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hat's Changed" sheetId="1" r:id="rId1"/>
    <sheet name="Per-Unit" sheetId="2" r:id="rId2"/>
    <sheet name="Biggest" sheetId="3" r:id="rId3"/>
    <sheet name="H1 by Unit" sheetId="4" r:id="rId4"/>
    <sheet name="PADD by Unit" sheetId="5" r:id="rId5"/>
    <sheet name="ExxonMobil" sheetId="6" r:id="rId6"/>
    <sheet name="HVN" sheetId="7" r:id="rId7"/>
    <sheet name="Forecast" sheetId="8" r:id="rId8"/>
    <sheet name="Scenarios" sheetId="9" r:id="rId9"/>
    <sheet name="Historicals" sheetId="10" r:id="rId10"/>
    <sheet name="Data Quality" sheetId="11" r:id="rId11"/>
    <sheet name="Data" sheetId="12" r:id="rId12"/>
  </sheets>
  <definedNames>
    <definedName name="_xlnm._FilterDatabase" localSheetId="11" hidden="1">Data!$A$4:$M$8827</definedName>
    <definedName name="_xlnm._FilterDatabase" localSheetId="9" hidden="1">Historicals!$A$4:$Q$64</definedName>
    <definedName name="_xlnm._FilterDatabase" localSheetId="4" hidden="1">'PADD by Unit'!$A$4:$H$604</definedName>
    <definedName name="conn_p1">Scenarios!$B$29</definedName>
    <definedName name="conn_p2">Scenarios!$B$30</definedName>
    <definedName name="conn_p3">Scenarios!$B$31</definedName>
    <definedName name="conn_p4">Scenarios!$B$32</definedName>
    <definedName name="conn_p5">Scenarios!$B$33</definedName>
    <definedName name="mult_act">Forecast!$B$27</definedName>
    <definedName name="mult_avg">Forecast!$B$26</definedName>
    <definedName name="mult_cons">Forecast!$B$25</definedName>
    <definedName name="naph_yield">HVN!$D$23</definedName>
    <definedName name="ref_intake">HVN!$D$24</definedName>
  </definedNames>
  <calcPr calcId="124519" fullCalcOnLoad="1"/>
</workbook>
</file>

<file path=xl/sharedStrings.xml><?xml version="1.0" encoding="utf-8"?>
<sst xmlns="http://schemas.openxmlformats.org/spreadsheetml/2006/main" count="64425" uniqueCount="1403">
  <si>
    <t>What's Changed: rolling MoM &amp; WoW (as of Jun 29, 2026)</t>
  </si>
  <si>
    <t>Month-over-month is live off Data -- the balance that prices. Week-over-week compares your weekly pulls (source is monthly, so the rolling log grows one row per build).</t>
  </si>
  <si>
    <t>Month-over-month (live off Data -- this is the balance that prices)</t>
  </si>
  <si>
    <t>As-of month (edit year / month)</t>
  </si>
  <si>
    <t>Prior month</t>
  </si>
  <si>
    <t>Metric</t>
  </si>
  <si>
    <t>This month</t>
  </si>
  <si>
    <t>Δ</t>
  </si>
  <si>
    <t>Δ%</t>
  </si>
  <si>
    <t>Total offline</t>
  </si>
  <si>
    <t>Planned</t>
  </si>
  <si>
    <t>Unplanned</t>
  </si>
  <si>
    <t>CDU</t>
  </si>
  <si>
    <t>FCC</t>
  </si>
  <si>
    <t>Hydrocracker</t>
  </si>
  <si>
    <t>Reformer</t>
  </si>
  <si>
    <t>Rolling: trailing 6 months (live)</t>
  </si>
  <si>
    <t>Month</t>
  </si>
  <si>
    <t>Total</t>
  </si>
  <si>
    <t>Jan 2026</t>
  </si>
  <si>
    <t>Feb 2026</t>
  </si>
  <si>
    <t>Mar 2026</t>
  </si>
  <si>
    <t>Apr 2026</t>
  </si>
  <si>
    <t>May 2026</t>
  </si>
  <si>
    <t>Jun 2026</t>
  </si>
  <si>
    <t>Week-over-week: your weekly pulls (rolling; one row per build)</t>
  </si>
  <si>
    <t>Pull date</t>
  </si>
  <si>
    <t>Δ vs prior pull</t>
  </si>
  <si>
    <t>2026-07 next mo</t>
  </si>
  <si>
    <t>2026-06-27</t>
  </si>
  <si>
    <t>2026-06-29</t>
  </si>
  <si>
    <t>Each build appends today's snapshot (current + next 6 months' offline) to data/whatschanged_log.csv. Run it weekly after refreshing the Snowflake and the Δ shows what the vendor added/pulled since last week. Δ on the current month is the contract-relevant move.</t>
  </si>
  <si>
    <t>New this month (Jun 2026) -- not down the prior month</t>
  </si>
  <si>
    <t>Plant</t>
  </si>
  <si>
    <t>Unit</t>
  </si>
  <si>
    <t>PADD</t>
  </si>
  <si>
    <t>kbd</t>
  </si>
  <si>
    <t xml:space="preserve">Corpus Christi Refinery </t>
  </si>
  <si>
    <t>ATMOS DISTILLATION</t>
  </si>
  <si>
    <t>PADD 3</t>
  </si>
  <si>
    <t>Trainer Refinery</t>
  </si>
  <si>
    <t>PADD 1</t>
  </si>
  <si>
    <t>Texas City Refinery</t>
  </si>
  <si>
    <t>HYDROTREATING</t>
  </si>
  <si>
    <t>Par East Refinery</t>
  </si>
  <si>
    <t>PADD 5</t>
  </si>
  <si>
    <t>Port Arthur Refinery (To</t>
  </si>
  <si>
    <t>Back online this month -- down the prior month, not now</t>
  </si>
  <si>
    <t>Robinson Refinery</t>
  </si>
  <si>
    <t>PADD 2</t>
  </si>
  <si>
    <t>Baytown Refinery</t>
  </si>
  <si>
    <t>El Segundo Refinery</t>
  </si>
  <si>
    <t>Kenai Refinery</t>
  </si>
  <si>
    <t>Cherry Point Refinery</t>
  </si>
  <si>
    <t>Valdez Refinery</t>
  </si>
  <si>
    <t>Per-Unit Concurrent Capacity Offline (kbd, day-weighted) = SUMIFS over Data</t>
  </si>
  <si>
    <t>Each focus unit on its own, by month and year. Never summed across units.</t>
  </si>
  <si>
    <t>Crude (CDU)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</si>
  <si>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</si>
  <si>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</si>
  <si>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</si>
  <si>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</si>
  <si>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</si>
  <si>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</si>
  <si>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</si>
  <si>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</si>
  <si>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</si>
  <si>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</si>
  <si>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</si>
  <si>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</si>
  <si>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</si>
  <si>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FCC (cat cracker)</t>
  </si>
  <si>
    <t>Busiest-month concurrent offline (=MAX of the unit's months)</t>
  </si>
  <si>
    <t>Biggest 2027 Outages by Unit (nameplate kbd, from Data)</t>
  </si>
  <si>
    <t>Individual units, never added. PADD shows where the tonnage sits.</t>
  </si>
  <si>
    <t>Refinery</t>
  </si>
  <si>
    <t>Class</t>
  </si>
  <si>
    <t>Window</t>
  </si>
  <si>
    <t>Type</t>
  </si>
  <si>
    <t>Status</t>
  </si>
  <si>
    <t>Joliet</t>
  </si>
  <si>
    <t>Crude</t>
  </si>
  <si>
    <t>Apr-May</t>
  </si>
  <si>
    <t>confirmed</t>
  </si>
  <si>
    <t>Cherry Point</t>
  </si>
  <si>
    <t>Norco</t>
  </si>
  <si>
    <t>DU-5 (Distilling Unit) (Sweet)</t>
  </si>
  <si>
    <t>Oct-Nov</t>
  </si>
  <si>
    <t>indicative (H2)</t>
  </si>
  <si>
    <t>Richmond</t>
  </si>
  <si>
    <t>Lemont</t>
  </si>
  <si>
    <t>Crude Distillation 111</t>
  </si>
  <si>
    <t>Martinez (PBF)</t>
  </si>
  <si>
    <t>DH Crude</t>
  </si>
  <si>
    <t>Jan-Mar</t>
  </si>
  <si>
    <t>Garyville</t>
  </si>
  <si>
    <t>Crude 10 B-Train Sour/Sweet</t>
  </si>
  <si>
    <t>Sep-Nov</t>
  </si>
  <si>
    <t>Crude 10 A-Train/Sour</t>
  </si>
  <si>
    <t>Crude 210</t>
  </si>
  <si>
    <t>Jan-Feb</t>
  </si>
  <si>
    <t>Baytown</t>
  </si>
  <si>
    <t>FCCU 3 (Fuels East)</t>
  </si>
  <si>
    <t>Feb-Apr</t>
  </si>
  <si>
    <t>Beaumont</t>
  </si>
  <si>
    <t>FCCU</t>
  </si>
  <si>
    <t>Memphis</t>
  </si>
  <si>
    <t>Crude East</t>
  </si>
  <si>
    <t>Sep-Oct</t>
  </si>
  <si>
    <t>Lake Charles (Phillips 66)</t>
  </si>
  <si>
    <t>Crude 3 (Sour) LUBES</t>
  </si>
  <si>
    <t>Houston (Valero)</t>
  </si>
  <si>
    <t>Crude (Combo Unit)</t>
  </si>
  <si>
    <t>Baton Rouge</t>
  </si>
  <si>
    <t>PSLA 9 (Pipestill)</t>
  </si>
  <si>
    <t>Crude Topping Unit</t>
  </si>
  <si>
    <t>Sweeny</t>
  </si>
  <si>
    <t>Crude 9 (SWEET)</t>
  </si>
  <si>
    <t>Mar-Apr</t>
  </si>
  <si>
    <t>Ferndale</t>
  </si>
  <si>
    <t>Pasadena</t>
  </si>
  <si>
    <t>Catlettsburg 2 - North</t>
  </si>
  <si>
    <t>Chalmette</t>
  </si>
  <si>
    <t>Crude 1 (Sweet)</t>
  </si>
  <si>
    <t>Jun-Aug</t>
  </si>
  <si>
    <t>Bill Greehey-East</t>
  </si>
  <si>
    <t>Crude (Heavy Sour)</t>
  </si>
  <si>
    <t>Feb-Mar</t>
  </si>
  <si>
    <t>Ponca City</t>
  </si>
  <si>
    <t>CTU 1 (Crude Topping) (Sour)</t>
  </si>
  <si>
    <t>Three Rivers</t>
  </si>
  <si>
    <t>Crude 1</t>
  </si>
  <si>
    <t>Ardmore</t>
  </si>
  <si>
    <t>Crude (Sour)</t>
  </si>
  <si>
    <t>El Segundo</t>
  </si>
  <si>
    <t>Crude 2</t>
  </si>
  <si>
    <t>El Dorado (Delek)</t>
  </si>
  <si>
    <t>Crude 4</t>
  </si>
  <si>
    <t>Crude West (Jet Fuels Treater)</t>
  </si>
  <si>
    <t>Pascagoula</t>
  </si>
  <si>
    <t>FCCU (16 Plant)</t>
  </si>
  <si>
    <t>Heavy Oil Cracker 27-1</t>
  </si>
  <si>
    <t>H1 (Jan-Jun) Planned Offline per Unit &amp; Month = SUMIFS (type=Planned)</t>
  </si>
  <si>
    <t>Like-for-like cross-year read; 2027 is confirmed through H1. H1 avg = AVERAGE of the row.</t>
  </si>
  <si>
    <t>H1 average offline (=AVERAGE Jan:Jun)</t>
  </si>
  <si>
    <t>Outages by PADD by Unit: full history with MoM% and YoY% = SUMIFS over Data</t>
  </si>
  <si>
    <t>CDU and FCC offline by PADD and month, 2023-2027: level, month-over-month % and year-over-year %.</t>
  </si>
  <si>
    <t>Mon</t>
  </si>
  <si>
    <t>Period</t>
  </si>
  <si>
    <t>MoM %</t>
  </si>
  <si>
    <t>YoY %</t>
  </si>
  <si>
    <t>P1</t>
  </si>
  <si>
    <t>Jan 23</t>
  </si>
  <si>
    <t>Feb 23</t>
  </si>
  <si>
    <t>Mar 23</t>
  </si>
  <si>
    <t>Apr 23</t>
  </si>
  <si>
    <t>May 23</t>
  </si>
  <si>
    <t>Jun 23</t>
  </si>
  <si>
    <t>Jul 23</t>
  </si>
  <si>
    <t>Aug 23</t>
  </si>
  <si>
    <t>Sep 23</t>
  </si>
  <si>
    <t>Oct 23</t>
  </si>
  <si>
    <t>Nov 23</t>
  </si>
  <si>
    <t>Dec 23</t>
  </si>
  <si>
    <t>Jan 24</t>
  </si>
  <si>
    <t>Feb 24</t>
  </si>
  <si>
    <t>Mar 24</t>
  </si>
  <si>
    <t>Apr 24</t>
  </si>
  <si>
    <t>May 24</t>
  </si>
  <si>
    <t>Jun 24</t>
  </si>
  <si>
    <t>Jul 24</t>
  </si>
  <si>
    <t>Aug 24</t>
  </si>
  <si>
    <t>Sep 24</t>
  </si>
  <si>
    <t>Oct 24</t>
  </si>
  <si>
    <t>Nov 24</t>
  </si>
  <si>
    <t>Dec 24</t>
  </si>
  <si>
    <t>Jan 25</t>
  </si>
  <si>
    <t>Feb 25</t>
  </si>
  <si>
    <t>Mar 25</t>
  </si>
  <si>
    <t>Apr 25</t>
  </si>
  <si>
    <t>May 25</t>
  </si>
  <si>
    <t>Jun 25</t>
  </si>
  <si>
    <t>Jul 25</t>
  </si>
  <si>
    <t>Aug 25</t>
  </si>
  <si>
    <t>Sep 25</t>
  </si>
  <si>
    <t>Oct 25</t>
  </si>
  <si>
    <t>Nov 25</t>
  </si>
  <si>
    <t>Dec 25</t>
  </si>
  <si>
    <t>Jan 26</t>
  </si>
  <si>
    <t>Feb 26</t>
  </si>
  <si>
    <t>Mar 26</t>
  </si>
  <si>
    <t>Apr 26</t>
  </si>
  <si>
    <t>May 26</t>
  </si>
  <si>
    <t>Jun 26</t>
  </si>
  <si>
    <t>Jul 26</t>
  </si>
  <si>
    <t>Aug 26</t>
  </si>
  <si>
    <t>Sep 26</t>
  </si>
  <si>
    <t>Oct 26</t>
  </si>
  <si>
    <t>Nov 26</t>
  </si>
  <si>
    <t>Dec 26</t>
  </si>
  <si>
    <t>Jan 27</t>
  </si>
  <si>
    <t>Feb 27</t>
  </si>
  <si>
    <t>Mar 27</t>
  </si>
  <si>
    <t>Apr 27</t>
  </si>
  <si>
    <t>May 27</t>
  </si>
  <si>
    <t>Jun 27</t>
  </si>
  <si>
    <t>Jul 27</t>
  </si>
  <si>
    <t>Aug 27</t>
  </si>
  <si>
    <t>Sep 27</t>
  </si>
  <si>
    <t>Oct 27</t>
  </si>
  <si>
    <t>Nov 27</t>
  </si>
  <si>
    <t>Dec 27</t>
  </si>
  <si>
    <t>P2</t>
  </si>
  <si>
    <t>P3</t>
  </si>
  <si>
    <t>P4</t>
  </si>
  <si>
    <t>P5</t>
  </si>
  <si>
    <t>Crude (CDU): annual by PADD (kbd) and YoY%</t>
  </si>
  <si>
    <t>2024 YoY%</t>
  </si>
  <si>
    <t>2025 YoY%</t>
  </si>
  <si>
    <t>2026 YoY%</t>
  </si>
  <si>
    <t>2027 YoY%</t>
  </si>
  <si>
    <t>FCC (cat cracker): annual by PADD (kbd) and YoY%</t>
  </si>
  <si>
    <t>Crude (CDU) 2027 by PADD &amp; month (chart source)</t>
  </si>
  <si>
    <t>FCC (cat cracker) 2027 by PADD &amp; month (chart source)</t>
  </si>
  <si>
    <t>ExxonMobil 2027 Focus-Unit Turnarounds, per Unit (kbd)</t>
  </si>
  <si>
    <t>Cross-checked against ExxonMobil's corporate turnaround plan.</t>
  </si>
  <si>
    <t>Vs corporate plan</t>
  </si>
  <si>
    <t>matches corporate plan</t>
  </si>
  <si>
    <t>Reformer CCR</t>
  </si>
  <si>
    <t>HVN (Heavy Virgin Naphtha) Balance: CDU Supply vs Reformer Demand (kbd) = live model</t>
  </si>
  <si>
    <t>Reformer-feed naphtha. CDU/reformer offline pulled from Data; supply, demand and net recompute off the gold yield cells below. All PADDs, then PADD 3 (Gulf) only.</t>
  </si>
  <si>
    <t>CDU offline</t>
  </si>
  <si>
    <t>HVN supply removed</t>
  </si>
  <si>
    <t>Reformer offline</t>
  </si>
  <si>
    <t>HVN demand removed</t>
  </si>
  <si>
    <t>Net balance</t>
  </si>
  <si>
    <t>Net &lt; 0 = deficit (HVN short, bullish reformate); net &gt; 0 = surplus.</t>
  </si>
  <si>
    <t>2027 annual net = -1,347 kbd (11 deficit months, 0 surplus).</t>
  </si>
  <si>
    <t>Live inputs (edit -- supply &amp; demand above recompute)</t>
  </si>
  <si>
    <t>Naphtha yield (per bbl crude)</t>
  </si>
  <si>
    <t>Reformer naphtha intake (per bbl capacity)</t>
  </si>
  <si>
    <t>PADD 3 (Gulf) only -- CDU &amp; reformer filtered to PADD 3</t>
  </si>
  <si>
    <t>PADD 3 2027 annual net = -892 kbd (10 deficit months) -- the Gulf share of the HVN deficit.</t>
  </si>
  <si>
    <t>2027 Unplanned Scenario (kbd/month) = baseline x multiplier (live)</t>
  </si>
  <si>
    <t>Headline by month (peak/avg = real levels). Annual Sigma (sum of the 12 monthly concurrent figures) is kept for reference -- a magnitude, not a level; not for slides.</t>
  </si>
  <si>
    <t>Unplanned scenario (kbd/mo)</t>
  </si>
  <si>
    <t>Peak/mo</t>
  </si>
  <si>
    <t>Avg/mo</t>
  </si>
  <si>
    <t>Annual Σ</t>
  </si>
  <si>
    <t>Baseline (2023-2026, completeness-aware)</t>
  </si>
  <si>
    <t>Conservative</t>
  </si>
  <si>
    <t>Average</t>
  </si>
  <si>
    <t>Active</t>
  </si>
  <si>
    <t>Booked planned 2027 (by month)</t>
  </si>
  <si>
    <t>Implied total offline by month = scenario unplanned + booked planned</t>
  </si>
  <si>
    <t>Scenario</t>
  </si>
  <si>
    <t>Peak month</t>
  </si>
  <si>
    <t>Avg month</t>
  </si>
  <si>
    <t>Peak month = worst single month offline (trade this). Avg month = average. Annual Σ = sum of the 12 monthly figures: a reference magnitude, not a level -- keep it off slides.</t>
  </si>
  <si>
    <t>History (complete years, annual Σ unplanned)</t>
  </si>
  <si>
    <t>P25</t>
  </si>
  <si>
    <t>Median</t>
  </si>
  <si>
    <t>P90</t>
  </si>
  <si>
    <t>Mean</t>
  </si>
  <si>
    <t>Scenario multipliers (x baseline -- the paths above recompute live)</t>
  </si>
  <si>
    <t>Baseline window 2023-2026  |  actuals reported through Jul 2026</t>
  </si>
  <si>
    <t>Scenarios &amp; Sensitivities: stressing the 2027 book (peak-month kbd)</t>
  </si>
  <si>
    <t>Three forward what-ifs in one place. Peak-month = the worst single month of total capacity offline. Edit the gold cells; everything recomputes live.</t>
  </si>
  <si>
    <t>1) Peak-month sensitivity grid (unplanned multiplier x one-off shock)</t>
  </si>
  <si>
    <t>mult v / shock &gt;</t>
  </si>
  <si>
    <t>Rows = unplanned multiplier x baseline; columns = one-off shock added to that month. Peak-month implied = worst month of (baseline x multiplier + booked planned) + shock. Base = 1.0 / 0.</t>
  </si>
  <si>
    <t>2) Named stress shocks on the book</t>
  </si>
  <si>
    <t>Description</t>
  </si>
  <si>
    <t>Crude shock (kbd)</t>
  </si>
  <si>
    <t>Other shock (kbd)</t>
  </si>
  <si>
    <t>Peak-month implied</t>
  </si>
  <si>
    <t>Naphtha net impact</t>
  </si>
  <si>
    <t>USGC hurricane</t>
  </si>
  <si>
    <t>PADD 3 unplanned spike, ~1-2 months</t>
  </si>
  <si>
    <t>Winter freeze (Uri-like)</t>
  </si>
  <si>
    <t>National unplanned spike in Feb</t>
  </si>
  <si>
    <t>Two large CDUs trip</t>
  </si>
  <si>
    <t>~500 kbd crude unplanned, 1 month</t>
  </si>
  <si>
    <t>Heavy fall TA overlap</t>
  </si>
  <si>
    <t>Sep-Oct planned overlap adds load</t>
  </si>
  <si>
    <t>Quiet year</t>
  </si>
  <si>
    <t>Light unplanned, fewer surprises</t>
  </si>
  <si>
    <t>Peak-month implied = Average scenario's worst-month offline + crude + other shock. Naphtha impact = -naphtha_yield x crude shock (more crude down = shorter naphtha).</t>
  </si>
  <si>
    <t>3) PADD connectivity: effective crude-outage impact (edit the pass-through cells)</t>
  </si>
  <si>
    <t>Pass-thru</t>
  </si>
  <si>
    <t>2026 CDU (Σ kbd)</t>
  </si>
  <si>
    <t>2026 effective</t>
  </si>
  <si>
    <t>2027 CDU (Σ kbd)</t>
  </si>
  <si>
    <t>2027 effective</t>
  </si>
  <si>
    <t>PADD 4</t>
  </si>
  <si>
    <t>Buffered by connectivity (nominal - effective):</t>
  </si>
  <si>
    <t>Low pass-through = well-connected (P3 Gulf): downstream keeps running on piped-in intermediates. High (P2 / P4 / P5, parts of P1): islanded, the outage cascades. Edit the pass-through cells (column B).</t>
  </si>
  <si>
    <t>Historicals: monthly offline 2023-2027 (kbd) = SUMIFS over Data</t>
  </si>
  <si>
    <t>Total / planned / unplanned, unplanned %, per focus unit and per PADD. The series the stats use.</t>
  </si>
  <si>
    <t>Unpl %</t>
  </si>
  <si>
    <t>HydroCk</t>
  </si>
  <si>
    <t>PADD1</t>
  </si>
  <si>
    <t>PADD2</t>
  </si>
  <si>
    <t>PADD3</t>
  </si>
  <si>
    <t>PADD4</t>
  </si>
  <si>
    <t>PADD5</t>
  </si>
  <si>
    <t>Naph net</t>
  </si>
  <si>
    <t>Annual (kbd) and YoY%</t>
  </si>
  <si>
    <t>Total YoY%</t>
  </si>
  <si>
    <t>n/a</t>
  </si>
  <si>
    <t>Data Quality: turnaround-cadence &amp; double-count flags (review only)</t>
  </si>
  <si>
    <t>Auto-flagged from the source each build; nothing is dropped. Verify against the source. Turnarounds run on ~a 5-year cycle.</t>
  </si>
  <si>
    <t>Planned turnaround again within &lt;5yr (CDU &amp; FCC; planned-&gt;planned only -- unplanned never resets the cycle)</t>
  </si>
  <si>
    <t>Prev TA</t>
  </si>
  <si>
    <t>Next TA</t>
  </si>
  <si>
    <t>Gap yr</t>
  </si>
  <si>
    <t>kbd prev</t>
  </si>
  <si>
    <t>kbd next</t>
  </si>
  <si>
    <t>Crude (Sweet &amp; Sour) Plant</t>
  </si>
  <si>
    <t>Norco Refinery</t>
  </si>
  <si>
    <t>DU-5 (Distilling Unit) (Sw</t>
  </si>
  <si>
    <t>Joliet Refinery</t>
  </si>
  <si>
    <t>Wood River Refinery</t>
  </si>
  <si>
    <t>DU-2 Distilling Unit (Swee</t>
  </si>
  <si>
    <t>Garyville Refinery</t>
  </si>
  <si>
    <t>Crude 10 B-Train Sour/Swee</t>
  </si>
  <si>
    <t>Martinez Refinery (PBF)</t>
  </si>
  <si>
    <t>El Dorado Refinery (HF Sincl</t>
  </si>
  <si>
    <t>Lemont Refinery</t>
  </si>
  <si>
    <t>Chalmette Refinery</t>
  </si>
  <si>
    <t>Crude 2 (Sour)</t>
  </si>
  <si>
    <t>Lima Refinery</t>
  </si>
  <si>
    <t>Crude 2 (Sweet)</t>
  </si>
  <si>
    <t>Beaumont Refinery</t>
  </si>
  <si>
    <t>El Dorado Refinery (Delek)</t>
  </si>
  <si>
    <t>Sweeny Refinery</t>
  </si>
  <si>
    <t>202 CDU/FCC planned-pairs are &lt;=4yr apart and reach 2026+ (top 16 by size shown). 'kbd' = day-weighted kbd-months that year. A short gap can be real minor maintenance, not a full turnaround -- check magnitude.</t>
  </si>
  <si>
    <t>Unit-months summing to &gt;100% of nameplate (overlap / double-count)</t>
  </si>
  <si>
    <t>Σ kbd</t>
  </si>
  <si>
    <t>Nameplate</t>
  </si>
  <si>
    <t>Ratio</t>
  </si>
  <si>
    <t>Pipe Still 3 (PS-3)</t>
  </si>
  <si>
    <t>PLANNED+UNPLANNED</t>
  </si>
  <si>
    <t>Port Arthur Refinery (</t>
  </si>
  <si>
    <t>FCCU 1241</t>
  </si>
  <si>
    <t>UNPLANNED</t>
  </si>
  <si>
    <t>Toledo Refinery (PBF)</t>
  </si>
  <si>
    <t>El Dorado Refinery (HF</t>
  </si>
  <si>
    <t>Reformer CRU 1</t>
  </si>
  <si>
    <t>PLANNED</t>
  </si>
  <si>
    <t>AVU 146 (Crude Still)</t>
  </si>
  <si>
    <t>Hydrocracker 942</t>
  </si>
  <si>
    <t>6 focus unit-months in 2026-2027 exceed nameplate (~184 excess kbd-months) -- small vs the totals, but each is an overlap or a duplicate record (or one event logged as both planned and unplanned).</t>
  </si>
  <si>
    <t>Data: Snowflake golden record (paste refreshes here; Focus/PADD auto-derive)</t>
  </si>
  <si>
    <t>Update = paste OUTAGE_YEAR/MONTH-&gt;A,B; PLANT/OPERATOR-&gt;D,E; UNIT_CATEGORY-&gt;H; UNIT_NAME-&gt;I; OUTAGE_TYPE-&gt;J; CAP_OFFLINE_ADJUSTED_KBD-&gt;K; OFFLINE_CAPACITY-&gt;L; PAD_DIST-&gt;M. Rest auto-fills.</t>
  </si>
  <si>
    <t>year</t>
  </si>
  <si>
    <t>monthnum</t>
  </si>
  <si>
    <t>month</t>
  </si>
  <si>
    <t>plant</t>
  </si>
  <si>
    <t>operator</t>
  </si>
  <si>
    <t>padd</t>
  </si>
  <si>
    <t>focus</t>
  </si>
  <si>
    <t>unit_cat</t>
  </si>
  <si>
    <t>unit_name</t>
  </si>
  <si>
    <t>type</t>
  </si>
  <si>
    <t>cap_kbd</t>
  </si>
  <si>
    <t>cap_raw</t>
  </si>
  <si>
    <t>pad_dist</t>
  </si>
  <si>
    <t>Alliance Refinery</t>
  </si>
  <si>
    <t>PHILLIPS 66</t>
  </si>
  <si>
    <t>Crude 191</t>
  </si>
  <si>
    <t>PADD III</t>
  </si>
  <si>
    <t>Toledo Refinery (Cenovus)</t>
  </si>
  <si>
    <t>CENOVUS ENERGY INCORPORATED</t>
  </si>
  <si>
    <t>Crude 1 (Sour)</t>
  </si>
  <si>
    <t>PADD II</t>
  </si>
  <si>
    <t>FLUID CAT CRACKING</t>
  </si>
  <si>
    <t>FCCU 1291</t>
  </si>
  <si>
    <t>VACUUM DISTILLATION</t>
  </si>
  <si>
    <t>Vacuum</t>
  </si>
  <si>
    <t>Baton Rouge Refinery</t>
  </si>
  <si>
    <t>EXXONMOBIL CORPORATION</t>
  </si>
  <si>
    <t>PSLA 10 (Pipestill Sour)</t>
  </si>
  <si>
    <t>TOLEDO REFINING COMPANY LLC</t>
  </si>
  <si>
    <t>Crude 3 (Sweet)</t>
  </si>
  <si>
    <t>MARTINEZ REFINING COMPANY LLC</t>
  </si>
  <si>
    <t>PADD V</t>
  </si>
  <si>
    <t>Galveston Bay Refinery (GBR)</t>
  </si>
  <si>
    <t>MARATHON PETROLEUM CORPORATION</t>
  </si>
  <si>
    <t>Pipestill 3A</t>
  </si>
  <si>
    <t>Pascagoula Refinery</t>
  </si>
  <si>
    <t>CHEVRON CORPORATION</t>
  </si>
  <si>
    <t>Crude 1 (11 Plant)</t>
  </si>
  <si>
    <t>Gulfiner 293 (Furnace Oil)</t>
  </si>
  <si>
    <t>Naphtha Desulfurizer</t>
  </si>
  <si>
    <t>Deer Park Refinery</t>
  </si>
  <si>
    <t>DEER PARK REFINING LP</t>
  </si>
  <si>
    <t>DU-2 (Distilling Unit 2)</t>
  </si>
  <si>
    <t>Houston Refinery (Houston Refining)</t>
  </si>
  <si>
    <t>HOUSTON REFINING LP</t>
  </si>
  <si>
    <t>Vacuum/Crude 537</t>
  </si>
  <si>
    <t>NU 291 (Reformer Feed HT)</t>
  </si>
  <si>
    <t>Tyler Refinery</t>
  </si>
  <si>
    <t>DELEK REFINING LIMITED</t>
  </si>
  <si>
    <t>Crude (Area 50) (Sweet)</t>
  </si>
  <si>
    <t>VALERO REFINING COMPANY</t>
  </si>
  <si>
    <t>Crude 3</t>
  </si>
  <si>
    <t>FCCU 1 &amp; 2 Sections (A-Zone)</t>
  </si>
  <si>
    <t>Port Arthur Refinery (TotalEnergies)</t>
  </si>
  <si>
    <t>TOTALENERGIES PETROCHEMICALS &amp; REFINING USA INCORPORATED</t>
  </si>
  <si>
    <t>ACU 1 (Atmospheric Crude)</t>
  </si>
  <si>
    <t>Bayway Refinery</t>
  </si>
  <si>
    <t>Pipe Still 7 (A) (Sweet)</t>
  </si>
  <si>
    <t>PADD I</t>
  </si>
  <si>
    <t>Crude/Vac 2 (Sweet)</t>
  </si>
  <si>
    <t>Lake Charles Refinery (CITGO)</t>
  </si>
  <si>
    <t>CITGO PETROLEUM CORPORATION</t>
  </si>
  <si>
    <t>Vacuum Distillation E-201</t>
  </si>
  <si>
    <t>Light Ends 1 West</t>
  </si>
  <si>
    <t>VF-3 Vacuum Flasher</t>
  </si>
  <si>
    <t>Superior Refinery</t>
  </si>
  <si>
    <t>REFORMING</t>
  </si>
  <si>
    <t>Reformer 1391</t>
  </si>
  <si>
    <t>Reformer 3 (CCR)</t>
  </si>
  <si>
    <t>Reformer Feed Hydrotreater 6-1</t>
  </si>
  <si>
    <t>Cat B (FCCU)</t>
  </si>
  <si>
    <t>FCCU 2 (Unit 835)</t>
  </si>
  <si>
    <t>CHALMETTE REFINING LLC</t>
  </si>
  <si>
    <t>FCCU 2</t>
  </si>
  <si>
    <t>Salt Lake City Refinery (Marathon)</t>
  </si>
  <si>
    <t>PADD IV</t>
  </si>
  <si>
    <t>Vacuum Distillation</t>
  </si>
  <si>
    <t>Gasoline HT (Train A)</t>
  </si>
  <si>
    <t>Reformer HDS</t>
  </si>
  <si>
    <t>Los Angeles Refinery - Wilmington (Marathon)</t>
  </si>
  <si>
    <t>COKING</t>
  </si>
  <si>
    <t>DCU Delayed Coker</t>
  </si>
  <si>
    <t>Denver Refinery - Plant 2 (East)</t>
  </si>
  <si>
    <t>SUNCOR ENERGY INCORPORATED</t>
  </si>
  <si>
    <t>Crude 3 (Asphalt)</t>
  </si>
  <si>
    <t>Los Angeles Refinery - Carson (P66)</t>
  </si>
  <si>
    <t>Delayed Coker</t>
  </si>
  <si>
    <t>Pipestill 3A VDU</t>
  </si>
  <si>
    <t>Ultraformer 3 (E3)</t>
  </si>
  <si>
    <t>HYDROCRACKING</t>
  </si>
  <si>
    <t>Isocracker</t>
  </si>
  <si>
    <t>Pasadena Refinery</t>
  </si>
  <si>
    <t>Light Cycle Oil Hydrotreater HT 2(Old Kerosene HT)</t>
  </si>
  <si>
    <t>Chevron - Pasadena</t>
  </si>
  <si>
    <t>Distillate Hydrotreater</t>
  </si>
  <si>
    <t>Phillips 66 - Alliance</t>
  </si>
  <si>
    <t>Tulsa East Refinery (Fuels) (East)</t>
  </si>
  <si>
    <t>HF SINCLAIR CORPORATION</t>
  </si>
  <si>
    <t>Delayed Coker 1</t>
  </si>
  <si>
    <t>Reformer C (CCR)</t>
  </si>
  <si>
    <t>Saint Charles Refinery</t>
  </si>
  <si>
    <t>VGO Hydrocracker 94</t>
  </si>
  <si>
    <t>Los Angeles Refinery - Carson (Marathon)</t>
  </si>
  <si>
    <t>Gasoline Desulfurizer</t>
  </si>
  <si>
    <t>Delayed Coker (Unit 860)</t>
  </si>
  <si>
    <t>ALKYLATION</t>
  </si>
  <si>
    <t>SF Alkylation</t>
  </si>
  <si>
    <t>Denver Refinery - Plant 1 (West)</t>
  </si>
  <si>
    <t>Distillate Hydrocracker (ULSD)</t>
  </si>
  <si>
    <t>Gasoline Hydrotreater</t>
  </si>
  <si>
    <t>Los Angeles Refinery - Wilmington</t>
  </si>
  <si>
    <t>Diesel Hydrotreater (ULSD) 90</t>
  </si>
  <si>
    <t>Delayed Coker 3 (G-Zone)</t>
  </si>
  <si>
    <t>Borger Refinery</t>
  </si>
  <si>
    <t>FCCU 40 Heavy Oil Catalytic Cracking</t>
  </si>
  <si>
    <t>Heavy Gas Oil Hydrotreater #4</t>
  </si>
  <si>
    <t>Reformer 9-3</t>
  </si>
  <si>
    <t>FCCU 3</t>
  </si>
  <si>
    <t>FCCU 29 Gas Oil Catalytic Cracking</t>
  </si>
  <si>
    <t>VF-3 (Vacuum Flasher)</t>
  </si>
  <si>
    <t>Still 537 (Heavy Crude)</t>
  </si>
  <si>
    <t>Ultracracker</t>
  </si>
  <si>
    <t>Delayed Coker Far East</t>
  </si>
  <si>
    <t>NAC Section NHT</t>
  </si>
  <si>
    <t>Diesel DHT ULSD (Train B) ADHT</t>
  </si>
  <si>
    <t>Diesel Hydrotreater Train A</t>
  </si>
  <si>
    <t>CDU Crude Distillation Unit (Sweet)</t>
  </si>
  <si>
    <t>Gas Oil HDS (GOHDS) Unit 41 Hydrodesulfurization</t>
  </si>
  <si>
    <t>Reformer 3 CCR</t>
  </si>
  <si>
    <t>TotalEnergies - Port Arthur</t>
  </si>
  <si>
    <t>ULSD Hydrotreater</t>
  </si>
  <si>
    <t>RDU 120 (Residual Hydrotreater Unit 120)</t>
  </si>
  <si>
    <t>Vacuum 536</t>
  </si>
  <si>
    <t>DSU 1 (Heavy Gas-Oil Hydrofiner)</t>
  </si>
  <si>
    <t>Vacuum Distillation 2 (BBU 2)</t>
  </si>
  <si>
    <t>Port Arthur Refinery (Motiva)</t>
  </si>
  <si>
    <t>MOTIVA ENTERPRISES LLC</t>
  </si>
  <si>
    <t>VPS 4 (Vacuum Pipe Still)</t>
  </si>
  <si>
    <t>Naphtha Hydrotreater</t>
  </si>
  <si>
    <t>Vacuum Distillation 2</t>
  </si>
  <si>
    <t>Diesel Desulfurization (ULSD) HT #3</t>
  </si>
  <si>
    <t>Dickinson Refinery</t>
  </si>
  <si>
    <t>RPC Group Heavy Gas Oil Unibon (Unit 821)</t>
  </si>
  <si>
    <t>DH Hydrocracker (HCU)</t>
  </si>
  <si>
    <t>HDU-2 (Reformer Feed)</t>
  </si>
  <si>
    <t>Canton Refinery</t>
  </si>
  <si>
    <t>Reformer Feed Hydrotreater</t>
  </si>
  <si>
    <t>HDPS Group DHT 1 (ULSD Unit 805)</t>
  </si>
  <si>
    <t>HDPS Group DHT 3 Diesel (ULSD) (Unit 855)</t>
  </si>
  <si>
    <t>CP Catalytic Cracking Unit (CCU)</t>
  </si>
  <si>
    <t>SF Alkylation 1</t>
  </si>
  <si>
    <t>Vacuum Distillation 1 (BBU 1)</t>
  </si>
  <si>
    <t>Diesel ULSD Unit 31 (DHT) (Area 40)</t>
  </si>
  <si>
    <t>Gasoline Desulfurizer (GHT)</t>
  </si>
  <si>
    <t>Crude 28 (Sour)</t>
  </si>
  <si>
    <t>DU-1 (Distilling Unit 1)</t>
  </si>
  <si>
    <t>Houston Refinery (Valero)</t>
  </si>
  <si>
    <t>SHCU (Hydrocracker)</t>
  </si>
  <si>
    <t>Vacuum Distillation (Area 50)</t>
  </si>
  <si>
    <t>DDU (Diesel Desulfurizer) (ULSD)</t>
  </si>
  <si>
    <t>Delayed Coker West</t>
  </si>
  <si>
    <t>Reformer 6-3</t>
  </si>
  <si>
    <t>HDPS Group DHT 2 Diesel (LSD Unit 813)</t>
  </si>
  <si>
    <t>Rodeo Refinery</t>
  </si>
  <si>
    <t>Crude (Unit 200)</t>
  </si>
  <si>
    <t>Diesel Hydrotreater (ULSD)</t>
  </si>
  <si>
    <t>DU-2 Distilling Unit (Sweet/Sour)</t>
  </si>
  <si>
    <t>ACU 2 (Atmospheric Crude)(Unit 812)</t>
  </si>
  <si>
    <t>ASPHALT</t>
  </si>
  <si>
    <t>Asphalt</t>
  </si>
  <si>
    <t>Platformer CCR (Area 50)</t>
  </si>
  <si>
    <t>Port Arthur Refinery (Valero)</t>
  </si>
  <si>
    <t>VGO Hydrocracker Unit  943</t>
  </si>
  <si>
    <t>Delayed Coker 737</t>
  </si>
  <si>
    <t>Pipe Still 7 (B) (Sweet)</t>
  </si>
  <si>
    <t>Crude (Sweet &amp; Sour)</t>
  </si>
  <si>
    <t>Torrance Refinery</t>
  </si>
  <si>
    <t>TORRANCE REFINING COMPANY LLC</t>
  </si>
  <si>
    <t>NAC Group Reformer CCR (Unit 825)</t>
  </si>
  <si>
    <t>Hydrocracker (Unit 240) (CONVERTED TO RENEWABLE)</t>
  </si>
  <si>
    <t>Light Straight Run Hydrotreater (LSR HT)</t>
  </si>
  <si>
    <t>Vacuum Unit</t>
  </si>
  <si>
    <t>Crude A (Sweet)</t>
  </si>
  <si>
    <t>CR-3 Reformer</t>
  </si>
  <si>
    <t>CCR (Continuous Catalytic Reformer)</t>
  </si>
  <si>
    <t>Platformer (Plat 2)</t>
  </si>
  <si>
    <t>SF Alkylation 2</t>
  </si>
  <si>
    <t>Whiting Refinery</t>
  </si>
  <si>
    <t>BP PRODUCTS NORTH AMERICA INCORPORATED</t>
  </si>
  <si>
    <t>Pipe Still 37 (LBSO) Dismantled</t>
  </si>
  <si>
    <t>Diesel Hydrotreater DHT (ULSD)</t>
  </si>
  <si>
    <t>Hydrobon (Reformer Feed)</t>
  </si>
  <si>
    <t>Richmond Refinery</t>
  </si>
  <si>
    <t>SRU 2</t>
  </si>
  <si>
    <t>CFH (Cat Feed HT CCU)</t>
  </si>
  <si>
    <t>Catalytic Gasoline Hydrotreater (CGHT)</t>
  </si>
  <si>
    <t>Gas Oil Hydrotreater (GOHT)</t>
  </si>
  <si>
    <t>DELEK US HOLDINGS</t>
  </si>
  <si>
    <t>Crude (Unit 267)</t>
  </si>
  <si>
    <t>HDU-1 (Jet/Diesel)</t>
  </si>
  <si>
    <t>Vacuum Distillation 1</t>
  </si>
  <si>
    <t>Vacuum Distillation 3 (Asphalt)</t>
  </si>
  <si>
    <t>Reformer 2</t>
  </si>
  <si>
    <t>Jet/Kerosene Diesel Hydrotreater</t>
  </si>
  <si>
    <t>Reformer 1</t>
  </si>
  <si>
    <t>Vacuum Tower 4 (Part of VPS 4)</t>
  </si>
  <si>
    <t>Crude 9 (Sour)</t>
  </si>
  <si>
    <t>HDS Diesel (ULSD)</t>
  </si>
  <si>
    <t>Pemex - Deer Park</t>
  </si>
  <si>
    <t>Gasoil Hydrotreater</t>
  </si>
  <si>
    <t>Crude 10 (Sour)</t>
  </si>
  <si>
    <t>ABW (SF Alky)</t>
  </si>
  <si>
    <t>FCCU Feed Hydrotreater Unit 25</t>
  </si>
  <si>
    <t>ISOMERIZATION</t>
  </si>
  <si>
    <t>NAC Section Isomerization</t>
  </si>
  <si>
    <t>Medium Naphtha Hydrotreater (Unit 230)</t>
  </si>
  <si>
    <t>Platformer</t>
  </si>
  <si>
    <t>Galveston Crude Refinery</t>
  </si>
  <si>
    <t>TEXAS INTERNATIONAL TERMINALS</t>
  </si>
  <si>
    <t>Crude Distillation Unit</t>
  </si>
  <si>
    <t>HVI High Viscosity Index</t>
  </si>
  <si>
    <t>Lake Charles Refinery (Phillips 66)</t>
  </si>
  <si>
    <t>Jet Fuel/Kerosene Hydrotreater</t>
  </si>
  <si>
    <t>Delayed Coker (Unit 200)</t>
  </si>
  <si>
    <t>Diesel (ULSD) HT (Unit 250) CONVERTED TO RENEWABLE</t>
  </si>
  <si>
    <t>HF Alkylation 1</t>
  </si>
  <si>
    <t>RESID_HYDROCRACKING</t>
  </si>
  <si>
    <t>Hydrocracker Unit 246 (CONVERTED TO RENEWABLE)</t>
  </si>
  <si>
    <t>Ultraformer 4 (UU4)</t>
  </si>
  <si>
    <t>Delayed Coker 2 (G-Zone)</t>
  </si>
  <si>
    <t>Vacuum Distillation 51</t>
  </si>
  <si>
    <t>Amine MEA 2</t>
  </si>
  <si>
    <t>Light Naphtha Hydrotreater (Unit 229)</t>
  </si>
  <si>
    <t>Unifiner (DUF)</t>
  </si>
  <si>
    <t>FCCU 2 (Fuels West)</t>
  </si>
  <si>
    <t>Delayed Coker B</t>
  </si>
  <si>
    <t>Reformer (Unit 231)</t>
  </si>
  <si>
    <t>CCR (Continuous Catalytic Reformer) 9</t>
  </si>
  <si>
    <t>Vacuum (Combo Unit)</t>
  </si>
  <si>
    <t>Diesel (ULSD) Hydrotreater 8</t>
  </si>
  <si>
    <t>Delayed Coker C</t>
  </si>
  <si>
    <t>Vacuum A-1</t>
  </si>
  <si>
    <t>CRU 1343 (Catalytic Reforming)</t>
  </si>
  <si>
    <t>Gas Oil Hydrotreater 12</t>
  </si>
  <si>
    <t>Delayed Coker South Unit 22</t>
  </si>
  <si>
    <t>Isomerization (Area 40)</t>
  </si>
  <si>
    <t>Vacuum Distillation 52</t>
  </si>
  <si>
    <t>Ponca City Refinery</t>
  </si>
  <si>
    <t>SF Alkylation (Area 40)</t>
  </si>
  <si>
    <t>Isomerization</t>
  </si>
  <si>
    <t>Unifiner A</t>
  </si>
  <si>
    <t>SF Alkylation (Unit 807)</t>
  </si>
  <si>
    <t>Cat Feed Hydrotreater</t>
  </si>
  <si>
    <t>SF Alkylation 3</t>
  </si>
  <si>
    <t>ULSD 1 (Diesel) Hydrotreater (West Area)</t>
  </si>
  <si>
    <t>Coffeyville Refinery</t>
  </si>
  <si>
    <t>COFFEYVILLE RESOURCES REFINING &amp; MARKETING LLC</t>
  </si>
  <si>
    <t>Corpus Christi Refinery - East (CITGO)</t>
  </si>
  <si>
    <t>FCCU 7</t>
  </si>
  <si>
    <t>Delayed Coker North Unit 21</t>
  </si>
  <si>
    <t>Benicia Refinery</t>
  </si>
  <si>
    <t>HF Alkylation</t>
  </si>
  <si>
    <t>Isomerization (Unit 228)</t>
  </si>
  <si>
    <t>CHD Jet/Diesel Hydrotreater</t>
  </si>
  <si>
    <t>Heavy Cat Naphtha Desulfurizer 10</t>
  </si>
  <si>
    <t>SF Alkylation Train A (Fuels South)</t>
  </si>
  <si>
    <t>LHT-2 Lube Hydrotreater</t>
  </si>
  <si>
    <t>Hydrobon (Naphtha Hydrotreater)</t>
  </si>
  <si>
    <t>Isomerization 6</t>
  </si>
  <si>
    <t>HDS 2 Diesel Hydrotreater (ULSD)</t>
  </si>
  <si>
    <t>LHT-1 Lube Hydrotreater</t>
  </si>
  <si>
    <t>Distillate Unifiner</t>
  </si>
  <si>
    <t>Vacuum Distillation 3</t>
  </si>
  <si>
    <t>Texas City Refinery (Bay Plant)</t>
  </si>
  <si>
    <t>HDS 1 Hydrotreater</t>
  </si>
  <si>
    <t>Motiva - Port Arthur</t>
  </si>
  <si>
    <t>Delayed Coker (Regular) Plant 90</t>
  </si>
  <si>
    <t>North Salt Lake Refinery</t>
  </si>
  <si>
    <t>BIG WEST OIL LLC</t>
  </si>
  <si>
    <t>MSCC (Millisecond Catalytic Cracking Unit)</t>
  </si>
  <si>
    <t>Platformer Unit 7 (North NGL) Catalytic Reformer</t>
  </si>
  <si>
    <t>Rodeo Renewable Fuels</t>
  </si>
  <si>
    <t>OTHER</t>
  </si>
  <si>
    <t>SRU (Unit 235)</t>
  </si>
  <si>
    <t>Puget Sound Refinery</t>
  </si>
  <si>
    <t>Crude (VPS)</t>
  </si>
  <si>
    <t>AVU 147 (New Crude Still)</t>
  </si>
  <si>
    <t>Reformer 212</t>
  </si>
  <si>
    <t>Delayed Coker DCU-2</t>
  </si>
  <si>
    <t>Kerosene Hydrotreater 214</t>
  </si>
  <si>
    <t>Marathon - Garyville</t>
  </si>
  <si>
    <t>Bill Greehey Refinery-East</t>
  </si>
  <si>
    <t>Diesel Distillate Hydrotreater (ULSD)</t>
  </si>
  <si>
    <t>Reformer B Fixed-Bed</t>
  </si>
  <si>
    <t>Vacuum Distillation Unit - VDU</t>
  </si>
  <si>
    <t>Crude B (Sour)</t>
  </si>
  <si>
    <t>Diesel Hydrofiner (ULSD) (67 Plant)</t>
  </si>
  <si>
    <t>PCLA 2 (FCCU)</t>
  </si>
  <si>
    <t>B-LCOH (Light Cycle Oil HT)</t>
  </si>
  <si>
    <t>FCCU 4</t>
  </si>
  <si>
    <t>Diesel Distillate Hydrofiner (ULSD)</t>
  </si>
  <si>
    <t>HDS 3 Reformer Feed HT</t>
  </si>
  <si>
    <t>CCU 1 Catalytic Cracking</t>
  </si>
  <si>
    <t>HCU 2 (Isocracker/Isotreater)</t>
  </si>
  <si>
    <t>Sandersville Refinery</t>
  </si>
  <si>
    <t>HUNT REFINING COMPANY</t>
  </si>
  <si>
    <t>CTU 4 (Crude Topping) (Sour)</t>
  </si>
  <si>
    <t>Big Spring Refinery</t>
  </si>
  <si>
    <t>Crude Distillation</t>
  </si>
  <si>
    <t>Unibon Jet HT 89</t>
  </si>
  <si>
    <t>SHELL OIL PRODUCTS US</t>
  </si>
  <si>
    <t>Reformer (NRU)</t>
  </si>
  <si>
    <t>Diesel Hydrotreater 3 (DHT)</t>
  </si>
  <si>
    <t>Unicracker 120</t>
  </si>
  <si>
    <t>Unionfiner (Reformer Feed Hydrotreater) 99</t>
  </si>
  <si>
    <t>Memphis Refinery</t>
  </si>
  <si>
    <t>CRU 3 (Reformer)</t>
  </si>
  <si>
    <t>SF Alkylation 110</t>
  </si>
  <si>
    <t>Reformer 100</t>
  </si>
  <si>
    <t>HDS Diesel Hydrotreater (ULSD)</t>
  </si>
  <si>
    <t>El Dorado Refinery (HF Sinclair)</t>
  </si>
  <si>
    <t>Paulsboro Refinery (PBF)</t>
  </si>
  <si>
    <t>PAULSBORO REFINING COMPANY</t>
  </si>
  <si>
    <t>Crude 7 (Lube) (Sour)</t>
  </si>
  <si>
    <t>Crude C</t>
  </si>
  <si>
    <t>Navajo Refinery (Artesia)</t>
  </si>
  <si>
    <t>NAVAJO REFINING COMPANY LIMITED PARTNERSHIP</t>
  </si>
  <si>
    <t>Gas Oil HT 15</t>
  </si>
  <si>
    <t>Gasoline Desulfurizer (GHT, East Area)</t>
  </si>
  <si>
    <t>DHT Kerosene HT (East Area)</t>
  </si>
  <si>
    <t>CR-1 Catalytic Reformer</t>
  </si>
  <si>
    <t>Delayed Coker 844</t>
  </si>
  <si>
    <t>DCU 1 (Delayed Coker)</t>
  </si>
  <si>
    <t>HDU-2 Hydrodesulfurizer (East Area)</t>
  </si>
  <si>
    <t>Gas Oil Hydrotreater</t>
  </si>
  <si>
    <t>Pipe Still 11C (Sour)</t>
  </si>
  <si>
    <t>HDU-1 Hydrodesulfurizer (East Area)</t>
  </si>
  <si>
    <t>Naphtha HDU Unit  18</t>
  </si>
  <si>
    <t>Heavy Naphtha Desulfurizer 11</t>
  </si>
  <si>
    <t>Diesel Hydrotreater (ULSD) Unit 33</t>
  </si>
  <si>
    <t>HTU 5 Diesel (ULSD)</t>
  </si>
  <si>
    <t>Diesel Hydrotreater (DHT) Plant 2</t>
  </si>
  <si>
    <t>CRU 3</t>
  </si>
  <si>
    <t>Reformer CRU 2</t>
  </si>
  <si>
    <t>Bakersfield Refinery (Kern Oil)</t>
  </si>
  <si>
    <t>KERN OIL &amp; REFINING COMPANY</t>
  </si>
  <si>
    <t>Vacuum 1</t>
  </si>
  <si>
    <t>Gasoline Hydrotreater (Prime G)</t>
  </si>
  <si>
    <t>Premium Coker 1</t>
  </si>
  <si>
    <t>HTU 4 Diesel (ULSD)</t>
  </si>
  <si>
    <t>HTU 3 (Light Naphtha)</t>
  </si>
  <si>
    <t>CR-3 Catalytic Reformer</t>
  </si>
  <si>
    <t>Mild Hydrocracker</t>
  </si>
  <si>
    <t>HT 3 Reformer Feed Hydrotreater</t>
  </si>
  <si>
    <t>Kerosene Desulfurizer</t>
  </si>
  <si>
    <t>Houston Fractionation Refinery</t>
  </si>
  <si>
    <t>PETROMAX REFINING LLC</t>
  </si>
  <si>
    <t>Crude Fractionation Unit</t>
  </si>
  <si>
    <t>Isomerization Unit</t>
  </si>
  <si>
    <t>McKee Refinery</t>
  </si>
  <si>
    <t>Mount Vernon Refinery</t>
  </si>
  <si>
    <t>COUNTRYMARK COOPERATIVE LLP</t>
  </si>
  <si>
    <t>DHT Diesel (ULSD)</t>
  </si>
  <si>
    <t>Wilmington Asphalt Refinery</t>
  </si>
  <si>
    <t>HTU 1 Kerosene</t>
  </si>
  <si>
    <t>Crude (Sweet &amp; Sour) Plant 1</t>
  </si>
  <si>
    <t>Platformer CCR (Plant 16)</t>
  </si>
  <si>
    <t>Woods Cross Refinery (HF Sinclair)</t>
  </si>
  <si>
    <t>PAR Montana Billings Refinery</t>
  </si>
  <si>
    <t>PAR PACIFIC HOLDINGS INCORPORATED</t>
  </si>
  <si>
    <t>Powerformer</t>
  </si>
  <si>
    <t>Naphtha HT (Reformer Feed)</t>
  </si>
  <si>
    <t>Congo Refinery</t>
  </si>
  <si>
    <t>ERGON WEST VIRGINIA INCORPORATED</t>
  </si>
  <si>
    <t>Crude 25-1 (SOUR)</t>
  </si>
  <si>
    <t>Port Allen Refinery</t>
  </si>
  <si>
    <t>PLACID REFINING COMPANY LLC</t>
  </si>
  <si>
    <t>Laurel Refinery</t>
  </si>
  <si>
    <t>CENEX HARVEST STATES INCORPORATED</t>
  </si>
  <si>
    <t>North Isomax TKN (Distillate Hydrocracker)</t>
  </si>
  <si>
    <t>Diesel Hydrotreater (DHT)</t>
  </si>
  <si>
    <t>MONROE ENERGY LLC</t>
  </si>
  <si>
    <t>FCCU (Co-produces Renewable Diesel)</t>
  </si>
  <si>
    <t>Krotz Springs Refinery</t>
  </si>
  <si>
    <t>Ardmore Refinery</t>
  </si>
  <si>
    <t>DHDS (ULSD)</t>
  </si>
  <si>
    <t>Gasoline Desulfurizer (GDU) Plant 74</t>
  </si>
  <si>
    <t>Anacortes Refinery</t>
  </si>
  <si>
    <t>Clean Fuels Hydrotreater (CFH)</t>
  </si>
  <si>
    <t>Selective Hydrogenation (FCCU)</t>
  </si>
  <si>
    <t>Diesel Hydrotreater (ULSD) Unit 900</t>
  </si>
  <si>
    <t>Gas Oil HDS</t>
  </si>
  <si>
    <t>Naphtha Hydrotreater (NHT)</t>
  </si>
  <si>
    <t>El Paso North Refinery</t>
  </si>
  <si>
    <t>Crude 6</t>
  </si>
  <si>
    <t>Diesel (ULSD) Hydrofiner Unit 39</t>
  </si>
  <si>
    <t>Jet Fuel Hydrotreater</t>
  </si>
  <si>
    <t>Unifiner (Reformer Feed)</t>
  </si>
  <si>
    <t>Hydroprocessing Unit A/B</t>
  </si>
  <si>
    <t>Special Coker Plant 87</t>
  </si>
  <si>
    <t>Platformer CCR 4</t>
  </si>
  <si>
    <t>Nixon Refinery</t>
  </si>
  <si>
    <t>LAZARUS ENERGY LLC</t>
  </si>
  <si>
    <t>Unicracker (Hydrocracker)</t>
  </si>
  <si>
    <t>Reformer Feed HT</t>
  </si>
  <si>
    <t>HF Alky</t>
  </si>
  <si>
    <t>Unifiner (Reformer Feed HT)</t>
  </si>
  <si>
    <t>Wynnewood Refinery</t>
  </si>
  <si>
    <t>CVR ENERGY INCORPORATED</t>
  </si>
  <si>
    <t>Rheniformer</t>
  </si>
  <si>
    <t>Penex Feed Splitter</t>
  </si>
  <si>
    <t>Light Straight Run Diesel HT</t>
  </si>
  <si>
    <t>Hydrofiner Jet</t>
  </si>
  <si>
    <t>Isomerization C4</t>
  </si>
  <si>
    <t>Pipe Still 8 (PS-8)</t>
  </si>
  <si>
    <t>Tuscaloosa Refinery</t>
  </si>
  <si>
    <t>Crude Atmospheric Tower</t>
  </si>
  <si>
    <t>Bill Greehey Refinery-West</t>
  </si>
  <si>
    <t>HOC Heavy Oil Cracker (Unit 21)</t>
  </si>
  <si>
    <t>Delaware City Refinery</t>
  </si>
  <si>
    <t>DELAWARE CITY REFINING COMPANY LLC</t>
  </si>
  <si>
    <t>Fluid Bed Coker</t>
  </si>
  <si>
    <t>Gasoline Desulfurizer (Plant 52)</t>
  </si>
  <si>
    <t>Corpus Christi Refinery - West (Flint Hills)</t>
  </si>
  <si>
    <t>FLINT HILLS RESOURCES LLC</t>
  </si>
  <si>
    <t>Mid Plant Crude 4</t>
  </si>
  <si>
    <t>Kerosene/Diesel Hydrotreater</t>
  </si>
  <si>
    <t>Platformer CCR</t>
  </si>
  <si>
    <t>New Reformer CCR</t>
  </si>
  <si>
    <t>Diesel Hydrotreater</t>
  </si>
  <si>
    <t>Flint Hills - Pine Bend</t>
  </si>
  <si>
    <t>Vacuum Crude Distillation</t>
  </si>
  <si>
    <t>(DDU) Distillate Desulfurizer Unit (ULSD)</t>
  </si>
  <si>
    <t>Meraux Refinery</t>
  </si>
  <si>
    <t>Buckeye Texas Processing EF90 Corpus Christi Facility (BTP)</t>
  </si>
  <si>
    <t>BUCKEYE TEXAS PROCESSING LLC</t>
  </si>
  <si>
    <t>BTP Train 01 Condensate Splitter (Unit 100)</t>
  </si>
  <si>
    <t>HF Alkylation (Unit 31)</t>
  </si>
  <si>
    <t>Naphtha Hydrobon</t>
  </si>
  <si>
    <t>Naphtha Hydrobon (Train 2)</t>
  </si>
  <si>
    <t>HCU (Diesel)</t>
  </si>
  <si>
    <t>Naphtha Unifiner (Coker)</t>
  </si>
  <si>
    <t>West Side Vacuum</t>
  </si>
  <si>
    <t>Mid Plant Vacuum</t>
  </si>
  <si>
    <t>Salt Lake City Refinery (Chevron)</t>
  </si>
  <si>
    <t>FCCU 2 and Gas Recovery (GRU) Plants 31 &amp; 32</t>
  </si>
  <si>
    <t>Pine Bend Refinery</t>
  </si>
  <si>
    <t>Delayed Coker 21-1</t>
  </si>
  <si>
    <t>Saint Paul Park Refinery</t>
  </si>
  <si>
    <t>CCR Platformer (Aromatics Prep)</t>
  </si>
  <si>
    <t>West Side Crude 3</t>
  </si>
  <si>
    <t>FCCU 1</t>
  </si>
  <si>
    <t>Corpus Christi Refinery - East (Flint Hills)</t>
  </si>
  <si>
    <t>Gas Oils Hydrotreater (GOHT)Mid Plant</t>
  </si>
  <si>
    <t>HDS Naphtha Hydrotreater (Aromatics Prep)</t>
  </si>
  <si>
    <t>Platformer 2</t>
  </si>
  <si>
    <t>DHT Diesel HT (ULSD)</t>
  </si>
  <si>
    <t>Vacuum 3</t>
  </si>
  <si>
    <t>Flexicoker (FXU)</t>
  </si>
  <si>
    <t>Unibon Hydrotreater (Cat Feed)</t>
  </si>
  <si>
    <t>Sinclair Refinery</t>
  </si>
  <si>
    <t>Vacuum Distillation 582</t>
  </si>
  <si>
    <t>Hydrocracker Gas Oil</t>
  </si>
  <si>
    <t>LCO Hydrotreater</t>
  </si>
  <si>
    <t>NHT (Naphtha Hydrotreater) (Aromatics Prep)</t>
  </si>
  <si>
    <t>Crude 582 (Sweet)</t>
  </si>
  <si>
    <t>Mid Distillation Hydrotreating Unit (MDHT)</t>
  </si>
  <si>
    <t>Corpus Christi Refinery - West (CITGO)</t>
  </si>
  <si>
    <t>Diesel Hydrofiner (MDH)</t>
  </si>
  <si>
    <t>Jet Fuel HT</t>
  </si>
  <si>
    <t>C5-C6 Feed Isomerization</t>
  </si>
  <si>
    <t>Platformer CCR 5</t>
  </si>
  <si>
    <t>Platformer Feed Hydrotreater 5</t>
  </si>
  <si>
    <t>FCCU Gasoline Desulfurizer (GDU)</t>
  </si>
  <si>
    <t>Distillate Hydrotreater (DHT)</t>
  </si>
  <si>
    <t>Marathon - Dickinson</t>
  </si>
  <si>
    <t>Gas Oil Hydrocracker</t>
  </si>
  <si>
    <t>Reformer 781</t>
  </si>
  <si>
    <t>Isomax Gas Oil</t>
  </si>
  <si>
    <t>Citgo - Corpus Christi</t>
  </si>
  <si>
    <t>HF Alkylation (PC)</t>
  </si>
  <si>
    <t>FCCU 780</t>
  </si>
  <si>
    <t>Platformer Feed Hydrotreater 4</t>
  </si>
  <si>
    <t>Gas Oil (Deasphalted) Hydrotreater</t>
  </si>
  <si>
    <t>Warren Refinery</t>
  </si>
  <si>
    <t>UNITED REFINING COMPANY</t>
  </si>
  <si>
    <t>DHT 2 Diesel Hydrotreater (ULSD)</t>
  </si>
  <si>
    <t>Gasoil Hydrocracker</t>
  </si>
  <si>
    <t>Naphtha HDS (Reformer Feed HT)</t>
  </si>
  <si>
    <t>Gas Oil/Kerosene Hydrofiner</t>
  </si>
  <si>
    <t>Reformer (Unit 244 Block 2)</t>
  </si>
  <si>
    <t>PSLA 8 (Pipestill)</t>
  </si>
  <si>
    <t>Cat Feed Hydrotreater (New)</t>
  </si>
  <si>
    <t>Ultraformer Feed HT 3</t>
  </si>
  <si>
    <t>Gas Oil Hydrodesulfurization Unit 42 (Cat Feed)</t>
  </si>
  <si>
    <t>PCLA 3 (FCCU)</t>
  </si>
  <si>
    <t>Lake Charles Refinery (Calcasieu)</t>
  </si>
  <si>
    <t>CALCASIEU REFINING COMPANY</t>
  </si>
  <si>
    <t>Crude Topping 2</t>
  </si>
  <si>
    <t>Crude Topping 5</t>
  </si>
  <si>
    <t>Resid HDS Hydrofiner (ARDS) Unit 12</t>
  </si>
  <si>
    <t>PETRO STAR INCORPORATED</t>
  </si>
  <si>
    <t>Crude Distillation (Atmospheric)</t>
  </si>
  <si>
    <t>Reformer 19-2</t>
  </si>
  <si>
    <t>VGO Hydrotreater</t>
  </si>
  <si>
    <t>Vacuum Distillation Unit</t>
  </si>
  <si>
    <t>Unicracker  (HR) (Unit 47)</t>
  </si>
  <si>
    <t>North Pole Refinery (Petro Star)</t>
  </si>
  <si>
    <t>DHT Diesel Hydrodesulfurizer (ULSD)</t>
  </si>
  <si>
    <t>Platformer 1 CCR</t>
  </si>
  <si>
    <t>Billings Refinery (Phillips 66)</t>
  </si>
  <si>
    <t>Crude Topper Large (Combo Unit)</t>
  </si>
  <si>
    <t>New Vacuum Unit</t>
  </si>
  <si>
    <t>RHU Residual HF (Crude Area)</t>
  </si>
  <si>
    <t>Kerosene Hydrotreater</t>
  </si>
  <si>
    <t>Unit 39 Delayed Coker</t>
  </si>
  <si>
    <t>Evanston Refinery (Silver Eagle)</t>
  </si>
  <si>
    <t>SILVER EAGLE REFINING INCORPORATED</t>
  </si>
  <si>
    <t>Naphtha HDS</t>
  </si>
  <si>
    <t>Pipe Still 12 (Sour)</t>
  </si>
  <si>
    <t>RCCU</t>
  </si>
  <si>
    <t>Reformer 10 CCR</t>
  </si>
  <si>
    <t>Vacuum Flasher</t>
  </si>
  <si>
    <t>Tulsa West Refinery (Lubes) (West)</t>
  </si>
  <si>
    <t>Crude (Sweet)</t>
  </si>
  <si>
    <t>Cotton Valley Refinery</t>
  </si>
  <si>
    <t>CALUMET SPECIALTY PRODUCTS PARTNERS LP</t>
  </si>
  <si>
    <t>(DHT) Distillate HT 1 (ULSD)</t>
  </si>
  <si>
    <t>Gasoline Desulfurizer (RGHT)</t>
  </si>
  <si>
    <t>DSU 2 Hydrofiner (ULSD)</t>
  </si>
  <si>
    <t>Powerformer Hydrofiner</t>
  </si>
  <si>
    <t>Powerformer 2</t>
  </si>
  <si>
    <t>Three Rivers Refinery</t>
  </si>
  <si>
    <t>(NHT) Naphtha Hydrotreater</t>
  </si>
  <si>
    <t>CR-2 (Full Regen Reformer)</t>
  </si>
  <si>
    <t>HF Alkylation Unit 22</t>
  </si>
  <si>
    <t>Naphtha Distillate Hydrotreater</t>
  </si>
  <si>
    <t>HF 4 (Hydroformer)</t>
  </si>
  <si>
    <t>NHT Naphtha Unifiner (Reformer Feed)</t>
  </si>
  <si>
    <t>Delayed Coker 21-2</t>
  </si>
  <si>
    <t>DCU Vacuum Column</t>
  </si>
  <si>
    <t>HTU Diesel (ULSD)</t>
  </si>
  <si>
    <t>MTBE</t>
  </si>
  <si>
    <t>MTBE (Methyl tert Butyl Ether)</t>
  </si>
  <si>
    <t>CCR Platformer</t>
  </si>
  <si>
    <t>Naphtha HT (Reformer Pretreater)</t>
  </si>
  <si>
    <t>NHDS (Nahptha hydrotreater/Reformer Feed)</t>
  </si>
  <si>
    <t>Heavy Cat Gas Naphtha Desulfurizer (Scan-Finer)</t>
  </si>
  <si>
    <t>HTU 2 (Light Naphtha/Straight Run)</t>
  </si>
  <si>
    <t>Lube Oil Hydrotreater</t>
  </si>
  <si>
    <t>HTU 3 Kero/Jet</t>
  </si>
  <si>
    <t>CRU 2 (Reformer)</t>
  </si>
  <si>
    <t>HTU 1 (Straight Run)</t>
  </si>
  <si>
    <t>Isoalky Alkylation Plant 36</t>
  </si>
  <si>
    <t>BenSat (Isomerization)</t>
  </si>
  <si>
    <t>Reformer Pretreat HT</t>
  </si>
  <si>
    <t>DU-4 (Sour)</t>
  </si>
  <si>
    <t>Naphtha Hydrotreater (Reformer Feed)</t>
  </si>
  <si>
    <t>CFU Hydrotreater (Cat Cracker Feed) 171</t>
  </si>
  <si>
    <t>DHT 13</t>
  </si>
  <si>
    <t>DDU (Distillate Desulfurizer) HT</t>
  </si>
  <si>
    <t>Ultraformer</t>
  </si>
  <si>
    <t>Condensate Splitter</t>
  </si>
  <si>
    <t>FCCU Feed Hydrotreater</t>
  </si>
  <si>
    <t>Vacuum B</t>
  </si>
  <si>
    <t>Diesel DHT (ULSD)</t>
  </si>
  <si>
    <t>FCCU Gasoline Hydrotreater (GHT)</t>
  </si>
  <si>
    <t>Casper Refinery (HF Sinclair)</t>
  </si>
  <si>
    <t>Crude Unit</t>
  </si>
  <si>
    <t>Kerosene Hydrotreater (KHT)</t>
  </si>
  <si>
    <t>Kerosene HDT</t>
  </si>
  <si>
    <t>South Isomax TKC Fluid Cat Cracker Hydrotreater</t>
  </si>
  <si>
    <t>HDS Reformer Feed</t>
  </si>
  <si>
    <t>CRU 1344 Platformer</t>
  </si>
  <si>
    <t>Diesel (ULSD) Hydrotreater</t>
  </si>
  <si>
    <t>Jet/Kerosene Hydrotreater</t>
  </si>
  <si>
    <t>Naphtha Reformer Hydrotreater</t>
  </si>
  <si>
    <t>Rheniformer 4</t>
  </si>
  <si>
    <t>CHD Kerosene/Diesel Distillate Hydrotreater</t>
  </si>
  <si>
    <t>El Paso South Refinery</t>
  </si>
  <si>
    <t>Vacuum Distillation (Crude 4)</t>
  </si>
  <si>
    <t>Rheniformer 5</t>
  </si>
  <si>
    <t>Naphtha Gasoline Desulfurizer</t>
  </si>
  <si>
    <t>Isom (Penhex)</t>
  </si>
  <si>
    <t>Delayed Coker Unit 50</t>
  </si>
  <si>
    <t>Unicracker</t>
  </si>
  <si>
    <t>PTR 4 CCR</t>
  </si>
  <si>
    <t>Vacuum Distillation 10A</t>
  </si>
  <si>
    <t>CHD 2 Diesel (ULSD)</t>
  </si>
  <si>
    <t>FCCU 25</t>
  </si>
  <si>
    <t>Gas Oil Hydrocracker (HCU) 215</t>
  </si>
  <si>
    <t>Wilmington Refinery</t>
  </si>
  <si>
    <t>FCCU 61</t>
  </si>
  <si>
    <t>DHT Hydrofiner 14</t>
  </si>
  <si>
    <t>Gasoline Desulfurizer 55</t>
  </si>
  <si>
    <t>CRU 4 Reformer CCR</t>
  </si>
  <si>
    <t>Diesel Hydrotreater 56</t>
  </si>
  <si>
    <t>HF Alkylation 68</t>
  </si>
  <si>
    <t>McPherson Refinery</t>
  </si>
  <si>
    <t>DCU 843 (Delayed Coker)</t>
  </si>
  <si>
    <t>Diesel Hydrotreater &amp; Dewaxer</t>
  </si>
  <si>
    <t>Delayed Coker 205</t>
  </si>
  <si>
    <t>HTU 4 Heavy Gas Oil Hydrotreater</t>
  </si>
  <si>
    <t>Naphtha Hydrotreater 211</t>
  </si>
  <si>
    <t>HF Alkylation 27</t>
  </si>
  <si>
    <t>Shreveport Refinery</t>
  </si>
  <si>
    <t>Lube Oil Hydrotreater (LOHT)</t>
  </si>
  <si>
    <t>Delayed Coker 5</t>
  </si>
  <si>
    <t>Vacuum 541</t>
  </si>
  <si>
    <t>Vacuum 2</t>
  </si>
  <si>
    <t>Gas Oil Hydrotreater (GOH)/ULSD</t>
  </si>
  <si>
    <t>LSR 8 Isom Feed Hydrotreater</t>
  </si>
  <si>
    <t>Crude 10</t>
  </si>
  <si>
    <t>Crude 11</t>
  </si>
  <si>
    <t>Vacuum 20</t>
  </si>
  <si>
    <t>DHT Diesel Hydrotreater (ULSD)</t>
  </si>
  <si>
    <t>Naphtha Hydrotreater 60</t>
  </si>
  <si>
    <t>Delayed Coker 31</t>
  </si>
  <si>
    <t>Platformer 70 CCR</t>
  </si>
  <si>
    <t>Butamer</t>
  </si>
  <si>
    <t>Delayed Coker 30</t>
  </si>
  <si>
    <t>Butamer (Cat Feed)</t>
  </si>
  <si>
    <t>Old Crude 11-2</t>
  </si>
  <si>
    <t>PSLA 7 (Pipestill)</t>
  </si>
  <si>
    <t>Crude 3 (#25)</t>
  </si>
  <si>
    <t>Crude 543 (Sweet)</t>
  </si>
  <si>
    <t>Diesel ULSD HT (Unit 27)</t>
  </si>
  <si>
    <t>Old Crude 11-1 (Sour)</t>
  </si>
  <si>
    <t>HDS 4 Diesel Hydrotreater</t>
  </si>
  <si>
    <t>Fuel Grade Coker 2</t>
  </si>
  <si>
    <t>BP - Whiting</t>
  </si>
  <si>
    <t>Delayed Coker East</t>
  </si>
  <si>
    <t>Light Ends 4 East</t>
  </si>
  <si>
    <t>Light Naphtha HT (Unit 28)</t>
  </si>
  <si>
    <t>Crude 544 (Sweet)</t>
  </si>
  <si>
    <t>Heavy Gas Oil HT (Unit 38)</t>
  </si>
  <si>
    <t>Gas Oil HT (Unit 33)</t>
  </si>
  <si>
    <t>Hydrocracker 29</t>
  </si>
  <si>
    <t>HT 8 Gasoline Naphtha Desulfurizer</t>
  </si>
  <si>
    <t>Gasoline Hydrotreater (Tier 3)</t>
  </si>
  <si>
    <t>Cat C (FCCU)</t>
  </si>
  <si>
    <t>Jet/Diesel Hydrotreater (Unit 31)</t>
  </si>
  <si>
    <t>Phillips 66 - Ponca City</t>
  </si>
  <si>
    <t>HT 5 Gas Oil Hydrotreater</t>
  </si>
  <si>
    <t>HT 6 Diesel</t>
  </si>
  <si>
    <t>Powerformer Semi-Regen Unit 32</t>
  </si>
  <si>
    <t>HT 9 Diesel Hydrotreater (ULSD)</t>
  </si>
  <si>
    <t>HT 2 Reformer Feed Hydrotreater</t>
  </si>
  <si>
    <t>VGO Hydrotreater (Cat Feed Unit)</t>
  </si>
  <si>
    <t>Exxon -- Baytown</t>
  </si>
  <si>
    <t>Naphtha Desulfurizer 2</t>
  </si>
  <si>
    <t>DHT/BOU Distillate (ULSD) Hydrotreater</t>
  </si>
  <si>
    <t>HT 4 Kerosene Hydrotreater</t>
  </si>
  <si>
    <t>VPS 2 (Vacuum Pipe Still)</t>
  </si>
  <si>
    <t>Vacuum 544</t>
  </si>
  <si>
    <t>Vacuum 542</t>
  </si>
  <si>
    <t>Diesel Hydrotreater (D2)</t>
  </si>
  <si>
    <t>HDS 635 Diesel (ULSD)</t>
  </si>
  <si>
    <t>Hydrocracker/Hydrotreater Combo Unit</t>
  </si>
  <si>
    <t>Heavy Cat Naphtha Hydrotreater</t>
  </si>
  <si>
    <t>Isom 2</t>
  </si>
  <si>
    <t>HDS 633 Diesel (ULSD)</t>
  </si>
  <si>
    <t>CHD 1 Diesel HT (ULSD)</t>
  </si>
  <si>
    <t>Diesel Hydrotreater (ULSD) 590</t>
  </si>
  <si>
    <t>Naphtha Splitter</t>
  </si>
  <si>
    <t>Vacuum Tower 2 (Part of VPS 2)</t>
  </si>
  <si>
    <t>Jet Fuel Hydrotreater (Kerocene)</t>
  </si>
  <si>
    <t>Hydrocracker Gas-Oil</t>
  </si>
  <si>
    <t>Vacuum Unit 51</t>
  </si>
  <si>
    <t>HDS - ULSD Unit 631</t>
  </si>
  <si>
    <t>CHD 2 (Aviation Fuel HT)</t>
  </si>
  <si>
    <t>Kerosene Hydrotreater 115</t>
  </si>
  <si>
    <t>MTBE (Unit 39)</t>
  </si>
  <si>
    <t>Naphtha HDS 19-1 Hydrodesulfurization</t>
  </si>
  <si>
    <t>Heating Oil HT (D1)</t>
  </si>
  <si>
    <t>Diesel HDS 36 (ULSD)</t>
  </si>
  <si>
    <t>Distillate HT 19-3 Hydrodesulfurization (ULSD)</t>
  </si>
  <si>
    <t>Eagle Springs Refinery</t>
  </si>
  <si>
    <t>FORELAND REFINING CORPORATION</t>
  </si>
  <si>
    <t>Vacuum Fractionation</t>
  </si>
  <si>
    <t>Vacuum Distillation 4</t>
  </si>
  <si>
    <t>FCCU 732</t>
  </si>
  <si>
    <t>HDS 634 Cat Feed/HGO Hydrotreater</t>
  </si>
  <si>
    <t>Catlettsburg Refinery 1 - South</t>
  </si>
  <si>
    <t>CATLETTSBURG REFINING LLC</t>
  </si>
  <si>
    <t>Crude 5</t>
  </si>
  <si>
    <t>Vacuum Tower</t>
  </si>
  <si>
    <t>PTR 3 CCR</t>
  </si>
  <si>
    <t>Mandan Refinery</t>
  </si>
  <si>
    <t>Still 536</t>
  </si>
  <si>
    <t>Distillate HDS (Diesel HT)</t>
  </si>
  <si>
    <t>LPCCR (Reformer)</t>
  </si>
  <si>
    <t>Crude 4 (Sweet)</t>
  </si>
  <si>
    <t>Crude Topper 5</t>
  </si>
  <si>
    <t>SRU 1</t>
  </si>
  <si>
    <t>Reformer (Aromax Tech)</t>
  </si>
  <si>
    <t>NDU (Naphtha Desulfurization Unit)</t>
  </si>
  <si>
    <t>Diesel Desulfurization Unit DDU (ULSD)</t>
  </si>
  <si>
    <t>Crude Topper 4</t>
  </si>
  <si>
    <t>Reformer Feed HDS</t>
  </si>
  <si>
    <t>Naphtha Unifiner</t>
  </si>
  <si>
    <t>Distillate (old Gasoline) Hydrotreater (Kerosene)</t>
  </si>
  <si>
    <t>Ultraformer Hydrotreater</t>
  </si>
  <si>
    <t>Crude 5 (Sweet)</t>
  </si>
  <si>
    <t>Sponge Coker 113</t>
  </si>
  <si>
    <t>Catlettsburg Refinery 2 - North</t>
  </si>
  <si>
    <t>Platformer 1</t>
  </si>
  <si>
    <t>New Vacuum</t>
  </si>
  <si>
    <t>Detroit Refinery</t>
  </si>
  <si>
    <t>Vacuum Gas Oil Hydrotreater (VGO) Plant # 66</t>
  </si>
  <si>
    <t>Citgo - Lemont</t>
  </si>
  <si>
    <t>Alkylation</t>
  </si>
  <si>
    <t>HDS Diesel Hydrodesulfurizer (ULSD) Plant # 64</t>
  </si>
  <si>
    <t>Unifiner Gas Oil/Diesel (ULSD)</t>
  </si>
  <si>
    <t>Platformer CCR (SR)</t>
  </si>
  <si>
    <t>CCR Reformer</t>
  </si>
  <si>
    <t>Asphalt Blending</t>
  </si>
  <si>
    <t>Kerosene Hydrotreater (Sour-KHT Unit 19)</t>
  </si>
  <si>
    <t>Fluid Feed HDS (FCCU Feed)</t>
  </si>
  <si>
    <t>Isomax</t>
  </si>
  <si>
    <t>HF Alkylation 2</t>
  </si>
  <si>
    <t>Diesel (ULSD) GFU Gulfiner 243</t>
  </si>
  <si>
    <t>Vacuum Distillation E-1</t>
  </si>
  <si>
    <t>Marrero Re-Refined Oil Lubricants</t>
  </si>
  <si>
    <t>VERTEX ENERGY</t>
  </si>
  <si>
    <t>VPS 5 (Vacuum Pipe Still)</t>
  </si>
  <si>
    <t>Vacuum Tower 5 (Part of VPS 5)</t>
  </si>
  <si>
    <t>CRU 5 (NPC)</t>
  </si>
  <si>
    <t>HU 7/NHF Naphtha Reformer Feed Hydrofiner</t>
  </si>
  <si>
    <t>RDS 1 Module B (FCCU Feed) (81 Plant)</t>
  </si>
  <si>
    <t>Topper C Sour/Sweet</t>
  </si>
  <si>
    <t>HF 3 (Fuels West Hydroformer)</t>
  </si>
  <si>
    <t>Residfiner (GOHT)</t>
  </si>
  <si>
    <t>DHT Kerosene Hydrotreater</t>
  </si>
  <si>
    <t>Diesel (ULSD) Gulfiner 246</t>
  </si>
  <si>
    <t>Cat Feed Hydrotreating Unit (CFHU) (Gas Oil)</t>
  </si>
  <si>
    <t>HULA Diesel Hydrofiner 10 (ULSD)</t>
  </si>
  <si>
    <t>Vacuum 210</t>
  </si>
  <si>
    <t>Hydrodesulfurizer #1 (Reformer Feed)</t>
  </si>
  <si>
    <t>Hydrodesulfurizer #2 (Reformer Feed)</t>
  </si>
  <si>
    <t>Naphtha Desulfurizer 1</t>
  </si>
  <si>
    <t>DCU (Delayed Coker)</t>
  </si>
  <si>
    <t>Crude 01 (Light Sweet)</t>
  </si>
  <si>
    <t>Reformer A Fixed-Bed</t>
  </si>
  <si>
    <t>Platformer 35 (CCR)</t>
  </si>
  <si>
    <t>Jet/Diesel Desulfurizer</t>
  </si>
  <si>
    <t>Princeton Refinery</t>
  </si>
  <si>
    <t>Hydrocal (Lube Oil Hydrotreater)</t>
  </si>
  <si>
    <t>Reformer 3</t>
  </si>
  <si>
    <t>Crude Plant #21</t>
  </si>
  <si>
    <t>TIP Isomerization</t>
  </si>
  <si>
    <t>FCCU 1 #4</t>
  </si>
  <si>
    <t>Reformer 6</t>
  </si>
  <si>
    <t>BTX</t>
  </si>
  <si>
    <t>HF Alkylation 11</t>
  </si>
  <si>
    <t>FCCU 500</t>
  </si>
  <si>
    <t>Naphtha Hydrotreater (Tier 3)</t>
  </si>
  <si>
    <t>CRU (Catalytic Refining Unit) (Jet HT) 201</t>
  </si>
  <si>
    <t>FCCU 600</t>
  </si>
  <si>
    <t>Ultraformer 4</t>
  </si>
  <si>
    <t>Pipe Still 11A (Sour)</t>
  </si>
  <si>
    <t>FCC Naphtha Hydrotreater 59</t>
  </si>
  <si>
    <t>CCR Platformer79/80 Plant(Replaced Rheniformer2&amp;3)</t>
  </si>
  <si>
    <t>CHD 1 (Catalytic Hydro Desulfurization Jet)</t>
  </si>
  <si>
    <t>Corpus Christi Condensate Splitter (ONEOK)</t>
  </si>
  <si>
    <t>ONEOK INCORPORATED</t>
  </si>
  <si>
    <t>Corpus Christi 01 Condensate Splitter</t>
  </si>
  <si>
    <t>Cat A (FCCU)</t>
  </si>
  <si>
    <t>CRU 2</t>
  </si>
  <si>
    <t>FCCU 5</t>
  </si>
  <si>
    <t>PHLA 2 Powerformer (Train 1)</t>
  </si>
  <si>
    <t>PHLA 2 Powerformer (Train 2)</t>
  </si>
  <si>
    <t>Crude Topper Small (Combo Unit)</t>
  </si>
  <si>
    <t>RHLA Reformer Hydrofiner 2</t>
  </si>
  <si>
    <t>Pretreater 2</t>
  </si>
  <si>
    <t>HF Sinclair - Tulsa (East)</t>
  </si>
  <si>
    <t>Ultraformer (UFU)</t>
  </si>
  <si>
    <t>Reformer CCR Unit 116</t>
  </si>
  <si>
    <t>Gasoline Hydrotreater (GHT)</t>
  </si>
  <si>
    <t>HDN (Hydrodenitrogenation) (NHT) Plant 71</t>
  </si>
  <si>
    <t>Fluid Coker</t>
  </si>
  <si>
    <t>HDA (Hydrodealkylation)</t>
  </si>
  <si>
    <t>Delayed Coker (83 Plant)</t>
  </si>
  <si>
    <t>HCU Hydrocracker (West Area)</t>
  </si>
  <si>
    <t>HF Sinclair - Puget Sound</t>
  </si>
  <si>
    <t>HTU 2 Diesel Hydrotreater (ULSD)</t>
  </si>
  <si>
    <t>Mobile Refinery (Vertex)</t>
  </si>
  <si>
    <t>Gas Oil HT (Gofiner)</t>
  </si>
  <si>
    <t>Naphtha HT</t>
  </si>
  <si>
    <t>HDS Train 1 (CRU Feed HT)</t>
  </si>
  <si>
    <t>HDS Train 3 (Heavy Cat Gas)</t>
  </si>
  <si>
    <t>HDS Train 5 (Light Cycle Heating Oil)</t>
  </si>
  <si>
    <t>Gas Oil Mild Hydrocracker Unit 20</t>
  </si>
  <si>
    <t>Smackover Refinery</t>
  </si>
  <si>
    <t>CROSS OIL REFINING &amp; MARKETING INCORPORATED</t>
  </si>
  <si>
    <t>Penex Light Naphtha C5</t>
  </si>
  <si>
    <t>HDS Train 2 (Virgin Distillate)</t>
  </si>
  <si>
    <t>HF Sinclair - Woods Cross</t>
  </si>
  <si>
    <t>HDS Train 4 Light Gas Oil/ULSD</t>
  </si>
  <si>
    <t>GHT 1 Heavy Cat Naphtha HT (LSG)</t>
  </si>
  <si>
    <t>South Gate Asphalt Refinery</t>
  </si>
  <si>
    <t>WORLD OIL CORPORATION</t>
  </si>
  <si>
    <t>Rheniformer 2</t>
  </si>
  <si>
    <t>Tacoma Refinery</t>
  </si>
  <si>
    <t>Diesel Hydrotreater (Co-Produces Renewable Diesel)</t>
  </si>
  <si>
    <t>Platformer Unit 154</t>
  </si>
  <si>
    <t>Crude 8</t>
  </si>
  <si>
    <t>Reformer 1 (CCR)</t>
  </si>
  <si>
    <t>Crude 4 (LSFO 4 - Northside)</t>
  </si>
  <si>
    <t>Reformer PTR</t>
  </si>
  <si>
    <t>Diesel (ULSD) CHD</t>
  </si>
  <si>
    <t>Topper A Sweet/Sour</t>
  </si>
  <si>
    <t>VRDS Cat Feed Hydrotreater (Vac Resid Desulf)</t>
  </si>
  <si>
    <t>Crude Distillation (Sweet heavy/sour light)</t>
  </si>
  <si>
    <t>Delayed Coker 2</t>
  </si>
  <si>
    <t>Naphtha Desulfurizer (HDS)</t>
  </si>
  <si>
    <t>Galena Park Natural Gas Condensate Splitter</t>
  </si>
  <si>
    <t>KINDER MORGAN INCORPORATED</t>
  </si>
  <si>
    <t>Galena Park  Train 01 Condensate Splitter</t>
  </si>
  <si>
    <t>CP Catalytic Gasoline Hydrotreater (CGH)</t>
  </si>
  <si>
    <t>Galena Park Train 02 Condensate Splitter</t>
  </si>
  <si>
    <t>HDS Gasoline (North NGL) Unit 2.2</t>
  </si>
  <si>
    <t>Distillate Hydrotreater (Gas Oil)</t>
  </si>
  <si>
    <t>HDS 5 Kerosene/Jet Hydrotreater</t>
  </si>
  <si>
    <t>Delayed Coker 23</t>
  </si>
  <si>
    <t>DDS Diesel Desulf Hydrotreater (ULSD)</t>
  </si>
  <si>
    <t>Unifiner (Light Naphtha)</t>
  </si>
  <si>
    <t>HDS 10 Naphtha Reformer Feed HT</t>
  </si>
  <si>
    <t>DHT Diesel Desulfurizer (ULSD)</t>
  </si>
  <si>
    <t>BTP Train 02 Condensate Splitter (Unit 200)</t>
  </si>
  <si>
    <t>Diesel Hydrotreater ULSD (DHT)</t>
  </si>
  <si>
    <t>High Pressure VGO Hydrotreater</t>
  </si>
  <si>
    <t>Low Pressure VGO Hydrotreater</t>
  </si>
  <si>
    <t>Delayed Coker Unit Plant # 70</t>
  </si>
  <si>
    <t>Naphtha CCR Pretreater</t>
  </si>
  <si>
    <t>HP CCR(Continuous Catalytic Reformer)</t>
  </si>
  <si>
    <t>LHCU 1 (Lube Oil Hydrocracker)</t>
  </si>
  <si>
    <t>Hexane Isomerization And Benzene Hydro Unit 6</t>
  </si>
  <si>
    <t>SF Alky 4</t>
  </si>
  <si>
    <t>KDS (Kerosene HDS)</t>
  </si>
  <si>
    <t>HCU 1 (Fuels East Hydrocracker)</t>
  </si>
  <si>
    <t>Gasoline Hydrotreater (New)</t>
  </si>
  <si>
    <t>Naphtha Pretreater</t>
  </si>
  <si>
    <t>Isom Hydrobon</t>
  </si>
  <si>
    <t>Solvents HT</t>
  </si>
  <si>
    <t>Lube Oil HT</t>
  </si>
  <si>
    <t>Hysomer (Isomerization)</t>
  </si>
  <si>
    <t>Penex</t>
  </si>
  <si>
    <t>HULA Diesel Hydrofining Unit (ULSD)</t>
  </si>
  <si>
    <t>Gas Oil Hydrotreater (GOHT) (Cat Feed HT Unit 26.1</t>
  </si>
  <si>
    <t>Delayed Coker 29.2</t>
  </si>
  <si>
    <t>HF Alkylation 30</t>
  </si>
  <si>
    <t>NHT 3</t>
  </si>
  <si>
    <t>Cat Feed Hydrotreater 1 (Go-Finer)</t>
  </si>
  <si>
    <t>Prudhoe Bay Crude Oil Topping Units (COTU)</t>
  </si>
  <si>
    <t>HILCORP ALASKA LLC</t>
  </si>
  <si>
    <t>Prudhoe Bay COTU 2 (Atmospheric Columns)</t>
  </si>
  <si>
    <t>Pipestill 3B</t>
  </si>
  <si>
    <t>Ultraformer Feed HT 4</t>
  </si>
  <si>
    <t>Paulsboro Refinery (CPI)</t>
  </si>
  <si>
    <t>CPI OPERATIONS LLC</t>
  </si>
  <si>
    <t>DDU 100 (Kerosene)</t>
  </si>
  <si>
    <t>DDU 200 (Jet)</t>
  </si>
  <si>
    <t>Condensate Splitter (Unit 837)</t>
  </si>
  <si>
    <t>DDU 300 Diesel (ULSD)</t>
  </si>
  <si>
    <t>NHT 1 Reformer Feed</t>
  </si>
  <si>
    <t>HCLA Hydrocracker</t>
  </si>
  <si>
    <t>Gasoline Gulfiner  GTU 245</t>
  </si>
  <si>
    <t>BP - Castellon</t>
  </si>
  <si>
    <t>HF Sinclair - Artesia</t>
  </si>
  <si>
    <t>CHUB (Catalytic HT Unit Billings)</t>
  </si>
  <si>
    <t>Kerosene Gulfiner GFU 241</t>
  </si>
  <si>
    <t>RDS 1 Module C (FCCU Feed) (81 Plant)</t>
  </si>
  <si>
    <t>CVR - Coffeyville</t>
  </si>
  <si>
    <t>Citgo - Lake Charles</t>
  </si>
  <si>
    <t>Diesel (ULSD) Hydrotreater (Co-Produces Renewable)</t>
  </si>
  <si>
    <t>Crude 581 (Sour)</t>
  </si>
  <si>
    <t>MDHT Mid Distillate Diesel HT</t>
  </si>
  <si>
    <t>HDS 7 Heavy Gas Oil HT</t>
  </si>
  <si>
    <t>Gasoline Desulfurizer (S Zorb)</t>
  </si>
  <si>
    <t>CTU 2 (Crude 2) (Sweet)</t>
  </si>
  <si>
    <t>Vacuum 583 (Supports 581)</t>
  </si>
  <si>
    <t>Catalytic Reformer 1 123</t>
  </si>
  <si>
    <t>Cat Feed Hydrofiner</t>
  </si>
  <si>
    <t>Woods Cross Refinery (Silver Eagle)</t>
  </si>
  <si>
    <t>Intermadiate Cat Naphtha (ICN) Hydrotreater</t>
  </si>
  <si>
    <t>FCCU 112</t>
  </si>
  <si>
    <t>Gasoline Hydrotreating Unit (GHU)</t>
  </si>
  <si>
    <t>Heavy Cat Naphtha (HCN) Hydrotreater</t>
  </si>
  <si>
    <t>Vacuum Distillation 111</t>
  </si>
  <si>
    <t>Mild-Hydrocracker (MDU)</t>
  </si>
  <si>
    <t>HHLA Heating Oil/ULSD Hydrofiner East</t>
  </si>
  <si>
    <t>HHLA Heating Oil/ULSD Hydrofiner North</t>
  </si>
  <si>
    <t>Delayed Coker 2 (Sour)</t>
  </si>
  <si>
    <t>Naphtha Hydrotreater 2 116</t>
  </si>
  <si>
    <t>Naphtha Hydrotreater 114</t>
  </si>
  <si>
    <t>HHLA Heating Oil/LSD Hydrofiner South</t>
  </si>
  <si>
    <t>RHLA Reformer Hydrofiner 1</t>
  </si>
  <si>
    <t>Merox</t>
  </si>
  <si>
    <t>Lube Hydrofiner</t>
  </si>
  <si>
    <t>Sulfolane</t>
  </si>
  <si>
    <t>SF Alky (West Train)</t>
  </si>
  <si>
    <t>SF Alkylation (East Train)</t>
  </si>
  <si>
    <t>Delayed Coker 1 (Sweet)</t>
  </si>
  <si>
    <t>LELA (Lube Extraction)</t>
  </si>
  <si>
    <t>MTBE(Methyl tert Butyl Ether)</t>
  </si>
  <si>
    <t>Wax Hydrofiner</t>
  </si>
  <si>
    <t>Vacuum 7</t>
  </si>
  <si>
    <t>Isomax 1 (12 &amp; 13)</t>
  </si>
  <si>
    <t>Isomerization C5-C6</t>
  </si>
  <si>
    <t>LPG</t>
  </si>
  <si>
    <t>Crude 6 (Fuels) (Sour)</t>
  </si>
  <si>
    <t>Pipe Still 7 (PS-7)</t>
  </si>
  <si>
    <t>Vacuum Distillation 29.1</t>
  </si>
  <si>
    <t>Pipestill 3B VDU</t>
  </si>
  <si>
    <t>Flexicoker (FXK)</t>
  </si>
  <si>
    <t>Gas Oil Hydrotreater (Low Pressure)</t>
  </si>
  <si>
    <t>Delayed Coker (DCU)</t>
  </si>
  <si>
    <t>Gasoline Desulfurizer (GDU)</t>
  </si>
  <si>
    <t>Diesel Distillate Hydrofiner (ULSD)(DHT)</t>
  </si>
  <si>
    <t>San Antonio Refinery</t>
  </si>
  <si>
    <t>ALLEGIANCE REFINING LLC</t>
  </si>
  <si>
    <t>DLT Gas Oil Hydrotreater</t>
  </si>
  <si>
    <t>ROSE</t>
  </si>
  <si>
    <t>LEU Light Ends Unit</t>
  </si>
  <si>
    <t>Kerosene Distillate Hydrotreater</t>
  </si>
  <si>
    <t>Mid Barrel Diesel (ULSD) HT 90</t>
  </si>
  <si>
    <t>Semiregen Reformer</t>
  </si>
  <si>
    <t>Catalytic Reformer</t>
  </si>
  <si>
    <t>POU (Process Oil Unit) Mirando Crude</t>
  </si>
  <si>
    <t>CP Catalytic Feed Hydrotreater (CFH)</t>
  </si>
  <si>
    <t>Newcastle Refinery</t>
  </si>
  <si>
    <t>WYOMING REFINING COMPANY</t>
  </si>
  <si>
    <t>CP Sulfuric Alky</t>
  </si>
  <si>
    <t>Bakersfield Refinery (San Joaquin)</t>
  </si>
  <si>
    <t>SAN JOAQUIN REFINING COMPANY INCORPORATED</t>
  </si>
  <si>
    <t>HDS Diesel (ULSD) Hydrotreater</t>
  </si>
  <si>
    <t>Naphtha Hydrotreater Unit</t>
  </si>
  <si>
    <t>DU-1 Distilling Unit</t>
  </si>
  <si>
    <t>VF-1 Vacuum Flasher</t>
  </si>
  <si>
    <t>Crude 2 (61 Plant)</t>
  </si>
  <si>
    <t>Fuel Gas Treater Unit 27</t>
  </si>
  <si>
    <t>Vacuum Distillation (84 Plant)</t>
  </si>
  <si>
    <t>Jet HT (22 Plant)</t>
  </si>
  <si>
    <t>Isomax 2 (62 Plant)</t>
  </si>
  <si>
    <t>MEK Dewaxer</t>
  </si>
  <si>
    <t>Propane De-Asphalter</t>
  </si>
  <si>
    <t>HDS 4 Gas Oil Hydrotreater</t>
  </si>
  <si>
    <t>Naphtha HT 2</t>
  </si>
  <si>
    <t>AROMATICS</t>
  </si>
  <si>
    <t>BenSat Unit</t>
  </si>
  <si>
    <t>Pipe Still</t>
  </si>
  <si>
    <t>CHS - McPherson</t>
  </si>
  <si>
    <t>Heavy Cat Naphtha Hydrofiner (VMS)</t>
  </si>
  <si>
    <t>Naphtha Hydrofiner</t>
  </si>
  <si>
    <t>Crude (Eagle Ford Shale Crude)</t>
  </si>
  <si>
    <t>Jet/Kero Hydrotreater</t>
  </si>
  <si>
    <t>Naphtha HDS Reformer Feed Unit 48</t>
  </si>
  <si>
    <t>Platformer CCR Unit 49</t>
  </si>
  <si>
    <t>Butamer Unit</t>
  </si>
  <si>
    <t>Bradford Refinery</t>
  </si>
  <si>
    <t>AMERICAN REFINING GROUP INCORPORATED</t>
  </si>
  <si>
    <t>Diesel (ULSD) &amp; Lube Oil HT</t>
  </si>
  <si>
    <t>DHT 18 (Mild Hydrocracker)</t>
  </si>
  <si>
    <t>Crude 4 (FUELS)</t>
  </si>
  <si>
    <t>Vicksburg Refinery</t>
  </si>
  <si>
    <t>ERGON REFINING INCORPORATED</t>
  </si>
  <si>
    <t>Platformer 12 CCR</t>
  </si>
  <si>
    <t>Ferndale Refinery</t>
  </si>
  <si>
    <t>Lube Oil (Transformer Oil)/Diesel (ULSD) HT</t>
  </si>
  <si>
    <t>PDA (Solvent Deasphalting Unit)</t>
  </si>
  <si>
    <t>Lube Oil Finishing</t>
  </si>
  <si>
    <t>Gofiner GF-1 Train A (Heavy Gas Oils Unit 11)</t>
  </si>
  <si>
    <t>HTU 3 Gasoline Desulfurizer</t>
  </si>
  <si>
    <t>Gofiner GF-1 Train B (Heavy Gas Oils Unit 12)</t>
  </si>
  <si>
    <t>Great Falls Refinery</t>
  </si>
  <si>
    <t>CALUMET GREAT FALLS</t>
  </si>
  <si>
    <t>Kerosene HDS</t>
  </si>
  <si>
    <t>HTU 1 (Light Naphtha/Kerosene)</t>
  </si>
  <si>
    <t>VFC Vacuum Fractionator Column</t>
  </si>
  <si>
    <t>Reformer Plant 35</t>
  </si>
  <si>
    <t>Platformer CCR 2</t>
  </si>
  <si>
    <t>DFH Jet Hydrofiner</t>
  </si>
  <si>
    <t>NHT 2</t>
  </si>
  <si>
    <t>PAR HAWAII REFINING LLC</t>
  </si>
  <si>
    <t>VDU (Vacuum Distillation Unit)</t>
  </si>
  <si>
    <t>Crude Topper 1</t>
  </si>
  <si>
    <t>A-14 Vacuum</t>
  </si>
  <si>
    <t>Crude Topper 2</t>
  </si>
  <si>
    <t>A-76 Vacuum</t>
  </si>
  <si>
    <t>HF Alkylation 3</t>
  </si>
  <si>
    <t>Unifiner D (GDU)</t>
  </si>
  <si>
    <t>Methyl Ethyl Ketone (MEK) Lube Dewaxer</t>
  </si>
  <si>
    <t>Benicia Asphalt Refinery</t>
  </si>
  <si>
    <t>Naphtha Hydrotreater (NDU 2)</t>
  </si>
  <si>
    <t>Reformer Feed Hydrotreater 1</t>
  </si>
  <si>
    <t>Reformer Feed Hydrotreater 3</t>
  </si>
  <si>
    <t>Reformer 3 Semi-Regen</t>
  </si>
  <si>
    <t>Refinery 5 Gas Plant (Unsats)</t>
  </si>
  <si>
    <t>Naphtha HT 1</t>
  </si>
  <si>
    <t>Unifiner B (GDU) FCCU Gasoline Hydrotreater</t>
  </si>
  <si>
    <t>Unifiner C</t>
  </si>
  <si>
    <t>Dewaxer</t>
  </si>
  <si>
    <t>Isomerization(C5-C6)</t>
  </si>
  <si>
    <t>SF Alkylation (New)</t>
  </si>
  <si>
    <t>Sulfolane (Benzene-Toluene-Xylene)</t>
  </si>
  <si>
    <t>Gas Oils Gulfiner 244</t>
  </si>
  <si>
    <t>Naphtha Hydrodesulfurer #12</t>
  </si>
  <si>
    <t>SF Alkylation 120</t>
  </si>
  <si>
    <t>DHT Diesel Hydrotreater (ULSD) #19</t>
  </si>
  <si>
    <t>Jet Gulfiner GFU 242</t>
  </si>
  <si>
    <t>HFAU 443 (HF Alky)</t>
  </si>
  <si>
    <t>Isomerization 13</t>
  </si>
  <si>
    <t>DHDS #3 (Co-Produces Renewable Diesel)</t>
  </si>
  <si>
    <t>Heavy Gas Oil HDS (GOHT)</t>
  </si>
  <si>
    <t>FCCU (Combo Unit)</t>
  </si>
  <si>
    <t>HDS Naphtha (Reformer Feed HT)</t>
  </si>
  <si>
    <t>Kerosene HDS 137</t>
  </si>
  <si>
    <t>Reformer 3 Pretreater</t>
  </si>
  <si>
    <t>CDU (Crude Distillation Unit) 1</t>
  </si>
  <si>
    <t>Crude (Barbers Point)</t>
  </si>
  <si>
    <t>Distillate Hydrocracker</t>
  </si>
  <si>
    <t>CRU (Catalytic Reformer Unit)</t>
  </si>
  <si>
    <t>Topping Unit</t>
  </si>
  <si>
    <t>Prudhoe Bay COTU 1 (Atmospheric Columns)</t>
  </si>
  <si>
    <t>VGO/Diesel HT</t>
  </si>
  <si>
    <t>Topper B Sour/Sweet</t>
  </si>
  <si>
    <t>Propylene Splitter</t>
  </si>
  <si>
    <t>Atmore Refining</t>
  </si>
  <si>
    <t>GOODWAY REFINING LLC</t>
  </si>
  <si>
    <t>Light Hydro (LHU)</t>
  </si>
  <si>
    <t>RDS 1 Module A (Lube Oil) (81 Plant)</t>
  </si>
  <si>
    <t>PDA (Propane De-Asphalting) 11</t>
  </si>
  <si>
    <t>SF Alkylation #1 (17 Plant)</t>
  </si>
  <si>
    <t>VF-2 Vacuum Flasher</t>
  </si>
  <si>
    <t>Lovington Refinery</t>
  </si>
  <si>
    <t>Ultraformer (Plant 3)</t>
  </si>
  <si>
    <t>Delayed Coker (Old)</t>
  </si>
  <si>
    <t>HDS 1 Diesel (ULSD)</t>
  </si>
  <si>
    <t>HDS 4 Gas Oil Desulfurizer (GOHDS)</t>
  </si>
  <si>
    <t>HDS 2 Reformer Feed Hydrotreater</t>
  </si>
  <si>
    <t>HDS 3 Distillate Hydrotreater</t>
  </si>
  <si>
    <t>HU 6A Diesel (ULSD) HT</t>
  </si>
  <si>
    <t>HTU 5 Diesel Hydrotreater (ULSD)</t>
  </si>
  <si>
    <t>HTU 4 (Cat Feed)</t>
  </si>
  <si>
    <t>HTU 3 (Light Gas Oil)</t>
  </si>
  <si>
    <t>Pentane Isomerization Unit 5</t>
  </si>
  <si>
    <t>HTU (Diesel ULSD/Light Gas Oil HDS)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</si>
</sst>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#,##0"/>
    <numFmt numFmtId="166" formatCode="0%"/>
  </numFmts>
  <fonts count="7">
    <font>
      <sz val="11"/>
      <color theme="1"/>
      <name val="Calibri"/>
      <family val="2"/>
      <scheme val="minor"/>
    </font>
    <font>
      <b/>
      <sz val="16"/>
      <color rgb="FF1F3864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BF9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6E0F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n">
        <color rgb="FFE2E2E2"/>
      </left>
      <right style="thin">
        <color rgb="FFE2E2E2"/>
      </right>
      <top style="thin">
        <color rgb="FFE2E2E2"/>
      </top>
      <bottom style="thin">
        <color rgb="FFE2E2E2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164" fontId="4" fillId="2" borderId="2" xfId="0" applyNumberFormat="1" applyFont="1" applyFill="1" applyBorder="1" applyAlignment="1">
      <alignment horizontal="center"/>
    </xf>
    <xf numFmtId="0" fontId="0" fillId="0" borderId="3" xfId="0" applyBorder="1"/>
    <xf numFmtId="0" fontId="5" fillId="3" borderId="4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center" vertical="center"/>
    </xf>
    <xf numFmtId="0" fontId="4" fillId="4" borderId="5" xfId="0" applyFont="1" applyFill="1" applyBorder="1"/>
    <xf numFmtId="165" fontId="0" fillId="0" borderId="3" xfId="0" applyNumberFormat="1" applyBorder="1"/>
    <xf numFmtId="166" fontId="0" fillId="0" borderId="3" xfId="0" applyNumberFormat="1" applyBorder="1"/>
    <xf numFmtId="0" fontId="0" fillId="0" borderId="0" xfId="0" applyAlignment="1">
      <alignment vertical="top" wrapText="1"/>
    </xf>
    <xf numFmtId="0" fontId="6" fillId="0" borderId="0" xfId="0" applyFont="1"/>
    <xf numFmtId="165" fontId="0" fillId="2" borderId="2" xfId="0" applyNumberFormat="1" applyFill="1" applyBorder="1" applyAlignment="1">
      <alignment horizontal="center"/>
    </xf>
    <xf numFmtId="164" fontId="0" fillId="0" borderId="3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2027 Concurrent Offline by Unit &amp; Month (kbd)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Crude (CDU)</c:v>
          </c:tx>
          <c:spPr>
            <a:solidFill>
              <a:srgbClr val="1F3864"/>
            </a:solidFill>
            <a:ln>
              <a:noFill/>
            </a:ln>
          </c:spPr>
          <c:cat>
            <c:strRef>
              <c:f>'Per-Unit'!$B$5:$M$5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'Per-Unit'!$B$10:$M$10</c:f>
              <c:numCache>
                <c:formatCode>General</c:formatCode>
                <c:ptCount val="12"/>
                <c:pt idx="0">
                  <c:v>365.125</c:v>
                </c:pt>
                <c:pt idx="1">
                  <c:v>683.258</c:v>
                </c:pt>
                <c:pt idx="2">
                  <c:v>1062.14</c:v>
                </c:pt>
                <c:pt idx="3">
                  <c:v>663.255</c:v>
                </c:pt>
                <c:pt idx="4">
                  <c:v>320.192</c:v>
                </c:pt>
                <c:pt idx="5">
                  <c:v>96.0</c:v>
                </c:pt>
                <c:pt idx="6">
                  <c:v>96.0</c:v>
                </c:pt>
                <c:pt idx="7">
                  <c:v>27.84</c:v>
                </c:pt>
                <c:pt idx="8">
                  <c:v>976.735</c:v>
                </c:pt>
                <c:pt idx="9">
                  <c:v>1307.315</c:v>
                </c:pt>
                <c:pt idx="10">
                  <c:v>283.90000000000003</c:v>
                </c:pt>
                <c:pt idx="11">
                  <c:v>0.0</c:v>
                </c:pt>
              </c:numCache>
            </c:numRef>
          </c:val>
        </c:ser>
        <c:ser>
          <c:idx val="1"/>
          <c:order val="1"/>
          <c:tx>
            <c:v>FCC (cat cracker)</c:v>
          </c:tx>
          <c:spPr>
            <a:solidFill>
              <a:srgbClr val="C00000"/>
            </a:solidFill>
            <a:ln>
              <a:noFill/>
            </a:ln>
          </c:spPr>
          <c:cat>
            <c:strRef>
              <c:f>'Per-Unit'!$B$5:$M$5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'Per-Unit'!$B$19:$M$19</c:f>
              <c:numCache>
                <c:formatCode>General</c:formatCode>
                <c:ptCount val="12"/>
                <c:pt idx="0">
                  <c:v>250.98000000000002</c:v>
                </c:pt>
                <c:pt idx="1">
                  <c:v>450.5215</c:v>
                </c:pt>
                <c:pt idx="2">
                  <c:v>447.892</c:v>
                </c:pt>
                <c:pt idx="3">
                  <c:v>150.455</c:v>
                </c:pt>
                <c:pt idx="4">
                  <c:v>23.3</c:v>
                </c:pt>
                <c:pt idx="5">
                  <c:v>68.255</c:v>
                </c:pt>
                <c:pt idx="6">
                  <c:v>68.0</c:v>
                </c:pt>
                <c:pt idx="7">
                  <c:v>19.72</c:v>
                </c:pt>
                <c:pt idx="8">
                  <c:v>176.274</c:v>
                </c:pt>
                <c:pt idx="9">
                  <c:v>189.624</c:v>
                </c:pt>
                <c:pt idx="10">
                  <c:v>54.870000000000005</c:v>
                </c:pt>
                <c:pt idx="11">
                  <c:v>0.0</c:v>
                </c:pt>
              </c:numCache>
            </c:numRef>
          </c:val>
        </c:ser>
        <c:ser>
          <c:idx val="2"/>
          <c:order val="2"/>
          <c:tx>
            <c:v>Hydrocracker</c:v>
          </c:tx>
          <c:spPr>
            <a:solidFill>
              <a:srgbClr val="548235"/>
            </a:solidFill>
            <a:ln>
              <a:noFill/>
            </a:ln>
          </c:spPr>
          <c:cat>
            <c:strRef>
              <c:f>'Per-Unit'!$B$5:$M$5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'Per-Unit'!$B$28:$M$28</c:f>
              <c:numCache>
                <c:formatCode>General</c:formatCode>
                <c:ptCount val="12"/>
                <c:pt idx="0">
                  <c:v>121.41</c:v>
                </c:pt>
                <c:pt idx="1">
                  <c:v>141.67000000000002</c:v>
                </c:pt>
                <c:pt idx="2">
                  <c:v>75.53</c:v>
                </c:pt>
                <c:pt idx="3">
                  <c:v>39.15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104.88</c:v>
                </c:pt>
                <c:pt idx="9">
                  <c:v>63.940000000000005</c:v>
                </c:pt>
                <c:pt idx="10">
                  <c:v>17.653</c:v>
                </c:pt>
                <c:pt idx="11">
                  <c:v>0.0</c:v>
                </c:pt>
              </c:numCache>
            </c:numRef>
          </c:val>
        </c:ser>
        <c:ser>
          <c:idx val="3"/>
          <c:order val="3"/>
          <c:tx>
            <c:v>Reformer</c:v>
          </c:tx>
          <c:spPr>
            <a:solidFill>
              <a:srgbClr val="BF9000"/>
            </a:solidFill>
            <a:ln>
              <a:noFill/>
            </a:ln>
          </c:spPr>
          <c:cat>
            <c:strRef>
              <c:f>'Per-Unit'!$B$5:$M$5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'Per-Unit'!$B$37:$M$37</c:f>
              <c:numCache>
                <c:formatCode>General</c:formatCode>
                <c:ptCount val="12"/>
                <c:pt idx="0">
                  <c:v>29.125</c:v>
                </c:pt>
                <c:pt idx="1">
                  <c:v>68.78</c:v>
                </c:pt>
                <c:pt idx="2">
                  <c:v>184.88899999999998</c:v>
                </c:pt>
                <c:pt idx="3">
                  <c:v>141.475</c:v>
                </c:pt>
                <c:pt idx="4">
                  <c:v>45.428</c:v>
                </c:pt>
                <c:pt idx="5">
                  <c:v>0.3</c:v>
                </c:pt>
                <c:pt idx="6">
                  <c:v>0.0</c:v>
                </c:pt>
                <c:pt idx="7">
                  <c:v>0.0</c:v>
                </c:pt>
                <c:pt idx="8">
                  <c:v>112.05</c:v>
                </c:pt>
                <c:pt idx="9">
                  <c:v>109.94500000000001</c:v>
                </c:pt>
                <c:pt idx="10">
                  <c:v>20.105</c:v>
                </c:pt>
                <c:pt idx="11">
                  <c:v>0.0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Month, 2027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 offline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Biggest Individual 2027 Outages (kbd)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Biggest 2027 outages (kbd)</c:v>
          </c:tx>
          <c:spPr>
            <a:solidFill>
              <a:srgbClr val="1F3864"/>
            </a:solidFill>
            <a:ln>
              <a:noFill/>
            </a:ln>
          </c:spPr>
          <c:cat>
            <c:strRef>
              <c:f>Biggest!$A$5:$A$16</c:f>
              <c:strCache>
                <c:ptCount val="12"/>
                <c:pt idx="0">
                  <c:v>Joliet</c:v>
                </c:pt>
                <c:pt idx="1">
                  <c:v>Cherry Point</c:v>
                </c:pt>
                <c:pt idx="2">
                  <c:v>Norco</c:v>
                </c:pt>
                <c:pt idx="3">
                  <c:v>Richmond</c:v>
                </c:pt>
                <c:pt idx="4">
                  <c:v>Lemont</c:v>
                </c:pt>
                <c:pt idx="5">
                  <c:v>Martinez (PBF)</c:v>
                </c:pt>
                <c:pt idx="6">
                  <c:v>Garyville</c:v>
                </c:pt>
                <c:pt idx="7">
                  <c:v>Garyville</c:v>
                </c:pt>
                <c:pt idx="8">
                  <c:v>Garyville</c:v>
                </c:pt>
                <c:pt idx="9">
                  <c:v>Baytown</c:v>
                </c:pt>
                <c:pt idx="10">
                  <c:v>Beaumont</c:v>
                </c:pt>
                <c:pt idx="11">
                  <c:v>Memphis</c:v>
                </c:pt>
              </c:strCache>
            </c:strRef>
          </c:cat>
          <c:val>
            <c:numRef>
              <c:f>Biggest!$E$5:$E$16</c:f>
              <c:numCache>
                <c:formatCode>General</c:formatCode>
                <c:ptCount val="12"/>
                <c:pt idx="0">
                  <c:v>250</c:v>
                </c:pt>
                <c:pt idx="1">
                  <c:v>250</c:v>
                </c:pt>
                <c:pt idx="2">
                  <c:v>240</c:v>
                </c:pt>
                <c:pt idx="3">
                  <c:v>240</c:v>
                </c:pt>
                <c:pt idx="4">
                  <c:v>175</c:v>
                </c:pt>
                <c:pt idx="5">
                  <c:v>155</c:v>
                </c:pt>
                <c:pt idx="6">
                  <c:v>145</c:v>
                </c:pt>
                <c:pt idx="7">
                  <c:v>145</c:v>
                </c:pt>
                <c:pt idx="8">
                  <c:v>138</c:v>
                </c:pt>
                <c:pt idx="9">
                  <c:v>125</c:v>
                </c:pt>
                <c:pt idx="10">
                  <c:v>120</c:v>
                </c:pt>
                <c:pt idx="11">
                  <c:v>110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 offline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H1 Average Planned Offline by Unit (kbd)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2025</c:v>
          </c:tx>
          <c:spPr>
            <a:solidFill>
              <a:srgbClr val="9DB0CE"/>
            </a:solidFill>
            <a:ln>
              <a:noFill/>
            </a:ln>
          </c:spPr>
          <c:cat>
            <c:strRef>
              <c:f>'H1 by Unit'!$A$34:$A$37</c:f>
              <c:strCache>
                <c:ptCount val="4"/>
                <c:pt idx="0">
                  <c:v>Crude (CDU)</c:v>
                </c:pt>
                <c:pt idx="1">
                  <c:v>FCC (cat cracker)</c:v>
                </c:pt>
                <c:pt idx="2">
                  <c:v>Hydrocracker</c:v>
                </c:pt>
                <c:pt idx="3">
                  <c:v>Reformer</c:v>
                </c:pt>
              </c:strCache>
            </c:strRef>
          </c:cat>
          <c:val>
            <c:numRef>
              <c:f>'H1 by Unit'!$B$34:$B$37</c:f>
              <c:numCache>
                <c:formatCode>General</c:formatCode>
                <c:ptCount val="4"/>
                <c:pt idx="0">
                  <c:v>704.9314166666665</c:v>
                </c:pt>
                <c:pt idx="1">
                  <c:v>187.615</c:v>
                </c:pt>
                <c:pt idx="2">
                  <c:v>48.26833333333334</c:v>
                </c:pt>
                <c:pt idx="3">
                  <c:v>124.08383333333336</c:v>
                </c:pt>
              </c:numCache>
            </c:numRef>
          </c:val>
        </c:ser>
        <c:ser>
          <c:idx val="1"/>
          <c:order val="1"/>
          <c:tx>
            <c:v>2026</c:v>
          </c:tx>
          <c:spPr>
            <a:solidFill>
              <a:srgbClr val="2E5496"/>
            </a:solidFill>
            <a:ln>
              <a:noFill/>
            </a:ln>
          </c:spPr>
          <c:cat>
            <c:strRef>
              <c:f>'H1 by Unit'!$A$34:$A$37</c:f>
              <c:strCache>
                <c:ptCount val="4"/>
                <c:pt idx="0">
                  <c:v>Crude (CDU)</c:v>
                </c:pt>
                <c:pt idx="1">
                  <c:v>FCC (cat cracker)</c:v>
                </c:pt>
                <c:pt idx="2">
                  <c:v>Hydrocracker</c:v>
                </c:pt>
                <c:pt idx="3">
                  <c:v>Reformer</c:v>
                </c:pt>
              </c:strCache>
            </c:strRef>
          </c:cat>
          <c:val>
            <c:numRef>
              <c:f>'H1 by Unit'!$C$34:$C$37</c:f>
              <c:numCache>
                <c:formatCode>General</c:formatCode>
                <c:ptCount val="4"/>
                <c:pt idx="0">
                  <c:v>497.59383333333335</c:v>
                </c:pt>
                <c:pt idx="1">
                  <c:v>139.7553333333333</c:v>
                </c:pt>
                <c:pt idx="2">
                  <c:v>57.79083333333333</c:v>
                </c:pt>
                <c:pt idx="3">
                  <c:v>56.860166666666665</c:v>
                </c:pt>
              </c:numCache>
            </c:numRef>
          </c:val>
        </c:ser>
        <c:ser>
          <c:idx val="2"/>
          <c:order val="2"/>
          <c:tx>
            <c:v>2027</c:v>
          </c:tx>
          <c:spPr>
            <a:solidFill>
              <a:srgbClr val="C00000"/>
            </a:solidFill>
            <a:ln>
              <a:noFill/>
            </a:ln>
          </c:spPr>
          <c:cat>
            <c:strRef>
              <c:f>'H1 by Unit'!$A$34:$A$37</c:f>
              <c:strCache>
                <c:ptCount val="4"/>
                <c:pt idx="0">
                  <c:v>Crude (CDU)</c:v>
                </c:pt>
                <c:pt idx="1">
                  <c:v>FCC (cat cracker)</c:v>
                </c:pt>
                <c:pt idx="2">
                  <c:v>Hydrocracker</c:v>
                </c:pt>
                <c:pt idx="3">
                  <c:v>Reformer</c:v>
                </c:pt>
              </c:strCache>
            </c:strRef>
          </c:cat>
          <c:val>
            <c:numRef>
              <c:f>'H1 by Unit'!$D$34:$D$37</c:f>
              <c:numCache>
                <c:formatCode>General</c:formatCode>
                <c:ptCount val="4"/>
                <c:pt idx="0">
                  <c:v>531.6616666666667</c:v>
                </c:pt>
                <c:pt idx="1">
                  <c:v>231.90058333333332</c:v>
                </c:pt>
                <c:pt idx="2">
                  <c:v>62.96</c:v>
                </c:pt>
                <c:pt idx="3">
                  <c:v>78.33283333333334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Crude (CDU) Offline by Month &amp; PADD, 2027 (kbd)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P1</c:v>
          </c:tx>
          <c:spPr>
            <a:solidFill>
              <a:srgbClr val="9DB0CE"/>
            </a:solidFill>
            <a:ln>
              <a:noFill/>
            </a:ln>
          </c:spPr>
          <c:cat>
            <c:strRef>
              <c:f>'PADD by Unit'!$A$625:$A$636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by Unit'!$B$625:$B$636</c:f>
              <c:numCache>
                <c:formatCode>General</c:formatCode>
                <c:ptCount val="12"/>
                <c:pt idx="0">
                  <c:v>0.0</c:v>
                </c:pt>
                <c:pt idx="1">
                  <c:v>0.0</c:v>
                </c:pt>
                <c:pt idx="2">
                  <c:v>108.75</c:v>
                </c:pt>
                <c:pt idx="3">
                  <c:v>44.95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</c:numCache>
            </c:numRef>
          </c:val>
        </c:ser>
        <c:ser>
          <c:idx val="1"/>
          <c:order val="1"/>
          <c:tx>
            <c:v>P2</c:v>
          </c:tx>
          <c:spPr>
            <a:solidFill>
              <a:srgbClr val="2E5496"/>
            </a:solidFill>
            <a:ln>
              <a:noFill/>
            </a:ln>
          </c:spPr>
          <c:cat>
            <c:strRef>
              <c:f>'PADD by Unit'!$A$625:$A$636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by Unit'!$C$625:$C$636</c:f>
              <c:numCache>
                <c:formatCode>General</c:formatCode>
                <c:ptCount val="12"/>
                <c:pt idx="0">
                  <c:v>0.0</c:v>
                </c:pt>
                <c:pt idx="1">
                  <c:v>67.8</c:v>
                </c:pt>
                <c:pt idx="2">
                  <c:v>224.45</c:v>
                </c:pt>
                <c:pt idx="3">
                  <c:v>357.4</c:v>
                </c:pt>
                <c:pt idx="4">
                  <c:v>206.5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325.095</c:v>
                </c:pt>
                <c:pt idx="9">
                  <c:v>95.225</c:v>
                </c:pt>
                <c:pt idx="10">
                  <c:v>0.0</c:v>
                </c:pt>
                <c:pt idx="11">
                  <c:v>0.0</c:v>
                </c:pt>
              </c:numCache>
            </c:numRef>
          </c:val>
        </c:ser>
        <c:ser>
          <c:idx val="2"/>
          <c:order val="2"/>
          <c:tx>
            <c:v>P3</c:v>
          </c:tx>
          <c:spPr>
            <a:solidFill>
              <a:srgbClr val="1F3864"/>
            </a:solidFill>
            <a:ln>
              <a:noFill/>
            </a:ln>
          </c:spPr>
          <c:cat>
            <c:strRef>
              <c:f>'PADD by Unit'!$A$625:$A$636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by Unit'!$D$625:$D$636</c:f>
              <c:numCache>
                <c:formatCode>General</c:formatCode>
                <c:ptCount val="12"/>
                <c:pt idx="0">
                  <c:v>210.575</c:v>
                </c:pt>
                <c:pt idx="1">
                  <c:v>355.17</c:v>
                </c:pt>
                <c:pt idx="2">
                  <c:v>468.97</c:v>
                </c:pt>
                <c:pt idx="3">
                  <c:v>178.92999999999998</c:v>
                </c:pt>
                <c:pt idx="4">
                  <c:v>0.0</c:v>
                </c:pt>
                <c:pt idx="5">
                  <c:v>96.0</c:v>
                </c:pt>
                <c:pt idx="6">
                  <c:v>96.0</c:v>
                </c:pt>
                <c:pt idx="7">
                  <c:v>27.84</c:v>
                </c:pt>
                <c:pt idx="8">
                  <c:v>583.89</c:v>
                </c:pt>
                <c:pt idx="9">
                  <c:v>865.76</c:v>
                </c:pt>
                <c:pt idx="10">
                  <c:v>250.90000000000003</c:v>
                </c:pt>
                <c:pt idx="11">
                  <c:v>0.0</c:v>
                </c:pt>
              </c:numCache>
            </c:numRef>
          </c:val>
        </c:ser>
        <c:ser>
          <c:idx val="3"/>
          <c:order val="3"/>
          <c:tx>
            <c:v>P4</c:v>
          </c:tx>
          <c:spPr>
            <a:solidFill>
              <a:srgbClr val="548235"/>
            </a:solidFill>
            <a:ln>
              <a:noFill/>
            </a:ln>
          </c:spPr>
          <c:cat>
            <c:strRef>
              <c:f>'PADD by Unit'!$A$625:$A$636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by Unit'!$E$625:$E$636</c:f>
              <c:numCache>
                <c:formatCode>General</c:formatCode>
                <c:ptCount val="12"/>
                <c:pt idx="0">
                  <c:v>0.0</c:v>
                </c:pt>
                <c:pt idx="1">
                  <c:v>61.44</c:v>
                </c:pt>
                <c:pt idx="2">
                  <c:v>110.52</c:v>
                </c:pt>
                <c:pt idx="3">
                  <c:v>77.37</c:v>
                </c:pt>
                <c:pt idx="4">
                  <c:v>65.852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20.75</c:v>
                </c:pt>
                <c:pt idx="9">
                  <c:v>13.53</c:v>
                </c:pt>
                <c:pt idx="10">
                  <c:v>0.0</c:v>
                </c:pt>
                <c:pt idx="11">
                  <c:v>0.0</c:v>
                </c:pt>
              </c:numCache>
            </c:numRef>
          </c:val>
        </c:ser>
        <c:ser>
          <c:idx val="4"/>
          <c:order val="4"/>
          <c:tx>
            <c:v>P5</c:v>
          </c:tx>
          <c:spPr>
            <a:solidFill>
              <a:srgbClr val="BF9000"/>
            </a:solidFill>
            <a:ln>
              <a:noFill/>
            </a:ln>
          </c:spPr>
          <c:cat>
            <c:strRef>
              <c:f>'PADD by Unit'!$A$625:$A$636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by Unit'!$F$625:$F$636</c:f>
              <c:numCache>
                <c:formatCode>General</c:formatCode>
                <c:ptCount val="12"/>
                <c:pt idx="0">
                  <c:v>154.55</c:v>
                </c:pt>
                <c:pt idx="1">
                  <c:v>198.84799999999998</c:v>
                </c:pt>
                <c:pt idx="2">
                  <c:v>149.45</c:v>
                </c:pt>
                <c:pt idx="3">
                  <c:v>4.605</c:v>
                </c:pt>
                <c:pt idx="4">
                  <c:v>47.839999999999996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47.0</c:v>
                </c:pt>
                <c:pt idx="9">
                  <c:v>332.8</c:v>
                </c:pt>
                <c:pt idx="10">
                  <c:v>33.0</c:v>
                </c:pt>
                <c:pt idx="11">
                  <c:v>0.0</c:v>
                </c:pt>
              </c:numCache>
            </c:numRef>
          </c:val>
        </c:ser>
        <c:overlap val="100"/>
        <c:axId val="50040001"/>
        <c:axId val="50040002"/>
      </c:bar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Month, 2027</a:t>
                </a:r>
              </a:p>
            </c:rich>
          </c:tx>
          <c:layout/>
        </c:title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 offline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FCC (cat cracker) Offline by Month &amp; PADD, 2027 (kbd)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P1</c:v>
          </c:tx>
          <c:spPr>
            <a:solidFill>
              <a:srgbClr val="9DB0CE"/>
            </a:solidFill>
            <a:ln>
              <a:noFill/>
            </a:ln>
          </c:spPr>
          <c:cat>
            <c:strRef>
              <c:f>'PADD by Unit'!$A$640:$A$651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by Unit'!$B$640:$B$651</c:f>
              <c:numCache>
                <c:formatCode>General</c:formatCode>
                <c:ptCount val="12"/>
                <c:pt idx="0">
                  <c:v>0.0</c:v>
                </c:pt>
                <c:pt idx="1">
                  <c:v>0.0</c:v>
                </c:pt>
                <c:pt idx="2">
                  <c:v>18.27</c:v>
                </c:pt>
                <c:pt idx="3">
                  <c:v>9.03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</c:numCache>
            </c:numRef>
          </c:val>
        </c:ser>
        <c:ser>
          <c:idx val="1"/>
          <c:order val="1"/>
          <c:tx>
            <c:v>P2</c:v>
          </c:tx>
          <c:spPr>
            <a:solidFill>
              <a:srgbClr val="2E5496"/>
            </a:solidFill>
            <a:ln>
              <a:noFill/>
            </a:ln>
          </c:spPr>
          <c:cat>
            <c:strRef>
              <c:f>'PADD by Unit'!$A$640:$A$651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by Unit'!$C$640:$C$651</c:f>
              <c:numCache>
                <c:formatCode>General</c:formatCode>
                <c:ptCount val="12"/>
                <c:pt idx="0">
                  <c:v>0.0</c:v>
                </c:pt>
                <c:pt idx="1">
                  <c:v>35.44</c:v>
                </c:pt>
                <c:pt idx="2">
                  <c:v>40.72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157.5</c:v>
                </c:pt>
                <c:pt idx="9">
                  <c:v>111.47999999999999</c:v>
                </c:pt>
                <c:pt idx="10">
                  <c:v>0.0</c:v>
                </c:pt>
                <c:pt idx="11">
                  <c:v>0.0</c:v>
                </c:pt>
              </c:numCache>
            </c:numRef>
          </c:val>
        </c:ser>
        <c:ser>
          <c:idx val="2"/>
          <c:order val="2"/>
          <c:tx>
            <c:v>P3</c:v>
          </c:tx>
          <c:spPr>
            <a:solidFill>
              <a:srgbClr val="1F3864"/>
            </a:solidFill>
            <a:ln>
              <a:noFill/>
            </a:ln>
          </c:spPr>
          <c:cat>
            <c:strRef>
              <c:f>'PADD by Unit'!$A$640:$A$651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by Unit'!$D$640:$D$651</c:f>
              <c:numCache>
                <c:formatCode>General</c:formatCode>
                <c:ptCount val="12"/>
                <c:pt idx="0">
                  <c:v>250.98000000000002</c:v>
                </c:pt>
                <c:pt idx="1">
                  <c:v>389.7375</c:v>
                </c:pt>
                <c:pt idx="2">
                  <c:v>344.305</c:v>
                </c:pt>
                <c:pt idx="3">
                  <c:v>115.2</c:v>
                </c:pt>
                <c:pt idx="4">
                  <c:v>0.0</c:v>
                </c:pt>
                <c:pt idx="5">
                  <c:v>68.0</c:v>
                </c:pt>
                <c:pt idx="6">
                  <c:v>68.0</c:v>
                </c:pt>
                <c:pt idx="7">
                  <c:v>19.72</c:v>
                </c:pt>
                <c:pt idx="8">
                  <c:v>0.0</c:v>
                </c:pt>
                <c:pt idx="9">
                  <c:v>41.8</c:v>
                </c:pt>
                <c:pt idx="10">
                  <c:v>43.32</c:v>
                </c:pt>
                <c:pt idx="11">
                  <c:v>0.0</c:v>
                </c:pt>
              </c:numCache>
            </c:numRef>
          </c:val>
        </c:ser>
        <c:ser>
          <c:idx val="3"/>
          <c:order val="3"/>
          <c:tx>
            <c:v>P4</c:v>
          </c:tx>
          <c:spPr>
            <a:solidFill>
              <a:srgbClr val="548235"/>
            </a:solidFill>
            <a:ln>
              <a:noFill/>
            </a:ln>
          </c:spPr>
          <c:cat>
            <c:strRef>
              <c:f>'PADD by Unit'!$A$640:$A$651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by Unit'!$E$640:$E$651</c:f>
              <c:numCache>
                <c:formatCode>General</c:formatCode>
                <c:ptCount val="12"/>
                <c:pt idx="0">
                  <c:v>0.0</c:v>
                </c:pt>
                <c:pt idx="1">
                  <c:v>25.344</c:v>
                </c:pt>
                <c:pt idx="2">
                  <c:v>44.597</c:v>
                </c:pt>
                <c:pt idx="3">
                  <c:v>26.225</c:v>
                </c:pt>
                <c:pt idx="4">
                  <c:v>23.3</c:v>
                </c:pt>
                <c:pt idx="5">
                  <c:v>0.255</c:v>
                </c:pt>
                <c:pt idx="6">
                  <c:v>0.0</c:v>
                </c:pt>
                <c:pt idx="7">
                  <c:v>0.0</c:v>
                </c:pt>
                <c:pt idx="8">
                  <c:v>2.324</c:v>
                </c:pt>
                <c:pt idx="9">
                  <c:v>1.344</c:v>
                </c:pt>
                <c:pt idx="10">
                  <c:v>0.0</c:v>
                </c:pt>
                <c:pt idx="11">
                  <c:v>0.0</c:v>
                </c:pt>
              </c:numCache>
            </c:numRef>
          </c:val>
        </c:ser>
        <c:ser>
          <c:idx val="4"/>
          <c:order val="4"/>
          <c:tx>
            <c:v>P5</c:v>
          </c:tx>
          <c:spPr>
            <a:solidFill>
              <a:srgbClr val="BF9000"/>
            </a:solidFill>
            <a:ln>
              <a:noFill/>
            </a:ln>
          </c:spPr>
          <c:cat>
            <c:strRef>
              <c:f>'PADD by Unit'!$A$640:$A$651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'PADD by Unit'!$F$640:$F$651</c:f>
              <c:numCache>
                <c:formatCode>General</c:formatCode>
                <c:ptCount val="12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16.45</c:v>
                </c:pt>
                <c:pt idx="9">
                  <c:v>35.0</c:v>
                </c:pt>
                <c:pt idx="10">
                  <c:v>11.55</c:v>
                </c:pt>
                <c:pt idx="11">
                  <c:v>0.0</c:v>
                </c:pt>
              </c:numCache>
            </c:numRef>
          </c:val>
        </c:ser>
        <c:overlap val="100"/>
        <c:axId val="50050001"/>
        <c:axId val="50050002"/>
      </c:bar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Month, 2027</a:t>
                </a:r>
              </a:p>
            </c:rich>
          </c:tx>
          <c:layout/>
        </c:title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 offline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HVN Balance by Month, 2027 (kbd)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Reformer down: HVN demand removed</c:v>
          </c:tx>
          <c:spPr>
            <a:solidFill>
              <a:srgbClr val="70AD47"/>
            </a:solidFill>
            <a:ln>
              <a:noFill/>
            </a:ln>
          </c:spPr>
          <c:cat>
            <c:strRef>
              <c:f>HVN!$A$5:$A$16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HVN!$E$5:$E$16</c:f>
              <c:numCache>
                <c:formatCode>General</c:formatCode>
                <c:ptCount val="12"/>
                <c:pt idx="0">
                  <c:v>29.125</c:v>
                </c:pt>
                <c:pt idx="1">
                  <c:v>68.78</c:v>
                </c:pt>
                <c:pt idx="2">
                  <c:v>184.88899999999998</c:v>
                </c:pt>
                <c:pt idx="3">
                  <c:v>141.475</c:v>
                </c:pt>
                <c:pt idx="4">
                  <c:v>45.428</c:v>
                </c:pt>
                <c:pt idx="5">
                  <c:v>0.3</c:v>
                </c:pt>
                <c:pt idx="6">
                  <c:v>0.0</c:v>
                </c:pt>
                <c:pt idx="7">
                  <c:v>0.0</c:v>
                </c:pt>
                <c:pt idx="8">
                  <c:v>112.05</c:v>
                </c:pt>
                <c:pt idx="9">
                  <c:v>109.94500000000001</c:v>
                </c:pt>
                <c:pt idx="10">
                  <c:v>20.105</c:v>
                </c:pt>
                <c:pt idx="11">
                  <c:v>0.0</c:v>
                </c:pt>
              </c:numCache>
            </c:numRef>
          </c:val>
        </c:ser>
        <c:ser>
          <c:idx val="1"/>
          <c:order val="1"/>
          <c:tx>
            <c:v>CDU down: HVN supply removed</c:v>
          </c:tx>
          <c:spPr>
            <a:solidFill>
              <a:srgbClr val="2E5496"/>
            </a:solidFill>
            <a:ln>
              <a:noFill/>
            </a:ln>
          </c:spPr>
          <c:cat>
            <c:strRef>
              <c:f>HVN!$A$5:$A$16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HVN!$G$5:$G$16</c:f>
              <c:numCache>
                <c:formatCode>General</c:formatCode>
                <c:ptCount val="12"/>
                <c:pt idx="0">
                  <c:v>-127.79374999999999</c:v>
                </c:pt>
                <c:pt idx="1">
                  <c:v>-239.1403</c:v>
                </c:pt>
                <c:pt idx="2">
                  <c:v>-371.749</c:v>
                </c:pt>
                <c:pt idx="3">
                  <c:v>-232.13924999999998</c:v>
                </c:pt>
                <c:pt idx="4">
                  <c:v>-112.0672</c:v>
                </c:pt>
                <c:pt idx="5">
                  <c:v>-33.599999999999994</c:v>
                </c:pt>
                <c:pt idx="6">
                  <c:v>-33.599999999999994</c:v>
                </c:pt>
                <c:pt idx="7">
                  <c:v>-9.744</c:v>
                </c:pt>
                <c:pt idx="8">
                  <c:v>-341.85724999999996</c:v>
                </c:pt>
                <c:pt idx="9">
                  <c:v>-457.56025</c:v>
                </c:pt>
                <c:pt idx="10">
                  <c:v>-99.36500000000001</c:v>
                </c:pt>
                <c:pt idx="11">
                  <c:v>-0.0</c:v>
                </c:pt>
              </c:numCache>
            </c:numRef>
          </c:val>
        </c:ser>
        <c:overlap val="100"/>
        <c:axId val="50060001"/>
        <c:axId val="50060002"/>
      </c:barChart>
      <c:lineChart>
        <c:grouping val="standard"/>
        <c:ser>
          <c:idx val="2"/>
          <c:order val="2"/>
          <c:tx>
            <c:v>Net HVN balance</c:v>
          </c:tx>
          <c:spPr>
            <a:ln w="28575">
              <a:solidFill>
                <a:srgbClr val="23272E"/>
              </a:solidFill>
            </a:ln>
          </c:spPr>
          <c:marker>
            <c:symbol val="circle"/>
            <c:size val="4"/>
            <c:spPr>
              <a:solidFill>
                <a:srgbClr val="23272E"/>
              </a:solidFill>
              <a:ln>
                <a:solidFill>
                  <a:srgbClr val="23272E"/>
                </a:solidFill>
              </a:ln>
            </c:spPr>
          </c:marker>
          <c:cat>
            <c:strRef>
              <c:f>HVN!$A$5:$A$16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HVN!$F$5:$F$16</c:f>
              <c:numCache>
                <c:formatCode>General</c:formatCode>
                <c:ptCount val="12"/>
                <c:pt idx="0">
                  <c:v>-98.66874999999999</c:v>
                </c:pt>
                <c:pt idx="1">
                  <c:v>-170.3603</c:v>
                </c:pt>
                <c:pt idx="2">
                  <c:v>-186.86000000000004</c:v>
                </c:pt>
                <c:pt idx="3">
                  <c:v>-90.66424999999998</c:v>
                </c:pt>
                <c:pt idx="4">
                  <c:v>-66.6392</c:v>
                </c:pt>
                <c:pt idx="5">
                  <c:v>-33.3</c:v>
                </c:pt>
                <c:pt idx="6">
                  <c:v>-33.599999999999994</c:v>
                </c:pt>
                <c:pt idx="7">
                  <c:v>-9.744</c:v>
                </c:pt>
                <c:pt idx="8">
                  <c:v>-229.80724999999995</c:v>
                </c:pt>
                <c:pt idx="9">
                  <c:v>-347.61525</c:v>
                </c:pt>
                <c:pt idx="10">
                  <c:v>-79.26</c:v>
                </c:pt>
                <c:pt idx="11">
                  <c:v>0.0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Month, 2027</a:t>
                </a:r>
              </a:p>
            </c:rich>
          </c:tx>
          <c:layout/>
        </c:title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 of HVN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HVN Balance -- PADD 3 (Gulf), 2027 (kbd)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Reformer down: HVN demand removed</c:v>
          </c:tx>
          <c:spPr>
            <a:solidFill>
              <a:srgbClr val="70AD47"/>
            </a:solidFill>
            <a:ln>
              <a:noFill/>
            </a:ln>
          </c:spPr>
          <c:cat>
            <c:strRef>
              <c:f>HVN!$A$28:$A$39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HVN!$E$28:$E$39</c:f>
              <c:numCache>
                <c:formatCode>General</c:formatCode>
                <c:ptCount val="12"/>
                <c:pt idx="0">
                  <c:v>5.8</c:v>
                </c:pt>
                <c:pt idx="1">
                  <c:v>17.36</c:v>
                </c:pt>
                <c:pt idx="2">
                  <c:v>100.37</c:v>
                </c:pt>
                <c:pt idx="3">
                  <c:v>52.91</c:v>
                </c:pt>
                <c:pt idx="4">
                  <c:v>0.0</c:v>
                </c:pt>
                <c:pt idx="5">
                  <c:v>0.0</c:v>
                </c:pt>
                <c:pt idx="6">
                  <c:v>0.0</c:v>
                </c:pt>
                <c:pt idx="7">
                  <c:v>0.0</c:v>
                </c:pt>
                <c:pt idx="8">
                  <c:v>0.0</c:v>
                </c:pt>
                <c:pt idx="9">
                  <c:v>15.015</c:v>
                </c:pt>
                <c:pt idx="10">
                  <c:v>13.024999999999999</c:v>
                </c:pt>
                <c:pt idx="11">
                  <c:v>0.0</c:v>
                </c:pt>
              </c:numCache>
            </c:numRef>
          </c:val>
        </c:ser>
        <c:ser>
          <c:idx val="1"/>
          <c:order val="1"/>
          <c:tx>
            <c:v>CDU down: HVN supply removed</c:v>
          </c:tx>
          <c:spPr>
            <a:solidFill>
              <a:srgbClr val="2E5496"/>
            </a:solidFill>
            <a:ln>
              <a:noFill/>
            </a:ln>
          </c:spPr>
          <c:cat>
            <c:strRef>
              <c:f>HVN!$A$28:$A$39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HVN!$G$28:$G$39</c:f>
              <c:numCache>
                <c:formatCode>General</c:formatCode>
                <c:ptCount val="12"/>
                <c:pt idx="0">
                  <c:v>-73.70124999999999</c:v>
                </c:pt>
                <c:pt idx="1">
                  <c:v>-124.3095</c:v>
                </c:pt>
                <c:pt idx="2">
                  <c:v>-164.1395</c:v>
                </c:pt>
                <c:pt idx="3">
                  <c:v>-62.62549999999999</c:v>
                </c:pt>
                <c:pt idx="4">
                  <c:v>-0.0</c:v>
                </c:pt>
                <c:pt idx="5">
                  <c:v>-33.599999999999994</c:v>
                </c:pt>
                <c:pt idx="6">
                  <c:v>-33.599999999999994</c:v>
                </c:pt>
                <c:pt idx="7">
                  <c:v>-9.744</c:v>
                </c:pt>
                <c:pt idx="8">
                  <c:v>-204.36149999999998</c:v>
                </c:pt>
                <c:pt idx="9">
                  <c:v>-303.01599999999996</c:v>
                </c:pt>
                <c:pt idx="10">
                  <c:v>-87.81500000000001</c:v>
                </c:pt>
                <c:pt idx="11">
                  <c:v>-0.0</c:v>
                </c:pt>
              </c:numCache>
            </c:numRef>
          </c:val>
        </c:ser>
        <c:overlap val="100"/>
        <c:axId val="50070001"/>
        <c:axId val="50070002"/>
      </c:barChart>
      <c:lineChart>
        <c:grouping val="standard"/>
        <c:ser>
          <c:idx val="2"/>
          <c:order val="2"/>
          <c:tx>
            <c:v>Net HVN balance</c:v>
          </c:tx>
          <c:spPr>
            <a:ln w="28575">
              <a:solidFill>
                <a:srgbClr val="23272E"/>
              </a:solidFill>
            </a:ln>
          </c:spPr>
          <c:marker>
            <c:symbol val="circle"/>
            <c:size val="4"/>
            <c:spPr>
              <a:solidFill>
                <a:srgbClr val="23272E"/>
              </a:solidFill>
              <a:ln>
                <a:solidFill>
                  <a:srgbClr val="23272E"/>
                </a:solidFill>
              </a:ln>
            </c:spPr>
          </c:marker>
          <c:cat>
            <c:strRef>
              <c:f>HVN!$A$28:$A$39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HVN!$F$28:$F$39</c:f>
              <c:numCache>
                <c:formatCode>General</c:formatCode>
                <c:ptCount val="12"/>
                <c:pt idx="0">
                  <c:v>-67.90124999999999</c:v>
                </c:pt>
                <c:pt idx="1">
                  <c:v>-106.9495</c:v>
                </c:pt>
                <c:pt idx="2">
                  <c:v>-63.769499999999994</c:v>
                </c:pt>
                <c:pt idx="3">
                  <c:v>-9.715499999999992</c:v>
                </c:pt>
                <c:pt idx="4">
                  <c:v>0.0</c:v>
                </c:pt>
                <c:pt idx="5">
                  <c:v>-33.599999999999994</c:v>
                </c:pt>
                <c:pt idx="6">
                  <c:v>-33.599999999999994</c:v>
                </c:pt>
                <c:pt idx="7">
                  <c:v>-9.744</c:v>
                </c:pt>
                <c:pt idx="8">
                  <c:v>-204.36149999999998</c:v>
                </c:pt>
                <c:pt idx="9">
                  <c:v>-288.001</c:v>
                </c:pt>
                <c:pt idx="10">
                  <c:v>-74.79000000000002</c:v>
                </c:pt>
                <c:pt idx="11">
                  <c:v>0.0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Month, 2027</a:t>
                </a:r>
              </a:p>
            </c:rich>
          </c:tx>
          <c:layout/>
        </c:title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 of HVN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2027 Unplanned Scenario (kbd/month)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Baseline</c:v>
          </c:tx>
          <c:spPr>
            <a:ln w="19050">
              <a:solidFill>
                <a:srgbClr val="808080"/>
              </a:solidFill>
            </a:ln>
          </c:spPr>
          <c:marker>
            <c:symbol val="none"/>
          </c:marker>
          <c:cat>
            <c:strRef>
              <c:f>Forecast!$B$4:$M$4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Forecast!$B$5:$M$5</c:f>
              <c:numCache>
                <c:formatCode>General</c:formatCode>
                <c:ptCount val="12"/>
                <c:pt idx="0">
                  <c:v>1946.227825</c:v>
                </c:pt>
                <c:pt idx="1">
                  <c:v>2880.22435</c:v>
                </c:pt>
                <c:pt idx="2">
                  <c:v>2118.63895</c:v>
                </c:pt>
                <c:pt idx="3">
                  <c:v>2253.8666</c:v>
                </c:pt>
                <c:pt idx="4">
                  <c:v>1411.2534</c:v>
                </c:pt>
                <c:pt idx="5">
                  <c:v>1333.755225</c:v>
                </c:pt>
                <c:pt idx="6">
                  <c:v>1173.224525</c:v>
                </c:pt>
                <c:pt idx="7">
                  <c:v>1212.6027</c:v>
                </c:pt>
                <c:pt idx="8">
                  <c:v>1621.180633333333</c:v>
                </c:pt>
                <c:pt idx="9">
                  <c:v>2132.550833333333</c:v>
                </c:pt>
                <c:pt idx="10">
                  <c:v>1240.659633333333</c:v>
                </c:pt>
                <c:pt idx="11">
                  <c:v>806.3173666666667</c:v>
                </c:pt>
              </c:numCache>
            </c:numRef>
          </c:val>
        </c:ser>
        <c:ser>
          <c:idx val="1"/>
          <c:order val="1"/>
          <c:tx>
            <c:v>Conservative</c:v>
          </c:tx>
          <c:spPr>
            <a:ln w="19050">
              <a:solidFill>
                <a:srgbClr val="548235"/>
              </a:solidFill>
            </a:ln>
          </c:spPr>
          <c:marker>
            <c:symbol val="none"/>
          </c:marker>
          <c:cat>
            <c:strRef>
              <c:f>Forecast!$B$4:$M$4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Forecast!$B$6:$M$6</c:f>
              <c:numCache>
                <c:formatCode>General</c:formatCode>
                <c:ptCount val="12"/>
                <c:pt idx="0">
                  <c:v>1556.9822599999998</c:v>
                </c:pt>
                <c:pt idx="1">
                  <c:v>2304.1794800000002</c:v>
                </c:pt>
                <c:pt idx="2">
                  <c:v>1694.91116</c:v>
                </c:pt>
                <c:pt idx="3">
                  <c:v>1803.09328</c:v>
                </c:pt>
                <c:pt idx="4">
                  <c:v>1129.0027200000002</c:v>
                </c:pt>
                <c:pt idx="5">
                  <c:v>1067.0041800000001</c:v>
                </c:pt>
                <c:pt idx="6">
                  <c:v>938.57962</c:v>
                </c:pt>
                <c:pt idx="7">
                  <c:v>970.0821600000002</c:v>
                </c:pt>
                <c:pt idx="8">
                  <c:v>1296.9445066666667</c:v>
                </c:pt>
                <c:pt idx="9">
                  <c:v>1706.0406666666668</c:v>
                </c:pt>
                <c:pt idx="10">
                  <c:v>992.5277066666667</c:v>
                </c:pt>
                <c:pt idx="11">
                  <c:v>645.0538933333333</c:v>
                </c:pt>
              </c:numCache>
            </c:numRef>
          </c:val>
        </c:ser>
        <c:ser>
          <c:idx val="2"/>
          <c:order val="2"/>
          <c:tx>
            <c:v>Average</c:v>
          </c:tx>
          <c:spPr>
            <a:ln w="28575">
              <a:solidFill>
                <a:srgbClr val="BF9000"/>
              </a:solidFill>
            </a:ln>
          </c:spPr>
          <c:marker>
            <c:symbol val="none"/>
          </c:marker>
          <c:cat>
            <c:strRef>
              <c:f>Forecast!$B$4:$M$4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Forecast!$B$7:$M$7</c:f>
              <c:numCache>
                <c:formatCode>General</c:formatCode>
                <c:ptCount val="12"/>
                <c:pt idx="0">
                  <c:v>1946.2278249999997</c:v>
                </c:pt>
                <c:pt idx="1">
                  <c:v>2880.22435</c:v>
                </c:pt>
                <c:pt idx="2">
                  <c:v>2118.63895</c:v>
                </c:pt>
                <c:pt idx="3">
                  <c:v>2253.8666</c:v>
                </c:pt>
                <c:pt idx="4">
                  <c:v>1411.2534</c:v>
                </c:pt>
                <c:pt idx="5">
                  <c:v>1333.755225</c:v>
                </c:pt>
                <c:pt idx="6">
                  <c:v>1173.2245249999999</c:v>
                </c:pt>
                <c:pt idx="7">
                  <c:v>1212.6027000000001</c:v>
                </c:pt>
                <c:pt idx="8">
                  <c:v>1621.1806333333334</c:v>
                </c:pt>
                <c:pt idx="9">
                  <c:v>2132.5508333333332</c:v>
                </c:pt>
                <c:pt idx="10">
                  <c:v>1240.6596333333334</c:v>
                </c:pt>
                <c:pt idx="11">
                  <c:v>806.3173666666667</c:v>
                </c:pt>
              </c:numCache>
            </c:numRef>
          </c:val>
        </c:ser>
        <c:ser>
          <c:idx val="3"/>
          <c:order val="3"/>
          <c:tx>
            <c:v>Active</c:v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Forecast!$B$4:$M$4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Forecast!$B$8:$M$8</c:f>
              <c:numCache>
                <c:formatCode>General</c:formatCode>
                <c:ptCount val="12"/>
                <c:pt idx="0">
                  <c:v>2530.0961724999997</c:v>
                </c:pt>
                <c:pt idx="1">
                  <c:v>3744.291655</c:v>
                </c:pt>
                <c:pt idx="2">
                  <c:v>2754.2306350000003</c:v>
                </c:pt>
                <c:pt idx="3">
                  <c:v>2930.0265799999997</c:v>
                </c:pt>
                <c:pt idx="4">
                  <c:v>1834.6294200000002</c:v>
                </c:pt>
                <c:pt idx="5">
                  <c:v>1733.8817925000003</c:v>
                </c:pt>
                <c:pt idx="6">
                  <c:v>1525.1918824999998</c:v>
                </c:pt>
                <c:pt idx="7">
                  <c:v>1576.3835100000003</c:v>
                </c:pt>
                <c:pt idx="8">
                  <c:v>2107.5348233333334</c:v>
                </c:pt>
                <c:pt idx="9">
                  <c:v>2772.316083333333</c:v>
                </c:pt>
                <c:pt idx="10">
                  <c:v>1612.8575233333336</c:v>
                </c:pt>
                <c:pt idx="11">
                  <c:v>1048.2125766666668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Month, 2027</a:t>
                </a:r>
              </a:p>
            </c:rich>
          </c:tx>
          <c:layout/>
        </c:title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kbd/month</a:t>
                </a:r>
              </a:p>
            </c:rich>
          </c:tx>
          <c:layout/>
        </c:title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US Capacity Offline by Month (kbd)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Total</c:v>
          </c:tx>
          <c:spPr>
            <a:ln w="22225">
              <a:solidFill>
                <a:srgbClr val="1F3864"/>
              </a:solidFill>
            </a:ln>
          </c:spPr>
          <c:marker>
            <c:symbol val="none"/>
          </c:marker>
          <c:cat>
            <c:strRef>
              <c:f>Historicals!$C$5:$C$64</c:f>
              <c:strCache>
                <c:ptCount val="60"/>
                <c:pt idx="0">
                  <c:v>Jan 23</c:v>
                </c:pt>
                <c:pt idx="1">
                  <c:v>Feb 23</c:v>
                </c:pt>
                <c:pt idx="2">
                  <c:v>Mar 23</c:v>
                </c:pt>
                <c:pt idx="3">
                  <c:v>Apr 23</c:v>
                </c:pt>
                <c:pt idx="4">
                  <c:v>May 23</c:v>
                </c:pt>
                <c:pt idx="5">
                  <c:v>Jun 23</c:v>
                </c:pt>
                <c:pt idx="6">
                  <c:v>Jul 23</c:v>
                </c:pt>
                <c:pt idx="7">
                  <c:v>Aug 23</c:v>
                </c:pt>
                <c:pt idx="8">
                  <c:v>Sep 23</c:v>
                </c:pt>
                <c:pt idx="9">
                  <c:v>Oct 23</c:v>
                </c:pt>
                <c:pt idx="10">
                  <c:v>Nov 23</c:v>
                </c:pt>
                <c:pt idx="11">
                  <c:v>Dec 23</c:v>
                </c:pt>
                <c:pt idx="12">
                  <c:v>Jan 24</c:v>
                </c:pt>
                <c:pt idx="13">
                  <c:v>Feb 24</c:v>
                </c:pt>
                <c:pt idx="14">
                  <c:v>Mar 24</c:v>
                </c:pt>
                <c:pt idx="15">
                  <c:v>Apr 24</c:v>
                </c:pt>
                <c:pt idx="16">
                  <c:v>May 24</c:v>
                </c:pt>
                <c:pt idx="17">
                  <c:v>Jun 24</c:v>
                </c:pt>
                <c:pt idx="18">
                  <c:v>Jul 24</c:v>
                </c:pt>
                <c:pt idx="19">
                  <c:v>Aug 24</c:v>
                </c:pt>
                <c:pt idx="20">
                  <c:v>Sep 24</c:v>
                </c:pt>
                <c:pt idx="21">
                  <c:v>Oct 24</c:v>
                </c:pt>
                <c:pt idx="22">
                  <c:v>Nov 24</c:v>
                </c:pt>
                <c:pt idx="23">
                  <c:v>Dec 24</c:v>
                </c:pt>
                <c:pt idx="24">
                  <c:v>Jan 25</c:v>
                </c:pt>
                <c:pt idx="25">
                  <c:v>Feb 25</c:v>
                </c:pt>
                <c:pt idx="26">
                  <c:v>Mar 25</c:v>
                </c:pt>
                <c:pt idx="27">
                  <c:v>Apr 25</c:v>
                </c:pt>
                <c:pt idx="28">
                  <c:v>May 25</c:v>
                </c:pt>
                <c:pt idx="29">
                  <c:v>Jun 25</c:v>
                </c:pt>
                <c:pt idx="30">
                  <c:v>Jul 25</c:v>
                </c:pt>
                <c:pt idx="31">
                  <c:v>Aug 25</c:v>
                </c:pt>
                <c:pt idx="32">
                  <c:v>Sep 25</c:v>
                </c:pt>
                <c:pt idx="33">
                  <c:v>Oct 25</c:v>
                </c:pt>
                <c:pt idx="34">
                  <c:v>Nov 25</c:v>
                </c:pt>
                <c:pt idx="35">
                  <c:v>Dec 25</c:v>
                </c:pt>
                <c:pt idx="36">
                  <c:v>Jan 26</c:v>
                </c:pt>
                <c:pt idx="37">
                  <c:v>Feb 26</c:v>
                </c:pt>
                <c:pt idx="38">
                  <c:v>Mar 26</c:v>
                </c:pt>
                <c:pt idx="39">
                  <c:v>Apr 26</c:v>
                </c:pt>
                <c:pt idx="40">
                  <c:v>May 26</c:v>
                </c:pt>
                <c:pt idx="41">
                  <c:v>Jun 26</c:v>
                </c:pt>
                <c:pt idx="42">
                  <c:v>Jul 26</c:v>
                </c:pt>
                <c:pt idx="43">
                  <c:v>Aug 26</c:v>
                </c:pt>
                <c:pt idx="44">
                  <c:v>Sep 26</c:v>
                </c:pt>
                <c:pt idx="45">
                  <c:v>Oct 26</c:v>
                </c:pt>
                <c:pt idx="46">
                  <c:v>Nov 26</c:v>
                </c:pt>
                <c:pt idx="47">
                  <c:v>Dec 26</c:v>
                </c:pt>
                <c:pt idx="48">
                  <c:v>Jan 27</c:v>
                </c:pt>
                <c:pt idx="49">
                  <c:v>Feb 27</c:v>
                </c:pt>
                <c:pt idx="50">
                  <c:v>Mar 27</c:v>
                </c:pt>
                <c:pt idx="51">
                  <c:v>Apr 27</c:v>
                </c:pt>
                <c:pt idx="52">
                  <c:v>May 27</c:v>
                </c:pt>
                <c:pt idx="53">
                  <c:v>Jun 27</c:v>
                </c:pt>
                <c:pt idx="54">
                  <c:v>Jul 27</c:v>
                </c:pt>
                <c:pt idx="55">
                  <c:v>Aug 27</c:v>
                </c:pt>
                <c:pt idx="56">
                  <c:v>Sep 27</c:v>
                </c:pt>
                <c:pt idx="57">
                  <c:v>Oct 27</c:v>
                </c:pt>
                <c:pt idx="58">
                  <c:v>Nov 27</c:v>
                </c:pt>
                <c:pt idx="59">
                  <c:v>Dec 27</c:v>
                </c:pt>
              </c:strCache>
            </c:strRef>
          </c:cat>
          <c:val>
            <c:numRef>
              <c:f>Historicals!$D$5:$D$64</c:f>
              <c:numCache>
                <c:formatCode>General</c:formatCode>
                <c:ptCount val="60"/>
                <c:pt idx="0">
                  <c:v>5716.2146</c:v>
                </c:pt>
                <c:pt idx="1">
                  <c:v>6813.7157</c:v>
                </c:pt>
                <c:pt idx="2">
                  <c:v>6741.2225</c:v>
                </c:pt>
                <c:pt idx="3">
                  <c:v>6116.2489</c:v>
                </c:pt>
                <c:pt idx="4">
                  <c:v>3819.9794</c:v>
                </c:pt>
                <c:pt idx="5">
                  <c:v>2342.9731</c:v>
                </c:pt>
                <c:pt idx="6">
                  <c:v>1647.0638</c:v>
                </c:pt>
                <c:pt idx="7">
                  <c:v>1761.651</c:v>
                </c:pt>
                <c:pt idx="8">
                  <c:v>3954.8585</c:v>
                </c:pt>
                <c:pt idx="9">
                  <c:v>6931.9118</c:v>
                </c:pt>
                <c:pt idx="10">
                  <c:v>3069.4329000000002</c:v>
                </c:pt>
                <c:pt idx="11">
                  <c:v>976.1005</c:v>
                </c:pt>
                <c:pt idx="12">
                  <c:v>4684.8428</c:v>
                </c:pt>
                <c:pt idx="13">
                  <c:v>8792.021</c:v>
                </c:pt>
                <c:pt idx="14">
                  <c:v>4695.105</c:v>
                </c:pt>
                <c:pt idx="15">
                  <c:v>4532.5513</c:v>
                </c:pt>
                <c:pt idx="16">
                  <c:v>2481.8625</c:v>
                </c:pt>
                <c:pt idx="17">
                  <c:v>2108.9555</c:v>
                </c:pt>
                <c:pt idx="18">
                  <c:v>1985.748</c:v>
                </c:pt>
                <c:pt idx="19">
                  <c:v>1698.4168</c:v>
                </c:pt>
                <c:pt idx="20">
                  <c:v>3566.3252</c:v>
                </c:pt>
                <c:pt idx="21">
                  <c:v>4409.9705</c:v>
                </c:pt>
                <c:pt idx="22">
                  <c:v>2230.0646</c:v>
                </c:pt>
                <c:pt idx="23">
                  <c:v>779.1993</c:v>
                </c:pt>
                <c:pt idx="24">
                  <c:v>3521.0971</c:v>
                </c:pt>
                <c:pt idx="25">
                  <c:v>5027.1616</c:v>
                </c:pt>
                <c:pt idx="26">
                  <c:v>4447.6385</c:v>
                </c:pt>
                <c:pt idx="27">
                  <c:v>5357.5436</c:v>
                </c:pt>
                <c:pt idx="28">
                  <c:v>2654.0926</c:v>
                </c:pt>
                <c:pt idx="29">
                  <c:v>1540.4157</c:v>
                </c:pt>
                <c:pt idx="30">
                  <c:v>1195.17</c:v>
                </c:pt>
                <c:pt idx="31">
                  <c:v>1609.1225</c:v>
                </c:pt>
                <c:pt idx="32">
                  <c:v>3544.1765</c:v>
                </c:pt>
                <c:pt idx="33">
                  <c:v>5848.478</c:v>
                </c:pt>
                <c:pt idx="34">
                  <c:v>3057.862</c:v>
                </c:pt>
                <c:pt idx="35">
                  <c:v>943.3530000000001</c:v>
                </c:pt>
                <c:pt idx="36">
                  <c:v>1849.6688</c:v>
                </c:pt>
                <c:pt idx="37">
                  <c:v>3739.2241</c:v>
                </c:pt>
                <c:pt idx="38">
                  <c:v>3152.1816</c:v>
                </c:pt>
                <c:pt idx="39">
                  <c:v>3982.502</c:v>
                </c:pt>
                <c:pt idx="40">
                  <c:v>2203.7437</c:v>
                </c:pt>
                <c:pt idx="41">
                  <c:v>1349.6757</c:v>
                </c:pt>
                <c:pt idx="42">
                  <c:v>1075.021</c:v>
                </c:pt>
                <c:pt idx="43">
                  <c:v>553.6705</c:v>
                </c:pt>
                <c:pt idx="44">
                  <c:v>1218.8349</c:v>
                </c:pt>
                <c:pt idx="45">
                  <c:v>1640.294</c:v>
                </c:pt>
                <c:pt idx="46">
                  <c:v>697.476</c:v>
                </c:pt>
                <c:pt idx="47">
                  <c:v>9.5</c:v>
                </c:pt>
                <c:pt idx="48">
                  <c:v>1103.883</c:v>
                </c:pt>
                <c:pt idx="49">
                  <c:v>2114.6201</c:v>
                </c:pt>
                <c:pt idx="50">
                  <c:v>2889.3523</c:v>
                </c:pt>
                <c:pt idx="51">
                  <c:v>1954.1924</c:v>
                </c:pt>
                <c:pt idx="52">
                  <c:v>856.532</c:v>
                </c:pt>
                <c:pt idx="53">
                  <c:v>215.305</c:v>
                </c:pt>
                <c:pt idx="54">
                  <c:v>167.5</c:v>
                </c:pt>
                <c:pt idx="55">
                  <c:v>51.06</c:v>
                </c:pt>
                <c:pt idx="56">
                  <c:v>2763.7719</c:v>
                </c:pt>
                <c:pt idx="57">
                  <c:v>2799.5469</c:v>
                </c:pt>
                <c:pt idx="58">
                  <c:v>546.936</c:v>
                </c:pt>
                <c:pt idx="59">
                  <c:v>3.5</c:v>
                </c:pt>
              </c:numCache>
            </c:numRef>
          </c:val>
        </c:ser>
        <c:ser>
          <c:idx val="1"/>
          <c:order val="1"/>
          <c:tx>
            <c:v>Planned</c:v>
          </c:tx>
          <c:spPr>
            <a:ln w="22225">
              <a:solidFill>
                <a:srgbClr val="BF9000"/>
              </a:solidFill>
            </a:ln>
          </c:spPr>
          <c:marker>
            <c:symbol val="none"/>
          </c:marker>
          <c:cat>
            <c:strRef>
              <c:f>Historicals!$C$5:$C$64</c:f>
              <c:strCache>
                <c:ptCount val="60"/>
                <c:pt idx="0">
                  <c:v>Jan 23</c:v>
                </c:pt>
                <c:pt idx="1">
                  <c:v>Feb 23</c:v>
                </c:pt>
                <c:pt idx="2">
                  <c:v>Mar 23</c:v>
                </c:pt>
                <c:pt idx="3">
                  <c:v>Apr 23</c:v>
                </c:pt>
                <c:pt idx="4">
                  <c:v>May 23</c:v>
                </c:pt>
                <c:pt idx="5">
                  <c:v>Jun 23</c:v>
                </c:pt>
                <c:pt idx="6">
                  <c:v>Jul 23</c:v>
                </c:pt>
                <c:pt idx="7">
                  <c:v>Aug 23</c:v>
                </c:pt>
                <c:pt idx="8">
                  <c:v>Sep 23</c:v>
                </c:pt>
                <c:pt idx="9">
                  <c:v>Oct 23</c:v>
                </c:pt>
                <c:pt idx="10">
                  <c:v>Nov 23</c:v>
                </c:pt>
                <c:pt idx="11">
                  <c:v>Dec 23</c:v>
                </c:pt>
                <c:pt idx="12">
                  <c:v>Jan 24</c:v>
                </c:pt>
                <c:pt idx="13">
                  <c:v>Feb 24</c:v>
                </c:pt>
                <c:pt idx="14">
                  <c:v>Mar 24</c:v>
                </c:pt>
                <c:pt idx="15">
                  <c:v>Apr 24</c:v>
                </c:pt>
                <c:pt idx="16">
                  <c:v>May 24</c:v>
                </c:pt>
                <c:pt idx="17">
                  <c:v>Jun 24</c:v>
                </c:pt>
                <c:pt idx="18">
                  <c:v>Jul 24</c:v>
                </c:pt>
                <c:pt idx="19">
                  <c:v>Aug 24</c:v>
                </c:pt>
                <c:pt idx="20">
                  <c:v>Sep 24</c:v>
                </c:pt>
                <c:pt idx="21">
                  <c:v>Oct 24</c:v>
                </c:pt>
                <c:pt idx="22">
                  <c:v>Nov 24</c:v>
                </c:pt>
                <c:pt idx="23">
                  <c:v>Dec 24</c:v>
                </c:pt>
                <c:pt idx="24">
                  <c:v>Jan 25</c:v>
                </c:pt>
                <c:pt idx="25">
                  <c:v>Feb 25</c:v>
                </c:pt>
                <c:pt idx="26">
                  <c:v>Mar 25</c:v>
                </c:pt>
                <c:pt idx="27">
                  <c:v>Apr 25</c:v>
                </c:pt>
                <c:pt idx="28">
                  <c:v>May 25</c:v>
                </c:pt>
                <c:pt idx="29">
                  <c:v>Jun 25</c:v>
                </c:pt>
                <c:pt idx="30">
                  <c:v>Jul 25</c:v>
                </c:pt>
                <c:pt idx="31">
                  <c:v>Aug 25</c:v>
                </c:pt>
                <c:pt idx="32">
                  <c:v>Sep 25</c:v>
                </c:pt>
                <c:pt idx="33">
                  <c:v>Oct 25</c:v>
                </c:pt>
                <c:pt idx="34">
                  <c:v>Nov 25</c:v>
                </c:pt>
                <c:pt idx="35">
                  <c:v>Dec 25</c:v>
                </c:pt>
                <c:pt idx="36">
                  <c:v>Jan 26</c:v>
                </c:pt>
                <c:pt idx="37">
                  <c:v>Feb 26</c:v>
                </c:pt>
                <c:pt idx="38">
                  <c:v>Mar 26</c:v>
                </c:pt>
                <c:pt idx="39">
                  <c:v>Apr 26</c:v>
                </c:pt>
                <c:pt idx="40">
                  <c:v>May 26</c:v>
                </c:pt>
                <c:pt idx="41">
                  <c:v>Jun 26</c:v>
                </c:pt>
                <c:pt idx="42">
                  <c:v>Jul 26</c:v>
                </c:pt>
                <c:pt idx="43">
                  <c:v>Aug 26</c:v>
                </c:pt>
                <c:pt idx="44">
                  <c:v>Sep 26</c:v>
                </c:pt>
                <c:pt idx="45">
                  <c:v>Oct 26</c:v>
                </c:pt>
                <c:pt idx="46">
                  <c:v>Nov 26</c:v>
                </c:pt>
                <c:pt idx="47">
                  <c:v>Dec 26</c:v>
                </c:pt>
                <c:pt idx="48">
                  <c:v>Jan 27</c:v>
                </c:pt>
                <c:pt idx="49">
                  <c:v>Feb 27</c:v>
                </c:pt>
                <c:pt idx="50">
                  <c:v>Mar 27</c:v>
                </c:pt>
                <c:pt idx="51">
                  <c:v>Apr 27</c:v>
                </c:pt>
                <c:pt idx="52">
                  <c:v>May 27</c:v>
                </c:pt>
                <c:pt idx="53">
                  <c:v>Jun 27</c:v>
                </c:pt>
                <c:pt idx="54">
                  <c:v>Jul 27</c:v>
                </c:pt>
                <c:pt idx="55">
                  <c:v>Aug 27</c:v>
                </c:pt>
                <c:pt idx="56">
                  <c:v>Sep 27</c:v>
                </c:pt>
                <c:pt idx="57">
                  <c:v>Oct 27</c:v>
                </c:pt>
                <c:pt idx="58">
                  <c:v>Nov 27</c:v>
                </c:pt>
                <c:pt idx="59">
                  <c:v>Dec 27</c:v>
                </c:pt>
              </c:strCache>
            </c:strRef>
          </c:cat>
          <c:val>
            <c:numRef>
              <c:f>Historicals!$E$5:$E$64</c:f>
              <c:numCache>
                <c:formatCode>General</c:formatCode>
                <c:ptCount val="60"/>
                <c:pt idx="0">
                  <c:v>2552.9085</c:v>
                </c:pt>
                <c:pt idx="1">
                  <c:v>4134.309</c:v>
                </c:pt>
                <c:pt idx="2">
                  <c:v>3664.6845</c:v>
                </c:pt>
                <c:pt idx="3">
                  <c:v>3647.546</c:v>
                </c:pt>
                <c:pt idx="4">
                  <c:v>2071.2518</c:v>
                </c:pt>
                <c:pt idx="5">
                  <c:v>368.477</c:v>
                </c:pt>
                <c:pt idx="6">
                  <c:v>171.937</c:v>
                </c:pt>
                <c:pt idx="7">
                  <c:v>315.56</c:v>
                </c:pt>
                <c:pt idx="8">
                  <c:v>2423.3365</c:v>
                </c:pt>
                <c:pt idx="9">
                  <c:v>4943.1683</c:v>
                </c:pt>
                <c:pt idx="10">
                  <c:v>1718.509</c:v>
                </c:pt>
                <c:pt idx="11">
                  <c:v>128.5582</c:v>
                </c:pt>
                <c:pt idx="12">
                  <c:v>2251.219</c:v>
                </c:pt>
                <c:pt idx="13">
                  <c:v>3766.8788</c:v>
                </c:pt>
                <c:pt idx="14">
                  <c:v>2643.9494</c:v>
                </c:pt>
                <c:pt idx="15">
                  <c:v>2651.0149</c:v>
                </c:pt>
                <c:pt idx="16">
                  <c:v>1541.172</c:v>
                </c:pt>
                <c:pt idx="17">
                  <c:v>1085.2415</c:v>
                </c:pt>
                <c:pt idx="18">
                  <c:v>512.8795</c:v>
                </c:pt>
                <c:pt idx="19">
                  <c:v>486.4172</c:v>
                </c:pt>
                <c:pt idx="20">
                  <c:v>1721.3308</c:v>
                </c:pt>
                <c:pt idx="21">
                  <c:v>2469.8125</c:v>
                </c:pt>
                <c:pt idx="22">
                  <c:v>1183.0576</c:v>
                </c:pt>
                <c:pt idx="23">
                  <c:v>69.52250000000001</c:v>
                </c:pt>
                <c:pt idx="24">
                  <c:v>2120.1022</c:v>
                </c:pt>
                <c:pt idx="25">
                  <c:v>3003.7811</c:v>
                </c:pt>
                <c:pt idx="26">
                  <c:v>2219.192</c:v>
                </c:pt>
                <c:pt idx="27">
                  <c:v>2736.3085</c:v>
                </c:pt>
                <c:pt idx="28">
                  <c:v>900.91</c:v>
                </c:pt>
                <c:pt idx="29">
                  <c:v>370.8306</c:v>
                </c:pt>
                <c:pt idx="30">
                  <c:v>255.71620000000001</c:v>
                </c:pt>
                <c:pt idx="31">
                  <c:v>629.405</c:v>
                </c:pt>
                <c:pt idx="32">
                  <c:v>2057.151</c:v>
                </c:pt>
                <c:pt idx="33">
                  <c:v>3379.727</c:v>
                </c:pt>
                <c:pt idx="34">
                  <c:v>1733.814</c:v>
                </c:pt>
                <c:pt idx="35">
                  <c:v>81.62</c:v>
                </c:pt>
                <c:pt idx="36">
                  <c:v>1062.6823</c:v>
                </c:pt>
                <c:pt idx="37">
                  <c:v>1946.2561</c:v>
                </c:pt>
                <c:pt idx="38">
                  <c:v>2033.7659</c:v>
                </c:pt>
                <c:pt idx="39">
                  <c:v>1938.51</c:v>
                </c:pt>
                <c:pt idx="40">
                  <c:v>1001.3308</c:v>
                </c:pt>
                <c:pt idx="41">
                  <c:v>182.45</c:v>
                </c:pt>
                <c:pt idx="42">
                  <c:v>269.572</c:v>
                </c:pt>
                <c:pt idx="43">
                  <c:v>204.11</c:v>
                </c:pt>
                <c:pt idx="44">
                  <c:v>1171.8349</c:v>
                </c:pt>
                <c:pt idx="45">
                  <c:v>1593.294</c:v>
                </c:pt>
                <c:pt idx="46">
                  <c:v>655.176</c:v>
                </c:pt>
                <c:pt idx="47">
                  <c:v>9.5</c:v>
                </c:pt>
                <c:pt idx="48">
                  <c:v>1103.883</c:v>
                </c:pt>
                <c:pt idx="49">
                  <c:v>2114.6201</c:v>
                </c:pt>
                <c:pt idx="50">
                  <c:v>2889.3523</c:v>
                </c:pt>
                <c:pt idx="51">
                  <c:v>1954.1924</c:v>
                </c:pt>
                <c:pt idx="52">
                  <c:v>856.532</c:v>
                </c:pt>
                <c:pt idx="53">
                  <c:v>215.305</c:v>
                </c:pt>
                <c:pt idx="54">
                  <c:v>167.5</c:v>
                </c:pt>
                <c:pt idx="55">
                  <c:v>51.06</c:v>
                </c:pt>
                <c:pt idx="56">
                  <c:v>2763.7719</c:v>
                </c:pt>
                <c:pt idx="57">
                  <c:v>2799.5469</c:v>
                </c:pt>
                <c:pt idx="58">
                  <c:v>546.936</c:v>
                </c:pt>
                <c:pt idx="59">
                  <c:v>3.5</c:v>
                </c:pt>
              </c:numCache>
            </c:numRef>
          </c:val>
        </c:ser>
        <c:ser>
          <c:idx val="2"/>
          <c:order val="2"/>
          <c:tx>
            <c:v>Unplanned</c:v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Historicals!$C$5:$C$64</c:f>
              <c:strCache>
                <c:ptCount val="60"/>
                <c:pt idx="0">
                  <c:v>Jan 23</c:v>
                </c:pt>
                <c:pt idx="1">
                  <c:v>Feb 23</c:v>
                </c:pt>
                <c:pt idx="2">
                  <c:v>Mar 23</c:v>
                </c:pt>
                <c:pt idx="3">
                  <c:v>Apr 23</c:v>
                </c:pt>
                <c:pt idx="4">
                  <c:v>May 23</c:v>
                </c:pt>
                <c:pt idx="5">
                  <c:v>Jun 23</c:v>
                </c:pt>
                <c:pt idx="6">
                  <c:v>Jul 23</c:v>
                </c:pt>
                <c:pt idx="7">
                  <c:v>Aug 23</c:v>
                </c:pt>
                <c:pt idx="8">
                  <c:v>Sep 23</c:v>
                </c:pt>
                <c:pt idx="9">
                  <c:v>Oct 23</c:v>
                </c:pt>
                <c:pt idx="10">
                  <c:v>Nov 23</c:v>
                </c:pt>
                <c:pt idx="11">
                  <c:v>Dec 23</c:v>
                </c:pt>
                <c:pt idx="12">
                  <c:v>Jan 24</c:v>
                </c:pt>
                <c:pt idx="13">
                  <c:v>Feb 24</c:v>
                </c:pt>
                <c:pt idx="14">
                  <c:v>Mar 24</c:v>
                </c:pt>
                <c:pt idx="15">
                  <c:v>Apr 24</c:v>
                </c:pt>
                <c:pt idx="16">
                  <c:v>May 24</c:v>
                </c:pt>
                <c:pt idx="17">
                  <c:v>Jun 24</c:v>
                </c:pt>
                <c:pt idx="18">
                  <c:v>Jul 24</c:v>
                </c:pt>
                <c:pt idx="19">
                  <c:v>Aug 24</c:v>
                </c:pt>
                <c:pt idx="20">
                  <c:v>Sep 24</c:v>
                </c:pt>
                <c:pt idx="21">
                  <c:v>Oct 24</c:v>
                </c:pt>
                <c:pt idx="22">
                  <c:v>Nov 24</c:v>
                </c:pt>
                <c:pt idx="23">
                  <c:v>Dec 24</c:v>
                </c:pt>
                <c:pt idx="24">
                  <c:v>Jan 25</c:v>
                </c:pt>
                <c:pt idx="25">
                  <c:v>Feb 25</c:v>
                </c:pt>
                <c:pt idx="26">
                  <c:v>Mar 25</c:v>
                </c:pt>
                <c:pt idx="27">
                  <c:v>Apr 25</c:v>
                </c:pt>
                <c:pt idx="28">
                  <c:v>May 25</c:v>
                </c:pt>
                <c:pt idx="29">
                  <c:v>Jun 25</c:v>
                </c:pt>
                <c:pt idx="30">
                  <c:v>Jul 25</c:v>
                </c:pt>
                <c:pt idx="31">
                  <c:v>Aug 25</c:v>
                </c:pt>
                <c:pt idx="32">
                  <c:v>Sep 25</c:v>
                </c:pt>
                <c:pt idx="33">
                  <c:v>Oct 25</c:v>
                </c:pt>
                <c:pt idx="34">
                  <c:v>Nov 25</c:v>
                </c:pt>
                <c:pt idx="35">
                  <c:v>Dec 25</c:v>
                </c:pt>
                <c:pt idx="36">
                  <c:v>Jan 26</c:v>
                </c:pt>
                <c:pt idx="37">
                  <c:v>Feb 26</c:v>
                </c:pt>
                <c:pt idx="38">
                  <c:v>Mar 26</c:v>
                </c:pt>
                <c:pt idx="39">
                  <c:v>Apr 26</c:v>
                </c:pt>
                <c:pt idx="40">
                  <c:v>May 26</c:v>
                </c:pt>
                <c:pt idx="41">
                  <c:v>Jun 26</c:v>
                </c:pt>
                <c:pt idx="42">
                  <c:v>Jul 26</c:v>
                </c:pt>
                <c:pt idx="43">
                  <c:v>Aug 26</c:v>
                </c:pt>
                <c:pt idx="44">
                  <c:v>Sep 26</c:v>
                </c:pt>
                <c:pt idx="45">
                  <c:v>Oct 26</c:v>
                </c:pt>
                <c:pt idx="46">
                  <c:v>Nov 26</c:v>
                </c:pt>
                <c:pt idx="47">
                  <c:v>Dec 26</c:v>
                </c:pt>
                <c:pt idx="48">
                  <c:v>Jan 27</c:v>
                </c:pt>
                <c:pt idx="49">
                  <c:v>Feb 27</c:v>
                </c:pt>
                <c:pt idx="50">
                  <c:v>Mar 27</c:v>
                </c:pt>
                <c:pt idx="51">
                  <c:v>Apr 27</c:v>
                </c:pt>
                <c:pt idx="52">
                  <c:v>May 27</c:v>
                </c:pt>
                <c:pt idx="53">
                  <c:v>Jun 27</c:v>
                </c:pt>
                <c:pt idx="54">
                  <c:v>Jul 27</c:v>
                </c:pt>
                <c:pt idx="55">
                  <c:v>Aug 27</c:v>
                </c:pt>
                <c:pt idx="56">
                  <c:v>Sep 27</c:v>
                </c:pt>
                <c:pt idx="57">
                  <c:v>Oct 27</c:v>
                </c:pt>
                <c:pt idx="58">
                  <c:v>Nov 27</c:v>
                </c:pt>
                <c:pt idx="59">
                  <c:v>Dec 27</c:v>
                </c:pt>
              </c:strCache>
            </c:strRef>
          </c:cat>
          <c:val>
            <c:numRef>
              <c:f>Historicals!$F$5:$F$64</c:f>
              <c:numCache>
                <c:formatCode>General</c:formatCode>
                <c:ptCount val="60"/>
                <c:pt idx="0">
                  <c:v>3163.3061</c:v>
                </c:pt>
                <c:pt idx="1">
                  <c:v>2679.4067</c:v>
                </c:pt>
                <c:pt idx="2">
                  <c:v>3076.538</c:v>
                </c:pt>
                <c:pt idx="3">
                  <c:v>2468.7028999999998</c:v>
                </c:pt>
                <c:pt idx="4">
                  <c:v>1748.7276</c:v>
                </c:pt>
                <c:pt idx="5">
                  <c:v>1974.4961</c:v>
                </c:pt>
                <c:pt idx="6">
                  <c:v>1475.1268</c:v>
                </c:pt>
                <c:pt idx="7">
                  <c:v>1446.091</c:v>
                </c:pt>
                <c:pt idx="8">
                  <c:v>1531.522</c:v>
                </c:pt>
                <c:pt idx="9">
                  <c:v>1988.7435</c:v>
                </c:pt>
                <c:pt idx="10">
                  <c:v>1350.9239</c:v>
                </c:pt>
                <c:pt idx="11">
                  <c:v>847.5423</c:v>
                </c:pt>
                <c:pt idx="12">
                  <c:v>2433.6238</c:v>
                </c:pt>
                <c:pt idx="13">
                  <c:v>5025.1422</c:v>
                </c:pt>
                <c:pt idx="14">
                  <c:v>2051.1556</c:v>
                </c:pt>
                <c:pt idx="15">
                  <c:v>1881.5364</c:v>
                </c:pt>
                <c:pt idx="16">
                  <c:v>940.6905</c:v>
                </c:pt>
                <c:pt idx="17">
                  <c:v>1023.7139999999999</c:v>
                </c:pt>
                <c:pt idx="18">
                  <c:v>1472.8685</c:v>
                </c:pt>
                <c:pt idx="19">
                  <c:v>1211.9996</c:v>
                </c:pt>
                <c:pt idx="20">
                  <c:v>1844.9944</c:v>
                </c:pt>
                <c:pt idx="21">
                  <c:v>1940.158</c:v>
                </c:pt>
                <c:pt idx="22">
                  <c:v>1047.007</c:v>
                </c:pt>
                <c:pt idx="23">
                  <c:v>709.6768</c:v>
                </c:pt>
                <c:pt idx="24">
                  <c:v>1400.9949</c:v>
                </c:pt>
                <c:pt idx="25">
                  <c:v>2023.3805</c:v>
                </c:pt>
                <c:pt idx="26">
                  <c:v>2228.4465</c:v>
                </c:pt>
                <c:pt idx="27">
                  <c:v>2621.2351</c:v>
                </c:pt>
                <c:pt idx="28">
                  <c:v>1753.1826</c:v>
                </c:pt>
                <c:pt idx="29">
                  <c:v>1169.5851</c:v>
                </c:pt>
                <c:pt idx="30">
                  <c:v>939.4538</c:v>
                </c:pt>
                <c:pt idx="31">
                  <c:v>979.7175</c:v>
                </c:pt>
                <c:pt idx="32">
                  <c:v>1487.0255</c:v>
                </c:pt>
                <c:pt idx="33">
                  <c:v>2468.751</c:v>
                </c:pt>
                <c:pt idx="34">
                  <c:v>1324.048</c:v>
                </c:pt>
                <c:pt idx="35">
                  <c:v>861.7330000000001</c:v>
                </c:pt>
                <c:pt idx="36">
                  <c:v>786.9865</c:v>
                </c:pt>
                <c:pt idx="37">
                  <c:v>1792.968</c:v>
                </c:pt>
                <c:pt idx="38">
                  <c:v>1118.4157</c:v>
                </c:pt>
                <c:pt idx="39">
                  <c:v>2043.992</c:v>
                </c:pt>
                <c:pt idx="40">
                  <c:v>1202.4129</c:v>
                </c:pt>
                <c:pt idx="41">
                  <c:v>1167.2257</c:v>
                </c:pt>
                <c:pt idx="42">
                  <c:v>805.449</c:v>
                </c:pt>
                <c:pt idx="43">
                  <c:v>349.5605</c:v>
                </c:pt>
                <c:pt idx="44">
                  <c:v>47.0</c:v>
                </c:pt>
                <c:pt idx="45">
                  <c:v>47.0</c:v>
                </c:pt>
                <c:pt idx="46">
                  <c:v>42.3</c:v>
                </c:pt>
                <c:pt idx="47">
                  <c:v>0.0</c:v>
                </c:pt>
                <c:pt idx="48">
                  <c:v>0.0</c:v>
                </c:pt>
                <c:pt idx="49">
                  <c:v>0.0</c:v>
                </c:pt>
                <c:pt idx="50">
                  <c:v>0.0</c:v>
                </c:pt>
                <c:pt idx="51">
                  <c:v>0.0</c:v>
                </c:pt>
                <c:pt idx="52">
                  <c:v>0.0</c:v>
                </c:pt>
                <c:pt idx="53">
                  <c:v>0.0</c:v>
                </c:pt>
                <c:pt idx="54">
                  <c:v>0.0</c:v>
                </c:pt>
                <c:pt idx="55">
                  <c:v>0.0</c:v>
                </c:pt>
                <c:pt idx="56">
                  <c:v>0.0</c:v>
                </c:pt>
                <c:pt idx="57">
                  <c:v>0.0</c:v>
                </c:pt>
                <c:pt idx="58">
                  <c:v>0.0</c:v>
                </c:pt>
                <c:pt idx="59">
                  <c:v>0.0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</c:scaling>
        <c:axPos val="l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25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18</xdr:col>
      <xdr:colOff>419100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17</xdr:col>
      <xdr:colOff>457200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17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24</xdr:row>
      <xdr:rowOff>0</xdr:rowOff>
    </xdr:from>
    <xdr:to>
      <xdr:col>17</xdr:col>
      <xdr:colOff>457200</xdr:colOff>
      <xdr:row>39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3</xdr:row>
      <xdr:rowOff>0</xdr:rowOff>
    </xdr:from>
    <xdr:to>
      <xdr:col>18</xdr:col>
      <xdr:colOff>128942</xdr:colOff>
      <xdr:row>17</xdr:row>
      <xdr:rowOff>29571</xdr:rowOff>
    </xdr:to>
    <xdr:pic>
      <xdr:nvPicPr>
        <xdr:cNvPr id="2" name="Picture 1" descr="exxon_gantt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58325" y="657225"/>
          <a:ext cx="5615342" cy="269657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17</xdr:col>
      <xdr:colOff>381000</xdr:colOff>
      <xdr:row>19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25</xdr:row>
      <xdr:rowOff>0</xdr:rowOff>
    </xdr:from>
    <xdr:to>
      <xdr:col>17</xdr:col>
      <xdr:colOff>381000</xdr:colOff>
      <xdr:row>41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0</xdr:colOff>
      <xdr:row>3</xdr:row>
      <xdr:rowOff>0</xdr:rowOff>
    </xdr:from>
    <xdr:to>
      <xdr:col>28</xdr:col>
      <xdr:colOff>152400</xdr:colOff>
      <xdr:row>20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3</xdr:row>
      <xdr:rowOff>0</xdr:rowOff>
    </xdr:from>
    <xdr:to>
      <xdr:col>29</xdr:col>
      <xdr:colOff>533400</xdr:colOff>
      <xdr:row>19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E48"/>
  <sheetViews>
    <sheetView showGridLines="0" tabSelected="1" zoomScale="110" zoomScaleNormal="110" workbookViewId="0"/>
  </sheetViews>
  <sheetFormatPr defaultRowHeight="15"/>
  <cols>
    <col min="1" max="1" width="26.7109375" customWidth="1"/>
    <col min="2" max="7" width="12.7109375" customWidth="1"/>
  </cols>
  <sheetData>
    <row r="1" spans="1:5" ht="22" customHeight="1">
      <c r="A1" s="1" t="s">
        <v>0</v>
      </c>
    </row>
    <row r="2" spans="1:5">
      <c r="A2" s="2" t="s">
        <v>1</v>
      </c>
    </row>
    <row r="4" spans="1:5">
      <c r="A4" s="3" t="s">
        <v>2</v>
      </c>
    </row>
    <row r="5" spans="1:5">
      <c r="A5" s="4" t="s">
        <v>3</v>
      </c>
      <c r="B5" s="5">
        <v>2026</v>
      </c>
      <c r="C5" s="5">
        <v>6</v>
      </c>
    </row>
    <row r="6" spans="1:5">
      <c r="A6" s="4" t="s">
        <v>4</v>
      </c>
      <c r="B6" s="6">
        <f>IF(C5=1,B5-1,B5)</f>
        <v>2026</v>
      </c>
      <c r="C6" s="6">
        <f>IF(C5=1,12,C5-1)</f>
        <v>5</v>
      </c>
    </row>
    <row r="8" spans="1:5">
      <c r="A8" s="7" t="s">
        <v>5</v>
      </c>
      <c r="B8" s="8" t="s">
        <v>6</v>
      </c>
      <c r="C8" s="8" t="s">
        <v>4</v>
      </c>
      <c r="D8" s="8" t="s">
        <v>7</v>
      </c>
      <c r="E8" s="8" t="s">
        <v>8</v>
      </c>
    </row>
    <row r="9" spans="1:5">
      <c r="A9" s="9" t="s">
        <v>9</v>
      </c>
      <c r="B9" s="10">
        <f>SUMIFS(Data!$K:$K,Data!$A:$A,$B$5,Data!$B:$B,$C$5)</f>
        <v>1349.6756999999998</v>
      </c>
      <c r="C9" s="10">
        <f>SUMIFS(Data!$K:$K,Data!$A:$A,$B$6,Data!$B:$B,$C$6)</f>
        <v>2203.7437</v>
      </c>
      <c r="D9" s="10">
        <f>B9-C9</f>
        <v>-854.0680000000002</v>
      </c>
      <c r="E9" s="11">
        <f>IFERROR(D9/C9,"")</f>
        <v>-0.3875532349791857</v>
      </c>
    </row>
    <row r="10" spans="1:5">
      <c r="A10" s="9" t="s">
        <v>10</v>
      </c>
      <c r="B10" s="10">
        <f>SUMIFS(Data!$K:$K,Data!$A:$A,$B$5,Data!$B:$B,$C$5,Data!$J:$J,"PLANNED")</f>
        <v>182.45000000000002</v>
      </c>
      <c r="C10" s="10">
        <f>SUMIFS(Data!$K:$K,Data!$A:$A,$B$6,Data!$B:$B,$C$6,Data!$J:$J,"PLANNED")</f>
        <v>1001.3308000000001</v>
      </c>
      <c r="D10" s="10">
        <f>B10-C10</f>
        <v>-818.8808</v>
      </c>
      <c r="E10" s="11">
        <f>IFERROR(D10/C10,"")</f>
        <v>-0.8177924817652668</v>
      </c>
    </row>
    <row r="11" spans="1:5">
      <c r="A11" s="9" t="s">
        <v>11</v>
      </c>
      <c r="B11" s="10">
        <f>SUMIFS(Data!$K:$K,Data!$A:$A,$B$5,Data!$B:$B,$C$5,Data!$J:$J,"UNPLANNED")</f>
        <v>1167.2257</v>
      </c>
      <c r="C11" s="10">
        <f>SUMIFS(Data!$K:$K,Data!$A:$A,$B$6,Data!$B:$B,$C$6,Data!$J:$J,"UNPLANNED")</f>
        <v>1202.4128999999998</v>
      </c>
      <c r="D11" s="10">
        <f>B11-C11</f>
        <v>-35.18719999999985</v>
      </c>
      <c r="E11" s="11">
        <f>IFERROR(D11/C11,"")</f>
        <v>-0.02926382443169051</v>
      </c>
    </row>
    <row r="12" spans="1:5">
      <c r="A12" s="9" t="s">
        <v>12</v>
      </c>
      <c r="B12" s="10">
        <f>SUMIFS(Data!$K:$K,Data!$A:$A,$B$5,Data!$B:$B,$C$5,Data!$G:$G,"CDU")</f>
        <v>435.03</v>
      </c>
      <c r="C12" s="10">
        <f>SUMIFS(Data!$K:$K,Data!$A:$A,$B$6,Data!$B:$B,$C$6,Data!$G:$G,"CDU")</f>
        <v>841.2020000000001</v>
      </c>
      <c r="D12" s="10">
        <f>B12-C12</f>
        <v>-406.17200000000014</v>
      </c>
      <c r="E12" s="11">
        <f>IFERROR(D12/C12,"")</f>
        <v>-0.48284716393922045</v>
      </c>
    </row>
    <row r="13" spans="1:5">
      <c r="A13" s="9" t="s">
        <v>13</v>
      </c>
      <c r="B13" s="10">
        <f>SUMIFS(Data!$K:$K,Data!$A:$A,$B$5,Data!$B:$B,$C$5,Data!$G:$G,"FCC")</f>
        <v>147.405</v>
      </c>
      <c r="C13" s="10">
        <f>SUMIFS(Data!$K:$K,Data!$A:$A,$B$6,Data!$B:$B,$C$6,Data!$G:$G,"FCC")</f>
        <v>360.08150000000006</v>
      </c>
      <c r="D13" s="10">
        <f>B13-C13</f>
        <v>-212.67650000000006</v>
      </c>
      <c r="E13" s="11">
        <f>IFERROR(D13/C13,"")</f>
        <v>-0.5906343425030167</v>
      </c>
    </row>
    <row r="14" spans="1:5">
      <c r="A14" s="9" t="s">
        <v>14</v>
      </c>
      <c r="B14" s="10">
        <f>SUMIFS(Data!$K:$K,Data!$A:$A,$B$5,Data!$B:$B,$C$5,Data!$G:$G,"Hydrocracker")</f>
        <v>21.380000000000003</v>
      </c>
      <c r="C14" s="10">
        <f>SUMIFS(Data!$K:$K,Data!$A:$A,$B$6,Data!$B:$B,$C$6,Data!$G:$G,"Hydrocracker")</f>
        <v>92.77</v>
      </c>
      <c r="D14" s="10">
        <f>B14-C14</f>
        <v>-71.38999999999999</v>
      </c>
      <c r="E14" s="11">
        <f>IFERROR(D14/C14,"")</f>
        <v>-0.7695375660234989</v>
      </c>
    </row>
    <row r="15" spans="1:5">
      <c r="A15" s="9" t="s">
        <v>15</v>
      </c>
      <c r="B15" s="10">
        <f>SUMIFS(Data!$K:$K,Data!$A:$A,$B$5,Data!$B:$B,$C$5,Data!$G:$G,"Reformer")</f>
        <v>130.51</v>
      </c>
      <c r="C15" s="10">
        <f>SUMIFS(Data!$K:$K,Data!$A:$A,$B$6,Data!$B:$B,$C$6,Data!$G:$G,"Reformer")</f>
        <v>157.769</v>
      </c>
      <c r="D15" s="10">
        <f>B15-C15</f>
        <v>-27.259000000000015</v>
      </c>
      <c r="E15" s="11">
        <f>IFERROR(D15/C15,"")</f>
        <v>-0.17277792215200716</v>
      </c>
    </row>
    <row r="17" spans="1:5">
      <c r="A17" s="3" t="s">
        <v>16</v>
      </c>
    </row>
    <row r="18" spans="1:5">
      <c r="A18" s="7" t="s">
        <v>17</v>
      </c>
      <c r="B18" s="8" t="s">
        <v>18</v>
      </c>
      <c r="C18" s="8" t="s">
        <v>10</v>
      </c>
      <c r="D18" s="8" t="s">
        <v>11</v>
      </c>
    </row>
    <row r="19" spans="1:5">
      <c r="A19" s="9" t="s">
        <v>19</v>
      </c>
      <c r="B19" s="10">
        <f>SUMIFS(Data!$K:$K,Data!$A:$A,2026,Data!$B:$B,1)</f>
        <v>1849.6688</v>
      </c>
      <c r="C19" s="10">
        <f>SUMIFS(Data!$K:$K,Data!$A:$A,2026,Data!$B:$B,1,Data!$J:$J,"PLANNED")</f>
        <v>1062.6823000000002</v>
      </c>
      <c r="D19" s="10">
        <f>SUMIFS(Data!$K:$K,Data!$A:$A,2026,Data!$B:$B,1,Data!$J:$J,"UNPLANNED")</f>
        <v>786.9864999999999</v>
      </c>
    </row>
    <row r="20" spans="1:5">
      <c r="A20" s="9" t="s">
        <v>20</v>
      </c>
      <c r="B20" s="10">
        <f>SUMIFS(Data!$K:$K,Data!$A:$A,2026,Data!$B:$B,2)</f>
        <v>3739.2241000000004</v>
      </c>
      <c r="C20" s="10">
        <f>SUMIFS(Data!$K:$K,Data!$A:$A,2026,Data!$B:$B,2,Data!$J:$J,"PLANNED")</f>
        <v>1946.2561</v>
      </c>
      <c r="D20" s="10">
        <f>SUMIFS(Data!$K:$K,Data!$A:$A,2026,Data!$B:$B,2,Data!$J:$J,"UNPLANNED")</f>
        <v>1792.9679999999998</v>
      </c>
    </row>
    <row r="21" spans="1:5">
      <c r="A21" s="9" t="s">
        <v>21</v>
      </c>
      <c r="B21" s="10">
        <f>SUMIFS(Data!$K:$K,Data!$A:$A,2026,Data!$B:$B,3)</f>
        <v>3152.1816</v>
      </c>
      <c r="C21" s="10">
        <f>SUMIFS(Data!$K:$K,Data!$A:$A,2026,Data!$B:$B,3,Data!$J:$J,"PLANNED")</f>
        <v>2033.7659</v>
      </c>
      <c r="D21" s="10">
        <f>SUMIFS(Data!$K:$K,Data!$A:$A,2026,Data!$B:$B,3,Data!$J:$J,"UNPLANNED")</f>
        <v>1118.4157</v>
      </c>
    </row>
    <row r="22" spans="1:5">
      <c r="A22" s="9" t="s">
        <v>22</v>
      </c>
      <c r="B22" s="10">
        <f>SUMIFS(Data!$K:$K,Data!$A:$A,2026,Data!$B:$B,4)</f>
        <v>3982.502</v>
      </c>
      <c r="C22" s="10">
        <f>SUMIFS(Data!$K:$K,Data!$A:$A,2026,Data!$B:$B,4,Data!$J:$J,"PLANNED")</f>
        <v>1938.51</v>
      </c>
      <c r="D22" s="10">
        <f>SUMIFS(Data!$K:$K,Data!$A:$A,2026,Data!$B:$B,4,Data!$J:$J,"UNPLANNED")</f>
        <v>2043.9919999999997</v>
      </c>
    </row>
    <row r="23" spans="1:5">
      <c r="A23" s="9" t="s">
        <v>23</v>
      </c>
      <c r="B23" s="10">
        <f>SUMIFS(Data!$K:$K,Data!$A:$A,2026,Data!$B:$B,5)</f>
        <v>2203.7437</v>
      </c>
      <c r="C23" s="10">
        <f>SUMIFS(Data!$K:$K,Data!$A:$A,2026,Data!$B:$B,5,Data!$J:$J,"PLANNED")</f>
        <v>1001.3308000000001</v>
      </c>
      <c r="D23" s="10">
        <f>SUMIFS(Data!$K:$K,Data!$A:$A,2026,Data!$B:$B,5,Data!$J:$J,"UNPLANNED")</f>
        <v>1202.4128999999998</v>
      </c>
    </row>
    <row r="24" spans="1:5">
      <c r="A24" s="9" t="s">
        <v>24</v>
      </c>
      <c r="B24" s="10">
        <f>SUMIFS(Data!$K:$K,Data!$A:$A,2026,Data!$B:$B,6)</f>
        <v>1349.6756999999998</v>
      </c>
      <c r="C24" s="10">
        <f>SUMIFS(Data!$K:$K,Data!$A:$A,2026,Data!$B:$B,6,Data!$J:$J,"PLANNED")</f>
        <v>182.45000000000002</v>
      </c>
      <c r="D24" s="10">
        <f>SUMIFS(Data!$K:$K,Data!$A:$A,2026,Data!$B:$B,6,Data!$J:$J,"UNPLANNED")</f>
        <v>1167.2257</v>
      </c>
    </row>
    <row r="26" spans="1:5">
      <c r="A26" s="3" t="s">
        <v>25</v>
      </c>
    </row>
    <row r="27" spans="1:5">
      <c r="A27" s="7" t="s">
        <v>26</v>
      </c>
      <c r="B27" s="8" t="s">
        <v>24</v>
      </c>
      <c r="C27" s="8" t="s">
        <v>27</v>
      </c>
      <c r="D27" s="8" t="s">
        <v>28</v>
      </c>
    </row>
    <row r="28" spans="1:5">
      <c r="A28" s="6" t="s">
        <v>29</v>
      </c>
      <c r="B28" s="10">
        <v>1349.7</v>
      </c>
      <c r="C28" s="6"/>
      <c r="D28" s="10">
        <v>1075</v>
      </c>
    </row>
    <row r="29" spans="1:5">
      <c r="A29" s="6" t="s">
        <v>30</v>
      </c>
      <c r="B29" s="10">
        <v>1349.7</v>
      </c>
      <c r="C29" s="10">
        <v>0</v>
      </c>
      <c r="D29" s="10">
        <v>1075</v>
      </c>
    </row>
    <row r="30" spans="1:5">
      <c r="A30" s="12" t="s">
        <v>31</v>
      </c>
      <c r="B30" s="12"/>
      <c r="C30" s="12"/>
      <c r="D30" s="12"/>
      <c r="E30" s="12"/>
    </row>
    <row r="32" spans="1:5">
      <c r="A32" s="3" t="s">
        <v>32</v>
      </c>
    </row>
    <row r="33" spans="1:4">
      <c r="A33" s="7" t="s">
        <v>33</v>
      </c>
      <c r="B33" s="7" t="s">
        <v>34</v>
      </c>
      <c r="C33" s="8" t="s">
        <v>35</v>
      </c>
      <c r="D33" s="8" t="s">
        <v>36</v>
      </c>
    </row>
    <row r="34" spans="1:4">
      <c r="A34" s="6" t="s">
        <v>37</v>
      </c>
      <c r="B34" s="6" t="s">
        <v>38</v>
      </c>
      <c r="C34" s="6" t="s">
        <v>39</v>
      </c>
      <c r="D34" s="10">
        <v>104</v>
      </c>
    </row>
    <row r="35" spans="1:4">
      <c r="A35" s="6" t="s">
        <v>40</v>
      </c>
      <c r="B35" s="6" t="s">
        <v>38</v>
      </c>
      <c r="C35" s="6" t="s">
        <v>41</v>
      </c>
      <c r="D35" s="10">
        <v>52</v>
      </c>
    </row>
    <row r="36" spans="1:4">
      <c r="A36" s="6" t="s">
        <v>42</v>
      </c>
      <c r="B36" s="6" t="s">
        <v>43</v>
      </c>
      <c r="C36" s="6" t="s">
        <v>39</v>
      </c>
      <c r="D36" s="10">
        <v>51.7</v>
      </c>
    </row>
    <row r="37" spans="1:4">
      <c r="A37" s="6" t="s">
        <v>40</v>
      </c>
      <c r="B37" s="6" t="s">
        <v>38</v>
      </c>
      <c r="C37" s="6" t="s">
        <v>41</v>
      </c>
      <c r="D37" s="10">
        <v>48.9</v>
      </c>
    </row>
    <row r="38" spans="1:4">
      <c r="A38" s="6" t="s">
        <v>44</v>
      </c>
      <c r="B38" s="6" t="s">
        <v>38</v>
      </c>
      <c r="C38" s="6" t="s">
        <v>45</v>
      </c>
      <c r="D38" s="10">
        <v>45</v>
      </c>
    </row>
    <row r="39" spans="1:4">
      <c r="A39" s="6" t="s">
        <v>46</v>
      </c>
      <c r="B39" s="6" t="s">
        <v>38</v>
      </c>
      <c r="C39" s="6" t="s">
        <v>39</v>
      </c>
      <c r="D39" s="10">
        <v>40.5</v>
      </c>
    </row>
    <row r="41" spans="1:4">
      <c r="A41" s="3" t="s">
        <v>47</v>
      </c>
    </row>
    <row r="42" spans="1:4">
      <c r="A42" s="7" t="s">
        <v>33</v>
      </c>
      <c r="B42" s="7" t="s">
        <v>34</v>
      </c>
      <c r="C42" s="8" t="s">
        <v>35</v>
      </c>
      <c r="D42" s="8" t="s">
        <v>36</v>
      </c>
    </row>
    <row r="43" spans="1:4">
      <c r="A43" s="6" t="s">
        <v>48</v>
      </c>
      <c r="B43" s="6" t="s">
        <v>38</v>
      </c>
      <c r="C43" s="6" t="s">
        <v>49</v>
      </c>
      <c r="D43" s="10">
        <v>180.7</v>
      </c>
    </row>
    <row r="44" spans="1:4">
      <c r="A44" s="6" t="s">
        <v>50</v>
      </c>
      <c r="B44" s="6" t="s">
        <v>38</v>
      </c>
      <c r="C44" s="6" t="s">
        <v>39</v>
      </c>
      <c r="D44" s="10">
        <v>113.4</v>
      </c>
    </row>
    <row r="45" spans="1:4">
      <c r="A45" s="6" t="s">
        <v>51</v>
      </c>
      <c r="B45" s="6" t="s">
        <v>43</v>
      </c>
      <c r="C45" s="6" t="s">
        <v>45</v>
      </c>
      <c r="D45" s="10">
        <v>58.8</v>
      </c>
    </row>
    <row r="46" spans="1:4">
      <c r="A46" s="6" t="s">
        <v>52</v>
      </c>
      <c r="B46" s="6" t="s">
        <v>38</v>
      </c>
      <c r="C46" s="6" t="s">
        <v>45</v>
      </c>
      <c r="D46" s="10">
        <v>53.3</v>
      </c>
    </row>
    <row r="47" spans="1:4">
      <c r="A47" s="6" t="s">
        <v>53</v>
      </c>
      <c r="B47" s="6" t="s">
        <v>38</v>
      </c>
      <c r="C47" s="6" t="s">
        <v>45</v>
      </c>
      <c r="D47" s="10">
        <v>47.5</v>
      </c>
    </row>
    <row r="48" spans="1:4">
      <c r="A48" s="6" t="s">
        <v>54</v>
      </c>
      <c r="B48" s="6" t="s">
        <v>38</v>
      </c>
      <c r="C48" s="6" t="s">
        <v>45</v>
      </c>
      <c r="D48" s="10">
        <v>34.8</v>
      </c>
    </row>
  </sheetData>
  <mergeCells count="1">
    <mergeCell ref="A30:E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E8B8B"/>
  </sheetPr>
  <dimension ref="A1:M46"/>
  <sheetViews>
    <sheetView showGridLines="0" zoomScale="110" zoomScaleNormal="110" workbookViewId="0"/>
  </sheetViews>
  <sheetFormatPr defaultRowHeight="15"/>
  <cols>
    <col min="1" max="13" width="8.7109375" customWidth="1"/>
  </cols>
  <sheetData>
    <row r="1" spans="1:13" ht="22" customHeight="1">
      <c r="A1" s="1" t="s">
        <v>55</v>
      </c>
    </row>
    <row r="2" spans="1:13">
      <c r="A2" s="2" t="s">
        <v>56</v>
      </c>
    </row>
    <row r="4" spans="1:13">
      <c r="A4" s="3" t="s">
        <v>57</v>
      </c>
    </row>
    <row r="5" spans="1:13">
      <c r="A5" s="7" t="s">
        <v>58</v>
      </c>
      <c r="B5" s="8" t="s">
        <v>59</v>
      </c>
      <c r="C5" s="8" t="s">
        <v>60</v>
      </c>
      <c r="D5" s="8" t="s">
        <v>61</v>
      </c>
      <c r="E5" s="8" t="s">
        <v>62</v>
      </c>
      <c r="F5" s="8" t="s">
        <v>63</v>
      </c>
      <c r="G5" s="8" t="s">
        <v>64</v>
      </c>
      <c r="H5" s="8" t="s">
        <v>65</v>
      </c>
      <c r="I5" s="8" t="s">
        <v>66</v>
      </c>
      <c r="J5" s="8" t="s">
        <v>67</v>
      </c>
      <c r="K5" s="8" t="s">
        <v>68</v>
      </c>
      <c r="L5" s="8" t="s">
        <v>69</v>
      </c>
      <c r="M5" s="8" t="s">
        <v>70</v>
      </c>
    </row>
    <row r="6" spans="1:13">
      <c r="A6" s="9">
        <v>2023</v>
      </c>
      <c r="B6" s="10">
        <f>SUMIFS(Data!$K:$K,Data!$A:$A,2023,Data!$B:$B,1,Data!$G:$G,"CDU")</f>
        <v>1739.5449999999998</v>
      </c>
      <c r="C6" s="10">
        <f>SUMIFS(Data!$K:$K,Data!$A:$A,2023,Data!$B:$B,2,Data!$G:$G,"CDU")</f>
        <v>2180.255</v>
      </c>
      <c r="D6" s="10">
        <f>SUMIFS(Data!$K:$K,Data!$A:$A,2023,Data!$B:$B,3,Data!$G:$G,"CDU")</f>
        <v>2060.2019999999998</v>
      </c>
      <c r="E6" s="10">
        <f>SUMIFS(Data!$K:$K,Data!$A:$A,2023,Data!$B:$B,4,Data!$G:$G,"CDU")</f>
        <v>1806.215</v>
      </c>
      <c r="F6" s="10">
        <f>SUMIFS(Data!$K:$K,Data!$A:$A,2023,Data!$B:$B,5,Data!$G:$G,"CDU")</f>
        <v>1061.1038</v>
      </c>
      <c r="G6" s="10">
        <f>SUMIFS(Data!$K:$K,Data!$A:$A,2023,Data!$B:$B,6,Data!$G:$G,"CDU")</f>
        <v>794.9545</v>
      </c>
      <c r="H6" s="10">
        <f>SUMIFS(Data!$K:$K,Data!$A:$A,2023,Data!$B:$B,7,Data!$G:$G,"CDU")</f>
        <v>510.65</v>
      </c>
      <c r="I6" s="10">
        <f>SUMIFS(Data!$K:$K,Data!$A:$A,2023,Data!$B:$B,8,Data!$G:$G,"CDU")</f>
        <v>510.13</v>
      </c>
      <c r="J6" s="10">
        <f>SUMIFS(Data!$K:$K,Data!$A:$A,2023,Data!$B:$B,9,Data!$G:$G,"CDU")</f>
        <v>1099.23</v>
      </c>
      <c r="K6" s="10">
        <f>SUMIFS(Data!$K:$K,Data!$A:$A,2023,Data!$B:$B,10,Data!$G:$G,"CDU")</f>
        <v>2033.6085</v>
      </c>
      <c r="L6" s="10">
        <f>SUMIFS(Data!$K:$K,Data!$A:$A,2023,Data!$B:$B,11,Data!$G:$G,"CDU")</f>
        <v>881.0600000000001</v>
      </c>
      <c r="M6" s="10">
        <f>SUMIFS(Data!$K:$K,Data!$A:$A,2023,Data!$B:$B,12,Data!$G:$G,"CDU")</f>
        <v>256.08000000000004</v>
      </c>
    </row>
    <row r="7" spans="1:13">
      <c r="A7" s="9">
        <v>2024</v>
      </c>
      <c r="B7" s="10">
        <f>SUMIFS(Data!$K:$K,Data!$A:$A,2024,Data!$B:$B,1,Data!$G:$G,"CDU")</f>
        <v>1313.892</v>
      </c>
      <c r="C7" s="10">
        <f>SUMIFS(Data!$K:$K,Data!$A:$A,2024,Data!$B:$B,2,Data!$G:$G,"CDU")</f>
        <v>2142.5348</v>
      </c>
      <c r="D7" s="10">
        <f>SUMIFS(Data!$K:$K,Data!$A:$A,2024,Data!$B:$B,3,Data!$G:$G,"CDU")</f>
        <v>1268.1126</v>
      </c>
      <c r="E7" s="10">
        <f>SUMIFS(Data!$K:$K,Data!$A:$A,2024,Data!$B:$B,4,Data!$G:$G,"CDU")</f>
        <v>1440.7505</v>
      </c>
      <c r="F7" s="10">
        <f>SUMIFS(Data!$K:$K,Data!$A:$A,2024,Data!$B:$B,5,Data!$G:$G,"CDU")</f>
        <v>501.391</v>
      </c>
      <c r="G7" s="10">
        <f>SUMIFS(Data!$K:$K,Data!$A:$A,2024,Data!$B:$B,6,Data!$G:$G,"CDU")</f>
        <v>455.03</v>
      </c>
      <c r="H7" s="10">
        <f>SUMIFS(Data!$K:$K,Data!$A:$A,2024,Data!$B:$B,7,Data!$G:$G,"CDU")</f>
        <v>646.8299999999999</v>
      </c>
      <c r="I7" s="10">
        <f>SUMIFS(Data!$K:$K,Data!$A:$A,2024,Data!$B:$B,8,Data!$G:$G,"CDU")</f>
        <v>550.098</v>
      </c>
      <c r="J7" s="10">
        <f>SUMIFS(Data!$K:$K,Data!$A:$A,2024,Data!$B:$B,9,Data!$G:$G,"CDU")</f>
        <v>1090.8784</v>
      </c>
      <c r="K7" s="10">
        <f>SUMIFS(Data!$K:$K,Data!$A:$A,2024,Data!$B:$B,10,Data!$G:$G,"CDU")</f>
        <v>1122.32</v>
      </c>
      <c r="L7" s="10">
        <f>SUMIFS(Data!$K:$K,Data!$A:$A,2024,Data!$B:$B,11,Data!$G:$G,"CDU")</f>
        <v>715.6</v>
      </c>
      <c r="M7" s="10">
        <f>SUMIFS(Data!$K:$K,Data!$A:$A,2024,Data!$B:$B,12,Data!$G:$G,"CDU")</f>
        <v>288.8526</v>
      </c>
    </row>
    <row r="8" spans="1:13">
      <c r="A8" s="9">
        <v>2025</v>
      </c>
      <c r="B8" s="10">
        <f>SUMIFS(Data!$K:$K,Data!$A:$A,2025,Data!$B:$B,1,Data!$G:$G,"CDU")</f>
        <v>1256.145</v>
      </c>
      <c r="C8" s="10">
        <f>SUMIFS(Data!$K:$K,Data!$A:$A,2025,Data!$B:$B,2,Data!$G:$G,"CDU")</f>
        <v>1649.407</v>
      </c>
      <c r="D8" s="10">
        <f>SUMIFS(Data!$K:$K,Data!$A:$A,2025,Data!$B:$B,3,Data!$G:$G,"CDU")</f>
        <v>1632.123</v>
      </c>
      <c r="E8" s="10">
        <f>SUMIFS(Data!$K:$K,Data!$A:$A,2025,Data!$B:$B,4,Data!$G:$G,"CDU")</f>
        <v>1850.1686</v>
      </c>
      <c r="F8" s="10">
        <f>SUMIFS(Data!$K:$K,Data!$A:$A,2025,Data!$B:$B,5,Data!$G:$G,"CDU")</f>
        <v>956.3466</v>
      </c>
      <c r="G8" s="10">
        <f>SUMIFS(Data!$K:$K,Data!$A:$A,2025,Data!$B:$B,6,Data!$G:$G,"CDU")</f>
        <v>488.1771</v>
      </c>
      <c r="H8" s="10">
        <f>SUMIFS(Data!$K:$K,Data!$A:$A,2025,Data!$B:$B,7,Data!$G:$G,"CDU")</f>
        <v>349.903</v>
      </c>
      <c r="I8" s="10">
        <f>SUMIFS(Data!$K:$K,Data!$A:$A,2025,Data!$B:$B,8,Data!$G:$G,"CDU")</f>
        <v>393.86580000000004</v>
      </c>
      <c r="J8" s="10">
        <f>SUMIFS(Data!$K:$K,Data!$A:$A,2025,Data!$B:$B,9,Data!$G:$G,"CDU")</f>
        <v>1152.71</v>
      </c>
      <c r="K8" s="10">
        <f>SUMIFS(Data!$K:$K,Data!$A:$A,2025,Data!$B:$B,10,Data!$G:$G,"CDU")</f>
        <v>1864.885</v>
      </c>
      <c r="L8" s="10">
        <f>SUMIFS(Data!$K:$K,Data!$A:$A,2025,Data!$B:$B,11,Data!$G:$G,"CDU")</f>
        <v>989.6356</v>
      </c>
      <c r="M8" s="10">
        <f>SUMIFS(Data!$K:$K,Data!$A:$A,2025,Data!$B:$B,12,Data!$G:$G,"CDU")</f>
        <v>313.306</v>
      </c>
    </row>
    <row r="9" spans="1:13">
      <c r="A9" s="9">
        <v>2026</v>
      </c>
      <c r="B9" s="10">
        <f>SUMIFS(Data!$K:$K,Data!$A:$A,2026,Data!$B:$B,1,Data!$G:$G,"CDU")</f>
        <v>531.3</v>
      </c>
      <c r="C9" s="10">
        <f>SUMIFS(Data!$K:$K,Data!$A:$A,2026,Data!$B:$B,2,Data!$G:$G,"CDU")</f>
        <v>1246.845</v>
      </c>
      <c r="D9" s="10">
        <f>SUMIFS(Data!$K:$K,Data!$A:$A,2026,Data!$B:$B,3,Data!$G:$G,"CDU")</f>
        <v>968.521</v>
      </c>
      <c r="E9" s="10">
        <f>SUMIFS(Data!$K:$K,Data!$A:$A,2026,Data!$B:$B,4,Data!$G:$G,"CDU")</f>
        <v>1411.605</v>
      </c>
      <c r="F9" s="10">
        <f>SUMIFS(Data!$K:$K,Data!$A:$A,2026,Data!$B:$B,5,Data!$G:$G,"CDU")</f>
        <v>841.202</v>
      </c>
      <c r="G9" s="10">
        <f>SUMIFS(Data!$K:$K,Data!$A:$A,2026,Data!$B:$B,6,Data!$G:$G,"CDU")</f>
        <v>435.03</v>
      </c>
      <c r="H9" s="10">
        <f>SUMIFS(Data!$K:$K,Data!$A:$A,2026,Data!$B:$B,7,Data!$G:$G,"CDU")</f>
        <v>378.602</v>
      </c>
      <c r="I9" s="10">
        <f>SUMIFS(Data!$K:$K,Data!$A:$A,2026,Data!$B:$B,8,Data!$G:$G,"CDU")</f>
        <v>126.0</v>
      </c>
      <c r="J9" s="10">
        <f>SUMIFS(Data!$K:$K,Data!$A:$A,2026,Data!$B:$B,9,Data!$G:$G,"CDU")</f>
        <v>448.14</v>
      </c>
      <c r="K9" s="10">
        <f>SUMIFS(Data!$K:$K,Data!$A:$A,2026,Data!$B:$B,10,Data!$G:$G,"CDU")</f>
        <v>661.633</v>
      </c>
      <c r="L9" s="10">
        <f>SUMIFS(Data!$K:$K,Data!$A:$A,2026,Data!$B:$B,11,Data!$G:$G,"CDU")</f>
        <v>214.3</v>
      </c>
      <c r="M9" s="10">
        <f>SUMIFS(Data!$K:$K,Data!$A:$A,2026,Data!$B:$B,12,Data!$G:$G,"CDU")</f>
        <v>0.0</v>
      </c>
    </row>
    <row r="10" spans="1:13">
      <c r="A10" s="9">
        <v>2027</v>
      </c>
      <c r="B10" s="10">
        <f>SUMIFS(Data!$K:$K,Data!$A:$A,2027,Data!$B:$B,1,Data!$G:$G,"CDU")</f>
        <v>365.125</v>
      </c>
      <c r="C10" s="10">
        <f>SUMIFS(Data!$K:$K,Data!$A:$A,2027,Data!$B:$B,2,Data!$G:$G,"CDU")</f>
        <v>683.258</v>
      </c>
      <c r="D10" s="10">
        <f>SUMIFS(Data!$K:$K,Data!$A:$A,2027,Data!$B:$B,3,Data!$G:$G,"CDU")</f>
        <v>1062.14</v>
      </c>
      <c r="E10" s="10">
        <f>SUMIFS(Data!$K:$K,Data!$A:$A,2027,Data!$B:$B,4,Data!$G:$G,"CDU")</f>
        <v>663.255</v>
      </c>
      <c r="F10" s="10">
        <f>SUMIFS(Data!$K:$K,Data!$A:$A,2027,Data!$B:$B,5,Data!$G:$G,"CDU")</f>
        <v>320.192</v>
      </c>
      <c r="G10" s="10">
        <f>SUMIFS(Data!$K:$K,Data!$A:$A,2027,Data!$B:$B,6,Data!$G:$G,"CDU")</f>
        <v>96.0</v>
      </c>
      <c r="H10" s="10">
        <f>SUMIFS(Data!$K:$K,Data!$A:$A,2027,Data!$B:$B,7,Data!$G:$G,"CDU")</f>
        <v>96.0</v>
      </c>
      <c r="I10" s="10">
        <f>SUMIFS(Data!$K:$K,Data!$A:$A,2027,Data!$B:$B,8,Data!$G:$G,"CDU")</f>
        <v>27.84</v>
      </c>
      <c r="J10" s="10">
        <f>SUMIFS(Data!$K:$K,Data!$A:$A,2027,Data!$B:$B,9,Data!$G:$G,"CDU")</f>
        <v>976.735</v>
      </c>
      <c r="K10" s="10">
        <f>SUMIFS(Data!$K:$K,Data!$A:$A,2027,Data!$B:$B,10,Data!$G:$G,"CDU")</f>
        <v>1307.315</v>
      </c>
      <c r="L10" s="10">
        <f>SUMIFS(Data!$K:$K,Data!$A:$A,2027,Data!$B:$B,11,Data!$G:$G,"CDU")</f>
        <v>283.90000000000003</v>
      </c>
      <c r="M10" s="10">
        <f>SUMIFS(Data!$K:$K,Data!$A:$A,2027,Data!$B:$B,12,Data!$G:$G,"CDU")</f>
        <v>0.0</v>
      </c>
    </row>
    <row r="13" spans="1:13">
      <c r="A13" s="3" t="s">
        <v>71</v>
      </c>
    </row>
    <row r="14" spans="1:13">
      <c r="A14" s="7" t="s">
        <v>58</v>
      </c>
      <c r="B14" s="8" t="s">
        <v>59</v>
      </c>
      <c r="C14" s="8" t="s">
        <v>60</v>
      </c>
      <c r="D14" s="8" t="s">
        <v>61</v>
      </c>
      <c r="E14" s="8" t="s">
        <v>62</v>
      </c>
      <c r="F14" s="8" t="s">
        <v>63</v>
      </c>
      <c r="G14" s="8" t="s">
        <v>64</v>
      </c>
      <c r="H14" s="8" t="s">
        <v>65</v>
      </c>
      <c r="I14" s="8" t="s">
        <v>66</v>
      </c>
      <c r="J14" s="8" t="s">
        <v>67</v>
      </c>
      <c r="K14" s="8" t="s">
        <v>68</v>
      </c>
      <c r="L14" s="8" t="s">
        <v>69</v>
      </c>
      <c r="M14" s="8" t="s">
        <v>70</v>
      </c>
    </row>
    <row r="15" spans="1:13">
      <c r="A15" s="9">
        <v>2023</v>
      </c>
      <c r="B15" s="10">
        <f>SUMIFS(Data!$K:$K,Data!$A:$A,2023,Data!$B:$B,1,Data!$G:$G,"FCC")</f>
        <v>810.943</v>
      </c>
      <c r="C15" s="10">
        <f>SUMIFS(Data!$K:$K,Data!$A:$A,2023,Data!$B:$B,2,Data!$G:$G,"FCC")</f>
        <v>1025.05</v>
      </c>
      <c r="D15" s="10">
        <f>SUMIFS(Data!$K:$K,Data!$A:$A,2023,Data!$B:$B,3,Data!$G:$G,"FCC")</f>
        <v>880.265</v>
      </c>
      <c r="E15" s="10">
        <f>SUMIFS(Data!$K:$K,Data!$A:$A,2023,Data!$B:$B,4,Data!$G:$G,"FCC")</f>
        <v>615.626</v>
      </c>
      <c r="F15" s="10">
        <f>SUMIFS(Data!$K:$K,Data!$A:$A,2023,Data!$B:$B,5,Data!$G:$G,"FCC")</f>
        <v>530.395</v>
      </c>
      <c r="G15" s="10">
        <f>SUMIFS(Data!$K:$K,Data!$A:$A,2023,Data!$B:$B,6,Data!$G:$G,"FCC")</f>
        <v>406.9475</v>
      </c>
      <c r="H15" s="10">
        <f>SUMIFS(Data!$K:$K,Data!$A:$A,2023,Data!$B:$B,7,Data!$G:$G,"FCC")</f>
        <v>232.66</v>
      </c>
      <c r="I15" s="10">
        <f>SUMIFS(Data!$K:$K,Data!$A:$A,2023,Data!$B:$B,8,Data!$G:$G,"FCC")</f>
        <v>161.055</v>
      </c>
      <c r="J15" s="10">
        <f>SUMIFS(Data!$K:$K,Data!$A:$A,2023,Data!$B:$B,9,Data!$G:$G,"FCC")</f>
        <v>407.94</v>
      </c>
      <c r="K15" s="10">
        <f>SUMIFS(Data!$K:$K,Data!$A:$A,2023,Data!$B:$B,10,Data!$G:$G,"FCC")</f>
        <v>590.53</v>
      </c>
      <c r="L15" s="10">
        <f>SUMIFS(Data!$K:$K,Data!$A:$A,2023,Data!$B:$B,11,Data!$G:$G,"FCC")</f>
        <v>347.605</v>
      </c>
      <c r="M15" s="10">
        <f>SUMIFS(Data!$K:$K,Data!$A:$A,2023,Data!$B:$B,12,Data!$G:$G,"FCC")</f>
        <v>152.404</v>
      </c>
    </row>
    <row r="16" spans="1:13">
      <c r="A16" s="9">
        <v>2024</v>
      </c>
      <c r="B16" s="10">
        <f>SUMIFS(Data!$K:$K,Data!$A:$A,2024,Data!$B:$B,1,Data!$G:$G,"FCC")</f>
        <v>313.199</v>
      </c>
      <c r="C16" s="10">
        <f>SUMIFS(Data!$K:$K,Data!$A:$A,2024,Data!$B:$B,2,Data!$G:$G,"FCC")</f>
        <v>1054.9718</v>
      </c>
      <c r="D16" s="10">
        <f>SUMIFS(Data!$K:$K,Data!$A:$A,2024,Data!$B:$B,3,Data!$G:$G,"FCC")</f>
        <v>579.138</v>
      </c>
      <c r="E16" s="10">
        <f>SUMIFS(Data!$K:$K,Data!$A:$A,2024,Data!$B:$B,4,Data!$G:$G,"FCC")</f>
        <v>489.937</v>
      </c>
      <c r="F16" s="10">
        <f>SUMIFS(Data!$K:$K,Data!$A:$A,2024,Data!$B:$B,5,Data!$G:$G,"FCC")</f>
        <v>277.135</v>
      </c>
      <c r="G16" s="10">
        <f>SUMIFS(Data!$K:$K,Data!$A:$A,2024,Data!$B:$B,6,Data!$G:$G,"FCC")</f>
        <v>334.165</v>
      </c>
      <c r="H16" s="10">
        <f>SUMIFS(Data!$K:$K,Data!$A:$A,2024,Data!$B:$B,7,Data!$G:$G,"FCC")</f>
        <v>356.206</v>
      </c>
      <c r="I16" s="10">
        <f>SUMIFS(Data!$K:$K,Data!$A:$A,2024,Data!$B:$B,8,Data!$G:$G,"FCC")</f>
        <v>309.4394</v>
      </c>
      <c r="J16" s="10">
        <f>SUMIFS(Data!$K:$K,Data!$A:$A,2024,Data!$B:$B,9,Data!$G:$G,"FCC")</f>
        <v>652.189</v>
      </c>
      <c r="K16" s="10">
        <f>SUMIFS(Data!$K:$K,Data!$A:$A,2024,Data!$B:$B,10,Data!$G:$G,"FCC")</f>
        <v>453.501</v>
      </c>
      <c r="L16" s="10">
        <f>SUMIFS(Data!$K:$K,Data!$A:$A,2024,Data!$B:$B,11,Data!$G:$G,"FCC")</f>
        <v>153.011</v>
      </c>
      <c r="M16" s="10">
        <f>SUMIFS(Data!$K:$K,Data!$A:$A,2024,Data!$B:$B,12,Data!$G:$G,"FCC")</f>
        <v>59.754</v>
      </c>
    </row>
    <row r="17" spans="1:13">
      <c r="A17" s="9">
        <v>2025</v>
      </c>
      <c r="B17" s="10">
        <f>SUMIFS(Data!$K:$K,Data!$A:$A,2025,Data!$B:$B,1,Data!$G:$G,"FCC")</f>
        <v>297.316</v>
      </c>
      <c r="C17" s="10">
        <f>SUMIFS(Data!$K:$K,Data!$A:$A,2025,Data!$B:$B,2,Data!$G:$G,"FCC")</f>
        <v>403.831</v>
      </c>
      <c r="D17" s="10">
        <f>SUMIFS(Data!$K:$K,Data!$A:$A,2025,Data!$B:$B,3,Data!$G:$G,"FCC")</f>
        <v>472.933</v>
      </c>
      <c r="E17" s="10">
        <f>SUMIFS(Data!$K:$K,Data!$A:$A,2025,Data!$B:$B,4,Data!$G:$G,"FCC")</f>
        <v>576.225</v>
      </c>
      <c r="F17" s="10">
        <f>SUMIFS(Data!$K:$K,Data!$A:$A,2025,Data!$B:$B,5,Data!$G:$G,"FCC")</f>
        <v>393.455</v>
      </c>
      <c r="G17" s="10">
        <f>SUMIFS(Data!$K:$K,Data!$A:$A,2025,Data!$B:$B,6,Data!$G:$G,"FCC")</f>
        <v>215.541</v>
      </c>
      <c r="H17" s="10">
        <f>SUMIFS(Data!$K:$K,Data!$A:$A,2025,Data!$B:$B,7,Data!$G:$G,"FCC")</f>
        <v>183.557</v>
      </c>
      <c r="I17" s="10">
        <f>SUMIFS(Data!$K:$K,Data!$A:$A,2025,Data!$B:$B,8,Data!$G:$G,"FCC")</f>
        <v>235.215</v>
      </c>
      <c r="J17" s="10">
        <f>SUMIFS(Data!$K:$K,Data!$A:$A,2025,Data!$B:$B,9,Data!$G:$G,"FCC")</f>
        <v>364.325</v>
      </c>
      <c r="K17" s="10">
        <f>SUMIFS(Data!$K:$K,Data!$A:$A,2025,Data!$B:$B,10,Data!$G:$G,"FCC")</f>
        <v>702.5715</v>
      </c>
      <c r="L17" s="10">
        <f>SUMIFS(Data!$K:$K,Data!$A:$A,2025,Data!$B:$B,11,Data!$G:$G,"FCC")</f>
        <v>409.0129</v>
      </c>
      <c r="M17" s="10">
        <f>SUMIFS(Data!$K:$K,Data!$A:$A,2025,Data!$B:$B,12,Data!$G:$G,"FCC")</f>
        <v>75.961</v>
      </c>
    </row>
    <row r="18" spans="1:13">
      <c r="A18" s="9">
        <v>2026</v>
      </c>
      <c r="B18" s="10">
        <f>SUMIFS(Data!$K:$K,Data!$A:$A,2026,Data!$B:$B,1,Data!$G:$G,"FCC")</f>
        <v>299.98</v>
      </c>
      <c r="C18" s="10">
        <f>SUMIFS(Data!$K:$K,Data!$A:$A,2026,Data!$B:$B,2,Data!$G:$G,"FCC")</f>
        <v>559.7625</v>
      </c>
      <c r="D18" s="10">
        <f>SUMIFS(Data!$K:$K,Data!$A:$A,2026,Data!$B:$B,3,Data!$G:$G,"FCC")</f>
        <v>331.375</v>
      </c>
      <c r="E18" s="10">
        <f>SUMIFS(Data!$K:$K,Data!$A:$A,2026,Data!$B:$B,4,Data!$G:$G,"FCC")</f>
        <v>558.008</v>
      </c>
      <c r="F18" s="10">
        <f>SUMIFS(Data!$K:$K,Data!$A:$A,2026,Data!$B:$B,5,Data!$G:$G,"FCC")</f>
        <v>360.0815</v>
      </c>
      <c r="G18" s="10">
        <f>SUMIFS(Data!$K:$K,Data!$A:$A,2026,Data!$B:$B,6,Data!$G:$G,"FCC")</f>
        <v>147.405</v>
      </c>
      <c r="H18" s="10">
        <f>SUMIFS(Data!$K:$K,Data!$A:$A,2026,Data!$B:$B,7,Data!$G:$G,"FCC")</f>
        <v>69.8</v>
      </c>
      <c r="I18" s="10">
        <f>SUMIFS(Data!$K:$K,Data!$A:$A,2026,Data!$B:$B,8,Data!$G:$G,"FCC")</f>
        <v>30.6</v>
      </c>
      <c r="J18" s="10">
        <f>SUMIFS(Data!$K:$K,Data!$A:$A,2026,Data!$B:$B,9,Data!$G:$G,"FCC")</f>
        <v>68.93</v>
      </c>
      <c r="K18" s="10">
        <f>SUMIFS(Data!$K:$K,Data!$A:$A,2026,Data!$B:$B,10,Data!$G:$G,"FCC")</f>
        <v>189.01</v>
      </c>
      <c r="L18" s="10">
        <f>SUMIFS(Data!$K:$K,Data!$A:$A,2026,Data!$B:$B,11,Data!$G:$G,"FCC")</f>
        <v>127.225</v>
      </c>
      <c r="M18" s="10">
        <f>SUMIFS(Data!$K:$K,Data!$A:$A,2026,Data!$B:$B,12,Data!$G:$G,"FCC")</f>
        <v>4.8</v>
      </c>
    </row>
    <row r="19" spans="1:13">
      <c r="A19" s="9">
        <v>2027</v>
      </c>
      <c r="B19" s="10">
        <f>SUMIFS(Data!$K:$K,Data!$A:$A,2027,Data!$B:$B,1,Data!$G:$G,"FCC")</f>
        <v>250.98000000000002</v>
      </c>
      <c r="C19" s="10">
        <f>SUMIFS(Data!$K:$K,Data!$A:$A,2027,Data!$B:$B,2,Data!$G:$G,"FCC")</f>
        <v>450.5215</v>
      </c>
      <c r="D19" s="10">
        <f>SUMIFS(Data!$K:$K,Data!$A:$A,2027,Data!$B:$B,3,Data!$G:$G,"FCC")</f>
        <v>447.892</v>
      </c>
      <c r="E19" s="10">
        <f>SUMIFS(Data!$K:$K,Data!$A:$A,2027,Data!$B:$B,4,Data!$G:$G,"FCC")</f>
        <v>150.455</v>
      </c>
      <c r="F19" s="10">
        <f>SUMIFS(Data!$K:$K,Data!$A:$A,2027,Data!$B:$B,5,Data!$G:$G,"FCC")</f>
        <v>23.3</v>
      </c>
      <c r="G19" s="10">
        <f>SUMIFS(Data!$K:$K,Data!$A:$A,2027,Data!$B:$B,6,Data!$G:$G,"FCC")</f>
        <v>68.255</v>
      </c>
      <c r="H19" s="10">
        <f>SUMIFS(Data!$K:$K,Data!$A:$A,2027,Data!$B:$B,7,Data!$G:$G,"FCC")</f>
        <v>68.0</v>
      </c>
      <c r="I19" s="10">
        <f>SUMIFS(Data!$K:$K,Data!$A:$A,2027,Data!$B:$B,8,Data!$G:$G,"FCC")</f>
        <v>19.72</v>
      </c>
      <c r="J19" s="10">
        <f>SUMIFS(Data!$K:$K,Data!$A:$A,2027,Data!$B:$B,9,Data!$G:$G,"FCC")</f>
        <v>176.274</v>
      </c>
      <c r="K19" s="10">
        <f>SUMIFS(Data!$K:$K,Data!$A:$A,2027,Data!$B:$B,10,Data!$G:$G,"FCC")</f>
        <v>189.624</v>
      </c>
      <c r="L19" s="10">
        <f>SUMIFS(Data!$K:$K,Data!$A:$A,2027,Data!$B:$B,11,Data!$G:$G,"FCC")</f>
        <v>54.870000000000005</v>
      </c>
      <c r="M19" s="10">
        <f>SUMIFS(Data!$K:$K,Data!$A:$A,2027,Data!$B:$B,12,Data!$G:$G,"FCC")</f>
        <v>0.0</v>
      </c>
    </row>
    <row r="22" spans="1:13">
      <c r="A22" s="3" t="s">
        <v>14</v>
      </c>
    </row>
    <row r="23" spans="1:13">
      <c r="A23" s="7" t="s">
        <v>58</v>
      </c>
      <c r="B23" s="8" t="s">
        <v>59</v>
      </c>
      <c r="C23" s="8" t="s">
        <v>60</v>
      </c>
      <c r="D23" s="8" t="s">
        <v>61</v>
      </c>
      <c r="E23" s="8" t="s">
        <v>62</v>
      </c>
      <c r="F23" s="8" t="s">
        <v>63</v>
      </c>
      <c r="G23" s="8" t="s">
        <v>64</v>
      </c>
      <c r="H23" s="8" t="s">
        <v>65</v>
      </c>
      <c r="I23" s="8" t="s">
        <v>66</v>
      </c>
      <c r="J23" s="8" t="s">
        <v>67</v>
      </c>
      <c r="K23" s="8" t="s">
        <v>68</v>
      </c>
      <c r="L23" s="8" t="s">
        <v>69</v>
      </c>
      <c r="M23" s="8" t="s">
        <v>70</v>
      </c>
    </row>
    <row r="24" spans="1:13">
      <c r="A24" s="9">
        <v>2023</v>
      </c>
      <c r="B24" s="10">
        <f>SUMIFS(Data!$K:$K,Data!$A:$A,2023,Data!$B:$B,1,Data!$G:$G,"Hydrocracker")</f>
        <v>281.7</v>
      </c>
      <c r="C24" s="10">
        <f>SUMIFS(Data!$K:$K,Data!$A:$A,2023,Data!$B:$B,2,Data!$G:$G,"Hydrocracker")</f>
        <v>420.495</v>
      </c>
      <c r="D24" s="10">
        <f>SUMIFS(Data!$K:$K,Data!$A:$A,2023,Data!$B:$B,3,Data!$G:$G,"Hydrocracker")</f>
        <v>492.64300000000003</v>
      </c>
      <c r="E24" s="10">
        <f>SUMIFS(Data!$K:$K,Data!$A:$A,2023,Data!$B:$B,4,Data!$G:$G,"Hydrocracker")</f>
        <v>424.371</v>
      </c>
      <c r="F24" s="10">
        <f>SUMIFS(Data!$K:$K,Data!$A:$A,2023,Data!$B:$B,5,Data!$G:$G,"Hydrocracker")</f>
        <v>158.444</v>
      </c>
      <c r="G24" s="10">
        <f>SUMIFS(Data!$K:$K,Data!$A:$A,2023,Data!$B:$B,6,Data!$G:$G,"Hydrocracker")</f>
        <v>11.7462</v>
      </c>
      <c r="H24" s="10">
        <f>SUMIFS(Data!$K:$K,Data!$A:$A,2023,Data!$B:$B,7,Data!$G:$G,"Hydrocracker")</f>
        <v>40.6884</v>
      </c>
      <c r="I24" s="10">
        <f>SUMIFS(Data!$K:$K,Data!$A:$A,2023,Data!$B:$B,8,Data!$G:$G,"Hydrocracker")</f>
        <v>64.31299999999999</v>
      </c>
      <c r="J24" s="10">
        <f>SUMIFS(Data!$K:$K,Data!$A:$A,2023,Data!$B:$B,9,Data!$G:$G,"Hydrocracker")</f>
        <v>85.565</v>
      </c>
      <c r="K24" s="10">
        <f>SUMIFS(Data!$K:$K,Data!$A:$A,2023,Data!$B:$B,10,Data!$G:$G,"Hydrocracker")</f>
        <v>169.43</v>
      </c>
      <c r="L24" s="10">
        <f>SUMIFS(Data!$K:$K,Data!$A:$A,2023,Data!$B:$B,11,Data!$G:$G,"Hydrocracker")</f>
        <v>66.22</v>
      </c>
      <c r="M24" s="10">
        <f>SUMIFS(Data!$K:$K,Data!$A:$A,2023,Data!$B:$B,12,Data!$G:$G,"Hydrocracker")</f>
        <v>60.28</v>
      </c>
    </row>
    <row r="25" spans="1:13">
      <c r="A25" s="9">
        <v>2024</v>
      </c>
      <c r="B25" s="10">
        <f>SUMIFS(Data!$K:$K,Data!$A:$A,2024,Data!$B:$B,1,Data!$G:$G,"Hydrocracker")</f>
        <v>248.172</v>
      </c>
      <c r="C25" s="10">
        <f>SUMIFS(Data!$K:$K,Data!$A:$A,2024,Data!$B:$B,2,Data!$G:$G,"Hydrocracker")</f>
        <v>429.613</v>
      </c>
      <c r="D25" s="10">
        <f>SUMIFS(Data!$K:$K,Data!$A:$A,2024,Data!$B:$B,3,Data!$G:$G,"Hydrocracker")</f>
        <v>305.265</v>
      </c>
      <c r="E25" s="10">
        <f>SUMIFS(Data!$K:$K,Data!$A:$A,2024,Data!$B:$B,4,Data!$G:$G,"Hydrocracker")</f>
        <v>142.443</v>
      </c>
      <c r="F25" s="10">
        <f>SUMIFS(Data!$K:$K,Data!$A:$A,2024,Data!$B:$B,5,Data!$G:$G,"Hydrocracker")</f>
        <v>153.69</v>
      </c>
      <c r="G25" s="10">
        <f>SUMIFS(Data!$K:$K,Data!$A:$A,2024,Data!$B:$B,6,Data!$G:$G,"Hydrocracker")</f>
        <v>81.81</v>
      </c>
      <c r="H25" s="10">
        <f>SUMIFS(Data!$K:$K,Data!$A:$A,2024,Data!$B:$B,7,Data!$G:$G,"Hydrocracker")</f>
        <v>44.115</v>
      </c>
      <c r="I25" s="10">
        <f>SUMIFS(Data!$K:$K,Data!$A:$A,2024,Data!$B:$B,8,Data!$G:$G,"Hydrocracker")</f>
        <v>39.24</v>
      </c>
      <c r="J25" s="10">
        <f>SUMIFS(Data!$K:$K,Data!$A:$A,2024,Data!$B:$B,9,Data!$G:$G,"Hydrocracker")</f>
        <v>212.99</v>
      </c>
      <c r="K25" s="10">
        <f>SUMIFS(Data!$K:$K,Data!$A:$A,2024,Data!$B:$B,10,Data!$G:$G,"Hydrocracker")</f>
        <v>245.07999999999998</v>
      </c>
      <c r="L25" s="10">
        <f>SUMIFS(Data!$K:$K,Data!$A:$A,2024,Data!$B:$B,11,Data!$G:$G,"Hydrocracker")</f>
        <v>91.11</v>
      </c>
      <c r="M25" s="10">
        <f>SUMIFS(Data!$K:$K,Data!$A:$A,2024,Data!$B:$B,12,Data!$G:$G,"Hydrocracker")</f>
        <v>64.27</v>
      </c>
    </row>
    <row r="26" spans="1:13">
      <c r="A26" s="9">
        <v>2025</v>
      </c>
      <c r="B26" s="10">
        <f>SUMIFS(Data!$K:$K,Data!$A:$A,2025,Data!$B:$B,1,Data!$G:$G,"Hydrocracker")</f>
        <v>158.245</v>
      </c>
      <c r="C26" s="10">
        <f>SUMIFS(Data!$K:$K,Data!$A:$A,2025,Data!$B:$B,2,Data!$G:$G,"Hydrocracker")</f>
        <v>255.94</v>
      </c>
      <c r="D26" s="10">
        <f>SUMIFS(Data!$K:$K,Data!$A:$A,2025,Data!$B:$B,3,Data!$G:$G,"Hydrocracker")</f>
        <v>219.599</v>
      </c>
      <c r="E26" s="10">
        <f>SUMIFS(Data!$K:$K,Data!$A:$A,2025,Data!$B:$B,4,Data!$G:$G,"Hydrocracker")</f>
        <v>244.39000000000001</v>
      </c>
      <c r="F26" s="10">
        <f>SUMIFS(Data!$K:$K,Data!$A:$A,2025,Data!$B:$B,5,Data!$G:$G,"Hydrocracker")</f>
        <v>128.7</v>
      </c>
      <c r="G26" s="10">
        <f>SUMIFS(Data!$K:$K,Data!$A:$A,2025,Data!$B:$B,6,Data!$G:$G,"Hydrocracker")</f>
        <v>149.126</v>
      </c>
      <c r="H26" s="10">
        <f>SUMIFS(Data!$K:$K,Data!$A:$A,2025,Data!$B:$B,7,Data!$G:$G,"Hydrocracker")</f>
        <v>155.39499999999998</v>
      </c>
      <c r="I26" s="10">
        <f>SUMIFS(Data!$K:$K,Data!$A:$A,2025,Data!$B:$B,8,Data!$G:$G,"Hydrocracker")</f>
        <v>201.5</v>
      </c>
      <c r="J26" s="10">
        <f>SUMIFS(Data!$K:$K,Data!$A:$A,2025,Data!$B:$B,9,Data!$G:$G,"Hydrocracker")</f>
        <v>144.05</v>
      </c>
      <c r="K26" s="10">
        <f>SUMIFS(Data!$K:$K,Data!$A:$A,2025,Data!$B:$B,10,Data!$G:$G,"Hydrocracker")</f>
        <v>242.68</v>
      </c>
      <c r="L26" s="10">
        <f>SUMIFS(Data!$K:$K,Data!$A:$A,2025,Data!$B:$B,11,Data!$G:$G,"Hydrocracker")</f>
        <v>146.955</v>
      </c>
      <c r="M26" s="10">
        <f>SUMIFS(Data!$K:$K,Data!$A:$A,2025,Data!$B:$B,12,Data!$G:$G,"Hydrocracker")</f>
        <v>84.29</v>
      </c>
    </row>
    <row r="27" spans="1:13">
      <c r="A27" s="9">
        <v>2026</v>
      </c>
      <c r="B27" s="10">
        <f>SUMIFS(Data!$K:$K,Data!$A:$A,2026,Data!$B:$B,1,Data!$G:$G,"Hydrocracker")</f>
        <v>50.92</v>
      </c>
      <c r="C27" s="10">
        <f>SUMIFS(Data!$K:$K,Data!$A:$A,2026,Data!$B:$B,2,Data!$G:$G,"Hydrocracker")</f>
        <v>68.32</v>
      </c>
      <c r="D27" s="10">
        <f>SUMIFS(Data!$K:$K,Data!$A:$A,2026,Data!$B:$B,3,Data!$G:$G,"Hydrocracker")</f>
        <v>145.776</v>
      </c>
      <c r="E27" s="10">
        <f>SUMIFS(Data!$K:$K,Data!$A:$A,2026,Data!$B:$B,4,Data!$G:$G,"Hydrocracker")</f>
        <v>172.765</v>
      </c>
      <c r="F27" s="10">
        <f>SUMIFS(Data!$K:$K,Data!$A:$A,2026,Data!$B:$B,5,Data!$G:$G,"Hydrocracker")</f>
        <v>92.77</v>
      </c>
      <c r="G27" s="10">
        <f>SUMIFS(Data!$K:$K,Data!$A:$A,2026,Data!$B:$B,6,Data!$G:$G,"Hydrocracker")</f>
        <v>21.38</v>
      </c>
      <c r="H27" s="10">
        <f>SUMIFS(Data!$K:$K,Data!$A:$A,2026,Data!$B:$B,7,Data!$G:$G,"Hydrocracker")</f>
        <v>30.240000000000002</v>
      </c>
      <c r="I27" s="10">
        <f>SUMIFS(Data!$K:$K,Data!$A:$A,2026,Data!$B:$B,8,Data!$G:$G,"Hydrocracker")</f>
        <v>69.66</v>
      </c>
      <c r="J27" s="10">
        <f>SUMIFS(Data!$K:$K,Data!$A:$A,2026,Data!$B:$B,9,Data!$G:$G,"Hydrocracker")</f>
        <v>149.15</v>
      </c>
      <c r="K27" s="10">
        <f>SUMIFS(Data!$K:$K,Data!$A:$A,2026,Data!$B:$B,10,Data!$G:$G,"Hydrocracker")</f>
        <v>73.97999999999999</v>
      </c>
      <c r="L27" s="10">
        <f>SUMIFS(Data!$K:$K,Data!$A:$A,2026,Data!$B:$B,11,Data!$G:$G,"Hydrocracker")</f>
        <v>17.296</v>
      </c>
      <c r="M27" s="10">
        <f>SUMIFS(Data!$K:$K,Data!$A:$A,2026,Data!$B:$B,12,Data!$G:$G,"Hydrocracker")</f>
        <v>0.0</v>
      </c>
    </row>
    <row r="28" spans="1:13">
      <c r="A28" s="9">
        <v>2027</v>
      </c>
      <c r="B28" s="10">
        <f>SUMIFS(Data!$K:$K,Data!$A:$A,2027,Data!$B:$B,1,Data!$G:$G,"Hydrocracker")</f>
        <v>121.41</v>
      </c>
      <c r="C28" s="10">
        <f>SUMIFS(Data!$K:$K,Data!$A:$A,2027,Data!$B:$B,2,Data!$G:$G,"Hydrocracker")</f>
        <v>141.67000000000002</v>
      </c>
      <c r="D28" s="10">
        <f>SUMIFS(Data!$K:$K,Data!$A:$A,2027,Data!$B:$B,3,Data!$G:$G,"Hydrocracker")</f>
        <v>75.53</v>
      </c>
      <c r="E28" s="10">
        <f>SUMIFS(Data!$K:$K,Data!$A:$A,2027,Data!$B:$B,4,Data!$G:$G,"Hydrocracker")</f>
        <v>39.15</v>
      </c>
      <c r="F28" s="10">
        <f>SUMIFS(Data!$K:$K,Data!$A:$A,2027,Data!$B:$B,5,Data!$G:$G,"Hydrocracker")</f>
        <v>0.0</v>
      </c>
      <c r="G28" s="10">
        <f>SUMIFS(Data!$K:$K,Data!$A:$A,2027,Data!$B:$B,6,Data!$G:$G,"Hydrocracker")</f>
        <v>0.0</v>
      </c>
      <c r="H28" s="10">
        <f>SUMIFS(Data!$K:$K,Data!$A:$A,2027,Data!$B:$B,7,Data!$G:$G,"Hydrocracker")</f>
        <v>0.0</v>
      </c>
      <c r="I28" s="10">
        <f>SUMIFS(Data!$K:$K,Data!$A:$A,2027,Data!$B:$B,8,Data!$G:$G,"Hydrocracker")</f>
        <v>0.0</v>
      </c>
      <c r="J28" s="10">
        <f>SUMIFS(Data!$K:$K,Data!$A:$A,2027,Data!$B:$B,9,Data!$G:$G,"Hydrocracker")</f>
        <v>104.88</v>
      </c>
      <c r="K28" s="10">
        <f>SUMIFS(Data!$K:$K,Data!$A:$A,2027,Data!$B:$B,10,Data!$G:$G,"Hydrocracker")</f>
        <v>63.940000000000005</v>
      </c>
      <c r="L28" s="10">
        <f>SUMIFS(Data!$K:$K,Data!$A:$A,2027,Data!$B:$B,11,Data!$G:$G,"Hydrocracker")</f>
        <v>17.653</v>
      </c>
      <c r="M28" s="10">
        <f>SUMIFS(Data!$K:$K,Data!$A:$A,2027,Data!$B:$B,12,Data!$G:$G,"Hydrocracker")</f>
        <v>0.0</v>
      </c>
    </row>
    <row r="31" spans="1:13">
      <c r="A31" s="3" t="s">
        <v>15</v>
      </c>
    </row>
    <row r="32" spans="1:13">
      <c r="A32" s="7" t="s">
        <v>58</v>
      </c>
      <c r="B32" s="8" t="s">
        <v>59</v>
      </c>
      <c r="C32" s="8" t="s">
        <v>60</v>
      </c>
      <c r="D32" s="8" t="s">
        <v>61</v>
      </c>
      <c r="E32" s="8" t="s">
        <v>62</v>
      </c>
      <c r="F32" s="8" t="s">
        <v>63</v>
      </c>
      <c r="G32" s="8" t="s">
        <v>64</v>
      </c>
      <c r="H32" s="8" t="s">
        <v>65</v>
      </c>
      <c r="I32" s="8" t="s">
        <v>66</v>
      </c>
      <c r="J32" s="8" t="s">
        <v>67</v>
      </c>
      <c r="K32" s="8" t="s">
        <v>68</v>
      </c>
      <c r="L32" s="8" t="s">
        <v>69</v>
      </c>
      <c r="M32" s="8" t="s">
        <v>70</v>
      </c>
    </row>
    <row r="33" spans="1:13">
      <c r="A33" s="9">
        <v>2023</v>
      </c>
      <c r="B33" s="10">
        <f>SUMIFS(Data!$K:$K,Data!$A:$A,2023,Data!$B:$B,1,Data!$G:$G,"Reformer")</f>
        <v>432.859</v>
      </c>
      <c r="C33" s="10">
        <f>SUMIFS(Data!$K:$K,Data!$A:$A,2023,Data!$B:$B,2,Data!$G:$G,"Reformer")</f>
        <v>453.94</v>
      </c>
      <c r="D33" s="10">
        <f>SUMIFS(Data!$K:$K,Data!$A:$A,2023,Data!$B:$B,3,Data!$G:$G,"Reformer")</f>
        <v>486.416</v>
      </c>
      <c r="E33" s="10">
        <f>SUMIFS(Data!$K:$K,Data!$A:$A,2023,Data!$B:$B,4,Data!$G:$G,"Reformer")</f>
        <v>495.342</v>
      </c>
      <c r="F33" s="10">
        <f>SUMIFS(Data!$K:$K,Data!$A:$A,2023,Data!$B:$B,5,Data!$G:$G,"Reformer")</f>
        <v>360.457</v>
      </c>
      <c r="G33" s="10">
        <f>SUMIFS(Data!$K:$K,Data!$A:$A,2023,Data!$B:$B,6,Data!$G:$G,"Reformer")</f>
        <v>198.97</v>
      </c>
      <c r="H33" s="10">
        <f>SUMIFS(Data!$K:$K,Data!$A:$A,2023,Data!$B:$B,7,Data!$G:$G,"Reformer")</f>
        <v>147.233</v>
      </c>
      <c r="I33" s="10">
        <f>SUMIFS(Data!$K:$K,Data!$A:$A,2023,Data!$B:$B,8,Data!$G:$G,"Reformer")</f>
        <v>238.18</v>
      </c>
      <c r="J33" s="10">
        <f>SUMIFS(Data!$K:$K,Data!$A:$A,2023,Data!$B:$B,9,Data!$G:$G,"Reformer")</f>
        <v>236.457</v>
      </c>
      <c r="K33" s="10">
        <f>SUMIFS(Data!$K:$K,Data!$A:$A,2023,Data!$B:$B,10,Data!$G:$G,"Reformer")</f>
        <v>529.1175</v>
      </c>
      <c r="L33" s="10">
        <f>SUMIFS(Data!$K:$K,Data!$A:$A,2023,Data!$B:$B,11,Data!$G:$G,"Reformer")</f>
        <v>371.958</v>
      </c>
      <c r="M33" s="10">
        <f>SUMIFS(Data!$K:$K,Data!$A:$A,2023,Data!$B:$B,12,Data!$G:$G,"Reformer")</f>
        <v>67.175</v>
      </c>
    </row>
    <row r="34" spans="1:13">
      <c r="A34" s="9">
        <v>2024</v>
      </c>
      <c r="B34" s="10">
        <f>SUMIFS(Data!$K:$K,Data!$A:$A,2024,Data!$B:$B,1,Data!$G:$G,"Reformer")</f>
        <v>436.8612</v>
      </c>
      <c r="C34" s="10">
        <f>SUMIFS(Data!$K:$K,Data!$A:$A,2024,Data!$B:$B,2,Data!$G:$G,"Reformer")</f>
        <v>843.04</v>
      </c>
      <c r="D34" s="10">
        <f>SUMIFS(Data!$K:$K,Data!$A:$A,2024,Data!$B:$B,3,Data!$G:$G,"Reformer")</f>
        <v>439.2958</v>
      </c>
      <c r="E34" s="10">
        <f>SUMIFS(Data!$K:$K,Data!$A:$A,2024,Data!$B:$B,4,Data!$G:$G,"Reformer")</f>
        <v>470.9954</v>
      </c>
      <c r="F34" s="10">
        <f>SUMIFS(Data!$K:$K,Data!$A:$A,2024,Data!$B:$B,5,Data!$G:$G,"Reformer")</f>
        <v>285.8775</v>
      </c>
      <c r="G34" s="10">
        <f>SUMIFS(Data!$K:$K,Data!$A:$A,2024,Data!$B:$B,6,Data!$G:$G,"Reformer")</f>
        <v>303.314</v>
      </c>
      <c r="H34" s="10">
        <f>SUMIFS(Data!$K:$K,Data!$A:$A,2024,Data!$B:$B,7,Data!$G:$G,"Reformer")</f>
        <v>129.5725</v>
      </c>
      <c r="I34" s="10">
        <f>SUMIFS(Data!$K:$K,Data!$A:$A,2024,Data!$B:$B,8,Data!$G:$G,"Reformer")</f>
        <v>149.935</v>
      </c>
      <c r="J34" s="10">
        <f>SUMIFS(Data!$K:$K,Data!$A:$A,2024,Data!$B:$B,9,Data!$G:$G,"Reformer")</f>
        <v>319.02</v>
      </c>
      <c r="K34" s="10">
        <f>SUMIFS(Data!$K:$K,Data!$A:$A,2024,Data!$B:$B,10,Data!$G:$G,"Reformer")</f>
        <v>587.828</v>
      </c>
      <c r="L34" s="10">
        <f>SUMIFS(Data!$K:$K,Data!$A:$A,2024,Data!$B:$B,11,Data!$G:$G,"Reformer")</f>
        <v>228.1725</v>
      </c>
      <c r="M34" s="10">
        <f>SUMIFS(Data!$K:$K,Data!$A:$A,2024,Data!$B:$B,12,Data!$G:$G,"Reformer")</f>
        <v>29.63</v>
      </c>
    </row>
    <row r="35" spans="1:13">
      <c r="A35" s="9">
        <v>2025</v>
      </c>
      <c r="B35" s="10">
        <f>SUMIFS(Data!$K:$K,Data!$A:$A,2025,Data!$B:$B,1,Data!$G:$G,"Reformer")</f>
        <v>160.3135</v>
      </c>
      <c r="C35" s="10">
        <f>SUMIFS(Data!$K:$K,Data!$A:$A,2025,Data!$B:$B,2,Data!$G:$G,"Reformer")</f>
        <v>251.5285</v>
      </c>
      <c r="D35" s="10">
        <f>SUMIFS(Data!$K:$K,Data!$A:$A,2025,Data!$B:$B,3,Data!$G:$G,"Reformer")</f>
        <v>301.84</v>
      </c>
      <c r="E35" s="10">
        <f>SUMIFS(Data!$K:$K,Data!$A:$A,2025,Data!$B:$B,4,Data!$G:$G,"Reformer")</f>
        <v>443.2805</v>
      </c>
      <c r="F35" s="10">
        <f>SUMIFS(Data!$K:$K,Data!$A:$A,2025,Data!$B:$B,5,Data!$G:$G,"Reformer")</f>
        <v>213.1394</v>
      </c>
      <c r="G35" s="10">
        <f>SUMIFS(Data!$K:$K,Data!$A:$A,2025,Data!$B:$B,6,Data!$G:$G,"Reformer")</f>
        <v>90.0075</v>
      </c>
      <c r="H35" s="10">
        <f>SUMIFS(Data!$K:$K,Data!$A:$A,2025,Data!$B:$B,7,Data!$G:$G,"Reformer")</f>
        <v>37.819</v>
      </c>
      <c r="I35" s="10">
        <f>SUMIFS(Data!$K:$K,Data!$A:$A,2025,Data!$B:$B,8,Data!$G:$G,"Reformer")</f>
        <v>87.89999999999999</v>
      </c>
      <c r="J35" s="10">
        <f>SUMIFS(Data!$K:$K,Data!$A:$A,2025,Data!$B:$B,9,Data!$G:$G,"Reformer")</f>
        <v>131.7565</v>
      </c>
      <c r="K35" s="10">
        <f>SUMIFS(Data!$K:$K,Data!$A:$A,2025,Data!$B:$B,10,Data!$G:$G,"Reformer")</f>
        <v>379.416</v>
      </c>
      <c r="L35" s="10">
        <f>SUMIFS(Data!$K:$K,Data!$A:$A,2025,Data!$B:$B,11,Data!$G:$G,"Reformer")</f>
        <v>227.80949999999999</v>
      </c>
      <c r="M35" s="10">
        <f>SUMIFS(Data!$K:$K,Data!$A:$A,2025,Data!$B:$B,12,Data!$G:$G,"Reformer")</f>
        <v>25.235</v>
      </c>
    </row>
    <row r="36" spans="1:13">
      <c r="A36" s="9">
        <v>2026</v>
      </c>
      <c r="B36" s="10">
        <f>SUMIFS(Data!$K:$K,Data!$A:$A,2026,Data!$B:$B,1,Data!$G:$G,"Reformer")</f>
        <v>95.4175</v>
      </c>
      <c r="C36" s="10">
        <f>SUMIFS(Data!$K:$K,Data!$A:$A,2026,Data!$B:$B,2,Data!$G:$G,"Reformer")</f>
        <v>210.5685</v>
      </c>
      <c r="D36" s="10">
        <f>SUMIFS(Data!$K:$K,Data!$A:$A,2026,Data!$B:$B,3,Data!$G:$G,"Reformer")</f>
        <v>159.17</v>
      </c>
      <c r="E36" s="10">
        <f>SUMIFS(Data!$K:$K,Data!$A:$A,2026,Data!$B:$B,4,Data!$G:$G,"Reformer")</f>
        <v>154.28300000000002</v>
      </c>
      <c r="F36" s="10">
        <f>SUMIFS(Data!$K:$K,Data!$A:$A,2026,Data!$B:$B,5,Data!$G:$G,"Reformer")</f>
        <v>157.769</v>
      </c>
      <c r="G36" s="10">
        <f>SUMIFS(Data!$K:$K,Data!$A:$A,2026,Data!$B:$B,6,Data!$G:$G,"Reformer")</f>
        <v>130.51</v>
      </c>
      <c r="H36" s="10">
        <f>SUMIFS(Data!$K:$K,Data!$A:$A,2026,Data!$B:$B,7,Data!$G:$G,"Reformer")</f>
        <v>98.20400000000001</v>
      </c>
      <c r="I36" s="10">
        <f>SUMIFS(Data!$K:$K,Data!$A:$A,2026,Data!$B:$B,8,Data!$G:$G,"Reformer")</f>
        <v>44.905</v>
      </c>
      <c r="J36" s="10">
        <f>SUMIFS(Data!$K:$K,Data!$A:$A,2026,Data!$B:$B,9,Data!$G:$G,"Reformer")</f>
        <v>137.55</v>
      </c>
      <c r="K36" s="10">
        <f>SUMIFS(Data!$K:$K,Data!$A:$A,2026,Data!$B:$B,10,Data!$G:$G,"Reformer")</f>
        <v>166.385</v>
      </c>
      <c r="L36" s="10">
        <f>SUMIFS(Data!$K:$K,Data!$A:$A,2026,Data!$B:$B,11,Data!$G:$G,"Reformer")</f>
        <v>68.1</v>
      </c>
      <c r="M36" s="10">
        <f>SUMIFS(Data!$K:$K,Data!$A:$A,2026,Data!$B:$B,12,Data!$G:$G,"Reformer")</f>
        <v>0.0</v>
      </c>
    </row>
    <row r="37" spans="1:13">
      <c r="A37" s="9">
        <v>2027</v>
      </c>
      <c r="B37" s="10">
        <f>SUMIFS(Data!$K:$K,Data!$A:$A,2027,Data!$B:$B,1,Data!$G:$G,"Reformer")</f>
        <v>29.125</v>
      </c>
      <c r="C37" s="10">
        <f>SUMIFS(Data!$K:$K,Data!$A:$A,2027,Data!$B:$B,2,Data!$G:$G,"Reformer")</f>
        <v>68.78</v>
      </c>
      <c r="D37" s="10">
        <f>SUMIFS(Data!$K:$K,Data!$A:$A,2027,Data!$B:$B,3,Data!$G:$G,"Reformer")</f>
        <v>184.88899999999998</v>
      </c>
      <c r="E37" s="10">
        <f>SUMIFS(Data!$K:$K,Data!$A:$A,2027,Data!$B:$B,4,Data!$G:$G,"Reformer")</f>
        <v>141.475</v>
      </c>
      <c r="F37" s="10">
        <f>SUMIFS(Data!$K:$K,Data!$A:$A,2027,Data!$B:$B,5,Data!$G:$G,"Reformer")</f>
        <v>45.428</v>
      </c>
      <c r="G37" s="10">
        <f>SUMIFS(Data!$K:$K,Data!$A:$A,2027,Data!$B:$B,6,Data!$G:$G,"Reformer")</f>
        <v>0.3</v>
      </c>
      <c r="H37" s="10">
        <f>SUMIFS(Data!$K:$K,Data!$A:$A,2027,Data!$B:$B,7,Data!$G:$G,"Reformer")</f>
        <v>0.0</v>
      </c>
      <c r="I37" s="10">
        <f>SUMIFS(Data!$K:$K,Data!$A:$A,2027,Data!$B:$B,8,Data!$G:$G,"Reformer")</f>
        <v>0.0</v>
      </c>
      <c r="J37" s="10">
        <f>SUMIFS(Data!$K:$K,Data!$A:$A,2027,Data!$B:$B,9,Data!$G:$G,"Reformer")</f>
        <v>112.05</v>
      </c>
      <c r="K37" s="10">
        <f>SUMIFS(Data!$K:$K,Data!$A:$A,2027,Data!$B:$B,10,Data!$G:$G,"Reformer")</f>
        <v>109.94500000000001</v>
      </c>
      <c r="L37" s="10">
        <f>SUMIFS(Data!$K:$K,Data!$A:$A,2027,Data!$B:$B,11,Data!$G:$G,"Reformer")</f>
        <v>20.105</v>
      </c>
      <c r="M37" s="10">
        <f>SUMIFS(Data!$K:$K,Data!$A:$A,2027,Data!$B:$B,12,Data!$G:$G,"Reformer")</f>
        <v>0.0</v>
      </c>
    </row>
    <row r="40" spans="1:13">
      <c r="A40" s="3" t="s">
        <v>72</v>
      </c>
    </row>
    <row r="41" spans="1:13">
      <c r="A41" s="7" t="s">
        <v>58</v>
      </c>
      <c r="B41" s="8" t="s">
        <v>57</v>
      </c>
      <c r="C41" s="8" t="s">
        <v>71</v>
      </c>
      <c r="D41" s="8" t="s">
        <v>14</v>
      </c>
      <c r="E41" s="8" t="s">
        <v>15</v>
      </c>
    </row>
    <row r="42" spans="1:13">
      <c r="A42" s="9">
        <v>2023</v>
      </c>
      <c r="B42" s="10">
        <f>MAX(B6:M6)</f>
        <v>2180.255</v>
      </c>
      <c r="C42" s="10">
        <f>MAX(B15:M15)</f>
        <v>1025.05</v>
      </c>
      <c r="D42" s="10">
        <f>MAX(B24:M24)</f>
        <v>492.64300000000003</v>
      </c>
      <c r="E42" s="10">
        <f>MAX(B33:M33)</f>
        <v>529.1175</v>
      </c>
    </row>
    <row r="43" spans="1:13">
      <c r="A43" s="9">
        <v>2024</v>
      </c>
      <c r="B43" s="10">
        <f>MAX(B7:M7)</f>
        <v>2142.5348</v>
      </c>
      <c r="C43" s="10">
        <f>MAX(B16:M16)</f>
        <v>1054.9718</v>
      </c>
      <c r="D43" s="10">
        <f>MAX(B25:M25)</f>
        <v>429.613</v>
      </c>
      <c r="E43" s="10">
        <f>MAX(B34:M34)</f>
        <v>843.04</v>
      </c>
    </row>
    <row r="44" spans="1:13">
      <c r="A44" s="9">
        <v>2025</v>
      </c>
      <c r="B44" s="10">
        <f>MAX(B8:M8)</f>
        <v>1864.885</v>
      </c>
      <c r="C44" s="10">
        <f>MAX(B17:M17)</f>
        <v>702.5715</v>
      </c>
      <c r="D44" s="10">
        <f>MAX(B26:M26)</f>
        <v>255.94</v>
      </c>
      <c r="E44" s="10">
        <f>MAX(B35:M35)</f>
        <v>443.2805</v>
      </c>
    </row>
    <row r="45" spans="1:13">
      <c r="A45" s="9">
        <v>2026</v>
      </c>
      <c r="B45" s="10">
        <f>MAX(B9:M9)</f>
        <v>1411.605</v>
      </c>
      <c r="C45" s="10">
        <f>MAX(B18:M18)</f>
        <v>559.7625</v>
      </c>
      <c r="D45" s="10">
        <f>MAX(B27:M27)</f>
        <v>172.765</v>
      </c>
      <c r="E45" s="10">
        <f>MAX(B36:M36)</f>
        <v>210.5685</v>
      </c>
    </row>
    <row r="46" spans="1:13">
      <c r="A46" s="9">
        <v>2027</v>
      </c>
      <c r="B46" s="10">
        <f>MAX(B10:M10)</f>
        <v>1307.315</v>
      </c>
      <c r="C46" s="10">
        <f>MAX(B19:M19)</f>
        <v>450.5215</v>
      </c>
      <c r="D46" s="10">
        <f>MAX(B28:M28)</f>
        <v>141.67000000000002</v>
      </c>
      <c r="E46" s="10">
        <f>MAX(B37:M37)</f>
        <v>184.88899999999998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E8B8B"/>
  </sheetPr>
  <dimension ref="A1:H34"/>
  <sheetViews>
    <sheetView showGridLines="0" zoomScale="110" zoomScaleNormal="110" workbookViewId="0"/>
  </sheetViews>
  <sheetFormatPr defaultRowHeight="15"/>
  <cols>
    <col min="1" max="1" width="30.7109375" customWidth="1"/>
    <col min="2" max="2" width="26.7109375" customWidth="1"/>
    <col min="3" max="3" width="10.7109375" customWidth="1"/>
    <col min="4" max="7" width="9.7109375" customWidth="1"/>
    <col min="8" max="8" width="13.7109375" customWidth="1"/>
  </cols>
  <sheetData>
    <row r="1" spans="1:8" ht="22" customHeight="1">
      <c r="A1" s="1" t="s">
        <v>73</v>
      </c>
    </row>
    <row r="2" spans="1:8">
      <c r="A2" s="2" t="s">
        <v>74</v>
      </c>
    </row>
    <row r="4" spans="1:8">
      <c r="A4" s="7" t="s">
        <v>75</v>
      </c>
      <c r="B4" s="7" t="s">
        <v>34</v>
      </c>
      <c r="C4" s="8" t="s">
        <v>76</v>
      </c>
      <c r="D4" s="8" t="s">
        <v>35</v>
      </c>
      <c r="E4" s="8" t="s">
        <v>36</v>
      </c>
      <c r="F4" s="8" t="s">
        <v>77</v>
      </c>
      <c r="G4" s="8" t="s">
        <v>78</v>
      </c>
      <c r="H4" s="8" t="s">
        <v>79</v>
      </c>
    </row>
    <row r="5" spans="1:8">
      <c r="A5" s="6" t="s">
        <v>80</v>
      </c>
      <c r="B5" s="6" t="s">
        <v>81</v>
      </c>
      <c r="C5" s="6" t="s">
        <v>12</v>
      </c>
      <c r="D5" s="6" t="s">
        <v>49</v>
      </c>
      <c r="E5" s="10">
        <v>250</v>
      </c>
      <c r="F5" s="6" t="s">
        <v>82</v>
      </c>
      <c r="G5" s="6" t="s">
        <v>10</v>
      </c>
      <c r="H5" s="6" t="s">
        <v>83</v>
      </c>
    </row>
    <row r="6" spans="1:8">
      <c r="A6" s="6" t="s">
        <v>84</v>
      </c>
      <c r="B6" s="6" t="s">
        <v>81</v>
      </c>
      <c r="C6" s="6" t="s">
        <v>12</v>
      </c>
      <c r="D6" s="6" t="s">
        <v>45</v>
      </c>
      <c r="E6" s="10">
        <v>250</v>
      </c>
      <c r="F6" s="6" t="s">
        <v>61</v>
      </c>
      <c r="G6" s="6" t="s">
        <v>10</v>
      </c>
      <c r="H6" s="6" t="s">
        <v>83</v>
      </c>
    </row>
    <row r="7" spans="1:8">
      <c r="A7" s="6" t="s">
        <v>85</v>
      </c>
      <c r="B7" s="6" t="s">
        <v>86</v>
      </c>
      <c r="C7" s="6" t="s">
        <v>12</v>
      </c>
      <c r="D7" s="6" t="s">
        <v>39</v>
      </c>
      <c r="E7" s="10">
        <v>240</v>
      </c>
      <c r="F7" s="6" t="s">
        <v>87</v>
      </c>
      <c r="G7" s="6" t="s">
        <v>10</v>
      </c>
      <c r="H7" s="6" t="s">
        <v>88</v>
      </c>
    </row>
    <row r="8" spans="1:8">
      <c r="A8" s="6" t="s">
        <v>89</v>
      </c>
      <c r="B8" s="6" t="s">
        <v>81</v>
      </c>
      <c r="C8" s="6" t="s">
        <v>12</v>
      </c>
      <c r="D8" s="6" t="s">
        <v>45</v>
      </c>
      <c r="E8" s="10">
        <v>240</v>
      </c>
      <c r="F8" s="6" t="s">
        <v>68</v>
      </c>
      <c r="G8" s="6" t="s">
        <v>10</v>
      </c>
      <c r="H8" s="6" t="s">
        <v>88</v>
      </c>
    </row>
    <row r="9" spans="1:8">
      <c r="A9" s="6" t="s">
        <v>90</v>
      </c>
      <c r="B9" s="6" t="s">
        <v>91</v>
      </c>
      <c r="C9" s="6" t="s">
        <v>12</v>
      </c>
      <c r="D9" s="6" t="s">
        <v>49</v>
      </c>
      <c r="E9" s="10">
        <v>175</v>
      </c>
      <c r="F9" s="6" t="s">
        <v>82</v>
      </c>
      <c r="G9" s="6" t="s">
        <v>10</v>
      </c>
      <c r="H9" s="6" t="s">
        <v>83</v>
      </c>
    </row>
    <row r="10" spans="1:8">
      <c r="A10" s="6" t="s">
        <v>92</v>
      </c>
      <c r="B10" s="6" t="s">
        <v>93</v>
      </c>
      <c r="C10" s="6" t="s">
        <v>12</v>
      </c>
      <c r="D10" s="6" t="s">
        <v>45</v>
      </c>
      <c r="E10" s="10">
        <v>155</v>
      </c>
      <c r="F10" s="6" t="s">
        <v>94</v>
      </c>
      <c r="G10" s="6" t="s">
        <v>10</v>
      </c>
      <c r="H10" s="6" t="s">
        <v>83</v>
      </c>
    </row>
    <row r="11" spans="1:8">
      <c r="A11" s="6" t="s">
        <v>95</v>
      </c>
      <c r="B11" s="6" t="s">
        <v>96</v>
      </c>
      <c r="C11" s="6" t="s">
        <v>12</v>
      </c>
      <c r="D11" s="6" t="s">
        <v>39</v>
      </c>
      <c r="E11" s="10">
        <v>145</v>
      </c>
      <c r="F11" s="6" t="s">
        <v>97</v>
      </c>
      <c r="G11" s="6" t="s">
        <v>10</v>
      </c>
      <c r="H11" s="6" t="s">
        <v>88</v>
      </c>
    </row>
    <row r="12" spans="1:8">
      <c r="A12" s="6" t="s">
        <v>95</v>
      </c>
      <c r="B12" s="6" t="s">
        <v>98</v>
      </c>
      <c r="C12" s="6" t="s">
        <v>12</v>
      </c>
      <c r="D12" s="6" t="s">
        <v>39</v>
      </c>
      <c r="E12" s="10">
        <v>145</v>
      </c>
      <c r="F12" s="6" t="s">
        <v>97</v>
      </c>
      <c r="G12" s="6" t="s">
        <v>10</v>
      </c>
      <c r="H12" s="6" t="s">
        <v>88</v>
      </c>
    </row>
    <row r="13" spans="1:8">
      <c r="A13" s="6" t="s">
        <v>95</v>
      </c>
      <c r="B13" s="6" t="s">
        <v>99</v>
      </c>
      <c r="C13" s="6" t="s">
        <v>12</v>
      </c>
      <c r="D13" s="6" t="s">
        <v>39</v>
      </c>
      <c r="E13" s="10">
        <v>138</v>
      </c>
      <c r="F13" s="6" t="s">
        <v>100</v>
      </c>
      <c r="G13" s="6" t="s">
        <v>10</v>
      </c>
      <c r="H13" s="6" t="s">
        <v>83</v>
      </c>
    </row>
    <row r="14" spans="1:8">
      <c r="A14" s="6" t="s">
        <v>101</v>
      </c>
      <c r="B14" s="6" t="s">
        <v>102</v>
      </c>
      <c r="C14" s="6" t="s">
        <v>13</v>
      </c>
      <c r="D14" s="6" t="s">
        <v>39</v>
      </c>
      <c r="E14" s="10">
        <v>125</v>
      </c>
      <c r="F14" s="6" t="s">
        <v>103</v>
      </c>
      <c r="G14" s="6" t="s">
        <v>10</v>
      </c>
      <c r="H14" s="6" t="s">
        <v>83</v>
      </c>
    </row>
    <row r="15" spans="1:8">
      <c r="A15" s="6" t="s">
        <v>104</v>
      </c>
      <c r="B15" s="6" t="s">
        <v>105</v>
      </c>
      <c r="C15" s="6" t="s">
        <v>13</v>
      </c>
      <c r="D15" s="6" t="s">
        <v>39</v>
      </c>
      <c r="E15" s="10">
        <v>120</v>
      </c>
      <c r="F15" s="6" t="s">
        <v>100</v>
      </c>
      <c r="G15" s="6" t="s">
        <v>10</v>
      </c>
      <c r="H15" s="6" t="s">
        <v>83</v>
      </c>
    </row>
    <row r="16" spans="1:8">
      <c r="A16" s="6" t="s">
        <v>106</v>
      </c>
      <c r="B16" s="6" t="s">
        <v>107</v>
      </c>
      <c r="C16" s="6" t="s">
        <v>12</v>
      </c>
      <c r="D16" s="6" t="s">
        <v>49</v>
      </c>
      <c r="E16" s="10">
        <v>110</v>
      </c>
      <c r="F16" s="6" t="s">
        <v>108</v>
      </c>
      <c r="G16" s="6" t="s">
        <v>10</v>
      </c>
      <c r="H16" s="6" t="s">
        <v>88</v>
      </c>
    </row>
    <row r="17" spans="1:8">
      <c r="A17" s="6" t="s">
        <v>109</v>
      </c>
      <c r="B17" s="6" t="s">
        <v>110</v>
      </c>
      <c r="C17" s="6" t="s">
        <v>12</v>
      </c>
      <c r="D17" s="6" t="s">
        <v>39</v>
      </c>
      <c r="E17" s="10">
        <v>110</v>
      </c>
      <c r="F17" s="6" t="s">
        <v>108</v>
      </c>
      <c r="G17" s="6" t="s">
        <v>10</v>
      </c>
      <c r="H17" s="6" t="s">
        <v>88</v>
      </c>
    </row>
    <row r="18" spans="1:8">
      <c r="A18" s="6" t="s">
        <v>111</v>
      </c>
      <c r="B18" s="6" t="s">
        <v>112</v>
      </c>
      <c r="C18" s="6" t="s">
        <v>12</v>
      </c>
      <c r="D18" s="6" t="s">
        <v>39</v>
      </c>
      <c r="E18" s="10">
        <v>110</v>
      </c>
      <c r="F18" s="6" t="s">
        <v>108</v>
      </c>
      <c r="G18" s="6" t="s">
        <v>10</v>
      </c>
      <c r="H18" s="6" t="s">
        <v>88</v>
      </c>
    </row>
    <row r="19" spans="1:8">
      <c r="A19" s="6" t="s">
        <v>113</v>
      </c>
      <c r="B19" s="6" t="s">
        <v>114</v>
      </c>
      <c r="C19" s="6" t="s">
        <v>12</v>
      </c>
      <c r="D19" s="6" t="s">
        <v>39</v>
      </c>
      <c r="E19" s="10">
        <v>110</v>
      </c>
      <c r="F19" s="6" t="s">
        <v>108</v>
      </c>
      <c r="G19" s="6" t="s">
        <v>10</v>
      </c>
      <c r="H19" s="6" t="s">
        <v>83</v>
      </c>
    </row>
    <row r="20" spans="1:8">
      <c r="A20" s="6" t="s">
        <v>111</v>
      </c>
      <c r="B20" s="6" t="s">
        <v>115</v>
      </c>
      <c r="C20" s="6" t="s">
        <v>12</v>
      </c>
      <c r="D20" s="6" t="s">
        <v>39</v>
      </c>
      <c r="E20" s="10">
        <v>107</v>
      </c>
      <c r="F20" s="6" t="s">
        <v>108</v>
      </c>
      <c r="G20" s="6" t="s">
        <v>10</v>
      </c>
      <c r="H20" s="6" t="s">
        <v>88</v>
      </c>
    </row>
    <row r="21" spans="1:8">
      <c r="A21" s="6" t="s">
        <v>116</v>
      </c>
      <c r="B21" s="6" t="s">
        <v>117</v>
      </c>
      <c r="C21" s="6" t="s">
        <v>12</v>
      </c>
      <c r="D21" s="6" t="s">
        <v>39</v>
      </c>
      <c r="E21" s="10">
        <v>101</v>
      </c>
      <c r="F21" s="6" t="s">
        <v>118</v>
      </c>
      <c r="G21" s="6" t="s">
        <v>10</v>
      </c>
      <c r="H21" s="6" t="s">
        <v>83</v>
      </c>
    </row>
    <row r="22" spans="1:8">
      <c r="A22" s="6" t="s">
        <v>119</v>
      </c>
      <c r="B22" s="6" t="s">
        <v>81</v>
      </c>
      <c r="C22" s="6" t="s">
        <v>12</v>
      </c>
      <c r="D22" s="6" t="s">
        <v>45</v>
      </c>
      <c r="E22" s="10">
        <v>100</v>
      </c>
      <c r="F22" s="6" t="s">
        <v>97</v>
      </c>
      <c r="G22" s="6" t="s">
        <v>10</v>
      </c>
      <c r="H22" s="6" t="s">
        <v>88</v>
      </c>
    </row>
    <row r="23" spans="1:8">
      <c r="A23" s="6" t="s">
        <v>120</v>
      </c>
      <c r="B23" s="6" t="s">
        <v>81</v>
      </c>
      <c r="C23" s="6" t="s">
        <v>12</v>
      </c>
      <c r="D23" s="6" t="s">
        <v>39</v>
      </c>
      <c r="E23" s="10">
        <v>100</v>
      </c>
      <c r="F23" s="6" t="s">
        <v>108</v>
      </c>
      <c r="G23" s="6" t="s">
        <v>10</v>
      </c>
      <c r="H23" s="6" t="s">
        <v>88</v>
      </c>
    </row>
    <row r="24" spans="1:8">
      <c r="A24" s="6" t="s">
        <v>121</v>
      </c>
      <c r="B24" s="6" t="s">
        <v>105</v>
      </c>
      <c r="C24" s="6" t="s">
        <v>13</v>
      </c>
      <c r="D24" s="6" t="s">
        <v>49</v>
      </c>
      <c r="E24" s="10">
        <v>98</v>
      </c>
      <c r="F24" s="6" t="s">
        <v>108</v>
      </c>
      <c r="G24" s="6" t="s">
        <v>10</v>
      </c>
      <c r="H24" s="6" t="s">
        <v>88</v>
      </c>
    </row>
    <row r="25" spans="1:8">
      <c r="A25" s="6" t="s">
        <v>122</v>
      </c>
      <c r="B25" s="6" t="s">
        <v>123</v>
      </c>
      <c r="C25" s="6" t="s">
        <v>12</v>
      </c>
      <c r="D25" s="6" t="s">
        <v>39</v>
      </c>
      <c r="E25" s="10">
        <v>96</v>
      </c>
      <c r="F25" s="6" t="s">
        <v>124</v>
      </c>
      <c r="G25" s="6" t="s">
        <v>10</v>
      </c>
      <c r="H25" s="6" t="s">
        <v>83</v>
      </c>
    </row>
    <row r="26" spans="1:8">
      <c r="A26" s="6" t="s">
        <v>125</v>
      </c>
      <c r="B26" s="6" t="s">
        <v>126</v>
      </c>
      <c r="C26" s="6" t="s">
        <v>12</v>
      </c>
      <c r="D26" s="6" t="s">
        <v>39</v>
      </c>
      <c r="E26" s="10">
        <v>96</v>
      </c>
      <c r="F26" s="6" t="s">
        <v>127</v>
      </c>
      <c r="G26" s="6" t="s">
        <v>10</v>
      </c>
      <c r="H26" s="6" t="s">
        <v>83</v>
      </c>
    </row>
    <row r="27" spans="1:8">
      <c r="A27" s="6" t="s">
        <v>128</v>
      </c>
      <c r="B27" s="6" t="s">
        <v>129</v>
      </c>
      <c r="C27" s="6" t="s">
        <v>12</v>
      </c>
      <c r="D27" s="6" t="s">
        <v>49</v>
      </c>
      <c r="E27" s="10">
        <v>95</v>
      </c>
      <c r="F27" s="6" t="s">
        <v>108</v>
      </c>
      <c r="G27" s="6" t="s">
        <v>10</v>
      </c>
      <c r="H27" s="6" t="s">
        <v>88</v>
      </c>
    </row>
    <row r="28" spans="1:8">
      <c r="A28" s="6" t="s">
        <v>130</v>
      </c>
      <c r="B28" s="6" t="s">
        <v>131</v>
      </c>
      <c r="C28" s="6" t="s">
        <v>12</v>
      </c>
      <c r="D28" s="6" t="s">
        <v>39</v>
      </c>
      <c r="E28" s="10">
        <v>95</v>
      </c>
      <c r="F28" s="6" t="s">
        <v>100</v>
      </c>
      <c r="G28" s="6" t="s">
        <v>10</v>
      </c>
      <c r="H28" s="6" t="s">
        <v>83</v>
      </c>
    </row>
    <row r="29" spans="1:8">
      <c r="A29" s="6" t="s">
        <v>132</v>
      </c>
      <c r="B29" s="6" t="s">
        <v>133</v>
      </c>
      <c r="C29" s="6" t="s">
        <v>12</v>
      </c>
      <c r="D29" s="6" t="s">
        <v>49</v>
      </c>
      <c r="E29" s="10">
        <v>91.5</v>
      </c>
      <c r="F29" s="6" t="s">
        <v>108</v>
      </c>
      <c r="G29" s="6" t="s">
        <v>10</v>
      </c>
      <c r="H29" s="6" t="s">
        <v>88</v>
      </c>
    </row>
    <row r="30" spans="1:8">
      <c r="A30" s="6" t="s">
        <v>134</v>
      </c>
      <c r="B30" s="6" t="s">
        <v>135</v>
      </c>
      <c r="C30" s="6" t="s">
        <v>12</v>
      </c>
      <c r="D30" s="6" t="s">
        <v>45</v>
      </c>
      <c r="E30" s="10">
        <v>90</v>
      </c>
      <c r="F30" s="6" t="s">
        <v>100</v>
      </c>
      <c r="G30" s="6" t="s">
        <v>10</v>
      </c>
      <c r="H30" s="6" t="s">
        <v>83</v>
      </c>
    </row>
    <row r="31" spans="1:8">
      <c r="A31" s="6" t="s">
        <v>136</v>
      </c>
      <c r="B31" s="6" t="s">
        <v>137</v>
      </c>
      <c r="C31" s="6" t="s">
        <v>12</v>
      </c>
      <c r="D31" s="6" t="s">
        <v>39</v>
      </c>
      <c r="E31" s="10">
        <v>80</v>
      </c>
      <c r="F31" s="6" t="s">
        <v>103</v>
      </c>
      <c r="G31" s="6" t="s">
        <v>10</v>
      </c>
      <c r="H31" s="6" t="s">
        <v>83</v>
      </c>
    </row>
    <row r="32" spans="1:8">
      <c r="A32" s="6" t="s">
        <v>106</v>
      </c>
      <c r="B32" s="6" t="s">
        <v>138</v>
      </c>
      <c r="C32" s="6" t="s">
        <v>12</v>
      </c>
      <c r="D32" s="6" t="s">
        <v>49</v>
      </c>
      <c r="E32" s="10">
        <v>80</v>
      </c>
      <c r="F32" s="6" t="s">
        <v>118</v>
      </c>
      <c r="G32" s="6" t="s">
        <v>10</v>
      </c>
      <c r="H32" s="6" t="s">
        <v>83</v>
      </c>
    </row>
    <row r="33" spans="1:8">
      <c r="A33" s="6" t="s">
        <v>139</v>
      </c>
      <c r="B33" s="6" t="s">
        <v>140</v>
      </c>
      <c r="C33" s="6" t="s">
        <v>13</v>
      </c>
      <c r="D33" s="6" t="s">
        <v>39</v>
      </c>
      <c r="E33" s="10">
        <v>78.75</v>
      </c>
      <c r="F33" s="6" t="s">
        <v>127</v>
      </c>
      <c r="G33" s="6" t="s">
        <v>10</v>
      </c>
      <c r="H33" s="6" t="s">
        <v>83</v>
      </c>
    </row>
    <row r="34" spans="1:8">
      <c r="A34" s="6" t="s">
        <v>116</v>
      </c>
      <c r="B34" s="6" t="s">
        <v>141</v>
      </c>
      <c r="C34" s="6" t="s">
        <v>13</v>
      </c>
      <c r="D34" s="6" t="s">
        <v>39</v>
      </c>
      <c r="E34" s="10">
        <v>78</v>
      </c>
      <c r="F34" s="6" t="s">
        <v>94</v>
      </c>
      <c r="G34" s="6" t="s">
        <v>10</v>
      </c>
      <c r="H34" s="6" t="s">
        <v>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E8B8B"/>
  </sheetPr>
  <dimension ref="A1:G37"/>
  <sheetViews>
    <sheetView showGridLines="0" zoomScale="110" zoomScaleNormal="110" workbookViewId="0"/>
  </sheetViews>
  <sheetFormatPr defaultRowHeight="15"/>
  <cols>
    <col min="1" max="1" width="10.7109375" customWidth="1"/>
    <col min="2" max="8" width="9.7109375" customWidth="1"/>
  </cols>
  <sheetData>
    <row r="1" spans="1:7" ht="22" customHeight="1">
      <c r="A1" s="1" t="s">
        <v>142</v>
      </c>
    </row>
    <row r="2" spans="1:7">
      <c r="A2" s="2" t="s">
        <v>143</v>
      </c>
    </row>
    <row r="4" spans="1:7">
      <c r="A4" s="3" t="s">
        <v>57</v>
      </c>
    </row>
    <row r="5" spans="1:7">
      <c r="A5" s="7" t="s">
        <v>58</v>
      </c>
      <c r="B5" s="8" t="s">
        <v>59</v>
      </c>
      <c r="C5" s="8" t="s">
        <v>60</v>
      </c>
      <c r="D5" s="8" t="s">
        <v>61</v>
      </c>
      <c r="E5" s="8" t="s">
        <v>62</v>
      </c>
      <c r="F5" s="8" t="s">
        <v>63</v>
      </c>
      <c r="G5" s="8" t="s">
        <v>64</v>
      </c>
    </row>
    <row r="6" spans="1:7">
      <c r="A6" s="9">
        <v>2025</v>
      </c>
      <c r="B6" s="10">
        <f>SUMIFS(Data!$K:$K,Data!$A:$A,2025,Data!$B:$B,1,Data!$G:$G,"CDU",Data!$J:$J,"PLANNED")</f>
        <v>757.195</v>
      </c>
      <c r="C6" s="10">
        <f>SUMIFS(Data!$K:$K,Data!$A:$A,2025,Data!$B:$B,2,Data!$G:$G,"CDU",Data!$J:$J,"PLANNED")</f>
        <v>1058.991</v>
      </c>
      <c r="D6" s="10">
        <f>SUMIFS(Data!$K:$K,Data!$A:$A,2025,Data!$B:$B,3,Data!$G:$G,"CDU",Data!$J:$J,"PLANNED")</f>
        <v>935.345</v>
      </c>
      <c r="E6" s="10">
        <f>SUMIFS(Data!$K:$K,Data!$A:$A,2025,Data!$B:$B,4,Data!$G:$G,"CDU",Data!$J:$J,"PLANNED")</f>
        <v>1072.7975</v>
      </c>
      <c r="F6" s="10">
        <f>SUMIFS(Data!$K:$K,Data!$A:$A,2025,Data!$B:$B,5,Data!$G:$G,"CDU",Data!$J:$J,"PLANNED")</f>
        <v>286.61</v>
      </c>
      <c r="G6" s="10">
        <f>SUMIFS(Data!$K:$K,Data!$A:$A,2025,Data!$B:$B,6,Data!$G:$G,"CDU",Data!$J:$J,"PLANNED")</f>
        <v>118.65</v>
      </c>
    </row>
    <row r="7" spans="1:7">
      <c r="A7" s="9">
        <v>2026</v>
      </c>
      <c r="B7" s="10">
        <f>SUMIFS(Data!$K:$K,Data!$A:$A,2026,Data!$B:$B,1,Data!$G:$G,"CDU",Data!$J:$J,"PLANNED")</f>
        <v>284.73</v>
      </c>
      <c r="C7" s="10">
        <f>SUMIFS(Data!$K:$K,Data!$A:$A,2026,Data!$B:$B,2,Data!$G:$G,"CDU",Data!$J:$J,"PLANNED")</f>
        <v>699.13</v>
      </c>
      <c r="D7" s="10">
        <f>SUMIFS(Data!$K:$K,Data!$A:$A,2026,Data!$B:$B,3,Data!$G:$G,"CDU",Data!$J:$J,"PLANNED")</f>
        <v>638.401</v>
      </c>
      <c r="E7" s="10">
        <f>SUMIFS(Data!$K:$K,Data!$A:$A,2026,Data!$B:$B,4,Data!$G:$G,"CDU",Data!$J:$J,"PLANNED")</f>
        <v>720.29</v>
      </c>
      <c r="F7" s="10">
        <f>SUMIFS(Data!$K:$K,Data!$A:$A,2026,Data!$B:$B,5,Data!$G:$G,"CDU",Data!$J:$J,"PLANNED")</f>
        <v>516.362</v>
      </c>
      <c r="G7" s="10">
        <f>SUMIFS(Data!$K:$K,Data!$A:$A,2026,Data!$B:$B,6,Data!$G:$G,"CDU",Data!$J:$J,"PLANNED")</f>
        <v>126.65</v>
      </c>
    </row>
    <row r="8" spans="1:7">
      <c r="A8" s="9">
        <v>2027</v>
      </c>
      <c r="B8" s="10">
        <f>SUMIFS(Data!$K:$K,Data!$A:$A,2027,Data!$B:$B,1,Data!$G:$G,"CDU",Data!$J:$J,"PLANNED")</f>
        <v>365.125</v>
      </c>
      <c r="C8" s="10">
        <f>SUMIFS(Data!$K:$K,Data!$A:$A,2027,Data!$B:$B,2,Data!$G:$G,"CDU",Data!$J:$J,"PLANNED")</f>
        <v>683.258</v>
      </c>
      <c r="D8" s="10">
        <f>SUMIFS(Data!$K:$K,Data!$A:$A,2027,Data!$B:$B,3,Data!$G:$G,"CDU",Data!$J:$J,"PLANNED")</f>
        <v>1062.14</v>
      </c>
      <c r="E8" s="10">
        <f>SUMIFS(Data!$K:$K,Data!$A:$A,2027,Data!$B:$B,4,Data!$G:$G,"CDU",Data!$J:$J,"PLANNED")</f>
        <v>663.255</v>
      </c>
      <c r="F8" s="10">
        <f>SUMIFS(Data!$K:$K,Data!$A:$A,2027,Data!$B:$B,5,Data!$G:$G,"CDU",Data!$J:$J,"PLANNED")</f>
        <v>320.192</v>
      </c>
      <c r="G8" s="10">
        <f>SUMIFS(Data!$K:$K,Data!$A:$A,2027,Data!$B:$B,6,Data!$G:$G,"CDU",Data!$J:$J,"PLANNED")</f>
        <v>96.0</v>
      </c>
    </row>
    <row r="11" spans="1:7">
      <c r="A11" s="3" t="s">
        <v>71</v>
      </c>
    </row>
    <row r="12" spans="1:7">
      <c r="A12" s="7" t="s">
        <v>58</v>
      </c>
      <c r="B12" s="8" t="s">
        <v>59</v>
      </c>
      <c r="C12" s="8" t="s">
        <v>60</v>
      </c>
      <c r="D12" s="8" t="s">
        <v>61</v>
      </c>
      <c r="E12" s="8" t="s">
        <v>62</v>
      </c>
      <c r="F12" s="8" t="s">
        <v>63</v>
      </c>
      <c r="G12" s="8" t="s">
        <v>64</v>
      </c>
    </row>
    <row r="13" spans="1:7">
      <c r="A13" s="9">
        <v>2025</v>
      </c>
      <c r="B13" s="10">
        <f>SUMIFS(Data!$K:$K,Data!$A:$A,2025,Data!$B:$B,1,Data!$G:$G,"FCC",Data!$J:$J,"PLANNED")</f>
        <v>150.66</v>
      </c>
      <c r="C13" s="10">
        <f>SUMIFS(Data!$K:$K,Data!$A:$A,2025,Data!$B:$B,2,Data!$G:$G,"FCC",Data!$J:$J,"PLANNED")</f>
        <v>209.57</v>
      </c>
      <c r="D13" s="10">
        <f>SUMIFS(Data!$K:$K,Data!$A:$A,2025,Data!$B:$B,3,Data!$G:$G,"FCC",Data!$J:$J,"PLANNED")</f>
        <v>240.735</v>
      </c>
      <c r="E13" s="10">
        <f>SUMIFS(Data!$K:$K,Data!$A:$A,2025,Data!$B:$B,4,Data!$G:$G,"FCC",Data!$J:$J,"PLANNED")</f>
        <v>331.825</v>
      </c>
      <c r="F13" s="10">
        <f>SUMIFS(Data!$K:$K,Data!$A:$A,2025,Data!$B:$B,5,Data!$G:$G,"FCC",Data!$J:$J,"PLANNED")</f>
        <v>171.93</v>
      </c>
      <c r="G13" s="10">
        <f>SUMIFS(Data!$K:$K,Data!$A:$A,2025,Data!$B:$B,6,Data!$G:$G,"FCC",Data!$J:$J,"PLANNED")</f>
        <v>20.97</v>
      </c>
    </row>
    <row r="14" spans="1:7">
      <c r="A14" s="9">
        <v>2026</v>
      </c>
      <c r="B14" s="10">
        <f>SUMIFS(Data!$K:$K,Data!$A:$A,2026,Data!$B:$B,1,Data!$G:$G,"FCC",Data!$J:$J,"PLANNED")</f>
        <v>168.25</v>
      </c>
      <c r="C14" s="10">
        <f>SUMIFS(Data!$K:$K,Data!$A:$A,2026,Data!$B:$B,2,Data!$G:$G,"FCC",Data!$J:$J,"PLANNED")</f>
        <v>303.52</v>
      </c>
      <c r="D14" s="10">
        <f>SUMIFS(Data!$K:$K,Data!$A:$A,2026,Data!$B:$B,3,Data!$G:$G,"FCC",Data!$J:$J,"PLANNED")</f>
        <v>199.243</v>
      </c>
      <c r="E14" s="10">
        <f>SUMIFS(Data!$K:$K,Data!$A:$A,2026,Data!$B:$B,4,Data!$G:$G,"FCC",Data!$J:$J,"PLANNED")</f>
        <v>135.45</v>
      </c>
      <c r="F14" s="10">
        <f>SUMIFS(Data!$K:$K,Data!$A:$A,2026,Data!$B:$B,5,Data!$G:$G,"FCC",Data!$J:$J,"PLANNED")</f>
        <v>32.069</v>
      </c>
      <c r="G14" s="10">
        <f>SUMIFS(Data!$K:$K,Data!$A:$A,2026,Data!$B:$B,6,Data!$G:$G,"FCC",Data!$J:$J,"PLANNED")</f>
        <v>0.0</v>
      </c>
    </row>
    <row r="15" spans="1:7">
      <c r="A15" s="9">
        <v>2027</v>
      </c>
      <c r="B15" s="10">
        <f>SUMIFS(Data!$K:$K,Data!$A:$A,2027,Data!$B:$B,1,Data!$G:$G,"FCC",Data!$J:$J,"PLANNED")</f>
        <v>250.98000000000002</v>
      </c>
      <c r="C15" s="10">
        <f>SUMIFS(Data!$K:$K,Data!$A:$A,2027,Data!$B:$B,2,Data!$G:$G,"FCC",Data!$J:$J,"PLANNED")</f>
        <v>450.5215</v>
      </c>
      <c r="D15" s="10">
        <f>SUMIFS(Data!$K:$K,Data!$A:$A,2027,Data!$B:$B,3,Data!$G:$G,"FCC",Data!$J:$J,"PLANNED")</f>
        <v>447.892</v>
      </c>
      <c r="E15" s="10">
        <f>SUMIFS(Data!$K:$K,Data!$A:$A,2027,Data!$B:$B,4,Data!$G:$G,"FCC",Data!$J:$J,"PLANNED")</f>
        <v>150.455</v>
      </c>
      <c r="F15" s="10">
        <f>SUMIFS(Data!$K:$K,Data!$A:$A,2027,Data!$B:$B,5,Data!$G:$G,"FCC",Data!$J:$J,"PLANNED")</f>
        <v>23.3</v>
      </c>
      <c r="G15" s="10">
        <f>SUMIFS(Data!$K:$K,Data!$A:$A,2027,Data!$B:$B,6,Data!$G:$G,"FCC",Data!$J:$J,"PLANNED")</f>
        <v>68.255</v>
      </c>
    </row>
    <row r="18" spans="1:7">
      <c r="A18" s="3" t="s">
        <v>14</v>
      </c>
    </row>
    <row r="19" spans="1:7">
      <c r="A19" s="7" t="s">
        <v>58</v>
      </c>
      <c r="B19" s="8" t="s">
        <v>59</v>
      </c>
      <c r="C19" s="8" t="s">
        <v>60</v>
      </c>
      <c r="D19" s="8" t="s">
        <v>61</v>
      </c>
      <c r="E19" s="8" t="s">
        <v>62</v>
      </c>
      <c r="F19" s="8" t="s">
        <v>63</v>
      </c>
      <c r="G19" s="8" t="s">
        <v>64</v>
      </c>
    </row>
    <row r="20" spans="1:7">
      <c r="A20" s="9">
        <v>2025</v>
      </c>
      <c r="B20" s="10">
        <f>SUMIFS(Data!$K:$K,Data!$A:$A,2025,Data!$B:$B,1,Data!$G:$G,"Hydrocracker",Data!$J:$J,"PLANNED")</f>
        <v>84.48</v>
      </c>
      <c r="C20" s="10">
        <f>SUMIFS(Data!$K:$K,Data!$A:$A,2025,Data!$B:$B,2,Data!$G:$G,"Hydrocracker",Data!$J:$J,"PLANNED")</f>
        <v>64.74</v>
      </c>
      <c r="D20" s="10">
        <f>SUMIFS(Data!$K:$K,Data!$A:$A,2025,Data!$B:$B,3,Data!$G:$G,"Hydrocracker",Data!$J:$J,"PLANNED")</f>
        <v>9.669</v>
      </c>
      <c r="E20" s="10">
        <f>SUMIFS(Data!$K:$K,Data!$A:$A,2025,Data!$B:$B,4,Data!$G:$G,"Hydrocracker",Data!$J:$J,"PLANNED")</f>
        <v>64.31</v>
      </c>
      <c r="F20" s="10">
        <f>SUMIFS(Data!$K:$K,Data!$A:$A,2025,Data!$B:$B,5,Data!$G:$G,"Hydrocracker",Data!$J:$J,"PLANNED")</f>
        <v>45.6</v>
      </c>
      <c r="G20" s="10">
        <f>SUMIFS(Data!$K:$K,Data!$A:$A,2025,Data!$B:$B,6,Data!$G:$G,"Hydrocracker",Data!$J:$J,"PLANNED")</f>
        <v>20.811</v>
      </c>
    </row>
    <row r="21" spans="1:7">
      <c r="A21" s="9">
        <v>2026</v>
      </c>
      <c r="B21" s="10">
        <f>SUMIFS(Data!$K:$K,Data!$A:$A,2026,Data!$B:$B,1,Data!$G:$G,"Hydrocracker",Data!$J:$J,"PLANNED")</f>
        <v>44.379999999999995</v>
      </c>
      <c r="C21" s="10">
        <f>SUMIFS(Data!$K:$K,Data!$A:$A,2026,Data!$B:$B,2,Data!$G:$G,"Hydrocracker",Data!$J:$J,"PLANNED")</f>
        <v>49.32</v>
      </c>
      <c r="D21" s="10">
        <f>SUMIFS(Data!$K:$K,Data!$A:$A,2026,Data!$B:$B,3,Data!$G:$G,"Hydrocracker",Data!$J:$J,"PLANNED")</f>
        <v>81.24499999999999</v>
      </c>
      <c r="E21" s="10">
        <f>SUMIFS(Data!$K:$K,Data!$A:$A,2026,Data!$B:$B,4,Data!$G:$G,"Hydrocracker",Data!$J:$J,"PLANNED")</f>
        <v>106.25</v>
      </c>
      <c r="F21" s="10">
        <f>SUMIFS(Data!$K:$K,Data!$A:$A,2026,Data!$B:$B,5,Data!$G:$G,"Hydrocracker",Data!$J:$J,"PLANNED")</f>
        <v>59.05</v>
      </c>
      <c r="G21" s="10">
        <f>SUMIFS(Data!$K:$K,Data!$A:$A,2026,Data!$B:$B,6,Data!$G:$G,"Hydrocracker",Data!$J:$J,"PLANNED")</f>
        <v>6.5</v>
      </c>
    </row>
    <row r="22" spans="1:7">
      <c r="A22" s="9">
        <v>2027</v>
      </c>
      <c r="B22" s="10">
        <f>SUMIFS(Data!$K:$K,Data!$A:$A,2027,Data!$B:$B,1,Data!$G:$G,"Hydrocracker",Data!$J:$J,"PLANNED")</f>
        <v>121.41</v>
      </c>
      <c r="C22" s="10">
        <f>SUMIFS(Data!$K:$K,Data!$A:$A,2027,Data!$B:$B,2,Data!$G:$G,"Hydrocracker",Data!$J:$J,"PLANNED")</f>
        <v>141.67000000000002</v>
      </c>
      <c r="D22" s="10">
        <f>SUMIFS(Data!$K:$K,Data!$A:$A,2027,Data!$B:$B,3,Data!$G:$G,"Hydrocracker",Data!$J:$J,"PLANNED")</f>
        <v>75.53</v>
      </c>
      <c r="E22" s="10">
        <f>SUMIFS(Data!$K:$K,Data!$A:$A,2027,Data!$B:$B,4,Data!$G:$G,"Hydrocracker",Data!$J:$J,"PLANNED")</f>
        <v>39.15</v>
      </c>
      <c r="F22" s="10">
        <f>SUMIFS(Data!$K:$K,Data!$A:$A,2027,Data!$B:$B,5,Data!$G:$G,"Hydrocracker",Data!$J:$J,"PLANNED")</f>
        <v>0.0</v>
      </c>
      <c r="G22" s="10">
        <f>SUMIFS(Data!$K:$K,Data!$A:$A,2027,Data!$B:$B,6,Data!$G:$G,"Hydrocracker",Data!$J:$J,"PLANNED")</f>
        <v>0.0</v>
      </c>
    </row>
    <row r="25" spans="1:7">
      <c r="A25" s="3" t="s">
        <v>15</v>
      </c>
    </row>
    <row r="26" spans="1:7">
      <c r="A26" s="7" t="s">
        <v>58</v>
      </c>
      <c r="B26" s="8" t="s">
        <v>59</v>
      </c>
      <c r="C26" s="8" t="s">
        <v>60</v>
      </c>
      <c r="D26" s="8" t="s">
        <v>61</v>
      </c>
      <c r="E26" s="8" t="s">
        <v>62</v>
      </c>
      <c r="F26" s="8" t="s">
        <v>63</v>
      </c>
      <c r="G26" s="8" t="s">
        <v>64</v>
      </c>
    </row>
    <row r="27" spans="1:7">
      <c r="A27" s="9">
        <v>2025</v>
      </c>
      <c r="B27" s="10">
        <f>SUMIFS(Data!$K:$K,Data!$A:$A,2025,Data!$B:$B,1,Data!$G:$G,"Reformer",Data!$J:$J,"PLANNED")</f>
        <v>78.466</v>
      </c>
      <c r="C27" s="10">
        <f>SUMIFS(Data!$K:$K,Data!$A:$A,2025,Data!$B:$B,2,Data!$G:$G,"Reformer",Data!$J:$J,"PLANNED")</f>
        <v>145.75</v>
      </c>
      <c r="D27" s="10">
        <f>SUMIFS(Data!$K:$K,Data!$A:$A,2025,Data!$B:$B,3,Data!$G:$G,"Reformer",Data!$J:$J,"PLANNED")</f>
        <v>160.432</v>
      </c>
      <c r="E27" s="10">
        <f>SUMIFS(Data!$K:$K,Data!$A:$A,2025,Data!$B:$B,4,Data!$G:$G,"Reformer",Data!$J:$J,"PLANNED")</f>
        <v>202.358</v>
      </c>
      <c r="F27" s="10">
        <f>SUMIFS(Data!$K:$K,Data!$A:$A,2025,Data!$B:$B,5,Data!$G:$G,"Reformer",Data!$J:$J,"PLANNED")</f>
        <v>113.691</v>
      </c>
      <c r="G27" s="10">
        <f>SUMIFS(Data!$K:$K,Data!$A:$A,2025,Data!$B:$B,6,Data!$G:$G,"Reformer",Data!$J:$J,"PLANNED")</f>
        <v>43.806</v>
      </c>
    </row>
    <row r="28" spans="1:7">
      <c r="A28" s="9">
        <v>2026</v>
      </c>
      <c r="B28" s="10">
        <f>SUMIFS(Data!$K:$K,Data!$A:$A,2026,Data!$B:$B,1,Data!$G:$G,"Reformer",Data!$J:$J,"PLANNED")</f>
        <v>44.665</v>
      </c>
      <c r="C28" s="10">
        <f>SUMIFS(Data!$K:$K,Data!$A:$A,2026,Data!$B:$B,2,Data!$G:$G,"Reformer",Data!$J:$J,"PLANNED")</f>
        <v>60.616</v>
      </c>
      <c r="D28" s="10">
        <f>SUMIFS(Data!$K:$K,Data!$A:$A,2026,Data!$B:$B,3,Data!$G:$G,"Reformer",Data!$J:$J,"PLANNED")</f>
        <v>85.93</v>
      </c>
      <c r="E28" s="10">
        <f>SUMIFS(Data!$K:$K,Data!$A:$A,2026,Data!$B:$B,4,Data!$G:$G,"Reformer",Data!$J:$J,"PLANNED")</f>
        <v>92.18</v>
      </c>
      <c r="F28" s="10">
        <f>SUMIFS(Data!$K:$K,Data!$A:$A,2026,Data!$B:$B,5,Data!$G:$G,"Reformer",Data!$J:$J,"PLANNED")</f>
        <v>51.27</v>
      </c>
      <c r="G28" s="10">
        <f>SUMIFS(Data!$K:$K,Data!$A:$A,2026,Data!$B:$B,6,Data!$G:$G,"Reformer",Data!$J:$J,"PLANNED")</f>
        <v>6.5</v>
      </c>
    </row>
    <row r="29" spans="1:7">
      <c r="A29" s="9">
        <v>2027</v>
      </c>
      <c r="B29" s="10">
        <f>SUMIFS(Data!$K:$K,Data!$A:$A,2027,Data!$B:$B,1,Data!$G:$G,"Reformer",Data!$J:$J,"PLANNED")</f>
        <v>29.125</v>
      </c>
      <c r="C29" s="10">
        <f>SUMIFS(Data!$K:$K,Data!$A:$A,2027,Data!$B:$B,2,Data!$G:$G,"Reformer",Data!$J:$J,"PLANNED")</f>
        <v>68.78</v>
      </c>
      <c r="D29" s="10">
        <f>SUMIFS(Data!$K:$K,Data!$A:$A,2027,Data!$B:$B,3,Data!$G:$G,"Reformer",Data!$J:$J,"PLANNED")</f>
        <v>184.88899999999998</v>
      </c>
      <c r="E29" s="10">
        <f>SUMIFS(Data!$K:$K,Data!$A:$A,2027,Data!$B:$B,4,Data!$G:$G,"Reformer",Data!$J:$J,"PLANNED")</f>
        <v>141.475</v>
      </c>
      <c r="F29" s="10">
        <f>SUMIFS(Data!$K:$K,Data!$A:$A,2027,Data!$B:$B,5,Data!$G:$G,"Reformer",Data!$J:$J,"PLANNED")</f>
        <v>45.428</v>
      </c>
      <c r="G29" s="10">
        <f>SUMIFS(Data!$K:$K,Data!$A:$A,2027,Data!$B:$B,6,Data!$G:$G,"Reformer",Data!$J:$J,"PLANNED")</f>
        <v>0.3</v>
      </c>
    </row>
    <row r="32" spans="1:7">
      <c r="A32" s="3" t="s">
        <v>144</v>
      </c>
    </row>
    <row r="33" spans="1:4">
      <c r="A33" s="7" t="s">
        <v>34</v>
      </c>
      <c r="B33" s="8">
        <v>2025</v>
      </c>
      <c r="C33" s="8">
        <v>2026</v>
      </c>
      <c r="D33" s="8">
        <v>2027</v>
      </c>
    </row>
    <row r="34" spans="1:4">
      <c r="A34" s="9" t="s">
        <v>57</v>
      </c>
      <c r="B34" s="10">
        <f>AVERAGE(B6:G6)</f>
        <v>704.9314166666665</v>
      </c>
      <c r="C34" s="10">
        <f>AVERAGE(B7:G7)</f>
        <v>497.59383333333335</v>
      </c>
      <c r="D34" s="10">
        <f>AVERAGE(B8:G8)</f>
        <v>531.6616666666667</v>
      </c>
    </row>
    <row r="35" spans="1:4">
      <c r="A35" s="9" t="s">
        <v>71</v>
      </c>
      <c r="B35" s="10">
        <f>AVERAGE(B13:G13)</f>
        <v>187.615</v>
      </c>
      <c r="C35" s="10">
        <f>AVERAGE(B14:G14)</f>
        <v>139.7553333333333</v>
      </c>
      <c r="D35" s="10">
        <f>AVERAGE(B15:G15)</f>
        <v>231.90058333333332</v>
      </c>
    </row>
    <row r="36" spans="1:4">
      <c r="A36" s="9" t="s">
        <v>14</v>
      </c>
      <c r="B36" s="10">
        <f>AVERAGE(B20:G20)</f>
        <v>48.26833333333334</v>
      </c>
      <c r="C36" s="10">
        <f>AVERAGE(B21:G21)</f>
        <v>57.79083333333333</v>
      </c>
      <c r="D36" s="10">
        <f>AVERAGE(B22:G22)</f>
        <v>62.96</v>
      </c>
    </row>
    <row r="37" spans="1:4">
      <c r="A37" s="9" t="s">
        <v>15</v>
      </c>
      <c r="B37" s="10">
        <f>AVERAGE(B27:G27)</f>
        <v>124.08383333333336</v>
      </c>
      <c r="C37" s="10">
        <f>AVERAGE(B28:G28)</f>
        <v>56.860166666666665</v>
      </c>
      <c r="D37" s="10">
        <f>AVERAGE(B29:G29)</f>
        <v>78.33283333333334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E8B8B"/>
  </sheetPr>
  <dimension ref="A1:J651"/>
  <sheetViews>
    <sheetView showGridLines="0" zoomScale="110" zoomScaleNormal="110" workbookViewId="0">
      <pane ySplit="4" topLeftCell="A5" activePane="bottomLeft" state="frozen"/>
      <selection pane="bottomLeft"/>
    </sheetView>
  </sheetViews>
  <sheetFormatPr defaultRowHeight="15"/>
  <cols>
    <col min="1" max="2" width="7.7109375" customWidth="1"/>
    <col min="3" max="3" width="6.7109375" customWidth="1"/>
    <col min="4" max="4" width="5.7109375" customWidth="1"/>
    <col min="5" max="8" width="9.7109375" customWidth="1"/>
  </cols>
  <sheetData>
    <row r="1" spans="1:8" ht="22" customHeight="1">
      <c r="A1" s="1" t="s">
        <v>145</v>
      </c>
    </row>
    <row r="2" spans="1:8">
      <c r="A2" s="2" t="s">
        <v>146</v>
      </c>
    </row>
    <row r="4" spans="1:8">
      <c r="A4" s="7" t="s">
        <v>34</v>
      </c>
      <c r="B4" s="7" t="s">
        <v>35</v>
      </c>
      <c r="C4" s="7" t="s">
        <v>58</v>
      </c>
      <c r="D4" s="7" t="s">
        <v>147</v>
      </c>
      <c r="E4" s="7" t="s">
        <v>148</v>
      </c>
      <c r="F4" s="8" t="s">
        <v>36</v>
      </c>
      <c r="G4" s="8" t="s">
        <v>149</v>
      </c>
      <c r="H4" s="8" t="s">
        <v>150</v>
      </c>
    </row>
    <row r="5" spans="1:8">
      <c r="A5" s="6" t="s">
        <v>12</v>
      </c>
      <c r="B5" s="6" t="s">
        <v>151</v>
      </c>
      <c r="C5" s="6">
        <v>2023</v>
      </c>
      <c r="D5" s="6">
        <v>1</v>
      </c>
      <c r="E5" s="9" t="s">
        <v>152</v>
      </c>
      <c r="F5" s="10">
        <f>SUMIFS(Data!$K:$K,Data!$A:$A,2023,Data!$B:$B,1,Data!$G:$G,"CDU",Data!$F:$F,"PADD 1")</f>
        <v>63.260000000000005</v>
      </c>
    </row>
    <row r="6" spans="1:8">
      <c r="A6" s="6" t="s">
        <v>12</v>
      </c>
      <c r="B6" s="6" t="s">
        <v>151</v>
      </c>
      <c r="C6" s="6">
        <v>2023</v>
      </c>
      <c r="D6" s="6">
        <v>2</v>
      </c>
      <c r="E6" s="9" t="s">
        <v>153</v>
      </c>
      <c r="F6" s="10">
        <f>SUMIFS(Data!$K:$K,Data!$A:$A,2023,Data!$B:$B,2,Data!$G:$G,"CDU",Data!$F:$F,"PADD 1")</f>
        <v>129.0</v>
      </c>
      <c r="G6" s="11">
        <f>IFERROR(F6/F5-1,"")</f>
        <v>1.0392032880177045</v>
      </c>
    </row>
    <row r="7" spans="1:8">
      <c r="A7" s="6" t="s">
        <v>12</v>
      </c>
      <c r="B7" s="6" t="s">
        <v>151</v>
      </c>
      <c r="C7" s="6">
        <v>2023</v>
      </c>
      <c r="D7" s="6">
        <v>3</v>
      </c>
      <c r="E7" s="9" t="s">
        <v>154</v>
      </c>
      <c r="F7" s="10">
        <f>SUMIFS(Data!$K:$K,Data!$A:$A,2023,Data!$B:$B,3,Data!$G:$G,"CDU",Data!$F:$F,"PADD 1")</f>
        <v>189.71</v>
      </c>
      <c r="G7" s="11">
        <f>IFERROR(F7/F6-1,"")</f>
        <v>0.47062015503875965</v>
      </c>
    </row>
    <row r="8" spans="1:8">
      <c r="A8" s="6" t="s">
        <v>12</v>
      </c>
      <c r="B8" s="6" t="s">
        <v>151</v>
      </c>
      <c r="C8" s="6">
        <v>2023</v>
      </c>
      <c r="D8" s="6">
        <v>4</v>
      </c>
      <c r="E8" s="9" t="s">
        <v>155</v>
      </c>
      <c r="F8" s="10">
        <f>SUMIFS(Data!$K:$K,Data!$A:$A,2023,Data!$B:$B,4,Data!$G:$G,"CDU",Data!$F:$F,"PADD 1")</f>
        <v>22.31</v>
      </c>
      <c r="G8" s="11">
        <f>IFERROR(F8/F7-1,"")</f>
        <v>-0.8823994517948448</v>
      </c>
    </row>
    <row r="9" spans="1:8">
      <c r="A9" s="6" t="s">
        <v>12</v>
      </c>
      <c r="B9" s="6" t="s">
        <v>151</v>
      </c>
      <c r="C9" s="6">
        <v>2023</v>
      </c>
      <c r="D9" s="6">
        <v>5</v>
      </c>
      <c r="E9" s="9" t="s">
        <v>156</v>
      </c>
      <c r="F9" s="10">
        <f>SUMIFS(Data!$K:$K,Data!$A:$A,2023,Data!$B:$B,5,Data!$G:$G,"CDU",Data!$F:$F,"PADD 1")</f>
        <v>0.0</v>
      </c>
      <c r="G9" s="11">
        <f>IFERROR(F9/F8-1,"")</f>
        <v>-1.0</v>
      </c>
    </row>
    <row r="10" spans="1:8">
      <c r="A10" s="6" t="s">
        <v>12</v>
      </c>
      <c r="B10" s="6" t="s">
        <v>151</v>
      </c>
      <c r="C10" s="6">
        <v>2023</v>
      </c>
      <c r="D10" s="6">
        <v>6</v>
      </c>
      <c r="E10" s="9" t="s">
        <v>157</v>
      </c>
      <c r="F10" s="10">
        <f>SUMIFS(Data!$K:$K,Data!$A:$A,2023,Data!$B:$B,6,Data!$G:$G,"CDU",Data!$F:$F,"PADD 1")</f>
        <v>99.52250000000001</v>
      </c>
      <c r="G10" s="11">
        <f>IFERROR(F10/F9-1,"")</f>
        <v/>
      </c>
    </row>
    <row r="11" spans="1:8">
      <c r="A11" s="6" t="s">
        <v>12</v>
      </c>
      <c r="B11" s="6" t="s">
        <v>151</v>
      </c>
      <c r="C11" s="6">
        <v>2023</v>
      </c>
      <c r="D11" s="6">
        <v>7</v>
      </c>
      <c r="E11" s="9" t="s">
        <v>158</v>
      </c>
      <c r="F11" s="10">
        <f>SUMIFS(Data!$K:$K,Data!$A:$A,2023,Data!$B:$B,7,Data!$G:$G,"CDU",Data!$F:$F,"PADD 1")</f>
        <v>87.89</v>
      </c>
      <c r="G11" s="11">
        <f>IFERROR(F11/F10-1,"")</f>
        <v>-0.11688311688311692</v>
      </c>
    </row>
    <row r="12" spans="1:8">
      <c r="A12" s="6" t="s">
        <v>12</v>
      </c>
      <c r="B12" s="6" t="s">
        <v>151</v>
      </c>
      <c r="C12" s="6">
        <v>2023</v>
      </c>
      <c r="D12" s="6">
        <v>8</v>
      </c>
      <c r="E12" s="9" t="s">
        <v>159</v>
      </c>
      <c r="F12" s="10">
        <f>SUMIFS(Data!$K:$K,Data!$A:$A,2023,Data!$B:$B,8,Data!$G:$G,"CDU",Data!$F:$F,"PADD 1")</f>
        <v>0.0</v>
      </c>
      <c r="G12" s="11">
        <f>IFERROR(F12/F11-1,"")</f>
        <v>-1.0</v>
      </c>
    </row>
    <row r="13" spans="1:8">
      <c r="A13" s="6" t="s">
        <v>12</v>
      </c>
      <c r="B13" s="6" t="s">
        <v>151</v>
      </c>
      <c r="C13" s="6">
        <v>2023</v>
      </c>
      <c r="D13" s="6">
        <v>9</v>
      </c>
      <c r="E13" s="9" t="s">
        <v>160</v>
      </c>
      <c r="F13" s="10">
        <f>SUMIFS(Data!$K:$K,Data!$A:$A,2023,Data!$B:$B,9,Data!$G:$G,"CDU",Data!$F:$F,"PADD 1")</f>
        <v>100.725</v>
      </c>
      <c r="G13" s="11">
        <f>IFERROR(F13/F12-1,"")</f>
        <v/>
      </c>
    </row>
    <row r="14" spans="1:8">
      <c r="A14" s="6" t="s">
        <v>12</v>
      </c>
      <c r="B14" s="6" t="s">
        <v>151</v>
      </c>
      <c r="C14" s="6">
        <v>2023</v>
      </c>
      <c r="D14" s="6">
        <v>10</v>
      </c>
      <c r="E14" s="9" t="s">
        <v>161</v>
      </c>
      <c r="F14" s="10">
        <f>SUMIFS(Data!$K:$K,Data!$A:$A,2023,Data!$B:$B,10,Data!$G:$G,"CDU",Data!$F:$F,"PADD 1")</f>
        <v>185.0</v>
      </c>
      <c r="G14" s="11">
        <f>IFERROR(F14/F13-1,"")</f>
        <v>0.8366840407048897</v>
      </c>
    </row>
    <row r="15" spans="1:8">
      <c r="A15" s="6" t="s">
        <v>12</v>
      </c>
      <c r="B15" s="6" t="s">
        <v>151</v>
      </c>
      <c r="C15" s="6">
        <v>2023</v>
      </c>
      <c r="D15" s="6">
        <v>11</v>
      </c>
      <c r="E15" s="9" t="s">
        <v>162</v>
      </c>
      <c r="F15" s="10">
        <f>SUMIFS(Data!$K:$K,Data!$A:$A,2023,Data!$B:$B,11,Data!$G:$G,"CDU",Data!$F:$F,"PADD 1")</f>
        <v>55.5</v>
      </c>
      <c r="G15" s="11">
        <f>IFERROR(F15/F14-1,"")</f>
        <v>-0.7</v>
      </c>
    </row>
    <row r="16" spans="1:8">
      <c r="A16" s="6" t="s">
        <v>12</v>
      </c>
      <c r="B16" s="6" t="s">
        <v>151</v>
      </c>
      <c r="C16" s="6">
        <v>2023</v>
      </c>
      <c r="D16" s="6">
        <v>12</v>
      </c>
      <c r="E16" s="9" t="s">
        <v>163</v>
      </c>
      <c r="F16" s="10">
        <f>SUMIFS(Data!$K:$K,Data!$A:$A,2023,Data!$B:$B,12,Data!$G:$G,"CDU",Data!$F:$F,"PADD 1")</f>
        <v>25.85</v>
      </c>
      <c r="G16" s="11">
        <f>IFERROR(F16/F15-1,"")</f>
        <v>-0.5342342342342342</v>
      </c>
    </row>
    <row r="17" spans="1:8">
      <c r="A17" s="6" t="s">
        <v>12</v>
      </c>
      <c r="B17" s="6" t="s">
        <v>151</v>
      </c>
      <c r="C17" s="6">
        <v>2024</v>
      </c>
      <c r="D17" s="6">
        <v>1</v>
      </c>
      <c r="E17" s="9" t="s">
        <v>164</v>
      </c>
      <c r="F17" s="10">
        <f>SUMIFS(Data!$K:$K,Data!$A:$A,2024,Data!$B:$B,1,Data!$G:$G,"CDU",Data!$F:$F,"PADD 1")</f>
        <v>39.56</v>
      </c>
      <c r="G17" s="11">
        <f>IFERROR(F17/F16-1,"")</f>
        <v>0.53036750483559</v>
      </c>
      <c r="H17" s="11">
        <f>IFERROR(F17/F5-1,"")</f>
        <v>-0.3746443250079039</v>
      </c>
    </row>
    <row r="18" spans="1:8">
      <c r="A18" s="6" t="s">
        <v>12</v>
      </c>
      <c r="B18" s="6" t="s">
        <v>151</v>
      </c>
      <c r="C18" s="6">
        <v>2024</v>
      </c>
      <c r="D18" s="6">
        <v>2</v>
      </c>
      <c r="E18" s="9" t="s">
        <v>165</v>
      </c>
      <c r="F18" s="10">
        <f>SUMIFS(Data!$K:$K,Data!$A:$A,2024,Data!$B:$B,2,Data!$G:$G,"CDU",Data!$F:$F,"PADD 1")</f>
        <v>0.0</v>
      </c>
      <c r="G18" s="11">
        <f>IFERROR(F18/F17-1,"")</f>
        <v>-1.0</v>
      </c>
      <c r="H18" s="11">
        <f>IFERROR(F18/F6-1,"")</f>
        <v>-1.0</v>
      </c>
    </row>
    <row r="19" spans="1:8">
      <c r="A19" s="6" t="s">
        <v>12</v>
      </c>
      <c r="B19" s="6" t="s">
        <v>151</v>
      </c>
      <c r="C19" s="6">
        <v>2024</v>
      </c>
      <c r="D19" s="6">
        <v>3</v>
      </c>
      <c r="E19" s="9" t="s">
        <v>166</v>
      </c>
      <c r="F19" s="10">
        <f>SUMIFS(Data!$K:$K,Data!$A:$A,2024,Data!$B:$B,3,Data!$G:$G,"CDU",Data!$F:$F,"PADD 1")</f>
        <v>60.55</v>
      </c>
      <c r="G19" s="11">
        <f>IFERROR(F19/F18-1,"")</f>
        <v/>
      </c>
      <c r="H19" s="11">
        <f>IFERROR(F19/F7-1,"")</f>
        <v>-0.6808286331769543</v>
      </c>
    </row>
    <row r="20" spans="1:8">
      <c r="A20" s="6" t="s">
        <v>12</v>
      </c>
      <c r="B20" s="6" t="s">
        <v>151</v>
      </c>
      <c r="C20" s="6">
        <v>2024</v>
      </c>
      <c r="D20" s="6">
        <v>4</v>
      </c>
      <c r="E20" s="9" t="s">
        <v>167</v>
      </c>
      <c r="F20" s="10">
        <f>SUMIFS(Data!$K:$K,Data!$A:$A,2024,Data!$B:$B,4,Data!$G:$G,"CDU",Data!$F:$F,"PADD 1")</f>
        <v>47.775</v>
      </c>
      <c r="G20" s="11">
        <f>IFERROR(F20/F19-1,"")</f>
        <v>-0.2109826589595376</v>
      </c>
      <c r="H20" s="11">
        <f>IFERROR(F20/F8-1,"")</f>
        <v>1.141416405199462</v>
      </c>
    </row>
    <row r="21" spans="1:8">
      <c r="A21" s="6" t="s">
        <v>12</v>
      </c>
      <c r="B21" s="6" t="s">
        <v>151</v>
      </c>
      <c r="C21" s="6">
        <v>2024</v>
      </c>
      <c r="D21" s="6">
        <v>5</v>
      </c>
      <c r="E21" s="9" t="s">
        <v>168</v>
      </c>
      <c r="F21" s="10">
        <f>SUMIFS(Data!$K:$K,Data!$A:$A,2024,Data!$B:$B,5,Data!$G:$G,"CDU",Data!$F:$F,"PADD 1")</f>
        <v>0.0</v>
      </c>
      <c r="G21" s="11">
        <f>IFERROR(F21/F20-1,"")</f>
        <v>-1.0</v>
      </c>
      <c r="H21" s="11">
        <f>IFERROR(F21/F9-1,"")</f>
        <v/>
      </c>
    </row>
    <row r="22" spans="1:8">
      <c r="A22" s="6" t="s">
        <v>12</v>
      </c>
      <c r="B22" s="6" t="s">
        <v>151</v>
      </c>
      <c r="C22" s="6">
        <v>2024</v>
      </c>
      <c r="D22" s="6">
        <v>6</v>
      </c>
      <c r="E22" s="9" t="s">
        <v>169</v>
      </c>
      <c r="F22" s="10">
        <f>SUMIFS(Data!$K:$K,Data!$A:$A,2024,Data!$B:$B,6,Data!$G:$G,"CDU",Data!$F:$F,"PADD 1")</f>
        <v>0.0</v>
      </c>
      <c r="G22" s="11">
        <f>IFERROR(F22/F21-1,"")</f>
        <v/>
      </c>
      <c r="H22" s="11">
        <f>IFERROR(F22/F10-1,"")</f>
        <v>-1.0</v>
      </c>
    </row>
    <row r="23" spans="1:8">
      <c r="A23" s="6" t="s">
        <v>12</v>
      </c>
      <c r="B23" s="6" t="s">
        <v>151</v>
      </c>
      <c r="C23" s="6">
        <v>2024</v>
      </c>
      <c r="D23" s="6">
        <v>7</v>
      </c>
      <c r="E23" s="9" t="s">
        <v>170</v>
      </c>
      <c r="F23" s="10">
        <f>SUMIFS(Data!$K:$K,Data!$A:$A,2024,Data!$B:$B,7,Data!$G:$G,"CDU",Data!$F:$F,"PADD 1")</f>
        <v>11.25</v>
      </c>
      <c r="G23" s="11">
        <f>IFERROR(F23/F22-1,"")</f>
        <v/>
      </c>
      <c r="H23" s="11">
        <f>IFERROR(F23/F11-1,"")</f>
        <v>-0.871999089771305</v>
      </c>
    </row>
    <row r="24" spans="1:8">
      <c r="A24" s="6" t="s">
        <v>12</v>
      </c>
      <c r="B24" s="6" t="s">
        <v>151</v>
      </c>
      <c r="C24" s="6">
        <v>2024</v>
      </c>
      <c r="D24" s="6">
        <v>8</v>
      </c>
      <c r="E24" s="9" t="s">
        <v>171</v>
      </c>
      <c r="F24" s="10">
        <f>SUMIFS(Data!$K:$K,Data!$A:$A,2024,Data!$B:$B,8,Data!$G:$G,"CDU",Data!$F:$F,"PADD 1")</f>
        <v>0.0</v>
      </c>
      <c r="G24" s="11">
        <f>IFERROR(F24/F23-1,"")</f>
        <v>-1.0</v>
      </c>
      <c r="H24" s="11">
        <f>IFERROR(F24/F12-1,"")</f>
        <v/>
      </c>
    </row>
    <row r="25" spans="1:8">
      <c r="A25" s="6" t="s">
        <v>12</v>
      </c>
      <c r="B25" s="6" t="s">
        <v>151</v>
      </c>
      <c r="C25" s="6">
        <v>2024</v>
      </c>
      <c r="D25" s="6">
        <v>9</v>
      </c>
      <c r="E25" s="9" t="s">
        <v>172</v>
      </c>
      <c r="F25" s="10">
        <f>SUMIFS(Data!$K:$K,Data!$A:$A,2024,Data!$B:$B,9,Data!$G:$G,"CDU",Data!$F:$F,"PADD 1")</f>
        <v>0.0</v>
      </c>
      <c r="G25" s="11">
        <f>IFERROR(F25/F24-1,"")</f>
        <v/>
      </c>
      <c r="H25" s="11">
        <f>IFERROR(F25/F13-1,"")</f>
        <v>-1.0</v>
      </c>
    </row>
    <row r="26" spans="1:8">
      <c r="A26" s="6" t="s">
        <v>12</v>
      </c>
      <c r="B26" s="6" t="s">
        <v>151</v>
      </c>
      <c r="C26" s="6">
        <v>2024</v>
      </c>
      <c r="D26" s="6">
        <v>10</v>
      </c>
      <c r="E26" s="9" t="s">
        <v>173</v>
      </c>
      <c r="F26" s="10">
        <f>SUMIFS(Data!$K:$K,Data!$A:$A,2024,Data!$B:$B,10,Data!$G:$G,"CDU",Data!$F:$F,"PADD 1")</f>
        <v>73.08</v>
      </c>
      <c r="G26" s="11">
        <f>IFERROR(F26/F25-1,"")</f>
        <v/>
      </c>
      <c r="H26" s="11">
        <f>IFERROR(F26/F14-1,"")</f>
        <v>-0.6049729729729729</v>
      </c>
    </row>
    <row r="27" spans="1:8">
      <c r="A27" s="6" t="s">
        <v>12</v>
      </c>
      <c r="B27" s="6" t="s">
        <v>151</v>
      </c>
      <c r="C27" s="6">
        <v>2024</v>
      </c>
      <c r="D27" s="6">
        <v>11</v>
      </c>
      <c r="E27" s="9" t="s">
        <v>174</v>
      </c>
      <c r="F27" s="10">
        <f>SUMIFS(Data!$K:$K,Data!$A:$A,2024,Data!$B:$B,11,Data!$G:$G,"CDU",Data!$F:$F,"PADD 1")</f>
        <v>116.9</v>
      </c>
      <c r="G27" s="11">
        <f>IFERROR(F27/F26-1,"")</f>
        <v>0.5996168582375481</v>
      </c>
      <c r="H27" s="11">
        <f>IFERROR(F27/F15-1,"")</f>
        <v>1.1063063063063066</v>
      </c>
    </row>
    <row r="28" spans="1:8">
      <c r="A28" s="6" t="s">
        <v>12</v>
      </c>
      <c r="B28" s="6" t="s">
        <v>151</v>
      </c>
      <c r="C28" s="6">
        <v>2024</v>
      </c>
      <c r="D28" s="6">
        <v>12</v>
      </c>
      <c r="E28" s="9" t="s">
        <v>175</v>
      </c>
      <c r="F28" s="10">
        <f>SUMIFS(Data!$K:$K,Data!$A:$A,2024,Data!$B:$B,12,Data!$G:$G,"CDU",Data!$F:$F,"PADD 1")</f>
        <v>159.85</v>
      </c>
      <c r="G28" s="11">
        <f>IFERROR(F28/F27-1,"")</f>
        <v>0.36740804106073566</v>
      </c>
      <c r="H28" s="11">
        <f>IFERROR(F28/F16-1,"")</f>
        <v>5.18375241779497</v>
      </c>
    </row>
    <row r="29" spans="1:8">
      <c r="A29" s="6" t="s">
        <v>12</v>
      </c>
      <c r="B29" s="6" t="s">
        <v>151</v>
      </c>
      <c r="C29" s="6">
        <v>2025</v>
      </c>
      <c r="D29" s="6">
        <v>1</v>
      </c>
      <c r="E29" s="9" t="s">
        <v>176</v>
      </c>
      <c r="F29" s="10">
        <f>SUMIFS(Data!$K:$K,Data!$A:$A,2025,Data!$B:$B,1,Data!$G:$G,"CDU",Data!$F:$F,"PADD 1")</f>
        <v>170.12</v>
      </c>
      <c r="G29" s="11">
        <f>IFERROR(F29/F28-1,"")</f>
        <v>0.06424773224898339</v>
      </c>
      <c r="H29" s="11">
        <f>IFERROR(F29/F17-1,"")</f>
        <v>3.300303336703741</v>
      </c>
    </row>
    <row r="30" spans="1:8">
      <c r="A30" s="6" t="s">
        <v>12</v>
      </c>
      <c r="B30" s="6" t="s">
        <v>151</v>
      </c>
      <c r="C30" s="6">
        <v>2025</v>
      </c>
      <c r="D30" s="6">
        <v>2</v>
      </c>
      <c r="E30" s="9" t="s">
        <v>177</v>
      </c>
      <c r="F30" s="10">
        <f>SUMIFS(Data!$K:$K,Data!$A:$A,2025,Data!$B:$B,2,Data!$G:$G,"CDU",Data!$F:$F,"PADD 1")</f>
        <v>306.59000000000003</v>
      </c>
      <c r="G30" s="11">
        <f>IFERROR(F30/F29-1,"")</f>
        <v>0.8021984481542441</v>
      </c>
      <c r="H30" s="11">
        <f>IFERROR(F30/F18-1,"")</f>
        <v/>
      </c>
    </row>
    <row r="31" spans="1:8">
      <c r="A31" s="6" t="s">
        <v>12</v>
      </c>
      <c r="B31" s="6" t="s">
        <v>151</v>
      </c>
      <c r="C31" s="6">
        <v>2025</v>
      </c>
      <c r="D31" s="6">
        <v>3</v>
      </c>
      <c r="E31" s="9" t="s">
        <v>178</v>
      </c>
      <c r="F31" s="10">
        <f>SUMIFS(Data!$K:$K,Data!$A:$A,2025,Data!$B:$B,3,Data!$G:$G,"CDU",Data!$F:$F,"PADD 1")</f>
        <v>426.19</v>
      </c>
      <c r="G31" s="11">
        <f>IFERROR(F31/F30-1,"")</f>
        <v>0.39009752438109513</v>
      </c>
      <c r="H31" s="11">
        <f>IFERROR(F31/F19-1,"")</f>
        <v>6.038645747316268</v>
      </c>
    </row>
    <row r="32" spans="1:8">
      <c r="A32" s="6" t="s">
        <v>12</v>
      </c>
      <c r="B32" s="6" t="s">
        <v>151</v>
      </c>
      <c r="C32" s="6">
        <v>2025</v>
      </c>
      <c r="D32" s="6">
        <v>4</v>
      </c>
      <c r="E32" s="9" t="s">
        <v>179</v>
      </c>
      <c r="F32" s="10">
        <f>SUMIFS(Data!$K:$K,Data!$A:$A,2025,Data!$B:$B,4,Data!$G:$G,"CDU",Data!$F:$F,"PADD 1")</f>
        <v>128.3961</v>
      </c>
      <c r="G32" s="11">
        <f>IFERROR(F32/F31-1,"")</f>
        <v>-0.6987350712123701</v>
      </c>
      <c r="H32" s="11">
        <f>IFERROR(F32/F20-1,"")</f>
        <v>1.6875164835164833</v>
      </c>
    </row>
    <row r="33" spans="1:8">
      <c r="A33" s="6" t="s">
        <v>12</v>
      </c>
      <c r="B33" s="6" t="s">
        <v>151</v>
      </c>
      <c r="C33" s="6">
        <v>2025</v>
      </c>
      <c r="D33" s="6">
        <v>5</v>
      </c>
      <c r="E33" s="9" t="s">
        <v>180</v>
      </c>
      <c r="F33" s="10">
        <f>SUMIFS(Data!$K:$K,Data!$A:$A,2025,Data!$B:$B,5,Data!$G:$G,"CDU",Data!$F:$F,"PADD 1")</f>
        <v>87.63</v>
      </c>
      <c r="G33" s="11">
        <f>IFERROR(F33/F32-1,"")</f>
        <v>-0.31750263442581195</v>
      </c>
      <c r="H33" s="11">
        <f>IFERROR(F33/F21-1,"")</f>
        <v/>
      </c>
    </row>
    <row r="34" spans="1:8">
      <c r="A34" s="6" t="s">
        <v>12</v>
      </c>
      <c r="B34" s="6" t="s">
        <v>151</v>
      </c>
      <c r="C34" s="6">
        <v>2025</v>
      </c>
      <c r="D34" s="6">
        <v>6</v>
      </c>
      <c r="E34" s="9" t="s">
        <v>181</v>
      </c>
      <c r="F34" s="10">
        <f>SUMIFS(Data!$K:$K,Data!$A:$A,2025,Data!$B:$B,6,Data!$G:$G,"CDU",Data!$F:$F,"PADD 1")</f>
        <v>70.0371</v>
      </c>
      <c r="G34" s="11">
        <f>IFERROR(F34/F33-1,"")</f>
        <v>-0.20076343717904832</v>
      </c>
      <c r="H34" s="11">
        <f>IFERROR(F34/F22-1,"")</f>
        <v/>
      </c>
    </row>
    <row r="35" spans="1:8">
      <c r="A35" s="6" t="s">
        <v>12</v>
      </c>
      <c r="B35" s="6" t="s">
        <v>151</v>
      </c>
      <c r="C35" s="6">
        <v>2025</v>
      </c>
      <c r="D35" s="6">
        <v>7</v>
      </c>
      <c r="E35" s="9" t="s">
        <v>182</v>
      </c>
      <c r="F35" s="10">
        <f>SUMIFS(Data!$K:$K,Data!$A:$A,2025,Data!$B:$B,7,Data!$G:$G,"CDU",Data!$F:$F,"PADD 1")</f>
        <v>78.435</v>
      </c>
      <c r="G35" s="11">
        <f>IFERROR(F35/F34-1,"")</f>
        <v>0.1199064495817217</v>
      </c>
      <c r="H35" s="11">
        <f>IFERROR(F35/F23-1,"")</f>
        <v>5.972</v>
      </c>
    </row>
    <row r="36" spans="1:8">
      <c r="A36" s="6" t="s">
        <v>12</v>
      </c>
      <c r="B36" s="6" t="s">
        <v>151</v>
      </c>
      <c r="C36" s="6">
        <v>2025</v>
      </c>
      <c r="D36" s="6">
        <v>8</v>
      </c>
      <c r="E36" s="9" t="s">
        <v>183</v>
      </c>
      <c r="F36" s="10">
        <f>SUMIFS(Data!$K:$K,Data!$A:$A,2025,Data!$B:$B,8,Data!$G:$G,"CDU",Data!$F:$F,"PADD 1")</f>
        <v>0.0</v>
      </c>
      <c r="G36" s="11">
        <f>IFERROR(F36/F35-1,"")</f>
        <v>-1.0</v>
      </c>
      <c r="H36" s="11">
        <f>IFERROR(F36/F24-1,"")</f>
        <v/>
      </c>
    </row>
    <row r="37" spans="1:8">
      <c r="A37" s="6" t="s">
        <v>12</v>
      </c>
      <c r="B37" s="6" t="s">
        <v>151</v>
      </c>
      <c r="C37" s="6">
        <v>2025</v>
      </c>
      <c r="D37" s="6">
        <v>9</v>
      </c>
      <c r="E37" s="9" t="s">
        <v>184</v>
      </c>
      <c r="F37" s="10">
        <f>SUMIFS(Data!$K:$K,Data!$A:$A,2025,Data!$B:$B,9,Data!$G:$G,"CDU",Data!$F:$F,"PADD 1")</f>
        <v>0.0</v>
      </c>
      <c r="G37" s="11">
        <f>IFERROR(F37/F36-1,"")</f>
        <v/>
      </c>
      <c r="H37" s="11">
        <f>IFERROR(F37/F25-1,"")</f>
        <v/>
      </c>
    </row>
    <row r="38" spans="1:8">
      <c r="A38" s="6" t="s">
        <v>12</v>
      </c>
      <c r="B38" s="6" t="s">
        <v>151</v>
      </c>
      <c r="C38" s="6">
        <v>2025</v>
      </c>
      <c r="D38" s="6">
        <v>10</v>
      </c>
      <c r="E38" s="9" t="s">
        <v>185</v>
      </c>
      <c r="F38" s="10">
        <f>SUMIFS(Data!$K:$K,Data!$A:$A,2025,Data!$B:$B,10,Data!$G:$G,"CDU",Data!$F:$F,"PADD 1")</f>
        <v>0.0</v>
      </c>
      <c r="G38" s="11">
        <f>IFERROR(F38/F37-1,"")</f>
        <v/>
      </c>
      <c r="H38" s="11">
        <f>IFERROR(F38/F26-1,"")</f>
        <v>-1.0</v>
      </c>
    </row>
    <row r="39" spans="1:8">
      <c r="A39" s="6" t="s">
        <v>12</v>
      </c>
      <c r="B39" s="6" t="s">
        <v>151</v>
      </c>
      <c r="C39" s="6">
        <v>2025</v>
      </c>
      <c r="D39" s="6">
        <v>11</v>
      </c>
      <c r="E39" s="9" t="s">
        <v>186</v>
      </c>
      <c r="F39" s="10">
        <f>SUMIFS(Data!$K:$K,Data!$A:$A,2025,Data!$B:$B,11,Data!$G:$G,"CDU",Data!$F:$F,"PADD 1")</f>
        <v>0.0</v>
      </c>
      <c r="G39" s="11">
        <f>IFERROR(F39/F38-1,"")</f>
        <v/>
      </c>
      <c r="H39" s="11">
        <f>IFERROR(F39/F27-1,"")</f>
        <v>-1.0</v>
      </c>
    </row>
    <row r="40" spans="1:8">
      <c r="A40" s="6" t="s">
        <v>12</v>
      </c>
      <c r="B40" s="6" t="s">
        <v>151</v>
      </c>
      <c r="C40" s="6">
        <v>2025</v>
      </c>
      <c r="D40" s="6">
        <v>12</v>
      </c>
      <c r="E40" s="9" t="s">
        <v>187</v>
      </c>
      <c r="F40" s="10">
        <f>SUMIFS(Data!$K:$K,Data!$A:$A,2025,Data!$B:$B,12,Data!$G:$G,"CDU",Data!$F:$F,"PADD 1")</f>
        <v>0.0</v>
      </c>
      <c r="G40" s="11">
        <f>IFERROR(F40/F39-1,"")</f>
        <v/>
      </c>
      <c r="H40" s="11">
        <f>IFERROR(F40/F28-1,"")</f>
        <v>-1.0</v>
      </c>
    </row>
    <row r="41" spans="1:8">
      <c r="A41" s="6" t="s">
        <v>12</v>
      </c>
      <c r="B41" s="6" t="s">
        <v>151</v>
      </c>
      <c r="C41" s="6">
        <v>2026</v>
      </c>
      <c r="D41" s="6">
        <v>1</v>
      </c>
      <c r="E41" s="9" t="s">
        <v>188</v>
      </c>
      <c r="F41" s="10">
        <f>SUMIFS(Data!$K:$K,Data!$A:$A,2026,Data!$B:$B,1,Data!$G:$G,"CDU",Data!$F:$F,"PADD 1")</f>
        <v>17.6</v>
      </c>
      <c r="G41" s="11">
        <f>IFERROR(F41/F40-1,"")</f>
        <v/>
      </c>
      <c r="H41" s="11">
        <f>IFERROR(F41/F29-1,"")</f>
        <v>-0.8965436162708676</v>
      </c>
    </row>
    <row r="42" spans="1:8">
      <c r="A42" s="6" t="s">
        <v>12</v>
      </c>
      <c r="B42" s="6" t="s">
        <v>151</v>
      </c>
      <c r="C42" s="6">
        <v>2026</v>
      </c>
      <c r="D42" s="6">
        <v>2</v>
      </c>
      <c r="E42" s="9" t="s">
        <v>189</v>
      </c>
      <c r="F42" s="10">
        <f>SUMIFS(Data!$K:$K,Data!$A:$A,2026,Data!$B:$B,2,Data!$G:$G,"CDU",Data!$F:$F,"PADD 1")</f>
        <v>12.1</v>
      </c>
      <c r="G42" s="11">
        <f>IFERROR(F42/F41-1,"")</f>
        <v>-0.3125000000000001</v>
      </c>
      <c r="H42" s="11">
        <f>IFERROR(F42/F30-1,"")</f>
        <v>-0.9605336116637855</v>
      </c>
    </row>
    <row r="43" spans="1:8">
      <c r="A43" s="6" t="s">
        <v>12</v>
      </c>
      <c r="B43" s="6" t="s">
        <v>151</v>
      </c>
      <c r="C43" s="6">
        <v>2026</v>
      </c>
      <c r="D43" s="6">
        <v>3</v>
      </c>
      <c r="E43" s="9" t="s">
        <v>190</v>
      </c>
      <c r="F43" s="10">
        <f>SUMIFS(Data!$K:$K,Data!$A:$A,2026,Data!$B:$B,3,Data!$G:$G,"CDU",Data!$F:$F,"PADD 1")</f>
        <v>21.84</v>
      </c>
      <c r="G43" s="11">
        <f>IFERROR(F43/F42-1,"")</f>
        <v>0.8049586776859505</v>
      </c>
      <c r="H43" s="11">
        <f>IFERROR(F43/F31-1,"")</f>
        <v>-0.9487552500058659</v>
      </c>
    </row>
    <row r="44" spans="1:8">
      <c r="A44" s="6" t="s">
        <v>12</v>
      </c>
      <c r="B44" s="6" t="s">
        <v>151</v>
      </c>
      <c r="C44" s="6">
        <v>2026</v>
      </c>
      <c r="D44" s="6">
        <v>4</v>
      </c>
      <c r="E44" s="9" t="s">
        <v>191</v>
      </c>
      <c r="F44" s="10">
        <f>SUMIFS(Data!$K:$K,Data!$A:$A,2026,Data!$B:$B,4,Data!$G:$G,"CDU",Data!$F:$F,"PADD 1")</f>
        <v>0.0</v>
      </c>
      <c r="G44" s="11">
        <f>IFERROR(F44/F43-1,"")</f>
        <v>-1.0</v>
      </c>
      <c r="H44" s="11">
        <f>IFERROR(F44/F32-1,"")</f>
        <v>-1.0</v>
      </c>
    </row>
    <row r="45" spans="1:8">
      <c r="A45" s="6" t="s">
        <v>12</v>
      </c>
      <c r="B45" s="6" t="s">
        <v>151</v>
      </c>
      <c r="C45" s="6">
        <v>2026</v>
      </c>
      <c r="D45" s="6">
        <v>5</v>
      </c>
      <c r="E45" s="9" t="s">
        <v>192</v>
      </c>
      <c r="F45" s="10">
        <f>SUMIFS(Data!$K:$K,Data!$A:$A,2026,Data!$B:$B,5,Data!$G:$G,"CDU",Data!$F:$F,"PADD 1")</f>
        <v>11.0</v>
      </c>
      <c r="G45" s="11">
        <f>IFERROR(F45/F44-1,"")</f>
        <v/>
      </c>
      <c r="H45" s="11">
        <f>IFERROR(F45/F33-1,"")</f>
        <v>-0.8744722127125414</v>
      </c>
    </row>
    <row r="46" spans="1:8">
      <c r="A46" s="6" t="s">
        <v>12</v>
      </c>
      <c r="B46" s="6" t="s">
        <v>151</v>
      </c>
      <c r="C46" s="6">
        <v>2026</v>
      </c>
      <c r="D46" s="6">
        <v>6</v>
      </c>
      <c r="E46" s="9" t="s">
        <v>193</v>
      </c>
      <c r="F46" s="10">
        <f>SUMIFS(Data!$K:$K,Data!$A:$A,2026,Data!$B:$B,6,Data!$G:$G,"CDU",Data!$F:$F,"PADD 1")</f>
        <v>100.88</v>
      </c>
      <c r="G46" s="11">
        <f>IFERROR(F46/F45-1,"")</f>
        <v>8.17090909090909</v>
      </c>
      <c r="H46" s="11">
        <f>IFERROR(F46/F34-1,"")</f>
        <v>0.4403794560311607</v>
      </c>
    </row>
    <row r="47" spans="1:8">
      <c r="A47" s="6" t="s">
        <v>12</v>
      </c>
      <c r="B47" s="6" t="s">
        <v>151</v>
      </c>
      <c r="C47" s="6">
        <v>2026</v>
      </c>
      <c r="D47" s="6">
        <v>7</v>
      </c>
      <c r="E47" s="9" t="s">
        <v>194</v>
      </c>
      <c r="F47" s="10">
        <f>SUMIFS(Data!$K:$K,Data!$A:$A,2026,Data!$B:$B,7,Data!$G:$G,"CDU",Data!$F:$F,"PADD 1")</f>
        <v>208.0</v>
      </c>
      <c r="G47" s="11">
        <f>IFERROR(F47/F46-1,"")</f>
        <v>1.061855670103093</v>
      </c>
      <c r="H47" s="11">
        <f>IFERROR(F47/F35-1,"")</f>
        <v>1.6518773506725313</v>
      </c>
    </row>
    <row r="48" spans="1:8">
      <c r="A48" s="6" t="s">
        <v>12</v>
      </c>
      <c r="B48" s="6" t="s">
        <v>151</v>
      </c>
      <c r="C48" s="6">
        <v>2026</v>
      </c>
      <c r="D48" s="6">
        <v>8</v>
      </c>
      <c r="E48" s="9" t="s">
        <v>195</v>
      </c>
      <c r="F48" s="10">
        <f>SUMIFS(Data!$K:$K,Data!$A:$A,2026,Data!$B:$B,8,Data!$G:$G,"CDU",Data!$F:$F,"PADD 1")</f>
        <v>93.6</v>
      </c>
      <c r="G48" s="11">
        <f>IFERROR(F48/F47-1,"")</f>
        <v>-0.55</v>
      </c>
      <c r="H48" s="11">
        <f>IFERROR(F48/F36-1,"")</f>
        <v/>
      </c>
    </row>
    <row r="49" spans="1:8">
      <c r="A49" s="6" t="s">
        <v>12</v>
      </c>
      <c r="B49" s="6" t="s">
        <v>151</v>
      </c>
      <c r="C49" s="6">
        <v>2026</v>
      </c>
      <c r="D49" s="6">
        <v>9</v>
      </c>
      <c r="E49" s="9" t="s">
        <v>196</v>
      </c>
      <c r="F49" s="10">
        <f>SUMIFS(Data!$K:$K,Data!$A:$A,2026,Data!$B:$B,9,Data!$G:$G,"CDU",Data!$F:$F,"PADD 1")</f>
        <v>51.7</v>
      </c>
      <c r="G49" s="11">
        <f>IFERROR(F49/F48-1,"")</f>
        <v>-0.4476495726495726</v>
      </c>
      <c r="H49" s="11">
        <f>IFERROR(F49/F37-1,"")</f>
        <v/>
      </c>
    </row>
    <row r="50" spans="1:8">
      <c r="A50" s="6" t="s">
        <v>12</v>
      </c>
      <c r="B50" s="6" t="s">
        <v>151</v>
      </c>
      <c r="C50" s="6">
        <v>2026</v>
      </c>
      <c r="D50" s="6">
        <v>10</v>
      </c>
      <c r="E50" s="9" t="s">
        <v>197</v>
      </c>
      <c r="F50" s="10">
        <f>SUMIFS(Data!$K:$K,Data!$A:$A,2026,Data!$B:$B,10,Data!$G:$G,"CDU",Data!$F:$F,"PADD 1")</f>
        <v>74.8</v>
      </c>
      <c r="G50" s="11">
        <f>IFERROR(F50/F49-1,"")</f>
        <v>0.44680851063829774</v>
      </c>
      <c r="H50" s="11">
        <f>IFERROR(F50/F38-1,"")</f>
        <v/>
      </c>
    </row>
    <row r="51" spans="1:8">
      <c r="A51" s="6" t="s">
        <v>12</v>
      </c>
      <c r="B51" s="6" t="s">
        <v>151</v>
      </c>
      <c r="C51" s="6">
        <v>2026</v>
      </c>
      <c r="D51" s="6">
        <v>11</v>
      </c>
      <c r="E51" s="9" t="s">
        <v>198</v>
      </c>
      <c r="F51" s="10">
        <f>SUMIFS(Data!$K:$K,Data!$A:$A,2026,Data!$B:$B,11,Data!$G:$G,"CDU",Data!$F:$F,"PADD 1")</f>
        <v>0.0</v>
      </c>
      <c r="G51" s="11">
        <f>IFERROR(F51/F50-1,"")</f>
        <v>-1.0</v>
      </c>
      <c r="H51" s="11">
        <f>IFERROR(F51/F39-1,"")</f>
        <v/>
      </c>
    </row>
    <row r="52" spans="1:8">
      <c r="A52" s="6" t="s">
        <v>12</v>
      </c>
      <c r="B52" s="6" t="s">
        <v>151</v>
      </c>
      <c r="C52" s="6">
        <v>2026</v>
      </c>
      <c r="D52" s="6">
        <v>12</v>
      </c>
      <c r="E52" s="9" t="s">
        <v>199</v>
      </c>
      <c r="F52" s="10">
        <f>SUMIFS(Data!$K:$K,Data!$A:$A,2026,Data!$B:$B,12,Data!$G:$G,"CDU",Data!$F:$F,"PADD 1")</f>
        <v>0.0</v>
      </c>
      <c r="G52" s="11">
        <f>IFERROR(F52/F51-1,"")</f>
        <v/>
      </c>
      <c r="H52" s="11">
        <f>IFERROR(F52/F40-1,"")</f>
        <v/>
      </c>
    </row>
    <row r="53" spans="1:8">
      <c r="A53" s="6" t="s">
        <v>12</v>
      </c>
      <c r="B53" s="6" t="s">
        <v>151</v>
      </c>
      <c r="C53" s="6">
        <v>2027</v>
      </c>
      <c r="D53" s="6">
        <v>1</v>
      </c>
      <c r="E53" s="9" t="s">
        <v>200</v>
      </c>
      <c r="F53" s="10">
        <f>SUMIFS(Data!$K:$K,Data!$A:$A,2027,Data!$B:$B,1,Data!$G:$G,"CDU",Data!$F:$F,"PADD 1")</f>
        <v>0.0</v>
      </c>
      <c r="G53" s="11">
        <f>IFERROR(F53/F52-1,"")</f>
        <v/>
      </c>
      <c r="H53" s="11">
        <f>IFERROR(F53/F41-1,"")</f>
        <v>-1.0</v>
      </c>
    </row>
    <row r="54" spans="1:8">
      <c r="A54" s="6" t="s">
        <v>12</v>
      </c>
      <c r="B54" s="6" t="s">
        <v>151</v>
      </c>
      <c r="C54" s="6">
        <v>2027</v>
      </c>
      <c r="D54" s="6">
        <v>2</v>
      </c>
      <c r="E54" s="9" t="s">
        <v>201</v>
      </c>
      <c r="F54" s="10">
        <f>SUMIFS(Data!$K:$K,Data!$A:$A,2027,Data!$B:$B,2,Data!$G:$G,"CDU",Data!$F:$F,"PADD 1")</f>
        <v>0.0</v>
      </c>
      <c r="G54" s="11">
        <f>IFERROR(F54/F53-1,"")</f>
        <v/>
      </c>
      <c r="H54" s="11">
        <f>IFERROR(F54/F42-1,"")</f>
        <v>-1.0</v>
      </c>
    </row>
    <row r="55" spans="1:8">
      <c r="A55" s="6" t="s">
        <v>12</v>
      </c>
      <c r="B55" s="6" t="s">
        <v>151</v>
      </c>
      <c r="C55" s="6">
        <v>2027</v>
      </c>
      <c r="D55" s="6">
        <v>3</v>
      </c>
      <c r="E55" s="9" t="s">
        <v>202</v>
      </c>
      <c r="F55" s="10">
        <f>SUMIFS(Data!$K:$K,Data!$A:$A,2027,Data!$B:$B,3,Data!$G:$G,"CDU",Data!$F:$F,"PADD 1")</f>
        <v>108.75</v>
      </c>
      <c r="G55" s="11">
        <f>IFERROR(F55/F54-1,"")</f>
        <v/>
      </c>
      <c r="H55" s="11">
        <f>IFERROR(F55/F43-1,"")</f>
        <v>3.979395604395604</v>
      </c>
    </row>
    <row r="56" spans="1:8">
      <c r="A56" s="6" t="s">
        <v>12</v>
      </c>
      <c r="B56" s="6" t="s">
        <v>151</v>
      </c>
      <c r="C56" s="6">
        <v>2027</v>
      </c>
      <c r="D56" s="6">
        <v>4</v>
      </c>
      <c r="E56" s="9" t="s">
        <v>203</v>
      </c>
      <c r="F56" s="10">
        <f>SUMIFS(Data!$K:$K,Data!$A:$A,2027,Data!$B:$B,4,Data!$G:$G,"CDU",Data!$F:$F,"PADD 1")</f>
        <v>44.95</v>
      </c>
      <c r="G56" s="11">
        <f>IFERROR(F56/F55-1,"")</f>
        <v>-0.5866666666666667</v>
      </c>
      <c r="H56" s="11">
        <f>IFERROR(F56/F44-1,"")</f>
        <v/>
      </c>
    </row>
    <row r="57" spans="1:8">
      <c r="A57" s="6" t="s">
        <v>12</v>
      </c>
      <c r="B57" s="6" t="s">
        <v>151</v>
      </c>
      <c r="C57" s="6">
        <v>2027</v>
      </c>
      <c r="D57" s="6">
        <v>5</v>
      </c>
      <c r="E57" s="9" t="s">
        <v>204</v>
      </c>
      <c r="F57" s="10">
        <f>SUMIFS(Data!$K:$K,Data!$A:$A,2027,Data!$B:$B,5,Data!$G:$G,"CDU",Data!$F:$F,"PADD 1")</f>
        <v>0.0</v>
      </c>
      <c r="G57" s="11">
        <f>IFERROR(F57/F56-1,"")</f>
        <v>-1.0</v>
      </c>
      <c r="H57" s="11">
        <f>IFERROR(F57/F45-1,"")</f>
        <v>-1.0</v>
      </c>
    </row>
    <row r="58" spans="1:8">
      <c r="A58" s="6" t="s">
        <v>12</v>
      </c>
      <c r="B58" s="6" t="s">
        <v>151</v>
      </c>
      <c r="C58" s="6">
        <v>2027</v>
      </c>
      <c r="D58" s="6">
        <v>6</v>
      </c>
      <c r="E58" s="9" t="s">
        <v>205</v>
      </c>
      <c r="F58" s="10">
        <f>SUMIFS(Data!$K:$K,Data!$A:$A,2027,Data!$B:$B,6,Data!$G:$G,"CDU",Data!$F:$F,"PADD 1")</f>
        <v>0.0</v>
      </c>
      <c r="G58" s="11">
        <f>IFERROR(F58/F57-1,"")</f>
        <v/>
      </c>
      <c r="H58" s="11">
        <f>IFERROR(F58/F46-1,"")</f>
        <v>-1.0</v>
      </c>
    </row>
    <row r="59" spans="1:8">
      <c r="A59" s="6" t="s">
        <v>12</v>
      </c>
      <c r="B59" s="6" t="s">
        <v>151</v>
      </c>
      <c r="C59" s="6">
        <v>2027</v>
      </c>
      <c r="D59" s="6">
        <v>7</v>
      </c>
      <c r="E59" s="9" t="s">
        <v>206</v>
      </c>
      <c r="F59" s="10">
        <f>SUMIFS(Data!$K:$K,Data!$A:$A,2027,Data!$B:$B,7,Data!$G:$G,"CDU",Data!$F:$F,"PADD 1")</f>
        <v>0.0</v>
      </c>
      <c r="G59" s="11">
        <f>IFERROR(F59/F58-1,"")</f>
        <v/>
      </c>
      <c r="H59" s="11">
        <f>IFERROR(F59/F47-1,"")</f>
        <v>-1.0</v>
      </c>
    </row>
    <row r="60" spans="1:8">
      <c r="A60" s="6" t="s">
        <v>12</v>
      </c>
      <c r="B60" s="6" t="s">
        <v>151</v>
      </c>
      <c r="C60" s="6">
        <v>2027</v>
      </c>
      <c r="D60" s="6">
        <v>8</v>
      </c>
      <c r="E60" s="9" t="s">
        <v>207</v>
      </c>
      <c r="F60" s="10">
        <f>SUMIFS(Data!$K:$K,Data!$A:$A,2027,Data!$B:$B,8,Data!$G:$G,"CDU",Data!$F:$F,"PADD 1")</f>
        <v>0.0</v>
      </c>
      <c r="G60" s="11">
        <f>IFERROR(F60/F59-1,"")</f>
        <v/>
      </c>
      <c r="H60" s="11">
        <f>IFERROR(F60/F48-1,"")</f>
        <v>-1.0</v>
      </c>
    </row>
    <row r="61" spans="1:8">
      <c r="A61" s="6" t="s">
        <v>12</v>
      </c>
      <c r="B61" s="6" t="s">
        <v>151</v>
      </c>
      <c r="C61" s="6">
        <v>2027</v>
      </c>
      <c r="D61" s="6">
        <v>9</v>
      </c>
      <c r="E61" s="9" t="s">
        <v>208</v>
      </c>
      <c r="F61" s="10">
        <f>SUMIFS(Data!$K:$K,Data!$A:$A,2027,Data!$B:$B,9,Data!$G:$G,"CDU",Data!$F:$F,"PADD 1")</f>
        <v>0.0</v>
      </c>
      <c r="G61" s="11">
        <f>IFERROR(F61/F60-1,"")</f>
        <v/>
      </c>
      <c r="H61" s="11">
        <f>IFERROR(F61/F49-1,"")</f>
        <v>-1.0</v>
      </c>
    </row>
    <row r="62" spans="1:8">
      <c r="A62" s="6" t="s">
        <v>12</v>
      </c>
      <c r="B62" s="6" t="s">
        <v>151</v>
      </c>
      <c r="C62" s="6">
        <v>2027</v>
      </c>
      <c r="D62" s="6">
        <v>10</v>
      </c>
      <c r="E62" s="9" t="s">
        <v>209</v>
      </c>
      <c r="F62" s="10">
        <f>SUMIFS(Data!$K:$K,Data!$A:$A,2027,Data!$B:$B,10,Data!$G:$G,"CDU",Data!$F:$F,"PADD 1")</f>
        <v>0.0</v>
      </c>
      <c r="G62" s="11">
        <f>IFERROR(F62/F61-1,"")</f>
        <v/>
      </c>
      <c r="H62" s="11">
        <f>IFERROR(F62/F50-1,"")</f>
        <v>-1.0</v>
      </c>
    </row>
    <row r="63" spans="1:8">
      <c r="A63" s="6" t="s">
        <v>12</v>
      </c>
      <c r="B63" s="6" t="s">
        <v>151</v>
      </c>
      <c r="C63" s="6">
        <v>2027</v>
      </c>
      <c r="D63" s="6">
        <v>11</v>
      </c>
      <c r="E63" s="9" t="s">
        <v>210</v>
      </c>
      <c r="F63" s="10">
        <f>SUMIFS(Data!$K:$K,Data!$A:$A,2027,Data!$B:$B,11,Data!$G:$G,"CDU",Data!$F:$F,"PADD 1")</f>
        <v>0.0</v>
      </c>
      <c r="G63" s="11">
        <f>IFERROR(F63/F62-1,"")</f>
        <v/>
      </c>
      <c r="H63" s="11">
        <f>IFERROR(F63/F51-1,"")</f>
        <v/>
      </c>
    </row>
    <row r="64" spans="1:8">
      <c r="A64" s="6" t="s">
        <v>12</v>
      </c>
      <c r="B64" s="6" t="s">
        <v>151</v>
      </c>
      <c r="C64" s="6">
        <v>2027</v>
      </c>
      <c r="D64" s="6">
        <v>12</v>
      </c>
      <c r="E64" s="9" t="s">
        <v>211</v>
      </c>
      <c r="F64" s="10">
        <f>SUMIFS(Data!$K:$K,Data!$A:$A,2027,Data!$B:$B,12,Data!$G:$G,"CDU",Data!$F:$F,"PADD 1")</f>
        <v>0.0</v>
      </c>
      <c r="G64" s="11">
        <f>IFERROR(F64/F63-1,"")</f>
        <v/>
      </c>
      <c r="H64" s="11">
        <f>IFERROR(F64/F52-1,"")</f>
        <v/>
      </c>
    </row>
    <row r="65" spans="1:8">
      <c r="A65" s="6" t="s">
        <v>12</v>
      </c>
      <c r="B65" s="6" t="s">
        <v>212</v>
      </c>
      <c r="C65" s="6">
        <v>2023</v>
      </c>
      <c r="D65" s="6">
        <v>1</v>
      </c>
      <c r="E65" s="9" t="s">
        <v>152</v>
      </c>
      <c r="F65" s="10">
        <f>SUMIFS(Data!$K:$K,Data!$A:$A,2023,Data!$B:$B,1,Data!$G:$G,"CDU",Data!$F:$F,"PADD 2")</f>
        <v>380.68</v>
      </c>
    </row>
    <row r="66" spans="1:8">
      <c r="A66" s="6" t="s">
        <v>12</v>
      </c>
      <c r="B66" s="6" t="s">
        <v>212</v>
      </c>
      <c r="C66" s="6">
        <v>2023</v>
      </c>
      <c r="D66" s="6">
        <v>2</v>
      </c>
      <c r="E66" s="9" t="s">
        <v>153</v>
      </c>
      <c r="F66" s="10">
        <f>SUMIFS(Data!$K:$K,Data!$A:$A,2023,Data!$B:$B,2,Data!$G:$G,"CDU",Data!$F:$F,"PADD 2")</f>
        <v>366.59</v>
      </c>
      <c r="G66" s="11">
        <f>IFERROR(F66/F65-1,"")</f>
        <v>-0.03701271409057483</v>
      </c>
    </row>
    <row r="67" spans="1:8">
      <c r="A67" s="6" t="s">
        <v>12</v>
      </c>
      <c r="B67" s="6" t="s">
        <v>212</v>
      </c>
      <c r="C67" s="6">
        <v>2023</v>
      </c>
      <c r="D67" s="6">
        <v>3</v>
      </c>
      <c r="E67" s="9" t="s">
        <v>154</v>
      </c>
      <c r="F67" s="10">
        <f>SUMIFS(Data!$K:$K,Data!$A:$A,2023,Data!$B:$B,3,Data!$G:$G,"CDU",Data!$F:$F,"PADD 2")</f>
        <v>633.205</v>
      </c>
      <c r="G67" s="11">
        <f>IFERROR(F67/F66-1,"")</f>
        <v>0.7272838866308413</v>
      </c>
    </row>
    <row r="68" spans="1:8">
      <c r="A68" s="6" t="s">
        <v>12</v>
      </c>
      <c r="B68" s="6" t="s">
        <v>212</v>
      </c>
      <c r="C68" s="6">
        <v>2023</v>
      </c>
      <c r="D68" s="6">
        <v>4</v>
      </c>
      <c r="E68" s="9" t="s">
        <v>155</v>
      </c>
      <c r="F68" s="10">
        <f>SUMIFS(Data!$K:$K,Data!$A:$A,2023,Data!$B:$B,4,Data!$G:$G,"CDU",Data!$F:$F,"PADD 2")</f>
        <v>738.695</v>
      </c>
      <c r="G68" s="11">
        <f>IFERROR(F68/F67-1,"")</f>
        <v>0.16659691569081114</v>
      </c>
    </row>
    <row r="69" spans="1:8">
      <c r="A69" s="6" t="s">
        <v>12</v>
      </c>
      <c r="B69" s="6" t="s">
        <v>212</v>
      </c>
      <c r="C69" s="6">
        <v>2023</v>
      </c>
      <c r="D69" s="6">
        <v>5</v>
      </c>
      <c r="E69" s="9" t="s">
        <v>156</v>
      </c>
      <c r="F69" s="10">
        <f>SUMIFS(Data!$K:$K,Data!$A:$A,2023,Data!$B:$B,5,Data!$G:$G,"CDU",Data!$F:$F,"PADD 2")</f>
        <v>373.07</v>
      </c>
      <c r="G69" s="11">
        <f>IFERROR(F69/F68-1,"")</f>
        <v>-0.494960707734586</v>
      </c>
    </row>
    <row r="70" spans="1:8">
      <c r="A70" s="6" t="s">
        <v>12</v>
      </c>
      <c r="B70" s="6" t="s">
        <v>212</v>
      </c>
      <c r="C70" s="6">
        <v>2023</v>
      </c>
      <c r="D70" s="6">
        <v>6</v>
      </c>
      <c r="E70" s="9" t="s">
        <v>157</v>
      </c>
      <c r="F70" s="10">
        <f>SUMIFS(Data!$K:$K,Data!$A:$A,2023,Data!$B:$B,6,Data!$G:$G,"CDU",Data!$F:$F,"PADD 2")</f>
        <v>173.55</v>
      </c>
      <c r="G70" s="11">
        <f>IFERROR(F70/F69-1,"")</f>
        <v>-0.5348058005200096</v>
      </c>
    </row>
    <row r="71" spans="1:8">
      <c r="A71" s="6" t="s">
        <v>12</v>
      </c>
      <c r="B71" s="6" t="s">
        <v>212</v>
      </c>
      <c r="C71" s="6">
        <v>2023</v>
      </c>
      <c r="D71" s="6">
        <v>7</v>
      </c>
      <c r="E71" s="9" t="s">
        <v>158</v>
      </c>
      <c r="F71" s="10">
        <f>SUMIFS(Data!$K:$K,Data!$A:$A,2023,Data!$B:$B,7,Data!$G:$G,"CDU",Data!$F:$F,"PADD 2")</f>
        <v>168.67000000000002</v>
      </c>
      <c r="G71" s="11">
        <f>IFERROR(F71/F70-1,"")</f>
        <v>-0.02811869778161913</v>
      </c>
    </row>
    <row r="72" spans="1:8">
      <c r="A72" s="6" t="s">
        <v>12</v>
      </c>
      <c r="B72" s="6" t="s">
        <v>212</v>
      </c>
      <c r="C72" s="6">
        <v>2023</v>
      </c>
      <c r="D72" s="6">
        <v>8</v>
      </c>
      <c r="E72" s="9" t="s">
        <v>159</v>
      </c>
      <c r="F72" s="10">
        <f>SUMIFS(Data!$K:$K,Data!$A:$A,2023,Data!$B:$B,8,Data!$G:$G,"CDU",Data!$F:$F,"PADD 2")</f>
        <v>60.55</v>
      </c>
      <c r="G72" s="11">
        <f>IFERROR(F72/F71-1,"")</f>
        <v>-0.6410149997035632</v>
      </c>
    </row>
    <row r="73" spans="1:8">
      <c r="A73" s="6" t="s">
        <v>12</v>
      </c>
      <c r="B73" s="6" t="s">
        <v>212</v>
      </c>
      <c r="C73" s="6">
        <v>2023</v>
      </c>
      <c r="D73" s="6">
        <v>9</v>
      </c>
      <c r="E73" s="9" t="s">
        <v>160</v>
      </c>
      <c r="F73" s="10">
        <f>SUMIFS(Data!$K:$K,Data!$A:$A,2023,Data!$B:$B,9,Data!$G:$G,"CDU",Data!$F:$F,"PADD 2")</f>
        <v>369.5875</v>
      </c>
      <c r="G73" s="11">
        <f>IFERROR(F73/F72-1,"")</f>
        <v>5.10383980181668</v>
      </c>
    </row>
    <row r="74" spans="1:8">
      <c r="A74" s="6" t="s">
        <v>12</v>
      </c>
      <c r="B74" s="6" t="s">
        <v>212</v>
      </c>
      <c r="C74" s="6">
        <v>2023</v>
      </c>
      <c r="D74" s="6">
        <v>10</v>
      </c>
      <c r="E74" s="9" t="s">
        <v>161</v>
      </c>
      <c r="F74" s="10">
        <f>SUMIFS(Data!$K:$K,Data!$A:$A,2023,Data!$B:$B,10,Data!$G:$G,"CDU",Data!$F:$F,"PADD 2")</f>
        <v>495.6475</v>
      </c>
      <c r="G74" s="11">
        <f>IFERROR(F74/F73-1,"")</f>
        <v>0.34108296411539896</v>
      </c>
    </row>
    <row r="75" spans="1:8">
      <c r="A75" s="6" t="s">
        <v>12</v>
      </c>
      <c r="B75" s="6" t="s">
        <v>212</v>
      </c>
      <c r="C75" s="6">
        <v>2023</v>
      </c>
      <c r="D75" s="6">
        <v>11</v>
      </c>
      <c r="E75" s="9" t="s">
        <v>162</v>
      </c>
      <c r="F75" s="10">
        <f>SUMIFS(Data!$K:$K,Data!$A:$A,2023,Data!$B:$B,11,Data!$G:$G,"CDU",Data!$F:$F,"PADD 2")</f>
        <v>162.85</v>
      </c>
      <c r="G75" s="11">
        <f>IFERROR(F75/F74-1,"")</f>
        <v>-0.6714398841918904</v>
      </c>
    </row>
    <row r="76" spans="1:8">
      <c r="A76" s="6" t="s">
        <v>12</v>
      </c>
      <c r="B76" s="6" t="s">
        <v>212</v>
      </c>
      <c r="C76" s="6">
        <v>2023</v>
      </c>
      <c r="D76" s="6">
        <v>12</v>
      </c>
      <c r="E76" s="9" t="s">
        <v>163</v>
      </c>
      <c r="F76" s="10">
        <f>SUMIFS(Data!$K:$K,Data!$A:$A,2023,Data!$B:$B,12,Data!$G:$G,"CDU",Data!$F:$F,"PADD 2")</f>
        <v>0.0</v>
      </c>
      <c r="G76" s="11">
        <f>IFERROR(F76/F75-1,"")</f>
        <v>-1.0</v>
      </c>
    </row>
    <row r="77" spans="1:8">
      <c r="A77" s="6" t="s">
        <v>12</v>
      </c>
      <c r="B77" s="6" t="s">
        <v>212</v>
      </c>
      <c r="C77" s="6">
        <v>2024</v>
      </c>
      <c r="D77" s="6">
        <v>1</v>
      </c>
      <c r="E77" s="9" t="s">
        <v>164</v>
      </c>
      <c r="F77" s="10">
        <f>SUMIFS(Data!$K:$K,Data!$A:$A,2024,Data!$B:$B,1,Data!$G:$G,"CDU",Data!$F:$F,"PADD 2")</f>
        <v>10.9</v>
      </c>
      <c r="G77" s="11">
        <f>IFERROR(F77/F76-1,"")</f>
        <v/>
      </c>
      <c r="H77" s="11">
        <f>IFERROR(F77/F65-1,"")</f>
        <v>-0.9713670274246086</v>
      </c>
    </row>
    <row r="78" spans="1:8">
      <c r="A78" s="6" t="s">
        <v>12</v>
      </c>
      <c r="B78" s="6" t="s">
        <v>212</v>
      </c>
      <c r="C78" s="6">
        <v>2024</v>
      </c>
      <c r="D78" s="6">
        <v>2</v>
      </c>
      <c r="E78" s="9" t="s">
        <v>165</v>
      </c>
      <c r="F78" s="10">
        <f>SUMIFS(Data!$K:$K,Data!$A:$A,2024,Data!$B:$B,2,Data!$G:$G,"CDU",Data!$F:$F,"PADD 2")</f>
        <v>454.5258</v>
      </c>
      <c r="G78" s="11">
        <f>IFERROR(F78/F77-1,"")</f>
        <v>40.69961467889908</v>
      </c>
      <c r="H78" s="11">
        <f>IFERROR(F78/F66-1,"")</f>
        <v>0.23987506478627352</v>
      </c>
    </row>
    <row r="79" spans="1:8">
      <c r="A79" s="6" t="s">
        <v>12</v>
      </c>
      <c r="B79" s="6" t="s">
        <v>212</v>
      </c>
      <c r="C79" s="6">
        <v>2024</v>
      </c>
      <c r="D79" s="6">
        <v>3</v>
      </c>
      <c r="E79" s="9" t="s">
        <v>166</v>
      </c>
      <c r="F79" s="10">
        <f>SUMIFS(Data!$K:$K,Data!$A:$A,2024,Data!$B:$B,3,Data!$G:$G,"CDU",Data!$F:$F,"PADD 2")</f>
        <v>388.1406</v>
      </c>
      <c r="G79" s="11">
        <f>IFERROR(F79/F78-1,"")</f>
        <v>-0.14605375536438192</v>
      </c>
      <c r="H79" s="11">
        <f>IFERROR(F79/F67-1,"")</f>
        <v>-0.3870222123956697</v>
      </c>
    </row>
    <row r="80" spans="1:8">
      <c r="A80" s="6" t="s">
        <v>12</v>
      </c>
      <c r="B80" s="6" t="s">
        <v>212</v>
      </c>
      <c r="C80" s="6">
        <v>2024</v>
      </c>
      <c r="D80" s="6">
        <v>4</v>
      </c>
      <c r="E80" s="9" t="s">
        <v>167</v>
      </c>
      <c r="F80" s="10">
        <f>SUMIFS(Data!$K:$K,Data!$A:$A,2024,Data!$B:$B,4,Data!$G:$G,"CDU",Data!$F:$F,"PADD 2")</f>
        <v>454.9725</v>
      </c>
      <c r="G80" s="11">
        <f>IFERROR(F80/F79-1,"")</f>
        <v>0.17218477015803035</v>
      </c>
      <c r="H80" s="11">
        <f>IFERROR(F80/F68-1,"")</f>
        <v>-0.38408612485531923</v>
      </c>
    </row>
    <row r="81" spans="1:8">
      <c r="A81" s="6" t="s">
        <v>12</v>
      </c>
      <c r="B81" s="6" t="s">
        <v>212</v>
      </c>
      <c r="C81" s="6">
        <v>2024</v>
      </c>
      <c r="D81" s="6">
        <v>5</v>
      </c>
      <c r="E81" s="9" t="s">
        <v>168</v>
      </c>
      <c r="F81" s="10">
        <f>SUMIFS(Data!$K:$K,Data!$A:$A,2024,Data!$B:$B,5,Data!$G:$G,"CDU",Data!$F:$F,"PADD 2")</f>
        <v>180.145</v>
      </c>
      <c r="G81" s="11">
        <f>IFERROR(F81/F80-1,"")</f>
        <v>-0.6040529922138151</v>
      </c>
      <c r="H81" s="11">
        <f>IFERROR(F81/F69-1,"")</f>
        <v>-0.5171281528935587</v>
      </c>
    </row>
    <row r="82" spans="1:8">
      <c r="A82" s="6" t="s">
        <v>12</v>
      </c>
      <c r="B82" s="6" t="s">
        <v>212</v>
      </c>
      <c r="C82" s="6">
        <v>2024</v>
      </c>
      <c r="D82" s="6">
        <v>6</v>
      </c>
      <c r="E82" s="9" t="s">
        <v>169</v>
      </c>
      <c r="F82" s="10">
        <f>SUMIFS(Data!$K:$K,Data!$A:$A,2024,Data!$B:$B,6,Data!$G:$G,"CDU",Data!$F:$F,"PADD 2")</f>
        <v>95.82000000000001</v>
      </c>
      <c r="G82" s="11">
        <f>IFERROR(F82/F81-1,"")</f>
        <v>-0.4680951455771739</v>
      </c>
      <c r="H82" s="11">
        <f>IFERROR(F82/F70-1,"")</f>
        <v>-0.44788245462402765</v>
      </c>
    </row>
    <row r="83" spans="1:8">
      <c r="A83" s="6" t="s">
        <v>12</v>
      </c>
      <c r="B83" s="6" t="s">
        <v>212</v>
      </c>
      <c r="C83" s="6">
        <v>2024</v>
      </c>
      <c r="D83" s="6">
        <v>7</v>
      </c>
      <c r="E83" s="9" t="s">
        <v>170</v>
      </c>
      <c r="F83" s="10">
        <f>SUMIFS(Data!$K:$K,Data!$A:$A,2024,Data!$B:$B,7,Data!$G:$G,"CDU",Data!$F:$F,"PADD 2")</f>
        <v>267.71999999999997</v>
      </c>
      <c r="G83" s="11">
        <f>IFERROR(F83/F82-1,"")</f>
        <v>1.7939887288666245</v>
      </c>
      <c r="H83" s="11">
        <f>IFERROR(F83/F71-1,"")</f>
        <v>0.5872413588664251</v>
      </c>
    </row>
    <row r="84" spans="1:8">
      <c r="A84" s="6" t="s">
        <v>12</v>
      </c>
      <c r="B84" s="6" t="s">
        <v>212</v>
      </c>
      <c r="C84" s="6">
        <v>2024</v>
      </c>
      <c r="D84" s="6">
        <v>8</v>
      </c>
      <c r="E84" s="9" t="s">
        <v>171</v>
      </c>
      <c r="F84" s="10">
        <f>SUMIFS(Data!$K:$K,Data!$A:$A,2024,Data!$B:$B,8,Data!$G:$G,"CDU",Data!$F:$F,"PADD 2")</f>
        <v>185.56</v>
      </c>
      <c r="G84" s="11">
        <f>IFERROR(F84/F83-1,"")</f>
        <v>-0.3068877932167936</v>
      </c>
      <c r="H84" s="11">
        <f>IFERROR(F84/F72-1,"")</f>
        <v>2.064574731626755</v>
      </c>
    </row>
    <row r="85" spans="1:8">
      <c r="A85" s="6" t="s">
        <v>12</v>
      </c>
      <c r="B85" s="6" t="s">
        <v>212</v>
      </c>
      <c r="C85" s="6">
        <v>2024</v>
      </c>
      <c r="D85" s="6">
        <v>9</v>
      </c>
      <c r="E85" s="9" t="s">
        <v>172</v>
      </c>
      <c r="F85" s="10">
        <f>SUMIFS(Data!$K:$K,Data!$A:$A,2024,Data!$B:$B,9,Data!$G:$G,"CDU",Data!$F:$F,"PADD 2")</f>
        <v>422.68039999999996</v>
      </c>
      <c r="G85" s="11">
        <f>IFERROR(F85/F84-1,"")</f>
        <v>1.2778637637421855</v>
      </c>
      <c r="H85" s="11">
        <f>IFERROR(F85/F73-1,"")</f>
        <v>0.14365447965637368</v>
      </c>
    </row>
    <row r="86" spans="1:8">
      <c r="A86" s="6" t="s">
        <v>12</v>
      </c>
      <c r="B86" s="6" t="s">
        <v>212</v>
      </c>
      <c r="C86" s="6">
        <v>2024</v>
      </c>
      <c r="D86" s="6">
        <v>10</v>
      </c>
      <c r="E86" s="9" t="s">
        <v>173</v>
      </c>
      <c r="F86" s="10">
        <f>SUMIFS(Data!$K:$K,Data!$A:$A,2024,Data!$B:$B,10,Data!$G:$G,"CDU",Data!$F:$F,"PADD 2")</f>
        <v>495.33</v>
      </c>
      <c r="G86" s="11">
        <f>IFERROR(F86/F85-1,"")</f>
        <v>0.17187832698180472</v>
      </c>
      <c r="H86" s="11">
        <f>IFERROR(F86/F74-1,"")</f>
        <v>-0.0006405762159599204</v>
      </c>
    </row>
    <row r="87" spans="1:8">
      <c r="A87" s="6" t="s">
        <v>12</v>
      </c>
      <c r="B87" s="6" t="s">
        <v>212</v>
      </c>
      <c r="C87" s="6">
        <v>2024</v>
      </c>
      <c r="D87" s="6">
        <v>11</v>
      </c>
      <c r="E87" s="9" t="s">
        <v>174</v>
      </c>
      <c r="F87" s="10">
        <f>SUMIFS(Data!$K:$K,Data!$A:$A,2024,Data!$B:$B,11,Data!$G:$G,"CDU",Data!$F:$F,"PADD 2")</f>
        <v>221.08</v>
      </c>
      <c r="G87" s="11">
        <f>IFERROR(F87/F86-1,"")</f>
        <v>-0.5536712898471725</v>
      </c>
      <c r="H87" s="11">
        <f>IFERROR(F87/F75-1,"")</f>
        <v>0.35756831439975456</v>
      </c>
    </row>
    <row r="88" spans="1:8">
      <c r="A88" s="6" t="s">
        <v>12</v>
      </c>
      <c r="B88" s="6" t="s">
        <v>212</v>
      </c>
      <c r="C88" s="6">
        <v>2024</v>
      </c>
      <c r="D88" s="6">
        <v>12</v>
      </c>
      <c r="E88" s="9" t="s">
        <v>175</v>
      </c>
      <c r="F88" s="10">
        <f>SUMIFS(Data!$K:$K,Data!$A:$A,2024,Data!$B:$B,12,Data!$G:$G,"CDU",Data!$F:$F,"PADD 2")</f>
        <v>3.9006</v>
      </c>
      <c r="G88" s="11">
        <f>IFERROR(F88/F87-1,"")</f>
        <v>-0.9823566129907726</v>
      </c>
      <c r="H88" s="11">
        <f>IFERROR(F88/F76-1,"")</f>
        <v/>
      </c>
    </row>
    <row r="89" spans="1:8">
      <c r="A89" s="6" t="s">
        <v>12</v>
      </c>
      <c r="B89" s="6" t="s">
        <v>212</v>
      </c>
      <c r="C89" s="6">
        <v>2025</v>
      </c>
      <c r="D89" s="6">
        <v>1</v>
      </c>
      <c r="E89" s="9" t="s">
        <v>176</v>
      </c>
      <c r="F89" s="10">
        <f>SUMIFS(Data!$K:$K,Data!$A:$A,2025,Data!$B:$B,1,Data!$G:$G,"CDU",Data!$F:$F,"PADD 2")</f>
        <v>44.79</v>
      </c>
      <c r="G89" s="11">
        <f>IFERROR(F89/F88-1,"")</f>
        <v>10.482848792493463</v>
      </c>
      <c r="H89" s="11">
        <f>IFERROR(F89/F77-1,"")</f>
        <v>3.109174311926605</v>
      </c>
    </row>
    <row r="90" spans="1:8">
      <c r="A90" s="6" t="s">
        <v>12</v>
      </c>
      <c r="B90" s="6" t="s">
        <v>212</v>
      </c>
      <c r="C90" s="6">
        <v>2025</v>
      </c>
      <c r="D90" s="6">
        <v>2</v>
      </c>
      <c r="E90" s="9" t="s">
        <v>177</v>
      </c>
      <c r="F90" s="10">
        <f>SUMIFS(Data!$K:$K,Data!$A:$A,2025,Data!$B:$B,2,Data!$G:$G,"CDU",Data!$F:$F,"PADD 2")</f>
        <v>215.325</v>
      </c>
      <c r="G90" s="11">
        <f>IFERROR(F90/F89-1,"")</f>
        <v>3.807434695244474</v>
      </c>
      <c r="H90" s="11">
        <f>IFERROR(F90/F78-1,"")</f>
        <v>-0.526264515677658</v>
      </c>
    </row>
    <row r="91" spans="1:8">
      <c r="A91" s="6" t="s">
        <v>12</v>
      </c>
      <c r="B91" s="6" t="s">
        <v>212</v>
      </c>
      <c r="C91" s="6">
        <v>2025</v>
      </c>
      <c r="D91" s="6">
        <v>3</v>
      </c>
      <c r="E91" s="9" t="s">
        <v>178</v>
      </c>
      <c r="F91" s="10">
        <f>SUMIFS(Data!$K:$K,Data!$A:$A,2025,Data!$B:$B,3,Data!$G:$G,"CDU",Data!$F:$F,"PADD 2")</f>
        <v>467.395</v>
      </c>
      <c r="G91" s="11">
        <f>IFERROR(F91/F90-1,"")</f>
        <v>1.1706490189248808</v>
      </c>
      <c r="H91" s="11">
        <f>IFERROR(F91/F79-1,"")</f>
        <v>0.20418992499109856</v>
      </c>
    </row>
    <row r="92" spans="1:8">
      <c r="A92" s="6" t="s">
        <v>12</v>
      </c>
      <c r="B92" s="6" t="s">
        <v>212</v>
      </c>
      <c r="C92" s="6">
        <v>2025</v>
      </c>
      <c r="D92" s="6">
        <v>4</v>
      </c>
      <c r="E92" s="9" t="s">
        <v>179</v>
      </c>
      <c r="F92" s="10">
        <f>SUMIFS(Data!$K:$K,Data!$A:$A,2025,Data!$B:$B,4,Data!$G:$G,"CDU",Data!$F:$F,"PADD 2")</f>
        <v>800.2825</v>
      </c>
      <c r="G92" s="11">
        <f>IFERROR(F92/F91-1,"")</f>
        <v>0.7122187871072649</v>
      </c>
      <c r="H92" s="11">
        <f>IFERROR(F92/F80-1,"")</f>
        <v>0.758968948672722</v>
      </c>
    </row>
    <row r="93" spans="1:8">
      <c r="A93" s="6" t="s">
        <v>12</v>
      </c>
      <c r="B93" s="6" t="s">
        <v>212</v>
      </c>
      <c r="C93" s="6">
        <v>2025</v>
      </c>
      <c r="D93" s="6">
        <v>5</v>
      </c>
      <c r="E93" s="9" t="s">
        <v>180</v>
      </c>
      <c r="F93" s="10">
        <f>SUMIFS(Data!$K:$K,Data!$A:$A,2025,Data!$B:$B,5,Data!$G:$G,"CDU",Data!$F:$F,"PADD 2")</f>
        <v>317.8306</v>
      </c>
      <c r="G93" s="11">
        <f>IFERROR(F93/F92-1,"")</f>
        <v>-0.6028519928900107</v>
      </c>
      <c r="H93" s="11">
        <f>IFERROR(F93/F81-1,"")</f>
        <v>0.7643043104166087</v>
      </c>
    </row>
    <row r="94" spans="1:8">
      <c r="A94" s="6" t="s">
        <v>12</v>
      </c>
      <c r="B94" s="6" t="s">
        <v>212</v>
      </c>
      <c r="C94" s="6">
        <v>2025</v>
      </c>
      <c r="D94" s="6">
        <v>6</v>
      </c>
      <c r="E94" s="9" t="s">
        <v>181</v>
      </c>
      <c r="F94" s="10">
        <f>SUMIFS(Data!$K:$K,Data!$A:$A,2025,Data!$B:$B,6,Data!$G:$G,"CDU",Data!$F:$F,"PADD 2")</f>
        <v>97.31</v>
      </c>
      <c r="G94" s="11">
        <f>IFERROR(F94/F93-1,"")</f>
        <v>-0.6938306129114062</v>
      </c>
      <c r="H94" s="11">
        <f>IFERROR(F94/F82-1,"")</f>
        <v>0.01554998956376541</v>
      </c>
    </row>
    <row r="95" spans="1:8">
      <c r="A95" s="6" t="s">
        <v>12</v>
      </c>
      <c r="B95" s="6" t="s">
        <v>212</v>
      </c>
      <c r="C95" s="6">
        <v>2025</v>
      </c>
      <c r="D95" s="6">
        <v>7</v>
      </c>
      <c r="E95" s="9" t="s">
        <v>182</v>
      </c>
      <c r="F95" s="10">
        <f>SUMIFS(Data!$K:$K,Data!$A:$A,2025,Data!$B:$B,7,Data!$G:$G,"CDU",Data!$F:$F,"PADD 2")</f>
        <v>75.827</v>
      </c>
      <c r="G95" s="11">
        <f>IFERROR(F95/F94-1,"")</f>
        <v>-0.2207686774226698</v>
      </c>
      <c r="H95" s="11">
        <f>IFERROR(F95/F83-1,"")</f>
        <v>-0.7167675183027042</v>
      </c>
    </row>
    <row r="96" spans="1:8">
      <c r="A96" s="6" t="s">
        <v>12</v>
      </c>
      <c r="B96" s="6" t="s">
        <v>212</v>
      </c>
      <c r="C96" s="6">
        <v>2025</v>
      </c>
      <c r="D96" s="6">
        <v>8</v>
      </c>
      <c r="E96" s="9" t="s">
        <v>183</v>
      </c>
      <c r="F96" s="10">
        <f>SUMIFS(Data!$K:$K,Data!$A:$A,2025,Data!$B:$B,8,Data!$G:$G,"CDU",Data!$F:$F,"PADD 2")</f>
        <v>248.1758</v>
      </c>
      <c r="G96" s="11">
        <f>IFERROR(F96/F95-1,"")</f>
        <v>2.272921254961953</v>
      </c>
      <c r="H96" s="11">
        <f>IFERROR(F96/F84-1,"")</f>
        <v>0.33744233671049795</v>
      </c>
    </row>
    <row r="97" spans="1:8">
      <c r="A97" s="6" t="s">
        <v>12</v>
      </c>
      <c r="B97" s="6" t="s">
        <v>212</v>
      </c>
      <c r="C97" s="6">
        <v>2025</v>
      </c>
      <c r="D97" s="6">
        <v>9</v>
      </c>
      <c r="E97" s="9" t="s">
        <v>184</v>
      </c>
      <c r="F97" s="10">
        <f>SUMIFS(Data!$K:$K,Data!$A:$A,2025,Data!$B:$B,9,Data!$G:$G,"CDU",Data!$F:$F,"PADD 2")</f>
        <v>383.205</v>
      </c>
      <c r="G97" s="11">
        <f>IFERROR(F97/F96-1,"")</f>
        <v>0.5440868932426126</v>
      </c>
      <c r="H97" s="11">
        <f>IFERROR(F97/F85-1,"")</f>
        <v>-0.09339302224564938</v>
      </c>
    </row>
    <row r="98" spans="1:8">
      <c r="A98" s="6" t="s">
        <v>12</v>
      </c>
      <c r="B98" s="6" t="s">
        <v>212</v>
      </c>
      <c r="C98" s="6">
        <v>2025</v>
      </c>
      <c r="D98" s="6">
        <v>10</v>
      </c>
      <c r="E98" s="9" t="s">
        <v>185</v>
      </c>
      <c r="F98" s="10">
        <f>SUMIFS(Data!$K:$K,Data!$A:$A,2025,Data!$B:$B,10,Data!$G:$G,"CDU",Data!$F:$F,"PADD 2")</f>
        <v>592.82</v>
      </c>
      <c r="G98" s="11">
        <f>IFERROR(F98/F97-1,"")</f>
        <v>0.5470048668467271</v>
      </c>
      <c r="H98" s="11">
        <f>IFERROR(F98/F86-1,"")</f>
        <v>0.19681828276098767</v>
      </c>
    </row>
    <row r="99" spans="1:8">
      <c r="A99" s="6" t="s">
        <v>12</v>
      </c>
      <c r="B99" s="6" t="s">
        <v>212</v>
      </c>
      <c r="C99" s="6">
        <v>2025</v>
      </c>
      <c r="D99" s="6">
        <v>11</v>
      </c>
      <c r="E99" s="9" t="s">
        <v>186</v>
      </c>
      <c r="F99" s="10">
        <f>SUMIFS(Data!$K:$K,Data!$A:$A,2025,Data!$B:$B,11,Data!$G:$G,"CDU",Data!$F:$F,"PADD 2")</f>
        <v>120.2906</v>
      </c>
      <c r="G99" s="11">
        <f>IFERROR(F99/F98-1,"")</f>
        <v>-0.7970874801794812</v>
      </c>
      <c r="H99" s="11">
        <f>IFERROR(F99/F87-1,"")</f>
        <v>-0.4558956034014837</v>
      </c>
    </row>
    <row r="100" spans="1:8">
      <c r="A100" s="6" t="s">
        <v>12</v>
      </c>
      <c r="B100" s="6" t="s">
        <v>212</v>
      </c>
      <c r="C100" s="6">
        <v>2025</v>
      </c>
      <c r="D100" s="6">
        <v>12</v>
      </c>
      <c r="E100" s="9" t="s">
        <v>187</v>
      </c>
      <c r="F100" s="10">
        <f>SUMIFS(Data!$K:$K,Data!$A:$A,2025,Data!$B:$B,12,Data!$G:$G,"CDU",Data!$F:$F,"PADD 2")</f>
        <v>40.620000000000005</v>
      </c>
      <c r="G100" s="11">
        <f>IFERROR(F100/F99-1,"")</f>
        <v>-0.662317753839452</v>
      </c>
      <c r="H100" s="11">
        <f>IFERROR(F100/F88-1,"")</f>
        <v>9.41378249500077</v>
      </c>
    </row>
    <row r="101" spans="1:8">
      <c r="A101" s="6" t="s">
        <v>12</v>
      </c>
      <c r="B101" s="6" t="s">
        <v>212</v>
      </c>
      <c r="C101" s="6">
        <v>2026</v>
      </c>
      <c r="D101" s="6">
        <v>1</v>
      </c>
      <c r="E101" s="9" t="s">
        <v>188</v>
      </c>
      <c r="F101" s="10">
        <f>SUMIFS(Data!$K:$K,Data!$A:$A,2026,Data!$B:$B,1,Data!$G:$G,"CDU",Data!$F:$F,"PADD 2")</f>
        <v>65.19</v>
      </c>
      <c r="G101" s="11">
        <f>IFERROR(F101/F100-1,"")</f>
        <v>0.6048744460856719</v>
      </c>
      <c r="H101" s="11">
        <f>IFERROR(F101/F89-1,"")</f>
        <v>0.45545880776959136</v>
      </c>
    </row>
    <row r="102" spans="1:8">
      <c r="A102" s="6" t="s">
        <v>12</v>
      </c>
      <c r="B102" s="6" t="s">
        <v>212</v>
      </c>
      <c r="C102" s="6">
        <v>2026</v>
      </c>
      <c r="D102" s="6">
        <v>2</v>
      </c>
      <c r="E102" s="9" t="s">
        <v>189</v>
      </c>
      <c r="F102" s="10">
        <f>SUMIFS(Data!$K:$K,Data!$A:$A,2026,Data!$B:$B,2,Data!$G:$G,"CDU",Data!$F:$F,"PADD 2")</f>
        <v>219.81</v>
      </c>
      <c r="G102" s="11">
        <f>IFERROR(F102/F101-1,"")</f>
        <v>2.3718361711919007</v>
      </c>
      <c r="H102" s="11">
        <f>IFERROR(F102/F90-1,"")</f>
        <v>0.020828979449669216</v>
      </c>
    </row>
    <row r="103" spans="1:8">
      <c r="A103" s="6" t="s">
        <v>12</v>
      </c>
      <c r="B103" s="6" t="s">
        <v>212</v>
      </c>
      <c r="C103" s="6">
        <v>2026</v>
      </c>
      <c r="D103" s="6">
        <v>3</v>
      </c>
      <c r="E103" s="9" t="s">
        <v>190</v>
      </c>
      <c r="F103" s="10">
        <f>SUMIFS(Data!$K:$K,Data!$A:$A,2026,Data!$B:$B,3,Data!$G:$G,"CDU",Data!$F:$F,"PADD 2")</f>
        <v>444.9</v>
      </c>
      <c r="G103" s="11">
        <f>IFERROR(F103/F102-1,"")</f>
        <v>1.0240207451890266</v>
      </c>
      <c r="H103" s="11">
        <f>IFERROR(F103/F91-1,"")</f>
        <v>-0.04812845665871479</v>
      </c>
    </row>
    <row r="104" spans="1:8">
      <c r="A104" s="6" t="s">
        <v>12</v>
      </c>
      <c r="B104" s="6" t="s">
        <v>212</v>
      </c>
      <c r="C104" s="6">
        <v>2026</v>
      </c>
      <c r="D104" s="6">
        <v>4</v>
      </c>
      <c r="E104" s="9" t="s">
        <v>191</v>
      </c>
      <c r="F104" s="10">
        <f>SUMIFS(Data!$K:$K,Data!$A:$A,2026,Data!$B:$B,4,Data!$G:$G,"CDU",Data!$F:$F,"PADD 2")</f>
        <v>565.15</v>
      </c>
      <c r="G104" s="11">
        <f>IFERROR(F104/F103-1,"")</f>
        <v>0.2702854574061586</v>
      </c>
      <c r="H104" s="11">
        <f>IFERROR(F104/F92-1,"")</f>
        <v>-0.293811872682459</v>
      </c>
    </row>
    <row r="105" spans="1:8">
      <c r="A105" s="6" t="s">
        <v>12</v>
      </c>
      <c r="B105" s="6" t="s">
        <v>212</v>
      </c>
      <c r="C105" s="6">
        <v>2026</v>
      </c>
      <c r="D105" s="6">
        <v>5</v>
      </c>
      <c r="E105" s="9" t="s">
        <v>192</v>
      </c>
      <c r="F105" s="10">
        <f>SUMIFS(Data!$K:$K,Data!$A:$A,2026,Data!$B:$B,5,Data!$G:$G,"CDU",Data!$F:$F,"PADD 2")</f>
        <v>335.79</v>
      </c>
      <c r="G105" s="11">
        <f>IFERROR(F105/F104-1,"")</f>
        <v>-0.4058391577457312</v>
      </c>
      <c r="H105" s="11">
        <f>IFERROR(F105/F93-1,"")</f>
        <v>0.05650620173136267</v>
      </c>
    </row>
    <row r="106" spans="1:8">
      <c r="A106" s="6" t="s">
        <v>12</v>
      </c>
      <c r="B106" s="6" t="s">
        <v>212</v>
      </c>
      <c r="C106" s="6">
        <v>2026</v>
      </c>
      <c r="D106" s="6">
        <v>6</v>
      </c>
      <c r="E106" s="9" t="s">
        <v>193</v>
      </c>
      <c r="F106" s="10">
        <f>SUMIFS(Data!$K:$K,Data!$A:$A,2026,Data!$B:$B,6,Data!$G:$G,"CDU",Data!$F:$F,"PADD 2")</f>
        <v>23.85</v>
      </c>
      <c r="G106" s="11">
        <f>IFERROR(F106/F105-1,"")</f>
        <v>-0.9289734655588314</v>
      </c>
      <c r="H106" s="11">
        <f>IFERROR(F106/F94-1,"")</f>
        <v>-0.7549069982530059</v>
      </c>
    </row>
    <row r="107" spans="1:8">
      <c r="A107" s="6" t="s">
        <v>12</v>
      </c>
      <c r="B107" s="6" t="s">
        <v>212</v>
      </c>
      <c r="C107" s="6">
        <v>2026</v>
      </c>
      <c r="D107" s="6">
        <v>7</v>
      </c>
      <c r="E107" s="9" t="s">
        <v>194</v>
      </c>
      <c r="F107" s="10">
        <f>SUMIFS(Data!$K:$K,Data!$A:$A,2026,Data!$B:$B,7,Data!$G:$G,"CDU",Data!$F:$F,"PADD 2")</f>
        <v>0.0</v>
      </c>
      <c r="G107" s="11">
        <f>IFERROR(F107/F106-1,"")</f>
        <v>-1.0</v>
      </c>
      <c r="H107" s="11">
        <f>IFERROR(F107/F95-1,"")</f>
        <v>-1.0</v>
      </c>
    </row>
    <row r="108" spans="1:8">
      <c r="A108" s="6" t="s">
        <v>12</v>
      </c>
      <c r="B108" s="6" t="s">
        <v>212</v>
      </c>
      <c r="C108" s="6">
        <v>2026</v>
      </c>
      <c r="D108" s="6">
        <v>8</v>
      </c>
      <c r="E108" s="9" t="s">
        <v>195</v>
      </c>
      <c r="F108" s="10">
        <f>SUMIFS(Data!$K:$K,Data!$A:$A,2026,Data!$B:$B,8,Data!$G:$G,"CDU",Data!$F:$F,"PADD 2")</f>
        <v>0.0</v>
      </c>
      <c r="G108" s="11">
        <f>IFERROR(F108/F107-1,"")</f>
        <v/>
      </c>
      <c r="H108" s="11">
        <f>IFERROR(F108/F96-1,"")</f>
        <v>-1.0</v>
      </c>
    </row>
    <row r="109" spans="1:8">
      <c r="A109" s="6" t="s">
        <v>12</v>
      </c>
      <c r="B109" s="6" t="s">
        <v>212</v>
      </c>
      <c r="C109" s="6">
        <v>2026</v>
      </c>
      <c r="D109" s="6">
        <v>9</v>
      </c>
      <c r="E109" s="9" t="s">
        <v>196</v>
      </c>
      <c r="F109" s="10">
        <f>SUMIFS(Data!$K:$K,Data!$A:$A,2026,Data!$B:$B,9,Data!$G:$G,"CDU",Data!$F:$F,"PADD 2")</f>
        <v>212.08999999999997</v>
      </c>
      <c r="G109" s="11">
        <f>IFERROR(F109/F108-1,"")</f>
        <v/>
      </c>
      <c r="H109" s="11">
        <f>IFERROR(F109/F97-1,"")</f>
        <v>-0.4465364491590663</v>
      </c>
    </row>
    <row r="110" spans="1:8">
      <c r="A110" s="6" t="s">
        <v>12</v>
      </c>
      <c r="B110" s="6" t="s">
        <v>212</v>
      </c>
      <c r="C110" s="6">
        <v>2026</v>
      </c>
      <c r="D110" s="6">
        <v>10</v>
      </c>
      <c r="E110" s="9" t="s">
        <v>197</v>
      </c>
      <c r="F110" s="10">
        <f>SUMIFS(Data!$K:$K,Data!$A:$A,2026,Data!$B:$B,10,Data!$G:$G,"CDU",Data!$F:$F,"PADD 2")</f>
        <v>284.01</v>
      </c>
      <c r="G110" s="11">
        <f>IFERROR(F110/F109-1,"")</f>
        <v>0.3391013249092367</v>
      </c>
      <c r="H110" s="11">
        <f>IFERROR(F110/F98-1,"")</f>
        <v>-0.5209169731115685</v>
      </c>
    </row>
    <row r="111" spans="1:8">
      <c r="A111" s="6" t="s">
        <v>12</v>
      </c>
      <c r="B111" s="6" t="s">
        <v>212</v>
      </c>
      <c r="C111" s="6">
        <v>2026</v>
      </c>
      <c r="D111" s="6">
        <v>11</v>
      </c>
      <c r="E111" s="9" t="s">
        <v>198</v>
      </c>
      <c r="F111" s="10">
        <f>SUMIFS(Data!$K:$K,Data!$A:$A,2026,Data!$B:$B,11,Data!$G:$G,"CDU",Data!$F:$F,"PADD 2")</f>
        <v>162.0</v>
      </c>
      <c r="G111" s="11">
        <f>IFERROR(F111/F110-1,"")</f>
        <v>-0.42959754938206396</v>
      </c>
      <c r="H111" s="11">
        <f>IFERROR(F111/F99-1,"")</f>
        <v>0.3467386479076504</v>
      </c>
    </row>
    <row r="112" spans="1:8">
      <c r="A112" s="6" t="s">
        <v>12</v>
      </c>
      <c r="B112" s="6" t="s">
        <v>212</v>
      </c>
      <c r="C112" s="6">
        <v>2026</v>
      </c>
      <c r="D112" s="6">
        <v>12</v>
      </c>
      <c r="E112" s="9" t="s">
        <v>199</v>
      </c>
      <c r="F112" s="10">
        <f>SUMIFS(Data!$K:$K,Data!$A:$A,2026,Data!$B:$B,12,Data!$G:$G,"CDU",Data!$F:$F,"PADD 2")</f>
        <v>0.0</v>
      </c>
      <c r="G112" s="11">
        <f>IFERROR(F112/F111-1,"")</f>
        <v>-1.0</v>
      </c>
      <c r="H112" s="11">
        <f>IFERROR(F112/F100-1,"")</f>
        <v>-1.0</v>
      </c>
    </row>
    <row r="113" spans="1:8">
      <c r="A113" s="6" t="s">
        <v>12</v>
      </c>
      <c r="B113" s="6" t="s">
        <v>212</v>
      </c>
      <c r="C113" s="6">
        <v>2027</v>
      </c>
      <c r="D113" s="6">
        <v>1</v>
      </c>
      <c r="E113" s="9" t="s">
        <v>200</v>
      </c>
      <c r="F113" s="10">
        <f>SUMIFS(Data!$K:$K,Data!$A:$A,2027,Data!$B:$B,1,Data!$G:$G,"CDU",Data!$F:$F,"PADD 2")</f>
        <v>0.0</v>
      </c>
      <c r="G113" s="11">
        <f>IFERROR(F113/F112-1,"")</f>
        <v/>
      </c>
      <c r="H113" s="11">
        <f>IFERROR(F113/F101-1,"")</f>
        <v>-1.0</v>
      </c>
    </row>
    <row r="114" spans="1:8">
      <c r="A114" s="6" t="s">
        <v>12</v>
      </c>
      <c r="B114" s="6" t="s">
        <v>212</v>
      </c>
      <c r="C114" s="6">
        <v>2027</v>
      </c>
      <c r="D114" s="6">
        <v>2</v>
      </c>
      <c r="E114" s="9" t="s">
        <v>201</v>
      </c>
      <c r="F114" s="10">
        <f>SUMIFS(Data!$K:$K,Data!$A:$A,2027,Data!$B:$B,2,Data!$G:$G,"CDU",Data!$F:$F,"PADD 2")</f>
        <v>67.8</v>
      </c>
      <c r="G114" s="11">
        <f>IFERROR(F114/F113-1,"")</f>
        <v/>
      </c>
      <c r="H114" s="11">
        <f>IFERROR(F114/F102-1,"")</f>
        <v>-0.6915517947318138</v>
      </c>
    </row>
    <row r="115" spans="1:8">
      <c r="A115" s="6" t="s">
        <v>12</v>
      </c>
      <c r="B115" s="6" t="s">
        <v>212</v>
      </c>
      <c r="C115" s="6">
        <v>2027</v>
      </c>
      <c r="D115" s="6">
        <v>3</v>
      </c>
      <c r="E115" s="9" t="s">
        <v>202</v>
      </c>
      <c r="F115" s="10">
        <f>SUMIFS(Data!$K:$K,Data!$A:$A,2027,Data!$B:$B,3,Data!$G:$G,"CDU",Data!$F:$F,"PADD 2")</f>
        <v>224.45</v>
      </c>
      <c r="G115" s="11">
        <f>IFERROR(F115/F114-1,"")</f>
        <v>2.31047197640118</v>
      </c>
      <c r="H115" s="11">
        <f>IFERROR(F115/F103-1,"")</f>
        <v>-0.49550460777702854</v>
      </c>
    </row>
    <row r="116" spans="1:8">
      <c r="A116" s="6" t="s">
        <v>12</v>
      </c>
      <c r="B116" s="6" t="s">
        <v>212</v>
      </c>
      <c r="C116" s="6">
        <v>2027</v>
      </c>
      <c r="D116" s="6">
        <v>4</v>
      </c>
      <c r="E116" s="9" t="s">
        <v>203</v>
      </c>
      <c r="F116" s="10">
        <f>SUMIFS(Data!$K:$K,Data!$A:$A,2027,Data!$B:$B,4,Data!$G:$G,"CDU",Data!$F:$F,"PADD 2")</f>
        <v>357.4</v>
      </c>
      <c r="G116" s="11">
        <f>IFERROR(F116/F115-1,"")</f>
        <v>0.5923368233459567</v>
      </c>
      <c r="H116" s="11">
        <f>IFERROR(F116/F104-1,"")</f>
        <v>-0.36760152171989735</v>
      </c>
    </row>
    <row r="117" spans="1:8">
      <c r="A117" s="6" t="s">
        <v>12</v>
      </c>
      <c r="B117" s="6" t="s">
        <v>212</v>
      </c>
      <c r="C117" s="6">
        <v>2027</v>
      </c>
      <c r="D117" s="6">
        <v>5</v>
      </c>
      <c r="E117" s="9" t="s">
        <v>204</v>
      </c>
      <c r="F117" s="10">
        <f>SUMIFS(Data!$K:$K,Data!$A:$A,2027,Data!$B:$B,5,Data!$G:$G,"CDU",Data!$F:$F,"PADD 2")</f>
        <v>206.5</v>
      </c>
      <c r="G117" s="11">
        <f>IFERROR(F117/F116-1,"")</f>
        <v>-0.42221600447677665</v>
      </c>
      <c r="H117" s="11">
        <f>IFERROR(F117/F105-1,"")</f>
        <v>-0.38503231186158016</v>
      </c>
    </row>
    <row r="118" spans="1:8">
      <c r="A118" s="6" t="s">
        <v>12</v>
      </c>
      <c r="B118" s="6" t="s">
        <v>212</v>
      </c>
      <c r="C118" s="6">
        <v>2027</v>
      </c>
      <c r="D118" s="6">
        <v>6</v>
      </c>
      <c r="E118" s="9" t="s">
        <v>205</v>
      </c>
      <c r="F118" s="10">
        <f>SUMIFS(Data!$K:$K,Data!$A:$A,2027,Data!$B:$B,6,Data!$G:$G,"CDU",Data!$F:$F,"PADD 2")</f>
        <v>0.0</v>
      </c>
      <c r="G118" s="11">
        <f>IFERROR(F118/F117-1,"")</f>
        <v>-1.0</v>
      </c>
      <c r="H118" s="11">
        <f>IFERROR(F118/F106-1,"")</f>
        <v>-1.0</v>
      </c>
    </row>
    <row r="119" spans="1:8">
      <c r="A119" s="6" t="s">
        <v>12</v>
      </c>
      <c r="B119" s="6" t="s">
        <v>212</v>
      </c>
      <c r="C119" s="6">
        <v>2027</v>
      </c>
      <c r="D119" s="6">
        <v>7</v>
      </c>
      <c r="E119" s="9" t="s">
        <v>206</v>
      </c>
      <c r="F119" s="10">
        <f>SUMIFS(Data!$K:$K,Data!$A:$A,2027,Data!$B:$B,7,Data!$G:$G,"CDU",Data!$F:$F,"PADD 2")</f>
        <v>0.0</v>
      </c>
      <c r="G119" s="11">
        <f>IFERROR(F119/F118-1,"")</f>
        <v/>
      </c>
      <c r="H119" s="11">
        <f>IFERROR(F119/F107-1,"")</f>
        <v/>
      </c>
    </row>
    <row r="120" spans="1:8">
      <c r="A120" s="6" t="s">
        <v>12</v>
      </c>
      <c r="B120" s="6" t="s">
        <v>212</v>
      </c>
      <c r="C120" s="6">
        <v>2027</v>
      </c>
      <c r="D120" s="6">
        <v>8</v>
      </c>
      <c r="E120" s="9" t="s">
        <v>207</v>
      </c>
      <c r="F120" s="10">
        <f>SUMIFS(Data!$K:$K,Data!$A:$A,2027,Data!$B:$B,8,Data!$G:$G,"CDU",Data!$F:$F,"PADD 2")</f>
        <v>0.0</v>
      </c>
      <c r="G120" s="11">
        <f>IFERROR(F120/F119-1,"")</f>
        <v/>
      </c>
      <c r="H120" s="11">
        <f>IFERROR(F120/F108-1,"")</f>
        <v/>
      </c>
    </row>
    <row r="121" spans="1:8">
      <c r="A121" s="6" t="s">
        <v>12</v>
      </c>
      <c r="B121" s="6" t="s">
        <v>212</v>
      </c>
      <c r="C121" s="6">
        <v>2027</v>
      </c>
      <c r="D121" s="6">
        <v>9</v>
      </c>
      <c r="E121" s="9" t="s">
        <v>208</v>
      </c>
      <c r="F121" s="10">
        <f>SUMIFS(Data!$K:$K,Data!$A:$A,2027,Data!$B:$B,9,Data!$G:$G,"CDU",Data!$F:$F,"PADD 2")</f>
        <v>325.095</v>
      </c>
      <c r="G121" s="11">
        <f>IFERROR(F121/F120-1,"")</f>
        <v/>
      </c>
      <c r="H121" s="11">
        <f>IFERROR(F121/F109-1,"")</f>
        <v>0.5328162572492812</v>
      </c>
    </row>
    <row r="122" spans="1:8">
      <c r="A122" s="6" t="s">
        <v>12</v>
      </c>
      <c r="B122" s="6" t="s">
        <v>212</v>
      </c>
      <c r="C122" s="6">
        <v>2027</v>
      </c>
      <c r="D122" s="6">
        <v>10</v>
      </c>
      <c r="E122" s="9" t="s">
        <v>209</v>
      </c>
      <c r="F122" s="10">
        <f>SUMIFS(Data!$K:$K,Data!$A:$A,2027,Data!$B:$B,10,Data!$G:$G,"CDU",Data!$F:$F,"PADD 2")</f>
        <v>95.225</v>
      </c>
      <c r="G122" s="11">
        <f>IFERROR(F122/F121-1,"")</f>
        <v>-0.7070856211261324</v>
      </c>
      <c r="H122" s="11">
        <f>IFERROR(F122/F110-1,"")</f>
        <v>-0.664712510122883</v>
      </c>
    </row>
    <row r="123" spans="1:8">
      <c r="A123" s="6" t="s">
        <v>12</v>
      </c>
      <c r="B123" s="6" t="s">
        <v>212</v>
      </c>
      <c r="C123" s="6">
        <v>2027</v>
      </c>
      <c r="D123" s="6">
        <v>11</v>
      </c>
      <c r="E123" s="9" t="s">
        <v>210</v>
      </c>
      <c r="F123" s="10">
        <f>SUMIFS(Data!$K:$K,Data!$A:$A,2027,Data!$B:$B,11,Data!$G:$G,"CDU",Data!$F:$F,"PADD 2")</f>
        <v>0.0</v>
      </c>
      <c r="G123" s="11">
        <f>IFERROR(F123/F122-1,"")</f>
        <v>-1.0</v>
      </c>
      <c r="H123" s="11">
        <f>IFERROR(F123/F111-1,"")</f>
        <v>-1.0</v>
      </c>
    </row>
    <row r="124" spans="1:8">
      <c r="A124" s="6" t="s">
        <v>12</v>
      </c>
      <c r="B124" s="6" t="s">
        <v>212</v>
      </c>
      <c r="C124" s="6">
        <v>2027</v>
      </c>
      <c r="D124" s="6">
        <v>12</v>
      </c>
      <c r="E124" s="9" t="s">
        <v>211</v>
      </c>
      <c r="F124" s="10">
        <f>SUMIFS(Data!$K:$K,Data!$A:$A,2027,Data!$B:$B,12,Data!$G:$G,"CDU",Data!$F:$F,"PADD 2")</f>
        <v>0.0</v>
      </c>
      <c r="G124" s="11">
        <f>IFERROR(F124/F123-1,"")</f>
        <v/>
      </c>
      <c r="H124" s="11">
        <f>IFERROR(F124/F112-1,"")</f>
        <v/>
      </c>
    </row>
    <row r="125" spans="1:8">
      <c r="A125" s="6" t="s">
        <v>12</v>
      </c>
      <c r="B125" s="6" t="s">
        <v>213</v>
      </c>
      <c r="C125" s="6">
        <v>2023</v>
      </c>
      <c r="D125" s="6">
        <v>1</v>
      </c>
      <c r="E125" s="9" t="s">
        <v>152</v>
      </c>
      <c r="F125" s="10">
        <f>SUMIFS(Data!$K:$K,Data!$A:$A,2023,Data!$B:$B,1,Data!$G:$G,"CDU",Data!$F:$F,"PADD 3")</f>
        <v>930.62</v>
      </c>
    </row>
    <row r="126" spans="1:8">
      <c r="A126" s="6" t="s">
        <v>12</v>
      </c>
      <c r="B126" s="6" t="s">
        <v>213</v>
      </c>
      <c r="C126" s="6">
        <v>2023</v>
      </c>
      <c r="D126" s="6">
        <v>2</v>
      </c>
      <c r="E126" s="9" t="s">
        <v>153</v>
      </c>
      <c r="F126" s="10">
        <f>SUMIFS(Data!$K:$K,Data!$A:$A,2023,Data!$B:$B,2,Data!$G:$G,"CDU",Data!$F:$F,"PADD 3")</f>
        <v>1251.38</v>
      </c>
      <c r="G126" s="11">
        <f>IFERROR(F126/F125-1,"")</f>
        <v>0.3446734435107779</v>
      </c>
    </row>
    <row r="127" spans="1:8">
      <c r="A127" s="6" t="s">
        <v>12</v>
      </c>
      <c r="B127" s="6" t="s">
        <v>213</v>
      </c>
      <c r="C127" s="6">
        <v>2023</v>
      </c>
      <c r="D127" s="6">
        <v>3</v>
      </c>
      <c r="E127" s="9" t="s">
        <v>154</v>
      </c>
      <c r="F127" s="10">
        <f>SUMIFS(Data!$K:$K,Data!$A:$A,2023,Data!$B:$B,3,Data!$G:$G,"CDU",Data!$F:$F,"PADD 3")</f>
        <v>987.275</v>
      </c>
      <c r="G127" s="11">
        <f>IFERROR(F127/F126-1,"")</f>
        <v>-0.21105099969633534</v>
      </c>
    </row>
    <row r="128" spans="1:8">
      <c r="A128" s="6" t="s">
        <v>12</v>
      </c>
      <c r="B128" s="6" t="s">
        <v>213</v>
      </c>
      <c r="C128" s="6">
        <v>2023</v>
      </c>
      <c r="D128" s="6">
        <v>4</v>
      </c>
      <c r="E128" s="9" t="s">
        <v>155</v>
      </c>
      <c r="F128" s="10">
        <f>SUMIFS(Data!$K:$K,Data!$A:$A,2023,Data!$B:$B,4,Data!$G:$G,"CDU",Data!$F:$F,"PADD 3")</f>
        <v>683.585</v>
      </c>
      <c r="G128" s="11">
        <f>IFERROR(F128/F127-1,"")</f>
        <v>-0.30760426426274334</v>
      </c>
    </row>
    <row r="129" spans="1:8">
      <c r="A129" s="6" t="s">
        <v>12</v>
      </c>
      <c r="B129" s="6" t="s">
        <v>213</v>
      </c>
      <c r="C129" s="6">
        <v>2023</v>
      </c>
      <c r="D129" s="6">
        <v>5</v>
      </c>
      <c r="E129" s="9" t="s">
        <v>156</v>
      </c>
      <c r="F129" s="10">
        <f>SUMIFS(Data!$K:$K,Data!$A:$A,2023,Data!$B:$B,5,Data!$G:$G,"CDU",Data!$F:$F,"PADD 3")</f>
        <v>500.5058</v>
      </c>
      <c r="G129" s="11">
        <f>IFERROR(F129/F128-1,"")</f>
        <v>-0.26782214355200895</v>
      </c>
    </row>
    <row r="130" spans="1:8">
      <c r="A130" s="6" t="s">
        <v>12</v>
      </c>
      <c r="B130" s="6" t="s">
        <v>213</v>
      </c>
      <c r="C130" s="6">
        <v>2023</v>
      </c>
      <c r="D130" s="6">
        <v>6</v>
      </c>
      <c r="E130" s="9" t="s">
        <v>157</v>
      </c>
      <c r="F130" s="10">
        <f>SUMIFS(Data!$K:$K,Data!$A:$A,2023,Data!$B:$B,6,Data!$G:$G,"CDU",Data!$F:$F,"PADD 3")</f>
        <v>488.0</v>
      </c>
      <c r="G130" s="11">
        <f>IFERROR(F130/F129-1,"")</f>
        <v>-0.0249863238348087</v>
      </c>
    </row>
    <row r="131" spans="1:8">
      <c r="A131" s="6" t="s">
        <v>12</v>
      </c>
      <c r="B131" s="6" t="s">
        <v>213</v>
      </c>
      <c r="C131" s="6">
        <v>2023</v>
      </c>
      <c r="D131" s="6">
        <v>7</v>
      </c>
      <c r="E131" s="9" t="s">
        <v>158</v>
      </c>
      <c r="F131" s="10">
        <f>SUMIFS(Data!$K:$K,Data!$A:$A,2023,Data!$B:$B,7,Data!$G:$G,"CDU",Data!$F:$F,"PADD 3")</f>
        <v>224.45</v>
      </c>
      <c r="G131" s="11">
        <f>IFERROR(F131/F130-1,"")</f>
        <v>-0.5400614754098361</v>
      </c>
    </row>
    <row r="132" spans="1:8">
      <c r="A132" s="6" t="s">
        <v>12</v>
      </c>
      <c r="B132" s="6" t="s">
        <v>213</v>
      </c>
      <c r="C132" s="6">
        <v>2023</v>
      </c>
      <c r="D132" s="6">
        <v>8</v>
      </c>
      <c r="E132" s="9" t="s">
        <v>159</v>
      </c>
      <c r="F132" s="10">
        <f>SUMIFS(Data!$K:$K,Data!$A:$A,2023,Data!$B:$B,8,Data!$G:$G,"CDU",Data!$F:$F,"PADD 3")</f>
        <v>422.0</v>
      </c>
      <c r="G132" s="11">
        <f>IFERROR(F132/F131-1,"")</f>
        <v>0.8801514813989755</v>
      </c>
    </row>
    <row r="133" spans="1:8">
      <c r="A133" s="6" t="s">
        <v>12</v>
      </c>
      <c r="B133" s="6" t="s">
        <v>213</v>
      </c>
      <c r="C133" s="6">
        <v>2023</v>
      </c>
      <c r="D133" s="6">
        <v>9</v>
      </c>
      <c r="E133" s="9" t="s">
        <v>160</v>
      </c>
      <c r="F133" s="10">
        <f>SUMIFS(Data!$K:$K,Data!$A:$A,2023,Data!$B:$B,9,Data!$G:$G,"CDU",Data!$F:$F,"PADD 3")</f>
        <v>628.7675</v>
      </c>
      <c r="G133" s="11">
        <f>IFERROR(F133/F132-1,"")</f>
        <v>0.48997037914691943</v>
      </c>
    </row>
    <row r="134" spans="1:8">
      <c r="A134" s="6" t="s">
        <v>12</v>
      </c>
      <c r="B134" s="6" t="s">
        <v>213</v>
      </c>
      <c r="C134" s="6">
        <v>2023</v>
      </c>
      <c r="D134" s="6">
        <v>10</v>
      </c>
      <c r="E134" s="9" t="s">
        <v>161</v>
      </c>
      <c r="F134" s="10">
        <f>SUMIFS(Data!$K:$K,Data!$A:$A,2023,Data!$B:$B,10,Data!$G:$G,"CDU",Data!$F:$F,"PADD 3")</f>
        <v>1135.44</v>
      </c>
      <c r="G134" s="11">
        <f>IFERROR(F134/F133-1,"")</f>
        <v>0.8058185259257198</v>
      </c>
    </row>
    <row r="135" spans="1:8">
      <c r="A135" s="6" t="s">
        <v>12</v>
      </c>
      <c r="B135" s="6" t="s">
        <v>213</v>
      </c>
      <c r="C135" s="6">
        <v>2023</v>
      </c>
      <c r="D135" s="6">
        <v>11</v>
      </c>
      <c r="E135" s="9" t="s">
        <v>162</v>
      </c>
      <c r="F135" s="10">
        <f>SUMIFS(Data!$K:$K,Data!$A:$A,2023,Data!$B:$B,11,Data!$G:$G,"CDU",Data!$F:$F,"PADD 3")</f>
        <v>500.85</v>
      </c>
      <c r="G135" s="11">
        <f>IFERROR(F135/F134-1,"")</f>
        <v>-0.5588934686112872</v>
      </c>
    </row>
    <row r="136" spans="1:8">
      <c r="A136" s="6" t="s">
        <v>12</v>
      </c>
      <c r="B136" s="6" t="s">
        <v>213</v>
      </c>
      <c r="C136" s="6">
        <v>2023</v>
      </c>
      <c r="D136" s="6">
        <v>12</v>
      </c>
      <c r="E136" s="9" t="s">
        <v>163</v>
      </c>
      <c r="F136" s="10">
        <f>SUMIFS(Data!$K:$K,Data!$A:$A,2023,Data!$B:$B,12,Data!$G:$G,"CDU",Data!$F:$F,"PADD 3")</f>
        <v>128.14</v>
      </c>
      <c r="G136" s="11">
        <f>IFERROR(F136/F135-1,"")</f>
        <v>-0.7441549366077669</v>
      </c>
    </row>
    <row r="137" spans="1:8">
      <c r="A137" s="6" t="s">
        <v>12</v>
      </c>
      <c r="B137" s="6" t="s">
        <v>213</v>
      </c>
      <c r="C137" s="6">
        <v>2024</v>
      </c>
      <c r="D137" s="6">
        <v>1</v>
      </c>
      <c r="E137" s="9" t="s">
        <v>164</v>
      </c>
      <c r="F137" s="10">
        <f>SUMIFS(Data!$K:$K,Data!$A:$A,2024,Data!$B:$B,1,Data!$G:$G,"CDU",Data!$F:$F,"PADD 3")</f>
        <v>1030.388</v>
      </c>
      <c r="G137" s="11">
        <f>IFERROR(F137/F136-1,"")</f>
        <v>7.041111284532542</v>
      </c>
      <c r="H137" s="11">
        <f>IFERROR(F137/F125-1,"")</f>
        <v>0.10720594872235711</v>
      </c>
    </row>
    <row r="138" spans="1:8">
      <c r="A138" s="6" t="s">
        <v>12</v>
      </c>
      <c r="B138" s="6" t="s">
        <v>213</v>
      </c>
      <c r="C138" s="6">
        <v>2024</v>
      </c>
      <c r="D138" s="6">
        <v>2</v>
      </c>
      <c r="E138" s="9" t="s">
        <v>165</v>
      </c>
      <c r="F138" s="10">
        <f>SUMIFS(Data!$K:$K,Data!$A:$A,2024,Data!$B:$B,2,Data!$G:$G,"CDU",Data!$F:$F,"PADD 3")</f>
        <v>1357.19</v>
      </c>
      <c r="G138" s="11">
        <f>IFERROR(F138/F137-1,"")</f>
        <v>0.3171640197673111</v>
      </c>
      <c r="H138" s="11">
        <f>IFERROR(F138/F126-1,"")</f>
        <v>0.08455465166456233</v>
      </c>
    </row>
    <row r="139" spans="1:8">
      <c r="A139" s="6" t="s">
        <v>12</v>
      </c>
      <c r="B139" s="6" t="s">
        <v>213</v>
      </c>
      <c r="C139" s="6">
        <v>2024</v>
      </c>
      <c r="D139" s="6">
        <v>3</v>
      </c>
      <c r="E139" s="9" t="s">
        <v>166</v>
      </c>
      <c r="F139" s="10">
        <f>SUMIFS(Data!$K:$K,Data!$A:$A,2024,Data!$B:$B,3,Data!$G:$G,"CDU",Data!$F:$F,"PADD 3")</f>
        <v>695.1600000000001</v>
      </c>
      <c r="G139" s="11">
        <f>IFERROR(F139/F138-1,"")</f>
        <v>-0.48779463450216987</v>
      </c>
      <c r="H139" s="11">
        <f>IFERROR(F139/F127-1,"")</f>
        <v>-0.2958800739408979</v>
      </c>
    </row>
    <row r="140" spans="1:8">
      <c r="A140" s="6" t="s">
        <v>12</v>
      </c>
      <c r="B140" s="6" t="s">
        <v>213</v>
      </c>
      <c r="C140" s="6">
        <v>2024</v>
      </c>
      <c r="D140" s="6">
        <v>4</v>
      </c>
      <c r="E140" s="9" t="s">
        <v>167</v>
      </c>
      <c r="F140" s="10">
        <f>SUMIFS(Data!$K:$K,Data!$A:$A,2024,Data!$B:$B,4,Data!$G:$G,"CDU",Data!$F:$F,"PADD 3")</f>
        <v>596.05</v>
      </c>
      <c r="G140" s="11">
        <f>IFERROR(F140/F139-1,"")</f>
        <v>-0.14257149433224026</v>
      </c>
      <c r="H140" s="11">
        <f>IFERROR(F140/F128-1,"")</f>
        <v>-0.12805283907634024</v>
      </c>
    </row>
    <row r="141" spans="1:8">
      <c r="A141" s="6" t="s">
        <v>12</v>
      </c>
      <c r="B141" s="6" t="s">
        <v>213</v>
      </c>
      <c r="C141" s="6">
        <v>2024</v>
      </c>
      <c r="D141" s="6">
        <v>5</v>
      </c>
      <c r="E141" s="9" t="s">
        <v>168</v>
      </c>
      <c r="F141" s="10">
        <f>SUMIFS(Data!$K:$K,Data!$A:$A,2024,Data!$B:$B,5,Data!$G:$G,"CDU",Data!$F:$F,"PADD 3")</f>
        <v>110.33999999999999</v>
      </c>
      <c r="G141" s="11">
        <f>IFERROR(F141/F140-1,"")</f>
        <v>-0.8148813019042027</v>
      </c>
      <c r="H141" s="11">
        <f>IFERROR(F141/F129-1,"")</f>
        <v>-0.7795430142867475</v>
      </c>
    </row>
    <row r="142" spans="1:8">
      <c r="A142" s="6" t="s">
        <v>12</v>
      </c>
      <c r="B142" s="6" t="s">
        <v>213</v>
      </c>
      <c r="C142" s="6">
        <v>2024</v>
      </c>
      <c r="D142" s="6">
        <v>6</v>
      </c>
      <c r="E142" s="9" t="s">
        <v>169</v>
      </c>
      <c r="F142" s="10">
        <f>SUMIFS(Data!$K:$K,Data!$A:$A,2024,Data!$B:$B,6,Data!$G:$G,"CDU",Data!$F:$F,"PADD 3")</f>
        <v>281.23</v>
      </c>
      <c r="G142" s="11">
        <f>IFERROR(F142/F141-1,"")</f>
        <v>1.5487583831792646</v>
      </c>
      <c r="H142" s="11">
        <f>IFERROR(F142/F130-1,"")</f>
        <v>-0.4237090163934426</v>
      </c>
    </row>
    <row r="143" spans="1:8">
      <c r="A143" s="6" t="s">
        <v>12</v>
      </c>
      <c r="B143" s="6" t="s">
        <v>213</v>
      </c>
      <c r="C143" s="6">
        <v>2024</v>
      </c>
      <c r="D143" s="6">
        <v>7</v>
      </c>
      <c r="E143" s="9" t="s">
        <v>170</v>
      </c>
      <c r="F143" s="10">
        <f>SUMIFS(Data!$K:$K,Data!$A:$A,2024,Data!$B:$B,7,Data!$G:$G,"CDU",Data!$F:$F,"PADD 3")</f>
        <v>363.87</v>
      </c>
      <c r="G143" s="11">
        <f>IFERROR(F143/F142-1,"")</f>
        <v>0.2938520072538491</v>
      </c>
      <c r="H143" s="11">
        <f>IFERROR(F143/F131-1,"")</f>
        <v>0.6211628425038984</v>
      </c>
    </row>
    <row r="144" spans="1:8">
      <c r="A144" s="6" t="s">
        <v>12</v>
      </c>
      <c r="B144" s="6" t="s">
        <v>213</v>
      </c>
      <c r="C144" s="6">
        <v>2024</v>
      </c>
      <c r="D144" s="6">
        <v>8</v>
      </c>
      <c r="E144" s="9" t="s">
        <v>171</v>
      </c>
      <c r="F144" s="10">
        <f>SUMIFS(Data!$K:$K,Data!$A:$A,2024,Data!$B:$B,8,Data!$G:$G,"CDU",Data!$F:$F,"PADD 3")</f>
        <v>364.538</v>
      </c>
      <c r="G144" s="11">
        <f>IFERROR(F144/F143-1,"")</f>
        <v>0.0018358204853381466</v>
      </c>
      <c r="H144" s="11">
        <f>IFERROR(F144/F132-1,"")</f>
        <v>-0.13616587677725112</v>
      </c>
    </row>
    <row r="145" spans="1:8">
      <c r="A145" s="6" t="s">
        <v>12</v>
      </c>
      <c r="B145" s="6" t="s">
        <v>213</v>
      </c>
      <c r="C145" s="6">
        <v>2024</v>
      </c>
      <c r="D145" s="6">
        <v>9</v>
      </c>
      <c r="E145" s="9" t="s">
        <v>172</v>
      </c>
      <c r="F145" s="10">
        <f>SUMIFS(Data!$K:$K,Data!$A:$A,2024,Data!$B:$B,9,Data!$G:$G,"CDU",Data!$F:$F,"PADD 3")</f>
        <v>605.36</v>
      </c>
      <c r="G145" s="11">
        <f>IFERROR(F145/F144-1,"")</f>
        <v>0.6606224865446126</v>
      </c>
      <c r="H145" s="11">
        <f>IFERROR(F145/F133-1,"")</f>
        <v>-0.03722759207497206</v>
      </c>
    </row>
    <row r="146" spans="1:8">
      <c r="A146" s="6" t="s">
        <v>12</v>
      </c>
      <c r="B146" s="6" t="s">
        <v>213</v>
      </c>
      <c r="C146" s="6">
        <v>2024</v>
      </c>
      <c r="D146" s="6">
        <v>10</v>
      </c>
      <c r="E146" s="9" t="s">
        <v>173</v>
      </c>
      <c r="F146" s="10">
        <f>SUMIFS(Data!$K:$K,Data!$A:$A,2024,Data!$B:$B,10,Data!$G:$G,"CDU",Data!$F:$F,"PADD 3")</f>
        <v>531.79</v>
      </c>
      <c r="G146" s="11">
        <f>IFERROR(F146/F145-1,"")</f>
        <v>-0.12153098982423693</v>
      </c>
      <c r="H146" s="11">
        <f>IFERROR(F146/F134-1,"")</f>
        <v>-0.5316441203410132</v>
      </c>
    </row>
    <row r="147" spans="1:8">
      <c r="A147" s="6" t="s">
        <v>12</v>
      </c>
      <c r="B147" s="6" t="s">
        <v>213</v>
      </c>
      <c r="C147" s="6">
        <v>2024</v>
      </c>
      <c r="D147" s="6">
        <v>11</v>
      </c>
      <c r="E147" s="9" t="s">
        <v>174</v>
      </c>
      <c r="F147" s="10">
        <f>SUMIFS(Data!$K:$K,Data!$A:$A,2024,Data!$B:$B,11,Data!$G:$G,"CDU",Data!$F:$F,"PADD 3")</f>
        <v>377.62</v>
      </c>
      <c r="G147" s="11">
        <f>IFERROR(F147/F146-1,"")</f>
        <v>-0.2899076703209913</v>
      </c>
      <c r="H147" s="11">
        <f>IFERROR(F147/F135-1,"")</f>
        <v>-0.24604172906059696</v>
      </c>
    </row>
    <row r="148" spans="1:8">
      <c r="A148" s="6" t="s">
        <v>12</v>
      </c>
      <c r="B148" s="6" t="s">
        <v>213</v>
      </c>
      <c r="C148" s="6">
        <v>2024</v>
      </c>
      <c r="D148" s="6">
        <v>12</v>
      </c>
      <c r="E148" s="9" t="s">
        <v>175</v>
      </c>
      <c r="F148" s="10">
        <f>SUMIFS(Data!$K:$K,Data!$A:$A,2024,Data!$B:$B,12,Data!$G:$G,"CDU",Data!$F:$F,"PADD 3")</f>
        <v>98.46199999999999</v>
      </c>
      <c r="G148" s="11">
        <f>IFERROR(F148/F147-1,"")</f>
        <v>-0.7392563953180447</v>
      </c>
      <c r="H148" s="11">
        <f>IFERROR(F148/F136-1,"")</f>
        <v>-0.23160605587638516</v>
      </c>
    </row>
    <row r="149" spans="1:8">
      <c r="A149" s="6" t="s">
        <v>12</v>
      </c>
      <c r="B149" s="6" t="s">
        <v>213</v>
      </c>
      <c r="C149" s="6">
        <v>2025</v>
      </c>
      <c r="D149" s="6">
        <v>1</v>
      </c>
      <c r="E149" s="9" t="s">
        <v>176</v>
      </c>
      <c r="F149" s="10">
        <f>SUMIFS(Data!$K:$K,Data!$A:$A,2025,Data!$B:$B,1,Data!$G:$G,"CDU",Data!$F:$F,"PADD 3")</f>
        <v>920.205</v>
      </c>
      <c r="G149" s="11">
        <f>IFERROR(F149/F148-1,"")</f>
        <v>8.345788222867707</v>
      </c>
      <c r="H149" s="11">
        <f>IFERROR(F149/F137-1,"")</f>
        <v>-0.10693350466038021</v>
      </c>
    </row>
    <row r="150" spans="1:8">
      <c r="A150" s="6" t="s">
        <v>12</v>
      </c>
      <c r="B150" s="6" t="s">
        <v>213</v>
      </c>
      <c r="C150" s="6">
        <v>2025</v>
      </c>
      <c r="D150" s="6">
        <v>2</v>
      </c>
      <c r="E150" s="9" t="s">
        <v>177</v>
      </c>
      <c r="F150" s="10">
        <f>SUMIFS(Data!$K:$K,Data!$A:$A,2025,Data!$B:$B,2,Data!$G:$G,"CDU",Data!$F:$F,"PADD 3")</f>
        <v>923.361</v>
      </c>
      <c r="G150" s="11">
        <f>IFERROR(F150/F149-1,"")</f>
        <v>0.0034296705625376234</v>
      </c>
      <c r="H150" s="11">
        <f>IFERROR(F150/F138-1,"")</f>
        <v>-0.3196523699703063</v>
      </c>
    </row>
    <row r="151" spans="1:8">
      <c r="A151" s="6" t="s">
        <v>12</v>
      </c>
      <c r="B151" s="6" t="s">
        <v>213</v>
      </c>
      <c r="C151" s="6">
        <v>2025</v>
      </c>
      <c r="D151" s="6">
        <v>3</v>
      </c>
      <c r="E151" s="9" t="s">
        <v>178</v>
      </c>
      <c r="F151" s="10">
        <f>SUMIFS(Data!$K:$K,Data!$A:$A,2025,Data!$B:$B,3,Data!$G:$G,"CDU",Data!$F:$F,"PADD 3")</f>
        <v>313.752</v>
      </c>
      <c r="G151" s="11">
        <f>IFERROR(F151/F150-1,"")</f>
        <v>-0.660206571427643</v>
      </c>
      <c r="H151" s="11">
        <f>IFERROR(F151/F139-1,"")</f>
        <v>-0.5486621784912826</v>
      </c>
    </row>
    <row r="152" spans="1:8">
      <c r="A152" s="6" t="s">
        <v>12</v>
      </c>
      <c r="B152" s="6" t="s">
        <v>213</v>
      </c>
      <c r="C152" s="6">
        <v>2025</v>
      </c>
      <c r="D152" s="6">
        <v>4</v>
      </c>
      <c r="E152" s="9" t="s">
        <v>179</v>
      </c>
      <c r="F152" s="10">
        <f>SUMIFS(Data!$K:$K,Data!$A:$A,2025,Data!$B:$B,4,Data!$G:$G,"CDU",Data!$F:$F,"PADD 3")</f>
        <v>357.5</v>
      </c>
      <c r="G152" s="11">
        <f>IFERROR(F152/F151-1,"")</f>
        <v>0.13943496774522557</v>
      </c>
      <c r="H152" s="11">
        <f>IFERROR(F152/F140-1,"")</f>
        <v>-0.4002181025081788</v>
      </c>
    </row>
    <row r="153" spans="1:8">
      <c r="A153" s="6" t="s">
        <v>12</v>
      </c>
      <c r="B153" s="6" t="s">
        <v>213</v>
      </c>
      <c r="C153" s="6">
        <v>2025</v>
      </c>
      <c r="D153" s="6">
        <v>5</v>
      </c>
      <c r="E153" s="9" t="s">
        <v>180</v>
      </c>
      <c r="F153" s="10">
        <f>SUMIFS(Data!$K:$K,Data!$A:$A,2025,Data!$B:$B,5,Data!$G:$G,"CDU",Data!$F:$F,"PADD 3")</f>
        <v>191.592</v>
      </c>
      <c r="G153" s="11">
        <f>IFERROR(F153/F152-1,"")</f>
        <v>-0.46407832167832164</v>
      </c>
      <c r="H153" s="11">
        <f>IFERROR(F153/F141-1,"")</f>
        <v>0.7363784665579123</v>
      </c>
    </row>
    <row r="154" spans="1:8">
      <c r="A154" s="6" t="s">
        <v>12</v>
      </c>
      <c r="B154" s="6" t="s">
        <v>213</v>
      </c>
      <c r="C154" s="6">
        <v>2025</v>
      </c>
      <c r="D154" s="6">
        <v>6</v>
      </c>
      <c r="E154" s="9" t="s">
        <v>181</v>
      </c>
      <c r="F154" s="10">
        <f>SUMIFS(Data!$K:$K,Data!$A:$A,2025,Data!$B:$B,6,Data!$G:$G,"CDU",Data!$F:$F,"PADD 3")</f>
        <v>113.68</v>
      </c>
      <c r="G154" s="11">
        <f>IFERROR(F154/F153-1,"")</f>
        <v>-0.4066558102634765</v>
      </c>
      <c r="H154" s="11">
        <f>IFERROR(F154/F142-1,"")</f>
        <v>-0.5957756996053052</v>
      </c>
    </row>
    <row r="155" spans="1:8">
      <c r="A155" s="6" t="s">
        <v>12</v>
      </c>
      <c r="B155" s="6" t="s">
        <v>213</v>
      </c>
      <c r="C155" s="6">
        <v>2025</v>
      </c>
      <c r="D155" s="6">
        <v>7</v>
      </c>
      <c r="E155" s="9" t="s">
        <v>182</v>
      </c>
      <c r="F155" s="10">
        <f>SUMIFS(Data!$K:$K,Data!$A:$A,2025,Data!$B:$B,7,Data!$G:$G,"CDU",Data!$F:$F,"PADD 3")</f>
        <v>71.78</v>
      </c>
      <c r="G155" s="11">
        <f>IFERROR(F155/F154-1,"")</f>
        <v>-0.36857846586910625</v>
      </c>
      <c r="H155" s="11">
        <f>IFERROR(F155/F143-1,"")</f>
        <v>-0.8027317448539313</v>
      </c>
    </row>
    <row r="156" spans="1:8">
      <c r="A156" s="6" t="s">
        <v>12</v>
      </c>
      <c r="B156" s="6" t="s">
        <v>213</v>
      </c>
      <c r="C156" s="6">
        <v>2025</v>
      </c>
      <c r="D156" s="6">
        <v>8</v>
      </c>
      <c r="E156" s="9" t="s">
        <v>183</v>
      </c>
      <c r="F156" s="10">
        <f>SUMIFS(Data!$K:$K,Data!$A:$A,2025,Data!$B:$B,8,Data!$G:$G,"CDU",Data!$F:$F,"PADD 3")</f>
        <v>86.44</v>
      </c>
      <c r="G156" s="11">
        <f>IFERROR(F156/F155-1,"")</f>
        <v>0.20423516299804945</v>
      </c>
      <c r="H156" s="11">
        <f>IFERROR(F156/F144-1,"")</f>
        <v>-0.7628779441375111</v>
      </c>
    </row>
    <row r="157" spans="1:8">
      <c r="A157" s="6" t="s">
        <v>12</v>
      </c>
      <c r="B157" s="6" t="s">
        <v>213</v>
      </c>
      <c r="C157" s="6">
        <v>2025</v>
      </c>
      <c r="D157" s="6">
        <v>9</v>
      </c>
      <c r="E157" s="9" t="s">
        <v>184</v>
      </c>
      <c r="F157" s="10">
        <f>SUMIFS(Data!$K:$K,Data!$A:$A,2025,Data!$B:$B,9,Data!$G:$G,"CDU",Data!$F:$F,"PADD 3")</f>
        <v>713.755</v>
      </c>
      <c r="G157" s="11">
        <f>IFERROR(F157/F156-1,"")</f>
        <v>7.257230448866267</v>
      </c>
      <c r="H157" s="11">
        <f>IFERROR(F157/F145-1,"")</f>
        <v>0.17905874190564286</v>
      </c>
    </row>
    <row r="158" spans="1:8">
      <c r="A158" s="6" t="s">
        <v>12</v>
      </c>
      <c r="B158" s="6" t="s">
        <v>213</v>
      </c>
      <c r="C158" s="6">
        <v>2025</v>
      </c>
      <c r="D158" s="6">
        <v>10</v>
      </c>
      <c r="E158" s="9" t="s">
        <v>185</v>
      </c>
      <c r="F158" s="10">
        <f>SUMIFS(Data!$K:$K,Data!$A:$A,2025,Data!$B:$B,10,Data!$G:$G,"CDU",Data!$F:$F,"PADD 3")</f>
        <v>1117.225</v>
      </c>
      <c r="G158" s="11">
        <f>IFERROR(F158/F157-1,"")</f>
        <v>0.5652780015551553</v>
      </c>
      <c r="H158" s="11">
        <f>IFERROR(F158/F146-1,"")</f>
        <v>1.1008762857518946</v>
      </c>
    </row>
    <row r="159" spans="1:8">
      <c r="A159" s="6" t="s">
        <v>12</v>
      </c>
      <c r="B159" s="6" t="s">
        <v>213</v>
      </c>
      <c r="C159" s="6">
        <v>2025</v>
      </c>
      <c r="D159" s="6">
        <v>11</v>
      </c>
      <c r="E159" s="9" t="s">
        <v>186</v>
      </c>
      <c r="F159" s="10">
        <f>SUMIFS(Data!$K:$K,Data!$A:$A,2025,Data!$B:$B,11,Data!$G:$G,"CDU",Data!$F:$F,"PADD 3")</f>
        <v>716.29</v>
      </c>
      <c r="G159" s="11">
        <f>IFERROR(F159/F158-1,"")</f>
        <v>-0.3588668352390969</v>
      </c>
      <c r="H159" s="11">
        <f>IFERROR(F159/F147-1,"")</f>
        <v>0.896853980191727</v>
      </c>
    </row>
    <row r="160" spans="1:8">
      <c r="A160" s="6" t="s">
        <v>12</v>
      </c>
      <c r="B160" s="6" t="s">
        <v>213</v>
      </c>
      <c r="C160" s="6">
        <v>2025</v>
      </c>
      <c r="D160" s="6">
        <v>12</v>
      </c>
      <c r="E160" s="9" t="s">
        <v>187</v>
      </c>
      <c r="F160" s="10">
        <f>SUMIFS(Data!$K:$K,Data!$A:$A,2025,Data!$B:$B,12,Data!$G:$G,"CDU",Data!$F:$F,"PADD 3")</f>
        <v>93.47999999999999</v>
      </c>
      <c r="G160" s="11">
        <f>IFERROR(F160/F159-1,"")</f>
        <v>-0.8694941992768292</v>
      </c>
      <c r="H160" s="11">
        <f>IFERROR(F160/F148-1,"")</f>
        <v>-0.05059820032093598</v>
      </c>
    </row>
    <row r="161" spans="1:8">
      <c r="A161" s="6" t="s">
        <v>12</v>
      </c>
      <c r="B161" s="6" t="s">
        <v>213</v>
      </c>
      <c r="C161" s="6">
        <v>2026</v>
      </c>
      <c r="D161" s="6">
        <v>1</v>
      </c>
      <c r="E161" s="9" t="s">
        <v>188</v>
      </c>
      <c r="F161" s="10">
        <f>SUMIFS(Data!$K:$K,Data!$A:$A,2026,Data!$B:$B,1,Data!$G:$G,"CDU",Data!$F:$F,"PADD 3")</f>
        <v>388.51</v>
      </c>
      <c r="G161" s="11">
        <f>IFERROR(F161/F160-1,"")</f>
        <v>3.1560761660248184</v>
      </c>
      <c r="H161" s="11">
        <f>IFERROR(F161/F149-1,"")</f>
        <v>-0.5778005987796198</v>
      </c>
    </row>
    <row r="162" spans="1:8">
      <c r="A162" s="6" t="s">
        <v>12</v>
      </c>
      <c r="B162" s="6" t="s">
        <v>213</v>
      </c>
      <c r="C162" s="6">
        <v>2026</v>
      </c>
      <c r="D162" s="6">
        <v>2</v>
      </c>
      <c r="E162" s="9" t="s">
        <v>189</v>
      </c>
      <c r="F162" s="10">
        <f>SUMIFS(Data!$K:$K,Data!$A:$A,2026,Data!$B:$B,2,Data!$G:$G,"CDU",Data!$F:$F,"PADD 3")</f>
        <v>911.0020000000001</v>
      </c>
      <c r="G162" s="11">
        <f>IFERROR(F162/F161-1,"")</f>
        <v>1.344861136135492</v>
      </c>
      <c r="H162" s="11">
        <f>IFERROR(F162/F150-1,"")</f>
        <v>-0.013384797495237466</v>
      </c>
    </row>
    <row r="163" spans="1:8">
      <c r="A163" s="6" t="s">
        <v>12</v>
      </c>
      <c r="B163" s="6" t="s">
        <v>213</v>
      </c>
      <c r="C163" s="6">
        <v>2026</v>
      </c>
      <c r="D163" s="6">
        <v>3</v>
      </c>
      <c r="E163" s="9" t="s">
        <v>190</v>
      </c>
      <c r="F163" s="10">
        <f>SUMIFS(Data!$K:$K,Data!$A:$A,2026,Data!$B:$B,3,Data!$G:$G,"CDU",Data!$F:$F,"PADD 3")</f>
        <v>407.127</v>
      </c>
      <c r="G163" s="11">
        <f>IFERROR(F163/F162-1,"")</f>
        <v>-0.5530997736558207</v>
      </c>
      <c r="H163" s="11">
        <f>IFERROR(F163/F151-1,"")</f>
        <v>0.2976076646523369</v>
      </c>
    </row>
    <row r="164" spans="1:8">
      <c r="A164" s="6" t="s">
        <v>12</v>
      </c>
      <c r="B164" s="6" t="s">
        <v>213</v>
      </c>
      <c r="C164" s="6">
        <v>2026</v>
      </c>
      <c r="D164" s="6">
        <v>4</v>
      </c>
      <c r="E164" s="9" t="s">
        <v>191</v>
      </c>
      <c r="F164" s="10">
        <f>SUMIFS(Data!$K:$K,Data!$A:$A,2026,Data!$B:$B,4,Data!$G:$G,"CDU",Data!$F:$F,"PADD 3")</f>
        <v>424.69</v>
      </c>
      <c r="G164" s="11">
        <f>IFERROR(F164/F163-1,"")</f>
        <v>0.0431388731280411</v>
      </c>
      <c r="H164" s="11">
        <f>IFERROR(F164/F152-1,"")</f>
        <v>0.18794405594405594</v>
      </c>
    </row>
    <row r="165" spans="1:8">
      <c r="A165" s="6" t="s">
        <v>12</v>
      </c>
      <c r="B165" s="6" t="s">
        <v>213</v>
      </c>
      <c r="C165" s="6">
        <v>2026</v>
      </c>
      <c r="D165" s="6">
        <v>5</v>
      </c>
      <c r="E165" s="9" t="s">
        <v>192</v>
      </c>
      <c r="F165" s="10">
        <f>SUMIFS(Data!$K:$K,Data!$A:$A,2026,Data!$B:$B,5,Data!$G:$G,"CDU",Data!$F:$F,"PADD 3")</f>
        <v>275.76</v>
      </c>
      <c r="G165" s="11">
        <f>IFERROR(F165/F164-1,"")</f>
        <v>-0.3506793190327062</v>
      </c>
      <c r="H165" s="11">
        <f>IFERROR(F165/F153-1,"")</f>
        <v>0.43930853062758346</v>
      </c>
    </row>
    <row r="166" spans="1:8">
      <c r="A166" s="6" t="s">
        <v>12</v>
      </c>
      <c r="B166" s="6" t="s">
        <v>213</v>
      </c>
      <c r="C166" s="6">
        <v>2026</v>
      </c>
      <c r="D166" s="6">
        <v>6</v>
      </c>
      <c r="E166" s="9" t="s">
        <v>193</v>
      </c>
      <c r="F166" s="10">
        <f>SUMIFS(Data!$K:$K,Data!$A:$A,2026,Data!$B:$B,6,Data!$G:$G,"CDU",Data!$F:$F,"PADD 3")</f>
        <v>227.2</v>
      </c>
      <c r="G166" s="11">
        <f>IFERROR(F166/F165-1,"")</f>
        <v>-0.1760951552074268</v>
      </c>
      <c r="H166" s="11">
        <f>IFERROR(F166/F154-1,"")</f>
        <v>0.9985925404644613</v>
      </c>
    </row>
    <row r="167" spans="1:8">
      <c r="A167" s="6" t="s">
        <v>12</v>
      </c>
      <c r="B167" s="6" t="s">
        <v>213</v>
      </c>
      <c r="C167" s="6">
        <v>2026</v>
      </c>
      <c r="D167" s="6">
        <v>7</v>
      </c>
      <c r="E167" s="9" t="s">
        <v>194</v>
      </c>
      <c r="F167" s="10">
        <f>SUMIFS(Data!$K:$K,Data!$A:$A,2026,Data!$B:$B,7,Data!$G:$G,"CDU",Data!$F:$F,"PADD 3")</f>
        <v>96.202</v>
      </c>
      <c r="G167" s="11">
        <f>IFERROR(F167/F166-1,"")</f>
        <v>-0.5765757042253521</v>
      </c>
      <c r="H167" s="11">
        <f>IFERROR(F167/F155-1,"")</f>
        <v>0.3402340484814712</v>
      </c>
    </row>
    <row r="168" spans="1:8">
      <c r="A168" s="6" t="s">
        <v>12</v>
      </c>
      <c r="B168" s="6" t="s">
        <v>213</v>
      </c>
      <c r="C168" s="6">
        <v>2026</v>
      </c>
      <c r="D168" s="6">
        <v>8</v>
      </c>
      <c r="E168" s="9" t="s">
        <v>195</v>
      </c>
      <c r="F168" s="10">
        <f>SUMIFS(Data!$K:$K,Data!$A:$A,2026,Data!$B:$B,8,Data!$G:$G,"CDU",Data!$F:$F,"PADD 3")</f>
        <v>32.4</v>
      </c>
      <c r="G168" s="11">
        <f>IFERROR(F168/F167-1,"")</f>
        <v>-0.6632086651005177</v>
      </c>
      <c r="H168" s="11">
        <f>IFERROR(F168/F156-1,"")</f>
        <v>-0.6251735307727904</v>
      </c>
    </row>
    <row r="169" spans="1:8">
      <c r="A169" s="6" t="s">
        <v>12</v>
      </c>
      <c r="B169" s="6" t="s">
        <v>213</v>
      </c>
      <c r="C169" s="6">
        <v>2026</v>
      </c>
      <c r="D169" s="6">
        <v>9</v>
      </c>
      <c r="E169" s="9" t="s">
        <v>196</v>
      </c>
      <c r="F169" s="10">
        <f>SUMIFS(Data!$K:$K,Data!$A:$A,2026,Data!$B:$B,9,Data!$G:$G,"CDU",Data!$F:$F,"PADD 3")</f>
        <v>184.35</v>
      </c>
      <c r="G169" s="11">
        <f>IFERROR(F169/F168-1,"")</f>
        <v>4.689814814814815</v>
      </c>
      <c r="H169" s="11">
        <f>IFERROR(F169/F157-1,"")</f>
        <v>-0.7417180965457335</v>
      </c>
    </row>
    <row r="170" spans="1:8">
      <c r="A170" s="6" t="s">
        <v>12</v>
      </c>
      <c r="B170" s="6" t="s">
        <v>213</v>
      </c>
      <c r="C170" s="6">
        <v>2026</v>
      </c>
      <c r="D170" s="6">
        <v>10</v>
      </c>
      <c r="E170" s="9" t="s">
        <v>197</v>
      </c>
      <c r="F170" s="10">
        <f>SUMIFS(Data!$K:$K,Data!$A:$A,2026,Data!$B:$B,10,Data!$G:$G,"CDU",Data!$F:$F,"PADD 3")</f>
        <v>295.668</v>
      </c>
      <c r="G170" s="11">
        <f>IFERROR(F170/F169-1,"")</f>
        <v>0.6038405207485762</v>
      </c>
      <c r="H170" s="11">
        <f>IFERROR(F170/F158-1,"")</f>
        <v>-0.7353550090626328</v>
      </c>
    </row>
    <row r="171" spans="1:8">
      <c r="A171" s="6" t="s">
        <v>12</v>
      </c>
      <c r="B171" s="6" t="s">
        <v>213</v>
      </c>
      <c r="C171" s="6">
        <v>2026</v>
      </c>
      <c r="D171" s="6">
        <v>11</v>
      </c>
      <c r="E171" s="9" t="s">
        <v>198</v>
      </c>
      <c r="F171" s="10">
        <f>SUMIFS(Data!$K:$K,Data!$A:$A,2026,Data!$B:$B,11,Data!$G:$G,"CDU",Data!$F:$F,"PADD 3")</f>
        <v>52.3</v>
      </c>
      <c r="G171" s="11">
        <f>IFERROR(F171/F170-1,"")</f>
        <v>-0.823112409865119</v>
      </c>
      <c r="H171" s="11">
        <f>IFERROR(F171/F159-1,"")</f>
        <v>-0.926984880425526</v>
      </c>
    </row>
    <row r="172" spans="1:8">
      <c r="A172" s="6" t="s">
        <v>12</v>
      </c>
      <c r="B172" s="6" t="s">
        <v>213</v>
      </c>
      <c r="C172" s="6">
        <v>2026</v>
      </c>
      <c r="D172" s="6">
        <v>12</v>
      </c>
      <c r="E172" s="9" t="s">
        <v>199</v>
      </c>
      <c r="F172" s="10">
        <f>SUMIFS(Data!$K:$K,Data!$A:$A,2026,Data!$B:$B,12,Data!$G:$G,"CDU",Data!$F:$F,"PADD 3")</f>
        <v>0.0</v>
      </c>
      <c r="G172" s="11">
        <f>IFERROR(F172/F171-1,"")</f>
        <v>-1.0</v>
      </c>
      <c r="H172" s="11">
        <f>IFERROR(F172/F160-1,"")</f>
        <v>-1.0</v>
      </c>
    </row>
    <row r="173" spans="1:8">
      <c r="A173" s="6" t="s">
        <v>12</v>
      </c>
      <c r="B173" s="6" t="s">
        <v>213</v>
      </c>
      <c r="C173" s="6">
        <v>2027</v>
      </c>
      <c r="D173" s="6">
        <v>1</v>
      </c>
      <c r="E173" s="9" t="s">
        <v>200</v>
      </c>
      <c r="F173" s="10">
        <f>SUMIFS(Data!$K:$K,Data!$A:$A,2027,Data!$B:$B,1,Data!$G:$G,"CDU",Data!$F:$F,"PADD 3")</f>
        <v>210.575</v>
      </c>
      <c r="G173" s="11">
        <f>IFERROR(F173/F172-1,"")</f>
        <v/>
      </c>
      <c r="H173" s="11">
        <f>IFERROR(F173/F161-1,"")</f>
        <v>-0.4579933592442923</v>
      </c>
    </row>
    <row r="174" spans="1:8">
      <c r="A174" s="6" t="s">
        <v>12</v>
      </c>
      <c r="B174" s="6" t="s">
        <v>213</v>
      </c>
      <c r="C174" s="6">
        <v>2027</v>
      </c>
      <c r="D174" s="6">
        <v>2</v>
      </c>
      <c r="E174" s="9" t="s">
        <v>201</v>
      </c>
      <c r="F174" s="10">
        <f>SUMIFS(Data!$K:$K,Data!$A:$A,2027,Data!$B:$B,2,Data!$G:$G,"CDU",Data!$F:$F,"PADD 3")</f>
        <v>355.17</v>
      </c>
      <c r="G174" s="11">
        <f>IFERROR(F174/F173-1,"")</f>
        <v>0.686667458150303</v>
      </c>
      <c r="H174" s="11">
        <f>IFERROR(F174/F162-1,"")</f>
        <v>-0.6101325792918127</v>
      </c>
    </row>
    <row r="175" spans="1:8">
      <c r="A175" s="6" t="s">
        <v>12</v>
      </c>
      <c r="B175" s="6" t="s">
        <v>213</v>
      </c>
      <c r="C175" s="6">
        <v>2027</v>
      </c>
      <c r="D175" s="6">
        <v>3</v>
      </c>
      <c r="E175" s="9" t="s">
        <v>202</v>
      </c>
      <c r="F175" s="10">
        <f>SUMIFS(Data!$K:$K,Data!$A:$A,2027,Data!$B:$B,3,Data!$G:$G,"CDU",Data!$F:$F,"PADD 3")</f>
        <v>468.97</v>
      </c>
      <c r="G175" s="11">
        <f>IFERROR(F175/F174-1,"")</f>
        <v>0.3204099445336037</v>
      </c>
      <c r="H175" s="11">
        <f>IFERROR(F175/F163-1,"")</f>
        <v>0.15190100386365923</v>
      </c>
    </row>
    <row r="176" spans="1:8">
      <c r="A176" s="6" t="s">
        <v>12</v>
      </c>
      <c r="B176" s="6" t="s">
        <v>213</v>
      </c>
      <c r="C176" s="6">
        <v>2027</v>
      </c>
      <c r="D176" s="6">
        <v>4</v>
      </c>
      <c r="E176" s="9" t="s">
        <v>203</v>
      </c>
      <c r="F176" s="10">
        <f>SUMIFS(Data!$K:$K,Data!$A:$A,2027,Data!$B:$B,4,Data!$G:$G,"CDU",Data!$F:$F,"PADD 3")</f>
        <v>178.92999999999998</v>
      </c>
      <c r="G176" s="11">
        <f>IFERROR(F176/F175-1,"")</f>
        <v>-0.6184617352922362</v>
      </c>
      <c r="H176" s="11">
        <f>IFERROR(F176/F164-1,"")</f>
        <v>-0.5786809202006169</v>
      </c>
    </row>
    <row r="177" spans="1:8">
      <c r="A177" s="6" t="s">
        <v>12</v>
      </c>
      <c r="B177" s="6" t="s">
        <v>213</v>
      </c>
      <c r="C177" s="6">
        <v>2027</v>
      </c>
      <c r="D177" s="6">
        <v>5</v>
      </c>
      <c r="E177" s="9" t="s">
        <v>204</v>
      </c>
      <c r="F177" s="10">
        <f>SUMIFS(Data!$K:$K,Data!$A:$A,2027,Data!$B:$B,5,Data!$G:$G,"CDU",Data!$F:$F,"PADD 3")</f>
        <v>0.0</v>
      </c>
      <c r="G177" s="11">
        <f>IFERROR(F177/F176-1,"")</f>
        <v>-1.0</v>
      </c>
      <c r="H177" s="11">
        <f>IFERROR(F177/F165-1,"")</f>
        <v>-1.0</v>
      </c>
    </row>
    <row r="178" spans="1:8">
      <c r="A178" s="6" t="s">
        <v>12</v>
      </c>
      <c r="B178" s="6" t="s">
        <v>213</v>
      </c>
      <c r="C178" s="6">
        <v>2027</v>
      </c>
      <c r="D178" s="6">
        <v>6</v>
      </c>
      <c r="E178" s="9" t="s">
        <v>205</v>
      </c>
      <c r="F178" s="10">
        <f>SUMIFS(Data!$K:$K,Data!$A:$A,2027,Data!$B:$B,6,Data!$G:$G,"CDU",Data!$F:$F,"PADD 3")</f>
        <v>96.0</v>
      </c>
      <c r="G178" s="11">
        <f>IFERROR(F178/F177-1,"")</f>
        <v/>
      </c>
      <c r="H178" s="11">
        <f>IFERROR(F178/F166-1,"")</f>
        <v>-0.5774647887323943</v>
      </c>
    </row>
    <row r="179" spans="1:8">
      <c r="A179" s="6" t="s">
        <v>12</v>
      </c>
      <c r="B179" s="6" t="s">
        <v>213</v>
      </c>
      <c r="C179" s="6">
        <v>2027</v>
      </c>
      <c r="D179" s="6">
        <v>7</v>
      </c>
      <c r="E179" s="9" t="s">
        <v>206</v>
      </c>
      <c r="F179" s="10">
        <f>SUMIFS(Data!$K:$K,Data!$A:$A,2027,Data!$B:$B,7,Data!$G:$G,"CDU",Data!$F:$F,"PADD 3")</f>
        <v>96.0</v>
      </c>
      <c r="G179" s="11">
        <f>IFERROR(F179/F178-1,"")</f>
        <v>0.0</v>
      </c>
      <c r="H179" s="11">
        <f>IFERROR(F179/F167-1,"")</f>
        <v>-0.0020997484459782667</v>
      </c>
    </row>
    <row r="180" spans="1:8">
      <c r="A180" s="6" t="s">
        <v>12</v>
      </c>
      <c r="B180" s="6" t="s">
        <v>213</v>
      </c>
      <c r="C180" s="6">
        <v>2027</v>
      </c>
      <c r="D180" s="6">
        <v>8</v>
      </c>
      <c r="E180" s="9" t="s">
        <v>207</v>
      </c>
      <c r="F180" s="10">
        <f>SUMIFS(Data!$K:$K,Data!$A:$A,2027,Data!$B:$B,8,Data!$G:$G,"CDU",Data!$F:$F,"PADD 3")</f>
        <v>27.84</v>
      </c>
      <c r="G180" s="11">
        <f>IFERROR(F180/F179-1,"")</f>
        <v>-0.71</v>
      </c>
      <c r="H180" s="11">
        <f>IFERROR(F180/F168-1,"")</f>
        <v>-0.14074074074074072</v>
      </c>
    </row>
    <row r="181" spans="1:8">
      <c r="A181" s="6" t="s">
        <v>12</v>
      </c>
      <c r="B181" s="6" t="s">
        <v>213</v>
      </c>
      <c r="C181" s="6">
        <v>2027</v>
      </c>
      <c r="D181" s="6">
        <v>9</v>
      </c>
      <c r="E181" s="9" t="s">
        <v>208</v>
      </c>
      <c r="F181" s="10">
        <f>SUMIFS(Data!$K:$K,Data!$A:$A,2027,Data!$B:$B,9,Data!$G:$G,"CDU",Data!$F:$F,"PADD 3")</f>
        <v>583.89</v>
      </c>
      <c r="G181" s="11">
        <f>IFERROR(F181/F180-1,"")</f>
        <v>19.973060344827587</v>
      </c>
      <c r="H181" s="11">
        <f>IFERROR(F181/F169-1,"")</f>
        <v>2.1672904800650934</v>
      </c>
    </row>
    <row r="182" spans="1:8">
      <c r="A182" s="6" t="s">
        <v>12</v>
      </c>
      <c r="B182" s="6" t="s">
        <v>213</v>
      </c>
      <c r="C182" s="6">
        <v>2027</v>
      </c>
      <c r="D182" s="6">
        <v>10</v>
      </c>
      <c r="E182" s="9" t="s">
        <v>209</v>
      </c>
      <c r="F182" s="10">
        <f>SUMIFS(Data!$K:$K,Data!$A:$A,2027,Data!$B:$B,10,Data!$G:$G,"CDU",Data!$F:$F,"PADD 3")</f>
        <v>865.76</v>
      </c>
      <c r="G182" s="11">
        <f>IFERROR(F182/F181-1,"")</f>
        <v>0.4827450375926974</v>
      </c>
      <c r="H182" s="11">
        <f>IFERROR(F182/F170-1,"")</f>
        <v>1.9281491402519042</v>
      </c>
    </row>
    <row r="183" spans="1:8">
      <c r="A183" s="6" t="s">
        <v>12</v>
      </c>
      <c r="B183" s="6" t="s">
        <v>213</v>
      </c>
      <c r="C183" s="6">
        <v>2027</v>
      </c>
      <c r="D183" s="6">
        <v>11</v>
      </c>
      <c r="E183" s="9" t="s">
        <v>210</v>
      </c>
      <c r="F183" s="10">
        <f>SUMIFS(Data!$K:$K,Data!$A:$A,2027,Data!$B:$B,11,Data!$G:$G,"CDU",Data!$F:$F,"PADD 3")</f>
        <v>250.90000000000003</v>
      </c>
      <c r="G183" s="11">
        <f>IFERROR(F183/F182-1,"")</f>
        <v>-0.7101968212899649</v>
      </c>
      <c r="H183" s="11">
        <f>IFERROR(F183/F171-1,"")</f>
        <v>3.797323135755259</v>
      </c>
    </row>
    <row r="184" spans="1:8">
      <c r="A184" s="6" t="s">
        <v>12</v>
      </c>
      <c r="B184" s="6" t="s">
        <v>213</v>
      </c>
      <c r="C184" s="6">
        <v>2027</v>
      </c>
      <c r="D184" s="6">
        <v>12</v>
      </c>
      <c r="E184" s="9" t="s">
        <v>211</v>
      </c>
      <c r="F184" s="10">
        <f>SUMIFS(Data!$K:$K,Data!$A:$A,2027,Data!$B:$B,12,Data!$G:$G,"CDU",Data!$F:$F,"PADD 3")</f>
        <v>0.0</v>
      </c>
      <c r="G184" s="11">
        <f>IFERROR(F184/F183-1,"")</f>
        <v>-1.0</v>
      </c>
      <c r="H184" s="11">
        <f>IFERROR(F184/F172-1,"")</f>
        <v/>
      </c>
    </row>
    <row r="185" spans="1:8">
      <c r="A185" s="6" t="s">
        <v>12</v>
      </c>
      <c r="B185" s="6" t="s">
        <v>214</v>
      </c>
      <c r="C185" s="6">
        <v>2023</v>
      </c>
      <c r="D185" s="6">
        <v>1</v>
      </c>
      <c r="E185" s="9" t="s">
        <v>152</v>
      </c>
      <c r="F185" s="10">
        <f>SUMIFS(Data!$K:$K,Data!$A:$A,2023,Data!$B:$B,1,Data!$G:$G,"CDU",Data!$F:$F,"PADD 4")</f>
        <v>216.565</v>
      </c>
    </row>
    <row r="186" spans="1:8">
      <c r="A186" s="6" t="s">
        <v>12</v>
      </c>
      <c r="B186" s="6" t="s">
        <v>214</v>
      </c>
      <c r="C186" s="6">
        <v>2023</v>
      </c>
      <c r="D186" s="6">
        <v>2</v>
      </c>
      <c r="E186" s="9" t="s">
        <v>153</v>
      </c>
      <c r="F186" s="10">
        <f>SUMIFS(Data!$K:$K,Data!$A:$A,2023,Data!$B:$B,2,Data!$G:$G,"CDU",Data!$F:$F,"PADD 4")</f>
        <v>158.06</v>
      </c>
      <c r="G186" s="11">
        <f>IFERROR(F186/F185-1,"")</f>
        <v>-0.27014983954009186</v>
      </c>
    </row>
    <row r="187" spans="1:8">
      <c r="A187" s="6" t="s">
        <v>12</v>
      </c>
      <c r="B187" s="6" t="s">
        <v>214</v>
      </c>
      <c r="C187" s="6">
        <v>2023</v>
      </c>
      <c r="D187" s="6">
        <v>3</v>
      </c>
      <c r="E187" s="9" t="s">
        <v>154</v>
      </c>
      <c r="F187" s="10">
        <f>SUMIFS(Data!$K:$K,Data!$A:$A,2023,Data!$B:$B,3,Data!$G:$G,"CDU",Data!$F:$F,"PADD 4")</f>
        <v>129.222</v>
      </c>
      <c r="G187" s="11">
        <f>IFERROR(F187/F186-1,"")</f>
        <v>-0.18244970264456528</v>
      </c>
    </row>
    <row r="188" spans="1:8">
      <c r="A188" s="6" t="s">
        <v>12</v>
      </c>
      <c r="B188" s="6" t="s">
        <v>214</v>
      </c>
      <c r="C188" s="6">
        <v>2023</v>
      </c>
      <c r="D188" s="6">
        <v>4</v>
      </c>
      <c r="E188" s="9" t="s">
        <v>155</v>
      </c>
      <c r="F188" s="10">
        <f>SUMIFS(Data!$K:$K,Data!$A:$A,2023,Data!$B:$B,4,Data!$G:$G,"CDU",Data!$F:$F,"PADD 4")</f>
        <v>107.46</v>
      </c>
      <c r="G188" s="11">
        <f>IFERROR(F188/F187-1,"")</f>
        <v>-0.1684078562473883</v>
      </c>
    </row>
    <row r="189" spans="1:8">
      <c r="A189" s="6" t="s">
        <v>12</v>
      </c>
      <c r="B189" s="6" t="s">
        <v>214</v>
      </c>
      <c r="C189" s="6">
        <v>2023</v>
      </c>
      <c r="D189" s="6">
        <v>5</v>
      </c>
      <c r="E189" s="9" t="s">
        <v>156</v>
      </c>
      <c r="F189" s="10">
        <f>SUMIFS(Data!$K:$K,Data!$A:$A,2023,Data!$B:$B,5,Data!$G:$G,"CDU",Data!$F:$F,"PADD 4")</f>
        <v>72.343</v>
      </c>
      <c r="G189" s="11">
        <f>IFERROR(F189/F188-1,"")</f>
        <v>-0.32679136422855004</v>
      </c>
    </row>
    <row r="190" spans="1:8">
      <c r="A190" s="6" t="s">
        <v>12</v>
      </c>
      <c r="B190" s="6" t="s">
        <v>214</v>
      </c>
      <c r="C190" s="6">
        <v>2023</v>
      </c>
      <c r="D190" s="6">
        <v>6</v>
      </c>
      <c r="E190" s="9" t="s">
        <v>157</v>
      </c>
      <c r="F190" s="10">
        <f>SUMIFS(Data!$K:$K,Data!$A:$A,2023,Data!$B:$B,6,Data!$G:$G,"CDU",Data!$F:$F,"PADD 4")</f>
        <v>24.2</v>
      </c>
      <c r="G190" s="11">
        <f>IFERROR(F190/F189-1,"")</f>
        <v>-0.6654824931230389</v>
      </c>
    </row>
    <row r="191" spans="1:8">
      <c r="A191" s="6" t="s">
        <v>12</v>
      </c>
      <c r="B191" s="6" t="s">
        <v>214</v>
      </c>
      <c r="C191" s="6">
        <v>2023</v>
      </c>
      <c r="D191" s="6">
        <v>7</v>
      </c>
      <c r="E191" s="9" t="s">
        <v>158</v>
      </c>
      <c r="F191" s="10">
        <f>SUMIFS(Data!$K:$K,Data!$A:$A,2023,Data!$B:$B,7,Data!$G:$G,"CDU",Data!$F:$F,"PADD 4")</f>
        <v>18.6</v>
      </c>
      <c r="G191" s="11">
        <f>IFERROR(F191/F190-1,"")</f>
        <v>-0.23140495867768585</v>
      </c>
    </row>
    <row r="192" spans="1:8">
      <c r="A192" s="6" t="s">
        <v>12</v>
      </c>
      <c r="B192" s="6" t="s">
        <v>214</v>
      </c>
      <c r="C192" s="6">
        <v>2023</v>
      </c>
      <c r="D192" s="6">
        <v>8</v>
      </c>
      <c r="E192" s="9" t="s">
        <v>159</v>
      </c>
      <c r="F192" s="10">
        <f>SUMIFS(Data!$K:$K,Data!$A:$A,2023,Data!$B:$B,8,Data!$G:$G,"CDU",Data!$F:$F,"PADD 4")</f>
        <v>25.0</v>
      </c>
      <c r="G192" s="11">
        <f>IFERROR(F192/F191-1,"")</f>
        <v>0.34408602150537626</v>
      </c>
    </row>
    <row r="193" spans="1:8">
      <c r="A193" s="6" t="s">
        <v>12</v>
      </c>
      <c r="B193" s="6" t="s">
        <v>214</v>
      </c>
      <c r="C193" s="6">
        <v>2023</v>
      </c>
      <c r="D193" s="6">
        <v>9</v>
      </c>
      <c r="E193" s="9" t="s">
        <v>160</v>
      </c>
      <c r="F193" s="10">
        <f>SUMIFS(Data!$K:$K,Data!$A:$A,2023,Data!$B:$B,9,Data!$G:$G,"CDU",Data!$F:$F,"PADD 4")</f>
        <v>0.0</v>
      </c>
      <c r="G193" s="11">
        <f>IFERROR(F193/F192-1,"")</f>
        <v>-1.0</v>
      </c>
    </row>
    <row r="194" spans="1:8">
      <c r="A194" s="6" t="s">
        <v>12</v>
      </c>
      <c r="B194" s="6" t="s">
        <v>214</v>
      </c>
      <c r="C194" s="6">
        <v>2023</v>
      </c>
      <c r="D194" s="6">
        <v>10</v>
      </c>
      <c r="E194" s="9" t="s">
        <v>161</v>
      </c>
      <c r="F194" s="10">
        <f>SUMIFS(Data!$K:$K,Data!$A:$A,2023,Data!$B:$B,10,Data!$G:$G,"CDU",Data!$F:$F,"PADD 4")</f>
        <v>0.986</v>
      </c>
      <c r="G194" s="11">
        <f>IFERROR(F194/F193-1,"")</f>
        <v/>
      </c>
    </row>
    <row r="195" spans="1:8">
      <c r="A195" s="6" t="s">
        <v>12</v>
      </c>
      <c r="B195" s="6" t="s">
        <v>214</v>
      </c>
      <c r="C195" s="6">
        <v>2023</v>
      </c>
      <c r="D195" s="6">
        <v>11</v>
      </c>
      <c r="E195" s="9" t="s">
        <v>162</v>
      </c>
      <c r="F195" s="10">
        <f>SUMIFS(Data!$K:$K,Data!$A:$A,2023,Data!$B:$B,11,Data!$G:$G,"CDU",Data!$F:$F,"PADD 4")</f>
        <v>0.0</v>
      </c>
      <c r="G195" s="11">
        <f>IFERROR(F195/F194-1,"")</f>
        <v>-1.0</v>
      </c>
    </row>
    <row r="196" spans="1:8">
      <c r="A196" s="6" t="s">
        <v>12</v>
      </c>
      <c r="B196" s="6" t="s">
        <v>214</v>
      </c>
      <c r="C196" s="6">
        <v>2023</v>
      </c>
      <c r="D196" s="6">
        <v>12</v>
      </c>
      <c r="E196" s="9" t="s">
        <v>163</v>
      </c>
      <c r="F196" s="10">
        <f>SUMIFS(Data!$K:$K,Data!$A:$A,2023,Data!$B:$B,12,Data!$G:$G,"CDU",Data!$F:$F,"PADD 4")</f>
        <v>53.11</v>
      </c>
      <c r="G196" s="11">
        <f>IFERROR(F196/F195-1,"")</f>
        <v/>
      </c>
    </row>
    <row r="197" spans="1:8">
      <c r="A197" s="6" t="s">
        <v>12</v>
      </c>
      <c r="B197" s="6" t="s">
        <v>214</v>
      </c>
      <c r="C197" s="6">
        <v>2024</v>
      </c>
      <c r="D197" s="6">
        <v>1</v>
      </c>
      <c r="E197" s="9" t="s">
        <v>164</v>
      </c>
      <c r="F197" s="10">
        <f>SUMIFS(Data!$K:$K,Data!$A:$A,2024,Data!$B:$B,1,Data!$G:$G,"CDU",Data!$F:$F,"PADD 4")</f>
        <v>51.544</v>
      </c>
      <c r="G197" s="11">
        <f>IFERROR(F197/F196-1,"")</f>
        <v>-0.02948597250988516</v>
      </c>
      <c r="H197" s="11">
        <f>IFERROR(F197/F185-1,"")</f>
        <v>-0.7619929351464918</v>
      </c>
    </row>
    <row r="198" spans="1:8">
      <c r="A198" s="6" t="s">
        <v>12</v>
      </c>
      <c r="B198" s="6" t="s">
        <v>214</v>
      </c>
      <c r="C198" s="6">
        <v>2024</v>
      </c>
      <c r="D198" s="6">
        <v>2</v>
      </c>
      <c r="E198" s="9" t="s">
        <v>165</v>
      </c>
      <c r="F198" s="10">
        <f>SUMIFS(Data!$K:$K,Data!$A:$A,2024,Data!$B:$B,2,Data!$G:$G,"CDU",Data!$F:$F,"PADD 4")</f>
        <v>125.194</v>
      </c>
      <c r="G198" s="11">
        <f>IFERROR(F198/F197-1,"")</f>
        <v>1.4288762998603137</v>
      </c>
      <c r="H198" s="11">
        <f>IFERROR(F198/F186-1,"")</f>
        <v>-0.2079336960647855</v>
      </c>
    </row>
    <row r="199" spans="1:8">
      <c r="A199" s="6" t="s">
        <v>12</v>
      </c>
      <c r="B199" s="6" t="s">
        <v>214</v>
      </c>
      <c r="C199" s="6">
        <v>2024</v>
      </c>
      <c r="D199" s="6">
        <v>3</v>
      </c>
      <c r="E199" s="9" t="s">
        <v>166</v>
      </c>
      <c r="F199" s="10">
        <f>SUMIFS(Data!$K:$K,Data!$A:$A,2024,Data!$B:$B,3,Data!$G:$G,"CDU",Data!$F:$F,"PADD 4")</f>
        <v>112.902</v>
      </c>
      <c r="G199" s="11">
        <f>IFERROR(F199/F198-1,"")</f>
        <v>-0.09818361902327588</v>
      </c>
      <c r="H199" s="11">
        <f>IFERROR(F199/F187-1,"")</f>
        <v>-0.1262942842550031</v>
      </c>
    </row>
    <row r="200" spans="1:8">
      <c r="A200" s="6" t="s">
        <v>12</v>
      </c>
      <c r="B200" s="6" t="s">
        <v>214</v>
      </c>
      <c r="C200" s="6">
        <v>2024</v>
      </c>
      <c r="D200" s="6">
        <v>4</v>
      </c>
      <c r="E200" s="9" t="s">
        <v>167</v>
      </c>
      <c r="F200" s="10">
        <f>SUMIFS(Data!$K:$K,Data!$A:$A,2024,Data!$B:$B,4,Data!$G:$G,"CDU",Data!$F:$F,"PADD 4")</f>
        <v>98.293</v>
      </c>
      <c r="G200" s="11">
        <f>IFERROR(F200/F199-1,"")</f>
        <v>-0.1293954048643956</v>
      </c>
      <c r="H200" s="11">
        <f>IFERROR(F200/F188-1,"")</f>
        <v>-0.08530616043178851</v>
      </c>
    </row>
    <row r="201" spans="1:8">
      <c r="A201" s="6" t="s">
        <v>12</v>
      </c>
      <c r="B201" s="6" t="s">
        <v>214</v>
      </c>
      <c r="C201" s="6">
        <v>2024</v>
      </c>
      <c r="D201" s="6">
        <v>5</v>
      </c>
      <c r="E201" s="9" t="s">
        <v>168</v>
      </c>
      <c r="F201" s="10">
        <f>SUMIFS(Data!$K:$K,Data!$A:$A,2024,Data!$B:$B,5,Data!$G:$G,"CDU",Data!$F:$F,"PADD 4")</f>
        <v>19.886</v>
      </c>
      <c r="G201" s="11">
        <f>IFERROR(F201/F200-1,"")</f>
        <v>-0.7976865087035699</v>
      </c>
      <c r="H201" s="11">
        <f>IFERROR(F201/F189-1,"")</f>
        <v>-0.7251150767869732</v>
      </c>
    </row>
    <row r="202" spans="1:8">
      <c r="A202" s="6" t="s">
        <v>12</v>
      </c>
      <c r="B202" s="6" t="s">
        <v>214</v>
      </c>
      <c r="C202" s="6">
        <v>2024</v>
      </c>
      <c r="D202" s="6">
        <v>6</v>
      </c>
      <c r="E202" s="9" t="s">
        <v>169</v>
      </c>
      <c r="F202" s="10">
        <f>SUMIFS(Data!$K:$K,Data!$A:$A,2024,Data!$B:$B,6,Data!$G:$G,"CDU",Data!$F:$F,"PADD 4")</f>
        <v>0.0</v>
      </c>
      <c r="G202" s="11">
        <f>IFERROR(F202/F201-1,"")</f>
        <v>-1.0</v>
      </c>
      <c r="H202" s="11">
        <f>IFERROR(F202/F190-1,"")</f>
        <v>-1.0</v>
      </c>
    </row>
    <row r="203" spans="1:8">
      <c r="A203" s="6" t="s">
        <v>12</v>
      </c>
      <c r="B203" s="6" t="s">
        <v>214</v>
      </c>
      <c r="C203" s="6">
        <v>2024</v>
      </c>
      <c r="D203" s="6">
        <v>7</v>
      </c>
      <c r="E203" s="9" t="s">
        <v>170</v>
      </c>
      <c r="F203" s="10">
        <f>SUMIFS(Data!$K:$K,Data!$A:$A,2024,Data!$B:$B,7,Data!$G:$G,"CDU",Data!$F:$F,"PADD 4")</f>
        <v>3.99</v>
      </c>
      <c r="G203" s="11">
        <f>IFERROR(F203/F202-1,"")</f>
        <v/>
      </c>
      <c r="H203" s="11">
        <f>IFERROR(F203/F191-1,"")</f>
        <v>-0.785483870967742</v>
      </c>
    </row>
    <row r="204" spans="1:8">
      <c r="A204" s="6" t="s">
        <v>12</v>
      </c>
      <c r="B204" s="6" t="s">
        <v>214</v>
      </c>
      <c r="C204" s="6">
        <v>2024</v>
      </c>
      <c r="D204" s="6">
        <v>8</v>
      </c>
      <c r="E204" s="9" t="s">
        <v>171</v>
      </c>
      <c r="F204" s="10">
        <f>SUMIFS(Data!$K:$K,Data!$A:$A,2024,Data!$B:$B,8,Data!$G:$G,"CDU",Data!$F:$F,"PADD 4")</f>
        <v>0.0</v>
      </c>
      <c r="G204" s="11">
        <f>IFERROR(F204/F203-1,"")</f>
        <v>-1.0</v>
      </c>
      <c r="H204" s="11">
        <f>IFERROR(F204/F192-1,"")</f>
        <v>-1.0</v>
      </c>
    </row>
    <row r="205" spans="1:8">
      <c r="A205" s="6" t="s">
        <v>12</v>
      </c>
      <c r="B205" s="6" t="s">
        <v>214</v>
      </c>
      <c r="C205" s="6">
        <v>2024</v>
      </c>
      <c r="D205" s="6">
        <v>9</v>
      </c>
      <c r="E205" s="9" t="s">
        <v>172</v>
      </c>
      <c r="F205" s="10">
        <f>SUMIFS(Data!$K:$K,Data!$A:$A,2024,Data!$B:$B,9,Data!$G:$G,"CDU",Data!$F:$F,"PADD 4")</f>
        <v>58.188</v>
      </c>
      <c r="G205" s="11">
        <f>IFERROR(F205/F204-1,"")</f>
        <v/>
      </c>
      <c r="H205" s="11">
        <f>IFERROR(F205/F193-1,"")</f>
        <v/>
      </c>
    </row>
    <row r="206" spans="1:8">
      <c r="A206" s="6" t="s">
        <v>12</v>
      </c>
      <c r="B206" s="6" t="s">
        <v>214</v>
      </c>
      <c r="C206" s="6">
        <v>2024</v>
      </c>
      <c r="D206" s="6">
        <v>10</v>
      </c>
      <c r="E206" s="9" t="s">
        <v>173</v>
      </c>
      <c r="F206" s="10">
        <f>SUMIFS(Data!$K:$K,Data!$A:$A,2024,Data!$B:$B,10,Data!$G:$G,"CDU",Data!$F:$F,"PADD 4")</f>
        <v>22.12</v>
      </c>
      <c r="G206" s="11">
        <f>IFERROR(F206/F205-1,"")</f>
        <v>-0.6198528906303705</v>
      </c>
      <c r="H206" s="11">
        <f>IFERROR(F206/F194-1,"")</f>
        <v>21.434077079107507</v>
      </c>
    </row>
    <row r="207" spans="1:8">
      <c r="A207" s="6" t="s">
        <v>12</v>
      </c>
      <c r="B207" s="6" t="s">
        <v>214</v>
      </c>
      <c r="C207" s="6">
        <v>2024</v>
      </c>
      <c r="D207" s="6">
        <v>11</v>
      </c>
      <c r="E207" s="9" t="s">
        <v>174</v>
      </c>
      <c r="F207" s="10">
        <f>SUMIFS(Data!$K:$K,Data!$A:$A,2024,Data!$B:$B,11,Data!$G:$G,"CDU",Data!$F:$F,"PADD 4")</f>
        <v>0.0</v>
      </c>
      <c r="G207" s="11">
        <f>IFERROR(F207/F206-1,"")</f>
        <v>-1.0</v>
      </c>
      <c r="H207" s="11">
        <f>IFERROR(F207/F195-1,"")</f>
        <v/>
      </c>
    </row>
    <row r="208" spans="1:8">
      <c r="A208" s="6" t="s">
        <v>12</v>
      </c>
      <c r="B208" s="6" t="s">
        <v>214</v>
      </c>
      <c r="C208" s="6">
        <v>2024</v>
      </c>
      <c r="D208" s="6">
        <v>12</v>
      </c>
      <c r="E208" s="9" t="s">
        <v>175</v>
      </c>
      <c r="F208" s="10">
        <f>SUMIFS(Data!$K:$K,Data!$A:$A,2024,Data!$B:$B,12,Data!$G:$G,"CDU",Data!$F:$F,"PADD 4")</f>
        <v>6.24</v>
      </c>
      <c r="G208" s="11">
        <f>IFERROR(F208/F207-1,"")</f>
        <v/>
      </c>
      <c r="H208" s="11">
        <f>IFERROR(F208/F196-1,"")</f>
        <v>-0.8825080022594615</v>
      </c>
    </row>
    <row r="209" spans="1:8">
      <c r="A209" s="6" t="s">
        <v>12</v>
      </c>
      <c r="B209" s="6" t="s">
        <v>214</v>
      </c>
      <c r="C209" s="6">
        <v>2025</v>
      </c>
      <c r="D209" s="6">
        <v>1</v>
      </c>
      <c r="E209" s="9" t="s">
        <v>176</v>
      </c>
      <c r="F209" s="10">
        <f>SUMIFS(Data!$K:$K,Data!$A:$A,2025,Data!$B:$B,1,Data!$G:$G,"CDU",Data!$F:$F,"PADD 4")</f>
        <v>40.54</v>
      </c>
      <c r="G209" s="11">
        <f>IFERROR(F209/F208-1,"")</f>
        <v>5.496794871794871</v>
      </c>
      <c r="H209" s="11">
        <f>IFERROR(F209/F197-1,"")</f>
        <v>-0.21348750582026998</v>
      </c>
    </row>
    <row r="210" spans="1:8">
      <c r="A210" s="6" t="s">
        <v>12</v>
      </c>
      <c r="B210" s="6" t="s">
        <v>214</v>
      </c>
      <c r="C210" s="6">
        <v>2025</v>
      </c>
      <c r="D210" s="6">
        <v>2</v>
      </c>
      <c r="E210" s="9" t="s">
        <v>177</v>
      </c>
      <c r="F210" s="10">
        <f>SUMIFS(Data!$K:$K,Data!$A:$A,2025,Data!$B:$B,2,Data!$G:$G,"CDU",Data!$F:$F,"PADD 4")</f>
        <v>14.93</v>
      </c>
      <c r="G210" s="11">
        <f>IFERROR(F210/F209-1,"")</f>
        <v>-0.6317217562900839</v>
      </c>
      <c r="H210" s="11">
        <f>IFERROR(F210/F198-1,"")</f>
        <v>-0.880745083630206</v>
      </c>
    </row>
    <row r="211" spans="1:8">
      <c r="A211" s="6" t="s">
        <v>12</v>
      </c>
      <c r="B211" s="6" t="s">
        <v>214</v>
      </c>
      <c r="C211" s="6">
        <v>2025</v>
      </c>
      <c r="D211" s="6">
        <v>3</v>
      </c>
      <c r="E211" s="9" t="s">
        <v>178</v>
      </c>
      <c r="F211" s="10">
        <f>SUMIFS(Data!$K:$K,Data!$A:$A,2025,Data!$B:$B,3,Data!$G:$G,"CDU",Data!$F:$F,"PADD 4")</f>
        <v>37.71</v>
      </c>
      <c r="G211" s="11">
        <f>IFERROR(F211/F210-1,"")</f>
        <v>1.5257870060281316</v>
      </c>
      <c r="H211" s="11">
        <f>IFERROR(F211/F199-1,"")</f>
        <v>-0.6659935165010362</v>
      </c>
    </row>
    <row r="212" spans="1:8">
      <c r="A212" s="6" t="s">
        <v>12</v>
      </c>
      <c r="B212" s="6" t="s">
        <v>214</v>
      </c>
      <c r="C212" s="6">
        <v>2025</v>
      </c>
      <c r="D212" s="6">
        <v>4</v>
      </c>
      <c r="E212" s="9" t="s">
        <v>179</v>
      </c>
      <c r="F212" s="10">
        <f>SUMIFS(Data!$K:$K,Data!$A:$A,2025,Data!$B:$B,4,Data!$G:$G,"CDU",Data!$F:$F,"PADD 4")</f>
        <v>22.64</v>
      </c>
      <c r="G212" s="11">
        <f>IFERROR(F212/F211-1,"")</f>
        <v>-0.3996287456907982</v>
      </c>
      <c r="H212" s="11">
        <f>IFERROR(F212/F200-1,"")</f>
        <v>-0.7696682368022139</v>
      </c>
    </row>
    <row r="213" spans="1:8">
      <c r="A213" s="6" t="s">
        <v>12</v>
      </c>
      <c r="B213" s="6" t="s">
        <v>214</v>
      </c>
      <c r="C213" s="6">
        <v>2025</v>
      </c>
      <c r="D213" s="6">
        <v>5</v>
      </c>
      <c r="E213" s="9" t="s">
        <v>180</v>
      </c>
      <c r="F213" s="10">
        <f>SUMIFS(Data!$K:$K,Data!$A:$A,2025,Data!$B:$B,5,Data!$G:$G,"CDU",Data!$F:$F,"PADD 4")</f>
        <v>6.694000000000001</v>
      </c>
      <c r="G213" s="11">
        <f>IFERROR(F213/F212-1,"")</f>
        <v>-0.7043286219081272</v>
      </c>
      <c r="H213" s="11">
        <f>IFERROR(F213/F201-1,"")</f>
        <v>-0.6633812732575681</v>
      </c>
    </row>
    <row r="214" spans="1:8">
      <c r="A214" s="6" t="s">
        <v>12</v>
      </c>
      <c r="B214" s="6" t="s">
        <v>214</v>
      </c>
      <c r="C214" s="6">
        <v>2025</v>
      </c>
      <c r="D214" s="6">
        <v>6</v>
      </c>
      <c r="E214" s="9" t="s">
        <v>181</v>
      </c>
      <c r="F214" s="10">
        <f>SUMIFS(Data!$K:$K,Data!$A:$A,2025,Data!$B:$B,6,Data!$G:$G,"CDU",Data!$F:$F,"PADD 4")</f>
        <v>1.95</v>
      </c>
      <c r="G214" s="11">
        <f>IFERROR(F214/F213-1,"")</f>
        <v>-0.7086943531520765</v>
      </c>
      <c r="H214" s="11">
        <f>IFERROR(F214/F202-1,"")</f>
        <v/>
      </c>
    </row>
    <row r="215" spans="1:8">
      <c r="A215" s="6" t="s">
        <v>12</v>
      </c>
      <c r="B215" s="6" t="s">
        <v>214</v>
      </c>
      <c r="C215" s="6">
        <v>2025</v>
      </c>
      <c r="D215" s="6">
        <v>7</v>
      </c>
      <c r="E215" s="9" t="s">
        <v>182</v>
      </c>
      <c r="F215" s="10">
        <f>SUMIFS(Data!$K:$K,Data!$A:$A,2025,Data!$B:$B,7,Data!$G:$G,"CDU",Data!$F:$F,"PADD 4")</f>
        <v>64.611</v>
      </c>
      <c r="G215" s="11">
        <f>IFERROR(F215/F214-1,"")</f>
        <v>32.13384615384616</v>
      </c>
      <c r="H215" s="11">
        <f>IFERROR(F215/F203-1,"")</f>
        <v>15.193233082706769</v>
      </c>
    </row>
    <row r="216" spans="1:8">
      <c r="A216" s="6" t="s">
        <v>12</v>
      </c>
      <c r="B216" s="6" t="s">
        <v>214</v>
      </c>
      <c r="C216" s="6">
        <v>2025</v>
      </c>
      <c r="D216" s="6">
        <v>8</v>
      </c>
      <c r="E216" s="9" t="s">
        <v>183</v>
      </c>
      <c r="F216" s="10">
        <f>SUMIFS(Data!$K:$K,Data!$A:$A,2025,Data!$B:$B,8,Data!$G:$G,"CDU",Data!$F:$F,"PADD 4")</f>
        <v>0.0</v>
      </c>
      <c r="G216" s="11">
        <f>IFERROR(F216/F215-1,"")</f>
        <v>-1.0</v>
      </c>
      <c r="H216" s="11">
        <f>IFERROR(F216/F204-1,"")</f>
        <v/>
      </c>
    </row>
    <row r="217" spans="1:8">
      <c r="A217" s="6" t="s">
        <v>12</v>
      </c>
      <c r="B217" s="6" t="s">
        <v>214</v>
      </c>
      <c r="C217" s="6">
        <v>2025</v>
      </c>
      <c r="D217" s="6">
        <v>9</v>
      </c>
      <c r="E217" s="9" t="s">
        <v>184</v>
      </c>
      <c r="F217" s="10">
        <f>SUMIFS(Data!$K:$K,Data!$A:$A,2025,Data!$B:$B,9,Data!$G:$G,"CDU",Data!$F:$F,"PADD 4")</f>
        <v>0.0</v>
      </c>
      <c r="G217" s="11">
        <f>IFERROR(F217/F216-1,"")</f>
        <v/>
      </c>
      <c r="H217" s="11">
        <f>IFERROR(F217/F205-1,"")</f>
        <v>-1.0</v>
      </c>
    </row>
    <row r="218" spans="1:8">
      <c r="A218" s="6" t="s">
        <v>12</v>
      </c>
      <c r="B218" s="6" t="s">
        <v>214</v>
      </c>
      <c r="C218" s="6">
        <v>2025</v>
      </c>
      <c r="D218" s="6">
        <v>10</v>
      </c>
      <c r="E218" s="9" t="s">
        <v>185</v>
      </c>
      <c r="F218" s="10">
        <f>SUMIFS(Data!$K:$K,Data!$A:$A,2025,Data!$B:$B,10,Data!$G:$G,"CDU",Data!$F:$F,"PADD 4")</f>
        <v>5.69</v>
      </c>
      <c r="G218" s="11">
        <f>IFERROR(F218/F217-1,"")</f>
        <v/>
      </c>
      <c r="H218" s="11">
        <f>IFERROR(F218/F206-1,"")</f>
        <v>-0.7427667269439422</v>
      </c>
    </row>
    <row r="219" spans="1:8">
      <c r="A219" s="6" t="s">
        <v>12</v>
      </c>
      <c r="B219" s="6" t="s">
        <v>214</v>
      </c>
      <c r="C219" s="6">
        <v>2025</v>
      </c>
      <c r="D219" s="6">
        <v>11</v>
      </c>
      <c r="E219" s="9" t="s">
        <v>186</v>
      </c>
      <c r="F219" s="10">
        <f>SUMIFS(Data!$K:$K,Data!$A:$A,2025,Data!$B:$B,11,Data!$G:$G,"CDU",Data!$F:$F,"PADD 4")</f>
        <v>3.45</v>
      </c>
      <c r="G219" s="11">
        <f>IFERROR(F219/F218-1,"")</f>
        <v>-0.39367311072056244</v>
      </c>
      <c r="H219" s="11">
        <f>IFERROR(F219/F207-1,"")</f>
        <v/>
      </c>
    </row>
    <row r="220" spans="1:8">
      <c r="A220" s="6" t="s">
        <v>12</v>
      </c>
      <c r="B220" s="6" t="s">
        <v>214</v>
      </c>
      <c r="C220" s="6">
        <v>2025</v>
      </c>
      <c r="D220" s="6">
        <v>12</v>
      </c>
      <c r="E220" s="9" t="s">
        <v>187</v>
      </c>
      <c r="F220" s="10">
        <f>SUMIFS(Data!$K:$K,Data!$A:$A,2025,Data!$B:$B,12,Data!$G:$G,"CDU",Data!$F:$F,"PADD 4")</f>
        <v>3.456</v>
      </c>
      <c r="G220" s="11">
        <f>IFERROR(F220/F219-1,"")</f>
        <v>0.0017391304347824654</v>
      </c>
      <c r="H220" s="11">
        <f>IFERROR(F220/F208-1,"")</f>
        <v>-0.44615384615384623</v>
      </c>
    </row>
    <row r="221" spans="1:8">
      <c r="A221" s="6" t="s">
        <v>12</v>
      </c>
      <c r="B221" s="6" t="s">
        <v>214</v>
      </c>
      <c r="C221" s="6">
        <v>2026</v>
      </c>
      <c r="D221" s="6">
        <v>1</v>
      </c>
      <c r="E221" s="9" t="s">
        <v>188</v>
      </c>
      <c r="F221" s="10">
        <f>SUMIFS(Data!$K:$K,Data!$A:$A,2026,Data!$B:$B,1,Data!$G:$G,"CDU",Data!$F:$F,"PADD 4")</f>
        <v>0.0</v>
      </c>
      <c r="G221" s="11">
        <f>IFERROR(F221/F220-1,"")</f>
        <v>-1.0</v>
      </c>
      <c r="H221" s="11">
        <f>IFERROR(F221/F209-1,"")</f>
        <v>-1.0</v>
      </c>
    </row>
    <row r="222" spans="1:8">
      <c r="A222" s="6" t="s">
        <v>12</v>
      </c>
      <c r="B222" s="6" t="s">
        <v>214</v>
      </c>
      <c r="C222" s="6">
        <v>2026</v>
      </c>
      <c r="D222" s="6">
        <v>2</v>
      </c>
      <c r="E222" s="9" t="s">
        <v>189</v>
      </c>
      <c r="F222" s="10">
        <f>SUMIFS(Data!$K:$K,Data!$A:$A,2026,Data!$B:$B,2,Data!$G:$G,"CDU",Data!$F:$F,"PADD 4")</f>
        <v>8.305</v>
      </c>
      <c r="G222" s="11">
        <f>IFERROR(F222/F221-1,"")</f>
        <v/>
      </c>
      <c r="H222" s="11">
        <f>IFERROR(F222/F210-1,"")</f>
        <v>-0.4437374413931682</v>
      </c>
    </row>
    <row r="223" spans="1:8">
      <c r="A223" s="6" t="s">
        <v>12</v>
      </c>
      <c r="B223" s="6" t="s">
        <v>214</v>
      </c>
      <c r="C223" s="6">
        <v>2026</v>
      </c>
      <c r="D223" s="6">
        <v>3</v>
      </c>
      <c r="E223" s="9" t="s">
        <v>190</v>
      </c>
      <c r="F223" s="10">
        <f>SUMIFS(Data!$K:$K,Data!$A:$A,2026,Data!$B:$B,3,Data!$G:$G,"CDU",Data!$F:$F,"PADD 4")</f>
        <v>19.704</v>
      </c>
      <c r="G223" s="11">
        <f>IFERROR(F223/F222-1,"")</f>
        <v>1.372546658639374</v>
      </c>
      <c r="H223" s="11">
        <f>IFERROR(F223/F211-1,"")</f>
        <v>-0.4774860779634049</v>
      </c>
    </row>
    <row r="224" spans="1:8">
      <c r="A224" s="6" t="s">
        <v>12</v>
      </c>
      <c r="B224" s="6" t="s">
        <v>214</v>
      </c>
      <c r="C224" s="6">
        <v>2026</v>
      </c>
      <c r="D224" s="6">
        <v>4</v>
      </c>
      <c r="E224" s="9" t="s">
        <v>191</v>
      </c>
      <c r="F224" s="10">
        <f>SUMIFS(Data!$K:$K,Data!$A:$A,2026,Data!$B:$B,4,Data!$G:$G,"CDU",Data!$F:$F,"PADD 4")</f>
        <v>92.2</v>
      </c>
      <c r="G224" s="11">
        <f>IFERROR(F224/F223-1,"")</f>
        <v>3.6792529435647587</v>
      </c>
      <c r="H224" s="11">
        <f>IFERROR(F224/F212-1,"")</f>
        <v>3.0724381625441692</v>
      </c>
    </row>
    <row r="225" spans="1:8">
      <c r="A225" s="6" t="s">
        <v>12</v>
      </c>
      <c r="B225" s="6" t="s">
        <v>214</v>
      </c>
      <c r="C225" s="6">
        <v>2026</v>
      </c>
      <c r="D225" s="6">
        <v>5</v>
      </c>
      <c r="E225" s="9" t="s">
        <v>192</v>
      </c>
      <c r="F225" s="10">
        <f>SUMIFS(Data!$K:$K,Data!$A:$A,2026,Data!$B:$B,5,Data!$G:$G,"CDU",Data!$F:$F,"PADD 4")</f>
        <v>34.172</v>
      </c>
      <c r="G225" s="11">
        <f>IFERROR(F225/F224-1,"")</f>
        <v>-0.6293709327548808</v>
      </c>
      <c r="H225" s="11">
        <f>IFERROR(F225/F213-1,"")</f>
        <v>4.104870032865251</v>
      </c>
    </row>
    <row r="226" spans="1:8">
      <c r="A226" s="6" t="s">
        <v>12</v>
      </c>
      <c r="B226" s="6" t="s">
        <v>214</v>
      </c>
      <c r="C226" s="6">
        <v>2026</v>
      </c>
      <c r="D226" s="6">
        <v>6</v>
      </c>
      <c r="E226" s="9" t="s">
        <v>193</v>
      </c>
      <c r="F226" s="10">
        <f>SUMIFS(Data!$K:$K,Data!$A:$A,2026,Data!$B:$B,6,Data!$G:$G,"CDU",Data!$F:$F,"PADD 4")</f>
        <v>0.0</v>
      </c>
      <c r="G226" s="11">
        <f>IFERROR(F226/F225-1,"")</f>
        <v>-1.0</v>
      </c>
      <c r="H226" s="11">
        <f>IFERROR(F226/F214-1,"")</f>
        <v>-1.0</v>
      </c>
    </row>
    <row r="227" spans="1:8">
      <c r="A227" s="6" t="s">
        <v>12</v>
      </c>
      <c r="B227" s="6" t="s">
        <v>214</v>
      </c>
      <c r="C227" s="6">
        <v>2026</v>
      </c>
      <c r="D227" s="6">
        <v>7</v>
      </c>
      <c r="E227" s="9" t="s">
        <v>194</v>
      </c>
      <c r="F227" s="10">
        <f>SUMIFS(Data!$K:$K,Data!$A:$A,2026,Data!$B:$B,7,Data!$G:$G,"CDU",Data!$F:$F,"PADD 4")</f>
        <v>0.0</v>
      </c>
      <c r="G227" s="11">
        <f>IFERROR(F227/F226-1,"")</f>
        <v/>
      </c>
      <c r="H227" s="11">
        <f>IFERROR(F227/F215-1,"")</f>
        <v>-1.0</v>
      </c>
    </row>
    <row r="228" spans="1:8">
      <c r="A228" s="6" t="s">
        <v>12</v>
      </c>
      <c r="B228" s="6" t="s">
        <v>214</v>
      </c>
      <c r="C228" s="6">
        <v>2026</v>
      </c>
      <c r="D228" s="6">
        <v>8</v>
      </c>
      <c r="E228" s="9" t="s">
        <v>195</v>
      </c>
      <c r="F228" s="10">
        <f>SUMIFS(Data!$K:$K,Data!$A:$A,2026,Data!$B:$B,8,Data!$G:$G,"CDU",Data!$F:$F,"PADD 4")</f>
        <v>0.0</v>
      </c>
      <c r="G228" s="11">
        <f>IFERROR(F228/F227-1,"")</f>
        <v/>
      </c>
      <c r="H228" s="11">
        <f>IFERROR(F228/F216-1,"")</f>
        <v/>
      </c>
    </row>
    <row r="229" spans="1:8">
      <c r="A229" s="6" t="s">
        <v>12</v>
      </c>
      <c r="B229" s="6" t="s">
        <v>214</v>
      </c>
      <c r="C229" s="6">
        <v>2026</v>
      </c>
      <c r="D229" s="6">
        <v>9</v>
      </c>
      <c r="E229" s="9" t="s">
        <v>196</v>
      </c>
      <c r="F229" s="10">
        <f>SUMIFS(Data!$K:$K,Data!$A:$A,2026,Data!$B:$B,9,Data!$G:$G,"CDU",Data!$F:$F,"PADD 4")</f>
        <v>0.0</v>
      </c>
      <c r="G229" s="11">
        <f>IFERROR(F229/F228-1,"")</f>
        <v/>
      </c>
      <c r="H229" s="11">
        <f>IFERROR(F229/F217-1,"")</f>
        <v/>
      </c>
    </row>
    <row r="230" spans="1:8">
      <c r="A230" s="6" t="s">
        <v>12</v>
      </c>
      <c r="B230" s="6" t="s">
        <v>214</v>
      </c>
      <c r="C230" s="6">
        <v>2026</v>
      </c>
      <c r="D230" s="6">
        <v>10</v>
      </c>
      <c r="E230" s="9" t="s">
        <v>197</v>
      </c>
      <c r="F230" s="10">
        <f>SUMIFS(Data!$K:$K,Data!$A:$A,2026,Data!$B:$B,10,Data!$G:$G,"CDU",Data!$F:$F,"PADD 4")</f>
        <v>7.155</v>
      </c>
      <c r="G230" s="11">
        <f>IFERROR(F230/F229-1,"")</f>
        <v/>
      </c>
      <c r="H230" s="11">
        <f>IFERROR(F230/F218-1,"")</f>
        <v>0.25746924428822493</v>
      </c>
    </row>
    <row r="231" spans="1:8">
      <c r="A231" s="6" t="s">
        <v>12</v>
      </c>
      <c r="B231" s="6" t="s">
        <v>214</v>
      </c>
      <c r="C231" s="6">
        <v>2026</v>
      </c>
      <c r="D231" s="6">
        <v>11</v>
      </c>
      <c r="E231" s="9" t="s">
        <v>198</v>
      </c>
      <c r="F231" s="10">
        <f>SUMIFS(Data!$K:$K,Data!$A:$A,2026,Data!$B:$B,11,Data!$G:$G,"CDU",Data!$F:$F,"PADD 4")</f>
        <v>0.0</v>
      </c>
      <c r="G231" s="11">
        <f>IFERROR(F231/F230-1,"")</f>
        <v>-1.0</v>
      </c>
      <c r="H231" s="11">
        <f>IFERROR(F231/F219-1,"")</f>
        <v>-1.0</v>
      </c>
    </row>
    <row r="232" spans="1:8">
      <c r="A232" s="6" t="s">
        <v>12</v>
      </c>
      <c r="B232" s="6" t="s">
        <v>214</v>
      </c>
      <c r="C232" s="6">
        <v>2026</v>
      </c>
      <c r="D232" s="6">
        <v>12</v>
      </c>
      <c r="E232" s="9" t="s">
        <v>199</v>
      </c>
      <c r="F232" s="10">
        <f>SUMIFS(Data!$K:$K,Data!$A:$A,2026,Data!$B:$B,12,Data!$G:$G,"CDU",Data!$F:$F,"PADD 4")</f>
        <v>0.0</v>
      </c>
      <c r="G232" s="11">
        <f>IFERROR(F232/F231-1,"")</f>
        <v/>
      </c>
      <c r="H232" s="11">
        <f>IFERROR(F232/F220-1,"")</f>
        <v>-1.0</v>
      </c>
    </row>
    <row r="233" spans="1:8">
      <c r="A233" s="6" t="s">
        <v>12</v>
      </c>
      <c r="B233" s="6" t="s">
        <v>214</v>
      </c>
      <c r="C233" s="6">
        <v>2027</v>
      </c>
      <c r="D233" s="6">
        <v>1</v>
      </c>
      <c r="E233" s="9" t="s">
        <v>200</v>
      </c>
      <c r="F233" s="10">
        <f>SUMIFS(Data!$K:$K,Data!$A:$A,2027,Data!$B:$B,1,Data!$G:$G,"CDU",Data!$F:$F,"PADD 4")</f>
        <v>0.0</v>
      </c>
      <c r="G233" s="11">
        <f>IFERROR(F233/F232-1,"")</f>
        <v/>
      </c>
      <c r="H233" s="11">
        <f>IFERROR(F233/F221-1,"")</f>
        <v/>
      </c>
    </row>
    <row r="234" spans="1:8">
      <c r="A234" s="6" t="s">
        <v>12</v>
      </c>
      <c r="B234" s="6" t="s">
        <v>214</v>
      </c>
      <c r="C234" s="6">
        <v>2027</v>
      </c>
      <c r="D234" s="6">
        <v>2</v>
      </c>
      <c r="E234" s="9" t="s">
        <v>201</v>
      </c>
      <c r="F234" s="10">
        <f>SUMIFS(Data!$K:$K,Data!$A:$A,2027,Data!$B:$B,2,Data!$G:$G,"CDU",Data!$F:$F,"PADD 4")</f>
        <v>61.44</v>
      </c>
      <c r="G234" s="11">
        <f>IFERROR(F234/F233-1,"")</f>
        <v/>
      </c>
      <c r="H234" s="11">
        <f>IFERROR(F234/F222-1,"")</f>
        <v>6.397953040337146</v>
      </c>
    </row>
    <row r="235" spans="1:8">
      <c r="A235" s="6" t="s">
        <v>12</v>
      </c>
      <c r="B235" s="6" t="s">
        <v>214</v>
      </c>
      <c r="C235" s="6">
        <v>2027</v>
      </c>
      <c r="D235" s="6">
        <v>3</v>
      </c>
      <c r="E235" s="9" t="s">
        <v>202</v>
      </c>
      <c r="F235" s="10">
        <f>SUMIFS(Data!$K:$K,Data!$A:$A,2027,Data!$B:$B,3,Data!$G:$G,"CDU",Data!$F:$F,"PADD 4")</f>
        <v>110.52</v>
      </c>
      <c r="G235" s="11">
        <f>IFERROR(F235/F234-1,"")</f>
        <v>0.798828125</v>
      </c>
      <c r="H235" s="11">
        <f>IFERROR(F235/F223-1,"")</f>
        <v>4.6090133982947625</v>
      </c>
    </row>
    <row r="236" spans="1:8">
      <c r="A236" s="6" t="s">
        <v>12</v>
      </c>
      <c r="B236" s="6" t="s">
        <v>214</v>
      </c>
      <c r="C236" s="6">
        <v>2027</v>
      </c>
      <c r="D236" s="6">
        <v>4</v>
      </c>
      <c r="E236" s="9" t="s">
        <v>203</v>
      </c>
      <c r="F236" s="10">
        <f>SUMIFS(Data!$K:$K,Data!$A:$A,2027,Data!$B:$B,4,Data!$G:$G,"CDU",Data!$F:$F,"PADD 4")</f>
        <v>77.37</v>
      </c>
      <c r="G236" s="11">
        <f>IFERROR(F236/F235-1,"")</f>
        <v>-0.2999457111834961</v>
      </c>
      <c r="H236" s="11">
        <f>IFERROR(F236/F224-1,"")</f>
        <v>-0.16084598698481556</v>
      </c>
    </row>
    <row r="237" spans="1:8">
      <c r="A237" s="6" t="s">
        <v>12</v>
      </c>
      <c r="B237" s="6" t="s">
        <v>214</v>
      </c>
      <c r="C237" s="6">
        <v>2027</v>
      </c>
      <c r="D237" s="6">
        <v>5</v>
      </c>
      <c r="E237" s="9" t="s">
        <v>204</v>
      </c>
      <c r="F237" s="10">
        <f>SUMIFS(Data!$K:$K,Data!$A:$A,2027,Data!$B:$B,5,Data!$G:$G,"CDU",Data!$F:$F,"PADD 4")</f>
        <v>65.852</v>
      </c>
      <c r="G237" s="11">
        <f>IFERROR(F237/F236-1,"")</f>
        <v>-0.14886907069923738</v>
      </c>
      <c r="H237" s="11">
        <f>IFERROR(F237/F225-1,"")</f>
        <v>0.9270747980803</v>
      </c>
    </row>
    <row r="238" spans="1:8">
      <c r="A238" s="6" t="s">
        <v>12</v>
      </c>
      <c r="B238" s="6" t="s">
        <v>214</v>
      </c>
      <c r="C238" s="6">
        <v>2027</v>
      </c>
      <c r="D238" s="6">
        <v>6</v>
      </c>
      <c r="E238" s="9" t="s">
        <v>205</v>
      </c>
      <c r="F238" s="10">
        <f>SUMIFS(Data!$K:$K,Data!$A:$A,2027,Data!$B:$B,6,Data!$G:$G,"CDU",Data!$F:$F,"PADD 4")</f>
        <v>0.0</v>
      </c>
      <c r="G238" s="11">
        <f>IFERROR(F238/F237-1,"")</f>
        <v>-1.0</v>
      </c>
      <c r="H238" s="11">
        <f>IFERROR(F238/F226-1,"")</f>
        <v/>
      </c>
    </row>
    <row r="239" spans="1:8">
      <c r="A239" s="6" t="s">
        <v>12</v>
      </c>
      <c r="B239" s="6" t="s">
        <v>214</v>
      </c>
      <c r="C239" s="6">
        <v>2027</v>
      </c>
      <c r="D239" s="6">
        <v>7</v>
      </c>
      <c r="E239" s="9" t="s">
        <v>206</v>
      </c>
      <c r="F239" s="10">
        <f>SUMIFS(Data!$K:$K,Data!$A:$A,2027,Data!$B:$B,7,Data!$G:$G,"CDU",Data!$F:$F,"PADD 4")</f>
        <v>0.0</v>
      </c>
      <c r="G239" s="11">
        <f>IFERROR(F239/F238-1,"")</f>
        <v/>
      </c>
      <c r="H239" s="11">
        <f>IFERROR(F239/F227-1,"")</f>
        <v/>
      </c>
    </row>
    <row r="240" spans="1:8">
      <c r="A240" s="6" t="s">
        <v>12</v>
      </c>
      <c r="B240" s="6" t="s">
        <v>214</v>
      </c>
      <c r="C240" s="6">
        <v>2027</v>
      </c>
      <c r="D240" s="6">
        <v>8</v>
      </c>
      <c r="E240" s="9" t="s">
        <v>207</v>
      </c>
      <c r="F240" s="10">
        <f>SUMIFS(Data!$K:$K,Data!$A:$A,2027,Data!$B:$B,8,Data!$G:$G,"CDU",Data!$F:$F,"PADD 4")</f>
        <v>0.0</v>
      </c>
      <c r="G240" s="11">
        <f>IFERROR(F240/F239-1,"")</f>
        <v/>
      </c>
      <c r="H240" s="11">
        <f>IFERROR(F240/F228-1,"")</f>
        <v/>
      </c>
    </row>
    <row r="241" spans="1:8">
      <c r="A241" s="6" t="s">
        <v>12</v>
      </c>
      <c r="B241" s="6" t="s">
        <v>214</v>
      </c>
      <c r="C241" s="6">
        <v>2027</v>
      </c>
      <c r="D241" s="6">
        <v>9</v>
      </c>
      <c r="E241" s="9" t="s">
        <v>208</v>
      </c>
      <c r="F241" s="10">
        <f>SUMIFS(Data!$K:$K,Data!$A:$A,2027,Data!$B:$B,9,Data!$G:$G,"CDU",Data!$F:$F,"PADD 4")</f>
        <v>20.75</v>
      </c>
      <c r="G241" s="11">
        <f>IFERROR(F241/F240-1,"")</f>
        <v/>
      </c>
      <c r="H241" s="11">
        <f>IFERROR(F241/F229-1,"")</f>
        <v/>
      </c>
    </row>
    <row r="242" spans="1:8">
      <c r="A242" s="6" t="s">
        <v>12</v>
      </c>
      <c r="B242" s="6" t="s">
        <v>214</v>
      </c>
      <c r="C242" s="6">
        <v>2027</v>
      </c>
      <c r="D242" s="6">
        <v>10</v>
      </c>
      <c r="E242" s="9" t="s">
        <v>209</v>
      </c>
      <c r="F242" s="10">
        <f>SUMIFS(Data!$K:$K,Data!$A:$A,2027,Data!$B:$B,10,Data!$G:$G,"CDU",Data!$F:$F,"PADD 4")</f>
        <v>13.53</v>
      </c>
      <c r="G242" s="11">
        <f>IFERROR(F242/F241-1,"")</f>
        <v>-0.3479518072289157</v>
      </c>
      <c r="H242" s="11">
        <f>IFERROR(F242/F230-1,"")</f>
        <v>0.890985324947589</v>
      </c>
    </row>
    <row r="243" spans="1:8">
      <c r="A243" s="6" t="s">
        <v>12</v>
      </c>
      <c r="B243" s="6" t="s">
        <v>214</v>
      </c>
      <c r="C243" s="6">
        <v>2027</v>
      </c>
      <c r="D243" s="6">
        <v>11</v>
      </c>
      <c r="E243" s="9" t="s">
        <v>210</v>
      </c>
      <c r="F243" s="10">
        <f>SUMIFS(Data!$K:$K,Data!$A:$A,2027,Data!$B:$B,11,Data!$G:$G,"CDU",Data!$F:$F,"PADD 4")</f>
        <v>0.0</v>
      </c>
      <c r="G243" s="11">
        <f>IFERROR(F243/F242-1,"")</f>
        <v>-1.0</v>
      </c>
      <c r="H243" s="11">
        <f>IFERROR(F243/F231-1,"")</f>
        <v/>
      </c>
    </row>
    <row r="244" spans="1:8">
      <c r="A244" s="6" t="s">
        <v>12</v>
      </c>
      <c r="B244" s="6" t="s">
        <v>214</v>
      </c>
      <c r="C244" s="6">
        <v>2027</v>
      </c>
      <c r="D244" s="6">
        <v>12</v>
      </c>
      <c r="E244" s="9" t="s">
        <v>211</v>
      </c>
      <c r="F244" s="10">
        <f>SUMIFS(Data!$K:$K,Data!$A:$A,2027,Data!$B:$B,12,Data!$G:$G,"CDU",Data!$F:$F,"PADD 4")</f>
        <v>0.0</v>
      </c>
      <c r="G244" s="11">
        <f>IFERROR(F244/F243-1,"")</f>
        <v/>
      </c>
      <c r="H244" s="11">
        <f>IFERROR(F244/F232-1,"")</f>
        <v/>
      </c>
    </row>
    <row r="245" spans="1:8">
      <c r="A245" s="6" t="s">
        <v>12</v>
      </c>
      <c r="B245" s="6" t="s">
        <v>215</v>
      </c>
      <c r="C245" s="6">
        <v>2023</v>
      </c>
      <c r="D245" s="6">
        <v>1</v>
      </c>
      <c r="E245" s="9" t="s">
        <v>152</v>
      </c>
      <c r="F245" s="10">
        <f>SUMIFS(Data!$K:$K,Data!$A:$A,2023,Data!$B:$B,1,Data!$G:$G,"CDU",Data!$F:$F,"PADD 5")</f>
        <v>148.42</v>
      </c>
    </row>
    <row r="246" spans="1:8">
      <c r="A246" s="6" t="s">
        <v>12</v>
      </c>
      <c r="B246" s="6" t="s">
        <v>215</v>
      </c>
      <c r="C246" s="6">
        <v>2023</v>
      </c>
      <c r="D246" s="6">
        <v>2</v>
      </c>
      <c r="E246" s="9" t="s">
        <v>153</v>
      </c>
      <c r="F246" s="10">
        <f>SUMIFS(Data!$K:$K,Data!$A:$A,2023,Data!$B:$B,2,Data!$G:$G,"CDU",Data!$F:$F,"PADD 5")</f>
        <v>275.225</v>
      </c>
      <c r="G246" s="11">
        <f>IFERROR(F246/F245-1,"")</f>
        <v>0.8543659884112655</v>
      </c>
    </row>
    <row r="247" spans="1:8">
      <c r="A247" s="6" t="s">
        <v>12</v>
      </c>
      <c r="B247" s="6" t="s">
        <v>215</v>
      </c>
      <c r="C247" s="6">
        <v>2023</v>
      </c>
      <c r="D247" s="6">
        <v>3</v>
      </c>
      <c r="E247" s="9" t="s">
        <v>154</v>
      </c>
      <c r="F247" s="10">
        <f>SUMIFS(Data!$K:$K,Data!$A:$A,2023,Data!$B:$B,3,Data!$G:$G,"CDU",Data!$F:$F,"PADD 5")</f>
        <v>120.79</v>
      </c>
      <c r="G247" s="11">
        <f>IFERROR(F247/F246-1,"")</f>
        <v>-0.5611227177763648</v>
      </c>
    </row>
    <row r="248" spans="1:8">
      <c r="A248" s="6" t="s">
        <v>12</v>
      </c>
      <c r="B248" s="6" t="s">
        <v>215</v>
      </c>
      <c r="C248" s="6">
        <v>2023</v>
      </c>
      <c r="D248" s="6">
        <v>4</v>
      </c>
      <c r="E248" s="9" t="s">
        <v>155</v>
      </c>
      <c r="F248" s="10">
        <f>SUMIFS(Data!$K:$K,Data!$A:$A,2023,Data!$B:$B,4,Data!$G:$G,"CDU",Data!$F:$F,"PADD 5")</f>
        <v>254.165</v>
      </c>
      <c r="G248" s="11">
        <f>IFERROR(F248/F247-1,"")</f>
        <v>1.1041890885007035</v>
      </c>
    </row>
    <row r="249" spans="1:8">
      <c r="A249" s="6" t="s">
        <v>12</v>
      </c>
      <c r="B249" s="6" t="s">
        <v>215</v>
      </c>
      <c r="C249" s="6">
        <v>2023</v>
      </c>
      <c r="D249" s="6">
        <v>5</v>
      </c>
      <c r="E249" s="9" t="s">
        <v>156</v>
      </c>
      <c r="F249" s="10">
        <f>SUMIFS(Data!$K:$K,Data!$A:$A,2023,Data!$B:$B,5,Data!$G:$G,"CDU",Data!$F:$F,"PADD 5")</f>
        <v>115.18499999999999</v>
      </c>
      <c r="G249" s="11">
        <f>IFERROR(F249/F248-1,"")</f>
        <v>-0.5468101430173313</v>
      </c>
    </row>
    <row r="250" spans="1:8">
      <c r="A250" s="6" t="s">
        <v>12</v>
      </c>
      <c r="B250" s="6" t="s">
        <v>215</v>
      </c>
      <c r="C250" s="6">
        <v>2023</v>
      </c>
      <c r="D250" s="6">
        <v>6</v>
      </c>
      <c r="E250" s="9" t="s">
        <v>157</v>
      </c>
      <c r="F250" s="10">
        <f>SUMIFS(Data!$K:$K,Data!$A:$A,2023,Data!$B:$B,6,Data!$G:$G,"CDU",Data!$F:$F,"PADD 5")</f>
        <v>9.681999999999999</v>
      </c>
      <c r="G250" s="11">
        <f>IFERROR(F250/F249-1,"")</f>
        <v>-0.9159439163085471</v>
      </c>
    </row>
    <row r="251" spans="1:8">
      <c r="A251" s="6" t="s">
        <v>12</v>
      </c>
      <c r="B251" s="6" t="s">
        <v>215</v>
      </c>
      <c r="C251" s="6">
        <v>2023</v>
      </c>
      <c r="D251" s="6">
        <v>7</v>
      </c>
      <c r="E251" s="9" t="s">
        <v>158</v>
      </c>
      <c r="F251" s="10">
        <f>SUMIFS(Data!$K:$K,Data!$A:$A,2023,Data!$B:$B,7,Data!$G:$G,"CDU",Data!$F:$F,"PADD 5")</f>
        <v>11.04</v>
      </c>
      <c r="G251" s="11">
        <f>IFERROR(F251/F250-1,"")</f>
        <v>0.14026027680231357</v>
      </c>
    </row>
    <row r="252" spans="1:8">
      <c r="A252" s="6" t="s">
        <v>12</v>
      </c>
      <c r="B252" s="6" t="s">
        <v>215</v>
      </c>
      <c r="C252" s="6">
        <v>2023</v>
      </c>
      <c r="D252" s="6">
        <v>8</v>
      </c>
      <c r="E252" s="9" t="s">
        <v>159</v>
      </c>
      <c r="F252" s="10">
        <f>SUMIFS(Data!$K:$K,Data!$A:$A,2023,Data!$B:$B,8,Data!$G:$G,"CDU",Data!$F:$F,"PADD 5")</f>
        <v>2.58</v>
      </c>
      <c r="G252" s="11">
        <f>IFERROR(F252/F251-1,"")</f>
        <v>-0.7663043478260869</v>
      </c>
    </row>
    <row r="253" spans="1:8">
      <c r="A253" s="6" t="s">
        <v>12</v>
      </c>
      <c r="B253" s="6" t="s">
        <v>215</v>
      </c>
      <c r="C253" s="6">
        <v>2023</v>
      </c>
      <c r="D253" s="6">
        <v>9</v>
      </c>
      <c r="E253" s="9" t="s">
        <v>160</v>
      </c>
      <c r="F253" s="10">
        <f>SUMIFS(Data!$K:$K,Data!$A:$A,2023,Data!$B:$B,9,Data!$G:$G,"CDU",Data!$F:$F,"PADD 5")</f>
        <v>0.15</v>
      </c>
      <c r="G253" s="11">
        <f>IFERROR(F253/F252-1,"")</f>
        <v>-0.9418604651162791</v>
      </c>
    </row>
    <row r="254" spans="1:8">
      <c r="A254" s="6" t="s">
        <v>12</v>
      </c>
      <c r="B254" s="6" t="s">
        <v>215</v>
      </c>
      <c r="C254" s="6">
        <v>2023</v>
      </c>
      <c r="D254" s="6">
        <v>10</v>
      </c>
      <c r="E254" s="9" t="s">
        <v>161</v>
      </c>
      <c r="F254" s="10">
        <f>SUMIFS(Data!$K:$K,Data!$A:$A,2023,Data!$B:$B,10,Data!$G:$G,"CDU",Data!$F:$F,"PADD 5")</f>
        <v>216.535</v>
      </c>
      <c r="G254" s="11">
        <f>IFERROR(F254/F253-1,"")</f>
        <v>1442.5666666666666</v>
      </c>
    </row>
    <row r="255" spans="1:8">
      <c r="A255" s="6" t="s">
        <v>12</v>
      </c>
      <c r="B255" s="6" t="s">
        <v>215</v>
      </c>
      <c r="C255" s="6">
        <v>2023</v>
      </c>
      <c r="D255" s="6">
        <v>11</v>
      </c>
      <c r="E255" s="9" t="s">
        <v>162</v>
      </c>
      <c r="F255" s="10">
        <f>SUMIFS(Data!$K:$K,Data!$A:$A,2023,Data!$B:$B,11,Data!$G:$G,"CDU",Data!$F:$F,"PADD 5")</f>
        <v>161.86</v>
      </c>
      <c r="G255" s="11">
        <f>IFERROR(F255/F254-1,"")</f>
        <v>-0.25249959590828264</v>
      </c>
    </row>
    <row r="256" spans="1:8">
      <c r="A256" s="6" t="s">
        <v>12</v>
      </c>
      <c r="B256" s="6" t="s">
        <v>215</v>
      </c>
      <c r="C256" s="6">
        <v>2023</v>
      </c>
      <c r="D256" s="6">
        <v>12</v>
      </c>
      <c r="E256" s="9" t="s">
        <v>163</v>
      </c>
      <c r="F256" s="10">
        <f>SUMIFS(Data!$K:$K,Data!$A:$A,2023,Data!$B:$B,12,Data!$G:$G,"CDU",Data!$F:$F,"PADD 5")</f>
        <v>48.980000000000004</v>
      </c>
      <c r="G256" s="11">
        <f>IFERROR(F256/F255-1,"")</f>
        <v>-0.6973928086000247</v>
      </c>
    </row>
    <row r="257" spans="1:8">
      <c r="A257" s="6" t="s">
        <v>12</v>
      </c>
      <c r="B257" s="6" t="s">
        <v>215</v>
      </c>
      <c r="C257" s="6">
        <v>2024</v>
      </c>
      <c r="D257" s="6">
        <v>1</v>
      </c>
      <c r="E257" s="9" t="s">
        <v>164</v>
      </c>
      <c r="F257" s="10">
        <f>SUMIFS(Data!$K:$K,Data!$A:$A,2024,Data!$B:$B,1,Data!$G:$G,"CDU",Data!$F:$F,"PADD 5")</f>
        <v>181.5</v>
      </c>
      <c r="G257" s="11">
        <f>IFERROR(F257/F256-1,"")</f>
        <v>2.7055941200489992</v>
      </c>
      <c r="H257" s="11">
        <f>IFERROR(F257/F245-1,"")</f>
        <v>0.22288101334052035</v>
      </c>
    </row>
    <row r="258" spans="1:8">
      <c r="A258" s="6" t="s">
        <v>12</v>
      </c>
      <c r="B258" s="6" t="s">
        <v>215</v>
      </c>
      <c r="C258" s="6">
        <v>2024</v>
      </c>
      <c r="D258" s="6">
        <v>2</v>
      </c>
      <c r="E258" s="9" t="s">
        <v>165</v>
      </c>
      <c r="F258" s="10">
        <f>SUMIFS(Data!$K:$K,Data!$A:$A,2024,Data!$B:$B,2,Data!$G:$G,"CDU",Data!$F:$F,"PADD 5")</f>
        <v>205.625</v>
      </c>
      <c r="G258" s="11">
        <f>IFERROR(F258/F257-1,"")</f>
        <v>0.13292011019283745</v>
      </c>
      <c r="H258" s="11">
        <f>IFERROR(F258/F246-1,"")</f>
        <v>-0.25288400399673006</v>
      </c>
    </row>
    <row r="259" spans="1:8">
      <c r="A259" s="6" t="s">
        <v>12</v>
      </c>
      <c r="B259" s="6" t="s">
        <v>215</v>
      </c>
      <c r="C259" s="6">
        <v>2024</v>
      </c>
      <c r="D259" s="6">
        <v>3</v>
      </c>
      <c r="E259" s="9" t="s">
        <v>166</v>
      </c>
      <c r="F259" s="10">
        <f>SUMIFS(Data!$K:$K,Data!$A:$A,2024,Data!$B:$B,3,Data!$G:$G,"CDU",Data!$F:$F,"PADD 5")</f>
        <v>11.360000000000001</v>
      </c>
      <c r="G259" s="11">
        <f>IFERROR(F259/F258-1,"")</f>
        <v>-0.9447537993920972</v>
      </c>
      <c r="H259" s="11">
        <f>IFERROR(F259/F247-1,"")</f>
        <v>-0.9059524795098932</v>
      </c>
    </row>
    <row r="260" spans="1:8">
      <c r="A260" s="6" t="s">
        <v>12</v>
      </c>
      <c r="B260" s="6" t="s">
        <v>215</v>
      </c>
      <c r="C260" s="6">
        <v>2024</v>
      </c>
      <c r="D260" s="6">
        <v>4</v>
      </c>
      <c r="E260" s="9" t="s">
        <v>167</v>
      </c>
      <c r="F260" s="10">
        <f>SUMIFS(Data!$K:$K,Data!$A:$A,2024,Data!$B:$B,4,Data!$G:$G,"CDU",Data!$F:$F,"PADD 5")</f>
        <v>243.66</v>
      </c>
      <c r="G260" s="11">
        <f>IFERROR(F260/F259-1,"")</f>
        <v>20.44894366197183</v>
      </c>
      <c r="H260" s="11">
        <f>IFERROR(F260/F248-1,"")</f>
        <v>-0.0413314185666791</v>
      </c>
    </row>
    <row r="261" spans="1:8">
      <c r="A261" s="6" t="s">
        <v>12</v>
      </c>
      <c r="B261" s="6" t="s">
        <v>215</v>
      </c>
      <c r="C261" s="6">
        <v>2024</v>
      </c>
      <c r="D261" s="6">
        <v>5</v>
      </c>
      <c r="E261" s="9" t="s">
        <v>168</v>
      </c>
      <c r="F261" s="10">
        <f>SUMIFS(Data!$K:$K,Data!$A:$A,2024,Data!$B:$B,5,Data!$G:$G,"CDU",Data!$F:$F,"PADD 5")</f>
        <v>191.02</v>
      </c>
      <c r="G261" s="11">
        <f>IFERROR(F261/F260-1,"")</f>
        <v>-0.21603874251005495</v>
      </c>
      <c r="H261" s="11">
        <f>IFERROR(F261/F249-1,"")</f>
        <v>0.6583756565525027</v>
      </c>
    </row>
    <row r="262" spans="1:8">
      <c r="A262" s="6" t="s">
        <v>12</v>
      </c>
      <c r="B262" s="6" t="s">
        <v>215</v>
      </c>
      <c r="C262" s="6">
        <v>2024</v>
      </c>
      <c r="D262" s="6">
        <v>6</v>
      </c>
      <c r="E262" s="9" t="s">
        <v>169</v>
      </c>
      <c r="F262" s="10">
        <f>SUMIFS(Data!$K:$K,Data!$A:$A,2024,Data!$B:$B,6,Data!$G:$G,"CDU",Data!$F:$F,"PADD 5")</f>
        <v>77.98</v>
      </c>
      <c r="G262" s="11">
        <f>IFERROR(F262/F261-1,"")</f>
        <v>-0.5917704952361009</v>
      </c>
      <c r="H262" s="11">
        <f>IFERROR(F262/F250-1,"")</f>
        <v>7.054121049369966</v>
      </c>
    </row>
    <row r="263" spans="1:8">
      <c r="A263" s="6" t="s">
        <v>12</v>
      </c>
      <c r="B263" s="6" t="s">
        <v>215</v>
      </c>
      <c r="C263" s="6">
        <v>2024</v>
      </c>
      <c r="D263" s="6">
        <v>7</v>
      </c>
      <c r="E263" s="9" t="s">
        <v>170</v>
      </c>
      <c r="F263" s="10">
        <f>SUMIFS(Data!$K:$K,Data!$A:$A,2024,Data!$B:$B,7,Data!$G:$G,"CDU",Data!$F:$F,"PADD 5")</f>
        <v>0.0</v>
      </c>
      <c r="G263" s="11">
        <f>IFERROR(F263/F262-1,"")</f>
        <v>-1.0</v>
      </c>
      <c r="H263" s="11">
        <f>IFERROR(F263/F251-1,"")</f>
        <v>-1.0</v>
      </c>
    </row>
    <row r="264" spans="1:8">
      <c r="A264" s="6" t="s">
        <v>12</v>
      </c>
      <c r="B264" s="6" t="s">
        <v>215</v>
      </c>
      <c r="C264" s="6">
        <v>2024</v>
      </c>
      <c r="D264" s="6">
        <v>8</v>
      </c>
      <c r="E264" s="9" t="s">
        <v>171</v>
      </c>
      <c r="F264" s="10">
        <f>SUMIFS(Data!$K:$K,Data!$A:$A,2024,Data!$B:$B,8,Data!$G:$G,"CDU",Data!$F:$F,"PADD 5")</f>
        <v>0.0</v>
      </c>
      <c r="G264" s="11">
        <f>IFERROR(F264/F263-1,"")</f>
        <v/>
      </c>
      <c r="H264" s="11">
        <f>IFERROR(F264/F252-1,"")</f>
        <v>-1.0</v>
      </c>
    </row>
    <row r="265" spans="1:8">
      <c r="A265" s="6" t="s">
        <v>12</v>
      </c>
      <c r="B265" s="6" t="s">
        <v>215</v>
      </c>
      <c r="C265" s="6">
        <v>2024</v>
      </c>
      <c r="D265" s="6">
        <v>9</v>
      </c>
      <c r="E265" s="9" t="s">
        <v>172</v>
      </c>
      <c r="F265" s="10">
        <f>SUMIFS(Data!$K:$K,Data!$A:$A,2024,Data!$B:$B,9,Data!$G:$G,"CDU",Data!$F:$F,"PADD 5")</f>
        <v>4.65</v>
      </c>
      <c r="G265" s="11">
        <f>IFERROR(F265/F264-1,"")</f>
        <v/>
      </c>
      <c r="H265" s="11">
        <f>IFERROR(F265/F253-1,"")</f>
        <v>30.000000000000004</v>
      </c>
    </row>
    <row r="266" spans="1:8">
      <c r="A266" s="6" t="s">
        <v>12</v>
      </c>
      <c r="B266" s="6" t="s">
        <v>215</v>
      </c>
      <c r="C266" s="6">
        <v>2024</v>
      </c>
      <c r="D266" s="6">
        <v>10</v>
      </c>
      <c r="E266" s="9" t="s">
        <v>173</v>
      </c>
      <c r="F266" s="10">
        <f>SUMIFS(Data!$K:$K,Data!$A:$A,2024,Data!$B:$B,10,Data!$G:$G,"CDU",Data!$F:$F,"PADD 5")</f>
        <v>0.0</v>
      </c>
      <c r="G266" s="11">
        <f>IFERROR(F266/F265-1,"")</f>
        <v>-1.0</v>
      </c>
      <c r="H266" s="11">
        <f>IFERROR(F266/F254-1,"")</f>
        <v>-1.0</v>
      </c>
    </row>
    <row r="267" spans="1:8">
      <c r="A267" s="6" t="s">
        <v>12</v>
      </c>
      <c r="B267" s="6" t="s">
        <v>215</v>
      </c>
      <c r="C267" s="6">
        <v>2024</v>
      </c>
      <c r="D267" s="6">
        <v>11</v>
      </c>
      <c r="E267" s="9" t="s">
        <v>174</v>
      </c>
      <c r="F267" s="10">
        <f>SUMIFS(Data!$K:$K,Data!$A:$A,2024,Data!$B:$B,11,Data!$G:$G,"CDU",Data!$F:$F,"PADD 5")</f>
        <v>0.0</v>
      </c>
      <c r="G267" s="11">
        <f>IFERROR(F267/F266-1,"")</f>
        <v/>
      </c>
      <c r="H267" s="11">
        <f>IFERROR(F267/F255-1,"")</f>
        <v>-1.0</v>
      </c>
    </row>
    <row r="268" spans="1:8">
      <c r="A268" s="6" t="s">
        <v>12</v>
      </c>
      <c r="B268" s="6" t="s">
        <v>215</v>
      </c>
      <c r="C268" s="6">
        <v>2024</v>
      </c>
      <c r="D268" s="6">
        <v>12</v>
      </c>
      <c r="E268" s="9" t="s">
        <v>175</v>
      </c>
      <c r="F268" s="10">
        <f>SUMIFS(Data!$K:$K,Data!$A:$A,2024,Data!$B:$B,12,Data!$G:$G,"CDU",Data!$F:$F,"PADD 5")</f>
        <v>20.4</v>
      </c>
      <c r="G268" s="11">
        <f>IFERROR(F268/F267-1,"")</f>
        <v/>
      </c>
      <c r="H268" s="11">
        <f>IFERROR(F268/F256-1,"")</f>
        <v>-0.58350347080441</v>
      </c>
    </row>
    <row r="269" spans="1:8">
      <c r="A269" s="6" t="s">
        <v>12</v>
      </c>
      <c r="B269" s="6" t="s">
        <v>215</v>
      </c>
      <c r="C269" s="6">
        <v>2025</v>
      </c>
      <c r="D269" s="6">
        <v>1</v>
      </c>
      <c r="E269" s="9" t="s">
        <v>176</v>
      </c>
      <c r="F269" s="10">
        <f>SUMIFS(Data!$K:$K,Data!$A:$A,2025,Data!$B:$B,1,Data!$G:$G,"CDU",Data!$F:$F,"PADD 5")</f>
        <v>80.49</v>
      </c>
      <c r="G269" s="11">
        <f>IFERROR(F269/F268-1,"")</f>
        <v>2.945588235294118</v>
      </c>
      <c r="H269" s="11">
        <f>IFERROR(F269/F257-1,"")</f>
        <v>-0.5565289256198347</v>
      </c>
    </row>
    <row r="270" spans="1:8">
      <c r="A270" s="6" t="s">
        <v>12</v>
      </c>
      <c r="B270" s="6" t="s">
        <v>215</v>
      </c>
      <c r="C270" s="6">
        <v>2025</v>
      </c>
      <c r="D270" s="6">
        <v>2</v>
      </c>
      <c r="E270" s="9" t="s">
        <v>177</v>
      </c>
      <c r="F270" s="10">
        <f>SUMIFS(Data!$K:$K,Data!$A:$A,2025,Data!$B:$B,2,Data!$G:$G,"CDU",Data!$F:$F,"PADD 5")</f>
        <v>189.20100000000002</v>
      </c>
      <c r="G270" s="11">
        <f>IFERROR(F270/F269-1,"")</f>
        <v>1.3506149832277305</v>
      </c>
      <c r="H270" s="11">
        <f>IFERROR(F270/F258-1,"")</f>
        <v>-0.0798735562310029</v>
      </c>
    </row>
    <row r="271" spans="1:8">
      <c r="A271" s="6" t="s">
        <v>12</v>
      </c>
      <c r="B271" s="6" t="s">
        <v>215</v>
      </c>
      <c r="C271" s="6">
        <v>2025</v>
      </c>
      <c r="D271" s="6">
        <v>3</v>
      </c>
      <c r="E271" s="9" t="s">
        <v>178</v>
      </c>
      <c r="F271" s="10">
        <f>SUMIFS(Data!$K:$K,Data!$A:$A,2025,Data!$B:$B,3,Data!$G:$G,"CDU",Data!$F:$F,"PADD 5")</f>
        <v>387.076</v>
      </c>
      <c r="G271" s="11">
        <f>IFERROR(F271/F270-1,"")</f>
        <v>1.0458454236499808</v>
      </c>
      <c r="H271" s="11">
        <f>IFERROR(F271/F259-1,"")</f>
        <v>33.07359154929577</v>
      </c>
    </row>
    <row r="272" spans="1:8">
      <c r="A272" s="6" t="s">
        <v>12</v>
      </c>
      <c r="B272" s="6" t="s">
        <v>215</v>
      </c>
      <c r="C272" s="6">
        <v>2025</v>
      </c>
      <c r="D272" s="6">
        <v>4</v>
      </c>
      <c r="E272" s="9" t="s">
        <v>179</v>
      </c>
      <c r="F272" s="10">
        <f>SUMIFS(Data!$K:$K,Data!$A:$A,2025,Data!$B:$B,4,Data!$G:$G,"CDU",Data!$F:$F,"PADD 5")</f>
        <v>541.35</v>
      </c>
      <c r="G272" s="11">
        <f>IFERROR(F272/F271-1,"")</f>
        <v>0.3985625561905155</v>
      </c>
      <c r="H272" s="11">
        <f>IFERROR(F272/F260-1,"")</f>
        <v>1.221743412952475</v>
      </c>
    </row>
    <row r="273" spans="1:8">
      <c r="A273" s="6" t="s">
        <v>12</v>
      </c>
      <c r="B273" s="6" t="s">
        <v>215</v>
      </c>
      <c r="C273" s="6">
        <v>2025</v>
      </c>
      <c r="D273" s="6">
        <v>5</v>
      </c>
      <c r="E273" s="9" t="s">
        <v>180</v>
      </c>
      <c r="F273" s="10">
        <f>SUMIFS(Data!$K:$K,Data!$A:$A,2025,Data!$B:$B,5,Data!$G:$G,"CDU",Data!$F:$F,"PADD 5")</f>
        <v>352.6</v>
      </c>
      <c r="G273" s="11">
        <f>IFERROR(F273/F272-1,"")</f>
        <v>-0.3486653736030294</v>
      </c>
      <c r="H273" s="11">
        <f>IFERROR(F273/F261-1,"")</f>
        <v>0.8458800125641295</v>
      </c>
    </row>
    <row r="274" spans="1:8">
      <c r="A274" s="6" t="s">
        <v>12</v>
      </c>
      <c r="B274" s="6" t="s">
        <v>215</v>
      </c>
      <c r="C274" s="6">
        <v>2025</v>
      </c>
      <c r="D274" s="6">
        <v>6</v>
      </c>
      <c r="E274" s="9" t="s">
        <v>181</v>
      </c>
      <c r="F274" s="10">
        <f>SUMIFS(Data!$K:$K,Data!$A:$A,2025,Data!$B:$B,6,Data!$G:$G,"CDU",Data!$F:$F,"PADD 5")</f>
        <v>205.2</v>
      </c>
      <c r="G274" s="11">
        <f>IFERROR(F274/F273-1,"")</f>
        <v>-0.41803743618831546</v>
      </c>
      <c r="H274" s="11">
        <f>IFERROR(F274/F262-1,"")</f>
        <v>1.6314439599897406</v>
      </c>
    </row>
    <row r="275" spans="1:8">
      <c r="A275" s="6" t="s">
        <v>12</v>
      </c>
      <c r="B275" s="6" t="s">
        <v>215</v>
      </c>
      <c r="C275" s="6">
        <v>2025</v>
      </c>
      <c r="D275" s="6">
        <v>7</v>
      </c>
      <c r="E275" s="9" t="s">
        <v>182</v>
      </c>
      <c r="F275" s="10">
        <f>SUMIFS(Data!$K:$K,Data!$A:$A,2025,Data!$B:$B,7,Data!$G:$G,"CDU",Data!$F:$F,"PADD 5")</f>
        <v>59.25</v>
      </c>
      <c r="G275" s="11">
        <f>IFERROR(F275/F274-1,"")</f>
        <v>-0.7112573099415205</v>
      </c>
      <c r="H275" s="11">
        <f>IFERROR(F275/F263-1,"")</f>
        <v/>
      </c>
    </row>
    <row r="276" spans="1:8">
      <c r="A276" s="6" t="s">
        <v>12</v>
      </c>
      <c r="B276" s="6" t="s">
        <v>215</v>
      </c>
      <c r="C276" s="6">
        <v>2025</v>
      </c>
      <c r="D276" s="6">
        <v>8</v>
      </c>
      <c r="E276" s="9" t="s">
        <v>183</v>
      </c>
      <c r="F276" s="10">
        <f>SUMIFS(Data!$K:$K,Data!$A:$A,2025,Data!$B:$B,8,Data!$G:$G,"CDU",Data!$F:$F,"PADD 5")</f>
        <v>59.25</v>
      </c>
      <c r="G276" s="11">
        <f>IFERROR(F276/F275-1,"")</f>
        <v>0.0</v>
      </c>
      <c r="H276" s="11">
        <f>IFERROR(F276/F264-1,"")</f>
        <v/>
      </c>
    </row>
    <row r="277" spans="1:8">
      <c r="A277" s="6" t="s">
        <v>12</v>
      </c>
      <c r="B277" s="6" t="s">
        <v>215</v>
      </c>
      <c r="C277" s="6">
        <v>2025</v>
      </c>
      <c r="D277" s="6">
        <v>9</v>
      </c>
      <c r="E277" s="9" t="s">
        <v>184</v>
      </c>
      <c r="F277" s="10">
        <f>SUMIFS(Data!$K:$K,Data!$A:$A,2025,Data!$B:$B,9,Data!$G:$G,"CDU",Data!$F:$F,"PADD 5")</f>
        <v>55.75</v>
      </c>
      <c r="G277" s="11">
        <f>IFERROR(F277/F276-1,"")</f>
        <v>-0.05907172995780585</v>
      </c>
      <c r="H277" s="11">
        <f>IFERROR(F277/F265-1,"")</f>
        <v>10.989247311827956</v>
      </c>
    </row>
    <row r="278" spans="1:8">
      <c r="A278" s="6" t="s">
        <v>12</v>
      </c>
      <c r="B278" s="6" t="s">
        <v>215</v>
      </c>
      <c r="C278" s="6">
        <v>2025</v>
      </c>
      <c r="D278" s="6">
        <v>10</v>
      </c>
      <c r="E278" s="9" t="s">
        <v>185</v>
      </c>
      <c r="F278" s="10">
        <f>SUMIFS(Data!$K:$K,Data!$A:$A,2025,Data!$B:$B,10,Data!$G:$G,"CDU",Data!$F:$F,"PADD 5")</f>
        <v>149.15</v>
      </c>
      <c r="G278" s="11">
        <f>IFERROR(F278/F277-1,"")</f>
        <v>1.6753363228699554</v>
      </c>
      <c r="H278" s="11">
        <f>IFERROR(F278/F266-1,"")</f>
        <v/>
      </c>
    </row>
    <row r="279" spans="1:8">
      <c r="A279" s="6" t="s">
        <v>12</v>
      </c>
      <c r="B279" s="6" t="s">
        <v>215</v>
      </c>
      <c r="C279" s="6">
        <v>2025</v>
      </c>
      <c r="D279" s="6">
        <v>11</v>
      </c>
      <c r="E279" s="9" t="s">
        <v>186</v>
      </c>
      <c r="F279" s="10">
        <f>SUMIFS(Data!$K:$K,Data!$A:$A,2025,Data!$B:$B,11,Data!$G:$G,"CDU",Data!$F:$F,"PADD 5")</f>
        <v>149.605</v>
      </c>
      <c r="G279" s="11">
        <f>IFERROR(F279/F278-1,"")</f>
        <v>0.003050620181025643</v>
      </c>
      <c r="H279" s="11">
        <f>IFERROR(F279/F267-1,"")</f>
        <v/>
      </c>
    </row>
    <row r="280" spans="1:8">
      <c r="A280" s="6" t="s">
        <v>12</v>
      </c>
      <c r="B280" s="6" t="s">
        <v>215</v>
      </c>
      <c r="C280" s="6">
        <v>2025</v>
      </c>
      <c r="D280" s="6">
        <v>12</v>
      </c>
      <c r="E280" s="9" t="s">
        <v>187</v>
      </c>
      <c r="F280" s="10">
        <f>SUMIFS(Data!$K:$K,Data!$A:$A,2025,Data!$B:$B,12,Data!$G:$G,"CDU",Data!$F:$F,"PADD 5")</f>
        <v>175.75</v>
      </c>
      <c r="G280" s="11">
        <f>IFERROR(F280/F279-1,"")</f>
        <v>0.17476020186491104</v>
      </c>
      <c r="H280" s="11">
        <f>IFERROR(F280/F268-1,"")</f>
        <v>7.615196078431373</v>
      </c>
    </row>
    <row r="281" spans="1:8">
      <c r="A281" s="6" t="s">
        <v>12</v>
      </c>
      <c r="B281" s="6" t="s">
        <v>215</v>
      </c>
      <c r="C281" s="6">
        <v>2026</v>
      </c>
      <c r="D281" s="6">
        <v>1</v>
      </c>
      <c r="E281" s="9" t="s">
        <v>188</v>
      </c>
      <c r="F281" s="10">
        <f>SUMIFS(Data!$K:$K,Data!$A:$A,2026,Data!$B:$B,1,Data!$G:$G,"CDU",Data!$F:$F,"PADD 5")</f>
        <v>60.0</v>
      </c>
      <c r="G281" s="11">
        <f>IFERROR(F281/F280-1,"")</f>
        <v>-0.6586059743954481</v>
      </c>
      <c r="H281" s="11">
        <f>IFERROR(F281/F269-1,"")</f>
        <v>-0.25456578456951173</v>
      </c>
    </row>
    <row r="282" spans="1:8">
      <c r="A282" s="6" t="s">
        <v>12</v>
      </c>
      <c r="B282" s="6" t="s">
        <v>215</v>
      </c>
      <c r="C282" s="6">
        <v>2026</v>
      </c>
      <c r="D282" s="6">
        <v>2</v>
      </c>
      <c r="E282" s="9" t="s">
        <v>189</v>
      </c>
      <c r="F282" s="10">
        <f>SUMIFS(Data!$K:$K,Data!$A:$A,2026,Data!$B:$B,2,Data!$G:$G,"CDU",Data!$F:$F,"PADD 5")</f>
        <v>95.628</v>
      </c>
      <c r="G282" s="11">
        <f>IFERROR(F282/F281-1,"")</f>
        <v>0.5938000000000001</v>
      </c>
      <c r="H282" s="11">
        <f>IFERROR(F282/F270-1,"")</f>
        <v>-0.49456926760429387</v>
      </c>
    </row>
    <row r="283" spans="1:8">
      <c r="A283" s="6" t="s">
        <v>12</v>
      </c>
      <c r="B283" s="6" t="s">
        <v>215</v>
      </c>
      <c r="C283" s="6">
        <v>2026</v>
      </c>
      <c r="D283" s="6">
        <v>3</v>
      </c>
      <c r="E283" s="9" t="s">
        <v>190</v>
      </c>
      <c r="F283" s="10">
        <f>SUMIFS(Data!$K:$K,Data!$A:$A,2026,Data!$B:$B,3,Data!$G:$G,"CDU",Data!$F:$F,"PADD 5")</f>
        <v>74.95</v>
      </c>
      <c r="G283" s="11">
        <f>IFERROR(F283/F282-1,"")</f>
        <v>-0.2162337390722382</v>
      </c>
      <c r="H283" s="11">
        <f>IFERROR(F283/F271-1,"")</f>
        <v>-0.806368775124265</v>
      </c>
    </row>
    <row r="284" spans="1:8">
      <c r="A284" s="6" t="s">
        <v>12</v>
      </c>
      <c r="B284" s="6" t="s">
        <v>215</v>
      </c>
      <c r="C284" s="6">
        <v>2026</v>
      </c>
      <c r="D284" s="6">
        <v>4</v>
      </c>
      <c r="E284" s="9" t="s">
        <v>191</v>
      </c>
      <c r="F284" s="10">
        <f>SUMIFS(Data!$K:$K,Data!$A:$A,2026,Data!$B:$B,4,Data!$G:$G,"CDU",Data!$F:$F,"PADD 5")</f>
        <v>329.565</v>
      </c>
      <c r="G284" s="11">
        <f>IFERROR(F284/F283-1,"")</f>
        <v>3.3971314209472983</v>
      </c>
      <c r="H284" s="11">
        <f>IFERROR(F284/F272-1,"")</f>
        <v>-0.39121640343585484</v>
      </c>
    </row>
    <row r="285" spans="1:8">
      <c r="A285" s="6" t="s">
        <v>12</v>
      </c>
      <c r="B285" s="6" t="s">
        <v>215</v>
      </c>
      <c r="C285" s="6">
        <v>2026</v>
      </c>
      <c r="D285" s="6">
        <v>5</v>
      </c>
      <c r="E285" s="9" t="s">
        <v>192</v>
      </c>
      <c r="F285" s="10">
        <f>SUMIFS(Data!$K:$K,Data!$A:$A,2026,Data!$B:$B,5,Data!$G:$G,"CDU",Data!$F:$F,"PADD 5")</f>
        <v>184.48</v>
      </c>
      <c r="G285" s="11">
        <f>IFERROR(F285/F284-1,"")</f>
        <v>-0.44023182073339107</v>
      </c>
      <c r="H285" s="11">
        <f>IFERROR(F285/F273-1,"")</f>
        <v>-0.4768009075439592</v>
      </c>
    </row>
    <row r="286" spans="1:8">
      <c r="A286" s="6" t="s">
        <v>12</v>
      </c>
      <c r="B286" s="6" t="s">
        <v>215</v>
      </c>
      <c r="C286" s="6">
        <v>2026</v>
      </c>
      <c r="D286" s="6">
        <v>6</v>
      </c>
      <c r="E286" s="9" t="s">
        <v>193</v>
      </c>
      <c r="F286" s="10">
        <f>SUMIFS(Data!$K:$K,Data!$A:$A,2026,Data!$B:$B,6,Data!$G:$G,"CDU",Data!$F:$F,"PADD 5")</f>
        <v>83.1</v>
      </c>
      <c r="G286" s="11">
        <f>IFERROR(F286/F285-1,"")</f>
        <v>-0.5495446660884649</v>
      </c>
      <c r="H286" s="11">
        <f>IFERROR(F286/F274-1,"")</f>
        <v>-0.5950292397660819</v>
      </c>
    </row>
    <row r="287" spans="1:8">
      <c r="A287" s="6" t="s">
        <v>12</v>
      </c>
      <c r="B287" s="6" t="s">
        <v>215</v>
      </c>
      <c r="C287" s="6">
        <v>2026</v>
      </c>
      <c r="D287" s="6">
        <v>7</v>
      </c>
      <c r="E287" s="9" t="s">
        <v>194</v>
      </c>
      <c r="F287" s="10">
        <f>SUMIFS(Data!$K:$K,Data!$A:$A,2026,Data!$B:$B,7,Data!$G:$G,"CDU",Data!$F:$F,"PADD 5")</f>
        <v>74.4</v>
      </c>
      <c r="G287" s="11">
        <f>IFERROR(F287/F286-1,"")</f>
        <v>-0.10469314079422365</v>
      </c>
      <c r="H287" s="11">
        <f>IFERROR(F287/F275-1,"")</f>
        <v>0.2556962025316456</v>
      </c>
    </row>
    <row r="288" spans="1:8">
      <c r="A288" s="6" t="s">
        <v>12</v>
      </c>
      <c r="B288" s="6" t="s">
        <v>215</v>
      </c>
      <c r="C288" s="6">
        <v>2026</v>
      </c>
      <c r="D288" s="6">
        <v>8</v>
      </c>
      <c r="E288" s="9" t="s">
        <v>195</v>
      </c>
      <c r="F288" s="10">
        <f>SUMIFS(Data!$K:$K,Data!$A:$A,2026,Data!$B:$B,8,Data!$G:$G,"CDU",Data!$F:$F,"PADD 5")</f>
        <v>0.0</v>
      </c>
      <c r="G288" s="11">
        <f>IFERROR(F288/F287-1,"")</f>
        <v>-1.0</v>
      </c>
      <c r="H288" s="11">
        <f>IFERROR(F288/F276-1,"")</f>
        <v>-1.0</v>
      </c>
    </row>
    <row r="289" spans="1:8">
      <c r="A289" s="6" t="s">
        <v>12</v>
      </c>
      <c r="B289" s="6" t="s">
        <v>215</v>
      </c>
      <c r="C289" s="6">
        <v>2026</v>
      </c>
      <c r="D289" s="6">
        <v>9</v>
      </c>
      <c r="E289" s="9" t="s">
        <v>196</v>
      </c>
      <c r="F289" s="10">
        <f>SUMIFS(Data!$K:$K,Data!$A:$A,2026,Data!$B:$B,9,Data!$G:$G,"CDU",Data!$F:$F,"PADD 5")</f>
        <v>0.0</v>
      </c>
      <c r="G289" s="11">
        <f>IFERROR(F289/F288-1,"")</f>
        <v/>
      </c>
      <c r="H289" s="11">
        <f>IFERROR(F289/F277-1,"")</f>
        <v>-1.0</v>
      </c>
    </row>
    <row r="290" spans="1:8">
      <c r="A290" s="6" t="s">
        <v>12</v>
      </c>
      <c r="B290" s="6" t="s">
        <v>215</v>
      </c>
      <c r="C290" s="6">
        <v>2026</v>
      </c>
      <c r="D290" s="6">
        <v>10</v>
      </c>
      <c r="E290" s="9" t="s">
        <v>197</v>
      </c>
      <c r="F290" s="10">
        <f>SUMIFS(Data!$K:$K,Data!$A:$A,2026,Data!$B:$B,10,Data!$G:$G,"CDU",Data!$F:$F,"PADD 5")</f>
        <v>0.0</v>
      </c>
      <c r="G290" s="11">
        <f>IFERROR(F290/F289-1,"")</f>
        <v/>
      </c>
      <c r="H290" s="11">
        <f>IFERROR(F290/F278-1,"")</f>
        <v>-1.0</v>
      </c>
    </row>
    <row r="291" spans="1:8">
      <c r="A291" s="6" t="s">
        <v>12</v>
      </c>
      <c r="B291" s="6" t="s">
        <v>215</v>
      </c>
      <c r="C291" s="6">
        <v>2026</v>
      </c>
      <c r="D291" s="6">
        <v>11</v>
      </c>
      <c r="E291" s="9" t="s">
        <v>198</v>
      </c>
      <c r="F291" s="10">
        <f>SUMIFS(Data!$K:$K,Data!$A:$A,2026,Data!$B:$B,11,Data!$G:$G,"CDU",Data!$F:$F,"PADD 5")</f>
        <v>0.0</v>
      </c>
      <c r="G291" s="11">
        <f>IFERROR(F291/F290-1,"")</f>
        <v/>
      </c>
      <c r="H291" s="11">
        <f>IFERROR(F291/F279-1,"")</f>
        <v>-1.0</v>
      </c>
    </row>
    <row r="292" spans="1:8">
      <c r="A292" s="6" t="s">
        <v>12</v>
      </c>
      <c r="B292" s="6" t="s">
        <v>215</v>
      </c>
      <c r="C292" s="6">
        <v>2026</v>
      </c>
      <c r="D292" s="6">
        <v>12</v>
      </c>
      <c r="E292" s="9" t="s">
        <v>199</v>
      </c>
      <c r="F292" s="10">
        <f>SUMIFS(Data!$K:$K,Data!$A:$A,2026,Data!$B:$B,12,Data!$G:$G,"CDU",Data!$F:$F,"PADD 5")</f>
        <v>0.0</v>
      </c>
      <c r="G292" s="11">
        <f>IFERROR(F292/F291-1,"")</f>
        <v/>
      </c>
      <c r="H292" s="11">
        <f>IFERROR(F292/F280-1,"")</f>
        <v>-1.0</v>
      </c>
    </row>
    <row r="293" spans="1:8">
      <c r="A293" s="6" t="s">
        <v>12</v>
      </c>
      <c r="B293" s="6" t="s">
        <v>215</v>
      </c>
      <c r="C293" s="6">
        <v>2027</v>
      </c>
      <c r="D293" s="6">
        <v>1</v>
      </c>
      <c r="E293" s="9" t="s">
        <v>200</v>
      </c>
      <c r="F293" s="10">
        <f>SUMIFS(Data!$K:$K,Data!$A:$A,2027,Data!$B:$B,1,Data!$G:$G,"CDU",Data!$F:$F,"PADD 5")</f>
        <v>154.55</v>
      </c>
      <c r="G293" s="11">
        <f>IFERROR(F293/F292-1,"")</f>
        <v/>
      </c>
      <c r="H293" s="11">
        <f>IFERROR(F293/F281-1,"")</f>
        <v>1.5758333333333336</v>
      </c>
    </row>
    <row r="294" spans="1:8">
      <c r="A294" s="6" t="s">
        <v>12</v>
      </c>
      <c r="B294" s="6" t="s">
        <v>215</v>
      </c>
      <c r="C294" s="6">
        <v>2027</v>
      </c>
      <c r="D294" s="6">
        <v>2</v>
      </c>
      <c r="E294" s="9" t="s">
        <v>201</v>
      </c>
      <c r="F294" s="10">
        <f>SUMIFS(Data!$K:$K,Data!$A:$A,2027,Data!$B:$B,2,Data!$G:$G,"CDU",Data!$F:$F,"PADD 5")</f>
        <v>198.84799999999998</v>
      </c>
      <c r="G294" s="11">
        <f>IFERROR(F294/F293-1,"")</f>
        <v>0.2866256874797799</v>
      </c>
      <c r="H294" s="11">
        <f>IFERROR(F294/F282-1,"")</f>
        <v>1.0793909733550842</v>
      </c>
    </row>
    <row r="295" spans="1:8">
      <c r="A295" s="6" t="s">
        <v>12</v>
      </c>
      <c r="B295" s="6" t="s">
        <v>215</v>
      </c>
      <c r="C295" s="6">
        <v>2027</v>
      </c>
      <c r="D295" s="6">
        <v>3</v>
      </c>
      <c r="E295" s="9" t="s">
        <v>202</v>
      </c>
      <c r="F295" s="10">
        <f>SUMIFS(Data!$K:$K,Data!$A:$A,2027,Data!$B:$B,3,Data!$G:$G,"CDU",Data!$F:$F,"PADD 5")</f>
        <v>149.45</v>
      </c>
      <c r="G295" s="11">
        <f>IFERROR(F295/F294-1,"")</f>
        <v>-0.24842090440939812</v>
      </c>
      <c r="H295" s="11">
        <f>IFERROR(F295/F283-1,"")</f>
        <v>0.9939959973315542</v>
      </c>
    </row>
    <row r="296" spans="1:8">
      <c r="A296" s="6" t="s">
        <v>12</v>
      </c>
      <c r="B296" s="6" t="s">
        <v>215</v>
      </c>
      <c r="C296" s="6">
        <v>2027</v>
      </c>
      <c r="D296" s="6">
        <v>4</v>
      </c>
      <c r="E296" s="9" t="s">
        <v>203</v>
      </c>
      <c r="F296" s="10">
        <f>SUMIFS(Data!$K:$K,Data!$A:$A,2027,Data!$B:$B,4,Data!$G:$G,"CDU",Data!$F:$F,"PADD 5")</f>
        <v>4.605</v>
      </c>
      <c r="G296" s="11">
        <f>IFERROR(F296/F295-1,"")</f>
        <v>-0.969187019069923</v>
      </c>
      <c r="H296" s="11">
        <f>IFERROR(F296/F284-1,"")</f>
        <v>-0.9860270356378863</v>
      </c>
    </row>
    <row r="297" spans="1:8">
      <c r="A297" s="6" t="s">
        <v>12</v>
      </c>
      <c r="B297" s="6" t="s">
        <v>215</v>
      </c>
      <c r="C297" s="6">
        <v>2027</v>
      </c>
      <c r="D297" s="6">
        <v>5</v>
      </c>
      <c r="E297" s="9" t="s">
        <v>204</v>
      </c>
      <c r="F297" s="10">
        <f>SUMIFS(Data!$K:$K,Data!$A:$A,2027,Data!$B:$B,5,Data!$G:$G,"CDU",Data!$F:$F,"PADD 5")</f>
        <v>47.839999999999996</v>
      </c>
      <c r="G297" s="11">
        <f>IFERROR(F297/F296-1,"")</f>
        <v>9.388707926167207</v>
      </c>
      <c r="H297" s="11">
        <f>IFERROR(F297/F285-1,"")</f>
        <v>-0.7406764960971379</v>
      </c>
    </row>
    <row r="298" spans="1:8">
      <c r="A298" s="6" t="s">
        <v>12</v>
      </c>
      <c r="B298" s="6" t="s">
        <v>215</v>
      </c>
      <c r="C298" s="6">
        <v>2027</v>
      </c>
      <c r="D298" s="6">
        <v>6</v>
      </c>
      <c r="E298" s="9" t="s">
        <v>205</v>
      </c>
      <c r="F298" s="10">
        <f>SUMIFS(Data!$K:$K,Data!$A:$A,2027,Data!$B:$B,6,Data!$G:$G,"CDU",Data!$F:$F,"PADD 5")</f>
        <v>0.0</v>
      </c>
      <c r="G298" s="11">
        <f>IFERROR(F298/F297-1,"")</f>
        <v>-1.0</v>
      </c>
      <c r="H298" s="11">
        <f>IFERROR(F298/F286-1,"")</f>
        <v>-1.0</v>
      </c>
    </row>
    <row r="299" spans="1:8">
      <c r="A299" s="6" t="s">
        <v>12</v>
      </c>
      <c r="B299" s="6" t="s">
        <v>215</v>
      </c>
      <c r="C299" s="6">
        <v>2027</v>
      </c>
      <c r="D299" s="6">
        <v>7</v>
      </c>
      <c r="E299" s="9" t="s">
        <v>206</v>
      </c>
      <c r="F299" s="10">
        <f>SUMIFS(Data!$K:$K,Data!$A:$A,2027,Data!$B:$B,7,Data!$G:$G,"CDU",Data!$F:$F,"PADD 5")</f>
        <v>0.0</v>
      </c>
      <c r="G299" s="11">
        <f>IFERROR(F299/F298-1,"")</f>
        <v/>
      </c>
      <c r="H299" s="11">
        <f>IFERROR(F299/F287-1,"")</f>
        <v>-1.0</v>
      </c>
    </row>
    <row r="300" spans="1:8">
      <c r="A300" s="6" t="s">
        <v>12</v>
      </c>
      <c r="B300" s="6" t="s">
        <v>215</v>
      </c>
      <c r="C300" s="6">
        <v>2027</v>
      </c>
      <c r="D300" s="6">
        <v>8</v>
      </c>
      <c r="E300" s="9" t="s">
        <v>207</v>
      </c>
      <c r="F300" s="10">
        <f>SUMIFS(Data!$K:$K,Data!$A:$A,2027,Data!$B:$B,8,Data!$G:$G,"CDU",Data!$F:$F,"PADD 5")</f>
        <v>0.0</v>
      </c>
      <c r="G300" s="11">
        <f>IFERROR(F300/F299-1,"")</f>
        <v/>
      </c>
      <c r="H300" s="11">
        <f>IFERROR(F300/F288-1,"")</f>
        <v/>
      </c>
    </row>
    <row r="301" spans="1:8">
      <c r="A301" s="6" t="s">
        <v>12</v>
      </c>
      <c r="B301" s="6" t="s">
        <v>215</v>
      </c>
      <c r="C301" s="6">
        <v>2027</v>
      </c>
      <c r="D301" s="6">
        <v>9</v>
      </c>
      <c r="E301" s="9" t="s">
        <v>208</v>
      </c>
      <c r="F301" s="10">
        <f>SUMIFS(Data!$K:$K,Data!$A:$A,2027,Data!$B:$B,9,Data!$G:$G,"CDU",Data!$F:$F,"PADD 5")</f>
        <v>47.0</v>
      </c>
      <c r="G301" s="11">
        <f>IFERROR(F301/F300-1,"")</f>
        <v/>
      </c>
      <c r="H301" s="11">
        <f>IFERROR(F301/F289-1,"")</f>
        <v/>
      </c>
    </row>
    <row r="302" spans="1:8">
      <c r="A302" s="6" t="s">
        <v>12</v>
      </c>
      <c r="B302" s="6" t="s">
        <v>215</v>
      </c>
      <c r="C302" s="6">
        <v>2027</v>
      </c>
      <c r="D302" s="6">
        <v>10</v>
      </c>
      <c r="E302" s="9" t="s">
        <v>209</v>
      </c>
      <c r="F302" s="10">
        <f>SUMIFS(Data!$K:$K,Data!$A:$A,2027,Data!$B:$B,10,Data!$G:$G,"CDU",Data!$F:$F,"PADD 5")</f>
        <v>332.8</v>
      </c>
      <c r="G302" s="11">
        <f>IFERROR(F302/F301-1,"")</f>
        <v>6.080851063829788</v>
      </c>
      <c r="H302" s="11">
        <f>IFERROR(F302/F290-1,"")</f>
        <v/>
      </c>
    </row>
    <row r="303" spans="1:8">
      <c r="A303" s="6" t="s">
        <v>12</v>
      </c>
      <c r="B303" s="6" t="s">
        <v>215</v>
      </c>
      <c r="C303" s="6">
        <v>2027</v>
      </c>
      <c r="D303" s="6">
        <v>11</v>
      </c>
      <c r="E303" s="9" t="s">
        <v>210</v>
      </c>
      <c r="F303" s="10">
        <f>SUMIFS(Data!$K:$K,Data!$A:$A,2027,Data!$B:$B,11,Data!$G:$G,"CDU",Data!$F:$F,"PADD 5")</f>
        <v>33.0</v>
      </c>
      <c r="G303" s="11">
        <f>IFERROR(F303/F302-1,"")</f>
        <v>-0.9008413461538461</v>
      </c>
      <c r="H303" s="11">
        <f>IFERROR(F303/F291-1,"")</f>
        <v/>
      </c>
    </row>
    <row r="304" spans="1:8">
      <c r="A304" s="6" t="s">
        <v>12</v>
      </c>
      <c r="B304" s="6" t="s">
        <v>215</v>
      </c>
      <c r="C304" s="6">
        <v>2027</v>
      </c>
      <c r="D304" s="6">
        <v>12</v>
      </c>
      <c r="E304" s="9" t="s">
        <v>211</v>
      </c>
      <c r="F304" s="10">
        <f>SUMIFS(Data!$K:$K,Data!$A:$A,2027,Data!$B:$B,12,Data!$G:$G,"CDU",Data!$F:$F,"PADD 5")</f>
        <v>0.0</v>
      </c>
      <c r="G304" s="11">
        <f>IFERROR(F304/F303-1,"")</f>
        <v>-1.0</v>
      </c>
      <c r="H304" s="11">
        <f>IFERROR(F304/F292-1,"")</f>
        <v/>
      </c>
    </row>
    <row r="305" spans="1:8">
      <c r="A305" s="6" t="s">
        <v>13</v>
      </c>
      <c r="B305" s="6" t="s">
        <v>151</v>
      </c>
      <c r="C305" s="6">
        <v>2023</v>
      </c>
      <c r="D305" s="6">
        <v>1</v>
      </c>
      <c r="E305" s="9" t="s">
        <v>152</v>
      </c>
      <c r="F305" s="10">
        <f>SUMIFS(Data!$K:$K,Data!$A:$A,2023,Data!$B:$B,1,Data!$G:$G,"FCC",Data!$F:$F,"PADD 1")</f>
        <v>0.0</v>
      </c>
    </row>
    <row r="306" spans="1:8">
      <c r="A306" s="6" t="s">
        <v>13</v>
      </c>
      <c r="B306" s="6" t="s">
        <v>151</v>
      </c>
      <c r="C306" s="6">
        <v>2023</v>
      </c>
      <c r="D306" s="6">
        <v>2</v>
      </c>
      <c r="E306" s="9" t="s">
        <v>153</v>
      </c>
      <c r="F306" s="10">
        <f>SUMIFS(Data!$K:$K,Data!$A:$A,2023,Data!$B:$B,2,Data!$G:$G,"FCC",Data!$F:$F,"PADD 1")</f>
        <v>150.0</v>
      </c>
      <c r="G306" s="11">
        <f>IFERROR(F306/F305-1,"")</f>
        <v/>
      </c>
    </row>
    <row r="307" spans="1:8">
      <c r="A307" s="6" t="s">
        <v>13</v>
      </c>
      <c r="B307" s="6" t="s">
        <v>151</v>
      </c>
      <c r="C307" s="6">
        <v>2023</v>
      </c>
      <c r="D307" s="6">
        <v>3</v>
      </c>
      <c r="E307" s="9" t="s">
        <v>154</v>
      </c>
      <c r="F307" s="10">
        <f>SUMIFS(Data!$K:$K,Data!$A:$A,2023,Data!$B:$B,3,Data!$G:$G,"FCC",Data!$F:$F,"PADD 1")</f>
        <v>134.58</v>
      </c>
      <c r="G307" s="11">
        <f>IFERROR(F307/F306-1,"")</f>
        <v>-0.10279999999999989</v>
      </c>
    </row>
    <row r="308" spans="1:8">
      <c r="A308" s="6" t="s">
        <v>13</v>
      </c>
      <c r="B308" s="6" t="s">
        <v>151</v>
      </c>
      <c r="C308" s="6">
        <v>2023</v>
      </c>
      <c r="D308" s="6">
        <v>4</v>
      </c>
      <c r="E308" s="9" t="s">
        <v>155</v>
      </c>
      <c r="F308" s="10">
        <f>SUMIFS(Data!$K:$K,Data!$A:$A,2023,Data!$B:$B,4,Data!$G:$G,"FCC",Data!$F:$F,"PADD 1")</f>
        <v>0.0</v>
      </c>
      <c r="G308" s="11">
        <f>IFERROR(F308/F307-1,"")</f>
        <v>-1.0</v>
      </c>
    </row>
    <row r="309" spans="1:8">
      <c r="A309" s="6" t="s">
        <v>13</v>
      </c>
      <c r="B309" s="6" t="s">
        <v>151</v>
      </c>
      <c r="C309" s="6">
        <v>2023</v>
      </c>
      <c r="D309" s="6">
        <v>5</v>
      </c>
      <c r="E309" s="9" t="s">
        <v>156</v>
      </c>
      <c r="F309" s="10">
        <f>SUMIFS(Data!$K:$K,Data!$A:$A,2023,Data!$B:$B,5,Data!$G:$G,"FCC",Data!$F:$F,"PADD 1")</f>
        <v>0.0</v>
      </c>
      <c r="G309" s="11">
        <f>IFERROR(F309/F308-1,"")</f>
        <v/>
      </c>
    </row>
    <row r="310" spans="1:8">
      <c r="A310" s="6" t="s">
        <v>13</v>
      </c>
      <c r="B310" s="6" t="s">
        <v>151</v>
      </c>
      <c r="C310" s="6">
        <v>2023</v>
      </c>
      <c r="D310" s="6">
        <v>6</v>
      </c>
      <c r="E310" s="9" t="s">
        <v>157</v>
      </c>
      <c r="F310" s="10">
        <f>SUMIFS(Data!$K:$K,Data!$A:$A,2023,Data!$B:$B,6,Data!$G:$G,"FCC",Data!$F:$F,"PADD 1")</f>
        <v>94.5</v>
      </c>
      <c r="G310" s="11">
        <f>IFERROR(F310/F309-1,"")</f>
        <v/>
      </c>
    </row>
    <row r="311" spans="1:8">
      <c r="A311" s="6" t="s">
        <v>13</v>
      </c>
      <c r="B311" s="6" t="s">
        <v>151</v>
      </c>
      <c r="C311" s="6">
        <v>2023</v>
      </c>
      <c r="D311" s="6">
        <v>7</v>
      </c>
      <c r="E311" s="9" t="s">
        <v>158</v>
      </c>
      <c r="F311" s="10">
        <f>SUMIFS(Data!$K:$K,Data!$A:$A,2023,Data!$B:$B,7,Data!$G:$G,"FCC",Data!$F:$F,"PADD 1")</f>
        <v>87.0</v>
      </c>
      <c r="G311" s="11">
        <f>IFERROR(F311/F310-1,"")</f>
        <v>-0.07936507936507942</v>
      </c>
    </row>
    <row r="312" spans="1:8">
      <c r="A312" s="6" t="s">
        <v>13</v>
      </c>
      <c r="B312" s="6" t="s">
        <v>151</v>
      </c>
      <c r="C312" s="6">
        <v>2023</v>
      </c>
      <c r="D312" s="6">
        <v>8</v>
      </c>
      <c r="E312" s="9" t="s">
        <v>159</v>
      </c>
      <c r="F312" s="10">
        <f>SUMIFS(Data!$K:$K,Data!$A:$A,2023,Data!$B:$B,8,Data!$G:$G,"FCC",Data!$F:$F,"PADD 1")</f>
        <v>0.0</v>
      </c>
      <c r="G312" s="11">
        <f>IFERROR(F312/F311-1,"")</f>
        <v>-1.0</v>
      </c>
    </row>
    <row r="313" spans="1:8">
      <c r="A313" s="6" t="s">
        <v>13</v>
      </c>
      <c r="B313" s="6" t="s">
        <v>151</v>
      </c>
      <c r="C313" s="6">
        <v>2023</v>
      </c>
      <c r="D313" s="6">
        <v>9</v>
      </c>
      <c r="E313" s="9" t="s">
        <v>160</v>
      </c>
      <c r="F313" s="10">
        <f>SUMIFS(Data!$K:$K,Data!$A:$A,2023,Data!$B:$B,9,Data!$G:$G,"FCC",Data!$F:$F,"PADD 1")</f>
        <v>36.04</v>
      </c>
      <c r="G313" s="11">
        <f>IFERROR(F313/F312-1,"")</f>
        <v/>
      </c>
    </row>
    <row r="314" spans="1:8">
      <c r="A314" s="6" t="s">
        <v>13</v>
      </c>
      <c r="B314" s="6" t="s">
        <v>151</v>
      </c>
      <c r="C314" s="6">
        <v>2023</v>
      </c>
      <c r="D314" s="6">
        <v>10</v>
      </c>
      <c r="E314" s="9" t="s">
        <v>161</v>
      </c>
      <c r="F314" s="10">
        <f>SUMIFS(Data!$K:$K,Data!$A:$A,2023,Data!$B:$B,10,Data!$G:$G,"FCC",Data!$F:$F,"PADD 1")</f>
        <v>68.0</v>
      </c>
      <c r="G314" s="11">
        <f>IFERROR(F314/F313-1,"")</f>
        <v>0.8867924528301887</v>
      </c>
    </row>
    <row r="315" spans="1:8">
      <c r="A315" s="6" t="s">
        <v>13</v>
      </c>
      <c r="B315" s="6" t="s">
        <v>151</v>
      </c>
      <c r="C315" s="6">
        <v>2023</v>
      </c>
      <c r="D315" s="6">
        <v>11</v>
      </c>
      <c r="E315" s="9" t="s">
        <v>162</v>
      </c>
      <c r="F315" s="10">
        <f>SUMIFS(Data!$K:$K,Data!$A:$A,2023,Data!$B:$B,11,Data!$G:$G,"FCC",Data!$F:$F,"PADD 1")</f>
        <v>45.56</v>
      </c>
      <c r="G315" s="11">
        <f>IFERROR(F315/F314-1,"")</f>
        <v>-0.32999999999999996</v>
      </c>
    </row>
    <row r="316" spans="1:8">
      <c r="A316" s="6" t="s">
        <v>13</v>
      </c>
      <c r="B316" s="6" t="s">
        <v>151</v>
      </c>
      <c r="C316" s="6">
        <v>2023</v>
      </c>
      <c r="D316" s="6">
        <v>12</v>
      </c>
      <c r="E316" s="9" t="s">
        <v>163</v>
      </c>
      <c r="F316" s="10">
        <f>SUMIFS(Data!$K:$K,Data!$A:$A,2023,Data!$B:$B,12,Data!$G:$G,"FCC",Data!$F:$F,"PADD 1")</f>
        <v>0.0</v>
      </c>
      <c r="G316" s="11">
        <f>IFERROR(F316/F315-1,"")</f>
        <v>-1.0</v>
      </c>
    </row>
    <row r="317" spans="1:8">
      <c r="A317" s="6" t="s">
        <v>13</v>
      </c>
      <c r="B317" s="6" t="s">
        <v>151</v>
      </c>
      <c r="C317" s="6">
        <v>2024</v>
      </c>
      <c r="D317" s="6">
        <v>1</v>
      </c>
      <c r="E317" s="9" t="s">
        <v>164</v>
      </c>
      <c r="F317" s="10">
        <f>SUMIFS(Data!$K:$K,Data!$A:$A,2024,Data!$B:$B,1,Data!$G:$G,"FCC",Data!$F:$F,"PADD 1")</f>
        <v>8.84</v>
      </c>
      <c r="G317" s="11">
        <f>IFERROR(F317/F316-1,"")</f>
        <v/>
      </c>
      <c r="H317" s="11">
        <f>IFERROR(F317/F305-1,"")</f>
        <v/>
      </c>
    </row>
    <row r="318" spans="1:8">
      <c r="A318" s="6" t="s">
        <v>13</v>
      </c>
      <c r="B318" s="6" t="s">
        <v>151</v>
      </c>
      <c r="C318" s="6">
        <v>2024</v>
      </c>
      <c r="D318" s="6">
        <v>2</v>
      </c>
      <c r="E318" s="9" t="s">
        <v>165</v>
      </c>
      <c r="F318" s="10">
        <f>SUMIFS(Data!$K:$K,Data!$A:$A,2024,Data!$B:$B,2,Data!$G:$G,"FCC",Data!$F:$F,"PADD 1")</f>
        <v>47.71</v>
      </c>
      <c r="G318" s="11">
        <f>IFERROR(F318/F317-1,"")</f>
        <v>4.397058823529412</v>
      </c>
      <c r="H318" s="11">
        <f>IFERROR(F318/F306-1,"")</f>
        <v>-0.6819333333333333</v>
      </c>
    </row>
    <row r="319" spans="1:8">
      <c r="A319" s="6" t="s">
        <v>13</v>
      </c>
      <c r="B319" s="6" t="s">
        <v>151</v>
      </c>
      <c r="C319" s="6">
        <v>2024</v>
      </c>
      <c r="D319" s="6">
        <v>3</v>
      </c>
      <c r="E319" s="9" t="s">
        <v>166</v>
      </c>
      <c r="F319" s="10">
        <f>SUMIFS(Data!$K:$K,Data!$A:$A,2024,Data!$B:$B,3,Data!$G:$G,"FCC",Data!$F:$F,"PADD 1")</f>
        <v>82.73</v>
      </c>
      <c r="G319" s="11">
        <f>IFERROR(F319/F318-1,"")</f>
        <v>0.7340180255711592</v>
      </c>
      <c r="H319" s="11">
        <f>IFERROR(F319/F307-1,"")</f>
        <v>-0.3852727002526378</v>
      </c>
    </row>
    <row r="320" spans="1:8">
      <c r="A320" s="6" t="s">
        <v>13</v>
      </c>
      <c r="B320" s="6" t="s">
        <v>151</v>
      </c>
      <c r="C320" s="6">
        <v>2024</v>
      </c>
      <c r="D320" s="6">
        <v>4</v>
      </c>
      <c r="E320" s="9" t="s">
        <v>167</v>
      </c>
      <c r="F320" s="10">
        <f>SUMIFS(Data!$K:$K,Data!$A:$A,2024,Data!$B:$B,4,Data!$G:$G,"FCC",Data!$F:$F,"PADD 1")</f>
        <v>75.53</v>
      </c>
      <c r="G320" s="11">
        <f>IFERROR(F320/F319-1,"")</f>
        <v>-0.08703009790886018</v>
      </c>
      <c r="H320" s="11">
        <f>IFERROR(F320/F308-1,"")</f>
        <v/>
      </c>
    </row>
    <row r="321" spans="1:8">
      <c r="A321" s="6" t="s">
        <v>13</v>
      </c>
      <c r="B321" s="6" t="s">
        <v>151</v>
      </c>
      <c r="C321" s="6">
        <v>2024</v>
      </c>
      <c r="D321" s="6">
        <v>5</v>
      </c>
      <c r="E321" s="9" t="s">
        <v>168</v>
      </c>
      <c r="F321" s="10">
        <f>SUMIFS(Data!$K:$K,Data!$A:$A,2024,Data!$B:$B,5,Data!$G:$G,"FCC",Data!$F:$F,"PADD 1")</f>
        <v>0.0</v>
      </c>
      <c r="G321" s="11">
        <f>IFERROR(F321/F320-1,"")</f>
        <v>-1.0</v>
      </c>
      <c r="H321" s="11">
        <f>IFERROR(F321/F309-1,"")</f>
        <v/>
      </c>
    </row>
    <row r="322" spans="1:8">
      <c r="A322" s="6" t="s">
        <v>13</v>
      </c>
      <c r="B322" s="6" t="s">
        <v>151</v>
      </c>
      <c r="C322" s="6">
        <v>2024</v>
      </c>
      <c r="D322" s="6">
        <v>6</v>
      </c>
      <c r="E322" s="9" t="s">
        <v>169</v>
      </c>
      <c r="F322" s="10">
        <f>SUMIFS(Data!$K:$K,Data!$A:$A,2024,Data!$B:$B,6,Data!$G:$G,"FCC",Data!$F:$F,"PADD 1")</f>
        <v>0.0</v>
      </c>
      <c r="G322" s="11">
        <f>IFERROR(F322/F321-1,"")</f>
        <v/>
      </c>
      <c r="H322" s="11">
        <f>IFERROR(F322/F310-1,"")</f>
        <v>-1.0</v>
      </c>
    </row>
    <row r="323" spans="1:8">
      <c r="A323" s="6" t="s">
        <v>13</v>
      </c>
      <c r="B323" s="6" t="s">
        <v>151</v>
      </c>
      <c r="C323" s="6">
        <v>2024</v>
      </c>
      <c r="D323" s="6">
        <v>7</v>
      </c>
      <c r="E323" s="9" t="s">
        <v>170</v>
      </c>
      <c r="F323" s="10">
        <f>SUMIFS(Data!$K:$K,Data!$A:$A,2024,Data!$B:$B,7,Data!$G:$G,"FCC",Data!$F:$F,"PADD 1")</f>
        <v>50.3</v>
      </c>
      <c r="G323" s="11">
        <f>IFERROR(F323/F322-1,"")</f>
        <v/>
      </c>
      <c r="H323" s="11">
        <f>IFERROR(F323/F311-1,"")</f>
        <v>-0.42183908045977014</v>
      </c>
    </row>
    <row r="324" spans="1:8">
      <c r="A324" s="6" t="s">
        <v>13</v>
      </c>
      <c r="B324" s="6" t="s">
        <v>151</v>
      </c>
      <c r="C324" s="6">
        <v>2024</v>
      </c>
      <c r="D324" s="6">
        <v>8</v>
      </c>
      <c r="E324" s="9" t="s">
        <v>171</v>
      </c>
      <c r="F324" s="10">
        <f>SUMIFS(Data!$K:$K,Data!$A:$A,2024,Data!$B:$B,8,Data!$G:$G,"FCC",Data!$F:$F,"PADD 1")</f>
        <v>10.899999999999999</v>
      </c>
      <c r="G324" s="11">
        <f>IFERROR(F324/F323-1,"")</f>
        <v>-0.7833001988071571</v>
      </c>
      <c r="H324" s="11">
        <f>IFERROR(F324/F312-1,"")</f>
        <v/>
      </c>
    </row>
    <row r="325" spans="1:8">
      <c r="A325" s="6" t="s">
        <v>13</v>
      </c>
      <c r="B325" s="6" t="s">
        <v>151</v>
      </c>
      <c r="C325" s="6">
        <v>2024</v>
      </c>
      <c r="D325" s="6">
        <v>9</v>
      </c>
      <c r="E325" s="9" t="s">
        <v>172</v>
      </c>
      <c r="F325" s="10">
        <f>SUMIFS(Data!$K:$K,Data!$A:$A,2024,Data!$B:$B,9,Data!$G:$G,"FCC",Data!$F:$F,"PADD 1")</f>
        <v>55.46</v>
      </c>
      <c r="G325" s="11">
        <f>IFERROR(F325/F324-1,"")</f>
        <v>4.088073394495414</v>
      </c>
      <c r="H325" s="11">
        <f>IFERROR(F325/F313-1,"")</f>
        <v>0.5388457269700333</v>
      </c>
    </row>
    <row r="326" spans="1:8">
      <c r="A326" s="6" t="s">
        <v>13</v>
      </c>
      <c r="B326" s="6" t="s">
        <v>151</v>
      </c>
      <c r="C326" s="6">
        <v>2024</v>
      </c>
      <c r="D326" s="6">
        <v>10</v>
      </c>
      <c r="E326" s="9" t="s">
        <v>173</v>
      </c>
      <c r="F326" s="10">
        <f>SUMIFS(Data!$K:$K,Data!$A:$A,2024,Data!$B:$B,10,Data!$G:$G,"FCC",Data!$F:$F,"PADD 1")</f>
        <v>31.85</v>
      </c>
      <c r="G326" s="11">
        <f>IFERROR(F326/F325-1,"")</f>
        <v>-0.42571222502704653</v>
      </c>
      <c r="H326" s="11">
        <f>IFERROR(F326/F314-1,"")</f>
        <v>-0.5316176470588235</v>
      </c>
    </row>
    <row r="327" spans="1:8">
      <c r="A327" s="6" t="s">
        <v>13</v>
      </c>
      <c r="B327" s="6" t="s">
        <v>151</v>
      </c>
      <c r="C327" s="6">
        <v>2024</v>
      </c>
      <c r="D327" s="6">
        <v>11</v>
      </c>
      <c r="E327" s="9" t="s">
        <v>174</v>
      </c>
      <c r="F327" s="10">
        <f>SUMIFS(Data!$K:$K,Data!$A:$A,2024,Data!$B:$B,11,Data!$G:$G,"FCC",Data!$F:$F,"PADD 1")</f>
        <v>4.21</v>
      </c>
      <c r="G327" s="11">
        <f>IFERROR(F327/F326-1,"")</f>
        <v>-0.8678178963893249</v>
      </c>
      <c r="H327" s="11">
        <f>IFERROR(F327/F315-1,"")</f>
        <v>-0.9075943810359965</v>
      </c>
    </row>
    <row r="328" spans="1:8">
      <c r="A328" s="6" t="s">
        <v>13</v>
      </c>
      <c r="B328" s="6" t="s">
        <v>151</v>
      </c>
      <c r="C328" s="6">
        <v>2024</v>
      </c>
      <c r="D328" s="6">
        <v>12</v>
      </c>
      <c r="E328" s="9" t="s">
        <v>175</v>
      </c>
      <c r="F328" s="10">
        <f>SUMIFS(Data!$K:$K,Data!$A:$A,2024,Data!$B:$B,12,Data!$G:$G,"FCC",Data!$F:$F,"PADD 1")</f>
        <v>0.0</v>
      </c>
      <c r="G328" s="11">
        <f>IFERROR(F328/F327-1,"")</f>
        <v>-1.0</v>
      </c>
      <c r="H328" s="11">
        <f>IFERROR(F328/F316-1,"")</f>
        <v/>
      </c>
    </row>
    <row r="329" spans="1:8">
      <c r="A329" s="6" t="s">
        <v>13</v>
      </c>
      <c r="B329" s="6" t="s">
        <v>151</v>
      </c>
      <c r="C329" s="6">
        <v>2025</v>
      </c>
      <c r="D329" s="6">
        <v>1</v>
      </c>
      <c r="E329" s="9" t="s">
        <v>176</v>
      </c>
      <c r="F329" s="10">
        <f>SUMIFS(Data!$K:$K,Data!$A:$A,2025,Data!$B:$B,1,Data!$G:$G,"FCC",Data!$F:$F,"PADD 1")</f>
        <v>0.0</v>
      </c>
      <c r="G329" s="11">
        <f>IFERROR(F329/F328-1,"")</f>
        <v/>
      </c>
      <c r="H329" s="11">
        <f>IFERROR(F329/F317-1,"")</f>
        <v>-1.0</v>
      </c>
    </row>
    <row r="330" spans="1:8">
      <c r="A330" s="6" t="s">
        <v>13</v>
      </c>
      <c r="B330" s="6" t="s">
        <v>151</v>
      </c>
      <c r="C330" s="6">
        <v>2025</v>
      </c>
      <c r="D330" s="6">
        <v>2</v>
      </c>
      <c r="E330" s="9" t="s">
        <v>177</v>
      </c>
      <c r="F330" s="10">
        <f>SUMIFS(Data!$K:$K,Data!$A:$A,2025,Data!$B:$B,2,Data!$G:$G,"FCC",Data!$F:$F,"PADD 1")</f>
        <v>5.83</v>
      </c>
      <c r="G330" s="11">
        <f>IFERROR(F330/F329-1,"")</f>
        <v/>
      </c>
      <c r="H330" s="11">
        <f>IFERROR(F330/F318-1,"")</f>
        <v>-0.8778033955145672</v>
      </c>
    </row>
    <row r="331" spans="1:8">
      <c r="A331" s="6" t="s">
        <v>13</v>
      </c>
      <c r="B331" s="6" t="s">
        <v>151</v>
      </c>
      <c r="C331" s="6">
        <v>2025</v>
      </c>
      <c r="D331" s="6">
        <v>3</v>
      </c>
      <c r="E331" s="9" t="s">
        <v>178</v>
      </c>
      <c r="F331" s="10">
        <f>SUMIFS(Data!$K:$K,Data!$A:$A,2025,Data!$B:$B,3,Data!$G:$G,"FCC",Data!$F:$F,"PADD 1")</f>
        <v>0.0</v>
      </c>
      <c r="G331" s="11">
        <f>IFERROR(F331/F330-1,"")</f>
        <v>-1.0</v>
      </c>
      <c r="H331" s="11">
        <f>IFERROR(F331/F319-1,"")</f>
        <v>-1.0</v>
      </c>
    </row>
    <row r="332" spans="1:8">
      <c r="A332" s="6" t="s">
        <v>13</v>
      </c>
      <c r="B332" s="6" t="s">
        <v>151</v>
      </c>
      <c r="C332" s="6">
        <v>2025</v>
      </c>
      <c r="D332" s="6">
        <v>4</v>
      </c>
      <c r="E332" s="9" t="s">
        <v>179</v>
      </c>
      <c r="F332" s="10">
        <f>SUMIFS(Data!$K:$K,Data!$A:$A,2025,Data!$B:$B,4,Data!$G:$G,"FCC",Data!$F:$F,"PADD 1")</f>
        <v>36.375</v>
      </c>
      <c r="G332" s="11">
        <f>IFERROR(F332/F331-1,"")</f>
        <v/>
      </c>
      <c r="H332" s="11">
        <f>IFERROR(F332/F320-1,"")</f>
        <v>-0.5184032834635244</v>
      </c>
    </row>
    <row r="333" spans="1:8">
      <c r="A333" s="6" t="s">
        <v>13</v>
      </c>
      <c r="B333" s="6" t="s">
        <v>151</v>
      </c>
      <c r="C333" s="6">
        <v>2025</v>
      </c>
      <c r="D333" s="6">
        <v>5</v>
      </c>
      <c r="E333" s="9" t="s">
        <v>180</v>
      </c>
      <c r="F333" s="10">
        <f>SUMIFS(Data!$K:$K,Data!$A:$A,2025,Data!$B:$B,5,Data!$G:$G,"FCC",Data!$F:$F,"PADD 1")</f>
        <v>37.5</v>
      </c>
      <c r="G333" s="11">
        <f>IFERROR(F333/F332-1,"")</f>
        <v>0.030927835051546282</v>
      </c>
      <c r="H333" s="11">
        <f>IFERROR(F333/F321-1,"")</f>
        <v/>
      </c>
    </row>
    <row r="334" spans="1:8">
      <c r="A334" s="6" t="s">
        <v>13</v>
      </c>
      <c r="B334" s="6" t="s">
        <v>151</v>
      </c>
      <c r="C334" s="6">
        <v>2025</v>
      </c>
      <c r="D334" s="6">
        <v>6</v>
      </c>
      <c r="E334" s="9" t="s">
        <v>181</v>
      </c>
      <c r="F334" s="10">
        <f>SUMIFS(Data!$K:$K,Data!$A:$A,2025,Data!$B:$B,6,Data!$G:$G,"FCC",Data!$F:$F,"PADD 1")</f>
        <v>6.375</v>
      </c>
      <c r="G334" s="11">
        <f>IFERROR(F334/F333-1,"")</f>
        <v>-0.83</v>
      </c>
      <c r="H334" s="11">
        <f>IFERROR(F334/F322-1,"")</f>
        <v/>
      </c>
    </row>
    <row r="335" spans="1:8">
      <c r="A335" s="6" t="s">
        <v>13</v>
      </c>
      <c r="B335" s="6" t="s">
        <v>151</v>
      </c>
      <c r="C335" s="6">
        <v>2025</v>
      </c>
      <c r="D335" s="6">
        <v>7</v>
      </c>
      <c r="E335" s="9" t="s">
        <v>182</v>
      </c>
      <c r="F335" s="10">
        <f>SUMIFS(Data!$K:$K,Data!$A:$A,2025,Data!$B:$B,7,Data!$G:$G,"FCC",Data!$F:$F,"PADD 1")</f>
        <v>30.09</v>
      </c>
      <c r="G335" s="11">
        <f>IFERROR(F335/F334-1,"")</f>
        <v>3.7199999999999998</v>
      </c>
      <c r="H335" s="11">
        <f>IFERROR(F335/F323-1,"")</f>
        <v>-0.4017892644135188</v>
      </c>
    </row>
    <row r="336" spans="1:8">
      <c r="A336" s="6" t="s">
        <v>13</v>
      </c>
      <c r="B336" s="6" t="s">
        <v>151</v>
      </c>
      <c r="C336" s="6">
        <v>2025</v>
      </c>
      <c r="D336" s="6">
        <v>8</v>
      </c>
      <c r="E336" s="9" t="s">
        <v>183</v>
      </c>
      <c r="F336" s="10">
        <f>SUMIFS(Data!$K:$K,Data!$A:$A,2025,Data!$B:$B,8,Data!$G:$G,"FCC",Data!$F:$F,"PADD 1")</f>
        <v>0.0</v>
      </c>
      <c r="G336" s="11">
        <f>IFERROR(F336/F335-1,"")</f>
        <v>-1.0</v>
      </c>
      <c r="H336" s="11">
        <f>IFERROR(F336/F324-1,"")</f>
        <v>-1.0</v>
      </c>
    </row>
    <row r="337" spans="1:8">
      <c r="A337" s="6" t="s">
        <v>13</v>
      </c>
      <c r="B337" s="6" t="s">
        <v>151</v>
      </c>
      <c r="C337" s="6">
        <v>2025</v>
      </c>
      <c r="D337" s="6">
        <v>9</v>
      </c>
      <c r="E337" s="9" t="s">
        <v>184</v>
      </c>
      <c r="F337" s="10">
        <f>SUMIFS(Data!$K:$K,Data!$A:$A,2025,Data!$B:$B,9,Data!$G:$G,"FCC",Data!$F:$F,"PADD 1")</f>
        <v>0.0</v>
      </c>
      <c r="G337" s="11">
        <f>IFERROR(F337/F336-1,"")</f>
        <v/>
      </c>
      <c r="H337" s="11">
        <f>IFERROR(F337/F325-1,"")</f>
        <v>-1.0</v>
      </c>
    </row>
    <row r="338" spans="1:8">
      <c r="A338" s="6" t="s">
        <v>13</v>
      </c>
      <c r="B338" s="6" t="s">
        <v>151</v>
      </c>
      <c r="C338" s="6">
        <v>2025</v>
      </c>
      <c r="D338" s="6">
        <v>10</v>
      </c>
      <c r="E338" s="9" t="s">
        <v>185</v>
      </c>
      <c r="F338" s="10">
        <f>SUMIFS(Data!$K:$K,Data!$A:$A,2025,Data!$B:$B,10,Data!$G:$G,"FCC",Data!$F:$F,"PADD 1")</f>
        <v>0.0</v>
      </c>
      <c r="G338" s="11">
        <f>IFERROR(F338/F337-1,"")</f>
        <v/>
      </c>
      <c r="H338" s="11">
        <f>IFERROR(F338/F326-1,"")</f>
        <v>-1.0</v>
      </c>
    </row>
    <row r="339" spans="1:8">
      <c r="A339" s="6" t="s">
        <v>13</v>
      </c>
      <c r="B339" s="6" t="s">
        <v>151</v>
      </c>
      <c r="C339" s="6">
        <v>2025</v>
      </c>
      <c r="D339" s="6">
        <v>11</v>
      </c>
      <c r="E339" s="9" t="s">
        <v>186</v>
      </c>
      <c r="F339" s="10">
        <f>SUMIFS(Data!$K:$K,Data!$A:$A,2025,Data!$B:$B,11,Data!$G:$G,"FCC",Data!$F:$F,"PADD 1")</f>
        <v>2.04</v>
      </c>
      <c r="G339" s="11">
        <f>IFERROR(F339/F338-1,"")</f>
        <v/>
      </c>
      <c r="H339" s="11">
        <f>IFERROR(F339/F327-1,"")</f>
        <v>-0.515439429928741</v>
      </c>
    </row>
    <row r="340" spans="1:8">
      <c r="A340" s="6" t="s">
        <v>13</v>
      </c>
      <c r="B340" s="6" t="s">
        <v>151</v>
      </c>
      <c r="C340" s="6">
        <v>2025</v>
      </c>
      <c r="D340" s="6">
        <v>12</v>
      </c>
      <c r="E340" s="9" t="s">
        <v>187</v>
      </c>
      <c r="F340" s="10">
        <f>SUMIFS(Data!$K:$K,Data!$A:$A,2025,Data!$B:$B,12,Data!$G:$G,"FCC",Data!$F:$F,"PADD 1")</f>
        <v>0.0</v>
      </c>
      <c r="G340" s="11">
        <f>IFERROR(F340/F339-1,"")</f>
        <v>-1.0</v>
      </c>
      <c r="H340" s="11">
        <f>IFERROR(F340/F328-1,"")</f>
        <v/>
      </c>
    </row>
    <row r="341" spans="1:8">
      <c r="A341" s="6" t="s">
        <v>13</v>
      </c>
      <c r="B341" s="6" t="s">
        <v>151</v>
      </c>
      <c r="C341" s="6">
        <v>2026</v>
      </c>
      <c r="D341" s="6">
        <v>1</v>
      </c>
      <c r="E341" s="9" t="s">
        <v>188</v>
      </c>
      <c r="F341" s="10">
        <f>SUMIFS(Data!$K:$K,Data!$A:$A,2026,Data!$B:$B,1,Data!$G:$G,"FCC",Data!$F:$F,"PADD 1")</f>
        <v>8.84</v>
      </c>
      <c r="G341" s="11">
        <f>IFERROR(F341/F340-1,"")</f>
        <v/>
      </c>
      <c r="H341" s="11">
        <f>IFERROR(F341/F329-1,"")</f>
        <v/>
      </c>
    </row>
    <row r="342" spans="1:8">
      <c r="A342" s="6" t="s">
        <v>13</v>
      </c>
      <c r="B342" s="6" t="s">
        <v>151</v>
      </c>
      <c r="C342" s="6">
        <v>2026</v>
      </c>
      <c r="D342" s="6">
        <v>2</v>
      </c>
      <c r="E342" s="9" t="s">
        <v>189</v>
      </c>
      <c r="F342" s="10">
        <f>SUMIFS(Data!$K:$K,Data!$A:$A,2026,Data!$B:$B,2,Data!$G:$G,"FCC",Data!$F:$F,"PADD 1")</f>
        <v>0.0</v>
      </c>
      <c r="G342" s="11">
        <f>IFERROR(F342/F341-1,"")</f>
        <v>-1.0</v>
      </c>
      <c r="H342" s="11">
        <f>IFERROR(F342/F330-1,"")</f>
        <v>-1.0</v>
      </c>
    </row>
    <row r="343" spans="1:8">
      <c r="A343" s="6" t="s">
        <v>13</v>
      </c>
      <c r="B343" s="6" t="s">
        <v>151</v>
      </c>
      <c r="C343" s="6">
        <v>2026</v>
      </c>
      <c r="D343" s="6">
        <v>3</v>
      </c>
      <c r="E343" s="9" t="s">
        <v>190</v>
      </c>
      <c r="F343" s="10">
        <f>SUMIFS(Data!$K:$K,Data!$A:$A,2026,Data!$B:$B,3,Data!$G:$G,"FCC",Data!$F:$F,"PADD 1")</f>
        <v>1.59</v>
      </c>
      <c r="G343" s="11">
        <f>IFERROR(F343/F342-1,"")</f>
        <v/>
      </c>
      <c r="H343" s="11">
        <f>IFERROR(F343/F331-1,"")</f>
        <v/>
      </c>
    </row>
    <row r="344" spans="1:8">
      <c r="A344" s="6" t="s">
        <v>13</v>
      </c>
      <c r="B344" s="6" t="s">
        <v>151</v>
      </c>
      <c r="C344" s="6">
        <v>2026</v>
      </c>
      <c r="D344" s="6">
        <v>4</v>
      </c>
      <c r="E344" s="9" t="s">
        <v>191</v>
      </c>
      <c r="F344" s="10">
        <f>SUMIFS(Data!$K:$K,Data!$A:$A,2026,Data!$B:$B,4,Data!$G:$G,"FCC",Data!$F:$F,"PADD 1")</f>
        <v>0.0</v>
      </c>
      <c r="G344" s="11">
        <f>IFERROR(F344/F343-1,"")</f>
        <v>-1.0</v>
      </c>
      <c r="H344" s="11">
        <f>IFERROR(F344/F332-1,"")</f>
        <v>-1.0</v>
      </c>
    </row>
    <row r="345" spans="1:8">
      <c r="A345" s="6" t="s">
        <v>13</v>
      </c>
      <c r="B345" s="6" t="s">
        <v>151</v>
      </c>
      <c r="C345" s="6">
        <v>2026</v>
      </c>
      <c r="D345" s="6">
        <v>5</v>
      </c>
      <c r="E345" s="9" t="s">
        <v>192</v>
      </c>
      <c r="F345" s="10">
        <f>SUMIFS(Data!$K:$K,Data!$A:$A,2026,Data!$B:$B,5,Data!$G:$G,"FCC",Data!$F:$F,"PADD 1")</f>
        <v>0.0</v>
      </c>
      <c r="G345" s="11">
        <f>IFERROR(F345/F344-1,"")</f>
        <v/>
      </c>
      <c r="H345" s="11">
        <f>IFERROR(F345/F333-1,"")</f>
        <v>-1.0</v>
      </c>
    </row>
    <row r="346" spans="1:8">
      <c r="A346" s="6" t="s">
        <v>13</v>
      </c>
      <c r="B346" s="6" t="s">
        <v>151</v>
      </c>
      <c r="C346" s="6">
        <v>2026</v>
      </c>
      <c r="D346" s="6">
        <v>6</v>
      </c>
      <c r="E346" s="9" t="s">
        <v>193</v>
      </c>
      <c r="F346" s="10">
        <f>SUMIFS(Data!$K:$K,Data!$A:$A,2026,Data!$B:$B,6,Data!$G:$G,"FCC",Data!$F:$F,"PADD 1")</f>
        <v>31.96</v>
      </c>
      <c r="G346" s="11">
        <f>IFERROR(F346/F345-1,"")</f>
        <v/>
      </c>
      <c r="H346" s="11">
        <f>IFERROR(F346/F334-1,"")</f>
        <v>4.013333333333334</v>
      </c>
    </row>
    <row r="347" spans="1:8">
      <c r="A347" s="6" t="s">
        <v>13</v>
      </c>
      <c r="B347" s="6" t="s">
        <v>151</v>
      </c>
      <c r="C347" s="6">
        <v>2026</v>
      </c>
      <c r="D347" s="6">
        <v>7</v>
      </c>
      <c r="E347" s="9" t="s">
        <v>194</v>
      </c>
      <c r="F347" s="10">
        <f>SUMIFS(Data!$K:$K,Data!$A:$A,2026,Data!$B:$B,7,Data!$G:$G,"FCC",Data!$F:$F,"PADD 1")</f>
        <v>68.0</v>
      </c>
      <c r="G347" s="11">
        <f>IFERROR(F347/F346-1,"")</f>
        <v>1.127659574468085</v>
      </c>
      <c r="H347" s="11">
        <f>IFERROR(F347/F335-1,"")</f>
        <v>1.2598870056497176</v>
      </c>
    </row>
    <row r="348" spans="1:8">
      <c r="A348" s="6" t="s">
        <v>13</v>
      </c>
      <c r="B348" s="6" t="s">
        <v>151</v>
      </c>
      <c r="C348" s="6">
        <v>2026</v>
      </c>
      <c r="D348" s="6">
        <v>8</v>
      </c>
      <c r="E348" s="9" t="s">
        <v>195</v>
      </c>
      <c r="F348" s="10">
        <f>SUMIFS(Data!$K:$K,Data!$A:$A,2026,Data!$B:$B,8,Data!$G:$G,"FCC",Data!$F:$F,"PADD 1")</f>
        <v>30.6</v>
      </c>
      <c r="G348" s="11">
        <f>IFERROR(F348/F347-1,"")</f>
        <v>-0.55</v>
      </c>
      <c r="H348" s="11">
        <f>IFERROR(F348/F336-1,"")</f>
        <v/>
      </c>
    </row>
    <row r="349" spans="1:8">
      <c r="A349" s="6" t="s">
        <v>13</v>
      </c>
      <c r="B349" s="6" t="s">
        <v>151</v>
      </c>
      <c r="C349" s="6">
        <v>2026</v>
      </c>
      <c r="D349" s="6">
        <v>9</v>
      </c>
      <c r="E349" s="9" t="s">
        <v>196</v>
      </c>
      <c r="F349" s="10">
        <f>SUMIFS(Data!$K:$K,Data!$A:$A,2026,Data!$B:$B,9,Data!$G:$G,"FCC",Data!$F:$F,"PADD 1")</f>
        <v>0.0</v>
      </c>
      <c r="G349" s="11">
        <f>IFERROR(F349/F348-1,"")</f>
        <v>-1.0</v>
      </c>
      <c r="H349" s="11">
        <f>IFERROR(F349/F337-1,"")</f>
        <v/>
      </c>
    </row>
    <row r="350" spans="1:8">
      <c r="A350" s="6" t="s">
        <v>13</v>
      </c>
      <c r="B350" s="6" t="s">
        <v>151</v>
      </c>
      <c r="C350" s="6">
        <v>2026</v>
      </c>
      <c r="D350" s="6">
        <v>10</v>
      </c>
      <c r="E350" s="9" t="s">
        <v>197</v>
      </c>
      <c r="F350" s="10">
        <f>SUMIFS(Data!$K:$K,Data!$A:$A,2026,Data!$B:$B,10,Data!$G:$G,"FCC",Data!$F:$F,"PADD 1")</f>
        <v>0.0</v>
      </c>
      <c r="G350" s="11">
        <f>IFERROR(F350/F349-1,"")</f>
        <v/>
      </c>
      <c r="H350" s="11">
        <f>IFERROR(F350/F338-1,"")</f>
        <v/>
      </c>
    </row>
    <row r="351" spans="1:8">
      <c r="A351" s="6" t="s">
        <v>13</v>
      </c>
      <c r="B351" s="6" t="s">
        <v>151</v>
      </c>
      <c r="C351" s="6">
        <v>2026</v>
      </c>
      <c r="D351" s="6">
        <v>11</v>
      </c>
      <c r="E351" s="9" t="s">
        <v>198</v>
      </c>
      <c r="F351" s="10">
        <f>SUMIFS(Data!$K:$K,Data!$A:$A,2026,Data!$B:$B,11,Data!$G:$G,"FCC",Data!$F:$F,"PADD 1")</f>
        <v>0.0</v>
      </c>
      <c r="G351" s="11">
        <f>IFERROR(F351/F350-1,"")</f>
        <v/>
      </c>
      <c r="H351" s="11">
        <f>IFERROR(F351/F339-1,"")</f>
        <v>-1.0</v>
      </c>
    </row>
    <row r="352" spans="1:8">
      <c r="A352" s="6" t="s">
        <v>13</v>
      </c>
      <c r="B352" s="6" t="s">
        <v>151</v>
      </c>
      <c r="C352" s="6">
        <v>2026</v>
      </c>
      <c r="D352" s="6">
        <v>12</v>
      </c>
      <c r="E352" s="9" t="s">
        <v>199</v>
      </c>
      <c r="F352" s="10">
        <f>SUMIFS(Data!$K:$K,Data!$A:$A,2026,Data!$B:$B,12,Data!$G:$G,"FCC",Data!$F:$F,"PADD 1")</f>
        <v>0.0</v>
      </c>
      <c r="G352" s="11">
        <f>IFERROR(F352/F351-1,"")</f>
        <v/>
      </c>
      <c r="H352" s="11">
        <f>IFERROR(F352/F340-1,"")</f>
        <v/>
      </c>
    </row>
    <row r="353" spans="1:8">
      <c r="A353" s="6" t="s">
        <v>13</v>
      </c>
      <c r="B353" s="6" t="s">
        <v>151</v>
      </c>
      <c r="C353" s="6">
        <v>2027</v>
      </c>
      <c r="D353" s="6">
        <v>1</v>
      </c>
      <c r="E353" s="9" t="s">
        <v>200</v>
      </c>
      <c r="F353" s="10">
        <f>SUMIFS(Data!$K:$K,Data!$A:$A,2027,Data!$B:$B,1,Data!$G:$G,"FCC",Data!$F:$F,"PADD 1")</f>
        <v>0.0</v>
      </c>
      <c r="G353" s="11">
        <f>IFERROR(F353/F352-1,"")</f>
        <v/>
      </c>
      <c r="H353" s="11">
        <f>IFERROR(F353/F341-1,"")</f>
        <v>-1.0</v>
      </c>
    </row>
    <row r="354" spans="1:8">
      <c r="A354" s="6" t="s">
        <v>13</v>
      </c>
      <c r="B354" s="6" t="s">
        <v>151</v>
      </c>
      <c r="C354" s="6">
        <v>2027</v>
      </c>
      <c r="D354" s="6">
        <v>2</v>
      </c>
      <c r="E354" s="9" t="s">
        <v>201</v>
      </c>
      <c r="F354" s="10">
        <f>SUMIFS(Data!$K:$K,Data!$A:$A,2027,Data!$B:$B,2,Data!$G:$G,"FCC",Data!$F:$F,"PADD 1")</f>
        <v>0.0</v>
      </c>
      <c r="G354" s="11">
        <f>IFERROR(F354/F353-1,"")</f>
        <v/>
      </c>
      <c r="H354" s="11">
        <f>IFERROR(F354/F342-1,"")</f>
        <v/>
      </c>
    </row>
    <row r="355" spans="1:8">
      <c r="A355" s="6" t="s">
        <v>13</v>
      </c>
      <c r="B355" s="6" t="s">
        <v>151</v>
      </c>
      <c r="C355" s="6">
        <v>2027</v>
      </c>
      <c r="D355" s="6">
        <v>3</v>
      </c>
      <c r="E355" s="9" t="s">
        <v>202</v>
      </c>
      <c r="F355" s="10">
        <f>SUMIFS(Data!$K:$K,Data!$A:$A,2027,Data!$B:$B,3,Data!$G:$G,"FCC",Data!$F:$F,"PADD 1")</f>
        <v>18.27</v>
      </c>
      <c r="G355" s="11">
        <f>IFERROR(F355/F354-1,"")</f>
        <v/>
      </c>
      <c r="H355" s="11">
        <f>IFERROR(F355/F343-1,"")</f>
        <v>10.490566037735848</v>
      </c>
    </row>
    <row r="356" spans="1:8">
      <c r="A356" s="6" t="s">
        <v>13</v>
      </c>
      <c r="B356" s="6" t="s">
        <v>151</v>
      </c>
      <c r="C356" s="6">
        <v>2027</v>
      </c>
      <c r="D356" s="6">
        <v>4</v>
      </c>
      <c r="E356" s="9" t="s">
        <v>203</v>
      </c>
      <c r="F356" s="10">
        <f>SUMIFS(Data!$K:$K,Data!$A:$A,2027,Data!$B:$B,4,Data!$G:$G,"FCC",Data!$F:$F,"PADD 1")</f>
        <v>9.03</v>
      </c>
      <c r="G356" s="11">
        <f>IFERROR(F356/F355-1,"")</f>
        <v>-0.5057471264367817</v>
      </c>
      <c r="H356" s="11">
        <f>IFERROR(F356/F344-1,"")</f>
        <v/>
      </c>
    </row>
    <row r="357" spans="1:8">
      <c r="A357" s="6" t="s">
        <v>13</v>
      </c>
      <c r="B357" s="6" t="s">
        <v>151</v>
      </c>
      <c r="C357" s="6">
        <v>2027</v>
      </c>
      <c r="D357" s="6">
        <v>5</v>
      </c>
      <c r="E357" s="9" t="s">
        <v>204</v>
      </c>
      <c r="F357" s="10">
        <f>SUMIFS(Data!$K:$K,Data!$A:$A,2027,Data!$B:$B,5,Data!$G:$G,"FCC",Data!$F:$F,"PADD 1")</f>
        <v>0.0</v>
      </c>
      <c r="G357" s="11">
        <f>IFERROR(F357/F356-1,"")</f>
        <v>-1.0</v>
      </c>
      <c r="H357" s="11">
        <f>IFERROR(F357/F345-1,"")</f>
        <v/>
      </c>
    </row>
    <row r="358" spans="1:8">
      <c r="A358" s="6" t="s">
        <v>13</v>
      </c>
      <c r="B358" s="6" t="s">
        <v>151</v>
      </c>
      <c r="C358" s="6">
        <v>2027</v>
      </c>
      <c r="D358" s="6">
        <v>6</v>
      </c>
      <c r="E358" s="9" t="s">
        <v>205</v>
      </c>
      <c r="F358" s="10">
        <f>SUMIFS(Data!$K:$K,Data!$A:$A,2027,Data!$B:$B,6,Data!$G:$G,"FCC",Data!$F:$F,"PADD 1")</f>
        <v>0.0</v>
      </c>
      <c r="G358" s="11">
        <f>IFERROR(F358/F357-1,"")</f>
        <v/>
      </c>
      <c r="H358" s="11">
        <f>IFERROR(F358/F346-1,"")</f>
        <v>-1.0</v>
      </c>
    </row>
    <row r="359" spans="1:8">
      <c r="A359" s="6" t="s">
        <v>13</v>
      </c>
      <c r="B359" s="6" t="s">
        <v>151</v>
      </c>
      <c r="C359" s="6">
        <v>2027</v>
      </c>
      <c r="D359" s="6">
        <v>7</v>
      </c>
      <c r="E359" s="9" t="s">
        <v>206</v>
      </c>
      <c r="F359" s="10">
        <f>SUMIFS(Data!$K:$K,Data!$A:$A,2027,Data!$B:$B,7,Data!$G:$G,"FCC",Data!$F:$F,"PADD 1")</f>
        <v>0.0</v>
      </c>
      <c r="G359" s="11">
        <f>IFERROR(F359/F358-1,"")</f>
        <v/>
      </c>
      <c r="H359" s="11">
        <f>IFERROR(F359/F347-1,"")</f>
        <v>-1.0</v>
      </c>
    </row>
    <row r="360" spans="1:8">
      <c r="A360" s="6" t="s">
        <v>13</v>
      </c>
      <c r="B360" s="6" t="s">
        <v>151</v>
      </c>
      <c r="C360" s="6">
        <v>2027</v>
      </c>
      <c r="D360" s="6">
        <v>8</v>
      </c>
      <c r="E360" s="9" t="s">
        <v>207</v>
      </c>
      <c r="F360" s="10">
        <f>SUMIFS(Data!$K:$K,Data!$A:$A,2027,Data!$B:$B,8,Data!$G:$G,"FCC",Data!$F:$F,"PADD 1")</f>
        <v>0.0</v>
      </c>
      <c r="G360" s="11">
        <f>IFERROR(F360/F359-1,"")</f>
        <v/>
      </c>
      <c r="H360" s="11">
        <f>IFERROR(F360/F348-1,"")</f>
        <v>-1.0</v>
      </c>
    </row>
    <row r="361" spans="1:8">
      <c r="A361" s="6" t="s">
        <v>13</v>
      </c>
      <c r="B361" s="6" t="s">
        <v>151</v>
      </c>
      <c r="C361" s="6">
        <v>2027</v>
      </c>
      <c r="D361" s="6">
        <v>9</v>
      </c>
      <c r="E361" s="9" t="s">
        <v>208</v>
      </c>
      <c r="F361" s="10">
        <f>SUMIFS(Data!$K:$K,Data!$A:$A,2027,Data!$B:$B,9,Data!$G:$G,"FCC",Data!$F:$F,"PADD 1")</f>
        <v>0.0</v>
      </c>
      <c r="G361" s="11">
        <f>IFERROR(F361/F360-1,"")</f>
        <v/>
      </c>
      <c r="H361" s="11">
        <f>IFERROR(F361/F349-1,"")</f>
        <v/>
      </c>
    </row>
    <row r="362" spans="1:8">
      <c r="A362" s="6" t="s">
        <v>13</v>
      </c>
      <c r="B362" s="6" t="s">
        <v>151</v>
      </c>
      <c r="C362" s="6">
        <v>2027</v>
      </c>
      <c r="D362" s="6">
        <v>10</v>
      </c>
      <c r="E362" s="9" t="s">
        <v>209</v>
      </c>
      <c r="F362" s="10">
        <f>SUMIFS(Data!$K:$K,Data!$A:$A,2027,Data!$B:$B,10,Data!$G:$G,"FCC",Data!$F:$F,"PADD 1")</f>
        <v>0.0</v>
      </c>
      <c r="G362" s="11">
        <f>IFERROR(F362/F361-1,"")</f>
        <v/>
      </c>
      <c r="H362" s="11">
        <f>IFERROR(F362/F350-1,"")</f>
        <v/>
      </c>
    </row>
    <row r="363" spans="1:8">
      <c r="A363" s="6" t="s">
        <v>13</v>
      </c>
      <c r="B363" s="6" t="s">
        <v>151</v>
      </c>
      <c r="C363" s="6">
        <v>2027</v>
      </c>
      <c r="D363" s="6">
        <v>11</v>
      </c>
      <c r="E363" s="9" t="s">
        <v>210</v>
      </c>
      <c r="F363" s="10">
        <f>SUMIFS(Data!$K:$K,Data!$A:$A,2027,Data!$B:$B,11,Data!$G:$G,"FCC",Data!$F:$F,"PADD 1")</f>
        <v>0.0</v>
      </c>
      <c r="G363" s="11">
        <f>IFERROR(F363/F362-1,"")</f>
        <v/>
      </c>
      <c r="H363" s="11">
        <f>IFERROR(F363/F351-1,"")</f>
        <v/>
      </c>
    </row>
    <row r="364" spans="1:8">
      <c r="A364" s="6" t="s">
        <v>13</v>
      </c>
      <c r="B364" s="6" t="s">
        <v>151</v>
      </c>
      <c r="C364" s="6">
        <v>2027</v>
      </c>
      <c r="D364" s="6">
        <v>12</v>
      </c>
      <c r="E364" s="9" t="s">
        <v>211</v>
      </c>
      <c r="F364" s="10">
        <f>SUMIFS(Data!$K:$K,Data!$A:$A,2027,Data!$B:$B,12,Data!$G:$G,"FCC",Data!$F:$F,"PADD 1")</f>
        <v>0.0</v>
      </c>
      <c r="G364" s="11">
        <f>IFERROR(F364/F363-1,"")</f>
        <v/>
      </c>
      <c r="H364" s="11">
        <f>IFERROR(F364/F352-1,"")</f>
        <v/>
      </c>
    </row>
    <row r="365" spans="1:8">
      <c r="A365" s="6" t="s">
        <v>13</v>
      </c>
      <c r="B365" s="6" t="s">
        <v>212</v>
      </c>
      <c r="C365" s="6">
        <v>2023</v>
      </c>
      <c r="D365" s="6">
        <v>1</v>
      </c>
      <c r="E365" s="9" t="s">
        <v>152</v>
      </c>
      <c r="F365" s="10">
        <f>SUMIFS(Data!$K:$K,Data!$A:$A,2023,Data!$B:$B,1,Data!$G:$G,"FCC",Data!$F:$F,"PADD 2")</f>
        <v>169.676</v>
      </c>
    </row>
    <row r="366" spans="1:8">
      <c r="A366" s="6" t="s">
        <v>13</v>
      </c>
      <c r="B366" s="6" t="s">
        <v>212</v>
      </c>
      <c r="C366" s="6">
        <v>2023</v>
      </c>
      <c r="D366" s="6">
        <v>2</v>
      </c>
      <c r="E366" s="9" t="s">
        <v>153</v>
      </c>
      <c r="F366" s="10">
        <f>SUMIFS(Data!$K:$K,Data!$A:$A,2023,Data!$B:$B,2,Data!$G:$G,"FCC",Data!$F:$F,"PADD 2")</f>
        <v>169.445</v>
      </c>
      <c r="G366" s="11">
        <f>IFERROR(F366/F365-1,"")</f>
        <v>-0.0013614182323958834</v>
      </c>
    </row>
    <row r="367" spans="1:8">
      <c r="A367" s="6" t="s">
        <v>13</v>
      </c>
      <c r="B367" s="6" t="s">
        <v>212</v>
      </c>
      <c r="C367" s="6">
        <v>2023</v>
      </c>
      <c r="D367" s="6">
        <v>3</v>
      </c>
      <c r="E367" s="9" t="s">
        <v>154</v>
      </c>
      <c r="F367" s="10">
        <f>SUMIFS(Data!$K:$K,Data!$A:$A,2023,Data!$B:$B,3,Data!$G:$G,"FCC",Data!$F:$F,"PADD 2")</f>
        <v>173.97</v>
      </c>
      <c r="G367" s="11">
        <f>IFERROR(F367/F366-1,"")</f>
        <v>0.026704830475965613</v>
      </c>
    </row>
    <row r="368" spans="1:8">
      <c r="A368" s="6" t="s">
        <v>13</v>
      </c>
      <c r="B368" s="6" t="s">
        <v>212</v>
      </c>
      <c r="C368" s="6">
        <v>2023</v>
      </c>
      <c r="D368" s="6">
        <v>4</v>
      </c>
      <c r="E368" s="9" t="s">
        <v>155</v>
      </c>
      <c r="F368" s="10">
        <f>SUMIFS(Data!$K:$K,Data!$A:$A,2023,Data!$B:$B,4,Data!$G:$G,"FCC",Data!$F:$F,"PADD 2")</f>
        <v>169.07999999999998</v>
      </c>
      <c r="G368" s="11">
        <f>IFERROR(F368/F367-1,"")</f>
        <v>-0.028108294533540357</v>
      </c>
    </row>
    <row r="369" spans="1:8">
      <c r="A369" s="6" t="s">
        <v>13</v>
      </c>
      <c r="B369" s="6" t="s">
        <v>212</v>
      </c>
      <c r="C369" s="6">
        <v>2023</v>
      </c>
      <c r="D369" s="6">
        <v>5</v>
      </c>
      <c r="E369" s="9" t="s">
        <v>156</v>
      </c>
      <c r="F369" s="10">
        <f>SUMIFS(Data!$K:$K,Data!$A:$A,2023,Data!$B:$B,5,Data!$G:$G,"FCC",Data!$F:$F,"PADD 2")</f>
        <v>162.125</v>
      </c>
      <c r="G369" s="11">
        <f>IFERROR(F369/F368-1,"")</f>
        <v>-0.041134374260704876</v>
      </c>
    </row>
    <row r="370" spans="1:8">
      <c r="A370" s="6" t="s">
        <v>13</v>
      </c>
      <c r="B370" s="6" t="s">
        <v>212</v>
      </c>
      <c r="C370" s="6">
        <v>2023</v>
      </c>
      <c r="D370" s="6">
        <v>6</v>
      </c>
      <c r="E370" s="9" t="s">
        <v>157</v>
      </c>
      <c r="F370" s="10">
        <f>SUMIFS(Data!$K:$K,Data!$A:$A,2023,Data!$B:$B,6,Data!$G:$G,"FCC",Data!$F:$F,"PADD 2")</f>
        <v>100.00999999999999</v>
      </c>
      <c r="G370" s="11">
        <f>IFERROR(F370/F369-1,"")</f>
        <v>-0.3831303006939091</v>
      </c>
    </row>
    <row r="371" spans="1:8">
      <c r="A371" s="6" t="s">
        <v>13</v>
      </c>
      <c r="B371" s="6" t="s">
        <v>212</v>
      </c>
      <c r="C371" s="6">
        <v>2023</v>
      </c>
      <c r="D371" s="6">
        <v>7</v>
      </c>
      <c r="E371" s="9" t="s">
        <v>158</v>
      </c>
      <c r="F371" s="10">
        <f>SUMIFS(Data!$K:$K,Data!$A:$A,2023,Data!$B:$B,7,Data!$G:$G,"FCC",Data!$F:$F,"PADD 2")</f>
        <v>38.54</v>
      </c>
      <c r="G371" s="11">
        <f>IFERROR(F371/F370-1,"")</f>
        <v>-0.6146385361463853</v>
      </c>
    </row>
    <row r="372" spans="1:8">
      <c r="A372" s="6" t="s">
        <v>13</v>
      </c>
      <c r="B372" s="6" t="s">
        <v>212</v>
      </c>
      <c r="C372" s="6">
        <v>2023</v>
      </c>
      <c r="D372" s="6">
        <v>8</v>
      </c>
      <c r="E372" s="9" t="s">
        <v>159</v>
      </c>
      <c r="F372" s="10">
        <f>SUMIFS(Data!$K:$K,Data!$A:$A,2023,Data!$B:$B,8,Data!$G:$G,"FCC",Data!$F:$F,"PADD 2")</f>
        <v>14.2</v>
      </c>
      <c r="G372" s="11">
        <f>IFERROR(F372/F371-1,"")</f>
        <v>-0.6315516346652829</v>
      </c>
    </row>
    <row r="373" spans="1:8">
      <c r="A373" s="6" t="s">
        <v>13</v>
      </c>
      <c r="B373" s="6" t="s">
        <v>212</v>
      </c>
      <c r="C373" s="6">
        <v>2023</v>
      </c>
      <c r="D373" s="6">
        <v>9</v>
      </c>
      <c r="E373" s="9" t="s">
        <v>160</v>
      </c>
      <c r="F373" s="10">
        <f>SUMIFS(Data!$K:$K,Data!$A:$A,2023,Data!$B:$B,9,Data!$G:$G,"FCC",Data!$F:$F,"PADD 2")</f>
        <v>81.0</v>
      </c>
      <c r="G373" s="11">
        <f>IFERROR(F373/F372-1,"")</f>
        <v>4.704225352112676</v>
      </c>
    </row>
    <row r="374" spans="1:8">
      <c r="A374" s="6" t="s">
        <v>13</v>
      </c>
      <c r="B374" s="6" t="s">
        <v>212</v>
      </c>
      <c r="C374" s="6">
        <v>2023</v>
      </c>
      <c r="D374" s="6">
        <v>10</v>
      </c>
      <c r="E374" s="9" t="s">
        <v>161</v>
      </c>
      <c r="F374" s="10">
        <f>SUMIFS(Data!$K:$K,Data!$A:$A,2023,Data!$B:$B,10,Data!$G:$G,"FCC",Data!$F:$F,"PADD 2")</f>
        <v>90.39</v>
      </c>
      <c r="G374" s="11">
        <f>IFERROR(F374/F373-1,"")</f>
        <v>0.11592592592592599</v>
      </c>
    </row>
    <row r="375" spans="1:8">
      <c r="A375" s="6" t="s">
        <v>13</v>
      </c>
      <c r="B375" s="6" t="s">
        <v>212</v>
      </c>
      <c r="C375" s="6">
        <v>2023</v>
      </c>
      <c r="D375" s="6">
        <v>11</v>
      </c>
      <c r="E375" s="9" t="s">
        <v>162</v>
      </c>
      <c r="F375" s="10">
        <f>SUMIFS(Data!$K:$K,Data!$A:$A,2023,Data!$B:$B,11,Data!$G:$G,"FCC",Data!$F:$F,"PADD 2")</f>
        <v>42.45</v>
      </c>
      <c r="G375" s="11">
        <f>IFERROR(F375/F374-1,"")</f>
        <v>-0.5303684035844674</v>
      </c>
    </row>
    <row r="376" spans="1:8">
      <c r="A376" s="6" t="s">
        <v>13</v>
      </c>
      <c r="B376" s="6" t="s">
        <v>212</v>
      </c>
      <c r="C376" s="6">
        <v>2023</v>
      </c>
      <c r="D376" s="6">
        <v>12</v>
      </c>
      <c r="E376" s="9" t="s">
        <v>163</v>
      </c>
      <c r="F376" s="10">
        <f>SUMIFS(Data!$K:$K,Data!$A:$A,2023,Data!$B:$B,12,Data!$G:$G,"FCC",Data!$F:$F,"PADD 2")</f>
        <v>3.9</v>
      </c>
      <c r="G376" s="11">
        <f>IFERROR(F376/F375-1,"")</f>
        <v>-0.9081272084805654</v>
      </c>
    </row>
    <row r="377" spans="1:8">
      <c r="A377" s="6" t="s">
        <v>13</v>
      </c>
      <c r="B377" s="6" t="s">
        <v>212</v>
      </c>
      <c r="C377" s="6">
        <v>2024</v>
      </c>
      <c r="D377" s="6">
        <v>1</v>
      </c>
      <c r="E377" s="9" t="s">
        <v>164</v>
      </c>
      <c r="F377" s="10">
        <f>SUMIFS(Data!$K:$K,Data!$A:$A,2024,Data!$B:$B,1,Data!$G:$G,"FCC",Data!$F:$F,"PADD 2")</f>
        <v>2.27</v>
      </c>
      <c r="G377" s="11">
        <f>IFERROR(F377/F376-1,"")</f>
        <v>-0.4179487179487179</v>
      </c>
      <c r="H377" s="11">
        <f>IFERROR(F377/F365-1,"")</f>
        <v>-0.9866215610929064</v>
      </c>
    </row>
    <row r="378" spans="1:8">
      <c r="A378" s="6" t="s">
        <v>13</v>
      </c>
      <c r="B378" s="6" t="s">
        <v>212</v>
      </c>
      <c r="C378" s="6">
        <v>2024</v>
      </c>
      <c r="D378" s="6">
        <v>2</v>
      </c>
      <c r="E378" s="9" t="s">
        <v>165</v>
      </c>
      <c r="F378" s="10">
        <f>SUMIFS(Data!$K:$K,Data!$A:$A,2024,Data!$B:$B,2,Data!$G:$G,"FCC",Data!$F:$F,"PADD 2")</f>
        <v>351.39</v>
      </c>
      <c r="G378" s="11">
        <f>IFERROR(F378/F377-1,"")</f>
        <v>153.7973568281938</v>
      </c>
      <c r="H378" s="11">
        <f>IFERROR(F378/F366-1,"")</f>
        <v>1.0737702499336068</v>
      </c>
    </row>
    <row r="379" spans="1:8">
      <c r="A379" s="6" t="s">
        <v>13</v>
      </c>
      <c r="B379" s="6" t="s">
        <v>212</v>
      </c>
      <c r="C379" s="6">
        <v>2024</v>
      </c>
      <c r="D379" s="6">
        <v>3</v>
      </c>
      <c r="E379" s="9" t="s">
        <v>166</v>
      </c>
      <c r="F379" s="10">
        <f>SUMIFS(Data!$K:$K,Data!$A:$A,2024,Data!$B:$B,3,Data!$G:$G,"FCC",Data!$F:$F,"PADD 2")</f>
        <v>85.89</v>
      </c>
      <c r="G379" s="11">
        <f>IFERROR(F379/F378-1,"")</f>
        <v>-0.7555707333731752</v>
      </c>
      <c r="H379" s="11">
        <f>IFERROR(F379/F367-1,"")</f>
        <v>-0.5062941886532161</v>
      </c>
    </row>
    <row r="380" spans="1:8">
      <c r="A380" s="6" t="s">
        <v>13</v>
      </c>
      <c r="B380" s="6" t="s">
        <v>212</v>
      </c>
      <c r="C380" s="6">
        <v>2024</v>
      </c>
      <c r="D380" s="6">
        <v>4</v>
      </c>
      <c r="E380" s="9" t="s">
        <v>167</v>
      </c>
      <c r="F380" s="10">
        <f>SUMIFS(Data!$K:$K,Data!$A:$A,2024,Data!$B:$B,4,Data!$G:$G,"FCC",Data!$F:$F,"PADD 2")</f>
        <v>116.085</v>
      </c>
      <c r="G380" s="11">
        <f>IFERROR(F380/F379-1,"")</f>
        <v>0.35155431365700296</v>
      </c>
      <c r="H380" s="11">
        <f>IFERROR(F380/F368-1,"")</f>
        <v>-0.31343151171043293</v>
      </c>
    </row>
    <row r="381" spans="1:8">
      <c r="A381" s="6" t="s">
        <v>13</v>
      </c>
      <c r="B381" s="6" t="s">
        <v>212</v>
      </c>
      <c r="C381" s="6">
        <v>2024</v>
      </c>
      <c r="D381" s="6">
        <v>5</v>
      </c>
      <c r="E381" s="9" t="s">
        <v>168</v>
      </c>
      <c r="F381" s="10">
        <f>SUMIFS(Data!$K:$K,Data!$A:$A,2024,Data!$B:$B,5,Data!$G:$G,"FCC",Data!$F:$F,"PADD 2")</f>
        <v>74.89</v>
      </c>
      <c r="G381" s="11">
        <f>IFERROR(F381/F380-1,"")</f>
        <v>-0.3548692768230176</v>
      </c>
      <c r="H381" s="11">
        <f>IFERROR(F381/F369-1,"")</f>
        <v>-0.5380724749421743</v>
      </c>
    </row>
    <row r="382" spans="1:8">
      <c r="A382" s="6" t="s">
        <v>13</v>
      </c>
      <c r="B382" s="6" t="s">
        <v>212</v>
      </c>
      <c r="C382" s="6">
        <v>2024</v>
      </c>
      <c r="D382" s="6">
        <v>6</v>
      </c>
      <c r="E382" s="9" t="s">
        <v>169</v>
      </c>
      <c r="F382" s="10">
        <f>SUMIFS(Data!$K:$K,Data!$A:$A,2024,Data!$B:$B,6,Data!$G:$G,"FCC",Data!$F:$F,"PADD 2")</f>
        <v>18.2</v>
      </c>
      <c r="G382" s="11">
        <f>IFERROR(F382/F381-1,"")</f>
        <v>-0.7569768994525303</v>
      </c>
      <c r="H382" s="11">
        <f>IFERROR(F382/F370-1,"")</f>
        <v>-0.818018198180182</v>
      </c>
    </row>
    <row r="383" spans="1:8">
      <c r="A383" s="6" t="s">
        <v>13</v>
      </c>
      <c r="B383" s="6" t="s">
        <v>212</v>
      </c>
      <c r="C383" s="6">
        <v>2024</v>
      </c>
      <c r="D383" s="6">
        <v>7</v>
      </c>
      <c r="E383" s="9" t="s">
        <v>170</v>
      </c>
      <c r="F383" s="10">
        <f>SUMIFS(Data!$K:$K,Data!$A:$A,2024,Data!$B:$B,7,Data!$G:$G,"FCC",Data!$F:$F,"PADD 2")</f>
        <v>93.52</v>
      </c>
      <c r="G383" s="11">
        <f>IFERROR(F383/F382-1,"")</f>
        <v>4.138461538461539</v>
      </c>
      <c r="H383" s="11">
        <f>IFERROR(F383/F371-1,"")</f>
        <v>1.4265697976128697</v>
      </c>
    </row>
    <row r="384" spans="1:8">
      <c r="A384" s="6" t="s">
        <v>13</v>
      </c>
      <c r="B384" s="6" t="s">
        <v>212</v>
      </c>
      <c r="C384" s="6">
        <v>2024</v>
      </c>
      <c r="D384" s="6">
        <v>8</v>
      </c>
      <c r="E384" s="9" t="s">
        <v>171</v>
      </c>
      <c r="F384" s="10">
        <f>SUMIFS(Data!$K:$K,Data!$A:$A,2024,Data!$B:$B,8,Data!$G:$G,"FCC",Data!$F:$F,"PADD 2")</f>
        <v>37.94</v>
      </c>
      <c r="G384" s="11">
        <f>IFERROR(F384/F383-1,"")</f>
        <v>-0.594311377245509</v>
      </c>
      <c r="H384" s="11">
        <f>IFERROR(F384/F372-1,"")</f>
        <v>1.6718309859154927</v>
      </c>
    </row>
    <row r="385" spans="1:8">
      <c r="A385" s="6" t="s">
        <v>13</v>
      </c>
      <c r="B385" s="6" t="s">
        <v>212</v>
      </c>
      <c r="C385" s="6">
        <v>2024</v>
      </c>
      <c r="D385" s="6">
        <v>9</v>
      </c>
      <c r="E385" s="9" t="s">
        <v>172</v>
      </c>
      <c r="F385" s="10">
        <f>SUMIFS(Data!$K:$K,Data!$A:$A,2024,Data!$B:$B,9,Data!$G:$G,"FCC",Data!$F:$F,"PADD 2")</f>
        <v>114.21000000000001</v>
      </c>
      <c r="G385" s="11">
        <f>IFERROR(F385/F384-1,"")</f>
        <v>2.010279388508171</v>
      </c>
      <c r="H385" s="11">
        <f>IFERROR(F385/F373-1,"")</f>
        <v>0.41000000000000014</v>
      </c>
    </row>
    <row r="386" spans="1:8">
      <c r="A386" s="6" t="s">
        <v>13</v>
      </c>
      <c r="B386" s="6" t="s">
        <v>212</v>
      </c>
      <c r="C386" s="6">
        <v>2024</v>
      </c>
      <c r="D386" s="6">
        <v>10</v>
      </c>
      <c r="E386" s="9" t="s">
        <v>173</v>
      </c>
      <c r="F386" s="10">
        <f>SUMIFS(Data!$K:$K,Data!$A:$A,2024,Data!$B:$B,10,Data!$G:$G,"FCC",Data!$F:$F,"PADD 2")</f>
        <v>126.42</v>
      </c>
      <c r="G386" s="11">
        <f>IFERROR(F386/F385-1,"")</f>
        <v>0.10690832676648276</v>
      </c>
      <c r="H386" s="11">
        <f>IFERROR(F386/F374-1,"")</f>
        <v>0.39860604049120485</v>
      </c>
    </row>
    <row r="387" spans="1:8">
      <c r="A387" s="6" t="s">
        <v>13</v>
      </c>
      <c r="B387" s="6" t="s">
        <v>212</v>
      </c>
      <c r="C387" s="6">
        <v>2024</v>
      </c>
      <c r="D387" s="6">
        <v>11</v>
      </c>
      <c r="E387" s="9" t="s">
        <v>174</v>
      </c>
      <c r="F387" s="10">
        <f>SUMIFS(Data!$K:$K,Data!$A:$A,2024,Data!$B:$B,11,Data!$G:$G,"FCC",Data!$F:$F,"PADD 2")</f>
        <v>27.5</v>
      </c>
      <c r="G387" s="11">
        <f>IFERROR(F387/F386-1,"")</f>
        <v>-0.7824711279860781</v>
      </c>
      <c r="H387" s="11">
        <f>IFERROR(F387/F375-1,"")</f>
        <v>-0.3521790341578328</v>
      </c>
    </row>
    <row r="388" spans="1:8">
      <c r="A388" s="6" t="s">
        <v>13</v>
      </c>
      <c r="B388" s="6" t="s">
        <v>212</v>
      </c>
      <c r="C388" s="6">
        <v>2024</v>
      </c>
      <c r="D388" s="6">
        <v>12</v>
      </c>
      <c r="E388" s="9" t="s">
        <v>175</v>
      </c>
      <c r="F388" s="10">
        <f>SUMIFS(Data!$K:$K,Data!$A:$A,2024,Data!$B:$B,12,Data!$G:$G,"FCC",Data!$F:$F,"PADD 2")</f>
        <v>0.0</v>
      </c>
      <c r="G388" s="11">
        <f>IFERROR(F388/F387-1,"")</f>
        <v>-1.0</v>
      </c>
      <c r="H388" s="11">
        <f>IFERROR(F388/F376-1,"")</f>
        <v>-1.0</v>
      </c>
    </row>
    <row r="389" spans="1:8">
      <c r="A389" s="6" t="s">
        <v>13</v>
      </c>
      <c r="B389" s="6" t="s">
        <v>212</v>
      </c>
      <c r="C389" s="6">
        <v>2025</v>
      </c>
      <c r="D389" s="6">
        <v>1</v>
      </c>
      <c r="E389" s="9" t="s">
        <v>176</v>
      </c>
      <c r="F389" s="10">
        <f>SUMIFS(Data!$K:$K,Data!$A:$A,2025,Data!$B:$B,1,Data!$G:$G,"FCC",Data!$F:$F,"PADD 2")</f>
        <v>6.08</v>
      </c>
      <c r="G389" s="11">
        <f>IFERROR(F389/F388-1,"")</f>
        <v/>
      </c>
      <c r="H389" s="11">
        <f>IFERROR(F389/F377-1,"")</f>
        <v>1.6784140969162995</v>
      </c>
    </row>
    <row r="390" spans="1:8">
      <c r="A390" s="6" t="s">
        <v>13</v>
      </c>
      <c r="B390" s="6" t="s">
        <v>212</v>
      </c>
      <c r="C390" s="6">
        <v>2025</v>
      </c>
      <c r="D390" s="6">
        <v>2</v>
      </c>
      <c r="E390" s="9" t="s">
        <v>177</v>
      </c>
      <c r="F390" s="10">
        <f>SUMIFS(Data!$K:$K,Data!$A:$A,2025,Data!$B:$B,2,Data!$G:$G,"FCC",Data!$F:$F,"PADD 2")</f>
        <v>48.34</v>
      </c>
      <c r="G390" s="11">
        <f>IFERROR(F390/F389-1,"")</f>
        <v>6.9506578947368425</v>
      </c>
      <c r="H390" s="11">
        <f>IFERROR(F390/F378-1,"")</f>
        <v>-0.8624320555508125</v>
      </c>
    </row>
    <row r="391" spans="1:8">
      <c r="A391" s="6" t="s">
        <v>13</v>
      </c>
      <c r="B391" s="6" t="s">
        <v>212</v>
      </c>
      <c r="C391" s="6">
        <v>2025</v>
      </c>
      <c r="D391" s="6">
        <v>3</v>
      </c>
      <c r="E391" s="9" t="s">
        <v>178</v>
      </c>
      <c r="F391" s="10">
        <f>SUMIFS(Data!$K:$K,Data!$A:$A,2025,Data!$B:$B,3,Data!$G:$G,"FCC",Data!$F:$F,"PADD 2")</f>
        <v>130.895</v>
      </c>
      <c r="G391" s="11">
        <f>IFERROR(F391/F390-1,"")</f>
        <v>1.7077989242863052</v>
      </c>
      <c r="H391" s="11">
        <f>IFERROR(F391/F379-1,"")</f>
        <v>0.5239841657934567</v>
      </c>
    </row>
    <row r="392" spans="1:8">
      <c r="A392" s="6" t="s">
        <v>13</v>
      </c>
      <c r="B392" s="6" t="s">
        <v>212</v>
      </c>
      <c r="C392" s="6">
        <v>2025</v>
      </c>
      <c r="D392" s="6">
        <v>4</v>
      </c>
      <c r="E392" s="9" t="s">
        <v>179</v>
      </c>
      <c r="F392" s="10">
        <f>SUMIFS(Data!$K:$K,Data!$A:$A,2025,Data!$B:$B,4,Data!$G:$G,"FCC",Data!$F:$F,"PADD 2")</f>
        <v>209.995</v>
      </c>
      <c r="G392" s="11">
        <f>IFERROR(F392/F391-1,"")</f>
        <v>0.6043011574162496</v>
      </c>
      <c r="H392" s="11">
        <f>IFERROR(F392/F380-1,"")</f>
        <v>0.8089761812465006</v>
      </c>
    </row>
    <row r="393" spans="1:8">
      <c r="A393" s="6" t="s">
        <v>13</v>
      </c>
      <c r="B393" s="6" t="s">
        <v>212</v>
      </c>
      <c r="C393" s="6">
        <v>2025</v>
      </c>
      <c r="D393" s="6">
        <v>5</v>
      </c>
      <c r="E393" s="9" t="s">
        <v>180</v>
      </c>
      <c r="F393" s="10">
        <f>SUMIFS(Data!$K:$K,Data!$A:$A,2025,Data!$B:$B,5,Data!$G:$G,"FCC",Data!$F:$F,"PADD 2")</f>
        <v>132.91</v>
      </c>
      <c r="G393" s="11">
        <f>IFERROR(F393/F392-1,"")</f>
        <v>-0.36708016857544234</v>
      </c>
      <c r="H393" s="11">
        <f>IFERROR(F393/F381-1,"")</f>
        <v>0.7747362798771531</v>
      </c>
    </row>
    <row r="394" spans="1:8">
      <c r="A394" s="6" t="s">
        <v>13</v>
      </c>
      <c r="B394" s="6" t="s">
        <v>212</v>
      </c>
      <c r="C394" s="6">
        <v>2025</v>
      </c>
      <c r="D394" s="6">
        <v>6</v>
      </c>
      <c r="E394" s="9" t="s">
        <v>181</v>
      </c>
      <c r="F394" s="10">
        <f>SUMIFS(Data!$K:$K,Data!$A:$A,2025,Data!$B:$B,6,Data!$G:$G,"FCC",Data!$F:$F,"PADD 2")</f>
        <v>27.88</v>
      </c>
      <c r="G394" s="11">
        <f>IFERROR(F394/F393-1,"")</f>
        <v>-0.7902339929275449</v>
      </c>
      <c r="H394" s="11">
        <f>IFERROR(F394/F382-1,"")</f>
        <v>0.531868131868132</v>
      </c>
    </row>
    <row r="395" spans="1:8">
      <c r="A395" s="6" t="s">
        <v>13</v>
      </c>
      <c r="B395" s="6" t="s">
        <v>212</v>
      </c>
      <c r="C395" s="6">
        <v>2025</v>
      </c>
      <c r="D395" s="6">
        <v>7</v>
      </c>
      <c r="E395" s="9" t="s">
        <v>182</v>
      </c>
      <c r="F395" s="10">
        <f>SUMIFS(Data!$K:$K,Data!$A:$A,2025,Data!$B:$B,7,Data!$G:$G,"FCC",Data!$F:$F,"PADD 2")</f>
        <v>26.295</v>
      </c>
      <c r="G395" s="11">
        <f>IFERROR(F395/F394-1,"")</f>
        <v>-0.056850789096126175</v>
      </c>
      <c r="H395" s="11">
        <f>IFERROR(F395/F383-1,"")</f>
        <v>-0.7188301967493584</v>
      </c>
    </row>
    <row r="396" spans="1:8">
      <c r="A396" s="6" t="s">
        <v>13</v>
      </c>
      <c r="B396" s="6" t="s">
        <v>212</v>
      </c>
      <c r="C396" s="6">
        <v>2025</v>
      </c>
      <c r="D396" s="6">
        <v>8</v>
      </c>
      <c r="E396" s="9" t="s">
        <v>183</v>
      </c>
      <c r="F396" s="10">
        <f>SUMIFS(Data!$K:$K,Data!$A:$A,2025,Data!$B:$B,8,Data!$G:$G,"FCC",Data!$F:$F,"PADD 2")</f>
        <v>38.0</v>
      </c>
      <c r="G396" s="11">
        <f>IFERROR(F396/F395-1,"")</f>
        <v>0.44514166191291116</v>
      </c>
      <c r="H396" s="11">
        <f>IFERROR(F396/F384-1,"")</f>
        <v>0.001581444385872599</v>
      </c>
    </row>
    <row r="397" spans="1:8">
      <c r="A397" s="6" t="s">
        <v>13</v>
      </c>
      <c r="B397" s="6" t="s">
        <v>212</v>
      </c>
      <c r="C397" s="6">
        <v>2025</v>
      </c>
      <c r="D397" s="6">
        <v>9</v>
      </c>
      <c r="E397" s="9" t="s">
        <v>184</v>
      </c>
      <c r="F397" s="10">
        <f>SUMIFS(Data!$K:$K,Data!$A:$A,2025,Data!$B:$B,9,Data!$G:$G,"FCC",Data!$F:$F,"PADD 2")</f>
        <v>71.24</v>
      </c>
      <c r="G397" s="11">
        <f>IFERROR(F397/F396-1,"")</f>
        <v>0.874736842105263</v>
      </c>
      <c r="H397" s="11">
        <f>IFERROR(F397/F385-1,"")</f>
        <v>-0.3762367568514141</v>
      </c>
    </row>
    <row r="398" spans="1:8">
      <c r="A398" s="6" t="s">
        <v>13</v>
      </c>
      <c r="B398" s="6" t="s">
        <v>212</v>
      </c>
      <c r="C398" s="6">
        <v>2025</v>
      </c>
      <c r="D398" s="6">
        <v>10</v>
      </c>
      <c r="E398" s="9" t="s">
        <v>185</v>
      </c>
      <c r="F398" s="10">
        <f>SUMIFS(Data!$K:$K,Data!$A:$A,2025,Data!$B:$B,10,Data!$G:$G,"FCC",Data!$F:$F,"PADD 2")</f>
        <v>191.74</v>
      </c>
      <c r="G398" s="11">
        <f>IFERROR(F398/F397-1,"")</f>
        <v>1.6914654688377317</v>
      </c>
      <c r="H398" s="11">
        <f>IFERROR(F398/F386-1,"")</f>
        <v>0.5166903970890682</v>
      </c>
    </row>
    <row r="399" spans="1:8">
      <c r="A399" s="6" t="s">
        <v>13</v>
      </c>
      <c r="B399" s="6" t="s">
        <v>212</v>
      </c>
      <c r="C399" s="6">
        <v>2025</v>
      </c>
      <c r="D399" s="6">
        <v>11</v>
      </c>
      <c r="E399" s="9" t="s">
        <v>186</v>
      </c>
      <c r="F399" s="10">
        <f>SUMIFS(Data!$K:$K,Data!$A:$A,2025,Data!$B:$B,11,Data!$G:$G,"FCC",Data!$F:$F,"PADD 2")</f>
        <v>70.45</v>
      </c>
      <c r="G399" s="11">
        <f>IFERROR(F399/F398-1,"")</f>
        <v>-0.6325753624700114</v>
      </c>
      <c r="H399" s="11">
        <f>IFERROR(F399/F387-1,"")</f>
        <v>1.561818181818182</v>
      </c>
    </row>
    <row r="400" spans="1:8">
      <c r="A400" s="6" t="s">
        <v>13</v>
      </c>
      <c r="B400" s="6" t="s">
        <v>212</v>
      </c>
      <c r="C400" s="6">
        <v>2025</v>
      </c>
      <c r="D400" s="6">
        <v>12</v>
      </c>
      <c r="E400" s="9" t="s">
        <v>187</v>
      </c>
      <c r="F400" s="10">
        <f>SUMIFS(Data!$K:$K,Data!$A:$A,2025,Data!$B:$B,12,Data!$G:$G,"FCC",Data!$F:$F,"PADD 2")</f>
        <v>3.27</v>
      </c>
      <c r="G400" s="11">
        <f>IFERROR(F400/F399-1,"")</f>
        <v>-0.9535841022001419</v>
      </c>
      <c r="H400" s="11">
        <f>IFERROR(F400/F388-1,"")</f>
        <v/>
      </c>
    </row>
    <row r="401" spans="1:8">
      <c r="A401" s="6" t="s">
        <v>13</v>
      </c>
      <c r="B401" s="6" t="s">
        <v>212</v>
      </c>
      <c r="C401" s="6">
        <v>2026</v>
      </c>
      <c r="D401" s="6">
        <v>1</v>
      </c>
      <c r="E401" s="9" t="s">
        <v>188</v>
      </c>
      <c r="F401" s="10">
        <f>SUMIFS(Data!$K:$K,Data!$A:$A,2026,Data!$B:$B,1,Data!$G:$G,"FCC",Data!$F:$F,"PADD 2")</f>
        <v>4.449999999999999</v>
      </c>
      <c r="G401" s="11">
        <f>IFERROR(F401/F400-1,"")</f>
        <v>0.3608562691131496</v>
      </c>
      <c r="H401" s="11">
        <f>IFERROR(F401/F389-1,"")</f>
        <v>-0.26809210526315796</v>
      </c>
    </row>
    <row r="402" spans="1:8">
      <c r="A402" s="6" t="s">
        <v>13</v>
      </c>
      <c r="B402" s="6" t="s">
        <v>212</v>
      </c>
      <c r="C402" s="6">
        <v>2026</v>
      </c>
      <c r="D402" s="6">
        <v>2</v>
      </c>
      <c r="E402" s="9" t="s">
        <v>189</v>
      </c>
      <c r="F402" s="10">
        <f>SUMIFS(Data!$K:$K,Data!$A:$A,2026,Data!$B:$B,2,Data!$G:$G,"FCC",Data!$F:$F,"PADD 2")</f>
        <v>115.04</v>
      </c>
      <c r="G402" s="11">
        <f>IFERROR(F402/F401-1,"")</f>
        <v>24.851685393258432</v>
      </c>
      <c r="H402" s="11">
        <f>IFERROR(F402/F390-1,"")</f>
        <v>1.3798096814232519</v>
      </c>
    </row>
    <row r="403" spans="1:8">
      <c r="A403" s="6" t="s">
        <v>13</v>
      </c>
      <c r="B403" s="6" t="s">
        <v>212</v>
      </c>
      <c r="C403" s="6">
        <v>2026</v>
      </c>
      <c r="D403" s="6">
        <v>3</v>
      </c>
      <c r="E403" s="9" t="s">
        <v>190</v>
      </c>
      <c r="F403" s="10">
        <f>SUMIFS(Data!$K:$K,Data!$A:$A,2026,Data!$B:$B,3,Data!$G:$G,"FCC",Data!$F:$F,"PADD 2")</f>
        <v>109.26</v>
      </c>
      <c r="G403" s="11">
        <f>IFERROR(F403/F402-1,"")</f>
        <v>-0.050243393602225295</v>
      </c>
      <c r="H403" s="11">
        <f>IFERROR(F403/F391-1,"")</f>
        <v>-0.16528515222124607</v>
      </c>
    </row>
    <row r="404" spans="1:8">
      <c r="A404" s="6" t="s">
        <v>13</v>
      </c>
      <c r="B404" s="6" t="s">
        <v>212</v>
      </c>
      <c r="C404" s="6">
        <v>2026</v>
      </c>
      <c r="D404" s="6">
        <v>4</v>
      </c>
      <c r="E404" s="9" t="s">
        <v>191</v>
      </c>
      <c r="F404" s="10">
        <f>SUMIFS(Data!$K:$K,Data!$A:$A,2026,Data!$B:$B,4,Data!$G:$G,"FCC",Data!$F:$F,"PADD 2")</f>
        <v>80.99000000000001</v>
      </c>
      <c r="G404" s="11">
        <f>IFERROR(F404/F403-1,"")</f>
        <v>-0.25874061870766973</v>
      </c>
      <c r="H404" s="11">
        <f>IFERROR(F404/F392-1,"")</f>
        <v>-0.6143241505750137</v>
      </c>
    </row>
    <row r="405" spans="1:8">
      <c r="A405" s="6" t="s">
        <v>13</v>
      </c>
      <c r="B405" s="6" t="s">
        <v>212</v>
      </c>
      <c r="C405" s="6">
        <v>2026</v>
      </c>
      <c r="D405" s="6">
        <v>5</v>
      </c>
      <c r="E405" s="9" t="s">
        <v>192</v>
      </c>
      <c r="F405" s="10">
        <f>SUMIFS(Data!$K:$K,Data!$A:$A,2026,Data!$B:$B,5,Data!$G:$G,"FCC",Data!$F:$F,"PADD 2")</f>
        <v>143.0</v>
      </c>
      <c r="G405" s="11">
        <f>IFERROR(F405/F404-1,"")</f>
        <v>0.7656500802568216</v>
      </c>
      <c r="H405" s="11">
        <f>IFERROR(F405/F393-1,"")</f>
        <v>0.07591603340606423</v>
      </c>
    </row>
    <row r="406" spans="1:8">
      <c r="A406" s="6" t="s">
        <v>13</v>
      </c>
      <c r="B406" s="6" t="s">
        <v>212</v>
      </c>
      <c r="C406" s="6">
        <v>2026</v>
      </c>
      <c r="D406" s="6">
        <v>6</v>
      </c>
      <c r="E406" s="9" t="s">
        <v>193</v>
      </c>
      <c r="F406" s="10">
        <f>SUMIFS(Data!$K:$K,Data!$A:$A,2026,Data!$B:$B,6,Data!$G:$G,"FCC",Data!$F:$F,"PADD 2")</f>
        <v>56.225</v>
      </c>
      <c r="G406" s="11">
        <f>IFERROR(F406/F405-1,"")</f>
        <v>-0.6068181818181818</v>
      </c>
      <c r="H406" s="11">
        <f>IFERROR(F406/F394-1,"")</f>
        <v>1.0166786226685796</v>
      </c>
    </row>
    <row r="407" spans="1:8">
      <c r="A407" s="6" t="s">
        <v>13</v>
      </c>
      <c r="B407" s="6" t="s">
        <v>212</v>
      </c>
      <c r="C407" s="6">
        <v>2026</v>
      </c>
      <c r="D407" s="6">
        <v>7</v>
      </c>
      <c r="E407" s="9" t="s">
        <v>194</v>
      </c>
      <c r="F407" s="10">
        <f>SUMIFS(Data!$K:$K,Data!$A:$A,2026,Data!$B:$B,7,Data!$G:$G,"FCC",Data!$F:$F,"PADD 2")</f>
        <v>0.0</v>
      </c>
      <c r="G407" s="11">
        <f>IFERROR(F407/F406-1,"")</f>
        <v>-1.0</v>
      </c>
      <c r="H407" s="11">
        <f>IFERROR(F407/F395-1,"")</f>
        <v>-1.0</v>
      </c>
    </row>
    <row r="408" spans="1:8">
      <c r="A408" s="6" t="s">
        <v>13</v>
      </c>
      <c r="B408" s="6" t="s">
        <v>212</v>
      </c>
      <c r="C408" s="6">
        <v>2026</v>
      </c>
      <c r="D408" s="6">
        <v>8</v>
      </c>
      <c r="E408" s="9" t="s">
        <v>195</v>
      </c>
      <c r="F408" s="10">
        <f>SUMIFS(Data!$K:$K,Data!$A:$A,2026,Data!$B:$B,8,Data!$G:$G,"FCC",Data!$F:$F,"PADD 2")</f>
        <v>0.0</v>
      </c>
      <c r="G408" s="11">
        <f>IFERROR(F408/F407-1,"")</f>
        <v/>
      </c>
      <c r="H408" s="11">
        <f>IFERROR(F408/F396-1,"")</f>
        <v>-1.0</v>
      </c>
    </row>
    <row r="409" spans="1:8">
      <c r="A409" s="6" t="s">
        <v>13</v>
      </c>
      <c r="B409" s="6" t="s">
        <v>212</v>
      </c>
      <c r="C409" s="6">
        <v>2026</v>
      </c>
      <c r="D409" s="6">
        <v>9</v>
      </c>
      <c r="E409" s="9" t="s">
        <v>196</v>
      </c>
      <c r="F409" s="10">
        <f>SUMIFS(Data!$K:$K,Data!$A:$A,2026,Data!$B:$B,9,Data!$G:$G,"FCC",Data!$F:$F,"PADD 2")</f>
        <v>68.93</v>
      </c>
      <c r="G409" s="11">
        <f>IFERROR(F409/F408-1,"")</f>
        <v/>
      </c>
      <c r="H409" s="11">
        <f>IFERROR(F409/F397-1,"")</f>
        <v>-0.032425603593486674</v>
      </c>
    </row>
    <row r="410" spans="1:8">
      <c r="A410" s="6" t="s">
        <v>13</v>
      </c>
      <c r="B410" s="6" t="s">
        <v>212</v>
      </c>
      <c r="C410" s="6">
        <v>2026</v>
      </c>
      <c r="D410" s="6">
        <v>10</v>
      </c>
      <c r="E410" s="9" t="s">
        <v>197</v>
      </c>
      <c r="F410" s="10">
        <f>SUMIFS(Data!$K:$K,Data!$A:$A,2026,Data!$B:$B,10,Data!$G:$G,"FCC",Data!$F:$F,"PADD 2")</f>
        <v>112.31</v>
      </c>
      <c r="G410" s="11">
        <f>IFERROR(F410/F409-1,"")</f>
        <v>0.6293341070651384</v>
      </c>
      <c r="H410" s="11">
        <f>IFERROR(F410/F398-1,"")</f>
        <v>-0.41425889224992174</v>
      </c>
    </row>
    <row r="411" spans="1:8">
      <c r="A411" s="6" t="s">
        <v>13</v>
      </c>
      <c r="B411" s="6" t="s">
        <v>212</v>
      </c>
      <c r="C411" s="6">
        <v>2026</v>
      </c>
      <c r="D411" s="6">
        <v>11</v>
      </c>
      <c r="E411" s="9" t="s">
        <v>198</v>
      </c>
      <c r="F411" s="10">
        <f>SUMIFS(Data!$K:$K,Data!$A:$A,2026,Data!$B:$B,11,Data!$G:$G,"FCC",Data!$F:$F,"PADD 2")</f>
        <v>39.0</v>
      </c>
      <c r="G411" s="11">
        <f>IFERROR(F411/F410-1,"")</f>
        <v>-0.6527468613658624</v>
      </c>
      <c r="H411" s="11">
        <f>IFERROR(F411/F399-1,"")</f>
        <v>-0.44641589779985813</v>
      </c>
    </row>
    <row r="412" spans="1:8">
      <c r="A412" s="6" t="s">
        <v>13</v>
      </c>
      <c r="B412" s="6" t="s">
        <v>212</v>
      </c>
      <c r="C412" s="6">
        <v>2026</v>
      </c>
      <c r="D412" s="6">
        <v>12</v>
      </c>
      <c r="E412" s="9" t="s">
        <v>199</v>
      </c>
      <c r="F412" s="10">
        <f>SUMIFS(Data!$K:$K,Data!$A:$A,2026,Data!$B:$B,12,Data!$G:$G,"FCC",Data!$F:$F,"PADD 2")</f>
        <v>0.0</v>
      </c>
      <c r="G412" s="11">
        <f>IFERROR(F412/F411-1,"")</f>
        <v>-1.0</v>
      </c>
      <c r="H412" s="11">
        <f>IFERROR(F412/F400-1,"")</f>
        <v>-1.0</v>
      </c>
    </row>
    <row r="413" spans="1:8">
      <c r="A413" s="6" t="s">
        <v>13</v>
      </c>
      <c r="B413" s="6" t="s">
        <v>212</v>
      </c>
      <c r="C413" s="6">
        <v>2027</v>
      </c>
      <c r="D413" s="6">
        <v>1</v>
      </c>
      <c r="E413" s="9" t="s">
        <v>200</v>
      </c>
      <c r="F413" s="10">
        <f>SUMIFS(Data!$K:$K,Data!$A:$A,2027,Data!$B:$B,1,Data!$G:$G,"FCC",Data!$F:$F,"PADD 2")</f>
        <v>0.0</v>
      </c>
      <c r="G413" s="11">
        <f>IFERROR(F413/F412-1,"")</f>
        <v/>
      </c>
      <c r="H413" s="11">
        <f>IFERROR(F413/F401-1,"")</f>
        <v>-1.0</v>
      </c>
    </row>
    <row r="414" spans="1:8">
      <c r="A414" s="6" t="s">
        <v>13</v>
      </c>
      <c r="B414" s="6" t="s">
        <v>212</v>
      </c>
      <c r="C414" s="6">
        <v>2027</v>
      </c>
      <c r="D414" s="6">
        <v>2</v>
      </c>
      <c r="E414" s="9" t="s">
        <v>201</v>
      </c>
      <c r="F414" s="10">
        <f>SUMIFS(Data!$K:$K,Data!$A:$A,2027,Data!$B:$B,2,Data!$G:$G,"FCC",Data!$F:$F,"PADD 2")</f>
        <v>35.44</v>
      </c>
      <c r="G414" s="11">
        <f>IFERROR(F414/F413-1,"")</f>
        <v/>
      </c>
      <c r="H414" s="11">
        <f>IFERROR(F414/F402-1,"")</f>
        <v>-0.6919332406119612</v>
      </c>
    </row>
    <row r="415" spans="1:8">
      <c r="A415" s="6" t="s">
        <v>13</v>
      </c>
      <c r="B415" s="6" t="s">
        <v>212</v>
      </c>
      <c r="C415" s="6">
        <v>2027</v>
      </c>
      <c r="D415" s="6">
        <v>3</v>
      </c>
      <c r="E415" s="9" t="s">
        <v>202</v>
      </c>
      <c r="F415" s="10">
        <f>SUMIFS(Data!$K:$K,Data!$A:$A,2027,Data!$B:$B,3,Data!$G:$G,"FCC",Data!$F:$F,"PADD 2")</f>
        <v>40.72</v>
      </c>
      <c r="G415" s="11">
        <f>IFERROR(F415/F414-1,"")</f>
        <v>0.1489841986455982</v>
      </c>
      <c r="H415" s="11">
        <f>IFERROR(F415/F403-1,"")</f>
        <v>-0.6273110012813472</v>
      </c>
    </row>
    <row r="416" spans="1:8">
      <c r="A416" s="6" t="s">
        <v>13</v>
      </c>
      <c r="B416" s="6" t="s">
        <v>212</v>
      </c>
      <c r="C416" s="6">
        <v>2027</v>
      </c>
      <c r="D416" s="6">
        <v>4</v>
      </c>
      <c r="E416" s="9" t="s">
        <v>203</v>
      </c>
      <c r="F416" s="10">
        <f>SUMIFS(Data!$K:$K,Data!$A:$A,2027,Data!$B:$B,4,Data!$G:$G,"FCC",Data!$F:$F,"PADD 2")</f>
        <v>0.0</v>
      </c>
      <c r="G416" s="11">
        <f>IFERROR(F416/F415-1,"")</f>
        <v>-1.0</v>
      </c>
      <c r="H416" s="11">
        <f>IFERROR(F416/F404-1,"")</f>
        <v>-1.0</v>
      </c>
    </row>
    <row r="417" spans="1:8">
      <c r="A417" s="6" t="s">
        <v>13</v>
      </c>
      <c r="B417" s="6" t="s">
        <v>212</v>
      </c>
      <c r="C417" s="6">
        <v>2027</v>
      </c>
      <c r="D417" s="6">
        <v>5</v>
      </c>
      <c r="E417" s="9" t="s">
        <v>204</v>
      </c>
      <c r="F417" s="10">
        <f>SUMIFS(Data!$K:$K,Data!$A:$A,2027,Data!$B:$B,5,Data!$G:$G,"FCC",Data!$F:$F,"PADD 2")</f>
        <v>0.0</v>
      </c>
      <c r="G417" s="11">
        <f>IFERROR(F417/F416-1,"")</f>
        <v/>
      </c>
      <c r="H417" s="11">
        <f>IFERROR(F417/F405-1,"")</f>
        <v>-1.0</v>
      </c>
    </row>
    <row r="418" spans="1:8">
      <c r="A418" s="6" t="s">
        <v>13</v>
      </c>
      <c r="B418" s="6" t="s">
        <v>212</v>
      </c>
      <c r="C418" s="6">
        <v>2027</v>
      </c>
      <c r="D418" s="6">
        <v>6</v>
      </c>
      <c r="E418" s="9" t="s">
        <v>205</v>
      </c>
      <c r="F418" s="10">
        <f>SUMIFS(Data!$K:$K,Data!$A:$A,2027,Data!$B:$B,6,Data!$G:$G,"FCC",Data!$F:$F,"PADD 2")</f>
        <v>0.0</v>
      </c>
      <c r="G418" s="11">
        <f>IFERROR(F418/F417-1,"")</f>
        <v/>
      </c>
      <c r="H418" s="11">
        <f>IFERROR(F418/F406-1,"")</f>
        <v>-1.0</v>
      </c>
    </row>
    <row r="419" spans="1:8">
      <c r="A419" s="6" t="s">
        <v>13</v>
      </c>
      <c r="B419" s="6" t="s">
        <v>212</v>
      </c>
      <c r="C419" s="6">
        <v>2027</v>
      </c>
      <c r="D419" s="6">
        <v>7</v>
      </c>
      <c r="E419" s="9" t="s">
        <v>206</v>
      </c>
      <c r="F419" s="10">
        <f>SUMIFS(Data!$K:$K,Data!$A:$A,2027,Data!$B:$B,7,Data!$G:$G,"FCC",Data!$F:$F,"PADD 2")</f>
        <v>0.0</v>
      </c>
      <c r="G419" s="11">
        <f>IFERROR(F419/F418-1,"")</f>
        <v/>
      </c>
      <c r="H419" s="11">
        <f>IFERROR(F419/F407-1,"")</f>
        <v/>
      </c>
    </row>
    <row r="420" spans="1:8">
      <c r="A420" s="6" t="s">
        <v>13</v>
      </c>
      <c r="B420" s="6" t="s">
        <v>212</v>
      </c>
      <c r="C420" s="6">
        <v>2027</v>
      </c>
      <c r="D420" s="6">
        <v>8</v>
      </c>
      <c r="E420" s="9" t="s">
        <v>207</v>
      </c>
      <c r="F420" s="10">
        <f>SUMIFS(Data!$K:$K,Data!$A:$A,2027,Data!$B:$B,8,Data!$G:$G,"FCC",Data!$F:$F,"PADD 2")</f>
        <v>0.0</v>
      </c>
      <c r="G420" s="11">
        <f>IFERROR(F420/F419-1,"")</f>
        <v/>
      </c>
      <c r="H420" s="11">
        <f>IFERROR(F420/F408-1,"")</f>
        <v/>
      </c>
    </row>
    <row r="421" spans="1:8">
      <c r="A421" s="6" t="s">
        <v>13</v>
      </c>
      <c r="B421" s="6" t="s">
        <v>212</v>
      </c>
      <c r="C421" s="6">
        <v>2027</v>
      </c>
      <c r="D421" s="6">
        <v>9</v>
      </c>
      <c r="E421" s="9" t="s">
        <v>208</v>
      </c>
      <c r="F421" s="10">
        <f>SUMIFS(Data!$K:$K,Data!$A:$A,2027,Data!$B:$B,9,Data!$G:$G,"FCC",Data!$F:$F,"PADD 2")</f>
        <v>157.5</v>
      </c>
      <c r="G421" s="11">
        <f>IFERROR(F421/F420-1,"")</f>
        <v/>
      </c>
      <c r="H421" s="11">
        <f>IFERROR(F421/F409-1,"")</f>
        <v>1.2849267372696938</v>
      </c>
    </row>
    <row r="422" spans="1:8">
      <c r="A422" s="6" t="s">
        <v>13</v>
      </c>
      <c r="B422" s="6" t="s">
        <v>212</v>
      </c>
      <c r="C422" s="6">
        <v>2027</v>
      </c>
      <c r="D422" s="6">
        <v>10</v>
      </c>
      <c r="E422" s="9" t="s">
        <v>209</v>
      </c>
      <c r="F422" s="10">
        <f>SUMIFS(Data!$K:$K,Data!$A:$A,2027,Data!$B:$B,10,Data!$G:$G,"FCC",Data!$F:$F,"PADD 2")</f>
        <v>111.47999999999999</v>
      </c>
      <c r="G422" s="11">
        <f>IFERROR(F422/F421-1,"")</f>
        <v>-0.2921904761904762</v>
      </c>
      <c r="H422" s="11">
        <f>IFERROR(F422/F410-1,"")</f>
        <v>-0.007390259104265051</v>
      </c>
    </row>
    <row r="423" spans="1:8">
      <c r="A423" s="6" t="s">
        <v>13</v>
      </c>
      <c r="B423" s="6" t="s">
        <v>212</v>
      </c>
      <c r="C423" s="6">
        <v>2027</v>
      </c>
      <c r="D423" s="6">
        <v>11</v>
      </c>
      <c r="E423" s="9" t="s">
        <v>210</v>
      </c>
      <c r="F423" s="10">
        <f>SUMIFS(Data!$K:$K,Data!$A:$A,2027,Data!$B:$B,11,Data!$G:$G,"FCC",Data!$F:$F,"PADD 2")</f>
        <v>0.0</v>
      </c>
      <c r="G423" s="11">
        <f>IFERROR(F423/F422-1,"")</f>
        <v>-1.0</v>
      </c>
      <c r="H423" s="11">
        <f>IFERROR(F423/F411-1,"")</f>
        <v>-1.0</v>
      </c>
    </row>
    <row r="424" spans="1:8">
      <c r="A424" s="6" t="s">
        <v>13</v>
      </c>
      <c r="B424" s="6" t="s">
        <v>212</v>
      </c>
      <c r="C424" s="6">
        <v>2027</v>
      </c>
      <c r="D424" s="6">
        <v>12</v>
      </c>
      <c r="E424" s="9" t="s">
        <v>211</v>
      </c>
      <c r="F424" s="10">
        <f>SUMIFS(Data!$K:$K,Data!$A:$A,2027,Data!$B:$B,12,Data!$G:$G,"FCC",Data!$F:$F,"PADD 2")</f>
        <v>0.0</v>
      </c>
      <c r="G424" s="11">
        <f>IFERROR(F424/F423-1,"")</f>
        <v/>
      </c>
      <c r="H424" s="11">
        <f>IFERROR(F424/F412-1,"")</f>
        <v/>
      </c>
    </row>
    <row r="425" spans="1:8">
      <c r="A425" s="6" t="s">
        <v>13</v>
      </c>
      <c r="B425" s="6" t="s">
        <v>213</v>
      </c>
      <c r="C425" s="6">
        <v>2023</v>
      </c>
      <c r="D425" s="6">
        <v>1</v>
      </c>
      <c r="E425" s="9" t="s">
        <v>152</v>
      </c>
      <c r="F425" s="10">
        <f>SUMIFS(Data!$K:$K,Data!$A:$A,2023,Data!$B:$B,1,Data!$G:$G,"FCC",Data!$F:$F,"PADD 3")</f>
        <v>506.214</v>
      </c>
    </row>
    <row r="426" spans="1:8">
      <c r="A426" s="6" t="s">
        <v>13</v>
      </c>
      <c r="B426" s="6" t="s">
        <v>213</v>
      </c>
      <c r="C426" s="6">
        <v>2023</v>
      </c>
      <c r="D426" s="6">
        <v>2</v>
      </c>
      <c r="E426" s="9" t="s">
        <v>153</v>
      </c>
      <c r="F426" s="10">
        <f>SUMIFS(Data!$K:$K,Data!$A:$A,2023,Data!$B:$B,2,Data!$G:$G,"FCC",Data!$F:$F,"PADD 3")</f>
        <v>464.4</v>
      </c>
      <c r="G426" s="11">
        <f>IFERROR(F426/F425-1,"")</f>
        <v>-0.08260142943498205</v>
      </c>
    </row>
    <row r="427" spans="1:8">
      <c r="A427" s="6" t="s">
        <v>13</v>
      </c>
      <c r="B427" s="6" t="s">
        <v>213</v>
      </c>
      <c r="C427" s="6">
        <v>2023</v>
      </c>
      <c r="D427" s="6">
        <v>3</v>
      </c>
      <c r="E427" s="9" t="s">
        <v>154</v>
      </c>
      <c r="F427" s="10">
        <f>SUMIFS(Data!$K:$K,Data!$A:$A,2023,Data!$B:$B,3,Data!$G:$G,"FCC",Data!$F:$F,"PADD 3")</f>
        <v>401.78999999999996</v>
      </c>
      <c r="G427" s="11">
        <f>IFERROR(F427/F426-1,"")</f>
        <v>-0.13481912144702846</v>
      </c>
    </row>
    <row r="428" spans="1:8">
      <c r="A428" s="6" t="s">
        <v>13</v>
      </c>
      <c r="B428" s="6" t="s">
        <v>213</v>
      </c>
      <c r="C428" s="6">
        <v>2023</v>
      </c>
      <c r="D428" s="6">
        <v>4</v>
      </c>
      <c r="E428" s="9" t="s">
        <v>155</v>
      </c>
      <c r="F428" s="10">
        <f>SUMIFS(Data!$K:$K,Data!$A:$A,2023,Data!$B:$B,4,Data!$G:$G,"FCC",Data!$F:$F,"PADD 3")</f>
        <v>351.69</v>
      </c>
      <c r="G428" s="11">
        <f>IFERROR(F428/F427-1,"")</f>
        <v>-0.12469200328529817</v>
      </c>
    </row>
    <row r="429" spans="1:8">
      <c r="A429" s="6" t="s">
        <v>13</v>
      </c>
      <c r="B429" s="6" t="s">
        <v>213</v>
      </c>
      <c r="C429" s="6">
        <v>2023</v>
      </c>
      <c r="D429" s="6">
        <v>5</v>
      </c>
      <c r="E429" s="9" t="s">
        <v>156</v>
      </c>
      <c r="F429" s="10">
        <f>SUMIFS(Data!$K:$K,Data!$A:$A,2023,Data!$B:$B,5,Data!$G:$G,"FCC",Data!$F:$F,"PADD 3")</f>
        <v>305.1</v>
      </c>
      <c r="G429" s="11">
        <f>IFERROR(F429/F428-1,"")</f>
        <v>-0.13247462253689324</v>
      </c>
    </row>
    <row r="430" spans="1:8">
      <c r="A430" s="6" t="s">
        <v>13</v>
      </c>
      <c r="B430" s="6" t="s">
        <v>213</v>
      </c>
      <c r="C430" s="6">
        <v>2023</v>
      </c>
      <c r="D430" s="6">
        <v>6</v>
      </c>
      <c r="E430" s="9" t="s">
        <v>157</v>
      </c>
      <c r="F430" s="10">
        <f>SUMIFS(Data!$K:$K,Data!$A:$A,2023,Data!$B:$B,6,Data!$G:$G,"FCC",Data!$F:$F,"PADD 3")</f>
        <v>205.28</v>
      </c>
      <c r="G430" s="11">
        <f>IFERROR(F430/F429-1,"")</f>
        <v>-0.32717141920681747</v>
      </c>
    </row>
    <row r="431" spans="1:8">
      <c r="A431" s="6" t="s">
        <v>13</v>
      </c>
      <c r="B431" s="6" t="s">
        <v>213</v>
      </c>
      <c r="C431" s="6">
        <v>2023</v>
      </c>
      <c r="D431" s="6">
        <v>7</v>
      </c>
      <c r="E431" s="9" t="s">
        <v>158</v>
      </c>
      <c r="F431" s="10">
        <f>SUMIFS(Data!$K:$K,Data!$A:$A,2023,Data!$B:$B,7,Data!$G:$G,"FCC",Data!$F:$F,"PADD 3")</f>
        <v>100.97</v>
      </c>
      <c r="G431" s="11">
        <f>IFERROR(F431/F430-1,"")</f>
        <v>-0.5081352299298519</v>
      </c>
    </row>
    <row r="432" spans="1:8">
      <c r="A432" s="6" t="s">
        <v>13</v>
      </c>
      <c r="B432" s="6" t="s">
        <v>213</v>
      </c>
      <c r="C432" s="6">
        <v>2023</v>
      </c>
      <c r="D432" s="6">
        <v>8</v>
      </c>
      <c r="E432" s="9" t="s">
        <v>159</v>
      </c>
      <c r="F432" s="10">
        <f>SUMIFS(Data!$K:$K,Data!$A:$A,2023,Data!$B:$B,8,Data!$G:$G,"FCC",Data!$F:$F,"PADD 3")</f>
        <v>123.595</v>
      </c>
      <c r="G432" s="11">
        <f>IFERROR(F432/F431-1,"")</f>
        <v>0.2240764583539665</v>
      </c>
    </row>
    <row r="433" spans="1:8">
      <c r="A433" s="6" t="s">
        <v>13</v>
      </c>
      <c r="B433" s="6" t="s">
        <v>213</v>
      </c>
      <c r="C433" s="6">
        <v>2023</v>
      </c>
      <c r="D433" s="6">
        <v>9</v>
      </c>
      <c r="E433" s="9" t="s">
        <v>160</v>
      </c>
      <c r="F433" s="10">
        <f>SUMIFS(Data!$K:$K,Data!$A:$A,2023,Data!$B:$B,9,Data!$G:$G,"FCC",Data!$F:$F,"PADD 3")</f>
        <v>258.475</v>
      </c>
      <c r="G433" s="11">
        <f>IFERROR(F433/F432-1,"")</f>
        <v>1.091306282616611</v>
      </c>
    </row>
    <row r="434" spans="1:8">
      <c r="A434" s="6" t="s">
        <v>13</v>
      </c>
      <c r="B434" s="6" t="s">
        <v>213</v>
      </c>
      <c r="C434" s="6">
        <v>2023</v>
      </c>
      <c r="D434" s="6">
        <v>10</v>
      </c>
      <c r="E434" s="9" t="s">
        <v>161</v>
      </c>
      <c r="F434" s="10">
        <f>SUMIFS(Data!$K:$K,Data!$A:$A,2023,Data!$B:$B,10,Data!$G:$G,"FCC",Data!$F:$F,"PADD 3")</f>
        <v>332.14</v>
      </c>
      <c r="G434" s="11">
        <f>IFERROR(F434/F433-1,"")</f>
        <v>0.28499854918270606</v>
      </c>
    </row>
    <row r="435" spans="1:8">
      <c r="A435" s="6" t="s">
        <v>13</v>
      </c>
      <c r="B435" s="6" t="s">
        <v>213</v>
      </c>
      <c r="C435" s="6">
        <v>2023</v>
      </c>
      <c r="D435" s="6">
        <v>11</v>
      </c>
      <c r="E435" s="9" t="s">
        <v>162</v>
      </c>
      <c r="F435" s="10">
        <f>SUMIFS(Data!$K:$K,Data!$A:$A,2023,Data!$B:$B,11,Data!$G:$G,"FCC",Data!$F:$F,"PADD 3")</f>
        <v>147.455</v>
      </c>
      <c r="G435" s="11">
        <f>IFERROR(F435/F434-1,"")</f>
        <v>-0.556045643403384</v>
      </c>
    </row>
    <row r="436" spans="1:8">
      <c r="A436" s="6" t="s">
        <v>13</v>
      </c>
      <c r="B436" s="6" t="s">
        <v>213</v>
      </c>
      <c r="C436" s="6">
        <v>2023</v>
      </c>
      <c r="D436" s="6">
        <v>12</v>
      </c>
      <c r="E436" s="9" t="s">
        <v>163</v>
      </c>
      <c r="F436" s="10">
        <f>SUMIFS(Data!$K:$K,Data!$A:$A,2023,Data!$B:$B,12,Data!$G:$G,"FCC",Data!$F:$F,"PADD 3")</f>
        <v>82.4</v>
      </c>
      <c r="G436" s="11">
        <f>IFERROR(F436/F435-1,"")</f>
        <v>-0.44118544640737856</v>
      </c>
    </row>
    <row r="437" spans="1:8">
      <c r="A437" s="6" t="s">
        <v>13</v>
      </c>
      <c r="B437" s="6" t="s">
        <v>213</v>
      </c>
      <c r="C437" s="6">
        <v>2024</v>
      </c>
      <c r="D437" s="6">
        <v>1</v>
      </c>
      <c r="E437" s="9" t="s">
        <v>164</v>
      </c>
      <c r="F437" s="10">
        <f>SUMIFS(Data!$K:$K,Data!$A:$A,2024,Data!$B:$B,1,Data!$G:$G,"FCC",Data!$F:$F,"PADD 3")</f>
        <v>265.975</v>
      </c>
      <c r="G437" s="11">
        <f>IFERROR(F437/F436-1,"")</f>
        <v>2.227851941747573</v>
      </c>
      <c r="H437" s="11">
        <f>IFERROR(F437/F425-1,"")</f>
        <v>-0.47457992074498134</v>
      </c>
    </row>
    <row r="438" spans="1:8">
      <c r="A438" s="6" t="s">
        <v>13</v>
      </c>
      <c r="B438" s="6" t="s">
        <v>213</v>
      </c>
      <c r="C438" s="6">
        <v>2024</v>
      </c>
      <c r="D438" s="6">
        <v>2</v>
      </c>
      <c r="E438" s="9" t="s">
        <v>165</v>
      </c>
      <c r="F438" s="10">
        <f>SUMIFS(Data!$K:$K,Data!$A:$A,2024,Data!$B:$B,2,Data!$G:$G,"FCC",Data!$F:$F,"PADD 3")</f>
        <v>507.2778</v>
      </c>
      <c r="G438" s="11">
        <f>IFERROR(F438/F437-1,"")</f>
        <v>0.9072386502490835</v>
      </c>
      <c r="H438" s="11">
        <f>IFERROR(F438/F426-1,"")</f>
        <v>0.09232945736434117</v>
      </c>
    </row>
    <row r="439" spans="1:8">
      <c r="A439" s="6" t="s">
        <v>13</v>
      </c>
      <c r="B439" s="6" t="s">
        <v>213</v>
      </c>
      <c r="C439" s="6">
        <v>2024</v>
      </c>
      <c r="D439" s="6">
        <v>3</v>
      </c>
      <c r="E439" s="9" t="s">
        <v>166</v>
      </c>
      <c r="F439" s="10">
        <f>SUMIFS(Data!$K:$K,Data!$A:$A,2024,Data!$B:$B,3,Data!$G:$G,"FCC",Data!$F:$F,"PADD 3")</f>
        <v>232.255</v>
      </c>
      <c r="G439" s="11">
        <f>IFERROR(F439/F438-1,"")</f>
        <v>-0.5421542200348606</v>
      </c>
      <c r="H439" s="11">
        <f>IFERROR(F439/F427-1,"")</f>
        <v>-0.4219492769854899</v>
      </c>
    </row>
    <row r="440" spans="1:8">
      <c r="A440" s="6" t="s">
        <v>13</v>
      </c>
      <c r="B440" s="6" t="s">
        <v>213</v>
      </c>
      <c r="C440" s="6">
        <v>2024</v>
      </c>
      <c r="D440" s="6">
        <v>4</v>
      </c>
      <c r="E440" s="9" t="s">
        <v>167</v>
      </c>
      <c r="F440" s="10">
        <f>SUMIFS(Data!$K:$K,Data!$A:$A,2024,Data!$B:$B,4,Data!$G:$G,"FCC",Data!$F:$F,"PADD 3")</f>
        <v>221.527</v>
      </c>
      <c r="G440" s="11">
        <f>IFERROR(F440/F439-1,"")</f>
        <v>-0.04619060945943043</v>
      </c>
      <c r="H440" s="11">
        <f>IFERROR(F440/F428-1,"")</f>
        <v>-0.37010719667889336</v>
      </c>
    </row>
    <row r="441" spans="1:8">
      <c r="A441" s="6" t="s">
        <v>13</v>
      </c>
      <c r="B441" s="6" t="s">
        <v>213</v>
      </c>
      <c r="C441" s="6">
        <v>2024</v>
      </c>
      <c r="D441" s="6">
        <v>5</v>
      </c>
      <c r="E441" s="9" t="s">
        <v>168</v>
      </c>
      <c r="F441" s="10">
        <f>SUMIFS(Data!$K:$K,Data!$A:$A,2024,Data!$B:$B,5,Data!$G:$G,"FCC",Data!$F:$F,"PADD 3")</f>
        <v>118.18</v>
      </c>
      <c r="G441" s="11">
        <f>IFERROR(F441/F440-1,"")</f>
        <v>-0.4665210109828598</v>
      </c>
      <c r="H441" s="11">
        <f>IFERROR(F441/F429-1,"")</f>
        <v>-0.61265158964274</v>
      </c>
    </row>
    <row r="442" spans="1:8">
      <c r="A442" s="6" t="s">
        <v>13</v>
      </c>
      <c r="B442" s="6" t="s">
        <v>213</v>
      </c>
      <c r="C442" s="6">
        <v>2024</v>
      </c>
      <c r="D442" s="6">
        <v>6</v>
      </c>
      <c r="E442" s="9" t="s">
        <v>169</v>
      </c>
      <c r="F442" s="10">
        <f>SUMIFS(Data!$K:$K,Data!$A:$A,2024,Data!$B:$B,6,Data!$G:$G,"FCC",Data!$F:$F,"PADD 3")</f>
        <v>130.065</v>
      </c>
      <c r="G442" s="11">
        <f>IFERROR(F442/F441-1,"")</f>
        <v>0.1005669317989506</v>
      </c>
      <c r="H442" s="11">
        <f>IFERROR(F442/F430-1,"")</f>
        <v>-0.36640198752922837</v>
      </c>
    </row>
    <row r="443" spans="1:8">
      <c r="A443" s="6" t="s">
        <v>13</v>
      </c>
      <c r="B443" s="6" t="s">
        <v>213</v>
      </c>
      <c r="C443" s="6">
        <v>2024</v>
      </c>
      <c r="D443" s="6">
        <v>7</v>
      </c>
      <c r="E443" s="9" t="s">
        <v>170</v>
      </c>
      <c r="F443" s="10">
        <f>SUMIFS(Data!$K:$K,Data!$A:$A,2024,Data!$B:$B,7,Data!$G:$G,"FCC",Data!$F:$F,"PADD 3")</f>
        <v>187.91</v>
      </c>
      <c r="G443" s="11">
        <f>IFERROR(F443/F442-1,"")</f>
        <v>0.44473916887709986</v>
      </c>
      <c r="H443" s="11">
        <f>IFERROR(F443/F431-1,"")</f>
        <v>0.8610478359908884</v>
      </c>
    </row>
    <row r="444" spans="1:8">
      <c r="A444" s="6" t="s">
        <v>13</v>
      </c>
      <c r="B444" s="6" t="s">
        <v>213</v>
      </c>
      <c r="C444" s="6">
        <v>2024</v>
      </c>
      <c r="D444" s="6">
        <v>8</v>
      </c>
      <c r="E444" s="9" t="s">
        <v>171</v>
      </c>
      <c r="F444" s="10">
        <f>SUMIFS(Data!$K:$K,Data!$A:$A,2024,Data!$B:$B,8,Data!$G:$G,"FCC",Data!$F:$F,"PADD 3")</f>
        <v>148.8</v>
      </c>
      <c r="G444" s="11">
        <f>IFERROR(F444/F443-1,"")</f>
        <v>-0.20813155233888558</v>
      </c>
      <c r="H444" s="11">
        <f>IFERROR(F444/F432-1,"")</f>
        <v>0.20393219790444617</v>
      </c>
    </row>
    <row r="445" spans="1:8">
      <c r="A445" s="6" t="s">
        <v>13</v>
      </c>
      <c r="B445" s="6" t="s">
        <v>213</v>
      </c>
      <c r="C445" s="6">
        <v>2024</v>
      </c>
      <c r="D445" s="6">
        <v>9</v>
      </c>
      <c r="E445" s="9" t="s">
        <v>172</v>
      </c>
      <c r="F445" s="10">
        <f>SUMIFS(Data!$K:$K,Data!$A:$A,2024,Data!$B:$B,9,Data!$G:$G,"FCC",Data!$F:$F,"PADD 3")</f>
        <v>234.304</v>
      </c>
      <c r="G445" s="11">
        <f>IFERROR(F445/F444-1,"")</f>
        <v>0.5746236559139783</v>
      </c>
      <c r="H445" s="11">
        <f>IFERROR(F445/F433-1,"")</f>
        <v>-0.09351387948544354</v>
      </c>
    </row>
    <row r="446" spans="1:8">
      <c r="A446" s="6" t="s">
        <v>13</v>
      </c>
      <c r="B446" s="6" t="s">
        <v>213</v>
      </c>
      <c r="C446" s="6">
        <v>2024</v>
      </c>
      <c r="D446" s="6">
        <v>10</v>
      </c>
      <c r="E446" s="9" t="s">
        <v>173</v>
      </c>
      <c r="F446" s="10">
        <f>SUMIFS(Data!$K:$K,Data!$A:$A,2024,Data!$B:$B,10,Data!$G:$G,"FCC",Data!$F:$F,"PADD 3")</f>
        <v>153.655</v>
      </c>
      <c r="G446" s="11">
        <f>IFERROR(F446/F445-1,"")</f>
        <v>-0.3442066716744059</v>
      </c>
      <c r="H446" s="11">
        <f>IFERROR(F446/F434-1,"")</f>
        <v>-0.5373788161618595</v>
      </c>
    </row>
    <row r="447" spans="1:8">
      <c r="A447" s="6" t="s">
        <v>13</v>
      </c>
      <c r="B447" s="6" t="s">
        <v>213</v>
      </c>
      <c r="C447" s="6">
        <v>2024</v>
      </c>
      <c r="D447" s="6">
        <v>11</v>
      </c>
      <c r="E447" s="9" t="s">
        <v>174</v>
      </c>
      <c r="F447" s="10">
        <f>SUMIFS(Data!$K:$K,Data!$A:$A,2024,Data!$B:$B,11,Data!$G:$G,"FCC",Data!$F:$F,"PADD 3")</f>
        <v>113.616</v>
      </c>
      <c r="G447" s="11">
        <f>IFERROR(F447/F446-1,"")</f>
        <v>-0.26057726725456376</v>
      </c>
      <c r="H447" s="11">
        <f>IFERROR(F447/F435-1,"")</f>
        <v>-0.22948696212403796</v>
      </c>
    </row>
    <row r="448" spans="1:8">
      <c r="A448" s="6" t="s">
        <v>13</v>
      </c>
      <c r="B448" s="6" t="s">
        <v>213</v>
      </c>
      <c r="C448" s="6">
        <v>2024</v>
      </c>
      <c r="D448" s="6">
        <v>12</v>
      </c>
      <c r="E448" s="9" t="s">
        <v>175</v>
      </c>
      <c r="F448" s="10">
        <f>SUMIFS(Data!$K:$K,Data!$A:$A,2024,Data!$B:$B,12,Data!$G:$G,"FCC",Data!$F:$F,"PADD 3")</f>
        <v>43.65</v>
      </c>
      <c r="G448" s="11">
        <f>IFERROR(F448/F447-1,"")</f>
        <v>-0.6158111533586819</v>
      </c>
      <c r="H448" s="11">
        <f>IFERROR(F448/F436-1,"")</f>
        <v>-0.4702669902912622</v>
      </c>
    </row>
    <row r="449" spans="1:8">
      <c r="A449" s="6" t="s">
        <v>13</v>
      </c>
      <c r="B449" s="6" t="s">
        <v>213</v>
      </c>
      <c r="C449" s="6">
        <v>2025</v>
      </c>
      <c r="D449" s="6">
        <v>1</v>
      </c>
      <c r="E449" s="9" t="s">
        <v>176</v>
      </c>
      <c r="F449" s="10">
        <f>SUMIFS(Data!$K:$K,Data!$A:$A,2025,Data!$B:$B,1,Data!$G:$G,"FCC",Data!$F:$F,"PADD 3")</f>
        <v>204.096</v>
      </c>
      <c r="G449" s="11">
        <f>IFERROR(F449/F448-1,"")</f>
        <v>3.6757388316151207</v>
      </c>
      <c r="H449" s="11">
        <f>IFERROR(F449/F437-1,"")</f>
        <v>-0.2326496851207821</v>
      </c>
    </row>
    <row r="450" spans="1:8">
      <c r="A450" s="6" t="s">
        <v>13</v>
      </c>
      <c r="B450" s="6" t="s">
        <v>213</v>
      </c>
      <c r="C450" s="6">
        <v>2025</v>
      </c>
      <c r="D450" s="6">
        <v>2</v>
      </c>
      <c r="E450" s="9" t="s">
        <v>177</v>
      </c>
      <c r="F450" s="10">
        <f>SUMIFS(Data!$K:$K,Data!$A:$A,2025,Data!$B:$B,2,Data!$G:$G,"FCC",Data!$F:$F,"PADD 3")</f>
        <v>285.286</v>
      </c>
      <c r="G450" s="11">
        <f>IFERROR(F450/F449-1,"")</f>
        <v>0.39780299466917524</v>
      </c>
      <c r="H450" s="11">
        <f>IFERROR(F450/F438-1,"")</f>
        <v>-0.43761386758892273</v>
      </c>
    </row>
    <row r="451" spans="1:8">
      <c r="A451" s="6" t="s">
        <v>13</v>
      </c>
      <c r="B451" s="6" t="s">
        <v>213</v>
      </c>
      <c r="C451" s="6">
        <v>2025</v>
      </c>
      <c r="D451" s="6">
        <v>3</v>
      </c>
      <c r="E451" s="9" t="s">
        <v>178</v>
      </c>
      <c r="F451" s="10">
        <f>SUMIFS(Data!$K:$K,Data!$A:$A,2025,Data!$B:$B,3,Data!$G:$G,"FCC",Data!$F:$F,"PADD 3")</f>
        <v>239.778</v>
      </c>
      <c r="G451" s="11">
        <f>IFERROR(F451/F450-1,"")</f>
        <v>-0.1595171161571196</v>
      </c>
      <c r="H451" s="11">
        <f>IFERROR(F451/F439-1,"")</f>
        <v>0.03239112182730186</v>
      </c>
    </row>
    <row r="452" spans="1:8">
      <c r="A452" s="6" t="s">
        <v>13</v>
      </c>
      <c r="B452" s="6" t="s">
        <v>213</v>
      </c>
      <c r="C452" s="6">
        <v>2025</v>
      </c>
      <c r="D452" s="6">
        <v>4</v>
      </c>
      <c r="E452" s="9" t="s">
        <v>179</v>
      </c>
      <c r="F452" s="10">
        <f>SUMIFS(Data!$K:$K,Data!$A:$A,2025,Data!$B:$B,4,Data!$G:$G,"FCC",Data!$F:$F,"PADD 3")</f>
        <v>78.2</v>
      </c>
      <c r="G452" s="11">
        <f>IFERROR(F452/F451-1,"")</f>
        <v>-0.6738649917840669</v>
      </c>
      <c r="H452" s="11">
        <f>IFERROR(F452/F440-1,"")</f>
        <v>-0.6469956258153633</v>
      </c>
    </row>
    <row r="453" spans="1:8">
      <c r="A453" s="6" t="s">
        <v>13</v>
      </c>
      <c r="B453" s="6" t="s">
        <v>213</v>
      </c>
      <c r="C453" s="6">
        <v>2025</v>
      </c>
      <c r="D453" s="6">
        <v>5</v>
      </c>
      <c r="E453" s="9" t="s">
        <v>180</v>
      </c>
      <c r="F453" s="10">
        <f>SUMIFS(Data!$K:$K,Data!$A:$A,2025,Data!$B:$B,5,Data!$G:$G,"FCC",Data!$F:$F,"PADD 3")</f>
        <v>26.64</v>
      </c>
      <c r="G453" s="11">
        <f>IFERROR(F453/F452-1,"")</f>
        <v>-0.6593350383631713</v>
      </c>
      <c r="H453" s="11">
        <f>IFERROR(F453/F441-1,"")</f>
        <v>-0.7745811474022677</v>
      </c>
    </row>
    <row r="454" spans="1:8">
      <c r="A454" s="6" t="s">
        <v>13</v>
      </c>
      <c r="B454" s="6" t="s">
        <v>213</v>
      </c>
      <c r="C454" s="6">
        <v>2025</v>
      </c>
      <c r="D454" s="6">
        <v>6</v>
      </c>
      <c r="E454" s="9" t="s">
        <v>181</v>
      </c>
      <c r="F454" s="10">
        <f>SUMIFS(Data!$K:$K,Data!$A:$A,2025,Data!$B:$B,6,Data!$G:$G,"FCC",Data!$F:$F,"PADD 3")</f>
        <v>57.805</v>
      </c>
      <c r="G454" s="11">
        <f>IFERROR(F454/F453-1,"")</f>
        <v>1.1698573573573574</v>
      </c>
      <c r="H454" s="11">
        <f>IFERROR(F454/F442-1,"")</f>
        <v>-0.5555683696613232</v>
      </c>
    </row>
    <row r="455" spans="1:8">
      <c r="A455" s="6" t="s">
        <v>13</v>
      </c>
      <c r="B455" s="6" t="s">
        <v>213</v>
      </c>
      <c r="C455" s="6">
        <v>2025</v>
      </c>
      <c r="D455" s="6">
        <v>7</v>
      </c>
      <c r="E455" s="9" t="s">
        <v>182</v>
      </c>
      <c r="F455" s="10">
        <f>SUMIFS(Data!$K:$K,Data!$A:$A,2025,Data!$B:$B,7,Data!$G:$G,"FCC",Data!$F:$F,"PADD 3")</f>
        <v>38.635</v>
      </c>
      <c r="G455" s="11">
        <f>IFERROR(F455/F454-1,"")</f>
        <v>-0.3316322117463888</v>
      </c>
      <c r="H455" s="11">
        <f>IFERROR(F455/F443-1,"")</f>
        <v>-0.7943962535256239</v>
      </c>
    </row>
    <row r="456" spans="1:8">
      <c r="A456" s="6" t="s">
        <v>13</v>
      </c>
      <c r="B456" s="6" t="s">
        <v>213</v>
      </c>
      <c r="C456" s="6">
        <v>2025</v>
      </c>
      <c r="D456" s="6">
        <v>8</v>
      </c>
      <c r="E456" s="9" t="s">
        <v>183</v>
      </c>
      <c r="F456" s="10">
        <f>SUMIFS(Data!$K:$K,Data!$A:$A,2025,Data!$B:$B,8,Data!$G:$G,"FCC",Data!$F:$F,"PADD 3")</f>
        <v>123.435</v>
      </c>
      <c r="G456" s="11">
        <f>IFERROR(F456/F455-1,"")</f>
        <v>2.1949009965057593</v>
      </c>
      <c r="H456" s="11">
        <f>IFERROR(F456/F444-1,"")</f>
        <v>-0.17046370967741942</v>
      </c>
    </row>
    <row r="457" spans="1:8">
      <c r="A457" s="6" t="s">
        <v>13</v>
      </c>
      <c r="B457" s="6" t="s">
        <v>213</v>
      </c>
      <c r="C457" s="6">
        <v>2025</v>
      </c>
      <c r="D457" s="6">
        <v>9</v>
      </c>
      <c r="E457" s="9" t="s">
        <v>184</v>
      </c>
      <c r="F457" s="10">
        <f>SUMIFS(Data!$K:$K,Data!$A:$A,2025,Data!$B:$B,9,Data!$G:$G,"FCC",Data!$F:$F,"PADD 3")</f>
        <v>200.485</v>
      </c>
      <c r="G457" s="11">
        <f>IFERROR(F457/F456-1,"")</f>
        <v>0.6242151739782071</v>
      </c>
      <c r="H457" s="11">
        <f>IFERROR(F457/F445-1,"")</f>
        <v>-0.14433812482928154</v>
      </c>
    </row>
    <row r="458" spans="1:8">
      <c r="A458" s="6" t="s">
        <v>13</v>
      </c>
      <c r="B458" s="6" t="s">
        <v>213</v>
      </c>
      <c r="C458" s="6">
        <v>2025</v>
      </c>
      <c r="D458" s="6">
        <v>10</v>
      </c>
      <c r="E458" s="9" t="s">
        <v>185</v>
      </c>
      <c r="F458" s="10">
        <f>SUMIFS(Data!$K:$K,Data!$A:$A,2025,Data!$B:$B,10,Data!$G:$G,"FCC",Data!$F:$F,"PADD 3")</f>
        <v>294.9915</v>
      </c>
      <c r="G458" s="11">
        <f>IFERROR(F458/F457-1,"")</f>
        <v>0.4713893807516769</v>
      </c>
      <c r="H458" s="11">
        <f>IFERROR(F458/F446-1,"")</f>
        <v>0.9198301389476422</v>
      </c>
    </row>
    <row r="459" spans="1:8">
      <c r="A459" s="6" t="s">
        <v>13</v>
      </c>
      <c r="B459" s="6" t="s">
        <v>213</v>
      </c>
      <c r="C459" s="6">
        <v>2025</v>
      </c>
      <c r="D459" s="6">
        <v>11</v>
      </c>
      <c r="E459" s="9" t="s">
        <v>186</v>
      </c>
      <c r="F459" s="10">
        <f>SUMIFS(Data!$K:$K,Data!$A:$A,2025,Data!$B:$B,11,Data!$G:$G,"FCC",Data!$F:$F,"PADD 3")</f>
        <v>93.26289999999999</v>
      </c>
      <c r="G459" s="11">
        <f>IFERROR(F459/F458-1,"")</f>
        <v>-0.6838454667337872</v>
      </c>
      <c r="H459" s="11">
        <f>IFERROR(F459/F447-1,"")</f>
        <v>-0.17913938177721456</v>
      </c>
    </row>
    <row r="460" spans="1:8">
      <c r="A460" s="6" t="s">
        <v>13</v>
      </c>
      <c r="B460" s="6" t="s">
        <v>213</v>
      </c>
      <c r="C460" s="6">
        <v>2025</v>
      </c>
      <c r="D460" s="6">
        <v>12</v>
      </c>
      <c r="E460" s="9" t="s">
        <v>187</v>
      </c>
      <c r="F460" s="10">
        <f>SUMIFS(Data!$K:$K,Data!$A:$A,2025,Data!$B:$B,12,Data!$G:$G,"FCC",Data!$F:$F,"PADD 3")</f>
        <v>0.0</v>
      </c>
      <c r="G460" s="11">
        <f>IFERROR(F460/F459-1,"")</f>
        <v>-1.0</v>
      </c>
      <c r="H460" s="11">
        <f>IFERROR(F460/F448-1,"")</f>
        <v>-1.0</v>
      </c>
    </row>
    <row r="461" spans="1:8">
      <c r="A461" s="6" t="s">
        <v>13</v>
      </c>
      <c r="B461" s="6" t="s">
        <v>213</v>
      </c>
      <c r="C461" s="6">
        <v>2026</v>
      </c>
      <c r="D461" s="6">
        <v>1</v>
      </c>
      <c r="E461" s="9" t="s">
        <v>188</v>
      </c>
      <c r="F461" s="10">
        <f>SUMIFS(Data!$K:$K,Data!$A:$A,2026,Data!$B:$B,1,Data!$G:$G,"FCC",Data!$F:$F,"PADD 3")</f>
        <v>210.45</v>
      </c>
      <c r="G461" s="11">
        <f>IFERROR(F461/F460-1,"")</f>
        <v/>
      </c>
      <c r="H461" s="11">
        <f>IFERROR(F461/F449-1,"")</f>
        <v>0.031132408278457202</v>
      </c>
    </row>
    <row r="462" spans="1:8">
      <c r="A462" s="6" t="s">
        <v>13</v>
      </c>
      <c r="B462" s="6" t="s">
        <v>213</v>
      </c>
      <c r="C462" s="6">
        <v>2026</v>
      </c>
      <c r="D462" s="6">
        <v>2</v>
      </c>
      <c r="E462" s="9" t="s">
        <v>189</v>
      </c>
      <c r="F462" s="10">
        <f>SUMIFS(Data!$K:$K,Data!$A:$A,2026,Data!$B:$B,2,Data!$G:$G,"FCC",Data!$F:$F,"PADD 3")</f>
        <v>365.6375</v>
      </c>
      <c r="G462" s="11">
        <f>IFERROR(F462/F461-1,"")</f>
        <v>0.7374079353765741</v>
      </c>
      <c r="H462" s="11">
        <f>IFERROR(F462/F450-1,"")</f>
        <v>0.2816524470180801</v>
      </c>
    </row>
    <row r="463" spans="1:8">
      <c r="A463" s="6" t="s">
        <v>13</v>
      </c>
      <c r="B463" s="6" t="s">
        <v>213</v>
      </c>
      <c r="C463" s="6">
        <v>2026</v>
      </c>
      <c r="D463" s="6">
        <v>3</v>
      </c>
      <c r="E463" s="9" t="s">
        <v>190</v>
      </c>
      <c r="F463" s="10">
        <f>SUMIFS(Data!$K:$K,Data!$A:$A,2026,Data!$B:$B,3,Data!$G:$G,"FCC",Data!$F:$F,"PADD 3")</f>
        <v>125.822</v>
      </c>
      <c r="G463" s="11">
        <f>IFERROR(F463/F462-1,"")</f>
        <v>-0.655883217667772</v>
      </c>
      <c r="H463" s="11">
        <f>IFERROR(F463/F451-1,"")</f>
        <v>-0.47525627872448684</v>
      </c>
    </row>
    <row r="464" spans="1:8">
      <c r="A464" s="6" t="s">
        <v>13</v>
      </c>
      <c r="B464" s="6" t="s">
        <v>213</v>
      </c>
      <c r="C464" s="6">
        <v>2026</v>
      </c>
      <c r="D464" s="6">
        <v>4</v>
      </c>
      <c r="E464" s="9" t="s">
        <v>191</v>
      </c>
      <c r="F464" s="10">
        <f>SUMIFS(Data!$K:$K,Data!$A:$A,2026,Data!$B:$B,4,Data!$G:$G,"FCC",Data!$F:$F,"PADD 3")</f>
        <v>253.71</v>
      </c>
      <c r="G464" s="11">
        <f>IFERROR(F464/F463-1,"")</f>
        <v>1.0164200219357507</v>
      </c>
      <c r="H464" s="11">
        <f>IFERROR(F464/F452-1,"")</f>
        <v>2.244373401534527</v>
      </c>
    </row>
    <row r="465" spans="1:8">
      <c r="A465" s="6" t="s">
        <v>13</v>
      </c>
      <c r="B465" s="6" t="s">
        <v>213</v>
      </c>
      <c r="C465" s="6">
        <v>2026</v>
      </c>
      <c r="D465" s="6">
        <v>5</v>
      </c>
      <c r="E465" s="9" t="s">
        <v>192</v>
      </c>
      <c r="F465" s="10">
        <f>SUMIFS(Data!$K:$K,Data!$A:$A,2026,Data!$B:$B,5,Data!$G:$G,"FCC",Data!$F:$F,"PADD 3")</f>
        <v>125.3915</v>
      </c>
      <c r="G465" s="11">
        <f>IFERROR(F465/F464-1,"")</f>
        <v>-0.5057683969886879</v>
      </c>
      <c r="H465" s="11">
        <f>IFERROR(F465/F453-1,"")</f>
        <v>3.7068881381381376</v>
      </c>
    </row>
    <row r="466" spans="1:8">
      <c r="A466" s="6" t="s">
        <v>13</v>
      </c>
      <c r="B466" s="6" t="s">
        <v>213</v>
      </c>
      <c r="C466" s="6">
        <v>2026</v>
      </c>
      <c r="D466" s="6">
        <v>6</v>
      </c>
      <c r="E466" s="9" t="s">
        <v>193</v>
      </c>
      <c r="F466" s="10">
        <f>SUMIFS(Data!$K:$K,Data!$A:$A,2026,Data!$B:$B,6,Data!$G:$G,"FCC",Data!$F:$F,"PADD 3")</f>
        <v>54.72</v>
      </c>
      <c r="G466" s="11">
        <f>IFERROR(F466/F465-1,"")</f>
        <v>-0.5636067835539091</v>
      </c>
      <c r="H466" s="11">
        <f>IFERROR(F466/F454-1,"")</f>
        <v>-0.05336908571922849</v>
      </c>
    </row>
    <row r="467" spans="1:8">
      <c r="A467" s="6" t="s">
        <v>13</v>
      </c>
      <c r="B467" s="6" t="s">
        <v>213</v>
      </c>
      <c r="C467" s="6">
        <v>2026</v>
      </c>
      <c r="D467" s="6">
        <v>7</v>
      </c>
      <c r="E467" s="9" t="s">
        <v>194</v>
      </c>
      <c r="F467" s="10">
        <f>SUMIFS(Data!$K:$K,Data!$A:$A,2026,Data!$B:$B,7,Data!$G:$G,"FCC",Data!$F:$F,"PADD 3")</f>
        <v>1.8</v>
      </c>
      <c r="G467" s="11">
        <f>IFERROR(F467/F466-1,"")</f>
        <v>-0.9671052631578947</v>
      </c>
      <c r="H467" s="11">
        <f>IFERROR(F467/F455-1,"")</f>
        <v>-0.9534101203571891</v>
      </c>
    </row>
    <row r="468" spans="1:8">
      <c r="A468" s="6" t="s">
        <v>13</v>
      </c>
      <c r="B468" s="6" t="s">
        <v>213</v>
      </c>
      <c r="C468" s="6">
        <v>2026</v>
      </c>
      <c r="D468" s="6">
        <v>8</v>
      </c>
      <c r="E468" s="9" t="s">
        <v>195</v>
      </c>
      <c r="F468" s="10">
        <f>SUMIFS(Data!$K:$K,Data!$A:$A,2026,Data!$B:$B,8,Data!$G:$G,"FCC",Data!$F:$F,"PADD 3")</f>
        <v>0.0</v>
      </c>
      <c r="G468" s="11">
        <f>IFERROR(F468/F467-1,"")</f>
        <v>-1.0</v>
      </c>
      <c r="H468" s="11">
        <f>IFERROR(F468/F456-1,"")</f>
        <v>-1.0</v>
      </c>
    </row>
    <row r="469" spans="1:8">
      <c r="A469" s="6" t="s">
        <v>13</v>
      </c>
      <c r="B469" s="6" t="s">
        <v>213</v>
      </c>
      <c r="C469" s="6">
        <v>2026</v>
      </c>
      <c r="D469" s="6">
        <v>9</v>
      </c>
      <c r="E469" s="9" t="s">
        <v>196</v>
      </c>
      <c r="F469" s="10">
        <f>SUMIFS(Data!$K:$K,Data!$A:$A,2026,Data!$B:$B,9,Data!$G:$G,"FCC",Data!$F:$F,"PADD 3")</f>
        <v>0.0</v>
      </c>
      <c r="G469" s="11">
        <f>IFERROR(F469/F468-1,"")</f>
        <v/>
      </c>
      <c r="H469" s="11">
        <f>IFERROR(F469/F457-1,"")</f>
        <v>-1.0</v>
      </c>
    </row>
    <row r="470" spans="1:8">
      <c r="A470" s="6" t="s">
        <v>13</v>
      </c>
      <c r="B470" s="6" t="s">
        <v>213</v>
      </c>
      <c r="C470" s="6">
        <v>2026</v>
      </c>
      <c r="D470" s="6">
        <v>10</v>
      </c>
      <c r="E470" s="9" t="s">
        <v>197</v>
      </c>
      <c r="F470" s="10">
        <f>SUMIFS(Data!$K:$K,Data!$A:$A,2026,Data!$B:$B,10,Data!$G:$G,"FCC",Data!$F:$F,"PADD 3")</f>
        <v>17.5</v>
      </c>
      <c r="G470" s="11">
        <f>IFERROR(F470/F469-1,"")</f>
        <v/>
      </c>
      <c r="H470" s="11">
        <f>IFERROR(F470/F458-1,"")</f>
        <v>-0.9406762567735002</v>
      </c>
    </row>
    <row r="471" spans="1:8">
      <c r="A471" s="6" t="s">
        <v>13</v>
      </c>
      <c r="B471" s="6" t="s">
        <v>213</v>
      </c>
      <c r="C471" s="6">
        <v>2026</v>
      </c>
      <c r="D471" s="6">
        <v>11</v>
      </c>
      <c r="E471" s="9" t="s">
        <v>198</v>
      </c>
      <c r="F471" s="10">
        <f>SUMIFS(Data!$K:$K,Data!$A:$A,2026,Data!$B:$B,11,Data!$G:$G,"FCC",Data!$F:$F,"PADD 3")</f>
        <v>8.225</v>
      </c>
      <c r="G471" s="11">
        <f>IFERROR(F471/F470-1,"")</f>
        <v>-0.53</v>
      </c>
      <c r="H471" s="11">
        <f>IFERROR(F471/F459-1,"")</f>
        <v>-0.9118084468743735</v>
      </c>
    </row>
    <row r="472" spans="1:8">
      <c r="A472" s="6" t="s">
        <v>13</v>
      </c>
      <c r="B472" s="6" t="s">
        <v>213</v>
      </c>
      <c r="C472" s="6">
        <v>2026</v>
      </c>
      <c r="D472" s="6">
        <v>12</v>
      </c>
      <c r="E472" s="9" t="s">
        <v>199</v>
      </c>
      <c r="F472" s="10">
        <f>SUMIFS(Data!$K:$K,Data!$A:$A,2026,Data!$B:$B,12,Data!$G:$G,"FCC",Data!$F:$F,"PADD 3")</f>
        <v>0.0</v>
      </c>
      <c r="G472" s="11">
        <f>IFERROR(F472/F471-1,"")</f>
        <v>-1.0</v>
      </c>
      <c r="H472" s="11">
        <f>IFERROR(F472/F460-1,"")</f>
        <v/>
      </c>
    </row>
    <row r="473" spans="1:8">
      <c r="A473" s="6" t="s">
        <v>13</v>
      </c>
      <c r="B473" s="6" t="s">
        <v>213</v>
      </c>
      <c r="C473" s="6">
        <v>2027</v>
      </c>
      <c r="D473" s="6">
        <v>1</v>
      </c>
      <c r="E473" s="9" t="s">
        <v>200</v>
      </c>
      <c r="F473" s="10">
        <f>SUMIFS(Data!$K:$K,Data!$A:$A,2027,Data!$B:$B,1,Data!$G:$G,"FCC",Data!$F:$F,"PADD 3")</f>
        <v>250.98000000000002</v>
      </c>
      <c r="G473" s="11">
        <f>IFERROR(F473/F472-1,"")</f>
        <v/>
      </c>
      <c r="H473" s="11">
        <f>IFERROR(F473/F461-1,"")</f>
        <v>0.1925873129009268</v>
      </c>
    </row>
    <row r="474" spans="1:8">
      <c r="A474" s="6" t="s">
        <v>13</v>
      </c>
      <c r="B474" s="6" t="s">
        <v>213</v>
      </c>
      <c r="C474" s="6">
        <v>2027</v>
      </c>
      <c r="D474" s="6">
        <v>2</v>
      </c>
      <c r="E474" s="9" t="s">
        <v>201</v>
      </c>
      <c r="F474" s="10">
        <f>SUMIFS(Data!$K:$K,Data!$A:$A,2027,Data!$B:$B,2,Data!$G:$G,"FCC",Data!$F:$F,"PADD 3")</f>
        <v>389.7375</v>
      </c>
      <c r="G474" s="11">
        <f>IFERROR(F474/F473-1,"")</f>
        <v>0.5528627779105904</v>
      </c>
      <c r="H474" s="11">
        <f>IFERROR(F474/F462-1,"")</f>
        <v>0.0659122765033675</v>
      </c>
    </row>
    <row r="475" spans="1:8">
      <c r="A475" s="6" t="s">
        <v>13</v>
      </c>
      <c r="B475" s="6" t="s">
        <v>213</v>
      </c>
      <c r="C475" s="6">
        <v>2027</v>
      </c>
      <c r="D475" s="6">
        <v>3</v>
      </c>
      <c r="E475" s="9" t="s">
        <v>202</v>
      </c>
      <c r="F475" s="10">
        <f>SUMIFS(Data!$K:$K,Data!$A:$A,2027,Data!$B:$B,3,Data!$G:$G,"FCC",Data!$F:$F,"PADD 3")</f>
        <v>344.305</v>
      </c>
      <c r="G475" s="11">
        <f>IFERROR(F475/F474-1,"")</f>
        <v>-0.11657205170146578</v>
      </c>
      <c r="H475" s="11">
        <f>IFERROR(F475/F463-1,"")</f>
        <v>1.7364451367805311</v>
      </c>
    </row>
    <row r="476" spans="1:8">
      <c r="A476" s="6" t="s">
        <v>13</v>
      </c>
      <c r="B476" s="6" t="s">
        <v>213</v>
      </c>
      <c r="C476" s="6">
        <v>2027</v>
      </c>
      <c r="D476" s="6">
        <v>4</v>
      </c>
      <c r="E476" s="9" t="s">
        <v>203</v>
      </c>
      <c r="F476" s="10">
        <f>SUMIFS(Data!$K:$K,Data!$A:$A,2027,Data!$B:$B,4,Data!$G:$G,"FCC",Data!$F:$F,"PADD 3")</f>
        <v>115.2</v>
      </c>
      <c r="G476" s="11">
        <f>IFERROR(F476/F475-1,"")</f>
        <v>-0.6654129333004168</v>
      </c>
      <c r="H476" s="11">
        <f>IFERROR(F476/F464-1,"")</f>
        <v>-0.5459382759843916</v>
      </c>
    </row>
    <row r="477" spans="1:8">
      <c r="A477" s="6" t="s">
        <v>13</v>
      </c>
      <c r="B477" s="6" t="s">
        <v>213</v>
      </c>
      <c r="C477" s="6">
        <v>2027</v>
      </c>
      <c r="D477" s="6">
        <v>5</v>
      </c>
      <c r="E477" s="9" t="s">
        <v>204</v>
      </c>
      <c r="F477" s="10">
        <f>SUMIFS(Data!$K:$K,Data!$A:$A,2027,Data!$B:$B,5,Data!$G:$G,"FCC",Data!$F:$F,"PADD 3")</f>
        <v>0.0</v>
      </c>
      <c r="G477" s="11">
        <f>IFERROR(F477/F476-1,"")</f>
        <v>-1.0</v>
      </c>
      <c r="H477" s="11">
        <f>IFERROR(F477/F465-1,"")</f>
        <v>-1.0</v>
      </c>
    </row>
    <row r="478" spans="1:8">
      <c r="A478" s="6" t="s">
        <v>13</v>
      </c>
      <c r="B478" s="6" t="s">
        <v>213</v>
      </c>
      <c r="C478" s="6">
        <v>2027</v>
      </c>
      <c r="D478" s="6">
        <v>6</v>
      </c>
      <c r="E478" s="9" t="s">
        <v>205</v>
      </c>
      <c r="F478" s="10">
        <f>SUMIFS(Data!$K:$K,Data!$A:$A,2027,Data!$B:$B,6,Data!$G:$G,"FCC",Data!$F:$F,"PADD 3")</f>
        <v>68.0</v>
      </c>
      <c r="G478" s="11">
        <f>IFERROR(F478/F477-1,"")</f>
        <v/>
      </c>
      <c r="H478" s="11">
        <f>IFERROR(F478/F466-1,"")</f>
        <v>0.24269005847953218</v>
      </c>
    </row>
    <row r="479" spans="1:8">
      <c r="A479" s="6" t="s">
        <v>13</v>
      </c>
      <c r="B479" s="6" t="s">
        <v>213</v>
      </c>
      <c r="C479" s="6">
        <v>2027</v>
      </c>
      <c r="D479" s="6">
        <v>7</v>
      </c>
      <c r="E479" s="9" t="s">
        <v>206</v>
      </c>
      <c r="F479" s="10">
        <f>SUMIFS(Data!$K:$K,Data!$A:$A,2027,Data!$B:$B,7,Data!$G:$G,"FCC",Data!$F:$F,"PADD 3")</f>
        <v>68.0</v>
      </c>
      <c r="G479" s="11">
        <f>IFERROR(F479/F478-1,"")</f>
        <v>0.0</v>
      </c>
      <c r="H479" s="11">
        <f>IFERROR(F479/F467-1,"")</f>
        <v>36.77777777777778</v>
      </c>
    </row>
    <row r="480" spans="1:8">
      <c r="A480" s="6" t="s">
        <v>13</v>
      </c>
      <c r="B480" s="6" t="s">
        <v>213</v>
      </c>
      <c r="C480" s="6">
        <v>2027</v>
      </c>
      <c r="D480" s="6">
        <v>8</v>
      </c>
      <c r="E480" s="9" t="s">
        <v>207</v>
      </c>
      <c r="F480" s="10">
        <f>SUMIFS(Data!$K:$K,Data!$A:$A,2027,Data!$B:$B,8,Data!$G:$G,"FCC",Data!$F:$F,"PADD 3")</f>
        <v>19.72</v>
      </c>
      <c r="G480" s="11">
        <f>IFERROR(F480/F479-1,"")</f>
        <v>-0.71</v>
      </c>
      <c r="H480" s="11">
        <f>IFERROR(F480/F468-1,"")</f>
        <v/>
      </c>
    </row>
    <row r="481" spans="1:8">
      <c r="A481" s="6" t="s">
        <v>13</v>
      </c>
      <c r="B481" s="6" t="s">
        <v>213</v>
      </c>
      <c r="C481" s="6">
        <v>2027</v>
      </c>
      <c r="D481" s="6">
        <v>9</v>
      </c>
      <c r="E481" s="9" t="s">
        <v>208</v>
      </c>
      <c r="F481" s="10">
        <f>SUMIFS(Data!$K:$K,Data!$A:$A,2027,Data!$B:$B,9,Data!$G:$G,"FCC",Data!$F:$F,"PADD 3")</f>
        <v>0.0</v>
      </c>
      <c r="G481" s="11">
        <f>IFERROR(F481/F480-1,"")</f>
        <v>-1.0</v>
      </c>
      <c r="H481" s="11">
        <f>IFERROR(F481/F469-1,"")</f>
        <v/>
      </c>
    </row>
    <row r="482" spans="1:8">
      <c r="A482" s="6" t="s">
        <v>13</v>
      </c>
      <c r="B482" s="6" t="s">
        <v>213</v>
      </c>
      <c r="C482" s="6">
        <v>2027</v>
      </c>
      <c r="D482" s="6">
        <v>10</v>
      </c>
      <c r="E482" s="9" t="s">
        <v>209</v>
      </c>
      <c r="F482" s="10">
        <f>SUMIFS(Data!$K:$K,Data!$A:$A,2027,Data!$B:$B,10,Data!$G:$G,"FCC",Data!$F:$F,"PADD 3")</f>
        <v>41.8</v>
      </c>
      <c r="G482" s="11">
        <f>IFERROR(F482/F481-1,"")</f>
        <v/>
      </c>
      <c r="H482" s="11">
        <f>IFERROR(F482/F470-1,"")</f>
        <v>1.3885714285714283</v>
      </c>
    </row>
    <row r="483" spans="1:8">
      <c r="A483" s="6" t="s">
        <v>13</v>
      </c>
      <c r="B483" s="6" t="s">
        <v>213</v>
      </c>
      <c r="C483" s="6">
        <v>2027</v>
      </c>
      <c r="D483" s="6">
        <v>11</v>
      </c>
      <c r="E483" s="9" t="s">
        <v>210</v>
      </c>
      <c r="F483" s="10">
        <f>SUMIFS(Data!$K:$K,Data!$A:$A,2027,Data!$B:$B,11,Data!$G:$G,"FCC",Data!$F:$F,"PADD 3")</f>
        <v>43.32</v>
      </c>
      <c r="G483" s="11">
        <f>IFERROR(F483/F482-1,"")</f>
        <v>0.036363636363636376</v>
      </c>
      <c r="H483" s="11">
        <f>IFERROR(F483/F471-1,"")</f>
        <v>4.266869300911854</v>
      </c>
    </row>
    <row r="484" spans="1:8">
      <c r="A484" s="6" t="s">
        <v>13</v>
      </c>
      <c r="B484" s="6" t="s">
        <v>213</v>
      </c>
      <c r="C484" s="6">
        <v>2027</v>
      </c>
      <c r="D484" s="6">
        <v>12</v>
      </c>
      <c r="E484" s="9" t="s">
        <v>211</v>
      </c>
      <c r="F484" s="10">
        <f>SUMIFS(Data!$K:$K,Data!$A:$A,2027,Data!$B:$B,12,Data!$G:$G,"FCC",Data!$F:$F,"PADD 3")</f>
        <v>0.0</v>
      </c>
      <c r="G484" s="11">
        <f>IFERROR(F484/F483-1,"")</f>
        <v>-1.0</v>
      </c>
      <c r="H484" s="11">
        <f>IFERROR(F484/F472-1,"")</f>
        <v/>
      </c>
    </row>
    <row r="485" spans="1:8">
      <c r="A485" s="6" t="s">
        <v>13</v>
      </c>
      <c r="B485" s="6" t="s">
        <v>214</v>
      </c>
      <c r="C485" s="6">
        <v>2023</v>
      </c>
      <c r="D485" s="6">
        <v>1</v>
      </c>
      <c r="E485" s="9" t="s">
        <v>152</v>
      </c>
      <c r="F485" s="10">
        <f>SUMIFS(Data!$K:$K,Data!$A:$A,2023,Data!$B:$B,1,Data!$G:$G,"FCC",Data!$F:$F,"PADD 4")</f>
        <v>66.803</v>
      </c>
    </row>
    <row r="486" spans="1:8">
      <c r="A486" s="6" t="s">
        <v>13</v>
      </c>
      <c r="B486" s="6" t="s">
        <v>214</v>
      </c>
      <c r="C486" s="6">
        <v>2023</v>
      </c>
      <c r="D486" s="6">
        <v>2</v>
      </c>
      <c r="E486" s="9" t="s">
        <v>153</v>
      </c>
      <c r="F486" s="10">
        <f>SUMIFS(Data!$K:$K,Data!$A:$A,2023,Data!$B:$B,2,Data!$G:$G,"FCC",Data!$F:$F,"PADD 4")</f>
        <v>54.325</v>
      </c>
      <c r="G486" s="11">
        <f>IFERROR(F486/F485-1,"")</f>
        <v>-0.18678801850216298</v>
      </c>
    </row>
    <row r="487" spans="1:8">
      <c r="A487" s="6" t="s">
        <v>13</v>
      </c>
      <c r="B487" s="6" t="s">
        <v>214</v>
      </c>
      <c r="C487" s="6">
        <v>2023</v>
      </c>
      <c r="D487" s="6">
        <v>3</v>
      </c>
      <c r="E487" s="9" t="s">
        <v>154</v>
      </c>
      <c r="F487" s="10">
        <f>SUMIFS(Data!$K:$K,Data!$A:$A,2023,Data!$B:$B,3,Data!$G:$G,"FCC",Data!$F:$F,"PADD 4")</f>
        <v>39.255</v>
      </c>
      <c r="G487" s="11">
        <f>IFERROR(F487/F486-1,"")</f>
        <v>-0.27740450989415555</v>
      </c>
    </row>
    <row r="488" spans="1:8">
      <c r="A488" s="6" t="s">
        <v>13</v>
      </c>
      <c r="B488" s="6" t="s">
        <v>214</v>
      </c>
      <c r="C488" s="6">
        <v>2023</v>
      </c>
      <c r="D488" s="6">
        <v>4</v>
      </c>
      <c r="E488" s="9" t="s">
        <v>155</v>
      </c>
      <c r="F488" s="10">
        <f>SUMIFS(Data!$K:$K,Data!$A:$A,2023,Data!$B:$B,4,Data!$G:$G,"FCC",Data!$F:$F,"PADD 4")</f>
        <v>36.356</v>
      </c>
      <c r="G488" s="11">
        <f>IFERROR(F488/F487-1,"")</f>
        <v>-0.07385046490892877</v>
      </c>
    </row>
    <row r="489" spans="1:8">
      <c r="A489" s="6" t="s">
        <v>13</v>
      </c>
      <c r="B489" s="6" t="s">
        <v>214</v>
      </c>
      <c r="C489" s="6">
        <v>2023</v>
      </c>
      <c r="D489" s="6">
        <v>5</v>
      </c>
      <c r="E489" s="9" t="s">
        <v>156</v>
      </c>
      <c r="F489" s="10">
        <f>SUMIFS(Data!$K:$K,Data!$A:$A,2023,Data!$B:$B,5,Data!$G:$G,"FCC",Data!$F:$F,"PADD 4")</f>
        <v>30.01</v>
      </c>
      <c r="G489" s="11">
        <f>IFERROR(F489/F488-1,"")</f>
        <v>-0.17455165584772803</v>
      </c>
    </row>
    <row r="490" spans="1:8">
      <c r="A490" s="6" t="s">
        <v>13</v>
      </c>
      <c r="B490" s="6" t="s">
        <v>214</v>
      </c>
      <c r="C490" s="6">
        <v>2023</v>
      </c>
      <c r="D490" s="6">
        <v>6</v>
      </c>
      <c r="E490" s="9" t="s">
        <v>157</v>
      </c>
      <c r="F490" s="10">
        <f>SUMIFS(Data!$K:$K,Data!$A:$A,2023,Data!$B:$B,6,Data!$G:$G,"FCC",Data!$F:$F,"PADD 4")</f>
        <v>7.1575</v>
      </c>
      <c r="G490" s="11">
        <f>IFERROR(F490/F489-1,"")</f>
        <v>-0.7614961679440186</v>
      </c>
    </row>
    <row r="491" spans="1:8">
      <c r="A491" s="6" t="s">
        <v>13</v>
      </c>
      <c r="B491" s="6" t="s">
        <v>214</v>
      </c>
      <c r="C491" s="6">
        <v>2023</v>
      </c>
      <c r="D491" s="6">
        <v>7</v>
      </c>
      <c r="E491" s="9" t="s">
        <v>158</v>
      </c>
      <c r="F491" s="10">
        <f>SUMIFS(Data!$K:$K,Data!$A:$A,2023,Data!$B:$B,7,Data!$G:$G,"FCC",Data!$F:$F,"PADD 4")</f>
        <v>2.47</v>
      </c>
      <c r="G491" s="11">
        <f>IFERROR(F491/F490-1,"")</f>
        <v>-0.6549074397485155</v>
      </c>
    </row>
    <row r="492" spans="1:8">
      <c r="A492" s="6" t="s">
        <v>13</v>
      </c>
      <c r="B492" s="6" t="s">
        <v>214</v>
      </c>
      <c r="C492" s="6">
        <v>2023</v>
      </c>
      <c r="D492" s="6">
        <v>8</v>
      </c>
      <c r="E492" s="9" t="s">
        <v>159</v>
      </c>
      <c r="F492" s="10">
        <f>SUMIFS(Data!$K:$K,Data!$A:$A,2023,Data!$B:$B,8,Data!$G:$G,"FCC",Data!$F:$F,"PADD 4")</f>
        <v>13.0</v>
      </c>
      <c r="G492" s="11">
        <f>IFERROR(F492/F491-1,"")</f>
        <v>4.263157894736842</v>
      </c>
    </row>
    <row r="493" spans="1:8">
      <c r="A493" s="6" t="s">
        <v>13</v>
      </c>
      <c r="B493" s="6" t="s">
        <v>214</v>
      </c>
      <c r="C493" s="6">
        <v>2023</v>
      </c>
      <c r="D493" s="6">
        <v>9</v>
      </c>
      <c r="E493" s="9" t="s">
        <v>160</v>
      </c>
      <c r="F493" s="10">
        <f>SUMIFS(Data!$K:$K,Data!$A:$A,2023,Data!$B:$B,9,Data!$G:$G,"FCC",Data!$F:$F,"PADD 4")</f>
        <v>0.0</v>
      </c>
      <c r="G493" s="11">
        <f>IFERROR(F493/F492-1,"")</f>
        <v>-1.0</v>
      </c>
    </row>
    <row r="494" spans="1:8">
      <c r="A494" s="6" t="s">
        <v>13</v>
      </c>
      <c r="B494" s="6" t="s">
        <v>214</v>
      </c>
      <c r="C494" s="6">
        <v>2023</v>
      </c>
      <c r="D494" s="6">
        <v>10</v>
      </c>
      <c r="E494" s="9" t="s">
        <v>161</v>
      </c>
      <c r="F494" s="10">
        <f>SUMIFS(Data!$K:$K,Data!$A:$A,2023,Data!$B:$B,10,Data!$G:$G,"FCC",Data!$F:$F,"PADD 4")</f>
        <v>0.0</v>
      </c>
      <c r="G494" s="11">
        <f>IFERROR(F494/F493-1,"")</f>
        <v/>
      </c>
    </row>
    <row r="495" spans="1:8">
      <c r="A495" s="6" t="s">
        <v>13</v>
      </c>
      <c r="B495" s="6" t="s">
        <v>214</v>
      </c>
      <c r="C495" s="6">
        <v>2023</v>
      </c>
      <c r="D495" s="6">
        <v>11</v>
      </c>
      <c r="E495" s="9" t="s">
        <v>162</v>
      </c>
      <c r="F495" s="10">
        <f>SUMIFS(Data!$K:$K,Data!$A:$A,2023,Data!$B:$B,11,Data!$G:$G,"FCC",Data!$F:$F,"PADD 4")</f>
        <v>4.14</v>
      </c>
      <c r="G495" s="11">
        <f>IFERROR(F495/F494-1,"")</f>
        <v/>
      </c>
    </row>
    <row r="496" spans="1:8">
      <c r="A496" s="6" t="s">
        <v>13</v>
      </c>
      <c r="B496" s="6" t="s">
        <v>214</v>
      </c>
      <c r="C496" s="6">
        <v>2023</v>
      </c>
      <c r="D496" s="6">
        <v>12</v>
      </c>
      <c r="E496" s="9" t="s">
        <v>163</v>
      </c>
      <c r="F496" s="10">
        <f>SUMIFS(Data!$K:$K,Data!$A:$A,2023,Data!$B:$B,12,Data!$G:$G,"FCC",Data!$F:$F,"PADD 4")</f>
        <v>13.584</v>
      </c>
      <c r="G496" s="11">
        <f>IFERROR(F496/F495-1,"")</f>
        <v>2.281159420289855</v>
      </c>
    </row>
    <row r="497" spans="1:8">
      <c r="A497" s="6" t="s">
        <v>13</v>
      </c>
      <c r="B497" s="6" t="s">
        <v>214</v>
      </c>
      <c r="C497" s="6">
        <v>2024</v>
      </c>
      <c r="D497" s="6">
        <v>1</v>
      </c>
      <c r="E497" s="9" t="s">
        <v>164</v>
      </c>
      <c r="F497" s="10">
        <f>SUMIFS(Data!$K:$K,Data!$A:$A,2024,Data!$B:$B,1,Data!$G:$G,"FCC",Data!$F:$F,"PADD 4")</f>
        <v>2.314</v>
      </c>
      <c r="G497" s="11">
        <f>IFERROR(F497/F496-1,"")</f>
        <v>-0.8296525323910483</v>
      </c>
      <c r="H497" s="11">
        <f>IFERROR(F497/F485-1,"")</f>
        <v>-0.9653608370881547</v>
      </c>
    </row>
    <row r="498" spans="1:8">
      <c r="A498" s="6" t="s">
        <v>13</v>
      </c>
      <c r="B498" s="6" t="s">
        <v>214</v>
      </c>
      <c r="C498" s="6">
        <v>2024</v>
      </c>
      <c r="D498" s="6">
        <v>2</v>
      </c>
      <c r="E498" s="9" t="s">
        <v>165</v>
      </c>
      <c r="F498" s="10">
        <f>SUMIFS(Data!$K:$K,Data!$A:$A,2024,Data!$B:$B,2,Data!$G:$G,"FCC",Data!$F:$F,"PADD 4")</f>
        <v>19.564</v>
      </c>
      <c r="G498" s="11">
        <f>IFERROR(F498/F497-1,"")</f>
        <v>7.454624027657735</v>
      </c>
      <c r="H498" s="11">
        <f>IFERROR(F498/F486-1,"")</f>
        <v>-0.6398711458812701</v>
      </c>
    </row>
    <row r="499" spans="1:8">
      <c r="A499" s="6" t="s">
        <v>13</v>
      </c>
      <c r="B499" s="6" t="s">
        <v>214</v>
      </c>
      <c r="C499" s="6">
        <v>2024</v>
      </c>
      <c r="D499" s="6">
        <v>3</v>
      </c>
      <c r="E499" s="9" t="s">
        <v>166</v>
      </c>
      <c r="F499" s="10">
        <f>SUMIFS(Data!$K:$K,Data!$A:$A,2024,Data!$B:$B,3,Data!$G:$G,"FCC",Data!$F:$F,"PADD 4")</f>
        <v>26.423000000000002</v>
      </c>
      <c r="G499" s="11">
        <f>IFERROR(F499/F498-1,"")</f>
        <v>0.3505929257820488</v>
      </c>
      <c r="H499" s="11">
        <f>IFERROR(F499/F487-1,"")</f>
        <v>-0.32688829448477896</v>
      </c>
    </row>
    <row r="500" spans="1:8">
      <c r="A500" s="6" t="s">
        <v>13</v>
      </c>
      <c r="B500" s="6" t="s">
        <v>214</v>
      </c>
      <c r="C500" s="6">
        <v>2024</v>
      </c>
      <c r="D500" s="6">
        <v>4</v>
      </c>
      <c r="E500" s="9" t="s">
        <v>167</v>
      </c>
      <c r="F500" s="10">
        <f>SUMIFS(Data!$K:$K,Data!$A:$A,2024,Data!$B:$B,4,Data!$G:$G,"FCC",Data!$F:$F,"PADD 4")</f>
        <v>0.27</v>
      </c>
      <c r="G500" s="11">
        <f>IFERROR(F500/F499-1,"")</f>
        <v>-0.9897816296408432</v>
      </c>
      <c r="H500" s="11">
        <f>IFERROR(F500/F488-1,"")</f>
        <v>-0.9925734404224887</v>
      </c>
    </row>
    <row r="501" spans="1:8">
      <c r="A501" s="6" t="s">
        <v>13</v>
      </c>
      <c r="B501" s="6" t="s">
        <v>214</v>
      </c>
      <c r="C501" s="6">
        <v>2024</v>
      </c>
      <c r="D501" s="6">
        <v>5</v>
      </c>
      <c r="E501" s="9" t="s">
        <v>168</v>
      </c>
      <c r="F501" s="10">
        <f>SUMIFS(Data!$K:$K,Data!$A:$A,2024,Data!$B:$B,5,Data!$G:$G,"FCC",Data!$F:$F,"PADD 4")</f>
        <v>1.065</v>
      </c>
      <c r="G501" s="11">
        <f>IFERROR(F501/F500-1,"")</f>
        <v>2.944444444444444</v>
      </c>
      <c r="H501" s="11">
        <f>IFERROR(F501/F489-1,"")</f>
        <v>-0.9645118293902033</v>
      </c>
    </row>
    <row r="502" spans="1:8">
      <c r="A502" s="6" t="s">
        <v>13</v>
      </c>
      <c r="B502" s="6" t="s">
        <v>214</v>
      </c>
      <c r="C502" s="6">
        <v>2024</v>
      </c>
      <c r="D502" s="6">
        <v>6</v>
      </c>
      <c r="E502" s="9" t="s">
        <v>169</v>
      </c>
      <c r="F502" s="10">
        <f>SUMIFS(Data!$K:$K,Data!$A:$A,2024,Data!$B:$B,6,Data!$G:$G,"FCC",Data!$F:$F,"PADD 4")</f>
        <v>0.0</v>
      </c>
      <c r="G502" s="11">
        <f>IFERROR(F502/F501-1,"")</f>
        <v>-1.0</v>
      </c>
      <c r="H502" s="11">
        <f>IFERROR(F502/F490-1,"")</f>
        <v>-1.0</v>
      </c>
    </row>
    <row r="503" spans="1:8">
      <c r="A503" s="6" t="s">
        <v>13</v>
      </c>
      <c r="B503" s="6" t="s">
        <v>214</v>
      </c>
      <c r="C503" s="6">
        <v>2024</v>
      </c>
      <c r="D503" s="6">
        <v>7</v>
      </c>
      <c r="E503" s="9" t="s">
        <v>170</v>
      </c>
      <c r="F503" s="10">
        <f>SUMIFS(Data!$K:$K,Data!$A:$A,2024,Data!$B:$B,7,Data!$G:$G,"FCC",Data!$F:$F,"PADD 4")</f>
        <v>7.656</v>
      </c>
      <c r="G503" s="11">
        <f>IFERROR(F503/F502-1,"")</f>
        <v/>
      </c>
      <c r="H503" s="11">
        <f>IFERROR(F503/F491-1,"")</f>
        <v>2.0995951417004046</v>
      </c>
    </row>
    <row r="504" spans="1:8">
      <c r="A504" s="6" t="s">
        <v>13</v>
      </c>
      <c r="B504" s="6" t="s">
        <v>214</v>
      </c>
      <c r="C504" s="6">
        <v>2024</v>
      </c>
      <c r="D504" s="6">
        <v>8</v>
      </c>
      <c r="E504" s="9" t="s">
        <v>171</v>
      </c>
      <c r="F504" s="10">
        <f>SUMIFS(Data!$K:$K,Data!$A:$A,2024,Data!$B:$B,8,Data!$G:$G,"FCC",Data!$F:$F,"PADD 4")</f>
        <v>19.8744</v>
      </c>
      <c r="G504" s="11">
        <f>IFERROR(F504/F503-1,"")</f>
        <v>1.5959247648902823</v>
      </c>
      <c r="H504" s="11">
        <f>IFERROR(F504/F492-1,"")</f>
        <v>0.5288000000000002</v>
      </c>
    </row>
    <row r="505" spans="1:8">
      <c r="A505" s="6" t="s">
        <v>13</v>
      </c>
      <c r="B505" s="6" t="s">
        <v>214</v>
      </c>
      <c r="C505" s="6">
        <v>2024</v>
      </c>
      <c r="D505" s="6">
        <v>9</v>
      </c>
      <c r="E505" s="9" t="s">
        <v>172</v>
      </c>
      <c r="F505" s="10">
        <f>SUMIFS(Data!$K:$K,Data!$A:$A,2024,Data!$B:$B,9,Data!$G:$G,"FCC",Data!$F:$F,"PADD 4")</f>
        <v>1.6800000000000002</v>
      </c>
      <c r="G505" s="11">
        <f>IFERROR(F505/F504-1,"")</f>
        <v>-0.915469146238377</v>
      </c>
      <c r="H505" s="11">
        <f>IFERROR(F505/F493-1,"")</f>
        <v/>
      </c>
    </row>
    <row r="506" spans="1:8">
      <c r="A506" s="6" t="s">
        <v>13</v>
      </c>
      <c r="B506" s="6" t="s">
        <v>214</v>
      </c>
      <c r="C506" s="6">
        <v>2024</v>
      </c>
      <c r="D506" s="6">
        <v>10</v>
      </c>
      <c r="E506" s="9" t="s">
        <v>173</v>
      </c>
      <c r="F506" s="10">
        <f>SUMIFS(Data!$K:$K,Data!$A:$A,2024,Data!$B:$B,10,Data!$G:$G,"FCC",Data!$F:$F,"PADD 4")</f>
        <v>7.221</v>
      </c>
      <c r="G506" s="11">
        <f>IFERROR(F506/F505-1,"")</f>
        <v>3.2982142857142858</v>
      </c>
      <c r="H506" s="11">
        <f>IFERROR(F506/F494-1,"")</f>
        <v/>
      </c>
    </row>
    <row r="507" spans="1:8">
      <c r="A507" s="6" t="s">
        <v>13</v>
      </c>
      <c r="B507" s="6" t="s">
        <v>214</v>
      </c>
      <c r="C507" s="6">
        <v>2024</v>
      </c>
      <c r="D507" s="6">
        <v>11</v>
      </c>
      <c r="E507" s="9" t="s">
        <v>174</v>
      </c>
      <c r="F507" s="10">
        <f>SUMIFS(Data!$K:$K,Data!$A:$A,2024,Data!$B:$B,11,Data!$G:$G,"FCC",Data!$F:$F,"PADD 4")</f>
        <v>1.185</v>
      </c>
      <c r="G507" s="11">
        <f>IFERROR(F507/F506-1,"")</f>
        <v>-0.8358953053593685</v>
      </c>
      <c r="H507" s="11">
        <f>IFERROR(F507/F495-1,"")</f>
        <v>-0.7137681159420289</v>
      </c>
    </row>
    <row r="508" spans="1:8">
      <c r="A508" s="6" t="s">
        <v>13</v>
      </c>
      <c r="B508" s="6" t="s">
        <v>214</v>
      </c>
      <c r="C508" s="6">
        <v>2024</v>
      </c>
      <c r="D508" s="6">
        <v>12</v>
      </c>
      <c r="E508" s="9" t="s">
        <v>175</v>
      </c>
      <c r="F508" s="10">
        <f>SUMIFS(Data!$K:$K,Data!$A:$A,2024,Data!$B:$B,12,Data!$G:$G,"FCC",Data!$F:$F,"PADD 4")</f>
        <v>16.104</v>
      </c>
      <c r="G508" s="11">
        <f>IFERROR(F508/F507-1,"")</f>
        <v>12.589873417721519</v>
      </c>
      <c r="H508" s="11">
        <f>IFERROR(F508/F496-1,"")</f>
        <v>0.18551236749116606</v>
      </c>
    </row>
    <row r="509" spans="1:8">
      <c r="A509" s="6" t="s">
        <v>13</v>
      </c>
      <c r="B509" s="6" t="s">
        <v>214</v>
      </c>
      <c r="C509" s="6">
        <v>2025</v>
      </c>
      <c r="D509" s="6">
        <v>1</v>
      </c>
      <c r="E509" s="9" t="s">
        <v>176</v>
      </c>
      <c r="F509" s="10">
        <f>SUMIFS(Data!$K:$K,Data!$A:$A,2025,Data!$B:$B,1,Data!$G:$G,"FCC",Data!$F:$F,"PADD 4")</f>
        <v>0.0</v>
      </c>
      <c r="G509" s="11">
        <f>IFERROR(F509/F508-1,"")</f>
        <v>-1.0</v>
      </c>
      <c r="H509" s="11">
        <f>IFERROR(F509/F497-1,"")</f>
        <v>-1.0</v>
      </c>
    </row>
    <row r="510" spans="1:8">
      <c r="A510" s="6" t="s">
        <v>13</v>
      </c>
      <c r="B510" s="6" t="s">
        <v>214</v>
      </c>
      <c r="C510" s="6">
        <v>2025</v>
      </c>
      <c r="D510" s="6">
        <v>2</v>
      </c>
      <c r="E510" s="9" t="s">
        <v>177</v>
      </c>
      <c r="F510" s="10">
        <f>SUMIFS(Data!$K:$K,Data!$A:$A,2025,Data!$B:$B,2,Data!$G:$G,"FCC",Data!$F:$F,"PADD 4")</f>
        <v>3.355</v>
      </c>
      <c r="G510" s="11">
        <f>IFERROR(F510/F509-1,"")</f>
        <v/>
      </c>
      <c r="H510" s="11">
        <f>IFERROR(F510/F498-1,"")</f>
        <v>-0.8285115518298917</v>
      </c>
    </row>
    <row r="511" spans="1:8">
      <c r="A511" s="6" t="s">
        <v>13</v>
      </c>
      <c r="B511" s="6" t="s">
        <v>214</v>
      </c>
      <c r="C511" s="6">
        <v>2025</v>
      </c>
      <c r="D511" s="6">
        <v>3</v>
      </c>
      <c r="E511" s="9" t="s">
        <v>178</v>
      </c>
      <c r="F511" s="10">
        <f>SUMIFS(Data!$K:$K,Data!$A:$A,2025,Data!$B:$B,3,Data!$G:$G,"FCC",Data!$F:$F,"PADD 4")</f>
        <v>5.5</v>
      </c>
      <c r="G511" s="11">
        <f>IFERROR(F511/F510-1,"")</f>
        <v>0.639344262295082</v>
      </c>
      <c r="H511" s="11">
        <f>IFERROR(F511/F499-1,"")</f>
        <v>-0.7918480112023616</v>
      </c>
    </row>
    <row r="512" spans="1:8">
      <c r="A512" s="6" t="s">
        <v>13</v>
      </c>
      <c r="B512" s="6" t="s">
        <v>214</v>
      </c>
      <c r="C512" s="6">
        <v>2025</v>
      </c>
      <c r="D512" s="6">
        <v>4</v>
      </c>
      <c r="E512" s="9" t="s">
        <v>179</v>
      </c>
      <c r="F512" s="10">
        <f>SUMIFS(Data!$K:$K,Data!$A:$A,2025,Data!$B:$B,4,Data!$G:$G,"FCC",Data!$F:$F,"PADD 4")</f>
        <v>39.655</v>
      </c>
      <c r="G512" s="11">
        <f>IFERROR(F512/F511-1,"")</f>
        <v>6.21</v>
      </c>
      <c r="H512" s="11">
        <f>IFERROR(F512/F500-1,"")</f>
        <v>145.87037037037035</v>
      </c>
    </row>
    <row r="513" spans="1:8">
      <c r="A513" s="6" t="s">
        <v>13</v>
      </c>
      <c r="B513" s="6" t="s">
        <v>214</v>
      </c>
      <c r="C513" s="6">
        <v>2025</v>
      </c>
      <c r="D513" s="6">
        <v>5</v>
      </c>
      <c r="E513" s="9" t="s">
        <v>180</v>
      </c>
      <c r="F513" s="10">
        <f>SUMIFS(Data!$K:$K,Data!$A:$A,2025,Data!$B:$B,5,Data!$G:$G,"FCC",Data!$F:$F,"PADD 4")</f>
        <v>28.775</v>
      </c>
      <c r="G513" s="11">
        <f>IFERROR(F513/F512-1,"")</f>
        <v>-0.2743664102887404</v>
      </c>
      <c r="H513" s="11">
        <f>IFERROR(F513/F501-1,"")</f>
        <v>26.018779342723004</v>
      </c>
    </row>
    <row r="514" spans="1:8">
      <c r="A514" s="6" t="s">
        <v>13</v>
      </c>
      <c r="B514" s="6" t="s">
        <v>214</v>
      </c>
      <c r="C514" s="6">
        <v>2025</v>
      </c>
      <c r="D514" s="6">
        <v>6</v>
      </c>
      <c r="E514" s="9" t="s">
        <v>181</v>
      </c>
      <c r="F514" s="10">
        <f>SUMIFS(Data!$K:$K,Data!$A:$A,2025,Data!$B:$B,6,Data!$G:$G,"FCC",Data!$F:$F,"PADD 4")</f>
        <v>4.5809999999999995</v>
      </c>
      <c r="G514" s="11">
        <f>IFERROR(F514/F513-1,"")</f>
        <v>-0.8407993049522154</v>
      </c>
      <c r="H514" s="11">
        <f>IFERROR(F514/F502-1,"")</f>
        <v/>
      </c>
    </row>
    <row r="515" spans="1:8">
      <c r="A515" s="6" t="s">
        <v>13</v>
      </c>
      <c r="B515" s="6" t="s">
        <v>214</v>
      </c>
      <c r="C515" s="6">
        <v>2025</v>
      </c>
      <c r="D515" s="6">
        <v>7</v>
      </c>
      <c r="E515" s="9" t="s">
        <v>182</v>
      </c>
      <c r="F515" s="10">
        <f>SUMIFS(Data!$K:$K,Data!$A:$A,2025,Data!$B:$B,7,Data!$G:$G,"FCC",Data!$F:$F,"PADD 4")</f>
        <v>18.537</v>
      </c>
      <c r="G515" s="11">
        <f>IFERROR(F515/F514-1,"")</f>
        <v>3.0464963981663393</v>
      </c>
      <c r="H515" s="11">
        <f>IFERROR(F515/F503-1,"")</f>
        <v>1.4212382445141065</v>
      </c>
    </row>
    <row r="516" spans="1:8">
      <c r="A516" s="6" t="s">
        <v>13</v>
      </c>
      <c r="B516" s="6" t="s">
        <v>214</v>
      </c>
      <c r="C516" s="6">
        <v>2025</v>
      </c>
      <c r="D516" s="6">
        <v>8</v>
      </c>
      <c r="E516" s="9" t="s">
        <v>183</v>
      </c>
      <c r="F516" s="10">
        <f>SUMIFS(Data!$K:$K,Data!$A:$A,2025,Data!$B:$B,8,Data!$G:$G,"FCC",Data!$F:$F,"PADD 4")</f>
        <v>3.78</v>
      </c>
      <c r="G516" s="11">
        <f>IFERROR(F516/F515-1,"")</f>
        <v>-0.796083508658359</v>
      </c>
      <c r="H516" s="11">
        <f>IFERROR(F516/F504-1,"")</f>
        <v>-0.8098055790363483</v>
      </c>
    </row>
    <row r="517" spans="1:8">
      <c r="A517" s="6" t="s">
        <v>13</v>
      </c>
      <c r="B517" s="6" t="s">
        <v>214</v>
      </c>
      <c r="C517" s="6">
        <v>2025</v>
      </c>
      <c r="D517" s="6">
        <v>9</v>
      </c>
      <c r="E517" s="9" t="s">
        <v>184</v>
      </c>
      <c r="F517" s="10">
        <f>SUMIFS(Data!$K:$K,Data!$A:$A,2025,Data!$B:$B,9,Data!$G:$G,"FCC",Data!$F:$F,"PADD 4")</f>
        <v>1.8</v>
      </c>
      <c r="G517" s="11">
        <f>IFERROR(F517/F516-1,"")</f>
        <v>-0.5238095238095237</v>
      </c>
      <c r="H517" s="11">
        <f>IFERROR(F517/F505-1,"")</f>
        <v>0.0714285714285714</v>
      </c>
    </row>
    <row r="518" spans="1:8">
      <c r="A518" s="6" t="s">
        <v>13</v>
      </c>
      <c r="B518" s="6" t="s">
        <v>214</v>
      </c>
      <c r="C518" s="6">
        <v>2025</v>
      </c>
      <c r="D518" s="6">
        <v>10</v>
      </c>
      <c r="E518" s="9" t="s">
        <v>185</v>
      </c>
      <c r="F518" s="10">
        <f>SUMIFS(Data!$K:$K,Data!$A:$A,2025,Data!$B:$B,10,Data!$G:$G,"FCC",Data!$F:$F,"PADD 4")</f>
        <v>20.035</v>
      </c>
      <c r="G518" s="11">
        <f>IFERROR(F518/F517-1,"")</f>
        <v>10.130555555555555</v>
      </c>
      <c r="H518" s="11">
        <f>IFERROR(F518/F506-1,"")</f>
        <v>1.7745464617089044</v>
      </c>
    </row>
    <row r="519" spans="1:8">
      <c r="A519" s="6" t="s">
        <v>13</v>
      </c>
      <c r="B519" s="6" t="s">
        <v>214</v>
      </c>
      <c r="C519" s="6">
        <v>2025</v>
      </c>
      <c r="D519" s="6">
        <v>11</v>
      </c>
      <c r="E519" s="9" t="s">
        <v>186</v>
      </c>
      <c r="F519" s="10">
        <f>SUMIFS(Data!$K:$K,Data!$A:$A,2025,Data!$B:$B,11,Data!$G:$G,"FCC",Data!$F:$F,"PADD 4")</f>
        <v>4.14</v>
      </c>
      <c r="G519" s="11">
        <f>IFERROR(F519/F518-1,"")</f>
        <v>-0.7933616171699526</v>
      </c>
      <c r="H519" s="11">
        <f>IFERROR(F519/F507-1,"")</f>
        <v>2.493670886075949</v>
      </c>
    </row>
    <row r="520" spans="1:8">
      <c r="A520" s="6" t="s">
        <v>13</v>
      </c>
      <c r="B520" s="6" t="s">
        <v>214</v>
      </c>
      <c r="C520" s="6">
        <v>2025</v>
      </c>
      <c r="D520" s="6">
        <v>12</v>
      </c>
      <c r="E520" s="9" t="s">
        <v>187</v>
      </c>
      <c r="F520" s="10">
        <f>SUMIFS(Data!$K:$K,Data!$A:$A,2025,Data!$B:$B,12,Data!$G:$G,"FCC",Data!$F:$F,"PADD 4")</f>
        <v>2.691</v>
      </c>
      <c r="G520" s="11">
        <f>IFERROR(F520/F519-1,"")</f>
        <v>-0.35</v>
      </c>
      <c r="H520" s="11">
        <f>IFERROR(F520/F508-1,"")</f>
        <v>-0.8328986587183309</v>
      </c>
    </row>
    <row r="521" spans="1:8">
      <c r="A521" s="6" t="s">
        <v>13</v>
      </c>
      <c r="B521" s="6" t="s">
        <v>214</v>
      </c>
      <c r="C521" s="6">
        <v>2026</v>
      </c>
      <c r="D521" s="6">
        <v>1</v>
      </c>
      <c r="E521" s="9" t="s">
        <v>188</v>
      </c>
      <c r="F521" s="10">
        <f>SUMIFS(Data!$K:$K,Data!$A:$A,2026,Data!$B:$B,1,Data!$G:$G,"FCC",Data!$F:$F,"PADD 4")</f>
        <v>0.0</v>
      </c>
      <c r="G521" s="11">
        <f>IFERROR(F521/F520-1,"")</f>
        <v>-1.0</v>
      </c>
      <c r="H521" s="11">
        <f>IFERROR(F521/F509-1,"")</f>
        <v/>
      </c>
    </row>
    <row r="522" spans="1:8">
      <c r="A522" s="6" t="s">
        <v>13</v>
      </c>
      <c r="B522" s="6" t="s">
        <v>214</v>
      </c>
      <c r="C522" s="6">
        <v>2026</v>
      </c>
      <c r="D522" s="6">
        <v>2</v>
      </c>
      <c r="E522" s="9" t="s">
        <v>189</v>
      </c>
      <c r="F522" s="10">
        <f>SUMIFS(Data!$K:$K,Data!$A:$A,2026,Data!$B:$B,2,Data!$G:$G,"FCC",Data!$F:$F,"PADD 4")</f>
        <v>9.085</v>
      </c>
      <c r="G522" s="11">
        <f>IFERROR(F522/F521-1,"")</f>
        <v/>
      </c>
      <c r="H522" s="11">
        <f>IFERROR(F522/F510-1,"")</f>
        <v>1.7078986587183311</v>
      </c>
    </row>
    <row r="523" spans="1:8">
      <c r="A523" s="6" t="s">
        <v>13</v>
      </c>
      <c r="B523" s="6" t="s">
        <v>214</v>
      </c>
      <c r="C523" s="6">
        <v>2026</v>
      </c>
      <c r="D523" s="6">
        <v>3</v>
      </c>
      <c r="E523" s="9" t="s">
        <v>190</v>
      </c>
      <c r="F523" s="10">
        <f>SUMIFS(Data!$K:$K,Data!$A:$A,2026,Data!$B:$B,3,Data!$G:$G,"FCC",Data!$F:$F,"PADD 4")</f>
        <v>24.703</v>
      </c>
      <c r="G523" s="11">
        <f>IFERROR(F523/F522-1,"")</f>
        <v>1.7190974133186567</v>
      </c>
      <c r="H523" s="11">
        <f>IFERROR(F523/F511-1,"")</f>
        <v>3.4914545454545456</v>
      </c>
    </row>
    <row r="524" spans="1:8">
      <c r="A524" s="6" t="s">
        <v>13</v>
      </c>
      <c r="B524" s="6" t="s">
        <v>214</v>
      </c>
      <c r="C524" s="6">
        <v>2026</v>
      </c>
      <c r="D524" s="6">
        <v>4</v>
      </c>
      <c r="E524" s="9" t="s">
        <v>191</v>
      </c>
      <c r="F524" s="10">
        <f>SUMIFS(Data!$K:$K,Data!$A:$A,2026,Data!$B:$B,4,Data!$G:$G,"FCC",Data!$F:$F,"PADD 4")</f>
        <v>62.808</v>
      </c>
      <c r="G524" s="11">
        <f>IFERROR(F524/F523-1,"")</f>
        <v>1.5425251993684976</v>
      </c>
      <c r="H524" s="11">
        <f>IFERROR(F524/F512-1,"")</f>
        <v>0.58386079939478</v>
      </c>
    </row>
    <row r="525" spans="1:8">
      <c r="A525" s="6" t="s">
        <v>13</v>
      </c>
      <c r="B525" s="6" t="s">
        <v>214</v>
      </c>
      <c r="C525" s="6">
        <v>2026</v>
      </c>
      <c r="D525" s="6">
        <v>5</v>
      </c>
      <c r="E525" s="9" t="s">
        <v>192</v>
      </c>
      <c r="F525" s="10">
        <f>SUMIFS(Data!$K:$K,Data!$A:$A,2026,Data!$B:$B,5,Data!$G:$G,"FCC",Data!$F:$F,"PADD 4")</f>
        <v>33.64</v>
      </c>
      <c r="G525" s="11">
        <f>IFERROR(F525/F524-1,"")</f>
        <v>-0.46439943956183927</v>
      </c>
      <c r="H525" s="11">
        <f>IFERROR(F525/F513-1,"")</f>
        <v>0.16907037358818422</v>
      </c>
    </row>
    <row r="526" spans="1:8">
      <c r="A526" s="6" t="s">
        <v>13</v>
      </c>
      <c r="B526" s="6" t="s">
        <v>214</v>
      </c>
      <c r="C526" s="6">
        <v>2026</v>
      </c>
      <c r="D526" s="6">
        <v>6</v>
      </c>
      <c r="E526" s="9" t="s">
        <v>193</v>
      </c>
      <c r="F526" s="10">
        <f>SUMIFS(Data!$K:$K,Data!$A:$A,2026,Data!$B:$B,6,Data!$G:$G,"FCC",Data!$F:$F,"PADD 4")</f>
        <v>4.5</v>
      </c>
      <c r="G526" s="11">
        <f>IFERROR(F526/F525-1,"")</f>
        <v>-0.866230677764566</v>
      </c>
      <c r="H526" s="11">
        <f>IFERROR(F526/F514-1,"")</f>
        <v>-0.017681728880157066</v>
      </c>
    </row>
    <row r="527" spans="1:8">
      <c r="A527" s="6" t="s">
        <v>13</v>
      </c>
      <c r="B527" s="6" t="s">
        <v>214</v>
      </c>
      <c r="C527" s="6">
        <v>2026</v>
      </c>
      <c r="D527" s="6">
        <v>7</v>
      </c>
      <c r="E527" s="9" t="s">
        <v>194</v>
      </c>
      <c r="F527" s="10">
        <f>SUMIFS(Data!$K:$K,Data!$A:$A,2026,Data!$B:$B,7,Data!$G:$G,"FCC",Data!$F:$F,"PADD 4")</f>
        <v>0.0</v>
      </c>
      <c r="G527" s="11">
        <f>IFERROR(F527/F526-1,"")</f>
        <v>-1.0</v>
      </c>
      <c r="H527" s="11">
        <f>IFERROR(F527/F515-1,"")</f>
        <v>-1.0</v>
      </c>
    </row>
    <row r="528" spans="1:8">
      <c r="A528" s="6" t="s">
        <v>13</v>
      </c>
      <c r="B528" s="6" t="s">
        <v>214</v>
      </c>
      <c r="C528" s="6">
        <v>2026</v>
      </c>
      <c r="D528" s="6">
        <v>8</v>
      </c>
      <c r="E528" s="9" t="s">
        <v>195</v>
      </c>
      <c r="F528" s="10">
        <f>SUMIFS(Data!$K:$K,Data!$A:$A,2026,Data!$B:$B,8,Data!$G:$G,"FCC",Data!$F:$F,"PADD 4")</f>
        <v>0.0</v>
      </c>
      <c r="G528" s="11">
        <f>IFERROR(F528/F527-1,"")</f>
        <v/>
      </c>
      <c r="H528" s="11">
        <f>IFERROR(F528/F516-1,"")</f>
        <v>-1.0</v>
      </c>
    </row>
    <row r="529" spans="1:8">
      <c r="A529" s="6" t="s">
        <v>13</v>
      </c>
      <c r="B529" s="6" t="s">
        <v>214</v>
      </c>
      <c r="C529" s="6">
        <v>2026</v>
      </c>
      <c r="D529" s="6">
        <v>9</v>
      </c>
      <c r="E529" s="9" t="s">
        <v>196</v>
      </c>
      <c r="F529" s="10">
        <f>SUMIFS(Data!$K:$K,Data!$A:$A,2026,Data!$B:$B,9,Data!$G:$G,"FCC",Data!$F:$F,"PADD 4")</f>
        <v>0.0</v>
      </c>
      <c r="G529" s="11">
        <f>IFERROR(F529/F528-1,"")</f>
        <v/>
      </c>
      <c r="H529" s="11">
        <f>IFERROR(F529/F517-1,"")</f>
        <v>-1.0</v>
      </c>
    </row>
    <row r="530" spans="1:8">
      <c r="A530" s="6" t="s">
        <v>13</v>
      </c>
      <c r="B530" s="6" t="s">
        <v>214</v>
      </c>
      <c r="C530" s="6">
        <v>2026</v>
      </c>
      <c r="D530" s="6">
        <v>10</v>
      </c>
      <c r="E530" s="9" t="s">
        <v>197</v>
      </c>
      <c r="F530" s="10">
        <f>SUMIFS(Data!$K:$K,Data!$A:$A,2026,Data!$B:$B,10,Data!$G:$G,"FCC",Data!$F:$F,"PADD 4")</f>
        <v>0.0</v>
      </c>
      <c r="G530" s="11">
        <f>IFERROR(F530/F529-1,"")</f>
        <v/>
      </c>
      <c r="H530" s="11">
        <f>IFERROR(F530/F518-1,"")</f>
        <v>-1.0</v>
      </c>
    </row>
    <row r="531" spans="1:8">
      <c r="A531" s="6" t="s">
        <v>13</v>
      </c>
      <c r="B531" s="6" t="s">
        <v>214</v>
      </c>
      <c r="C531" s="6">
        <v>2026</v>
      </c>
      <c r="D531" s="6">
        <v>11</v>
      </c>
      <c r="E531" s="9" t="s">
        <v>198</v>
      </c>
      <c r="F531" s="10">
        <f>SUMIFS(Data!$K:$K,Data!$A:$A,2026,Data!$B:$B,11,Data!$G:$G,"FCC",Data!$F:$F,"PADD 4")</f>
        <v>0.0</v>
      </c>
      <c r="G531" s="11">
        <f>IFERROR(F531/F530-1,"")</f>
        <v/>
      </c>
      <c r="H531" s="11">
        <f>IFERROR(F531/F519-1,"")</f>
        <v>-1.0</v>
      </c>
    </row>
    <row r="532" spans="1:8">
      <c r="A532" s="6" t="s">
        <v>13</v>
      </c>
      <c r="B532" s="6" t="s">
        <v>214</v>
      </c>
      <c r="C532" s="6">
        <v>2026</v>
      </c>
      <c r="D532" s="6">
        <v>12</v>
      </c>
      <c r="E532" s="9" t="s">
        <v>199</v>
      </c>
      <c r="F532" s="10">
        <f>SUMIFS(Data!$K:$K,Data!$A:$A,2026,Data!$B:$B,12,Data!$G:$G,"FCC",Data!$F:$F,"PADD 4")</f>
        <v>0.0</v>
      </c>
      <c r="G532" s="11">
        <f>IFERROR(F532/F531-1,"")</f>
        <v/>
      </c>
      <c r="H532" s="11">
        <f>IFERROR(F532/F520-1,"")</f>
        <v>-1.0</v>
      </c>
    </row>
    <row r="533" spans="1:8">
      <c r="A533" s="6" t="s">
        <v>13</v>
      </c>
      <c r="B533" s="6" t="s">
        <v>214</v>
      </c>
      <c r="C533" s="6">
        <v>2027</v>
      </c>
      <c r="D533" s="6">
        <v>1</v>
      </c>
      <c r="E533" s="9" t="s">
        <v>200</v>
      </c>
      <c r="F533" s="10">
        <f>SUMIFS(Data!$K:$K,Data!$A:$A,2027,Data!$B:$B,1,Data!$G:$G,"FCC",Data!$F:$F,"PADD 4")</f>
        <v>0.0</v>
      </c>
      <c r="G533" s="11">
        <f>IFERROR(F533/F532-1,"")</f>
        <v/>
      </c>
      <c r="H533" s="11">
        <f>IFERROR(F533/F521-1,"")</f>
        <v/>
      </c>
    </row>
    <row r="534" spans="1:8">
      <c r="A534" s="6" t="s">
        <v>13</v>
      </c>
      <c r="B534" s="6" t="s">
        <v>214</v>
      </c>
      <c r="C534" s="6">
        <v>2027</v>
      </c>
      <c r="D534" s="6">
        <v>2</v>
      </c>
      <c r="E534" s="9" t="s">
        <v>201</v>
      </c>
      <c r="F534" s="10">
        <f>SUMIFS(Data!$K:$K,Data!$A:$A,2027,Data!$B:$B,2,Data!$G:$G,"FCC",Data!$F:$F,"PADD 4")</f>
        <v>25.344</v>
      </c>
      <c r="G534" s="11">
        <f>IFERROR(F534/F533-1,"")</f>
        <v/>
      </c>
      <c r="H534" s="11">
        <f>IFERROR(F534/F522-1,"")</f>
        <v>1.7896532746285083</v>
      </c>
    </row>
    <row r="535" spans="1:8">
      <c r="A535" s="6" t="s">
        <v>13</v>
      </c>
      <c r="B535" s="6" t="s">
        <v>214</v>
      </c>
      <c r="C535" s="6">
        <v>2027</v>
      </c>
      <c r="D535" s="6">
        <v>3</v>
      </c>
      <c r="E535" s="9" t="s">
        <v>202</v>
      </c>
      <c r="F535" s="10">
        <f>SUMIFS(Data!$K:$K,Data!$A:$A,2027,Data!$B:$B,3,Data!$G:$G,"FCC",Data!$F:$F,"PADD 4")</f>
        <v>44.597</v>
      </c>
      <c r="G535" s="11">
        <f>IFERROR(F535/F534-1,"")</f>
        <v>0.7596669823232323</v>
      </c>
      <c r="H535" s="11">
        <f>IFERROR(F535/F523-1,"")</f>
        <v>0.8053272881836215</v>
      </c>
    </row>
    <row r="536" spans="1:8">
      <c r="A536" s="6" t="s">
        <v>13</v>
      </c>
      <c r="B536" s="6" t="s">
        <v>214</v>
      </c>
      <c r="C536" s="6">
        <v>2027</v>
      </c>
      <c r="D536" s="6">
        <v>4</v>
      </c>
      <c r="E536" s="9" t="s">
        <v>203</v>
      </c>
      <c r="F536" s="10">
        <f>SUMIFS(Data!$K:$K,Data!$A:$A,2027,Data!$B:$B,4,Data!$G:$G,"FCC",Data!$F:$F,"PADD 4")</f>
        <v>26.225</v>
      </c>
      <c r="G536" s="11">
        <f>IFERROR(F536/F535-1,"")</f>
        <v>-0.4119559611633069</v>
      </c>
      <c r="H536" s="11">
        <f>IFERROR(F536/F524-1,"")</f>
        <v>-0.5824576487071711</v>
      </c>
    </row>
    <row r="537" spans="1:8">
      <c r="A537" s="6" t="s">
        <v>13</v>
      </c>
      <c r="B537" s="6" t="s">
        <v>214</v>
      </c>
      <c r="C537" s="6">
        <v>2027</v>
      </c>
      <c r="D537" s="6">
        <v>5</v>
      </c>
      <c r="E537" s="9" t="s">
        <v>204</v>
      </c>
      <c r="F537" s="10">
        <f>SUMIFS(Data!$K:$K,Data!$A:$A,2027,Data!$B:$B,5,Data!$G:$G,"FCC",Data!$F:$F,"PADD 4")</f>
        <v>23.3</v>
      </c>
      <c r="G537" s="11">
        <f>IFERROR(F537/F536-1,"")</f>
        <v>-0.11153479504289798</v>
      </c>
      <c r="H537" s="11">
        <f>IFERROR(F537/F525-1,"")</f>
        <v>-0.307372175980975</v>
      </c>
    </row>
    <row r="538" spans="1:8">
      <c r="A538" s="6" t="s">
        <v>13</v>
      </c>
      <c r="B538" s="6" t="s">
        <v>214</v>
      </c>
      <c r="C538" s="6">
        <v>2027</v>
      </c>
      <c r="D538" s="6">
        <v>6</v>
      </c>
      <c r="E538" s="9" t="s">
        <v>205</v>
      </c>
      <c r="F538" s="10">
        <f>SUMIFS(Data!$K:$K,Data!$A:$A,2027,Data!$B:$B,6,Data!$G:$G,"FCC",Data!$F:$F,"PADD 4")</f>
        <v>0.255</v>
      </c>
      <c r="G538" s="11">
        <f>IFERROR(F538/F537-1,"")</f>
        <v>-0.9890557939914163</v>
      </c>
      <c r="H538" s="11">
        <f>IFERROR(F538/F526-1,"")</f>
        <v>-0.9433333333333334</v>
      </c>
    </row>
    <row r="539" spans="1:8">
      <c r="A539" s="6" t="s">
        <v>13</v>
      </c>
      <c r="B539" s="6" t="s">
        <v>214</v>
      </c>
      <c r="C539" s="6">
        <v>2027</v>
      </c>
      <c r="D539" s="6">
        <v>7</v>
      </c>
      <c r="E539" s="9" t="s">
        <v>206</v>
      </c>
      <c r="F539" s="10">
        <f>SUMIFS(Data!$K:$K,Data!$A:$A,2027,Data!$B:$B,7,Data!$G:$G,"FCC",Data!$F:$F,"PADD 4")</f>
        <v>0.0</v>
      </c>
      <c r="G539" s="11">
        <f>IFERROR(F539/F538-1,"")</f>
        <v>-1.0</v>
      </c>
      <c r="H539" s="11">
        <f>IFERROR(F539/F527-1,"")</f>
        <v/>
      </c>
    </row>
    <row r="540" spans="1:8">
      <c r="A540" s="6" t="s">
        <v>13</v>
      </c>
      <c r="B540" s="6" t="s">
        <v>214</v>
      </c>
      <c r="C540" s="6">
        <v>2027</v>
      </c>
      <c r="D540" s="6">
        <v>8</v>
      </c>
      <c r="E540" s="9" t="s">
        <v>207</v>
      </c>
      <c r="F540" s="10">
        <f>SUMIFS(Data!$K:$K,Data!$A:$A,2027,Data!$B:$B,8,Data!$G:$G,"FCC",Data!$F:$F,"PADD 4")</f>
        <v>0.0</v>
      </c>
      <c r="G540" s="11">
        <f>IFERROR(F540/F539-1,"")</f>
        <v/>
      </c>
      <c r="H540" s="11">
        <f>IFERROR(F540/F528-1,"")</f>
        <v/>
      </c>
    </row>
    <row r="541" spans="1:8">
      <c r="A541" s="6" t="s">
        <v>13</v>
      </c>
      <c r="B541" s="6" t="s">
        <v>214</v>
      </c>
      <c r="C541" s="6">
        <v>2027</v>
      </c>
      <c r="D541" s="6">
        <v>9</v>
      </c>
      <c r="E541" s="9" t="s">
        <v>208</v>
      </c>
      <c r="F541" s="10">
        <f>SUMIFS(Data!$K:$K,Data!$A:$A,2027,Data!$B:$B,9,Data!$G:$G,"FCC",Data!$F:$F,"PADD 4")</f>
        <v>2.324</v>
      </c>
      <c r="G541" s="11">
        <f>IFERROR(F541/F540-1,"")</f>
        <v/>
      </c>
      <c r="H541" s="11">
        <f>IFERROR(F541/F529-1,"")</f>
        <v/>
      </c>
    </row>
    <row r="542" spans="1:8">
      <c r="A542" s="6" t="s">
        <v>13</v>
      </c>
      <c r="B542" s="6" t="s">
        <v>214</v>
      </c>
      <c r="C542" s="6">
        <v>2027</v>
      </c>
      <c r="D542" s="6">
        <v>10</v>
      </c>
      <c r="E542" s="9" t="s">
        <v>209</v>
      </c>
      <c r="F542" s="10">
        <f>SUMIFS(Data!$K:$K,Data!$A:$A,2027,Data!$B:$B,10,Data!$G:$G,"FCC",Data!$F:$F,"PADD 4")</f>
        <v>1.344</v>
      </c>
      <c r="G542" s="11">
        <f>IFERROR(F542/F541-1,"")</f>
        <v>-0.4216867469879517</v>
      </c>
      <c r="H542" s="11">
        <f>IFERROR(F542/F530-1,"")</f>
        <v/>
      </c>
    </row>
    <row r="543" spans="1:8">
      <c r="A543" s="6" t="s">
        <v>13</v>
      </c>
      <c r="B543" s="6" t="s">
        <v>214</v>
      </c>
      <c r="C543" s="6">
        <v>2027</v>
      </c>
      <c r="D543" s="6">
        <v>11</v>
      </c>
      <c r="E543" s="9" t="s">
        <v>210</v>
      </c>
      <c r="F543" s="10">
        <f>SUMIFS(Data!$K:$K,Data!$A:$A,2027,Data!$B:$B,11,Data!$G:$G,"FCC",Data!$F:$F,"PADD 4")</f>
        <v>0.0</v>
      </c>
      <c r="G543" s="11">
        <f>IFERROR(F543/F542-1,"")</f>
        <v>-1.0</v>
      </c>
      <c r="H543" s="11">
        <f>IFERROR(F543/F531-1,"")</f>
        <v/>
      </c>
    </row>
    <row r="544" spans="1:8">
      <c r="A544" s="6" t="s">
        <v>13</v>
      </c>
      <c r="B544" s="6" t="s">
        <v>214</v>
      </c>
      <c r="C544" s="6">
        <v>2027</v>
      </c>
      <c r="D544" s="6">
        <v>12</v>
      </c>
      <c r="E544" s="9" t="s">
        <v>211</v>
      </c>
      <c r="F544" s="10">
        <f>SUMIFS(Data!$K:$K,Data!$A:$A,2027,Data!$B:$B,12,Data!$G:$G,"FCC",Data!$F:$F,"PADD 4")</f>
        <v>0.0</v>
      </c>
      <c r="G544" s="11">
        <f>IFERROR(F544/F543-1,"")</f>
        <v/>
      </c>
      <c r="H544" s="11">
        <f>IFERROR(F544/F532-1,"")</f>
        <v/>
      </c>
    </row>
    <row r="545" spans="1:8">
      <c r="A545" s="6" t="s">
        <v>13</v>
      </c>
      <c r="B545" s="6" t="s">
        <v>215</v>
      </c>
      <c r="C545" s="6">
        <v>2023</v>
      </c>
      <c r="D545" s="6">
        <v>1</v>
      </c>
      <c r="E545" s="9" t="s">
        <v>152</v>
      </c>
      <c r="F545" s="10">
        <f>SUMIFS(Data!$K:$K,Data!$A:$A,2023,Data!$B:$B,1,Data!$G:$G,"FCC",Data!$F:$F,"PADD 5")</f>
        <v>68.25</v>
      </c>
    </row>
    <row r="546" spans="1:8">
      <c r="A546" s="6" t="s">
        <v>13</v>
      </c>
      <c r="B546" s="6" t="s">
        <v>215</v>
      </c>
      <c r="C546" s="6">
        <v>2023</v>
      </c>
      <c r="D546" s="6">
        <v>2</v>
      </c>
      <c r="E546" s="9" t="s">
        <v>153</v>
      </c>
      <c r="F546" s="10">
        <f>SUMIFS(Data!$K:$K,Data!$A:$A,2023,Data!$B:$B,2,Data!$G:$G,"FCC",Data!$F:$F,"PADD 5")</f>
        <v>186.88</v>
      </c>
      <c r="G546" s="11">
        <f>IFERROR(F546/F545-1,"")</f>
        <v>1.738168498168498</v>
      </c>
    </row>
    <row r="547" spans="1:8">
      <c r="A547" s="6" t="s">
        <v>13</v>
      </c>
      <c r="B547" s="6" t="s">
        <v>215</v>
      </c>
      <c r="C547" s="6">
        <v>2023</v>
      </c>
      <c r="D547" s="6">
        <v>3</v>
      </c>
      <c r="E547" s="9" t="s">
        <v>154</v>
      </c>
      <c r="F547" s="10">
        <f>SUMIFS(Data!$K:$K,Data!$A:$A,2023,Data!$B:$B,3,Data!$G:$G,"FCC",Data!$F:$F,"PADD 5")</f>
        <v>130.67000000000002</v>
      </c>
      <c r="G547" s="11">
        <f>IFERROR(F547/F546-1,"")</f>
        <v>-0.3007812499999999</v>
      </c>
    </row>
    <row r="548" spans="1:8">
      <c r="A548" s="6" t="s">
        <v>13</v>
      </c>
      <c r="B548" s="6" t="s">
        <v>215</v>
      </c>
      <c r="C548" s="6">
        <v>2023</v>
      </c>
      <c r="D548" s="6">
        <v>4</v>
      </c>
      <c r="E548" s="9" t="s">
        <v>155</v>
      </c>
      <c r="F548" s="10">
        <f>SUMIFS(Data!$K:$K,Data!$A:$A,2023,Data!$B:$B,4,Data!$G:$G,"FCC",Data!$F:$F,"PADD 5")</f>
        <v>58.5</v>
      </c>
      <c r="G548" s="11">
        <f>IFERROR(F548/F547-1,"")</f>
        <v>-0.5523073390984925</v>
      </c>
    </row>
    <row r="549" spans="1:8">
      <c r="A549" s="6" t="s">
        <v>13</v>
      </c>
      <c r="B549" s="6" t="s">
        <v>215</v>
      </c>
      <c r="C549" s="6">
        <v>2023</v>
      </c>
      <c r="D549" s="6">
        <v>5</v>
      </c>
      <c r="E549" s="9" t="s">
        <v>156</v>
      </c>
      <c r="F549" s="10">
        <f>SUMIFS(Data!$K:$K,Data!$A:$A,2023,Data!$B:$B,5,Data!$G:$G,"FCC",Data!$F:$F,"PADD 5")</f>
        <v>33.16</v>
      </c>
      <c r="G549" s="11">
        <f>IFERROR(F549/F548-1,"")</f>
        <v>-0.43316239316239324</v>
      </c>
    </row>
    <row r="550" spans="1:8">
      <c r="A550" s="6" t="s">
        <v>13</v>
      </c>
      <c r="B550" s="6" t="s">
        <v>215</v>
      </c>
      <c r="C550" s="6">
        <v>2023</v>
      </c>
      <c r="D550" s="6">
        <v>6</v>
      </c>
      <c r="E550" s="9" t="s">
        <v>157</v>
      </c>
      <c r="F550" s="10">
        <f>SUMIFS(Data!$K:$K,Data!$A:$A,2023,Data!$B:$B,6,Data!$G:$G,"FCC",Data!$F:$F,"PADD 5")</f>
        <v>0.0</v>
      </c>
      <c r="G550" s="11">
        <f>IFERROR(F550/F549-1,"")</f>
        <v>-1.0</v>
      </c>
    </row>
    <row r="551" spans="1:8">
      <c r="A551" s="6" t="s">
        <v>13</v>
      </c>
      <c r="B551" s="6" t="s">
        <v>215</v>
      </c>
      <c r="C551" s="6">
        <v>2023</v>
      </c>
      <c r="D551" s="6">
        <v>7</v>
      </c>
      <c r="E551" s="9" t="s">
        <v>158</v>
      </c>
      <c r="F551" s="10">
        <f>SUMIFS(Data!$K:$K,Data!$A:$A,2023,Data!$B:$B,7,Data!$G:$G,"FCC",Data!$F:$F,"PADD 5")</f>
        <v>3.68</v>
      </c>
      <c r="G551" s="11">
        <f>IFERROR(F551/F550-1,"")</f>
        <v/>
      </c>
    </row>
    <row r="552" spans="1:8">
      <c r="A552" s="6" t="s">
        <v>13</v>
      </c>
      <c r="B552" s="6" t="s">
        <v>215</v>
      </c>
      <c r="C552" s="6">
        <v>2023</v>
      </c>
      <c r="D552" s="6">
        <v>8</v>
      </c>
      <c r="E552" s="9" t="s">
        <v>159</v>
      </c>
      <c r="F552" s="10">
        <f>SUMIFS(Data!$K:$K,Data!$A:$A,2023,Data!$B:$B,8,Data!$G:$G,"FCC",Data!$F:$F,"PADD 5")</f>
        <v>10.26</v>
      </c>
      <c r="G552" s="11">
        <f>IFERROR(F552/F551-1,"")</f>
        <v>1.7880434782608692</v>
      </c>
    </row>
    <row r="553" spans="1:8">
      <c r="A553" s="6" t="s">
        <v>13</v>
      </c>
      <c r="B553" s="6" t="s">
        <v>215</v>
      </c>
      <c r="C553" s="6">
        <v>2023</v>
      </c>
      <c r="D553" s="6">
        <v>9</v>
      </c>
      <c r="E553" s="9" t="s">
        <v>160</v>
      </c>
      <c r="F553" s="10">
        <f>SUMIFS(Data!$K:$K,Data!$A:$A,2023,Data!$B:$B,9,Data!$G:$G,"FCC",Data!$F:$F,"PADD 5")</f>
        <v>32.425</v>
      </c>
      <c r="G553" s="11">
        <f>IFERROR(F553/F552-1,"")</f>
        <v>2.160331384015594</v>
      </c>
    </row>
    <row r="554" spans="1:8">
      <c r="A554" s="6" t="s">
        <v>13</v>
      </c>
      <c r="B554" s="6" t="s">
        <v>215</v>
      </c>
      <c r="C554" s="6">
        <v>2023</v>
      </c>
      <c r="D554" s="6">
        <v>10</v>
      </c>
      <c r="E554" s="9" t="s">
        <v>161</v>
      </c>
      <c r="F554" s="10">
        <f>SUMIFS(Data!$K:$K,Data!$A:$A,2023,Data!$B:$B,10,Data!$G:$G,"FCC",Data!$F:$F,"PADD 5")</f>
        <v>100.0</v>
      </c>
      <c r="G554" s="11">
        <f>IFERROR(F554/F553-1,"")</f>
        <v>2.084040092521203</v>
      </c>
    </row>
    <row r="555" spans="1:8">
      <c r="A555" s="6" t="s">
        <v>13</v>
      </c>
      <c r="B555" s="6" t="s">
        <v>215</v>
      </c>
      <c r="C555" s="6">
        <v>2023</v>
      </c>
      <c r="D555" s="6">
        <v>11</v>
      </c>
      <c r="E555" s="9" t="s">
        <v>162</v>
      </c>
      <c r="F555" s="10">
        <f>SUMIFS(Data!$K:$K,Data!$A:$A,2023,Data!$B:$B,11,Data!$G:$G,"FCC",Data!$F:$F,"PADD 5")</f>
        <v>108.0</v>
      </c>
      <c r="G555" s="11">
        <f>IFERROR(F555/F554-1,"")</f>
        <v>0.08000000000000007</v>
      </c>
    </row>
    <row r="556" spans="1:8">
      <c r="A556" s="6" t="s">
        <v>13</v>
      </c>
      <c r="B556" s="6" t="s">
        <v>215</v>
      </c>
      <c r="C556" s="6">
        <v>2023</v>
      </c>
      <c r="D556" s="6">
        <v>12</v>
      </c>
      <c r="E556" s="9" t="s">
        <v>163</v>
      </c>
      <c r="F556" s="10">
        <f>SUMIFS(Data!$K:$K,Data!$A:$A,2023,Data!$B:$B,12,Data!$G:$G,"FCC",Data!$F:$F,"PADD 5")</f>
        <v>52.52</v>
      </c>
      <c r="G556" s="11">
        <f>IFERROR(F556/F555-1,"")</f>
        <v>-0.5137037037037037</v>
      </c>
    </row>
    <row r="557" spans="1:8">
      <c r="A557" s="6" t="s">
        <v>13</v>
      </c>
      <c r="B557" s="6" t="s">
        <v>215</v>
      </c>
      <c r="C557" s="6">
        <v>2024</v>
      </c>
      <c r="D557" s="6">
        <v>1</v>
      </c>
      <c r="E557" s="9" t="s">
        <v>164</v>
      </c>
      <c r="F557" s="10">
        <f>SUMIFS(Data!$K:$K,Data!$A:$A,2024,Data!$B:$B,1,Data!$G:$G,"FCC",Data!$F:$F,"PADD 5")</f>
        <v>33.8</v>
      </c>
      <c r="G557" s="11">
        <f>IFERROR(F557/F556-1,"")</f>
        <v>-0.35643564356435653</v>
      </c>
      <c r="H557" s="11">
        <f>IFERROR(F557/F545-1,"")</f>
        <v>-0.5047619047619047</v>
      </c>
    </row>
    <row r="558" spans="1:8">
      <c r="A558" s="6" t="s">
        <v>13</v>
      </c>
      <c r="B558" s="6" t="s">
        <v>215</v>
      </c>
      <c r="C558" s="6">
        <v>2024</v>
      </c>
      <c r="D558" s="6">
        <v>2</v>
      </c>
      <c r="E558" s="9" t="s">
        <v>165</v>
      </c>
      <c r="F558" s="10">
        <f>SUMIFS(Data!$K:$K,Data!$A:$A,2024,Data!$B:$B,2,Data!$G:$G,"FCC",Data!$F:$F,"PADD 5")</f>
        <v>129.03</v>
      </c>
      <c r="G558" s="11">
        <f>IFERROR(F558/F557-1,"")</f>
        <v>2.8174556213017756</v>
      </c>
      <c r="H558" s="11">
        <f>IFERROR(F558/F546-1,"")</f>
        <v>-0.3095569349315068</v>
      </c>
    </row>
    <row r="559" spans="1:8">
      <c r="A559" s="6" t="s">
        <v>13</v>
      </c>
      <c r="B559" s="6" t="s">
        <v>215</v>
      </c>
      <c r="C559" s="6">
        <v>2024</v>
      </c>
      <c r="D559" s="6">
        <v>3</v>
      </c>
      <c r="E559" s="9" t="s">
        <v>166</v>
      </c>
      <c r="F559" s="10">
        <f>SUMIFS(Data!$K:$K,Data!$A:$A,2024,Data!$B:$B,3,Data!$G:$G,"FCC",Data!$F:$F,"PADD 5")</f>
        <v>151.84</v>
      </c>
      <c r="G559" s="11">
        <f>IFERROR(F559/F558-1,"")</f>
        <v>0.176780593660389</v>
      </c>
      <c r="H559" s="11">
        <f>IFERROR(F559/F547-1,"")</f>
        <v>0.16201117318435743</v>
      </c>
    </row>
    <row r="560" spans="1:8">
      <c r="A560" s="6" t="s">
        <v>13</v>
      </c>
      <c r="B560" s="6" t="s">
        <v>215</v>
      </c>
      <c r="C560" s="6">
        <v>2024</v>
      </c>
      <c r="D560" s="6">
        <v>4</v>
      </c>
      <c r="E560" s="9" t="s">
        <v>167</v>
      </c>
      <c r="F560" s="10">
        <f>SUMIFS(Data!$K:$K,Data!$A:$A,2024,Data!$B:$B,4,Data!$G:$G,"FCC",Data!$F:$F,"PADD 5")</f>
        <v>76.525</v>
      </c>
      <c r="G560" s="11">
        <f>IFERROR(F560/F559-1,"")</f>
        <v>-0.4960155426765016</v>
      </c>
      <c r="H560" s="11">
        <f>IFERROR(F560/F548-1,"")</f>
        <v>0.30811965811965814</v>
      </c>
    </row>
    <row r="561" spans="1:8">
      <c r="A561" s="6" t="s">
        <v>13</v>
      </c>
      <c r="B561" s="6" t="s">
        <v>215</v>
      </c>
      <c r="C561" s="6">
        <v>2024</v>
      </c>
      <c r="D561" s="6">
        <v>5</v>
      </c>
      <c r="E561" s="9" t="s">
        <v>168</v>
      </c>
      <c r="F561" s="10">
        <f>SUMIFS(Data!$K:$K,Data!$A:$A,2024,Data!$B:$B,5,Data!$G:$G,"FCC",Data!$F:$F,"PADD 5")</f>
        <v>83.0</v>
      </c>
      <c r="G561" s="11">
        <f>IFERROR(F561/F560-1,"")</f>
        <v>0.08461287161058473</v>
      </c>
      <c r="H561" s="11">
        <f>IFERROR(F561/F549-1,"")</f>
        <v>1.5030156815440292</v>
      </c>
    </row>
    <row r="562" spans="1:8">
      <c r="A562" s="6" t="s">
        <v>13</v>
      </c>
      <c r="B562" s="6" t="s">
        <v>215</v>
      </c>
      <c r="C562" s="6">
        <v>2024</v>
      </c>
      <c r="D562" s="6">
        <v>6</v>
      </c>
      <c r="E562" s="9" t="s">
        <v>169</v>
      </c>
      <c r="F562" s="10">
        <f>SUMIFS(Data!$K:$K,Data!$A:$A,2024,Data!$B:$B,6,Data!$G:$G,"FCC",Data!$F:$F,"PADD 5")</f>
        <v>185.9</v>
      </c>
      <c r="G562" s="11">
        <f>IFERROR(F562/F561-1,"")</f>
        <v>1.2397590361445783</v>
      </c>
      <c r="H562" s="11">
        <f>IFERROR(F562/F550-1,"")</f>
        <v/>
      </c>
    </row>
    <row r="563" spans="1:8">
      <c r="A563" s="6" t="s">
        <v>13</v>
      </c>
      <c r="B563" s="6" t="s">
        <v>215</v>
      </c>
      <c r="C563" s="6">
        <v>2024</v>
      </c>
      <c r="D563" s="6">
        <v>7</v>
      </c>
      <c r="E563" s="9" t="s">
        <v>170</v>
      </c>
      <c r="F563" s="10">
        <f>SUMIFS(Data!$K:$K,Data!$A:$A,2024,Data!$B:$B,7,Data!$G:$G,"FCC",Data!$F:$F,"PADD 5")</f>
        <v>16.82</v>
      </c>
      <c r="G563" s="11">
        <f>IFERROR(F563/F562-1,"")</f>
        <v>-0.9095212479827864</v>
      </c>
      <c r="H563" s="11">
        <f>IFERROR(F563/F551-1,"")</f>
        <v>3.570652173913043</v>
      </c>
    </row>
    <row r="564" spans="1:8">
      <c r="A564" s="6" t="s">
        <v>13</v>
      </c>
      <c r="B564" s="6" t="s">
        <v>215</v>
      </c>
      <c r="C564" s="6">
        <v>2024</v>
      </c>
      <c r="D564" s="6">
        <v>8</v>
      </c>
      <c r="E564" s="9" t="s">
        <v>171</v>
      </c>
      <c r="F564" s="10">
        <f>SUMIFS(Data!$K:$K,Data!$A:$A,2024,Data!$B:$B,8,Data!$G:$G,"FCC",Data!$F:$F,"PADD 5")</f>
        <v>91.925</v>
      </c>
      <c r="G564" s="11">
        <f>IFERROR(F564/F563-1,"")</f>
        <v>4.465219976218787</v>
      </c>
      <c r="H564" s="11">
        <f>IFERROR(F564/F552-1,"")</f>
        <v>7.959551656920079</v>
      </c>
    </row>
    <row r="565" spans="1:8">
      <c r="A565" s="6" t="s">
        <v>13</v>
      </c>
      <c r="B565" s="6" t="s">
        <v>215</v>
      </c>
      <c r="C565" s="6">
        <v>2024</v>
      </c>
      <c r="D565" s="6">
        <v>9</v>
      </c>
      <c r="E565" s="9" t="s">
        <v>172</v>
      </c>
      <c r="F565" s="10">
        <f>SUMIFS(Data!$K:$K,Data!$A:$A,2024,Data!$B:$B,9,Data!$G:$G,"FCC",Data!$F:$F,"PADD 5")</f>
        <v>246.535</v>
      </c>
      <c r="G565" s="11">
        <f>IFERROR(F565/F564-1,"")</f>
        <v>1.6819146042969813</v>
      </c>
      <c r="H565" s="11">
        <f>IFERROR(F565/F553-1,"")</f>
        <v>6.603238242097148</v>
      </c>
    </row>
    <row r="566" spans="1:8">
      <c r="A566" s="6" t="s">
        <v>13</v>
      </c>
      <c r="B566" s="6" t="s">
        <v>215</v>
      </c>
      <c r="C566" s="6">
        <v>2024</v>
      </c>
      <c r="D566" s="6">
        <v>10</v>
      </c>
      <c r="E566" s="9" t="s">
        <v>173</v>
      </c>
      <c r="F566" s="10">
        <f>SUMIFS(Data!$K:$K,Data!$A:$A,2024,Data!$B:$B,10,Data!$G:$G,"FCC",Data!$F:$F,"PADD 5")</f>
        <v>134.35500000000002</v>
      </c>
      <c r="G566" s="11">
        <f>IFERROR(F566/F565-1,"")</f>
        <v>-0.4550266696412273</v>
      </c>
      <c r="H566" s="11">
        <f>IFERROR(F566/F554-1,"")</f>
        <v>0.34355000000000024</v>
      </c>
    </row>
    <row r="567" spans="1:8">
      <c r="A567" s="6" t="s">
        <v>13</v>
      </c>
      <c r="B567" s="6" t="s">
        <v>215</v>
      </c>
      <c r="C567" s="6">
        <v>2024</v>
      </c>
      <c r="D567" s="6">
        <v>11</v>
      </c>
      <c r="E567" s="9" t="s">
        <v>174</v>
      </c>
      <c r="F567" s="10">
        <f>SUMIFS(Data!$K:$K,Data!$A:$A,2024,Data!$B:$B,11,Data!$G:$G,"FCC",Data!$F:$F,"PADD 5")</f>
        <v>6.5</v>
      </c>
      <c r="G567" s="11">
        <f>IFERROR(F567/F566-1,"")</f>
        <v>-0.9516207063376875</v>
      </c>
      <c r="H567" s="11">
        <f>IFERROR(F567/F555-1,"")</f>
        <v>-0.9398148148148148</v>
      </c>
    </row>
    <row r="568" spans="1:8">
      <c r="A568" s="6" t="s">
        <v>13</v>
      </c>
      <c r="B568" s="6" t="s">
        <v>215</v>
      </c>
      <c r="C568" s="6">
        <v>2024</v>
      </c>
      <c r="D568" s="6">
        <v>12</v>
      </c>
      <c r="E568" s="9" t="s">
        <v>175</v>
      </c>
      <c r="F568" s="10">
        <f>SUMIFS(Data!$K:$K,Data!$A:$A,2024,Data!$B:$B,12,Data!$G:$G,"FCC",Data!$F:$F,"PADD 5")</f>
        <v>0.0</v>
      </c>
      <c r="G568" s="11">
        <f>IFERROR(F568/F567-1,"")</f>
        <v>-1.0</v>
      </c>
      <c r="H568" s="11">
        <f>IFERROR(F568/F556-1,"")</f>
        <v>-1.0</v>
      </c>
    </row>
    <row r="569" spans="1:8">
      <c r="A569" s="6" t="s">
        <v>13</v>
      </c>
      <c r="B569" s="6" t="s">
        <v>215</v>
      </c>
      <c r="C569" s="6">
        <v>2025</v>
      </c>
      <c r="D569" s="6">
        <v>1</v>
      </c>
      <c r="E569" s="9" t="s">
        <v>176</v>
      </c>
      <c r="F569" s="10">
        <f>SUMIFS(Data!$K:$K,Data!$A:$A,2025,Data!$B:$B,1,Data!$G:$G,"FCC",Data!$F:$F,"PADD 5")</f>
        <v>87.14</v>
      </c>
      <c r="G569" s="11">
        <f>IFERROR(F569/F568-1,"")</f>
        <v/>
      </c>
      <c r="H569" s="11">
        <f>IFERROR(F569/F557-1,"")</f>
        <v>1.5781065088757398</v>
      </c>
    </row>
    <row r="570" spans="1:8">
      <c r="A570" s="6" t="s">
        <v>13</v>
      </c>
      <c r="B570" s="6" t="s">
        <v>215</v>
      </c>
      <c r="C570" s="6">
        <v>2025</v>
      </c>
      <c r="D570" s="6">
        <v>2</v>
      </c>
      <c r="E570" s="9" t="s">
        <v>177</v>
      </c>
      <c r="F570" s="10">
        <f>SUMIFS(Data!$K:$K,Data!$A:$A,2025,Data!$B:$B,2,Data!$G:$G,"FCC",Data!$F:$F,"PADD 5")</f>
        <v>61.019999999999996</v>
      </c>
      <c r="G570" s="11">
        <f>IFERROR(F570/F569-1,"")</f>
        <v>-0.2997475327059904</v>
      </c>
      <c r="H570" s="11">
        <f>IFERROR(F570/F558-1,"")</f>
        <v>-0.5270867240176704</v>
      </c>
    </row>
    <row r="571" spans="1:8">
      <c r="A571" s="6" t="s">
        <v>13</v>
      </c>
      <c r="B571" s="6" t="s">
        <v>215</v>
      </c>
      <c r="C571" s="6">
        <v>2025</v>
      </c>
      <c r="D571" s="6">
        <v>3</v>
      </c>
      <c r="E571" s="9" t="s">
        <v>178</v>
      </c>
      <c r="F571" s="10">
        <f>SUMIFS(Data!$K:$K,Data!$A:$A,2025,Data!$B:$B,3,Data!$G:$G,"FCC",Data!$F:$F,"PADD 5")</f>
        <v>96.76</v>
      </c>
      <c r="G571" s="11">
        <f>IFERROR(F571/F570-1,"")</f>
        <v>0.5857096034087186</v>
      </c>
      <c r="H571" s="11">
        <f>IFERROR(F571/F559-1,"")</f>
        <v>-0.3627502634351949</v>
      </c>
    </row>
    <row r="572" spans="1:8">
      <c r="A572" s="6" t="s">
        <v>13</v>
      </c>
      <c r="B572" s="6" t="s">
        <v>215</v>
      </c>
      <c r="C572" s="6">
        <v>2025</v>
      </c>
      <c r="D572" s="6">
        <v>4</v>
      </c>
      <c r="E572" s="9" t="s">
        <v>179</v>
      </c>
      <c r="F572" s="10">
        <f>SUMIFS(Data!$K:$K,Data!$A:$A,2025,Data!$B:$B,4,Data!$G:$G,"FCC",Data!$F:$F,"PADD 5")</f>
        <v>212.0</v>
      </c>
      <c r="G572" s="11">
        <f>IFERROR(F572/F571-1,"")</f>
        <v>1.190988011575031</v>
      </c>
      <c r="H572" s="11">
        <f>IFERROR(F572/F560-1,"")</f>
        <v>1.7703364913426984</v>
      </c>
    </row>
    <row r="573" spans="1:8">
      <c r="A573" s="6" t="s">
        <v>13</v>
      </c>
      <c r="B573" s="6" t="s">
        <v>215</v>
      </c>
      <c r="C573" s="6">
        <v>2025</v>
      </c>
      <c r="D573" s="6">
        <v>5</v>
      </c>
      <c r="E573" s="9" t="s">
        <v>180</v>
      </c>
      <c r="F573" s="10">
        <f>SUMIFS(Data!$K:$K,Data!$A:$A,2025,Data!$B:$B,5,Data!$G:$G,"FCC",Data!$F:$F,"PADD 5")</f>
        <v>167.63</v>
      </c>
      <c r="G573" s="11">
        <f>IFERROR(F573/F572-1,"")</f>
        <v>-0.2092924528301887</v>
      </c>
      <c r="H573" s="11">
        <f>IFERROR(F573/F561-1,"")</f>
        <v>1.0196385542168676</v>
      </c>
    </row>
    <row r="574" spans="1:8">
      <c r="A574" s="6" t="s">
        <v>13</v>
      </c>
      <c r="B574" s="6" t="s">
        <v>215</v>
      </c>
      <c r="C574" s="6">
        <v>2025</v>
      </c>
      <c r="D574" s="6">
        <v>6</v>
      </c>
      <c r="E574" s="9" t="s">
        <v>181</v>
      </c>
      <c r="F574" s="10">
        <f>SUMIFS(Data!$K:$K,Data!$A:$A,2025,Data!$B:$B,6,Data!$G:$G,"FCC",Data!$F:$F,"PADD 5")</f>
        <v>118.9</v>
      </c>
      <c r="G574" s="11">
        <f>IFERROR(F574/F573-1,"")</f>
        <v>-0.29069975541370874</v>
      </c>
      <c r="H574" s="11">
        <f>IFERROR(F574/F562-1,"")</f>
        <v>-0.3604088219472835</v>
      </c>
    </row>
    <row r="575" spans="1:8">
      <c r="A575" s="6" t="s">
        <v>13</v>
      </c>
      <c r="B575" s="6" t="s">
        <v>215</v>
      </c>
      <c r="C575" s="6">
        <v>2025</v>
      </c>
      <c r="D575" s="6">
        <v>7</v>
      </c>
      <c r="E575" s="9" t="s">
        <v>182</v>
      </c>
      <c r="F575" s="10">
        <f>SUMIFS(Data!$K:$K,Data!$A:$A,2025,Data!$B:$B,7,Data!$G:$G,"FCC",Data!$F:$F,"PADD 5")</f>
        <v>70.0</v>
      </c>
      <c r="G575" s="11">
        <f>IFERROR(F575/F574-1,"")</f>
        <v>-0.4112699747687132</v>
      </c>
      <c r="H575" s="11">
        <f>IFERROR(F575/F563-1,"")</f>
        <v>3.1617122473246138</v>
      </c>
    </row>
    <row r="576" spans="1:8">
      <c r="A576" s="6" t="s">
        <v>13</v>
      </c>
      <c r="B576" s="6" t="s">
        <v>215</v>
      </c>
      <c r="C576" s="6">
        <v>2025</v>
      </c>
      <c r="D576" s="6">
        <v>8</v>
      </c>
      <c r="E576" s="9" t="s">
        <v>183</v>
      </c>
      <c r="F576" s="10">
        <f>SUMIFS(Data!$K:$K,Data!$A:$A,2025,Data!$B:$B,8,Data!$G:$G,"FCC",Data!$F:$F,"PADD 5")</f>
        <v>70.0</v>
      </c>
      <c r="G576" s="11">
        <f>IFERROR(F576/F575-1,"")</f>
        <v>0.0</v>
      </c>
      <c r="H576" s="11">
        <f>IFERROR(F576/F564-1,"")</f>
        <v>-0.23850965460973617</v>
      </c>
    </row>
    <row r="577" spans="1:8">
      <c r="A577" s="6" t="s">
        <v>13</v>
      </c>
      <c r="B577" s="6" t="s">
        <v>215</v>
      </c>
      <c r="C577" s="6">
        <v>2025</v>
      </c>
      <c r="D577" s="6">
        <v>9</v>
      </c>
      <c r="E577" s="9" t="s">
        <v>184</v>
      </c>
      <c r="F577" s="10">
        <f>SUMIFS(Data!$K:$K,Data!$A:$A,2025,Data!$B:$B,9,Data!$G:$G,"FCC",Data!$F:$F,"PADD 5")</f>
        <v>90.8</v>
      </c>
      <c r="G577" s="11">
        <f>IFERROR(F577/F576-1,"")</f>
        <v>0.29714285714285715</v>
      </c>
      <c r="H577" s="11">
        <f>IFERROR(F577/F565-1,"")</f>
        <v>-0.6316952968138398</v>
      </c>
    </row>
    <row r="578" spans="1:8">
      <c r="A578" s="6" t="s">
        <v>13</v>
      </c>
      <c r="B578" s="6" t="s">
        <v>215</v>
      </c>
      <c r="C578" s="6">
        <v>2025</v>
      </c>
      <c r="D578" s="6">
        <v>10</v>
      </c>
      <c r="E578" s="9" t="s">
        <v>185</v>
      </c>
      <c r="F578" s="10">
        <f>SUMIFS(Data!$K:$K,Data!$A:$A,2025,Data!$B:$B,10,Data!$G:$G,"FCC",Data!$F:$F,"PADD 5")</f>
        <v>195.805</v>
      </c>
      <c r="G578" s="11">
        <f>IFERROR(F578/F577-1,"")</f>
        <v>1.1564427312775334</v>
      </c>
      <c r="H578" s="11">
        <f>IFERROR(F578/F566-1,"")</f>
        <v>0.4573703993152467</v>
      </c>
    </row>
    <row r="579" spans="1:8">
      <c r="A579" s="6" t="s">
        <v>13</v>
      </c>
      <c r="B579" s="6" t="s">
        <v>215</v>
      </c>
      <c r="C579" s="6">
        <v>2025</v>
      </c>
      <c r="D579" s="6">
        <v>11</v>
      </c>
      <c r="E579" s="9" t="s">
        <v>186</v>
      </c>
      <c r="F579" s="10">
        <f>SUMIFS(Data!$K:$K,Data!$A:$A,2025,Data!$B:$B,11,Data!$G:$G,"FCC",Data!$F:$F,"PADD 5")</f>
        <v>239.12</v>
      </c>
      <c r="G579" s="11">
        <f>IFERROR(F579/F578-1,"")</f>
        <v>0.22121498429560016</v>
      </c>
      <c r="H579" s="11">
        <f>IFERROR(F579/F567-1,"")</f>
        <v>35.78769230769231</v>
      </c>
    </row>
    <row r="580" spans="1:8">
      <c r="A580" s="6" t="s">
        <v>13</v>
      </c>
      <c r="B580" s="6" t="s">
        <v>215</v>
      </c>
      <c r="C580" s="6">
        <v>2025</v>
      </c>
      <c r="D580" s="6">
        <v>12</v>
      </c>
      <c r="E580" s="9" t="s">
        <v>187</v>
      </c>
      <c r="F580" s="10">
        <f>SUMIFS(Data!$K:$K,Data!$A:$A,2025,Data!$B:$B,12,Data!$G:$G,"FCC",Data!$F:$F,"PADD 5")</f>
        <v>70.0</v>
      </c>
      <c r="G580" s="11">
        <f>IFERROR(F580/F579-1,"")</f>
        <v>-0.7072599531615925</v>
      </c>
      <c r="H580" s="11">
        <f>IFERROR(F580/F568-1,"")</f>
        <v/>
      </c>
    </row>
    <row r="581" spans="1:8">
      <c r="A581" s="6" t="s">
        <v>13</v>
      </c>
      <c r="B581" s="6" t="s">
        <v>215</v>
      </c>
      <c r="C581" s="6">
        <v>2026</v>
      </c>
      <c r="D581" s="6">
        <v>1</v>
      </c>
      <c r="E581" s="9" t="s">
        <v>188</v>
      </c>
      <c r="F581" s="10">
        <f>SUMIFS(Data!$K:$K,Data!$A:$A,2026,Data!$B:$B,1,Data!$G:$G,"FCC",Data!$F:$F,"PADD 5")</f>
        <v>76.24</v>
      </c>
      <c r="G581" s="11">
        <f>IFERROR(F581/F580-1,"")</f>
        <v>0.08914285714285697</v>
      </c>
      <c r="H581" s="11">
        <f>IFERROR(F581/F569-1,"")</f>
        <v>-0.12508606839568515</v>
      </c>
    </row>
    <row r="582" spans="1:8">
      <c r="A582" s="6" t="s">
        <v>13</v>
      </c>
      <c r="B582" s="6" t="s">
        <v>215</v>
      </c>
      <c r="C582" s="6">
        <v>2026</v>
      </c>
      <c r="D582" s="6">
        <v>2</v>
      </c>
      <c r="E582" s="9" t="s">
        <v>189</v>
      </c>
      <c r="F582" s="10">
        <f>SUMIFS(Data!$K:$K,Data!$A:$A,2026,Data!$B:$B,2,Data!$G:$G,"FCC",Data!$F:$F,"PADD 5")</f>
        <v>70.0</v>
      </c>
      <c r="G582" s="11">
        <f>IFERROR(F582/F581-1,"")</f>
        <v>-0.08184679958027274</v>
      </c>
      <c r="H582" s="11">
        <f>IFERROR(F582/F570-1,"")</f>
        <v>0.14716486397902329</v>
      </c>
    </row>
    <row r="583" spans="1:8">
      <c r="A583" s="6" t="s">
        <v>13</v>
      </c>
      <c r="B583" s="6" t="s">
        <v>215</v>
      </c>
      <c r="C583" s="6">
        <v>2026</v>
      </c>
      <c r="D583" s="6">
        <v>3</v>
      </c>
      <c r="E583" s="9" t="s">
        <v>190</v>
      </c>
      <c r="F583" s="10">
        <f>SUMIFS(Data!$K:$K,Data!$A:$A,2026,Data!$B:$B,3,Data!$G:$G,"FCC",Data!$F:$F,"PADD 5")</f>
        <v>70.0</v>
      </c>
      <c r="G583" s="11">
        <f>IFERROR(F583/F582-1,"")</f>
        <v>0.0</v>
      </c>
      <c r="H583" s="11">
        <f>IFERROR(F583/F571-1,"")</f>
        <v>-0.2765605622157917</v>
      </c>
    </row>
    <row r="584" spans="1:8">
      <c r="A584" s="6" t="s">
        <v>13</v>
      </c>
      <c r="B584" s="6" t="s">
        <v>215</v>
      </c>
      <c r="C584" s="6">
        <v>2026</v>
      </c>
      <c r="D584" s="6">
        <v>4</v>
      </c>
      <c r="E584" s="9" t="s">
        <v>191</v>
      </c>
      <c r="F584" s="10">
        <f>SUMIFS(Data!$K:$K,Data!$A:$A,2026,Data!$B:$B,4,Data!$G:$G,"FCC",Data!$F:$F,"PADD 5")</f>
        <v>160.5</v>
      </c>
      <c r="G584" s="11">
        <f>IFERROR(F584/F583-1,"")</f>
        <v>1.2928571428571427</v>
      </c>
      <c r="H584" s="11">
        <f>IFERROR(F584/F572-1,"")</f>
        <v>-0.24292452830188682</v>
      </c>
    </row>
    <row r="585" spans="1:8">
      <c r="A585" s="6" t="s">
        <v>13</v>
      </c>
      <c r="B585" s="6" t="s">
        <v>215</v>
      </c>
      <c r="C585" s="6">
        <v>2026</v>
      </c>
      <c r="D585" s="6">
        <v>5</v>
      </c>
      <c r="E585" s="9" t="s">
        <v>192</v>
      </c>
      <c r="F585" s="10">
        <f>SUMIFS(Data!$K:$K,Data!$A:$A,2026,Data!$B:$B,5,Data!$G:$G,"FCC",Data!$F:$F,"PADD 5")</f>
        <v>58.05</v>
      </c>
      <c r="G585" s="11">
        <f>IFERROR(F585/F584-1,"")</f>
        <v>-0.6383177570093458</v>
      </c>
      <c r="H585" s="11">
        <f>IFERROR(F585/F573-1,"")</f>
        <v>-0.6537016047246913</v>
      </c>
    </row>
    <row r="586" spans="1:8">
      <c r="A586" s="6" t="s">
        <v>13</v>
      </c>
      <c r="B586" s="6" t="s">
        <v>215</v>
      </c>
      <c r="C586" s="6">
        <v>2026</v>
      </c>
      <c r="D586" s="6">
        <v>6</v>
      </c>
      <c r="E586" s="9" t="s">
        <v>193</v>
      </c>
      <c r="F586" s="10">
        <f>SUMIFS(Data!$K:$K,Data!$A:$A,2026,Data!$B:$B,6,Data!$G:$G,"FCC",Data!$F:$F,"PADD 5")</f>
        <v>0.0</v>
      </c>
      <c r="G586" s="11">
        <f>IFERROR(F586/F585-1,"")</f>
        <v>-1.0</v>
      </c>
      <c r="H586" s="11">
        <f>IFERROR(F586/F574-1,"")</f>
        <v>-1.0</v>
      </c>
    </row>
    <row r="587" spans="1:8">
      <c r="A587" s="6" t="s">
        <v>13</v>
      </c>
      <c r="B587" s="6" t="s">
        <v>215</v>
      </c>
      <c r="C587" s="6">
        <v>2026</v>
      </c>
      <c r="D587" s="6">
        <v>7</v>
      </c>
      <c r="E587" s="9" t="s">
        <v>194</v>
      </c>
      <c r="F587" s="10">
        <f>SUMIFS(Data!$K:$K,Data!$A:$A,2026,Data!$B:$B,7,Data!$G:$G,"FCC",Data!$F:$F,"PADD 5")</f>
        <v>0.0</v>
      </c>
      <c r="G587" s="11">
        <f>IFERROR(F587/F586-1,"")</f>
        <v/>
      </c>
      <c r="H587" s="11">
        <f>IFERROR(F587/F575-1,"")</f>
        <v>-1.0</v>
      </c>
    </row>
    <row r="588" spans="1:8">
      <c r="A588" s="6" t="s">
        <v>13</v>
      </c>
      <c r="B588" s="6" t="s">
        <v>215</v>
      </c>
      <c r="C588" s="6">
        <v>2026</v>
      </c>
      <c r="D588" s="6">
        <v>8</v>
      </c>
      <c r="E588" s="9" t="s">
        <v>195</v>
      </c>
      <c r="F588" s="10">
        <f>SUMIFS(Data!$K:$K,Data!$A:$A,2026,Data!$B:$B,8,Data!$G:$G,"FCC",Data!$F:$F,"PADD 5")</f>
        <v>0.0</v>
      </c>
      <c r="G588" s="11">
        <f>IFERROR(F588/F587-1,"")</f>
        <v/>
      </c>
      <c r="H588" s="11">
        <f>IFERROR(F588/F576-1,"")</f>
        <v>-1.0</v>
      </c>
    </row>
    <row r="589" spans="1:8">
      <c r="A589" s="6" t="s">
        <v>13</v>
      </c>
      <c r="B589" s="6" t="s">
        <v>215</v>
      </c>
      <c r="C589" s="6">
        <v>2026</v>
      </c>
      <c r="D589" s="6">
        <v>9</v>
      </c>
      <c r="E589" s="9" t="s">
        <v>196</v>
      </c>
      <c r="F589" s="10">
        <f>SUMIFS(Data!$K:$K,Data!$A:$A,2026,Data!$B:$B,9,Data!$G:$G,"FCC",Data!$F:$F,"PADD 5")</f>
        <v>0.0</v>
      </c>
      <c r="G589" s="11">
        <f>IFERROR(F589/F588-1,"")</f>
        <v/>
      </c>
      <c r="H589" s="11">
        <f>IFERROR(F589/F577-1,"")</f>
        <v>-1.0</v>
      </c>
    </row>
    <row r="590" spans="1:8">
      <c r="A590" s="6" t="s">
        <v>13</v>
      </c>
      <c r="B590" s="6" t="s">
        <v>215</v>
      </c>
      <c r="C590" s="6">
        <v>2026</v>
      </c>
      <c r="D590" s="6">
        <v>10</v>
      </c>
      <c r="E590" s="9" t="s">
        <v>197</v>
      </c>
      <c r="F590" s="10">
        <f>SUMIFS(Data!$K:$K,Data!$A:$A,2026,Data!$B:$B,10,Data!$G:$G,"FCC",Data!$F:$F,"PADD 5")</f>
        <v>59.2</v>
      </c>
      <c r="G590" s="11">
        <f>IFERROR(F590/F589-1,"")</f>
        <v/>
      </c>
      <c r="H590" s="11">
        <f>IFERROR(F590/F578-1,"")</f>
        <v>-0.697658384617349</v>
      </c>
    </row>
    <row r="591" spans="1:8">
      <c r="A591" s="6" t="s">
        <v>13</v>
      </c>
      <c r="B591" s="6" t="s">
        <v>215</v>
      </c>
      <c r="C591" s="6">
        <v>2026</v>
      </c>
      <c r="D591" s="6">
        <v>11</v>
      </c>
      <c r="E591" s="9" t="s">
        <v>198</v>
      </c>
      <c r="F591" s="10">
        <f>SUMIFS(Data!$K:$K,Data!$A:$A,2026,Data!$B:$B,11,Data!$G:$G,"FCC",Data!$F:$F,"PADD 5")</f>
        <v>80.0</v>
      </c>
      <c r="G591" s="11">
        <f>IFERROR(F591/F590-1,"")</f>
        <v>0.3513513513513513</v>
      </c>
      <c r="H591" s="11">
        <f>IFERROR(F591/F579-1,"")</f>
        <v>-0.6654399464703915</v>
      </c>
    </row>
    <row r="592" spans="1:8">
      <c r="A592" s="6" t="s">
        <v>13</v>
      </c>
      <c r="B592" s="6" t="s">
        <v>215</v>
      </c>
      <c r="C592" s="6">
        <v>2026</v>
      </c>
      <c r="D592" s="6">
        <v>12</v>
      </c>
      <c r="E592" s="9" t="s">
        <v>199</v>
      </c>
      <c r="F592" s="10">
        <f>SUMIFS(Data!$K:$K,Data!$A:$A,2026,Data!$B:$B,12,Data!$G:$G,"FCC",Data!$F:$F,"PADD 5")</f>
        <v>4.8</v>
      </c>
      <c r="G592" s="11">
        <f>IFERROR(F592/F591-1,"")</f>
        <v>-0.94</v>
      </c>
      <c r="H592" s="11">
        <f>IFERROR(F592/F580-1,"")</f>
        <v>-0.9314285714285714</v>
      </c>
    </row>
    <row r="593" spans="1:10">
      <c r="A593" s="6" t="s">
        <v>13</v>
      </c>
      <c r="B593" s="6" t="s">
        <v>215</v>
      </c>
      <c r="C593" s="6">
        <v>2027</v>
      </c>
      <c r="D593" s="6">
        <v>1</v>
      </c>
      <c r="E593" s="9" t="s">
        <v>200</v>
      </c>
      <c r="F593" s="10">
        <f>SUMIFS(Data!$K:$K,Data!$A:$A,2027,Data!$B:$B,1,Data!$G:$G,"FCC",Data!$F:$F,"PADD 5")</f>
        <v>0.0</v>
      </c>
      <c r="G593" s="11">
        <f>IFERROR(F593/F592-1,"")</f>
        <v>-1.0</v>
      </c>
      <c r="H593" s="11">
        <f>IFERROR(F593/F581-1,"")</f>
        <v>-1.0</v>
      </c>
    </row>
    <row r="594" spans="1:10">
      <c r="A594" s="6" t="s">
        <v>13</v>
      </c>
      <c r="B594" s="6" t="s">
        <v>215</v>
      </c>
      <c r="C594" s="6">
        <v>2027</v>
      </c>
      <c r="D594" s="6">
        <v>2</v>
      </c>
      <c r="E594" s="9" t="s">
        <v>201</v>
      </c>
      <c r="F594" s="10">
        <f>SUMIFS(Data!$K:$K,Data!$A:$A,2027,Data!$B:$B,2,Data!$G:$G,"FCC",Data!$F:$F,"PADD 5")</f>
        <v>0.0</v>
      </c>
      <c r="G594" s="11">
        <f>IFERROR(F594/F593-1,"")</f>
        <v/>
      </c>
      <c r="H594" s="11">
        <f>IFERROR(F594/F582-1,"")</f>
        <v>-1.0</v>
      </c>
    </row>
    <row r="595" spans="1:10">
      <c r="A595" s="6" t="s">
        <v>13</v>
      </c>
      <c r="B595" s="6" t="s">
        <v>215</v>
      </c>
      <c r="C595" s="6">
        <v>2027</v>
      </c>
      <c r="D595" s="6">
        <v>3</v>
      </c>
      <c r="E595" s="9" t="s">
        <v>202</v>
      </c>
      <c r="F595" s="10">
        <f>SUMIFS(Data!$K:$K,Data!$A:$A,2027,Data!$B:$B,3,Data!$G:$G,"FCC",Data!$F:$F,"PADD 5")</f>
        <v>0.0</v>
      </c>
      <c r="G595" s="11">
        <f>IFERROR(F595/F594-1,"")</f>
        <v/>
      </c>
      <c r="H595" s="11">
        <f>IFERROR(F595/F583-1,"")</f>
        <v>-1.0</v>
      </c>
    </row>
    <row r="596" spans="1:10">
      <c r="A596" s="6" t="s">
        <v>13</v>
      </c>
      <c r="B596" s="6" t="s">
        <v>215</v>
      </c>
      <c r="C596" s="6">
        <v>2027</v>
      </c>
      <c r="D596" s="6">
        <v>4</v>
      </c>
      <c r="E596" s="9" t="s">
        <v>203</v>
      </c>
      <c r="F596" s="10">
        <f>SUMIFS(Data!$K:$K,Data!$A:$A,2027,Data!$B:$B,4,Data!$G:$G,"FCC",Data!$F:$F,"PADD 5")</f>
        <v>0.0</v>
      </c>
      <c r="G596" s="11">
        <f>IFERROR(F596/F595-1,"")</f>
        <v/>
      </c>
      <c r="H596" s="11">
        <f>IFERROR(F596/F584-1,"")</f>
        <v>-1.0</v>
      </c>
    </row>
    <row r="597" spans="1:10">
      <c r="A597" s="6" t="s">
        <v>13</v>
      </c>
      <c r="B597" s="6" t="s">
        <v>215</v>
      </c>
      <c r="C597" s="6">
        <v>2027</v>
      </c>
      <c r="D597" s="6">
        <v>5</v>
      </c>
      <c r="E597" s="9" t="s">
        <v>204</v>
      </c>
      <c r="F597" s="10">
        <f>SUMIFS(Data!$K:$K,Data!$A:$A,2027,Data!$B:$B,5,Data!$G:$G,"FCC",Data!$F:$F,"PADD 5")</f>
        <v>0.0</v>
      </c>
      <c r="G597" s="11">
        <f>IFERROR(F597/F596-1,"")</f>
        <v/>
      </c>
      <c r="H597" s="11">
        <f>IFERROR(F597/F585-1,"")</f>
        <v>-1.0</v>
      </c>
    </row>
    <row r="598" spans="1:10">
      <c r="A598" s="6" t="s">
        <v>13</v>
      </c>
      <c r="B598" s="6" t="s">
        <v>215</v>
      </c>
      <c r="C598" s="6">
        <v>2027</v>
      </c>
      <c r="D598" s="6">
        <v>6</v>
      </c>
      <c r="E598" s="9" t="s">
        <v>205</v>
      </c>
      <c r="F598" s="10">
        <f>SUMIFS(Data!$K:$K,Data!$A:$A,2027,Data!$B:$B,6,Data!$G:$G,"FCC",Data!$F:$F,"PADD 5")</f>
        <v>0.0</v>
      </c>
      <c r="G598" s="11">
        <f>IFERROR(F598/F597-1,"")</f>
        <v/>
      </c>
      <c r="H598" s="11">
        <f>IFERROR(F598/F586-1,"")</f>
        <v/>
      </c>
    </row>
    <row r="599" spans="1:10">
      <c r="A599" s="6" t="s">
        <v>13</v>
      </c>
      <c r="B599" s="6" t="s">
        <v>215</v>
      </c>
      <c r="C599" s="6">
        <v>2027</v>
      </c>
      <c r="D599" s="6">
        <v>7</v>
      </c>
      <c r="E599" s="9" t="s">
        <v>206</v>
      </c>
      <c r="F599" s="10">
        <f>SUMIFS(Data!$K:$K,Data!$A:$A,2027,Data!$B:$B,7,Data!$G:$G,"FCC",Data!$F:$F,"PADD 5")</f>
        <v>0.0</v>
      </c>
      <c r="G599" s="11">
        <f>IFERROR(F599/F598-1,"")</f>
        <v/>
      </c>
      <c r="H599" s="11">
        <f>IFERROR(F599/F587-1,"")</f>
        <v/>
      </c>
    </row>
    <row r="600" spans="1:10">
      <c r="A600" s="6" t="s">
        <v>13</v>
      </c>
      <c r="B600" s="6" t="s">
        <v>215</v>
      </c>
      <c r="C600" s="6">
        <v>2027</v>
      </c>
      <c r="D600" s="6">
        <v>8</v>
      </c>
      <c r="E600" s="9" t="s">
        <v>207</v>
      </c>
      <c r="F600" s="10">
        <f>SUMIFS(Data!$K:$K,Data!$A:$A,2027,Data!$B:$B,8,Data!$G:$G,"FCC",Data!$F:$F,"PADD 5")</f>
        <v>0.0</v>
      </c>
      <c r="G600" s="11">
        <f>IFERROR(F600/F599-1,"")</f>
        <v/>
      </c>
      <c r="H600" s="11">
        <f>IFERROR(F600/F588-1,"")</f>
        <v/>
      </c>
    </row>
    <row r="601" spans="1:10">
      <c r="A601" s="6" t="s">
        <v>13</v>
      </c>
      <c r="B601" s="6" t="s">
        <v>215</v>
      </c>
      <c r="C601" s="6">
        <v>2027</v>
      </c>
      <c r="D601" s="6">
        <v>9</v>
      </c>
      <c r="E601" s="9" t="s">
        <v>208</v>
      </c>
      <c r="F601" s="10">
        <f>SUMIFS(Data!$K:$K,Data!$A:$A,2027,Data!$B:$B,9,Data!$G:$G,"FCC",Data!$F:$F,"PADD 5")</f>
        <v>16.45</v>
      </c>
      <c r="G601" s="11">
        <f>IFERROR(F601/F600-1,"")</f>
        <v/>
      </c>
      <c r="H601" s="11">
        <f>IFERROR(F601/F589-1,"")</f>
        <v/>
      </c>
    </row>
    <row r="602" spans="1:10">
      <c r="A602" s="6" t="s">
        <v>13</v>
      </c>
      <c r="B602" s="6" t="s">
        <v>215</v>
      </c>
      <c r="C602" s="6">
        <v>2027</v>
      </c>
      <c r="D602" s="6">
        <v>10</v>
      </c>
      <c r="E602" s="9" t="s">
        <v>209</v>
      </c>
      <c r="F602" s="10">
        <f>SUMIFS(Data!$K:$K,Data!$A:$A,2027,Data!$B:$B,10,Data!$G:$G,"FCC",Data!$F:$F,"PADD 5")</f>
        <v>35.0</v>
      </c>
      <c r="G602" s="11">
        <f>IFERROR(F602/F601-1,"")</f>
        <v>1.127659574468085</v>
      </c>
      <c r="H602" s="11">
        <f>IFERROR(F602/F590-1,"")</f>
        <v>-0.40878378378378377</v>
      </c>
    </row>
    <row r="603" spans="1:10">
      <c r="A603" s="6" t="s">
        <v>13</v>
      </c>
      <c r="B603" s="6" t="s">
        <v>215</v>
      </c>
      <c r="C603" s="6">
        <v>2027</v>
      </c>
      <c r="D603" s="6">
        <v>11</v>
      </c>
      <c r="E603" s="9" t="s">
        <v>210</v>
      </c>
      <c r="F603" s="10">
        <f>SUMIFS(Data!$K:$K,Data!$A:$A,2027,Data!$B:$B,11,Data!$G:$G,"FCC",Data!$F:$F,"PADD 5")</f>
        <v>11.55</v>
      </c>
      <c r="G603" s="11">
        <f>IFERROR(F603/F602-1,"")</f>
        <v>-0.6699999999999999</v>
      </c>
      <c r="H603" s="11">
        <f>IFERROR(F603/F591-1,"")</f>
        <v>-0.855625</v>
      </c>
    </row>
    <row r="604" spans="1:10">
      <c r="A604" s="6" t="s">
        <v>13</v>
      </c>
      <c r="B604" s="6" t="s">
        <v>215</v>
      </c>
      <c r="C604" s="6">
        <v>2027</v>
      </c>
      <c r="D604" s="6">
        <v>12</v>
      </c>
      <c r="E604" s="9" t="s">
        <v>211</v>
      </c>
      <c r="F604" s="10">
        <f>SUMIFS(Data!$K:$K,Data!$A:$A,2027,Data!$B:$B,12,Data!$G:$G,"FCC",Data!$F:$F,"PADD 5")</f>
        <v>0.0</v>
      </c>
      <c r="G604" s="11">
        <f>IFERROR(F604/F603-1,"")</f>
        <v>-1.0</v>
      </c>
      <c r="H604" s="11">
        <f>IFERROR(F604/F592-1,"")</f>
        <v>-1.0</v>
      </c>
    </row>
    <row r="607" spans="1:10">
      <c r="A607" s="3" t="s">
        <v>216</v>
      </c>
    </row>
    <row r="608" spans="1:10">
      <c r="A608" s="7" t="s">
        <v>35</v>
      </c>
      <c r="B608" s="8">
        <v>2023</v>
      </c>
      <c r="C608" s="8">
        <v>2024</v>
      </c>
      <c r="D608" s="8">
        <v>2025</v>
      </c>
      <c r="E608" s="8">
        <v>2026</v>
      </c>
      <c r="F608" s="8">
        <v>2027</v>
      </c>
      <c r="G608" s="8" t="s">
        <v>217</v>
      </c>
      <c r="H608" s="8" t="s">
        <v>218</v>
      </c>
      <c r="I608" s="8" t="s">
        <v>219</v>
      </c>
      <c r="J608" s="8" t="s">
        <v>220</v>
      </c>
    </row>
    <row r="609" spans="1:10">
      <c r="A609" s="9" t="s">
        <v>151</v>
      </c>
      <c r="B609" s="10">
        <f>SUMIFS(Data!$K:$K,Data!$A:$A,2023,Data!$G:$G,"CDU",Data!$F:$F,"PADD 1")</f>
        <v>958.7675</v>
      </c>
      <c r="C609" s="10">
        <f>SUMIFS(Data!$K:$K,Data!$A:$A,2024,Data!$G:$G,"CDU",Data!$F:$F,"PADD 1")</f>
        <v>508.96500000000003</v>
      </c>
      <c r="D609" s="10">
        <f>SUMIFS(Data!$K:$K,Data!$A:$A,2025,Data!$G:$G,"CDU",Data!$F:$F,"PADD 1")</f>
        <v>1267.3982</v>
      </c>
      <c r="E609" s="10">
        <f>SUMIFS(Data!$K:$K,Data!$A:$A,2026,Data!$G:$G,"CDU",Data!$F:$F,"PADD 1")</f>
        <v>591.52</v>
      </c>
      <c r="F609" s="10">
        <f>SUMIFS(Data!$K:$K,Data!$A:$A,2027,Data!$G:$G,"CDU",Data!$F:$F,"PADD 1")</f>
        <v>153.7</v>
      </c>
      <c r="G609" s="11">
        <f>IFERROR(C609/B609-1,"")</f>
        <v>-0.46914658663335995</v>
      </c>
      <c r="H609" s="11">
        <f>IFERROR(D609/C609-1,"")</f>
        <v>1.4901480455434069</v>
      </c>
      <c r="I609" s="11">
        <f>IFERROR(E609/D609-1,"")</f>
        <v>-0.5332800693578388</v>
      </c>
      <c r="J609" s="11">
        <f>IFERROR(F609/E609-1,"")</f>
        <v>-0.7401609413037598</v>
      </c>
    </row>
    <row r="610" spans="1:10">
      <c r="A610" s="9" t="s">
        <v>212</v>
      </c>
      <c r="B610" s="10">
        <f>SUMIFS(Data!$K:$K,Data!$A:$A,2023,Data!$G:$G,"CDU",Data!$F:$F,"PADD 2")</f>
        <v>3923.0950000000003</v>
      </c>
      <c r="C610" s="10">
        <f>SUMIFS(Data!$K:$K,Data!$A:$A,2024,Data!$G:$G,"CDU",Data!$F:$F,"PADD 2")</f>
        <v>3180.7748999999994</v>
      </c>
      <c r="D610" s="10">
        <f>SUMIFS(Data!$K:$K,Data!$A:$A,2025,Data!$G:$G,"CDU",Data!$F:$F,"PADD 2")</f>
        <v>3403.8714999999997</v>
      </c>
      <c r="E610" s="10">
        <f>SUMIFS(Data!$K:$K,Data!$A:$A,2026,Data!$G:$G,"CDU",Data!$F:$F,"PADD 2")</f>
        <v>2312.79</v>
      </c>
      <c r="F610" s="10">
        <f>SUMIFS(Data!$K:$K,Data!$A:$A,2027,Data!$G:$G,"CDU",Data!$F:$F,"PADD 2")</f>
        <v>1276.4699999999998</v>
      </c>
      <c r="G610" s="11">
        <f>IFERROR(C610/B610-1,"")</f>
        <v>-0.1892179771328507</v>
      </c>
      <c r="H610" s="11">
        <f>IFERROR(D610/C610-1,"")</f>
        <v>0.0701390720858619</v>
      </c>
      <c r="I610" s="11">
        <f>IFERROR(E610/D610-1,"")</f>
        <v>-0.32054133065834</v>
      </c>
      <c r="J610" s="11">
        <f>IFERROR(F610/E610-1,"")</f>
        <v>-0.44808218645013176</v>
      </c>
    </row>
    <row r="611" spans="1:10">
      <c r="A611" s="9" t="s">
        <v>213</v>
      </c>
      <c r="B611" s="10">
        <f>SUMIFS(Data!$K:$K,Data!$A:$A,2023,Data!$G:$G,"CDU",Data!$F:$F,"PADD 3")</f>
        <v>7881.013300000001</v>
      </c>
      <c r="C611" s="10">
        <f>SUMIFS(Data!$K:$K,Data!$A:$A,2024,Data!$G:$G,"CDU",Data!$F:$F,"PADD 3")</f>
        <v>6411.998</v>
      </c>
      <c r="D611" s="10">
        <f>SUMIFS(Data!$K:$K,Data!$A:$A,2025,Data!$G:$G,"CDU",Data!$F:$F,"PADD 3")</f>
        <v>5619.06</v>
      </c>
      <c r="E611" s="10">
        <f>SUMIFS(Data!$K:$K,Data!$A:$A,2026,Data!$G:$G,"CDU",Data!$F:$F,"PADD 3")</f>
        <v>3295.2090000000003</v>
      </c>
      <c r="F611" s="10">
        <f>SUMIFS(Data!$K:$K,Data!$A:$A,2027,Data!$G:$G,"CDU",Data!$F:$F,"PADD 3")</f>
        <v>3134.0350000000003</v>
      </c>
      <c r="G611" s="11">
        <f>IFERROR(C611/B611-1,"")</f>
        <v>-0.18639929208088024</v>
      </c>
      <c r="H611" s="11">
        <f>IFERROR(D611/C611-1,"")</f>
        <v>-0.12366472977689624</v>
      </c>
      <c r="I611" s="11">
        <f>IFERROR(E611/D611-1,"")</f>
        <v>-0.4135657921431698</v>
      </c>
      <c r="J611" s="11">
        <f>IFERROR(F611/E611-1,"")</f>
        <v>-0.0489116168352296</v>
      </c>
    </row>
    <row r="612" spans="1:10">
      <c r="A612" s="9" t="s">
        <v>214</v>
      </c>
      <c r="B612" s="10">
        <f>SUMIFS(Data!$K:$K,Data!$A:$A,2023,Data!$G:$G,"CDU",Data!$F:$F,"PADD 4")</f>
        <v>805.546</v>
      </c>
      <c r="C612" s="10">
        <f>SUMIFS(Data!$K:$K,Data!$A:$A,2024,Data!$G:$G,"CDU",Data!$F:$F,"PADD 4")</f>
        <v>498.35699999999997</v>
      </c>
      <c r="D612" s="10">
        <f>SUMIFS(Data!$K:$K,Data!$A:$A,2025,Data!$G:$G,"CDU",Data!$F:$F,"PADD 4")</f>
        <v>201.67099999999996</v>
      </c>
      <c r="E612" s="10">
        <f>SUMIFS(Data!$K:$K,Data!$A:$A,2026,Data!$G:$G,"CDU",Data!$F:$F,"PADD 4")</f>
        <v>161.536</v>
      </c>
      <c r="F612" s="10">
        <f>SUMIFS(Data!$K:$K,Data!$A:$A,2027,Data!$G:$G,"CDU",Data!$F:$F,"PADD 4")</f>
        <v>349.462</v>
      </c>
      <c r="G612" s="11">
        <f>IFERROR(C612/B612-1,"")</f>
        <v>-0.3813425924776488</v>
      </c>
      <c r="H612" s="11">
        <f>IFERROR(D612/C612-1,"")</f>
        <v>-0.5953282486249818</v>
      </c>
      <c r="I612" s="11">
        <f>IFERROR(E612/D612-1,"")</f>
        <v>-0.19901225262928224</v>
      </c>
      <c r="J612" s="11">
        <f>IFERROR(F612/E612-1,"")</f>
        <v>1.1633691561014263</v>
      </c>
    </row>
    <row r="613" spans="1:10">
      <c r="A613" s="9" t="s">
        <v>215</v>
      </c>
      <c r="B613" s="10">
        <f>SUMIFS(Data!$K:$K,Data!$A:$A,2023,Data!$G:$G,"CDU",Data!$F:$F,"PADD 5")</f>
        <v>1364.612</v>
      </c>
      <c r="C613" s="10">
        <f>SUMIFS(Data!$K:$K,Data!$A:$A,2024,Data!$G:$G,"CDU",Data!$F:$F,"PADD 5")</f>
        <v>936.1949999999999</v>
      </c>
      <c r="D613" s="10">
        <f>SUMIFS(Data!$K:$K,Data!$A:$A,2025,Data!$G:$G,"CDU",Data!$F:$F,"PADD 5")</f>
        <v>2404.672</v>
      </c>
      <c r="E613" s="10">
        <f>SUMIFS(Data!$K:$K,Data!$A:$A,2026,Data!$G:$G,"CDU",Data!$F:$F,"PADD 5")</f>
        <v>902.123</v>
      </c>
      <c r="F613" s="10">
        <f>SUMIFS(Data!$K:$K,Data!$A:$A,2027,Data!$G:$G,"CDU",Data!$F:$F,"PADD 5")</f>
        <v>968.093</v>
      </c>
      <c r="G613" s="11">
        <f>IFERROR(C613/B613-1,"")</f>
        <v>-0.31394784744674686</v>
      </c>
      <c r="H613" s="11">
        <f>IFERROR(D613/C613-1,"")</f>
        <v>1.5685589006563805</v>
      </c>
      <c r="I613" s="11">
        <f>IFERROR(E613/D613-1,"")</f>
        <v>-0.6248457170042317</v>
      </c>
      <c r="J613" s="11">
        <f>IFERROR(F613/E613-1,"")</f>
        <v>0.07312750035194737</v>
      </c>
    </row>
    <row r="615" spans="1:10">
      <c r="A615" s="3" t="s">
        <v>221</v>
      </c>
    </row>
    <row r="616" spans="1:10">
      <c r="A616" s="7" t="s">
        <v>35</v>
      </c>
      <c r="B616" s="8">
        <v>2023</v>
      </c>
      <c r="C616" s="8">
        <v>2024</v>
      </c>
      <c r="D616" s="8">
        <v>2025</v>
      </c>
      <c r="E616" s="8">
        <v>2026</v>
      </c>
      <c r="F616" s="8">
        <v>2027</v>
      </c>
      <c r="G616" s="8" t="s">
        <v>217</v>
      </c>
      <c r="H616" s="8" t="s">
        <v>218</v>
      </c>
      <c r="I616" s="8" t="s">
        <v>219</v>
      </c>
      <c r="J616" s="8" t="s">
        <v>220</v>
      </c>
    </row>
    <row r="617" spans="1:10">
      <c r="A617" s="9" t="s">
        <v>151</v>
      </c>
      <c r="B617" s="10">
        <f>SUMIFS(Data!$K:$K,Data!$A:$A,2023,Data!$G:$G,"FCC",Data!$F:$F,"PADD 1")</f>
        <v>615.6800000000001</v>
      </c>
      <c r="C617" s="10">
        <f>SUMIFS(Data!$K:$K,Data!$A:$A,2024,Data!$G:$G,"FCC",Data!$F:$F,"PADD 1")</f>
        <v>367.53</v>
      </c>
      <c r="D617" s="10">
        <f>SUMIFS(Data!$K:$K,Data!$A:$A,2025,Data!$G:$G,"FCC",Data!$F:$F,"PADD 1")</f>
        <v>118.21000000000001</v>
      </c>
      <c r="E617" s="10">
        <f>SUMIFS(Data!$K:$K,Data!$A:$A,2026,Data!$G:$G,"FCC",Data!$F:$F,"PADD 1")</f>
        <v>140.99</v>
      </c>
      <c r="F617" s="10">
        <f>SUMIFS(Data!$K:$K,Data!$A:$A,2027,Data!$G:$G,"FCC",Data!$F:$F,"PADD 1")</f>
        <v>27.299999999999997</v>
      </c>
      <c r="G617" s="11">
        <f>IFERROR(C617/B617-1,"")</f>
        <v>-0.403050285862786</v>
      </c>
      <c r="H617" s="11">
        <f>IFERROR(D617/C617-1,"")</f>
        <v>-0.6783663918591679</v>
      </c>
      <c r="I617" s="11">
        <f>IFERROR(E617/D617-1,"")</f>
        <v>0.19270789273327127</v>
      </c>
      <c r="J617" s="11">
        <f>IFERROR(F617/E617-1,"")</f>
        <v>-0.8063692460458189</v>
      </c>
    </row>
    <row r="618" spans="1:10">
      <c r="A618" s="9" t="s">
        <v>212</v>
      </c>
      <c r="B618" s="10">
        <f>SUMIFS(Data!$K:$K,Data!$A:$A,2023,Data!$G:$G,"FCC",Data!$F:$F,"PADD 2")</f>
        <v>1214.786</v>
      </c>
      <c r="C618" s="10">
        <f>SUMIFS(Data!$K:$K,Data!$A:$A,2024,Data!$G:$G,"FCC",Data!$F:$F,"PADD 2")</f>
        <v>1048.315</v>
      </c>
      <c r="D618" s="10">
        <f>SUMIFS(Data!$K:$K,Data!$A:$A,2025,Data!$G:$G,"FCC",Data!$F:$F,"PADD 2")</f>
        <v>957.095</v>
      </c>
      <c r="E618" s="10">
        <f>SUMIFS(Data!$K:$K,Data!$A:$A,2026,Data!$G:$G,"FCC",Data!$F:$F,"PADD 2")</f>
        <v>729.205</v>
      </c>
      <c r="F618" s="10">
        <f>SUMIFS(Data!$K:$K,Data!$A:$A,2027,Data!$G:$G,"FCC",Data!$F:$F,"PADD 2")</f>
        <v>345.14</v>
      </c>
      <c r="G618" s="11">
        <f>IFERROR(C618/B618-1,"")</f>
        <v>-0.13703730533608394</v>
      </c>
      <c r="H618" s="11">
        <f>IFERROR(D618/C618-1,"")</f>
        <v>-0.08701583016555137</v>
      </c>
      <c r="I618" s="11">
        <f>IFERROR(E618/D618-1,"")</f>
        <v>-0.23810593514750367</v>
      </c>
      <c r="J618" s="11">
        <f>IFERROR(F618/E618-1,"")</f>
        <v>-0.5266900254386627</v>
      </c>
    </row>
    <row r="619" spans="1:10">
      <c r="A619" s="9" t="s">
        <v>213</v>
      </c>
      <c r="B619" s="10">
        <f>SUMIFS(Data!$K:$K,Data!$A:$A,2023,Data!$G:$G,"FCC",Data!$F:$F,"PADD 3")</f>
        <v>3279.5089999999996</v>
      </c>
      <c r="C619" s="10">
        <f>SUMIFS(Data!$K:$K,Data!$A:$A,2024,Data!$G:$G,"FCC",Data!$F:$F,"PADD 3")</f>
        <v>2357.2148</v>
      </c>
      <c r="D619" s="10">
        <f>SUMIFS(Data!$K:$K,Data!$A:$A,2025,Data!$G:$G,"FCC",Data!$F:$F,"PADD 3")</f>
        <v>1642.6144000000002</v>
      </c>
      <c r="E619" s="10">
        <f>SUMIFS(Data!$K:$K,Data!$A:$A,2026,Data!$G:$G,"FCC",Data!$F:$F,"PADD 3")</f>
        <v>1163.2559999999999</v>
      </c>
      <c r="F619" s="10">
        <f>SUMIFS(Data!$K:$K,Data!$A:$A,2027,Data!$G:$G,"FCC",Data!$F:$F,"PADD 3")</f>
        <v>1341.0624999999998</v>
      </c>
      <c r="G619" s="11">
        <f>IFERROR(C619/B619-1,"")</f>
        <v>-0.2812293547601179</v>
      </c>
      <c r="H619" s="11">
        <f>IFERROR(D619/C619-1,"")</f>
        <v>-0.3031545534161757</v>
      </c>
      <c r="I619" s="11">
        <f>IFERROR(E619/D619-1,"")</f>
        <v>-0.29182649318062737</v>
      </c>
      <c r="J619" s="11">
        <f>IFERROR(F619/E619-1,"")</f>
        <v>0.15285242457378256</v>
      </c>
    </row>
    <row r="620" spans="1:10">
      <c r="A620" s="9" t="s">
        <v>214</v>
      </c>
      <c r="B620" s="10">
        <f>SUMIFS(Data!$K:$K,Data!$A:$A,2023,Data!$G:$G,"FCC",Data!$F:$F,"PADD 4")</f>
        <v>267.1005</v>
      </c>
      <c r="C620" s="10">
        <f>SUMIFS(Data!$K:$K,Data!$A:$A,2024,Data!$G:$G,"FCC",Data!$F:$F,"PADD 4")</f>
        <v>103.35640000000001</v>
      </c>
      <c r="D620" s="10">
        <f>SUMIFS(Data!$K:$K,Data!$A:$A,2025,Data!$G:$G,"FCC",Data!$F:$F,"PADD 4")</f>
        <v>132.849</v>
      </c>
      <c r="E620" s="10">
        <f>SUMIFS(Data!$K:$K,Data!$A:$A,2026,Data!$G:$G,"FCC",Data!$F:$F,"PADD 4")</f>
        <v>134.736</v>
      </c>
      <c r="F620" s="10">
        <f>SUMIFS(Data!$K:$K,Data!$A:$A,2027,Data!$G:$G,"FCC",Data!$F:$F,"PADD 4")</f>
        <v>123.38899999999998</v>
      </c>
      <c r="G620" s="11">
        <f>IFERROR(C620/B620-1,"")</f>
        <v>-0.6130430306195608</v>
      </c>
      <c r="H620" s="11">
        <f>IFERROR(D620/C620-1,"")</f>
        <v>0.28534856090188887</v>
      </c>
      <c r="I620" s="11">
        <f>IFERROR(E620/D620-1,"")</f>
        <v>0.014204096380100673</v>
      </c>
      <c r="J620" s="11">
        <f>IFERROR(F620/E620-1,"")</f>
        <v>-0.08421654197838746</v>
      </c>
    </row>
    <row r="621" spans="1:10">
      <c r="A621" s="9" t="s">
        <v>215</v>
      </c>
      <c r="B621" s="10">
        <f>SUMIFS(Data!$K:$K,Data!$A:$A,2023,Data!$G:$G,"FCC",Data!$F:$F,"PADD 5")</f>
        <v>784.345</v>
      </c>
      <c r="C621" s="10">
        <f>SUMIFS(Data!$K:$K,Data!$A:$A,2024,Data!$G:$G,"FCC",Data!$F:$F,"PADD 5")</f>
        <v>1156.23</v>
      </c>
      <c r="D621" s="10">
        <f>SUMIFS(Data!$K:$K,Data!$A:$A,2025,Data!$G:$G,"FCC",Data!$F:$F,"PADD 5")</f>
        <v>1479.1749999999997</v>
      </c>
      <c r="E621" s="10">
        <f>SUMIFS(Data!$K:$K,Data!$A:$A,2026,Data!$G:$G,"FCC",Data!$F:$F,"PADD 5")</f>
        <v>578.79</v>
      </c>
      <c r="F621" s="10">
        <f>SUMIFS(Data!$K:$K,Data!$A:$A,2027,Data!$G:$G,"FCC",Data!$F:$F,"PADD 5")</f>
        <v>63.0</v>
      </c>
      <c r="G621" s="11">
        <f>IFERROR(C621/B621-1,"")</f>
        <v>0.4741344688880531</v>
      </c>
      <c r="H621" s="11">
        <f>IFERROR(D621/C621-1,"")</f>
        <v>0.27930861506793603</v>
      </c>
      <c r="I621" s="11">
        <f>IFERROR(E621/D621-1,"")</f>
        <v>-0.608707556577146</v>
      </c>
      <c r="J621" s="11">
        <f>IFERROR(F621/E621-1,"")</f>
        <v>-0.8911522313792567</v>
      </c>
    </row>
    <row r="623" spans="1:10">
      <c r="A623" s="3" t="s">
        <v>222</v>
      </c>
    </row>
    <row r="624" spans="1:10">
      <c r="A624" s="7" t="s">
        <v>147</v>
      </c>
      <c r="B624" s="8" t="s">
        <v>151</v>
      </c>
      <c r="C624" s="8" t="s">
        <v>212</v>
      </c>
      <c r="D624" s="8" t="s">
        <v>213</v>
      </c>
      <c r="E624" s="8" t="s">
        <v>214</v>
      </c>
      <c r="F624" s="8" t="s">
        <v>215</v>
      </c>
    </row>
    <row r="625" spans="1:6">
      <c r="A625" s="9" t="s">
        <v>59</v>
      </c>
      <c r="B625" s="10">
        <f>SUMIFS(Data!$K:$K,Data!$A:$A,2027,Data!$B:$B,1,Data!$G:$G,"CDU",Data!$F:$F,"PADD 1")</f>
        <v>0.0</v>
      </c>
      <c r="C625" s="10">
        <f>SUMIFS(Data!$K:$K,Data!$A:$A,2027,Data!$B:$B,1,Data!$G:$G,"CDU",Data!$F:$F,"PADD 2")</f>
        <v>0.0</v>
      </c>
      <c r="D625" s="10">
        <f>SUMIFS(Data!$K:$K,Data!$A:$A,2027,Data!$B:$B,1,Data!$G:$G,"CDU",Data!$F:$F,"PADD 3")</f>
        <v>210.575</v>
      </c>
      <c r="E625" s="10">
        <f>SUMIFS(Data!$K:$K,Data!$A:$A,2027,Data!$B:$B,1,Data!$G:$G,"CDU",Data!$F:$F,"PADD 4")</f>
        <v>0.0</v>
      </c>
      <c r="F625" s="10">
        <f>SUMIFS(Data!$K:$K,Data!$A:$A,2027,Data!$B:$B,1,Data!$G:$G,"CDU",Data!$F:$F,"PADD 5")</f>
        <v>154.55</v>
      </c>
    </row>
    <row r="626" spans="1:6">
      <c r="A626" s="9" t="s">
        <v>60</v>
      </c>
      <c r="B626" s="10">
        <f>SUMIFS(Data!$K:$K,Data!$A:$A,2027,Data!$B:$B,2,Data!$G:$G,"CDU",Data!$F:$F,"PADD 1")</f>
        <v>0.0</v>
      </c>
      <c r="C626" s="10">
        <f>SUMIFS(Data!$K:$K,Data!$A:$A,2027,Data!$B:$B,2,Data!$G:$G,"CDU",Data!$F:$F,"PADD 2")</f>
        <v>67.8</v>
      </c>
      <c r="D626" s="10">
        <f>SUMIFS(Data!$K:$K,Data!$A:$A,2027,Data!$B:$B,2,Data!$G:$G,"CDU",Data!$F:$F,"PADD 3")</f>
        <v>355.17</v>
      </c>
      <c r="E626" s="10">
        <f>SUMIFS(Data!$K:$K,Data!$A:$A,2027,Data!$B:$B,2,Data!$G:$G,"CDU",Data!$F:$F,"PADD 4")</f>
        <v>61.44</v>
      </c>
      <c r="F626" s="10">
        <f>SUMIFS(Data!$K:$K,Data!$A:$A,2027,Data!$B:$B,2,Data!$G:$G,"CDU",Data!$F:$F,"PADD 5")</f>
        <v>198.84799999999998</v>
      </c>
    </row>
    <row r="627" spans="1:6">
      <c r="A627" s="9" t="s">
        <v>61</v>
      </c>
      <c r="B627" s="10">
        <f>SUMIFS(Data!$K:$K,Data!$A:$A,2027,Data!$B:$B,3,Data!$G:$G,"CDU",Data!$F:$F,"PADD 1")</f>
        <v>108.75</v>
      </c>
      <c r="C627" s="10">
        <f>SUMIFS(Data!$K:$K,Data!$A:$A,2027,Data!$B:$B,3,Data!$G:$G,"CDU",Data!$F:$F,"PADD 2")</f>
        <v>224.45</v>
      </c>
      <c r="D627" s="10">
        <f>SUMIFS(Data!$K:$K,Data!$A:$A,2027,Data!$B:$B,3,Data!$G:$G,"CDU",Data!$F:$F,"PADD 3")</f>
        <v>468.97</v>
      </c>
      <c r="E627" s="10">
        <f>SUMIFS(Data!$K:$K,Data!$A:$A,2027,Data!$B:$B,3,Data!$G:$G,"CDU",Data!$F:$F,"PADD 4")</f>
        <v>110.52</v>
      </c>
      <c r="F627" s="10">
        <f>SUMIFS(Data!$K:$K,Data!$A:$A,2027,Data!$B:$B,3,Data!$G:$G,"CDU",Data!$F:$F,"PADD 5")</f>
        <v>149.45</v>
      </c>
    </row>
    <row r="628" spans="1:6">
      <c r="A628" s="9" t="s">
        <v>62</v>
      </c>
      <c r="B628" s="10">
        <f>SUMIFS(Data!$K:$K,Data!$A:$A,2027,Data!$B:$B,4,Data!$G:$G,"CDU",Data!$F:$F,"PADD 1")</f>
        <v>44.95</v>
      </c>
      <c r="C628" s="10">
        <f>SUMIFS(Data!$K:$K,Data!$A:$A,2027,Data!$B:$B,4,Data!$G:$G,"CDU",Data!$F:$F,"PADD 2")</f>
        <v>357.4</v>
      </c>
      <c r="D628" s="10">
        <f>SUMIFS(Data!$K:$K,Data!$A:$A,2027,Data!$B:$B,4,Data!$G:$G,"CDU",Data!$F:$F,"PADD 3")</f>
        <v>178.92999999999998</v>
      </c>
      <c r="E628" s="10">
        <f>SUMIFS(Data!$K:$K,Data!$A:$A,2027,Data!$B:$B,4,Data!$G:$G,"CDU",Data!$F:$F,"PADD 4")</f>
        <v>77.37</v>
      </c>
      <c r="F628" s="10">
        <f>SUMIFS(Data!$K:$K,Data!$A:$A,2027,Data!$B:$B,4,Data!$G:$G,"CDU",Data!$F:$F,"PADD 5")</f>
        <v>4.605</v>
      </c>
    </row>
    <row r="629" spans="1:6">
      <c r="A629" s="9" t="s">
        <v>63</v>
      </c>
      <c r="B629" s="10">
        <f>SUMIFS(Data!$K:$K,Data!$A:$A,2027,Data!$B:$B,5,Data!$G:$G,"CDU",Data!$F:$F,"PADD 1")</f>
        <v>0.0</v>
      </c>
      <c r="C629" s="10">
        <f>SUMIFS(Data!$K:$K,Data!$A:$A,2027,Data!$B:$B,5,Data!$G:$G,"CDU",Data!$F:$F,"PADD 2")</f>
        <v>206.5</v>
      </c>
      <c r="D629" s="10">
        <f>SUMIFS(Data!$K:$K,Data!$A:$A,2027,Data!$B:$B,5,Data!$G:$G,"CDU",Data!$F:$F,"PADD 3")</f>
        <v>0.0</v>
      </c>
      <c r="E629" s="10">
        <f>SUMIFS(Data!$K:$K,Data!$A:$A,2027,Data!$B:$B,5,Data!$G:$G,"CDU",Data!$F:$F,"PADD 4")</f>
        <v>65.852</v>
      </c>
      <c r="F629" s="10">
        <f>SUMIFS(Data!$K:$K,Data!$A:$A,2027,Data!$B:$B,5,Data!$G:$G,"CDU",Data!$F:$F,"PADD 5")</f>
        <v>47.839999999999996</v>
      </c>
    </row>
    <row r="630" spans="1:6">
      <c r="A630" s="9" t="s">
        <v>64</v>
      </c>
      <c r="B630" s="10">
        <f>SUMIFS(Data!$K:$K,Data!$A:$A,2027,Data!$B:$B,6,Data!$G:$G,"CDU",Data!$F:$F,"PADD 1")</f>
        <v>0.0</v>
      </c>
      <c r="C630" s="10">
        <f>SUMIFS(Data!$K:$K,Data!$A:$A,2027,Data!$B:$B,6,Data!$G:$G,"CDU",Data!$F:$F,"PADD 2")</f>
        <v>0.0</v>
      </c>
      <c r="D630" s="10">
        <f>SUMIFS(Data!$K:$K,Data!$A:$A,2027,Data!$B:$B,6,Data!$G:$G,"CDU",Data!$F:$F,"PADD 3")</f>
        <v>96.0</v>
      </c>
      <c r="E630" s="10">
        <f>SUMIFS(Data!$K:$K,Data!$A:$A,2027,Data!$B:$B,6,Data!$G:$G,"CDU",Data!$F:$F,"PADD 4")</f>
        <v>0.0</v>
      </c>
      <c r="F630" s="10">
        <f>SUMIFS(Data!$K:$K,Data!$A:$A,2027,Data!$B:$B,6,Data!$G:$G,"CDU",Data!$F:$F,"PADD 5")</f>
        <v>0.0</v>
      </c>
    </row>
    <row r="631" spans="1:6">
      <c r="A631" s="9" t="s">
        <v>65</v>
      </c>
      <c r="B631" s="10">
        <f>SUMIFS(Data!$K:$K,Data!$A:$A,2027,Data!$B:$B,7,Data!$G:$G,"CDU",Data!$F:$F,"PADD 1")</f>
        <v>0.0</v>
      </c>
      <c r="C631" s="10">
        <f>SUMIFS(Data!$K:$K,Data!$A:$A,2027,Data!$B:$B,7,Data!$G:$G,"CDU",Data!$F:$F,"PADD 2")</f>
        <v>0.0</v>
      </c>
      <c r="D631" s="10">
        <f>SUMIFS(Data!$K:$K,Data!$A:$A,2027,Data!$B:$B,7,Data!$G:$G,"CDU",Data!$F:$F,"PADD 3")</f>
        <v>96.0</v>
      </c>
      <c r="E631" s="10">
        <f>SUMIFS(Data!$K:$K,Data!$A:$A,2027,Data!$B:$B,7,Data!$G:$G,"CDU",Data!$F:$F,"PADD 4")</f>
        <v>0.0</v>
      </c>
      <c r="F631" s="10">
        <f>SUMIFS(Data!$K:$K,Data!$A:$A,2027,Data!$B:$B,7,Data!$G:$G,"CDU",Data!$F:$F,"PADD 5")</f>
        <v>0.0</v>
      </c>
    </row>
    <row r="632" spans="1:6">
      <c r="A632" s="9" t="s">
        <v>66</v>
      </c>
      <c r="B632" s="10">
        <f>SUMIFS(Data!$K:$K,Data!$A:$A,2027,Data!$B:$B,8,Data!$G:$G,"CDU",Data!$F:$F,"PADD 1")</f>
        <v>0.0</v>
      </c>
      <c r="C632" s="10">
        <f>SUMIFS(Data!$K:$K,Data!$A:$A,2027,Data!$B:$B,8,Data!$G:$G,"CDU",Data!$F:$F,"PADD 2")</f>
        <v>0.0</v>
      </c>
      <c r="D632" s="10">
        <f>SUMIFS(Data!$K:$K,Data!$A:$A,2027,Data!$B:$B,8,Data!$G:$G,"CDU",Data!$F:$F,"PADD 3")</f>
        <v>27.84</v>
      </c>
      <c r="E632" s="10">
        <f>SUMIFS(Data!$K:$K,Data!$A:$A,2027,Data!$B:$B,8,Data!$G:$G,"CDU",Data!$F:$F,"PADD 4")</f>
        <v>0.0</v>
      </c>
      <c r="F632" s="10">
        <f>SUMIFS(Data!$K:$K,Data!$A:$A,2027,Data!$B:$B,8,Data!$G:$G,"CDU",Data!$F:$F,"PADD 5")</f>
        <v>0.0</v>
      </c>
    </row>
    <row r="633" spans="1:6">
      <c r="A633" s="9" t="s">
        <v>67</v>
      </c>
      <c r="B633" s="10">
        <f>SUMIFS(Data!$K:$K,Data!$A:$A,2027,Data!$B:$B,9,Data!$G:$G,"CDU",Data!$F:$F,"PADD 1")</f>
        <v>0.0</v>
      </c>
      <c r="C633" s="10">
        <f>SUMIFS(Data!$K:$K,Data!$A:$A,2027,Data!$B:$B,9,Data!$G:$G,"CDU",Data!$F:$F,"PADD 2")</f>
        <v>325.095</v>
      </c>
      <c r="D633" s="10">
        <f>SUMIFS(Data!$K:$K,Data!$A:$A,2027,Data!$B:$B,9,Data!$G:$G,"CDU",Data!$F:$F,"PADD 3")</f>
        <v>583.89</v>
      </c>
      <c r="E633" s="10">
        <f>SUMIFS(Data!$K:$K,Data!$A:$A,2027,Data!$B:$B,9,Data!$G:$G,"CDU",Data!$F:$F,"PADD 4")</f>
        <v>20.75</v>
      </c>
      <c r="F633" s="10">
        <f>SUMIFS(Data!$K:$K,Data!$A:$A,2027,Data!$B:$B,9,Data!$G:$G,"CDU",Data!$F:$F,"PADD 5")</f>
        <v>47.0</v>
      </c>
    </row>
    <row r="634" spans="1:6">
      <c r="A634" s="9" t="s">
        <v>68</v>
      </c>
      <c r="B634" s="10">
        <f>SUMIFS(Data!$K:$K,Data!$A:$A,2027,Data!$B:$B,10,Data!$G:$G,"CDU",Data!$F:$F,"PADD 1")</f>
        <v>0.0</v>
      </c>
      <c r="C634" s="10">
        <f>SUMIFS(Data!$K:$K,Data!$A:$A,2027,Data!$B:$B,10,Data!$G:$G,"CDU",Data!$F:$F,"PADD 2")</f>
        <v>95.225</v>
      </c>
      <c r="D634" s="10">
        <f>SUMIFS(Data!$K:$K,Data!$A:$A,2027,Data!$B:$B,10,Data!$G:$G,"CDU",Data!$F:$F,"PADD 3")</f>
        <v>865.76</v>
      </c>
      <c r="E634" s="10">
        <f>SUMIFS(Data!$K:$K,Data!$A:$A,2027,Data!$B:$B,10,Data!$G:$G,"CDU",Data!$F:$F,"PADD 4")</f>
        <v>13.53</v>
      </c>
      <c r="F634" s="10">
        <f>SUMIFS(Data!$K:$K,Data!$A:$A,2027,Data!$B:$B,10,Data!$G:$G,"CDU",Data!$F:$F,"PADD 5")</f>
        <v>332.8</v>
      </c>
    </row>
    <row r="635" spans="1:6">
      <c r="A635" s="9" t="s">
        <v>69</v>
      </c>
      <c r="B635" s="10">
        <f>SUMIFS(Data!$K:$K,Data!$A:$A,2027,Data!$B:$B,11,Data!$G:$G,"CDU",Data!$F:$F,"PADD 1")</f>
        <v>0.0</v>
      </c>
      <c r="C635" s="10">
        <f>SUMIFS(Data!$K:$K,Data!$A:$A,2027,Data!$B:$B,11,Data!$G:$G,"CDU",Data!$F:$F,"PADD 2")</f>
        <v>0.0</v>
      </c>
      <c r="D635" s="10">
        <f>SUMIFS(Data!$K:$K,Data!$A:$A,2027,Data!$B:$B,11,Data!$G:$G,"CDU",Data!$F:$F,"PADD 3")</f>
        <v>250.90000000000003</v>
      </c>
      <c r="E635" s="10">
        <f>SUMIFS(Data!$K:$K,Data!$A:$A,2027,Data!$B:$B,11,Data!$G:$G,"CDU",Data!$F:$F,"PADD 4")</f>
        <v>0.0</v>
      </c>
      <c r="F635" s="10">
        <f>SUMIFS(Data!$K:$K,Data!$A:$A,2027,Data!$B:$B,11,Data!$G:$G,"CDU",Data!$F:$F,"PADD 5")</f>
        <v>33.0</v>
      </c>
    </row>
    <row r="636" spans="1:6">
      <c r="A636" s="9" t="s">
        <v>70</v>
      </c>
      <c r="B636" s="10">
        <f>SUMIFS(Data!$K:$K,Data!$A:$A,2027,Data!$B:$B,12,Data!$G:$G,"CDU",Data!$F:$F,"PADD 1")</f>
        <v>0.0</v>
      </c>
      <c r="C636" s="10">
        <f>SUMIFS(Data!$K:$K,Data!$A:$A,2027,Data!$B:$B,12,Data!$G:$G,"CDU",Data!$F:$F,"PADD 2")</f>
        <v>0.0</v>
      </c>
      <c r="D636" s="10">
        <f>SUMIFS(Data!$K:$K,Data!$A:$A,2027,Data!$B:$B,12,Data!$G:$G,"CDU",Data!$F:$F,"PADD 3")</f>
        <v>0.0</v>
      </c>
      <c r="E636" s="10">
        <f>SUMIFS(Data!$K:$K,Data!$A:$A,2027,Data!$B:$B,12,Data!$G:$G,"CDU",Data!$F:$F,"PADD 4")</f>
        <v>0.0</v>
      </c>
      <c r="F636" s="10">
        <f>SUMIFS(Data!$K:$K,Data!$A:$A,2027,Data!$B:$B,12,Data!$G:$G,"CDU",Data!$F:$F,"PADD 5")</f>
        <v>0.0</v>
      </c>
    </row>
    <row r="638" spans="1:6">
      <c r="A638" s="3" t="s">
        <v>223</v>
      </c>
    </row>
    <row r="639" spans="1:6">
      <c r="A639" s="7" t="s">
        <v>147</v>
      </c>
      <c r="B639" s="8" t="s">
        <v>151</v>
      </c>
      <c r="C639" s="8" t="s">
        <v>212</v>
      </c>
      <c r="D639" s="8" t="s">
        <v>213</v>
      </c>
      <c r="E639" s="8" t="s">
        <v>214</v>
      </c>
      <c r="F639" s="8" t="s">
        <v>215</v>
      </c>
    </row>
    <row r="640" spans="1:6">
      <c r="A640" s="9" t="s">
        <v>59</v>
      </c>
      <c r="B640" s="10">
        <f>SUMIFS(Data!$K:$K,Data!$A:$A,2027,Data!$B:$B,1,Data!$G:$G,"FCC",Data!$F:$F,"PADD 1")</f>
        <v>0.0</v>
      </c>
      <c r="C640" s="10">
        <f>SUMIFS(Data!$K:$K,Data!$A:$A,2027,Data!$B:$B,1,Data!$G:$G,"FCC",Data!$F:$F,"PADD 2")</f>
        <v>0.0</v>
      </c>
      <c r="D640" s="10">
        <f>SUMIFS(Data!$K:$K,Data!$A:$A,2027,Data!$B:$B,1,Data!$G:$G,"FCC",Data!$F:$F,"PADD 3")</f>
        <v>250.98000000000002</v>
      </c>
      <c r="E640" s="10">
        <f>SUMIFS(Data!$K:$K,Data!$A:$A,2027,Data!$B:$B,1,Data!$G:$G,"FCC",Data!$F:$F,"PADD 4")</f>
        <v>0.0</v>
      </c>
      <c r="F640" s="10">
        <f>SUMIFS(Data!$K:$K,Data!$A:$A,2027,Data!$B:$B,1,Data!$G:$G,"FCC",Data!$F:$F,"PADD 5")</f>
        <v>0.0</v>
      </c>
    </row>
    <row r="641" spans="1:6">
      <c r="A641" s="9" t="s">
        <v>60</v>
      </c>
      <c r="B641" s="10">
        <f>SUMIFS(Data!$K:$K,Data!$A:$A,2027,Data!$B:$B,2,Data!$G:$G,"FCC",Data!$F:$F,"PADD 1")</f>
        <v>0.0</v>
      </c>
      <c r="C641" s="10">
        <f>SUMIFS(Data!$K:$K,Data!$A:$A,2027,Data!$B:$B,2,Data!$G:$G,"FCC",Data!$F:$F,"PADD 2")</f>
        <v>35.44</v>
      </c>
      <c r="D641" s="10">
        <f>SUMIFS(Data!$K:$K,Data!$A:$A,2027,Data!$B:$B,2,Data!$G:$G,"FCC",Data!$F:$F,"PADD 3")</f>
        <v>389.7375</v>
      </c>
      <c r="E641" s="10">
        <f>SUMIFS(Data!$K:$K,Data!$A:$A,2027,Data!$B:$B,2,Data!$G:$G,"FCC",Data!$F:$F,"PADD 4")</f>
        <v>25.344</v>
      </c>
      <c r="F641" s="10">
        <f>SUMIFS(Data!$K:$K,Data!$A:$A,2027,Data!$B:$B,2,Data!$G:$G,"FCC",Data!$F:$F,"PADD 5")</f>
        <v>0.0</v>
      </c>
    </row>
    <row r="642" spans="1:6">
      <c r="A642" s="9" t="s">
        <v>61</v>
      </c>
      <c r="B642" s="10">
        <f>SUMIFS(Data!$K:$K,Data!$A:$A,2027,Data!$B:$B,3,Data!$G:$G,"FCC",Data!$F:$F,"PADD 1")</f>
        <v>18.27</v>
      </c>
      <c r="C642" s="10">
        <f>SUMIFS(Data!$K:$K,Data!$A:$A,2027,Data!$B:$B,3,Data!$G:$G,"FCC",Data!$F:$F,"PADD 2")</f>
        <v>40.72</v>
      </c>
      <c r="D642" s="10">
        <f>SUMIFS(Data!$K:$K,Data!$A:$A,2027,Data!$B:$B,3,Data!$G:$G,"FCC",Data!$F:$F,"PADD 3")</f>
        <v>344.305</v>
      </c>
      <c r="E642" s="10">
        <f>SUMIFS(Data!$K:$K,Data!$A:$A,2027,Data!$B:$B,3,Data!$G:$G,"FCC",Data!$F:$F,"PADD 4")</f>
        <v>44.597</v>
      </c>
      <c r="F642" s="10">
        <f>SUMIFS(Data!$K:$K,Data!$A:$A,2027,Data!$B:$B,3,Data!$G:$G,"FCC",Data!$F:$F,"PADD 5")</f>
        <v>0.0</v>
      </c>
    </row>
    <row r="643" spans="1:6">
      <c r="A643" s="9" t="s">
        <v>62</v>
      </c>
      <c r="B643" s="10">
        <f>SUMIFS(Data!$K:$K,Data!$A:$A,2027,Data!$B:$B,4,Data!$G:$G,"FCC",Data!$F:$F,"PADD 1")</f>
        <v>9.03</v>
      </c>
      <c r="C643" s="10">
        <f>SUMIFS(Data!$K:$K,Data!$A:$A,2027,Data!$B:$B,4,Data!$G:$G,"FCC",Data!$F:$F,"PADD 2")</f>
        <v>0.0</v>
      </c>
      <c r="D643" s="10">
        <f>SUMIFS(Data!$K:$K,Data!$A:$A,2027,Data!$B:$B,4,Data!$G:$G,"FCC",Data!$F:$F,"PADD 3")</f>
        <v>115.2</v>
      </c>
      <c r="E643" s="10">
        <f>SUMIFS(Data!$K:$K,Data!$A:$A,2027,Data!$B:$B,4,Data!$G:$G,"FCC",Data!$F:$F,"PADD 4")</f>
        <v>26.225</v>
      </c>
      <c r="F643" s="10">
        <f>SUMIFS(Data!$K:$K,Data!$A:$A,2027,Data!$B:$B,4,Data!$G:$G,"FCC",Data!$F:$F,"PADD 5")</f>
        <v>0.0</v>
      </c>
    </row>
    <row r="644" spans="1:6">
      <c r="A644" s="9" t="s">
        <v>63</v>
      </c>
      <c r="B644" s="10">
        <f>SUMIFS(Data!$K:$K,Data!$A:$A,2027,Data!$B:$B,5,Data!$G:$G,"FCC",Data!$F:$F,"PADD 1")</f>
        <v>0.0</v>
      </c>
      <c r="C644" s="10">
        <f>SUMIFS(Data!$K:$K,Data!$A:$A,2027,Data!$B:$B,5,Data!$G:$G,"FCC",Data!$F:$F,"PADD 2")</f>
        <v>0.0</v>
      </c>
      <c r="D644" s="10">
        <f>SUMIFS(Data!$K:$K,Data!$A:$A,2027,Data!$B:$B,5,Data!$G:$G,"FCC",Data!$F:$F,"PADD 3")</f>
        <v>0.0</v>
      </c>
      <c r="E644" s="10">
        <f>SUMIFS(Data!$K:$K,Data!$A:$A,2027,Data!$B:$B,5,Data!$G:$G,"FCC",Data!$F:$F,"PADD 4")</f>
        <v>23.3</v>
      </c>
      <c r="F644" s="10">
        <f>SUMIFS(Data!$K:$K,Data!$A:$A,2027,Data!$B:$B,5,Data!$G:$G,"FCC",Data!$F:$F,"PADD 5")</f>
        <v>0.0</v>
      </c>
    </row>
    <row r="645" spans="1:6">
      <c r="A645" s="9" t="s">
        <v>64</v>
      </c>
      <c r="B645" s="10">
        <f>SUMIFS(Data!$K:$K,Data!$A:$A,2027,Data!$B:$B,6,Data!$G:$G,"FCC",Data!$F:$F,"PADD 1")</f>
        <v>0.0</v>
      </c>
      <c r="C645" s="10">
        <f>SUMIFS(Data!$K:$K,Data!$A:$A,2027,Data!$B:$B,6,Data!$G:$G,"FCC",Data!$F:$F,"PADD 2")</f>
        <v>0.0</v>
      </c>
      <c r="D645" s="10">
        <f>SUMIFS(Data!$K:$K,Data!$A:$A,2027,Data!$B:$B,6,Data!$G:$G,"FCC",Data!$F:$F,"PADD 3")</f>
        <v>68.0</v>
      </c>
      <c r="E645" s="10">
        <f>SUMIFS(Data!$K:$K,Data!$A:$A,2027,Data!$B:$B,6,Data!$G:$G,"FCC",Data!$F:$F,"PADD 4")</f>
        <v>0.255</v>
      </c>
      <c r="F645" s="10">
        <f>SUMIFS(Data!$K:$K,Data!$A:$A,2027,Data!$B:$B,6,Data!$G:$G,"FCC",Data!$F:$F,"PADD 5")</f>
        <v>0.0</v>
      </c>
    </row>
    <row r="646" spans="1:6">
      <c r="A646" s="9" t="s">
        <v>65</v>
      </c>
      <c r="B646" s="10">
        <f>SUMIFS(Data!$K:$K,Data!$A:$A,2027,Data!$B:$B,7,Data!$G:$G,"FCC",Data!$F:$F,"PADD 1")</f>
        <v>0.0</v>
      </c>
      <c r="C646" s="10">
        <f>SUMIFS(Data!$K:$K,Data!$A:$A,2027,Data!$B:$B,7,Data!$G:$G,"FCC",Data!$F:$F,"PADD 2")</f>
        <v>0.0</v>
      </c>
      <c r="D646" s="10">
        <f>SUMIFS(Data!$K:$K,Data!$A:$A,2027,Data!$B:$B,7,Data!$G:$G,"FCC",Data!$F:$F,"PADD 3")</f>
        <v>68.0</v>
      </c>
      <c r="E646" s="10">
        <f>SUMIFS(Data!$K:$K,Data!$A:$A,2027,Data!$B:$B,7,Data!$G:$G,"FCC",Data!$F:$F,"PADD 4")</f>
        <v>0.0</v>
      </c>
      <c r="F646" s="10">
        <f>SUMIFS(Data!$K:$K,Data!$A:$A,2027,Data!$B:$B,7,Data!$G:$G,"FCC",Data!$F:$F,"PADD 5")</f>
        <v>0.0</v>
      </c>
    </row>
    <row r="647" spans="1:6">
      <c r="A647" s="9" t="s">
        <v>66</v>
      </c>
      <c r="B647" s="10">
        <f>SUMIFS(Data!$K:$K,Data!$A:$A,2027,Data!$B:$B,8,Data!$G:$G,"FCC",Data!$F:$F,"PADD 1")</f>
        <v>0.0</v>
      </c>
      <c r="C647" s="10">
        <f>SUMIFS(Data!$K:$K,Data!$A:$A,2027,Data!$B:$B,8,Data!$G:$G,"FCC",Data!$F:$F,"PADD 2")</f>
        <v>0.0</v>
      </c>
      <c r="D647" s="10">
        <f>SUMIFS(Data!$K:$K,Data!$A:$A,2027,Data!$B:$B,8,Data!$G:$G,"FCC",Data!$F:$F,"PADD 3")</f>
        <v>19.72</v>
      </c>
      <c r="E647" s="10">
        <f>SUMIFS(Data!$K:$K,Data!$A:$A,2027,Data!$B:$B,8,Data!$G:$G,"FCC",Data!$F:$F,"PADD 4")</f>
        <v>0.0</v>
      </c>
      <c r="F647" s="10">
        <f>SUMIFS(Data!$K:$K,Data!$A:$A,2027,Data!$B:$B,8,Data!$G:$G,"FCC",Data!$F:$F,"PADD 5")</f>
        <v>0.0</v>
      </c>
    </row>
    <row r="648" spans="1:6">
      <c r="A648" s="9" t="s">
        <v>67</v>
      </c>
      <c r="B648" s="10">
        <f>SUMIFS(Data!$K:$K,Data!$A:$A,2027,Data!$B:$B,9,Data!$G:$G,"FCC",Data!$F:$F,"PADD 1")</f>
        <v>0.0</v>
      </c>
      <c r="C648" s="10">
        <f>SUMIFS(Data!$K:$K,Data!$A:$A,2027,Data!$B:$B,9,Data!$G:$G,"FCC",Data!$F:$F,"PADD 2")</f>
        <v>157.5</v>
      </c>
      <c r="D648" s="10">
        <f>SUMIFS(Data!$K:$K,Data!$A:$A,2027,Data!$B:$B,9,Data!$G:$G,"FCC",Data!$F:$F,"PADD 3")</f>
        <v>0.0</v>
      </c>
      <c r="E648" s="10">
        <f>SUMIFS(Data!$K:$K,Data!$A:$A,2027,Data!$B:$B,9,Data!$G:$G,"FCC",Data!$F:$F,"PADD 4")</f>
        <v>2.324</v>
      </c>
      <c r="F648" s="10">
        <f>SUMIFS(Data!$K:$K,Data!$A:$A,2027,Data!$B:$B,9,Data!$G:$G,"FCC",Data!$F:$F,"PADD 5")</f>
        <v>16.45</v>
      </c>
    </row>
    <row r="649" spans="1:6">
      <c r="A649" s="9" t="s">
        <v>68</v>
      </c>
      <c r="B649" s="10">
        <f>SUMIFS(Data!$K:$K,Data!$A:$A,2027,Data!$B:$B,10,Data!$G:$G,"FCC",Data!$F:$F,"PADD 1")</f>
        <v>0.0</v>
      </c>
      <c r="C649" s="10">
        <f>SUMIFS(Data!$K:$K,Data!$A:$A,2027,Data!$B:$B,10,Data!$G:$G,"FCC",Data!$F:$F,"PADD 2")</f>
        <v>111.47999999999999</v>
      </c>
      <c r="D649" s="10">
        <f>SUMIFS(Data!$K:$K,Data!$A:$A,2027,Data!$B:$B,10,Data!$G:$G,"FCC",Data!$F:$F,"PADD 3")</f>
        <v>41.8</v>
      </c>
      <c r="E649" s="10">
        <f>SUMIFS(Data!$K:$K,Data!$A:$A,2027,Data!$B:$B,10,Data!$G:$G,"FCC",Data!$F:$F,"PADD 4")</f>
        <v>1.344</v>
      </c>
      <c r="F649" s="10">
        <f>SUMIFS(Data!$K:$K,Data!$A:$A,2027,Data!$B:$B,10,Data!$G:$G,"FCC",Data!$F:$F,"PADD 5")</f>
        <v>35.0</v>
      </c>
    </row>
    <row r="650" spans="1:6">
      <c r="A650" s="9" t="s">
        <v>69</v>
      </c>
      <c r="B650" s="10">
        <f>SUMIFS(Data!$K:$K,Data!$A:$A,2027,Data!$B:$B,11,Data!$G:$G,"FCC",Data!$F:$F,"PADD 1")</f>
        <v>0.0</v>
      </c>
      <c r="C650" s="10">
        <f>SUMIFS(Data!$K:$K,Data!$A:$A,2027,Data!$B:$B,11,Data!$G:$G,"FCC",Data!$F:$F,"PADD 2")</f>
        <v>0.0</v>
      </c>
      <c r="D650" s="10">
        <f>SUMIFS(Data!$K:$K,Data!$A:$A,2027,Data!$B:$B,11,Data!$G:$G,"FCC",Data!$F:$F,"PADD 3")</f>
        <v>43.32</v>
      </c>
      <c r="E650" s="10">
        <f>SUMIFS(Data!$K:$K,Data!$A:$A,2027,Data!$B:$B,11,Data!$G:$G,"FCC",Data!$F:$F,"PADD 4")</f>
        <v>0.0</v>
      </c>
      <c r="F650" s="10">
        <f>SUMIFS(Data!$K:$K,Data!$A:$A,2027,Data!$B:$B,11,Data!$G:$G,"FCC",Data!$F:$F,"PADD 5")</f>
        <v>11.55</v>
      </c>
    </row>
    <row r="651" spans="1:6">
      <c r="A651" s="9" t="s">
        <v>70</v>
      </c>
      <c r="B651" s="10">
        <f>SUMIFS(Data!$K:$K,Data!$A:$A,2027,Data!$B:$B,12,Data!$G:$G,"FCC",Data!$F:$F,"PADD 1")</f>
        <v>0.0</v>
      </c>
      <c r="C651" s="10">
        <f>SUMIFS(Data!$K:$K,Data!$A:$A,2027,Data!$B:$B,12,Data!$G:$G,"FCC",Data!$F:$F,"PADD 2")</f>
        <v>0.0</v>
      </c>
      <c r="D651" s="10">
        <f>SUMIFS(Data!$K:$K,Data!$A:$A,2027,Data!$B:$B,12,Data!$G:$G,"FCC",Data!$F:$F,"PADD 3")</f>
        <v>0.0</v>
      </c>
      <c r="E651" s="10">
        <f>SUMIFS(Data!$K:$K,Data!$A:$A,2027,Data!$B:$B,12,Data!$G:$G,"FCC",Data!$F:$F,"PADD 4")</f>
        <v>0.0</v>
      </c>
      <c r="F651" s="10">
        <f>SUMIFS(Data!$K:$K,Data!$A:$A,2027,Data!$B:$B,12,Data!$G:$G,"FCC",Data!$F:$F,"PADD 5")</f>
        <v>0.0</v>
      </c>
    </row>
  </sheetData>
  <autoFilter ref="A4:H604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E8B8B"/>
  </sheetPr>
  <dimension ref="A1:H10"/>
  <sheetViews>
    <sheetView showGridLines="0" zoomScale="110" zoomScaleNormal="110" workbookViewId="0"/>
  </sheetViews>
  <sheetFormatPr defaultRowHeight="15"/>
  <cols>
    <col min="1" max="1" width="24.7109375" customWidth="1"/>
    <col min="2" max="2" width="26.7109375" customWidth="1"/>
    <col min="3" max="4" width="11.7109375" customWidth="1"/>
    <col min="5" max="5" width="9.7109375" customWidth="1"/>
    <col min="6" max="7" width="11.7109375" customWidth="1"/>
    <col min="8" max="8" width="24.7109375" customWidth="1"/>
  </cols>
  <sheetData>
    <row r="1" spans="1:8" ht="22" customHeight="1">
      <c r="A1" s="1" t="s">
        <v>224</v>
      </c>
    </row>
    <row r="2" spans="1:8">
      <c r="A2" s="2" t="s">
        <v>225</v>
      </c>
    </row>
    <row r="4" spans="1:8">
      <c r="A4" s="7" t="s">
        <v>75</v>
      </c>
      <c r="B4" s="7" t="s">
        <v>34</v>
      </c>
      <c r="C4" s="8" t="s">
        <v>76</v>
      </c>
      <c r="D4" s="8" t="s">
        <v>35</v>
      </c>
      <c r="E4" s="8" t="s">
        <v>36</v>
      </c>
      <c r="F4" s="8" t="s">
        <v>77</v>
      </c>
      <c r="G4" s="8" t="s">
        <v>78</v>
      </c>
      <c r="H4" s="8" t="s">
        <v>226</v>
      </c>
    </row>
    <row r="5" spans="1:8">
      <c r="A5" s="6" t="s">
        <v>80</v>
      </c>
      <c r="B5" s="6" t="s">
        <v>81</v>
      </c>
      <c r="C5" s="6" t="s">
        <v>12</v>
      </c>
      <c r="D5" s="6" t="s">
        <v>49</v>
      </c>
      <c r="E5" s="10">
        <v>250</v>
      </c>
      <c r="F5" s="6" t="s">
        <v>82</v>
      </c>
      <c r="G5" s="6" t="s">
        <v>10</v>
      </c>
      <c r="H5" s="6" t="s">
        <v>227</v>
      </c>
    </row>
    <row r="6" spans="1:8">
      <c r="A6" s="6" t="s">
        <v>101</v>
      </c>
      <c r="B6" s="6" t="s">
        <v>102</v>
      </c>
      <c r="C6" s="6" t="s">
        <v>13</v>
      </c>
      <c r="D6" s="6" t="s">
        <v>39</v>
      </c>
      <c r="E6" s="10">
        <v>125</v>
      </c>
      <c r="F6" s="6" t="s">
        <v>103</v>
      </c>
      <c r="G6" s="6" t="s">
        <v>10</v>
      </c>
      <c r="H6" s="6" t="s">
        <v>227</v>
      </c>
    </row>
    <row r="7" spans="1:8">
      <c r="A7" s="6" t="s">
        <v>104</v>
      </c>
      <c r="B7" s="6" t="s">
        <v>105</v>
      </c>
      <c r="C7" s="6" t="s">
        <v>13</v>
      </c>
      <c r="D7" s="6" t="s">
        <v>39</v>
      </c>
      <c r="E7" s="10">
        <v>120</v>
      </c>
      <c r="F7" s="6" t="s">
        <v>100</v>
      </c>
      <c r="G7" s="6" t="s">
        <v>10</v>
      </c>
      <c r="H7" s="6" t="s">
        <v>227</v>
      </c>
    </row>
    <row r="8" spans="1:8">
      <c r="A8" s="6" t="s">
        <v>113</v>
      </c>
      <c r="B8" s="6" t="s">
        <v>114</v>
      </c>
      <c r="C8" s="6" t="s">
        <v>12</v>
      </c>
      <c r="D8" s="6" t="s">
        <v>39</v>
      </c>
      <c r="E8" s="10">
        <v>110</v>
      </c>
      <c r="F8" s="6" t="s">
        <v>108</v>
      </c>
      <c r="G8" s="6" t="s">
        <v>10</v>
      </c>
      <c r="H8" s="6" t="s">
        <v>227</v>
      </c>
    </row>
    <row r="9" spans="1:8">
      <c r="A9" s="6" t="s">
        <v>104</v>
      </c>
      <c r="B9" s="6" t="s">
        <v>14</v>
      </c>
      <c r="C9" s="6" t="s">
        <v>14</v>
      </c>
      <c r="D9" s="6" t="s">
        <v>39</v>
      </c>
      <c r="E9" s="10">
        <v>65</v>
      </c>
      <c r="F9" s="6" t="s">
        <v>100</v>
      </c>
      <c r="G9" s="6" t="s">
        <v>10</v>
      </c>
      <c r="H9" s="6" t="s">
        <v>227</v>
      </c>
    </row>
    <row r="10" spans="1:8">
      <c r="A10" s="6" t="s">
        <v>80</v>
      </c>
      <c r="B10" s="6" t="s">
        <v>228</v>
      </c>
      <c r="C10" s="6" t="s">
        <v>15</v>
      </c>
      <c r="D10" s="6" t="s">
        <v>49</v>
      </c>
      <c r="E10" s="10">
        <v>52</v>
      </c>
      <c r="F10" s="6" t="s">
        <v>82</v>
      </c>
      <c r="G10" s="6" t="s">
        <v>10</v>
      </c>
      <c r="H10" s="6" t="s">
        <v>227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7030A0"/>
  </sheetPr>
  <dimension ref="A1:G42"/>
  <sheetViews>
    <sheetView showGridLines="0" zoomScale="110" zoomScaleNormal="110" workbookViewId="0"/>
  </sheetViews>
  <sheetFormatPr defaultRowHeight="15"/>
  <cols>
    <col min="1" max="1" width="8.7109375" customWidth="1"/>
    <col min="2" max="6" width="15.7109375" customWidth="1"/>
    <col min="7" max="7" width="12.7109375" hidden="1" customWidth="1"/>
  </cols>
  <sheetData>
    <row r="1" spans="1:7" ht="22" customHeight="1">
      <c r="A1" s="1" t="s">
        <v>229</v>
      </c>
    </row>
    <row r="2" spans="1:7">
      <c r="A2" s="2" t="s">
        <v>230</v>
      </c>
    </row>
    <row r="4" spans="1:7">
      <c r="A4" s="7" t="s">
        <v>17</v>
      </c>
      <c r="B4" s="8" t="s">
        <v>231</v>
      </c>
      <c r="C4" s="8" t="s">
        <v>232</v>
      </c>
      <c r="D4" s="8" t="s">
        <v>233</v>
      </c>
      <c r="E4" s="8" t="s">
        <v>234</v>
      </c>
      <c r="F4" s="8" t="s">
        <v>235</v>
      </c>
    </row>
    <row r="5" spans="1:7">
      <c r="A5" s="9" t="s">
        <v>59</v>
      </c>
      <c r="B5" s="10">
        <f>SUMIFS(Data!$K:$K,Data!$A:$A,2027,Data!$B:$B,1,Data!$G:$G,"CDU")</f>
        <v>365.125</v>
      </c>
      <c r="C5" s="10">
        <f>B5*naph_yield</f>
        <v>127.79374999999999</v>
      </c>
      <c r="D5" s="10">
        <f>SUMIFS(Data!$K:$K,Data!$A:$A,2027,Data!$B:$B,1,Data!$G:$G,"Reformer")</f>
        <v>29.125</v>
      </c>
      <c r="E5" s="10">
        <f>D5*ref_intake</f>
        <v>29.125</v>
      </c>
      <c r="F5" s="10">
        <f>E5-C5</f>
        <v>-98.66874999999999</v>
      </c>
      <c r="G5" s="10">
        <f>-C5</f>
        <v>-127.79374999999999</v>
      </c>
    </row>
    <row r="6" spans="1:7">
      <c r="A6" s="9" t="s">
        <v>60</v>
      </c>
      <c r="B6" s="10">
        <f>SUMIFS(Data!$K:$K,Data!$A:$A,2027,Data!$B:$B,2,Data!$G:$G,"CDU")</f>
        <v>683.258</v>
      </c>
      <c r="C6" s="10">
        <f>B6*naph_yield</f>
        <v>239.1403</v>
      </c>
      <c r="D6" s="10">
        <f>SUMIFS(Data!$K:$K,Data!$A:$A,2027,Data!$B:$B,2,Data!$G:$G,"Reformer")</f>
        <v>68.78</v>
      </c>
      <c r="E6" s="10">
        <f>D6*ref_intake</f>
        <v>68.78</v>
      </c>
      <c r="F6" s="10">
        <f>E6-C6</f>
        <v>-170.3603</v>
      </c>
      <c r="G6" s="10">
        <f>-C6</f>
        <v>-239.1403</v>
      </c>
    </row>
    <row r="7" spans="1:7">
      <c r="A7" s="9" t="s">
        <v>61</v>
      </c>
      <c r="B7" s="10">
        <f>SUMIFS(Data!$K:$K,Data!$A:$A,2027,Data!$B:$B,3,Data!$G:$G,"CDU")</f>
        <v>1062.14</v>
      </c>
      <c r="C7" s="10">
        <f>B7*naph_yield</f>
        <v>371.749</v>
      </c>
      <c r="D7" s="10">
        <f>SUMIFS(Data!$K:$K,Data!$A:$A,2027,Data!$B:$B,3,Data!$G:$G,"Reformer")</f>
        <v>184.88899999999998</v>
      </c>
      <c r="E7" s="10">
        <f>D7*ref_intake</f>
        <v>184.88899999999998</v>
      </c>
      <c r="F7" s="10">
        <f>E7-C7</f>
        <v>-186.86000000000004</v>
      </c>
      <c r="G7" s="10">
        <f>-C7</f>
        <v>-371.749</v>
      </c>
    </row>
    <row r="8" spans="1:7">
      <c r="A8" s="9" t="s">
        <v>62</v>
      </c>
      <c r="B8" s="10">
        <f>SUMIFS(Data!$K:$K,Data!$A:$A,2027,Data!$B:$B,4,Data!$G:$G,"CDU")</f>
        <v>663.255</v>
      </c>
      <c r="C8" s="10">
        <f>B8*naph_yield</f>
        <v>232.13924999999998</v>
      </c>
      <c r="D8" s="10">
        <f>SUMIFS(Data!$K:$K,Data!$A:$A,2027,Data!$B:$B,4,Data!$G:$G,"Reformer")</f>
        <v>141.475</v>
      </c>
      <c r="E8" s="10">
        <f>D8*ref_intake</f>
        <v>141.475</v>
      </c>
      <c r="F8" s="10">
        <f>E8-C8</f>
        <v>-90.66424999999998</v>
      </c>
      <c r="G8" s="10">
        <f>-C8</f>
        <v>-232.13924999999998</v>
      </c>
    </row>
    <row r="9" spans="1:7">
      <c r="A9" s="9" t="s">
        <v>63</v>
      </c>
      <c r="B9" s="10">
        <f>SUMIFS(Data!$K:$K,Data!$A:$A,2027,Data!$B:$B,5,Data!$G:$G,"CDU")</f>
        <v>320.192</v>
      </c>
      <c r="C9" s="10">
        <f>B9*naph_yield</f>
        <v>112.0672</v>
      </c>
      <c r="D9" s="10">
        <f>SUMIFS(Data!$K:$K,Data!$A:$A,2027,Data!$B:$B,5,Data!$G:$G,"Reformer")</f>
        <v>45.428</v>
      </c>
      <c r="E9" s="10">
        <f>D9*ref_intake</f>
        <v>45.428</v>
      </c>
      <c r="F9" s="10">
        <f>E9-C9</f>
        <v>-66.6392</v>
      </c>
      <c r="G9" s="10">
        <f>-C9</f>
        <v>-112.0672</v>
      </c>
    </row>
    <row r="10" spans="1:7">
      <c r="A10" s="9" t="s">
        <v>64</v>
      </c>
      <c r="B10" s="10">
        <f>SUMIFS(Data!$K:$K,Data!$A:$A,2027,Data!$B:$B,6,Data!$G:$G,"CDU")</f>
        <v>96.0</v>
      </c>
      <c r="C10" s="10">
        <f>B10*naph_yield</f>
        <v>33.599999999999994</v>
      </c>
      <c r="D10" s="10">
        <f>SUMIFS(Data!$K:$K,Data!$A:$A,2027,Data!$B:$B,6,Data!$G:$G,"Reformer")</f>
        <v>0.3</v>
      </c>
      <c r="E10" s="10">
        <f>D10*ref_intake</f>
        <v>0.3</v>
      </c>
      <c r="F10" s="10">
        <f>E10-C10</f>
        <v>-33.3</v>
      </c>
      <c r="G10" s="10">
        <f>-C10</f>
        <v>-33.599999999999994</v>
      </c>
    </row>
    <row r="11" spans="1:7">
      <c r="A11" s="9" t="s">
        <v>65</v>
      </c>
      <c r="B11" s="10">
        <f>SUMIFS(Data!$K:$K,Data!$A:$A,2027,Data!$B:$B,7,Data!$G:$G,"CDU")</f>
        <v>96.0</v>
      </c>
      <c r="C11" s="10">
        <f>B11*naph_yield</f>
        <v>33.599999999999994</v>
      </c>
      <c r="D11" s="10">
        <f>SUMIFS(Data!$K:$K,Data!$A:$A,2027,Data!$B:$B,7,Data!$G:$G,"Reformer")</f>
        <v>0.0</v>
      </c>
      <c r="E11" s="10">
        <f>D11*ref_intake</f>
        <v>0.0</v>
      </c>
      <c r="F11" s="10">
        <f>E11-C11</f>
        <v>-33.599999999999994</v>
      </c>
      <c r="G11" s="10">
        <f>-C11</f>
        <v>-33.599999999999994</v>
      </c>
    </row>
    <row r="12" spans="1:7">
      <c r="A12" s="9" t="s">
        <v>66</v>
      </c>
      <c r="B12" s="10">
        <f>SUMIFS(Data!$K:$K,Data!$A:$A,2027,Data!$B:$B,8,Data!$G:$G,"CDU")</f>
        <v>27.84</v>
      </c>
      <c r="C12" s="10">
        <f>B12*naph_yield</f>
        <v>9.744</v>
      </c>
      <c r="D12" s="10">
        <f>SUMIFS(Data!$K:$K,Data!$A:$A,2027,Data!$B:$B,8,Data!$G:$G,"Reformer")</f>
        <v>0.0</v>
      </c>
      <c r="E12" s="10">
        <f>D12*ref_intake</f>
        <v>0.0</v>
      </c>
      <c r="F12" s="10">
        <f>E12-C12</f>
        <v>-9.744</v>
      </c>
      <c r="G12" s="10">
        <f>-C12</f>
        <v>-9.744</v>
      </c>
    </row>
    <row r="13" spans="1:7">
      <c r="A13" s="9" t="s">
        <v>67</v>
      </c>
      <c r="B13" s="10">
        <f>SUMIFS(Data!$K:$K,Data!$A:$A,2027,Data!$B:$B,9,Data!$G:$G,"CDU")</f>
        <v>976.735</v>
      </c>
      <c r="C13" s="10">
        <f>B13*naph_yield</f>
        <v>341.85724999999996</v>
      </c>
      <c r="D13" s="10">
        <f>SUMIFS(Data!$K:$K,Data!$A:$A,2027,Data!$B:$B,9,Data!$G:$G,"Reformer")</f>
        <v>112.05</v>
      </c>
      <c r="E13" s="10">
        <f>D13*ref_intake</f>
        <v>112.05</v>
      </c>
      <c r="F13" s="10">
        <f>E13-C13</f>
        <v>-229.80724999999995</v>
      </c>
      <c r="G13" s="10">
        <f>-C13</f>
        <v>-341.85724999999996</v>
      </c>
    </row>
    <row r="14" spans="1:7">
      <c r="A14" s="9" t="s">
        <v>68</v>
      </c>
      <c r="B14" s="10">
        <f>SUMIFS(Data!$K:$K,Data!$A:$A,2027,Data!$B:$B,10,Data!$G:$G,"CDU")</f>
        <v>1307.315</v>
      </c>
      <c r="C14" s="10">
        <f>B14*naph_yield</f>
        <v>457.56025</v>
      </c>
      <c r="D14" s="10">
        <f>SUMIFS(Data!$K:$K,Data!$A:$A,2027,Data!$B:$B,10,Data!$G:$G,"Reformer")</f>
        <v>109.94500000000001</v>
      </c>
      <c r="E14" s="10">
        <f>D14*ref_intake</f>
        <v>109.94500000000001</v>
      </c>
      <c r="F14" s="10">
        <f>E14-C14</f>
        <v>-347.61525</v>
      </c>
      <c r="G14" s="10">
        <f>-C14</f>
        <v>-457.56025</v>
      </c>
    </row>
    <row r="15" spans="1:7">
      <c r="A15" s="9" t="s">
        <v>69</v>
      </c>
      <c r="B15" s="10">
        <f>SUMIFS(Data!$K:$K,Data!$A:$A,2027,Data!$B:$B,11,Data!$G:$G,"CDU")</f>
        <v>283.90000000000003</v>
      </c>
      <c r="C15" s="10">
        <f>B15*naph_yield</f>
        <v>99.36500000000001</v>
      </c>
      <c r="D15" s="10">
        <f>SUMIFS(Data!$K:$K,Data!$A:$A,2027,Data!$B:$B,11,Data!$G:$G,"Reformer")</f>
        <v>20.105</v>
      </c>
      <c r="E15" s="10">
        <f>D15*ref_intake</f>
        <v>20.105</v>
      </c>
      <c r="F15" s="10">
        <f>E15-C15</f>
        <v>-79.26</v>
      </c>
      <c r="G15" s="10">
        <f>-C15</f>
        <v>-99.36500000000001</v>
      </c>
    </row>
    <row r="16" spans="1:7">
      <c r="A16" s="9" t="s">
        <v>70</v>
      </c>
      <c r="B16" s="10">
        <f>SUMIFS(Data!$K:$K,Data!$A:$A,2027,Data!$B:$B,12,Data!$G:$G,"CDU")</f>
        <v>0.0</v>
      </c>
      <c r="C16" s="10">
        <f>B16*naph_yield</f>
        <v>0.0</v>
      </c>
      <c r="D16" s="10">
        <f>SUMIFS(Data!$K:$K,Data!$A:$A,2027,Data!$B:$B,12,Data!$G:$G,"Reformer")</f>
        <v>0.0</v>
      </c>
      <c r="E16" s="10">
        <f>D16*ref_intake</f>
        <v>0.0</v>
      </c>
      <c r="F16" s="10">
        <f>E16-C16</f>
        <v>0.0</v>
      </c>
      <c r="G16" s="10">
        <f>-C16</f>
        <v>-0.0</v>
      </c>
    </row>
    <row r="17" spans="1:7">
      <c r="A17" s="9" t="s">
        <v>58</v>
      </c>
      <c r="B17" s="10">
        <f>SUM(B5:B16)</f>
        <v>5881.76</v>
      </c>
      <c r="C17" s="10">
        <f>SUM(C5:C16)</f>
        <v>2058.616</v>
      </c>
      <c r="D17" s="10">
        <f>SUM(D5:D16)</f>
        <v>712.0970000000001</v>
      </c>
      <c r="E17" s="10">
        <f>SUM(E5:E16)</f>
        <v>712.0970000000001</v>
      </c>
      <c r="F17" s="10">
        <f>SUM(F5:F16)</f>
        <v>-1346.519</v>
      </c>
    </row>
    <row r="19" spans="1:7">
      <c r="A19" s="13" t="s">
        <v>236</v>
      </c>
    </row>
    <row r="20" spans="1:7">
      <c r="A20" s="2" t="s">
        <v>237</v>
      </c>
    </row>
    <row r="22" spans="1:7">
      <c r="A22" s="3" t="s">
        <v>238</v>
      </c>
    </row>
    <row r="23" spans="1:7">
      <c r="A23" s="4" t="s">
        <v>239</v>
      </c>
      <c r="B23" s="4"/>
      <c r="C23" s="4"/>
      <c r="D23" s="5">
        <v>0.35</v>
      </c>
    </row>
    <row r="24" spans="1:7">
      <c r="A24" s="4" t="s">
        <v>240</v>
      </c>
      <c r="B24" s="4"/>
      <c r="C24" s="4"/>
      <c r="D24" s="5">
        <v>1</v>
      </c>
    </row>
    <row r="26" spans="1:7">
      <c r="A26" s="3" t="s">
        <v>241</v>
      </c>
    </row>
    <row r="27" spans="1:7">
      <c r="A27" s="7" t="s">
        <v>17</v>
      </c>
      <c r="B27" s="8" t="s">
        <v>231</v>
      </c>
      <c r="C27" s="8" t="s">
        <v>232</v>
      </c>
      <c r="D27" s="8" t="s">
        <v>233</v>
      </c>
      <c r="E27" s="8" t="s">
        <v>234</v>
      </c>
      <c r="F27" s="8" t="s">
        <v>235</v>
      </c>
    </row>
    <row r="28" spans="1:7">
      <c r="A28" s="9" t="s">
        <v>59</v>
      </c>
      <c r="B28" s="10">
        <f>SUMIFS(Data!$K:$K,Data!$A:$A,2027,Data!$B:$B,1,Data!$G:$G,"CDU",Data!$F:$F,"PADD 3")</f>
        <v>210.575</v>
      </c>
      <c r="C28" s="10">
        <f>B28*naph_yield</f>
        <v>73.70124999999999</v>
      </c>
      <c r="D28" s="10">
        <f>SUMIFS(Data!$K:$K,Data!$A:$A,2027,Data!$B:$B,1,Data!$G:$G,"Reformer",Data!$F:$F,"PADD 3")</f>
        <v>5.8</v>
      </c>
      <c r="E28" s="10">
        <f>D28*ref_intake</f>
        <v>5.8</v>
      </c>
      <c r="F28" s="10">
        <f>E28-C28</f>
        <v>-67.90124999999999</v>
      </c>
      <c r="G28" s="10">
        <f>-C28</f>
        <v>-73.70124999999999</v>
      </c>
    </row>
    <row r="29" spans="1:7">
      <c r="A29" s="9" t="s">
        <v>60</v>
      </c>
      <c r="B29" s="10">
        <f>SUMIFS(Data!$K:$K,Data!$A:$A,2027,Data!$B:$B,2,Data!$G:$G,"CDU",Data!$F:$F,"PADD 3")</f>
        <v>355.17</v>
      </c>
      <c r="C29" s="10">
        <f>B29*naph_yield</f>
        <v>124.3095</v>
      </c>
      <c r="D29" s="10">
        <f>SUMIFS(Data!$K:$K,Data!$A:$A,2027,Data!$B:$B,2,Data!$G:$G,"Reformer",Data!$F:$F,"PADD 3")</f>
        <v>17.36</v>
      </c>
      <c r="E29" s="10">
        <f>D29*ref_intake</f>
        <v>17.36</v>
      </c>
      <c r="F29" s="10">
        <f>E29-C29</f>
        <v>-106.9495</v>
      </c>
      <c r="G29" s="10">
        <f>-C29</f>
        <v>-124.3095</v>
      </c>
    </row>
    <row r="30" spans="1:7">
      <c r="A30" s="9" t="s">
        <v>61</v>
      </c>
      <c r="B30" s="10">
        <f>SUMIFS(Data!$K:$K,Data!$A:$A,2027,Data!$B:$B,3,Data!$G:$G,"CDU",Data!$F:$F,"PADD 3")</f>
        <v>468.97</v>
      </c>
      <c r="C30" s="10">
        <f>B30*naph_yield</f>
        <v>164.1395</v>
      </c>
      <c r="D30" s="10">
        <f>SUMIFS(Data!$K:$K,Data!$A:$A,2027,Data!$B:$B,3,Data!$G:$G,"Reformer",Data!$F:$F,"PADD 3")</f>
        <v>100.37</v>
      </c>
      <c r="E30" s="10">
        <f>D30*ref_intake</f>
        <v>100.37</v>
      </c>
      <c r="F30" s="10">
        <f>E30-C30</f>
        <v>-63.769499999999994</v>
      </c>
      <c r="G30" s="10">
        <f>-C30</f>
        <v>-164.1395</v>
      </c>
    </row>
    <row r="31" spans="1:7">
      <c r="A31" s="9" t="s">
        <v>62</v>
      </c>
      <c r="B31" s="10">
        <f>SUMIFS(Data!$K:$K,Data!$A:$A,2027,Data!$B:$B,4,Data!$G:$G,"CDU",Data!$F:$F,"PADD 3")</f>
        <v>178.92999999999998</v>
      </c>
      <c r="C31" s="10">
        <f>B31*naph_yield</f>
        <v>62.62549999999999</v>
      </c>
      <c r="D31" s="10">
        <f>SUMIFS(Data!$K:$K,Data!$A:$A,2027,Data!$B:$B,4,Data!$G:$G,"Reformer",Data!$F:$F,"PADD 3")</f>
        <v>52.91</v>
      </c>
      <c r="E31" s="10">
        <f>D31*ref_intake</f>
        <v>52.91</v>
      </c>
      <c r="F31" s="10">
        <f>E31-C31</f>
        <v>-9.715499999999992</v>
      </c>
      <c r="G31" s="10">
        <f>-C31</f>
        <v>-62.62549999999999</v>
      </c>
    </row>
    <row r="32" spans="1:7">
      <c r="A32" s="9" t="s">
        <v>63</v>
      </c>
      <c r="B32" s="10">
        <f>SUMIFS(Data!$K:$K,Data!$A:$A,2027,Data!$B:$B,5,Data!$G:$G,"CDU",Data!$F:$F,"PADD 3")</f>
        <v>0.0</v>
      </c>
      <c r="C32" s="10">
        <f>B32*naph_yield</f>
        <v>0.0</v>
      </c>
      <c r="D32" s="10">
        <f>SUMIFS(Data!$K:$K,Data!$A:$A,2027,Data!$B:$B,5,Data!$G:$G,"Reformer",Data!$F:$F,"PADD 3")</f>
        <v>0.0</v>
      </c>
      <c r="E32" s="10">
        <f>D32*ref_intake</f>
        <v>0.0</v>
      </c>
      <c r="F32" s="10">
        <f>E32-C32</f>
        <v>0.0</v>
      </c>
      <c r="G32" s="10">
        <f>-C32</f>
        <v>-0.0</v>
      </c>
    </row>
    <row r="33" spans="1:7">
      <c r="A33" s="9" t="s">
        <v>64</v>
      </c>
      <c r="B33" s="10">
        <f>SUMIFS(Data!$K:$K,Data!$A:$A,2027,Data!$B:$B,6,Data!$G:$G,"CDU",Data!$F:$F,"PADD 3")</f>
        <v>96.0</v>
      </c>
      <c r="C33" s="10">
        <f>B33*naph_yield</f>
        <v>33.599999999999994</v>
      </c>
      <c r="D33" s="10">
        <f>SUMIFS(Data!$K:$K,Data!$A:$A,2027,Data!$B:$B,6,Data!$G:$G,"Reformer",Data!$F:$F,"PADD 3")</f>
        <v>0.0</v>
      </c>
      <c r="E33" s="10">
        <f>D33*ref_intake</f>
        <v>0.0</v>
      </c>
      <c r="F33" s="10">
        <f>E33-C33</f>
        <v>-33.599999999999994</v>
      </c>
      <c r="G33" s="10">
        <f>-C33</f>
        <v>-33.599999999999994</v>
      </c>
    </row>
    <row r="34" spans="1:7">
      <c r="A34" s="9" t="s">
        <v>65</v>
      </c>
      <c r="B34" s="10">
        <f>SUMIFS(Data!$K:$K,Data!$A:$A,2027,Data!$B:$B,7,Data!$G:$G,"CDU",Data!$F:$F,"PADD 3")</f>
        <v>96.0</v>
      </c>
      <c r="C34" s="10">
        <f>B34*naph_yield</f>
        <v>33.599999999999994</v>
      </c>
      <c r="D34" s="10">
        <f>SUMIFS(Data!$K:$K,Data!$A:$A,2027,Data!$B:$B,7,Data!$G:$G,"Reformer",Data!$F:$F,"PADD 3")</f>
        <v>0.0</v>
      </c>
      <c r="E34" s="10">
        <f>D34*ref_intake</f>
        <v>0.0</v>
      </c>
      <c r="F34" s="10">
        <f>E34-C34</f>
        <v>-33.599999999999994</v>
      </c>
      <c r="G34" s="10">
        <f>-C34</f>
        <v>-33.599999999999994</v>
      </c>
    </row>
    <row r="35" spans="1:7">
      <c r="A35" s="9" t="s">
        <v>66</v>
      </c>
      <c r="B35" s="10">
        <f>SUMIFS(Data!$K:$K,Data!$A:$A,2027,Data!$B:$B,8,Data!$G:$G,"CDU",Data!$F:$F,"PADD 3")</f>
        <v>27.84</v>
      </c>
      <c r="C35" s="10">
        <f>B35*naph_yield</f>
        <v>9.744</v>
      </c>
      <c r="D35" s="10">
        <f>SUMIFS(Data!$K:$K,Data!$A:$A,2027,Data!$B:$B,8,Data!$G:$G,"Reformer",Data!$F:$F,"PADD 3")</f>
        <v>0.0</v>
      </c>
      <c r="E35" s="10">
        <f>D35*ref_intake</f>
        <v>0.0</v>
      </c>
      <c r="F35" s="10">
        <f>E35-C35</f>
        <v>-9.744</v>
      </c>
      <c r="G35" s="10">
        <f>-C35</f>
        <v>-9.744</v>
      </c>
    </row>
    <row r="36" spans="1:7">
      <c r="A36" s="9" t="s">
        <v>67</v>
      </c>
      <c r="B36" s="10">
        <f>SUMIFS(Data!$K:$K,Data!$A:$A,2027,Data!$B:$B,9,Data!$G:$G,"CDU",Data!$F:$F,"PADD 3")</f>
        <v>583.89</v>
      </c>
      <c r="C36" s="10">
        <f>B36*naph_yield</f>
        <v>204.36149999999998</v>
      </c>
      <c r="D36" s="10">
        <f>SUMIFS(Data!$K:$K,Data!$A:$A,2027,Data!$B:$B,9,Data!$G:$G,"Reformer",Data!$F:$F,"PADD 3")</f>
        <v>0.0</v>
      </c>
      <c r="E36" s="10">
        <f>D36*ref_intake</f>
        <v>0.0</v>
      </c>
      <c r="F36" s="10">
        <f>E36-C36</f>
        <v>-204.36149999999998</v>
      </c>
      <c r="G36" s="10">
        <f>-C36</f>
        <v>-204.36149999999998</v>
      </c>
    </row>
    <row r="37" spans="1:7">
      <c r="A37" s="9" t="s">
        <v>68</v>
      </c>
      <c r="B37" s="10">
        <f>SUMIFS(Data!$K:$K,Data!$A:$A,2027,Data!$B:$B,10,Data!$G:$G,"CDU",Data!$F:$F,"PADD 3")</f>
        <v>865.76</v>
      </c>
      <c r="C37" s="10">
        <f>B37*naph_yield</f>
        <v>303.01599999999996</v>
      </c>
      <c r="D37" s="10">
        <f>SUMIFS(Data!$K:$K,Data!$A:$A,2027,Data!$B:$B,10,Data!$G:$G,"Reformer",Data!$F:$F,"PADD 3")</f>
        <v>15.015</v>
      </c>
      <c r="E37" s="10">
        <f>D37*ref_intake</f>
        <v>15.015</v>
      </c>
      <c r="F37" s="10">
        <f>E37-C37</f>
        <v>-288.001</v>
      </c>
      <c r="G37" s="10">
        <f>-C37</f>
        <v>-303.01599999999996</v>
      </c>
    </row>
    <row r="38" spans="1:7">
      <c r="A38" s="9" t="s">
        <v>69</v>
      </c>
      <c r="B38" s="10">
        <f>SUMIFS(Data!$K:$K,Data!$A:$A,2027,Data!$B:$B,11,Data!$G:$G,"CDU",Data!$F:$F,"PADD 3")</f>
        <v>250.90000000000003</v>
      </c>
      <c r="C38" s="10">
        <f>B38*naph_yield</f>
        <v>87.81500000000001</v>
      </c>
      <c r="D38" s="10">
        <f>SUMIFS(Data!$K:$K,Data!$A:$A,2027,Data!$B:$B,11,Data!$G:$G,"Reformer",Data!$F:$F,"PADD 3")</f>
        <v>13.024999999999999</v>
      </c>
      <c r="E38" s="10">
        <f>D38*ref_intake</f>
        <v>13.024999999999999</v>
      </c>
      <c r="F38" s="10">
        <f>E38-C38</f>
        <v>-74.79000000000002</v>
      </c>
      <c r="G38" s="10">
        <f>-C38</f>
        <v>-87.81500000000001</v>
      </c>
    </row>
    <row r="39" spans="1:7">
      <c r="A39" s="9" t="s">
        <v>70</v>
      </c>
      <c r="B39" s="10">
        <f>SUMIFS(Data!$K:$K,Data!$A:$A,2027,Data!$B:$B,12,Data!$G:$G,"CDU",Data!$F:$F,"PADD 3")</f>
        <v>0.0</v>
      </c>
      <c r="C39" s="10">
        <f>B39*naph_yield</f>
        <v>0.0</v>
      </c>
      <c r="D39" s="10">
        <f>SUMIFS(Data!$K:$K,Data!$A:$A,2027,Data!$B:$B,12,Data!$G:$G,"Reformer",Data!$F:$F,"PADD 3")</f>
        <v>0.0</v>
      </c>
      <c r="E39" s="10">
        <f>D39*ref_intake</f>
        <v>0.0</v>
      </c>
      <c r="F39" s="10">
        <f>E39-C39</f>
        <v>0.0</v>
      </c>
      <c r="G39" s="10">
        <f>-C39</f>
        <v>-0.0</v>
      </c>
    </row>
    <row r="40" spans="1:7">
      <c r="A40" s="9" t="s">
        <v>58</v>
      </c>
      <c r="B40" s="10">
        <f>SUM(B28:B39)</f>
        <v>3134.0350000000003</v>
      </c>
      <c r="C40" s="10">
        <f>SUM(C28:C39)</f>
        <v>1096.9122499999999</v>
      </c>
      <c r="D40" s="10">
        <f>SUM(D28:D39)</f>
        <v>204.48</v>
      </c>
      <c r="E40" s="10">
        <f>SUM(E28:E39)</f>
        <v>204.48</v>
      </c>
      <c r="F40" s="10">
        <f>SUM(F28:F39)</f>
        <v>-892.4322500000001</v>
      </c>
    </row>
    <row r="42" spans="1:7">
      <c r="A42" s="2" t="s">
        <v>242</v>
      </c>
    </row>
  </sheetData>
  <mergeCells count="2">
    <mergeCell ref="A23:C23"/>
    <mergeCell ref="A24:C2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C00000"/>
  </sheetPr>
  <dimension ref="A1:P29"/>
  <sheetViews>
    <sheetView showGridLines="0" zoomScale="110" zoomScaleNormal="110" workbookViewId="0"/>
  </sheetViews>
  <sheetFormatPr defaultRowHeight="15"/>
  <cols>
    <col min="1" max="1" width="26.7109375" customWidth="1"/>
    <col min="2" max="13" width="8.7109375" customWidth="1"/>
    <col min="14" max="16" width="11.7109375" customWidth="1"/>
  </cols>
  <sheetData>
    <row r="1" spans="1:16" ht="22" customHeight="1">
      <c r="A1" s="1" t="s">
        <v>243</v>
      </c>
    </row>
    <row r="2" spans="1:16">
      <c r="A2" s="2" t="s">
        <v>244</v>
      </c>
    </row>
    <row r="4" spans="1:16">
      <c r="A4" s="7" t="s">
        <v>245</v>
      </c>
      <c r="B4" s="8" t="s">
        <v>59</v>
      </c>
      <c r="C4" s="8" t="s">
        <v>60</v>
      </c>
      <c r="D4" s="8" t="s">
        <v>61</v>
      </c>
      <c r="E4" s="8" t="s">
        <v>62</v>
      </c>
      <c r="F4" s="8" t="s">
        <v>63</v>
      </c>
      <c r="G4" s="8" t="s">
        <v>64</v>
      </c>
      <c r="H4" s="8" t="s">
        <v>65</v>
      </c>
      <c r="I4" s="8" t="s">
        <v>66</v>
      </c>
      <c r="J4" s="8" t="s">
        <v>67</v>
      </c>
      <c r="K4" s="8" t="s">
        <v>68</v>
      </c>
      <c r="L4" s="8" t="s">
        <v>69</v>
      </c>
      <c r="M4" s="8" t="s">
        <v>70</v>
      </c>
      <c r="N4" s="8" t="s">
        <v>246</v>
      </c>
      <c r="O4" s="8" t="s">
        <v>247</v>
      </c>
      <c r="P4" s="8" t="s">
        <v>248</v>
      </c>
    </row>
    <row r="5" spans="1:16">
      <c r="A5" s="9" t="s">
        <v>249</v>
      </c>
      <c r="B5" s="10">
        <v>1946.227825</v>
      </c>
      <c r="C5" s="10">
        <v>2880.22435</v>
      </c>
      <c r="D5" s="10">
        <v>2118.63895</v>
      </c>
      <c r="E5" s="10">
        <v>2253.8666</v>
      </c>
      <c r="F5" s="10">
        <v>1411.2534</v>
      </c>
      <c r="G5" s="10">
        <v>1333.755225</v>
      </c>
      <c r="H5" s="10">
        <v>1173.224525</v>
      </c>
      <c r="I5" s="10">
        <v>1212.6027</v>
      </c>
      <c r="J5" s="10">
        <v>1621.180633333333</v>
      </c>
      <c r="K5" s="10">
        <v>2132.550833333333</v>
      </c>
      <c r="L5" s="10">
        <v>1240.659633333333</v>
      </c>
      <c r="M5" s="10">
        <v>806.3173666666667</v>
      </c>
      <c r="N5" s="10">
        <f>MAX(B5:M5)</f>
        <v>2880.22435</v>
      </c>
      <c r="O5" s="10">
        <f>AVERAGE(B5:M5)</f>
        <v>1677.5418368055555</v>
      </c>
      <c r="P5" s="10">
        <f>SUM(B5:M5)</f>
        <v>20130.502041666667</v>
      </c>
    </row>
    <row r="6" spans="1:16">
      <c r="A6" s="9" t="s">
        <v>250</v>
      </c>
      <c r="B6" s="10">
        <f>B5*mult_cons</f>
        <v>1556.9822599999998</v>
      </c>
      <c r="C6" s="10">
        <f>C5*mult_cons</f>
        <v>2304.1794800000002</v>
      </c>
      <c r="D6" s="10">
        <f>D5*mult_cons</f>
        <v>1694.91116</v>
      </c>
      <c r="E6" s="10">
        <f>E5*mult_cons</f>
        <v>1803.09328</v>
      </c>
      <c r="F6" s="10">
        <f>F5*mult_cons</f>
        <v>1129.0027200000002</v>
      </c>
      <c r="G6" s="10">
        <f>G5*mult_cons</f>
        <v>1067.0041800000001</v>
      </c>
      <c r="H6" s="10">
        <f>H5*mult_cons</f>
        <v>938.57962</v>
      </c>
      <c r="I6" s="10">
        <f>I5*mult_cons</f>
        <v>970.0821600000002</v>
      </c>
      <c r="J6" s="10">
        <f>J5*mult_cons</f>
        <v>1296.9445066666667</v>
      </c>
      <c r="K6" s="10">
        <f>K5*mult_cons</f>
        <v>1706.0406666666668</v>
      </c>
      <c r="L6" s="10">
        <f>L5*mult_cons</f>
        <v>992.5277066666667</v>
      </c>
      <c r="M6" s="10">
        <f>M5*mult_cons</f>
        <v>645.0538933333333</v>
      </c>
      <c r="N6" s="10">
        <f>MAX(B6:M6)</f>
        <v>2304.1794800000002</v>
      </c>
      <c r="O6" s="10">
        <f>AVERAGE(B6:M6)</f>
        <v>1342.0334694444446</v>
      </c>
      <c r="P6" s="10">
        <f>SUM(B6:M6)</f>
        <v>16104.401633333335</v>
      </c>
    </row>
    <row r="7" spans="1:16">
      <c r="A7" s="9" t="s">
        <v>251</v>
      </c>
      <c r="B7" s="10">
        <f>B5*mult_avg</f>
        <v>1946.2278249999997</v>
      </c>
      <c r="C7" s="10">
        <f>C5*mult_avg</f>
        <v>2880.22435</v>
      </c>
      <c r="D7" s="10">
        <f>D5*mult_avg</f>
        <v>2118.63895</v>
      </c>
      <c r="E7" s="10">
        <f>E5*mult_avg</f>
        <v>2253.8666</v>
      </c>
      <c r="F7" s="10">
        <f>F5*mult_avg</f>
        <v>1411.2534</v>
      </c>
      <c r="G7" s="10">
        <f>G5*mult_avg</f>
        <v>1333.755225</v>
      </c>
      <c r="H7" s="10">
        <f>H5*mult_avg</f>
        <v>1173.2245249999999</v>
      </c>
      <c r="I7" s="10">
        <f>I5*mult_avg</f>
        <v>1212.6027000000001</v>
      </c>
      <c r="J7" s="10">
        <f>J5*mult_avg</f>
        <v>1621.1806333333334</v>
      </c>
      <c r="K7" s="10">
        <f>K5*mult_avg</f>
        <v>2132.5508333333332</v>
      </c>
      <c r="L7" s="10">
        <f>L5*mult_avg</f>
        <v>1240.6596333333334</v>
      </c>
      <c r="M7" s="10">
        <f>M5*mult_avg</f>
        <v>806.3173666666667</v>
      </c>
      <c r="N7" s="10">
        <f>MAX(B7:M7)</f>
        <v>2880.22435</v>
      </c>
      <c r="O7" s="10">
        <f>AVERAGE(B7:M7)</f>
        <v>1677.5418368055555</v>
      </c>
      <c r="P7" s="10">
        <f>SUM(B7:M7)</f>
        <v>20130.502041666667</v>
      </c>
    </row>
    <row r="8" spans="1:16">
      <c r="A8" s="9" t="s">
        <v>252</v>
      </c>
      <c r="B8" s="10">
        <f>B5*mult_act</f>
        <v>2530.0961724999997</v>
      </c>
      <c r="C8" s="10">
        <f>C5*mult_act</f>
        <v>3744.291655</v>
      </c>
      <c r="D8" s="10">
        <f>D5*mult_act</f>
        <v>2754.2306350000003</v>
      </c>
      <c r="E8" s="10">
        <f>E5*mult_act</f>
        <v>2930.0265799999997</v>
      </c>
      <c r="F8" s="10">
        <f>F5*mult_act</f>
        <v>1834.6294200000002</v>
      </c>
      <c r="G8" s="10">
        <f>G5*mult_act</f>
        <v>1733.8817925000003</v>
      </c>
      <c r="H8" s="10">
        <f>H5*mult_act</f>
        <v>1525.1918824999998</v>
      </c>
      <c r="I8" s="10">
        <f>I5*mult_act</f>
        <v>1576.3835100000003</v>
      </c>
      <c r="J8" s="10">
        <f>J5*mult_act</f>
        <v>2107.5348233333334</v>
      </c>
      <c r="K8" s="10">
        <f>K5*mult_act</f>
        <v>2772.316083333333</v>
      </c>
      <c r="L8" s="10">
        <f>L5*mult_act</f>
        <v>1612.8575233333336</v>
      </c>
      <c r="M8" s="10">
        <f>M5*mult_act</f>
        <v>1048.2125766666668</v>
      </c>
      <c r="N8" s="10">
        <f>MAX(B8:M8)</f>
        <v>3744.291655</v>
      </c>
      <c r="O8" s="10">
        <f>AVERAGE(B8:M8)</f>
        <v>2180.8043878472217</v>
      </c>
      <c r="P8" s="10">
        <f>SUM(B8:M8)</f>
        <v>26169.65265416666</v>
      </c>
    </row>
    <row r="9" spans="1:16">
      <c r="A9" s="9" t="s">
        <v>253</v>
      </c>
      <c r="B9" s="10">
        <f>SUMIFS(Data!$K:$K,Data!$A:$A,2027,Data!$B:$B,1,Data!$J:$J,"PLANNED")</f>
        <v>1103.8829999999998</v>
      </c>
      <c r="C9" s="10">
        <f>SUMIFS(Data!$K:$K,Data!$A:$A,2027,Data!$B:$B,2,Data!$J:$J,"PLANNED")</f>
        <v>2114.6201000000005</v>
      </c>
      <c r="D9" s="10">
        <f>SUMIFS(Data!$K:$K,Data!$A:$A,2027,Data!$B:$B,3,Data!$J:$J,"PLANNED")</f>
        <v>2889.3523</v>
      </c>
      <c r="E9" s="10">
        <f>SUMIFS(Data!$K:$K,Data!$A:$A,2027,Data!$B:$B,4,Data!$J:$J,"PLANNED")</f>
        <v>1954.1924000000004</v>
      </c>
      <c r="F9" s="10">
        <f>SUMIFS(Data!$K:$K,Data!$A:$A,2027,Data!$B:$B,5,Data!$J:$J,"PLANNED")</f>
        <v>856.5319999999999</v>
      </c>
      <c r="G9" s="10">
        <f>SUMIFS(Data!$K:$K,Data!$A:$A,2027,Data!$B:$B,6,Data!$J:$J,"PLANNED")</f>
        <v>215.30499999999998</v>
      </c>
      <c r="H9" s="10">
        <f>SUMIFS(Data!$K:$K,Data!$A:$A,2027,Data!$B:$B,7,Data!$J:$J,"PLANNED")</f>
        <v>167.5</v>
      </c>
      <c r="I9" s="10">
        <f>SUMIFS(Data!$K:$K,Data!$A:$A,2027,Data!$B:$B,8,Data!$J:$J,"PLANNED")</f>
        <v>51.06</v>
      </c>
      <c r="J9" s="10">
        <f>SUMIFS(Data!$K:$K,Data!$A:$A,2027,Data!$B:$B,9,Data!$J:$J,"PLANNED")</f>
        <v>2763.7719</v>
      </c>
      <c r="K9" s="10">
        <f>SUMIFS(Data!$K:$K,Data!$A:$A,2027,Data!$B:$B,10,Data!$J:$J,"PLANNED")</f>
        <v>2799.5469000000003</v>
      </c>
      <c r="L9" s="10">
        <f>SUMIFS(Data!$K:$K,Data!$A:$A,2027,Data!$B:$B,11,Data!$J:$J,"PLANNED")</f>
        <v>546.9360000000001</v>
      </c>
      <c r="M9" s="10">
        <f>SUMIFS(Data!$K:$K,Data!$A:$A,2027,Data!$B:$B,12,Data!$J:$J,"PLANNED")</f>
        <v>3.5</v>
      </c>
      <c r="N9" s="10">
        <f>MAX(B9:M9)</f>
        <v>2889.3523</v>
      </c>
      <c r="O9" s="10">
        <f>AVERAGE(B9:M9)</f>
        <v>1288.8499666666664</v>
      </c>
      <c r="P9" s="10">
        <f>SUM(B9:M9)</f>
        <v>15466.199599999998</v>
      </c>
    </row>
    <row r="11" spans="1:16">
      <c r="A11" s="3" t="s">
        <v>254</v>
      </c>
    </row>
    <row r="12" spans="1:16">
      <c r="A12" s="7" t="s">
        <v>255</v>
      </c>
      <c r="B12" s="8" t="s">
        <v>59</v>
      </c>
      <c r="C12" s="8" t="s">
        <v>60</v>
      </c>
      <c r="D12" s="8" t="s">
        <v>61</v>
      </c>
      <c r="E12" s="8" t="s">
        <v>62</v>
      </c>
      <c r="F12" s="8" t="s">
        <v>63</v>
      </c>
      <c r="G12" s="8" t="s">
        <v>64</v>
      </c>
      <c r="H12" s="8" t="s">
        <v>65</v>
      </c>
      <c r="I12" s="8" t="s">
        <v>66</v>
      </c>
      <c r="J12" s="8" t="s">
        <v>67</v>
      </c>
      <c r="K12" s="8" t="s">
        <v>68</v>
      </c>
      <c r="L12" s="8" t="s">
        <v>69</v>
      </c>
      <c r="M12" s="8" t="s">
        <v>70</v>
      </c>
      <c r="N12" s="8" t="s">
        <v>256</v>
      </c>
      <c r="O12" s="8" t="s">
        <v>257</v>
      </c>
      <c r="P12" s="8" t="s">
        <v>248</v>
      </c>
    </row>
    <row r="13" spans="1:16">
      <c r="A13" s="9" t="s">
        <v>250</v>
      </c>
      <c r="B13" s="10">
        <f>B6+B9</f>
        <v>2660.8652599999996</v>
      </c>
      <c r="C13" s="10">
        <f>C6+C9</f>
        <v>4418.799580000001</v>
      </c>
      <c r="D13" s="10">
        <f>D6+D9</f>
        <v>4584.26346</v>
      </c>
      <c r="E13" s="10">
        <f>E6+E9</f>
        <v>3757.2856800000004</v>
      </c>
      <c r="F13" s="10">
        <f>F6+F9</f>
        <v>1985.53472</v>
      </c>
      <c r="G13" s="10">
        <f>G6+G9</f>
        <v>1282.3091800000002</v>
      </c>
      <c r="H13" s="10">
        <f>H6+H9</f>
        <v>1106.07962</v>
      </c>
      <c r="I13" s="10">
        <f>I6+I9</f>
        <v>1021.1421600000001</v>
      </c>
      <c r="J13" s="10">
        <f>J6+J9</f>
        <v>4060.716406666667</v>
      </c>
      <c r="K13" s="10">
        <f>K6+K9</f>
        <v>4505.587566666667</v>
      </c>
      <c r="L13" s="10">
        <f>L6+L9</f>
        <v>1539.463706666667</v>
      </c>
      <c r="M13" s="10">
        <f>M6+M9</f>
        <v>648.5538933333333</v>
      </c>
      <c r="N13" s="10">
        <f>MAX(B13:M13)</f>
        <v>4584.26346</v>
      </c>
      <c r="O13" s="10">
        <f>AVERAGE(B13:M13)</f>
        <v>2630.883436111111</v>
      </c>
      <c r="P13" s="10">
        <f>SUM(B13:M13)</f>
        <v>31570.601233333335</v>
      </c>
    </row>
    <row r="14" spans="1:16">
      <c r="A14" s="9" t="s">
        <v>251</v>
      </c>
      <c r="B14" s="10">
        <f>B7+B9</f>
        <v>3050.1108249999997</v>
      </c>
      <c r="C14" s="10">
        <f>C7+C9</f>
        <v>4994.8444500000005</v>
      </c>
      <c r="D14" s="10">
        <f>D7+D9</f>
        <v>5007.99125</v>
      </c>
      <c r="E14" s="10">
        <f>E7+E9</f>
        <v>4208.059</v>
      </c>
      <c r="F14" s="10">
        <f>F7+F9</f>
        <v>2267.7853999999998</v>
      </c>
      <c r="G14" s="10">
        <f>G7+G9</f>
        <v>1549.0602250000002</v>
      </c>
      <c r="H14" s="10">
        <f>H7+H9</f>
        <v>1340.7245249999999</v>
      </c>
      <c r="I14" s="10">
        <f>I7+I9</f>
        <v>1263.6627</v>
      </c>
      <c r="J14" s="10">
        <f>J7+J9</f>
        <v>4384.952533333333</v>
      </c>
      <c r="K14" s="10">
        <f>K7+K9</f>
        <v>4932.097733333334</v>
      </c>
      <c r="L14" s="10">
        <f>L7+L9</f>
        <v>1787.5956333333336</v>
      </c>
      <c r="M14" s="10">
        <f>M7+M9</f>
        <v>809.8173666666667</v>
      </c>
      <c r="N14" s="10">
        <f>MAX(B14:M14)</f>
        <v>5007.99125</v>
      </c>
      <c r="O14" s="10">
        <f>AVERAGE(B14:M14)</f>
        <v>2966.391803472223</v>
      </c>
      <c r="P14" s="10">
        <f>SUM(B14:M14)</f>
        <v>35596.701641666674</v>
      </c>
    </row>
    <row r="15" spans="1:16">
      <c r="A15" s="9" t="s">
        <v>252</v>
      </c>
      <c r="B15" s="10">
        <f>B8+B9</f>
        <v>3633.9791724999995</v>
      </c>
      <c r="C15" s="10">
        <f>C8+C9</f>
        <v>5858.911755000001</v>
      </c>
      <c r="D15" s="10">
        <f>D8+D9</f>
        <v>5643.582935</v>
      </c>
      <c r="E15" s="10">
        <f>E8+E9</f>
        <v>4884.21898</v>
      </c>
      <c r="F15" s="10">
        <f>F8+F9</f>
        <v>2691.1614200000004</v>
      </c>
      <c r="G15" s="10">
        <f>G8+G9</f>
        <v>1949.1867925000004</v>
      </c>
      <c r="H15" s="10">
        <f>H8+H9</f>
        <v>1692.6918824999998</v>
      </c>
      <c r="I15" s="10">
        <f>I8+I9</f>
        <v>1627.4435100000003</v>
      </c>
      <c r="J15" s="10">
        <f>J8+J9</f>
        <v>4871.306723333333</v>
      </c>
      <c r="K15" s="10">
        <f>K8+K9</f>
        <v>5571.862983333333</v>
      </c>
      <c r="L15" s="10">
        <f>L8+L9</f>
        <v>2159.7935233333337</v>
      </c>
      <c r="M15" s="10">
        <f>M8+M9</f>
        <v>1051.7125766666668</v>
      </c>
      <c r="N15" s="10">
        <f>MAX(B15:M15)</f>
        <v>5858.911755000001</v>
      </c>
      <c r="O15" s="10">
        <f>AVERAGE(B15:M15)</f>
        <v>3469.654354513889</v>
      </c>
      <c r="P15" s="10">
        <f>SUM(B15:M15)</f>
        <v>41635.85225416667</v>
      </c>
    </row>
    <row r="16" spans="1:16">
      <c r="A16" s="2" t="s">
        <v>258</v>
      </c>
    </row>
    <row r="18" spans="1:2">
      <c r="A18" s="3" t="s">
        <v>259</v>
      </c>
    </row>
    <row r="19" spans="1:2">
      <c r="A19" s="4" t="s">
        <v>260</v>
      </c>
      <c r="B19" s="10">
        <v>20420.06015</v>
      </c>
    </row>
    <row r="20" spans="1:2">
      <c r="A20" s="4" t="s">
        <v>261</v>
      </c>
      <c r="B20" s="10">
        <v>21582.5668</v>
      </c>
    </row>
    <row r="21" spans="1:2">
      <c r="A21" s="4" t="s">
        <v>262</v>
      </c>
      <c r="B21" s="10">
        <v>23317.41488</v>
      </c>
    </row>
    <row r="22" spans="1:2">
      <c r="A22" s="4" t="s">
        <v>263</v>
      </c>
      <c r="B22" s="10">
        <v>21530.41573333333</v>
      </c>
    </row>
    <row r="24" spans="1:2">
      <c r="A24" s="3" t="s">
        <v>264</v>
      </c>
    </row>
    <row r="25" spans="1:2">
      <c r="A25" s="4" t="s">
        <v>250</v>
      </c>
      <c r="B25" s="5">
        <v>0.8</v>
      </c>
    </row>
    <row r="26" spans="1:2">
      <c r="A26" s="4" t="s">
        <v>251</v>
      </c>
      <c r="B26" s="5">
        <v>1</v>
      </c>
    </row>
    <row r="27" spans="1:2">
      <c r="A27" s="4" t="s">
        <v>252</v>
      </c>
      <c r="B27" s="5">
        <v>1.3</v>
      </c>
    </row>
    <row r="29" spans="1:2">
      <c r="A29" s="2" t="s">
        <v>265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C00000"/>
  </sheetPr>
  <dimension ref="A1:F39"/>
  <sheetViews>
    <sheetView showGridLines="0" zoomScale="110" zoomScaleNormal="110" workbookViewId="0"/>
  </sheetViews>
  <sheetFormatPr defaultRowHeight="15"/>
  <cols>
    <col min="1" max="1" width="27.7109375" customWidth="1"/>
    <col min="2" max="2" width="22.7109375" customWidth="1"/>
    <col min="3" max="7" width="15.7109375" customWidth="1"/>
  </cols>
  <sheetData>
    <row r="1" spans="1:6" ht="22" customHeight="1">
      <c r="A1" s="1" t="s">
        <v>266</v>
      </c>
    </row>
    <row r="2" spans="1:6">
      <c r="A2" s="2" t="s">
        <v>267</v>
      </c>
    </row>
    <row r="4" spans="1:6">
      <c r="A4" s="3" t="s">
        <v>268</v>
      </c>
    </row>
    <row r="5" spans="1:6">
      <c r="A5" s="7" t="s">
        <v>269</v>
      </c>
      <c r="B5" s="14">
        <v>0</v>
      </c>
      <c r="C5" s="14">
        <v>250</v>
      </c>
      <c r="D5" s="14">
        <v>500</v>
      </c>
      <c r="E5" s="14">
        <v>750</v>
      </c>
      <c r="F5" s="14">
        <v>1000</v>
      </c>
    </row>
    <row r="6" spans="1:6">
      <c r="A6" s="5">
        <v>0.7</v>
      </c>
      <c r="B6" s="10">
        <f t="array" ref="B6">MAX($A6*Forecast!$B$5:$M$5+Forecast!$B$9:$M$9)+B$5</f>
        <v>4372.399565</v>
      </c>
      <c r="C6" s="10">
        <f t="array" ref="C6">MAX($A6*Forecast!$B$5:$M$5+Forecast!$B$9:$M$9)+C$5</f>
        <v>4622.399565</v>
      </c>
      <c r="D6" s="10">
        <f t="array" ref="D6">MAX($A6*Forecast!$B$5:$M$5+Forecast!$B$9:$M$9)+D$5</f>
        <v>4872.399565</v>
      </c>
      <c r="E6" s="10">
        <f t="array" ref="E6">MAX($A6*Forecast!$B$5:$M$5+Forecast!$B$9:$M$9)+E$5</f>
        <v>5122.399565</v>
      </c>
      <c r="F6" s="10">
        <f t="array" ref="F6">MAX($A6*Forecast!$B$5:$M$5+Forecast!$B$9:$M$9)+F$5</f>
        <v>5372.399565</v>
      </c>
    </row>
    <row r="7" spans="1:6">
      <c r="A7" s="5">
        <v>0.85</v>
      </c>
      <c r="B7" s="10">
        <f t="array" ref="B7">MAX($A7*Forecast!$B$5:$M$5+Forecast!$B$9:$M$9)+B$5</f>
        <v>4690.195407499999</v>
      </c>
      <c r="C7" s="10">
        <f t="array" ref="C7">MAX($A7*Forecast!$B$5:$M$5+Forecast!$B$9:$M$9)+C$5</f>
        <v>4940.195407499999</v>
      </c>
      <c r="D7" s="10">
        <f t="array" ref="D7">MAX($A7*Forecast!$B$5:$M$5+Forecast!$B$9:$M$9)+D$5</f>
        <v>5190.195407499999</v>
      </c>
      <c r="E7" s="10">
        <f t="array" ref="E7">MAX($A7*Forecast!$B$5:$M$5+Forecast!$B$9:$M$9)+E$5</f>
        <v>5440.195407499999</v>
      </c>
      <c r="F7" s="10">
        <f t="array" ref="F7">MAX($A7*Forecast!$B$5:$M$5+Forecast!$B$9:$M$9)+F$5</f>
        <v>5690.195407499999</v>
      </c>
    </row>
    <row r="8" spans="1:6">
      <c r="A8" s="5">
        <v>1</v>
      </c>
      <c r="B8" s="10">
        <f t="array" ref="B8">MAX($A8*Forecast!$B$5:$M$5+Forecast!$B$9:$M$9)+B$5</f>
        <v>5007.99125</v>
      </c>
      <c r="C8" s="10">
        <f t="array" ref="C8">MAX($A8*Forecast!$B$5:$M$5+Forecast!$B$9:$M$9)+C$5</f>
        <v>5257.99125</v>
      </c>
      <c r="D8" s="10">
        <f t="array" ref="D8">MAX($A8*Forecast!$B$5:$M$5+Forecast!$B$9:$M$9)+D$5</f>
        <v>5507.99125</v>
      </c>
      <c r="E8" s="10">
        <f t="array" ref="E8">MAX($A8*Forecast!$B$5:$M$5+Forecast!$B$9:$M$9)+E$5</f>
        <v>5757.99125</v>
      </c>
      <c r="F8" s="10">
        <f t="array" ref="F8">MAX($A8*Forecast!$B$5:$M$5+Forecast!$B$9:$M$9)+F$5</f>
        <v>6007.99125</v>
      </c>
    </row>
    <row r="9" spans="1:6">
      <c r="A9" s="5">
        <v>1.15</v>
      </c>
      <c r="B9" s="10">
        <f t="array" ref="B9">MAX($A9*Forecast!$B$5:$M$5+Forecast!$B$9:$M$9)+B$5</f>
        <v>5426.878102500001</v>
      </c>
      <c r="C9" s="10">
        <f t="array" ref="C9">MAX($A9*Forecast!$B$5:$M$5+Forecast!$B$9:$M$9)+C$5</f>
        <v>5676.878102500001</v>
      </c>
      <c r="D9" s="10">
        <f t="array" ref="D9">MAX($A9*Forecast!$B$5:$M$5+Forecast!$B$9:$M$9)+D$5</f>
        <v>5926.878102500001</v>
      </c>
      <c r="E9" s="10">
        <f t="array" ref="E9">MAX($A9*Forecast!$B$5:$M$5+Forecast!$B$9:$M$9)+E$5</f>
        <v>6176.878102500001</v>
      </c>
      <c r="F9" s="10">
        <f t="array" ref="F9">MAX($A9*Forecast!$B$5:$M$5+Forecast!$B$9:$M$9)+F$5</f>
        <v>6426.878102500001</v>
      </c>
    </row>
    <row r="10" spans="1:6">
      <c r="A10" s="5">
        <v>1.3</v>
      </c>
      <c r="B10" s="10">
        <f t="array" ref="B10">MAX($A10*Forecast!$B$5:$M$5+Forecast!$B$9:$M$9)+B$5</f>
        <v>5858.911755000001</v>
      </c>
      <c r="C10" s="10">
        <f t="array" ref="C10">MAX($A10*Forecast!$B$5:$M$5+Forecast!$B$9:$M$9)+C$5</f>
        <v>6108.911755000001</v>
      </c>
      <c r="D10" s="10">
        <f t="array" ref="D10">MAX($A10*Forecast!$B$5:$M$5+Forecast!$B$9:$M$9)+D$5</f>
        <v>6358.911755000001</v>
      </c>
      <c r="E10" s="10">
        <f t="array" ref="E10">MAX($A10*Forecast!$B$5:$M$5+Forecast!$B$9:$M$9)+E$5</f>
        <v>6608.911755000001</v>
      </c>
      <c r="F10" s="10">
        <f t="array" ref="F10">MAX($A10*Forecast!$B$5:$M$5+Forecast!$B$9:$M$9)+F$5</f>
        <v>6858.911755000001</v>
      </c>
    </row>
    <row r="11" spans="1:6">
      <c r="A11" s="5">
        <v>1.5</v>
      </c>
      <c r="B11" s="10">
        <f t="array" ref="B11">MAX($A11*Forecast!$B$5:$M$5+Forecast!$B$9:$M$9)+B$5</f>
        <v>6434.956625000001</v>
      </c>
      <c r="C11" s="10">
        <f t="array" ref="C11">MAX($A11*Forecast!$B$5:$M$5+Forecast!$B$9:$M$9)+C$5</f>
        <v>6684.956625000001</v>
      </c>
      <c r="D11" s="10">
        <f t="array" ref="D11">MAX($A11*Forecast!$B$5:$M$5+Forecast!$B$9:$M$9)+D$5</f>
        <v>6934.956625000001</v>
      </c>
      <c r="E11" s="10">
        <f t="array" ref="E11">MAX($A11*Forecast!$B$5:$M$5+Forecast!$B$9:$M$9)+E$5</f>
        <v>7184.956625000001</v>
      </c>
      <c r="F11" s="10">
        <f t="array" ref="F11">MAX($A11*Forecast!$B$5:$M$5+Forecast!$B$9:$M$9)+F$5</f>
        <v>7434.956625000001</v>
      </c>
    </row>
    <row r="13" spans="1:6">
      <c r="A13" s="2" t="s">
        <v>270</v>
      </c>
    </row>
    <row r="16" spans="1:6">
      <c r="A16" s="3" t="s">
        <v>271</v>
      </c>
    </row>
    <row r="17" spans="1:6">
      <c r="A17" s="7" t="s">
        <v>255</v>
      </c>
      <c r="B17" s="7" t="s">
        <v>272</v>
      </c>
      <c r="C17" s="8" t="s">
        <v>273</v>
      </c>
      <c r="D17" s="8" t="s">
        <v>274</v>
      </c>
      <c r="E17" s="8" t="s">
        <v>275</v>
      </c>
      <c r="F17" s="8" t="s">
        <v>276</v>
      </c>
    </row>
    <row r="18" spans="1:6">
      <c r="A18" s="9" t="s">
        <v>277</v>
      </c>
      <c r="B18" s="12" t="s">
        <v>278</v>
      </c>
      <c r="C18" s="14">
        <v>800</v>
      </c>
      <c r="D18" s="14">
        <v>0</v>
      </c>
      <c r="E18" s="10">
        <f>Forecast!$N$14+C18+D18</f>
        <v>5807.99125</v>
      </c>
      <c r="F18" s="10">
        <f>-naph_yield*C18</f>
        <v>-280.0</v>
      </c>
    </row>
    <row r="19" spans="1:6">
      <c r="A19" s="9" t="s">
        <v>279</v>
      </c>
      <c r="B19" s="12" t="s">
        <v>280</v>
      </c>
      <c r="C19" s="14">
        <v>0</v>
      </c>
      <c r="D19" s="14">
        <v>2000</v>
      </c>
      <c r="E19" s="10">
        <f>Forecast!$N$14+C19+D19</f>
        <v>7007.99125</v>
      </c>
      <c r="F19" s="10">
        <f>-naph_yield*C19</f>
        <v>-0.0</v>
      </c>
    </row>
    <row r="20" spans="1:6">
      <c r="A20" s="9" t="s">
        <v>281</v>
      </c>
      <c r="B20" s="12" t="s">
        <v>282</v>
      </c>
      <c r="C20" s="14">
        <v>500</v>
      </c>
      <c r="D20" s="14">
        <v>0</v>
      </c>
      <c r="E20" s="10">
        <f>Forecast!$N$14+C20+D20</f>
        <v>5507.99125</v>
      </c>
      <c r="F20" s="10">
        <f>-naph_yield*C20</f>
        <v>-175.0</v>
      </c>
    </row>
    <row r="21" spans="1:6">
      <c r="A21" s="9" t="s">
        <v>283</v>
      </c>
      <c r="B21" s="12" t="s">
        <v>284</v>
      </c>
      <c r="C21" s="14">
        <v>0</v>
      </c>
      <c r="D21" s="14">
        <v>600</v>
      </c>
      <c r="E21" s="10">
        <f>Forecast!$N$14+C21+D21</f>
        <v>5607.99125</v>
      </c>
      <c r="F21" s="10">
        <f>-naph_yield*C21</f>
        <v>-0.0</v>
      </c>
    </row>
    <row r="22" spans="1:6">
      <c r="A22" s="9" t="s">
        <v>285</v>
      </c>
      <c r="B22" s="12" t="s">
        <v>286</v>
      </c>
      <c r="C22" s="14">
        <v>0</v>
      </c>
      <c r="D22" s="14">
        <v>-1500</v>
      </c>
      <c r="E22" s="10">
        <f>Forecast!$N$14+C22+D22</f>
        <v>3507.99125</v>
      </c>
      <c r="F22" s="10">
        <f>-naph_yield*C22</f>
        <v>-0.0</v>
      </c>
    </row>
    <row r="24" spans="1:6">
      <c r="A24" s="2" t="s">
        <v>287</v>
      </c>
    </row>
    <row r="27" spans="1:6">
      <c r="A27" s="3" t="s">
        <v>288</v>
      </c>
    </row>
    <row r="28" spans="1:6">
      <c r="A28" s="7" t="s">
        <v>35</v>
      </c>
      <c r="B28" s="8" t="s">
        <v>289</v>
      </c>
      <c r="C28" s="8" t="s">
        <v>290</v>
      </c>
      <c r="D28" s="8" t="s">
        <v>291</v>
      </c>
      <c r="E28" s="8" t="s">
        <v>292</v>
      </c>
      <c r="F28" s="8" t="s">
        <v>293</v>
      </c>
    </row>
    <row r="29" spans="1:6">
      <c r="A29" s="9" t="s">
        <v>41</v>
      </c>
      <c r="B29" s="5">
        <v>0.85</v>
      </c>
      <c r="C29" s="10">
        <f>SUMIFS(Data!$K:$K,Data!$A:$A,2026,Data!$G:$G,"CDU",Data!$F:$F,"PADD 1")</f>
        <v>591.52</v>
      </c>
      <c r="D29" s="10">
        <f>C29*conn_p1</f>
        <v>502.792</v>
      </c>
      <c r="E29" s="10">
        <f>SUMIFS(Data!$K:$K,Data!$A:$A,2027,Data!$G:$G,"CDU",Data!$F:$F,"PADD 1")</f>
        <v>153.7</v>
      </c>
      <c r="F29" s="10">
        <f>E29*conn_p1</f>
        <v>130.64499999999998</v>
      </c>
    </row>
    <row r="30" spans="1:6">
      <c r="A30" s="9" t="s">
        <v>49</v>
      </c>
      <c r="B30" s="5">
        <v>0.9</v>
      </c>
      <c r="C30" s="10">
        <f>SUMIFS(Data!$K:$K,Data!$A:$A,2026,Data!$G:$G,"CDU",Data!$F:$F,"PADD 2")</f>
        <v>2312.79</v>
      </c>
      <c r="D30" s="10">
        <f>C30*conn_p2</f>
        <v>2081.511</v>
      </c>
      <c r="E30" s="10">
        <f>SUMIFS(Data!$K:$K,Data!$A:$A,2027,Data!$G:$G,"CDU",Data!$F:$F,"PADD 2")</f>
        <v>1276.4699999999998</v>
      </c>
      <c r="F30" s="10">
        <f>E30*conn_p2</f>
        <v>1148.8229999999999</v>
      </c>
    </row>
    <row r="31" spans="1:6">
      <c r="A31" s="9" t="s">
        <v>39</v>
      </c>
      <c r="B31" s="5">
        <v>0.4</v>
      </c>
      <c r="C31" s="10">
        <f>SUMIFS(Data!$K:$K,Data!$A:$A,2026,Data!$G:$G,"CDU",Data!$F:$F,"PADD 3")</f>
        <v>3295.2090000000003</v>
      </c>
      <c r="D31" s="10">
        <f>C31*conn_p3</f>
        <v>1318.0836000000002</v>
      </c>
      <c r="E31" s="10">
        <f>SUMIFS(Data!$K:$K,Data!$A:$A,2027,Data!$G:$G,"CDU",Data!$F:$F,"PADD 3")</f>
        <v>3134.0350000000003</v>
      </c>
      <c r="F31" s="10">
        <f>E31*conn_p3</f>
        <v>1253.6140000000003</v>
      </c>
    </row>
    <row r="32" spans="1:6">
      <c r="A32" s="9" t="s">
        <v>294</v>
      </c>
      <c r="B32" s="5">
        <v>0.9</v>
      </c>
      <c r="C32" s="10">
        <f>SUMIFS(Data!$K:$K,Data!$A:$A,2026,Data!$G:$G,"CDU",Data!$F:$F,"PADD 4")</f>
        <v>161.536</v>
      </c>
      <c r="D32" s="10">
        <f>C32*conn_p4</f>
        <v>145.38240000000002</v>
      </c>
      <c r="E32" s="10">
        <f>SUMIFS(Data!$K:$K,Data!$A:$A,2027,Data!$G:$G,"CDU",Data!$F:$F,"PADD 4")</f>
        <v>349.462</v>
      </c>
      <c r="F32" s="10">
        <f>E32*conn_p4</f>
        <v>314.5158</v>
      </c>
    </row>
    <row r="33" spans="1:6">
      <c r="A33" s="9" t="s">
        <v>45</v>
      </c>
      <c r="B33" s="5">
        <v>0.95</v>
      </c>
      <c r="C33" s="10">
        <f>SUMIFS(Data!$K:$K,Data!$A:$A,2026,Data!$G:$G,"CDU",Data!$F:$F,"PADD 5")</f>
        <v>902.123</v>
      </c>
      <c r="D33" s="10">
        <f>C33*conn_p5</f>
        <v>857.01685</v>
      </c>
      <c r="E33" s="10">
        <f>SUMIFS(Data!$K:$K,Data!$A:$A,2027,Data!$G:$G,"CDU",Data!$F:$F,"PADD 5")</f>
        <v>968.0930000000001</v>
      </c>
      <c r="F33" s="10">
        <f>E33*conn_p5</f>
        <v>919.68835</v>
      </c>
    </row>
    <row r="34" spans="1:6">
      <c r="A34" s="9" t="s">
        <v>18</v>
      </c>
      <c r="C34" s="10">
        <f>SUM(C29:C33)</f>
        <v>7263.178</v>
      </c>
      <c r="D34" s="10">
        <f>SUM(D29:D33)</f>
        <v>4904.78585</v>
      </c>
      <c r="E34" s="10">
        <f>SUM(E29:E33)</f>
        <v>5881.759999999999</v>
      </c>
      <c r="F34" s="10">
        <f>SUM(F29:F33)</f>
        <v>3767.2861500000004</v>
      </c>
    </row>
    <row r="36" spans="1:6">
      <c r="A36" s="4" t="s">
        <v>295</v>
      </c>
      <c r="D36" s="10">
        <f>C34-D34</f>
        <v>2358.3921499999997</v>
      </c>
      <c r="F36" s="10">
        <f>E34-F34</f>
        <v>2114.473849999999</v>
      </c>
    </row>
    <row r="37" spans="1:6">
      <c r="A37" s="13" t="str">
        <f>"Effective crude tightness is "&amp;TEXT(1-F34/E34,"0%")&amp;" below nominal in 2027 -- the P3 connectivity buffer."</f>
        <v>Effective crude tightness is 36% below nominal in 2027 -- the P3 connectivity buffer.</v>
      </c>
    </row>
    <row r="39" spans="1:6">
      <c r="A39" s="13" t="s">
        <v>296</v>
      </c>
    </row>
  </sheetData>
  <conditionalFormatting sqref="B6:F11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548235"/>
  </sheetPr>
  <dimension ref="A1:Q72"/>
  <sheetViews>
    <sheetView showGridLines="0" zoomScale="110" zoomScaleNormal="11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RowHeight="15"/>
  <cols>
    <col min="1" max="2" width="6.7109375" customWidth="1"/>
    <col min="3" max="3" width="9.7109375" customWidth="1"/>
    <col min="4" max="17" width="8.7109375" customWidth="1"/>
  </cols>
  <sheetData>
    <row r="1" spans="1:17" ht="22" customHeight="1">
      <c r="A1" s="1" t="s">
        <v>297</v>
      </c>
    </row>
    <row r="2" spans="1:17">
      <c r="A2" s="2" t="s">
        <v>298</v>
      </c>
    </row>
    <row r="4" spans="1:17">
      <c r="A4" s="7" t="s">
        <v>58</v>
      </c>
      <c r="B4" s="7" t="s">
        <v>147</v>
      </c>
      <c r="C4" s="7" t="s">
        <v>148</v>
      </c>
      <c r="D4" s="8" t="s">
        <v>18</v>
      </c>
      <c r="E4" s="8" t="s">
        <v>10</v>
      </c>
      <c r="F4" s="8" t="s">
        <v>11</v>
      </c>
      <c r="G4" s="8" t="s">
        <v>299</v>
      </c>
      <c r="H4" s="8" t="s">
        <v>12</v>
      </c>
      <c r="I4" s="8" t="s">
        <v>13</v>
      </c>
      <c r="J4" s="8" t="s">
        <v>300</v>
      </c>
      <c r="K4" s="8" t="s">
        <v>15</v>
      </c>
      <c r="L4" s="8" t="s">
        <v>301</v>
      </c>
      <c r="M4" s="8" t="s">
        <v>302</v>
      </c>
      <c r="N4" s="8" t="s">
        <v>303</v>
      </c>
      <c r="O4" s="8" t="s">
        <v>304</v>
      </c>
      <c r="P4" s="8" t="s">
        <v>305</v>
      </c>
      <c r="Q4" s="8" t="s">
        <v>306</v>
      </c>
    </row>
    <row r="5" spans="1:17">
      <c r="A5" s="6">
        <v>2023</v>
      </c>
      <c r="B5" s="6">
        <v>1</v>
      </c>
      <c r="C5" s="9" t="s">
        <v>152</v>
      </c>
      <c r="D5" s="10">
        <f>SUMIFS(Data!$K:$K,Data!$A:$A,2023,Data!$B:$B,1)</f>
        <v>5716.2146</v>
      </c>
      <c r="E5" s="10">
        <f>SUMIFS(Data!$K:$K,Data!$A:$A,2023,Data!$B:$B,1,Data!$J:$J,"PLANNED")</f>
        <v>2552.9085</v>
      </c>
      <c r="F5" s="10">
        <f>SUMIFS(Data!$K:$K,Data!$A:$A,2023,Data!$B:$B,1,Data!$J:$J,"UNPLANNED")</f>
        <v>3163.3061</v>
      </c>
      <c r="G5" s="15">
        <f>IFERROR(F5/D5,0)</f>
        <v>0.5533917673419748</v>
      </c>
      <c r="H5" s="10">
        <f>SUMIFS(Data!$K:$K,Data!$A:$A,2023,Data!$B:$B,1,Data!$G:$G,"CDU")</f>
        <v>1739.5449999999998</v>
      </c>
      <c r="I5" s="10">
        <f>SUMIFS(Data!$K:$K,Data!$A:$A,2023,Data!$B:$B,1,Data!$G:$G,"FCC")</f>
        <v>810.943</v>
      </c>
      <c r="J5" s="10">
        <f>SUMIFS(Data!$K:$K,Data!$A:$A,2023,Data!$B:$B,1,Data!$G:$G,"Hydrocracker")</f>
        <v>281.7</v>
      </c>
      <c r="K5" s="10">
        <f>SUMIFS(Data!$K:$K,Data!$A:$A,2023,Data!$B:$B,1,Data!$G:$G,"Reformer")</f>
        <v>432.859</v>
      </c>
      <c r="L5" s="10">
        <f>SUMIFS(Data!$K:$K,Data!$A:$A,2023,Data!$B:$B,1,Data!$F:$F,"PADD 1")</f>
        <v>126.05</v>
      </c>
      <c r="M5" s="10">
        <f>SUMIFS(Data!$K:$K,Data!$A:$A,2023,Data!$B:$B,1,Data!$F:$F,"PADD 2")</f>
        <v>1256.5976</v>
      </c>
      <c r="N5" s="10">
        <f>SUMIFS(Data!$K:$K,Data!$A:$A,2023,Data!$B:$B,1,Data!$F:$F,"PADD 3")</f>
        <v>3222.9692</v>
      </c>
      <c r="O5" s="10">
        <f>SUMIFS(Data!$K:$K,Data!$A:$A,2023,Data!$B:$B,1,Data!$F:$F,"PADD 4")</f>
        <v>493.348</v>
      </c>
      <c r="P5" s="10">
        <f>SUMIFS(Data!$K:$K,Data!$A:$A,2023,Data!$B:$B,1,Data!$F:$F,"PADD 5")</f>
        <v>617.2497999999999</v>
      </c>
      <c r="Q5" s="10">
        <f>K5*ref_intake-H5*naph_yield</f>
        <v>-175.98174999999998</v>
      </c>
    </row>
    <row r="6" spans="1:17">
      <c r="A6" s="6">
        <v>2023</v>
      </c>
      <c r="B6" s="6">
        <v>2</v>
      </c>
      <c r="C6" s="9" t="s">
        <v>153</v>
      </c>
      <c r="D6" s="10">
        <f>SUMIFS(Data!$K:$K,Data!$A:$A,2023,Data!$B:$B,2)</f>
        <v>6813.7157</v>
      </c>
      <c r="E6" s="10">
        <f>SUMIFS(Data!$K:$K,Data!$A:$A,2023,Data!$B:$B,2,Data!$J:$J,"PLANNED")</f>
        <v>4134.309</v>
      </c>
      <c r="F6" s="10">
        <f>SUMIFS(Data!$K:$K,Data!$A:$A,2023,Data!$B:$B,2,Data!$J:$J,"UNPLANNED")</f>
        <v>2679.4067</v>
      </c>
      <c r="G6" s="15">
        <f>IFERROR(F6/D6,0)</f>
        <v>0.393237231779424</v>
      </c>
      <c r="H6" s="10">
        <f>SUMIFS(Data!$K:$K,Data!$A:$A,2023,Data!$B:$B,2,Data!$G:$G,"CDU")</f>
        <v>2180.255</v>
      </c>
      <c r="I6" s="10">
        <f>SUMIFS(Data!$K:$K,Data!$A:$A,2023,Data!$B:$B,2,Data!$G:$G,"FCC")</f>
        <v>1025.05</v>
      </c>
      <c r="J6" s="10">
        <f>SUMIFS(Data!$K:$K,Data!$A:$A,2023,Data!$B:$B,2,Data!$G:$G,"Hydrocracker")</f>
        <v>420.495</v>
      </c>
      <c r="K6" s="10">
        <f>SUMIFS(Data!$K:$K,Data!$A:$A,2023,Data!$B:$B,2,Data!$G:$G,"Reformer")</f>
        <v>453.94</v>
      </c>
      <c r="L6" s="10">
        <f>SUMIFS(Data!$K:$K,Data!$A:$A,2023,Data!$B:$B,2,Data!$F:$F,"PADD 1")</f>
        <v>440.0</v>
      </c>
      <c r="M6" s="10">
        <f>SUMIFS(Data!$K:$K,Data!$A:$A,2023,Data!$B:$B,2,Data!$F:$F,"PADD 2")</f>
        <v>1088.065</v>
      </c>
      <c r="N6" s="10">
        <f>SUMIFS(Data!$K:$K,Data!$A:$A,2023,Data!$B:$B,2,Data!$F:$F,"PADD 3")</f>
        <v>3622.339</v>
      </c>
      <c r="O6" s="10">
        <f>SUMIFS(Data!$K:$K,Data!$A:$A,2023,Data!$B:$B,2,Data!$F:$F,"PADD 4")</f>
        <v>408.143</v>
      </c>
      <c r="P6" s="10">
        <f>SUMIFS(Data!$K:$K,Data!$A:$A,2023,Data!$B:$B,2,Data!$F:$F,"PADD 5")</f>
        <v>1255.1687</v>
      </c>
      <c r="Q6" s="10">
        <f>K6*ref_intake-H6*naph_yield</f>
        <v>-309.14925</v>
      </c>
    </row>
    <row r="7" spans="1:17">
      <c r="A7" s="6">
        <v>2023</v>
      </c>
      <c r="B7" s="6">
        <v>3</v>
      </c>
      <c r="C7" s="9" t="s">
        <v>154</v>
      </c>
      <c r="D7" s="10">
        <f>SUMIFS(Data!$K:$K,Data!$A:$A,2023,Data!$B:$B,3)</f>
        <v>6741.2225</v>
      </c>
      <c r="E7" s="10">
        <f>SUMIFS(Data!$K:$K,Data!$A:$A,2023,Data!$B:$B,3,Data!$J:$J,"PLANNED")</f>
        <v>3664.6845</v>
      </c>
      <c r="F7" s="10">
        <f>SUMIFS(Data!$K:$K,Data!$A:$A,2023,Data!$B:$B,3,Data!$J:$J,"UNPLANNED")</f>
        <v>3076.538</v>
      </c>
      <c r="G7" s="15">
        <f>IFERROR(F7/D7,0)</f>
        <v>0.45637686636214725</v>
      </c>
      <c r="H7" s="10">
        <f>SUMIFS(Data!$K:$K,Data!$A:$A,2023,Data!$B:$B,3,Data!$G:$G,"CDU")</f>
        <v>2060.2019999999998</v>
      </c>
      <c r="I7" s="10">
        <f>SUMIFS(Data!$K:$K,Data!$A:$A,2023,Data!$B:$B,3,Data!$G:$G,"FCC")</f>
        <v>880.265</v>
      </c>
      <c r="J7" s="10">
        <f>SUMIFS(Data!$K:$K,Data!$A:$A,2023,Data!$B:$B,3,Data!$G:$G,"Hydrocracker")</f>
        <v>492.64300000000003</v>
      </c>
      <c r="K7" s="10">
        <f>SUMIFS(Data!$K:$K,Data!$A:$A,2023,Data!$B:$B,3,Data!$G:$G,"Reformer")</f>
        <v>486.416</v>
      </c>
      <c r="L7" s="10">
        <f>SUMIFS(Data!$K:$K,Data!$A:$A,2023,Data!$B:$B,3,Data!$F:$F,"PADD 1")</f>
        <v>473.92</v>
      </c>
      <c r="M7" s="10">
        <f>SUMIFS(Data!$K:$K,Data!$A:$A,2023,Data!$B:$B,3,Data!$F:$F,"PADD 2")</f>
        <v>1877.395</v>
      </c>
      <c r="N7" s="10">
        <f>SUMIFS(Data!$K:$K,Data!$A:$A,2023,Data!$B:$B,3,Data!$F:$F,"PADD 3")</f>
        <v>3305.26</v>
      </c>
      <c r="O7" s="10">
        <f>SUMIFS(Data!$K:$K,Data!$A:$A,2023,Data!$B:$B,3,Data!$F:$F,"PADD 4")</f>
        <v>357.3731</v>
      </c>
      <c r="P7" s="10">
        <f>SUMIFS(Data!$K:$K,Data!$A:$A,2023,Data!$B:$B,3,Data!$F:$F,"PADD 5")</f>
        <v>727.2744</v>
      </c>
      <c r="Q7" s="10">
        <f>K7*ref_intake-H7*naph_yield</f>
        <v>-234.65469999999988</v>
      </c>
    </row>
    <row r="8" spans="1:17">
      <c r="A8" s="6">
        <v>2023</v>
      </c>
      <c r="B8" s="6">
        <v>4</v>
      </c>
      <c r="C8" s="9" t="s">
        <v>155</v>
      </c>
      <c r="D8" s="10">
        <f>SUMIFS(Data!$K:$K,Data!$A:$A,2023,Data!$B:$B,4)</f>
        <v>6116.2489</v>
      </c>
      <c r="E8" s="10">
        <f>SUMIFS(Data!$K:$K,Data!$A:$A,2023,Data!$B:$B,4,Data!$J:$J,"PLANNED")</f>
        <v>3647.546</v>
      </c>
      <c r="F8" s="10">
        <f>SUMIFS(Data!$K:$K,Data!$A:$A,2023,Data!$B:$B,4,Data!$J:$J,"UNPLANNED")</f>
        <v>2468.7028999999998</v>
      </c>
      <c r="G8" s="15">
        <f>IFERROR(F8/D8,0)</f>
        <v>0.4036302217851206</v>
      </c>
      <c r="H8" s="10">
        <f>SUMIFS(Data!$K:$K,Data!$A:$A,2023,Data!$B:$B,4,Data!$G:$G,"CDU")</f>
        <v>1806.215</v>
      </c>
      <c r="I8" s="10">
        <f>SUMIFS(Data!$K:$K,Data!$A:$A,2023,Data!$B:$B,4,Data!$G:$G,"FCC")</f>
        <v>615.626</v>
      </c>
      <c r="J8" s="10">
        <f>SUMIFS(Data!$K:$K,Data!$A:$A,2023,Data!$B:$B,4,Data!$G:$G,"Hydrocracker")</f>
        <v>424.371</v>
      </c>
      <c r="K8" s="10">
        <f>SUMIFS(Data!$K:$K,Data!$A:$A,2023,Data!$B:$B,4,Data!$G:$G,"Reformer")</f>
        <v>495.342</v>
      </c>
      <c r="L8" s="10">
        <f>SUMIFS(Data!$K:$K,Data!$A:$A,2023,Data!$B:$B,4,Data!$F:$F,"PADD 1")</f>
        <v>110.08</v>
      </c>
      <c r="M8" s="10">
        <f>SUMIFS(Data!$K:$K,Data!$A:$A,2023,Data!$B:$B,4,Data!$F:$F,"PADD 2")</f>
        <v>2007.8074</v>
      </c>
      <c r="N8" s="10">
        <f>SUMIFS(Data!$K:$K,Data!$A:$A,2023,Data!$B:$B,4,Data!$F:$F,"PADD 3")</f>
        <v>2929.6089</v>
      </c>
      <c r="O8" s="10">
        <f>SUMIFS(Data!$K:$K,Data!$A:$A,2023,Data!$B:$B,4,Data!$F:$F,"PADD 4")</f>
        <v>344.0876</v>
      </c>
      <c r="P8" s="10">
        <f>SUMIFS(Data!$K:$K,Data!$A:$A,2023,Data!$B:$B,4,Data!$F:$F,"PADD 5")</f>
        <v>724.665</v>
      </c>
      <c r="Q8" s="10">
        <f>K8*ref_intake-H8*naph_yield</f>
        <v>-136.8332499999999</v>
      </c>
    </row>
    <row r="9" spans="1:17">
      <c r="A9" s="6">
        <v>2023</v>
      </c>
      <c r="B9" s="6">
        <v>5</v>
      </c>
      <c r="C9" s="9" t="s">
        <v>156</v>
      </c>
      <c r="D9" s="10">
        <f>SUMIFS(Data!$K:$K,Data!$A:$A,2023,Data!$B:$B,5)</f>
        <v>3819.9794</v>
      </c>
      <c r="E9" s="10">
        <f>SUMIFS(Data!$K:$K,Data!$A:$A,2023,Data!$B:$B,5,Data!$J:$J,"PLANNED")</f>
        <v>2071.2518</v>
      </c>
      <c r="F9" s="10">
        <f>SUMIFS(Data!$K:$K,Data!$A:$A,2023,Data!$B:$B,5,Data!$J:$J,"UNPLANNED")</f>
        <v>1748.7276</v>
      </c>
      <c r="G9" s="15">
        <f>IFERROR(F9/D9,0)</f>
        <v>0.4577845629219885</v>
      </c>
      <c r="H9" s="10">
        <f>SUMIFS(Data!$K:$K,Data!$A:$A,2023,Data!$B:$B,5,Data!$G:$G,"CDU")</f>
        <v>1061.1038</v>
      </c>
      <c r="I9" s="10">
        <f>SUMIFS(Data!$K:$K,Data!$A:$A,2023,Data!$B:$B,5,Data!$G:$G,"FCC")</f>
        <v>530.395</v>
      </c>
      <c r="J9" s="10">
        <f>SUMIFS(Data!$K:$K,Data!$A:$A,2023,Data!$B:$B,5,Data!$G:$G,"Hydrocracker")</f>
        <v>158.444</v>
      </c>
      <c r="K9" s="10">
        <f>SUMIFS(Data!$K:$K,Data!$A:$A,2023,Data!$B:$B,5,Data!$G:$G,"Reformer")</f>
        <v>360.457</v>
      </c>
      <c r="L9" s="10">
        <f>SUMIFS(Data!$K:$K,Data!$A:$A,2023,Data!$B:$B,5,Data!$F:$F,"PADD 1")</f>
        <v>46.16</v>
      </c>
      <c r="M9" s="10">
        <f>SUMIFS(Data!$K:$K,Data!$A:$A,2023,Data!$B:$B,5,Data!$F:$F,"PADD 2")</f>
        <v>1042.2436</v>
      </c>
      <c r="N9" s="10">
        <f>SUMIFS(Data!$K:$K,Data!$A:$A,2023,Data!$B:$B,5,Data!$F:$F,"PADD 3")</f>
        <v>2020.7778</v>
      </c>
      <c r="O9" s="10">
        <f>SUMIFS(Data!$K:$K,Data!$A:$A,2023,Data!$B:$B,5,Data!$F:$F,"PADD 4")</f>
        <v>228.289</v>
      </c>
      <c r="P9" s="10">
        <f>SUMIFS(Data!$K:$K,Data!$A:$A,2023,Data!$B:$B,5,Data!$F:$F,"PADD 5")</f>
        <v>482.50899999999996</v>
      </c>
      <c r="Q9" s="10">
        <f>K9*ref_intake-H9*naph_yield</f>
        <v>-10.929329999999993</v>
      </c>
    </row>
    <row r="10" spans="1:17">
      <c r="A10" s="6">
        <v>2023</v>
      </c>
      <c r="B10" s="6">
        <v>6</v>
      </c>
      <c r="C10" s="9" t="s">
        <v>157</v>
      </c>
      <c r="D10" s="10">
        <f>SUMIFS(Data!$K:$K,Data!$A:$A,2023,Data!$B:$B,6)</f>
        <v>2342.9731</v>
      </c>
      <c r="E10" s="10">
        <f>SUMIFS(Data!$K:$K,Data!$A:$A,2023,Data!$B:$B,6,Data!$J:$J,"PLANNED")</f>
        <v>368.477</v>
      </c>
      <c r="F10" s="10">
        <f>SUMIFS(Data!$K:$K,Data!$A:$A,2023,Data!$B:$B,6,Data!$J:$J,"UNPLANNED")</f>
        <v>1974.4961</v>
      </c>
      <c r="G10" s="15">
        <f>IFERROR(F10/D10,0)</f>
        <v>0.8427310155630895</v>
      </c>
      <c r="H10" s="10">
        <f>SUMIFS(Data!$K:$K,Data!$A:$A,2023,Data!$B:$B,6,Data!$G:$G,"CDU")</f>
        <v>794.9545</v>
      </c>
      <c r="I10" s="10">
        <f>SUMIFS(Data!$K:$K,Data!$A:$A,2023,Data!$B:$B,6,Data!$G:$G,"FCC")</f>
        <v>406.9475</v>
      </c>
      <c r="J10" s="10">
        <f>SUMIFS(Data!$K:$K,Data!$A:$A,2023,Data!$B:$B,6,Data!$G:$G,"Hydrocracker")</f>
        <v>11.7462</v>
      </c>
      <c r="K10" s="10">
        <f>SUMIFS(Data!$K:$K,Data!$A:$A,2023,Data!$B:$B,6,Data!$G:$G,"Reformer")</f>
        <v>198.97</v>
      </c>
      <c r="L10" s="10">
        <f>SUMIFS(Data!$K:$K,Data!$A:$A,2023,Data!$B:$B,6,Data!$F:$F,"PADD 1")</f>
        <v>316.8375</v>
      </c>
      <c r="M10" s="10">
        <f>SUMIFS(Data!$K:$K,Data!$A:$A,2023,Data!$B:$B,6,Data!$F:$F,"PADD 2")</f>
        <v>511.95</v>
      </c>
      <c r="N10" s="10">
        <f>SUMIFS(Data!$K:$K,Data!$A:$A,2023,Data!$B:$B,6,Data!$F:$F,"PADD 3")</f>
        <v>1420.2069</v>
      </c>
      <c r="O10" s="10">
        <f>SUMIFS(Data!$K:$K,Data!$A:$A,2023,Data!$B:$B,6,Data!$F:$F,"PADD 4")</f>
        <v>53.3175</v>
      </c>
      <c r="P10" s="10">
        <f>SUMIFS(Data!$K:$K,Data!$A:$A,2023,Data!$B:$B,6,Data!$F:$F,"PADD 5")</f>
        <v>40.6612</v>
      </c>
      <c r="Q10" s="10">
        <f>K10*ref_intake-H10*naph_yield</f>
        <v>-79.26407500000002</v>
      </c>
    </row>
    <row r="11" spans="1:17">
      <c r="A11" s="6">
        <v>2023</v>
      </c>
      <c r="B11" s="6">
        <v>7</v>
      </c>
      <c r="C11" s="9" t="s">
        <v>158</v>
      </c>
      <c r="D11" s="10">
        <f>SUMIFS(Data!$K:$K,Data!$A:$A,2023,Data!$B:$B,7)</f>
        <v>1647.0638</v>
      </c>
      <c r="E11" s="10">
        <f>SUMIFS(Data!$K:$K,Data!$A:$A,2023,Data!$B:$B,7,Data!$J:$J,"PLANNED")</f>
        <v>171.937</v>
      </c>
      <c r="F11" s="10">
        <f>SUMIFS(Data!$K:$K,Data!$A:$A,2023,Data!$B:$B,7,Data!$J:$J,"UNPLANNED")</f>
        <v>1475.1268</v>
      </c>
      <c r="G11" s="15">
        <f>IFERROR(F11/D11,0)</f>
        <v>0.8956099939783754</v>
      </c>
      <c r="H11" s="10">
        <f>SUMIFS(Data!$K:$K,Data!$A:$A,2023,Data!$B:$B,7,Data!$G:$G,"CDU")</f>
        <v>510.65</v>
      </c>
      <c r="I11" s="10">
        <f>SUMIFS(Data!$K:$K,Data!$A:$A,2023,Data!$B:$B,7,Data!$G:$G,"FCC")</f>
        <v>232.66</v>
      </c>
      <c r="J11" s="10">
        <f>SUMIFS(Data!$K:$K,Data!$A:$A,2023,Data!$B:$B,7,Data!$G:$G,"Hydrocracker")</f>
        <v>40.6884</v>
      </c>
      <c r="K11" s="10">
        <f>SUMIFS(Data!$K:$K,Data!$A:$A,2023,Data!$B:$B,7,Data!$G:$G,"Reformer")</f>
        <v>147.233</v>
      </c>
      <c r="L11" s="10">
        <f>SUMIFS(Data!$K:$K,Data!$A:$A,2023,Data!$B:$B,7,Data!$F:$F,"PADD 1")</f>
        <v>283.35</v>
      </c>
      <c r="M11" s="10">
        <f>SUMIFS(Data!$K:$K,Data!$A:$A,2023,Data!$B:$B,7,Data!$F:$F,"PADD 2")</f>
        <v>453.487</v>
      </c>
      <c r="N11" s="10">
        <f>SUMIFS(Data!$K:$K,Data!$A:$A,2023,Data!$B:$B,7,Data!$F:$F,"PADD 3")</f>
        <v>772.8094</v>
      </c>
      <c r="O11" s="10">
        <f>SUMIFS(Data!$K:$K,Data!$A:$A,2023,Data!$B:$B,7,Data!$F:$F,"PADD 4")</f>
        <v>40.650999999999996</v>
      </c>
      <c r="P11" s="10">
        <f>SUMIFS(Data!$K:$K,Data!$A:$A,2023,Data!$B:$B,7,Data!$F:$F,"PADD 5")</f>
        <v>96.7664</v>
      </c>
      <c r="Q11" s="10">
        <f>K11*ref_intake-H11*naph_yield</f>
        <v>-31.494499999999988</v>
      </c>
    </row>
    <row r="12" spans="1:17">
      <c r="A12" s="6">
        <v>2023</v>
      </c>
      <c r="B12" s="6">
        <v>8</v>
      </c>
      <c r="C12" s="9" t="s">
        <v>159</v>
      </c>
      <c r="D12" s="10">
        <f>SUMIFS(Data!$K:$K,Data!$A:$A,2023,Data!$B:$B,8)</f>
        <v>1761.651</v>
      </c>
      <c r="E12" s="10">
        <f>SUMIFS(Data!$K:$K,Data!$A:$A,2023,Data!$B:$B,8,Data!$J:$J,"PLANNED")</f>
        <v>315.56</v>
      </c>
      <c r="F12" s="10">
        <f>SUMIFS(Data!$K:$K,Data!$A:$A,2023,Data!$B:$B,8,Data!$J:$J,"UNPLANNED")</f>
        <v>1446.091</v>
      </c>
      <c r="G12" s="15">
        <f>IFERROR(F12/D12,0)</f>
        <v>0.8208725791884998</v>
      </c>
      <c r="H12" s="10">
        <f>SUMIFS(Data!$K:$K,Data!$A:$A,2023,Data!$B:$B,8,Data!$G:$G,"CDU")</f>
        <v>510.13</v>
      </c>
      <c r="I12" s="10">
        <f>SUMIFS(Data!$K:$K,Data!$A:$A,2023,Data!$B:$B,8,Data!$G:$G,"FCC")</f>
        <v>161.055</v>
      </c>
      <c r="J12" s="10">
        <f>SUMIFS(Data!$K:$K,Data!$A:$A,2023,Data!$B:$B,8,Data!$G:$G,"Hydrocracker")</f>
        <v>64.31299999999999</v>
      </c>
      <c r="K12" s="10">
        <f>SUMIFS(Data!$K:$K,Data!$A:$A,2023,Data!$B:$B,8,Data!$G:$G,"Reformer")</f>
        <v>238.18</v>
      </c>
      <c r="L12" s="10">
        <f>SUMIFS(Data!$K:$K,Data!$A:$A,2023,Data!$B:$B,8,Data!$F:$F,"PADD 1")</f>
        <v>2.6</v>
      </c>
      <c r="M12" s="10">
        <f>SUMIFS(Data!$K:$K,Data!$A:$A,2023,Data!$B:$B,8,Data!$F:$F,"PADD 2")</f>
        <v>182.999</v>
      </c>
      <c r="N12" s="10">
        <f>SUMIFS(Data!$K:$K,Data!$A:$A,2023,Data!$B:$B,8,Data!$F:$F,"PADD 3")</f>
        <v>1367.907</v>
      </c>
      <c r="O12" s="10">
        <f>SUMIFS(Data!$K:$K,Data!$A:$A,2023,Data!$B:$B,8,Data!$F:$F,"PADD 4")</f>
        <v>76.8</v>
      </c>
      <c r="P12" s="10">
        <f>SUMIFS(Data!$K:$K,Data!$A:$A,2023,Data!$B:$B,8,Data!$F:$F,"PADD 5")</f>
        <v>131.345</v>
      </c>
      <c r="Q12" s="10">
        <f>K12*ref_intake-H12*naph_yield</f>
        <v>59.63450000000003</v>
      </c>
    </row>
    <row r="13" spans="1:17">
      <c r="A13" s="6">
        <v>2023</v>
      </c>
      <c r="B13" s="6">
        <v>9</v>
      </c>
      <c r="C13" s="9" t="s">
        <v>160</v>
      </c>
      <c r="D13" s="10">
        <f>SUMIFS(Data!$K:$K,Data!$A:$A,2023,Data!$B:$B,9)</f>
        <v>3954.8585</v>
      </c>
      <c r="E13" s="10">
        <f>SUMIFS(Data!$K:$K,Data!$A:$A,2023,Data!$B:$B,9,Data!$J:$J,"PLANNED")</f>
        <v>2423.3365</v>
      </c>
      <c r="F13" s="10">
        <f>SUMIFS(Data!$K:$K,Data!$A:$A,2023,Data!$B:$B,9,Data!$J:$J,"UNPLANNED")</f>
        <v>1531.522</v>
      </c>
      <c r="G13" s="15">
        <f>IFERROR(F13/D13,0)</f>
        <v>0.3872507701602978</v>
      </c>
      <c r="H13" s="10">
        <f>SUMIFS(Data!$K:$K,Data!$A:$A,2023,Data!$B:$B,9,Data!$G:$G,"CDU")</f>
        <v>1099.23</v>
      </c>
      <c r="I13" s="10">
        <f>SUMIFS(Data!$K:$K,Data!$A:$A,2023,Data!$B:$B,9,Data!$G:$G,"FCC")</f>
        <v>407.94</v>
      </c>
      <c r="J13" s="10">
        <f>SUMIFS(Data!$K:$K,Data!$A:$A,2023,Data!$B:$B,9,Data!$G:$G,"Hydrocracker")</f>
        <v>85.565</v>
      </c>
      <c r="K13" s="10">
        <f>SUMIFS(Data!$K:$K,Data!$A:$A,2023,Data!$B:$B,9,Data!$G:$G,"Reformer")</f>
        <v>236.457</v>
      </c>
      <c r="L13" s="10">
        <f>SUMIFS(Data!$K:$K,Data!$A:$A,2023,Data!$B:$B,9,Data!$F:$F,"PADD 1")</f>
        <v>391.5052</v>
      </c>
      <c r="M13" s="10">
        <f>SUMIFS(Data!$K:$K,Data!$A:$A,2023,Data!$B:$B,9,Data!$F:$F,"PADD 2")</f>
        <v>1481.1244</v>
      </c>
      <c r="N13" s="10">
        <f>SUMIFS(Data!$K:$K,Data!$A:$A,2023,Data!$B:$B,9,Data!$F:$F,"PADD 3")</f>
        <v>1980.1739</v>
      </c>
      <c r="O13" s="10">
        <f>SUMIFS(Data!$K:$K,Data!$A:$A,2023,Data!$B:$B,9,Data!$F:$F,"PADD 4")</f>
        <v>0.0</v>
      </c>
      <c r="P13" s="10">
        <f>SUMIFS(Data!$K:$K,Data!$A:$A,2023,Data!$B:$B,9,Data!$F:$F,"PADD 5")</f>
        <v>102.055</v>
      </c>
      <c r="Q13" s="10">
        <f>K13*ref_intake-H13*naph_yield</f>
        <v>-148.2735</v>
      </c>
    </row>
    <row r="14" spans="1:17">
      <c r="A14" s="6">
        <v>2023</v>
      </c>
      <c r="B14" s="6">
        <v>10</v>
      </c>
      <c r="C14" s="9" t="s">
        <v>161</v>
      </c>
      <c r="D14" s="10">
        <f>SUMIFS(Data!$K:$K,Data!$A:$A,2023,Data!$B:$B,10)</f>
        <v>6931.9118</v>
      </c>
      <c r="E14" s="10">
        <f>SUMIFS(Data!$K:$K,Data!$A:$A,2023,Data!$B:$B,10,Data!$J:$J,"PLANNED")</f>
        <v>4943.1683</v>
      </c>
      <c r="F14" s="10">
        <f>SUMIFS(Data!$K:$K,Data!$A:$A,2023,Data!$B:$B,10,Data!$J:$J,"UNPLANNED")</f>
        <v>1988.7435</v>
      </c>
      <c r="G14" s="15">
        <f>IFERROR(F14/D14,0)</f>
        <v>0.2868968269330836</v>
      </c>
      <c r="H14" s="10">
        <f>SUMIFS(Data!$K:$K,Data!$A:$A,2023,Data!$B:$B,10,Data!$G:$G,"CDU")</f>
        <v>2033.6085</v>
      </c>
      <c r="I14" s="10">
        <f>SUMIFS(Data!$K:$K,Data!$A:$A,2023,Data!$B:$B,10,Data!$G:$G,"FCC")</f>
        <v>590.53</v>
      </c>
      <c r="J14" s="10">
        <f>SUMIFS(Data!$K:$K,Data!$A:$A,2023,Data!$B:$B,10,Data!$G:$G,"Hydrocracker")</f>
        <v>169.43</v>
      </c>
      <c r="K14" s="10">
        <f>SUMIFS(Data!$K:$K,Data!$A:$A,2023,Data!$B:$B,10,Data!$G:$G,"Reformer")</f>
        <v>529.1175</v>
      </c>
      <c r="L14" s="10">
        <f>SUMIFS(Data!$K:$K,Data!$A:$A,2023,Data!$B:$B,10,Data!$F:$F,"PADD 1")</f>
        <v>695.69</v>
      </c>
      <c r="M14" s="10">
        <f>SUMIFS(Data!$K:$K,Data!$A:$A,2023,Data!$B:$B,10,Data!$F:$F,"PADD 2")</f>
        <v>1816.5088</v>
      </c>
      <c r="N14" s="10">
        <f>SUMIFS(Data!$K:$K,Data!$A:$A,2023,Data!$B:$B,10,Data!$F:$F,"PADD 3")</f>
        <v>3552.627</v>
      </c>
      <c r="O14" s="10">
        <f>SUMIFS(Data!$K:$K,Data!$A:$A,2023,Data!$B:$B,10,Data!$F:$F,"PADD 4")</f>
        <v>2.726</v>
      </c>
      <c r="P14" s="10">
        <f>SUMIFS(Data!$K:$K,Data!$A:$A,2023,Data!$B:$B,10,Data!$F:$F,"PADD 5")</f>
        <v>864.36</v>
      </c>
      <c r="Q14" s="10">
        <f>K14*ref_intake-H14*naph_yield</f>
        <v>-182.64547500000003</v>
      </c>
    </row>
    <row r="15" spans="1:17">
      <c r="A15" s="6">
        <v>2023</v>
      </c>
      <c r="B15" s="6">
        <v>11</v>
      </c>
      <c r="C15" s="9" t="s">
        <v>162</v>
      </c>
      <c r="D15" s="10">
        <f>SUMIFS(Data!$K:$K,Data!$A:$A,2023,Data!$B:$B,11)</f>
        <v>3069.4329000000002</v>
      </c>
      <c r="E15" s="10">
        <f>SUMIFS(Data!$K:$K,Data!$A:$A,2023,Data!$B:$B,11,Data!$J:$J,"PLANNED")</f>
        <v>1718.509</v>
      </c>
      <c r="F15" s="10">
        <f>SUMIFS(Data!$K:$K,Data!$A:$A,2023,Data!$B:$B,11,Data!$J:$J,"UNPLANNED")</f>
        <v>1350.9239</v>
      </c>
      <c r="G15" s="15">
        <f>IFERROR(F15/D15,0)</f>
        <v>0.4401216589553073</v>
      </c>
      <c r="H15" s="10">
        <f>SUMIFS(Data!$K:$K,Data!$A:$A,2023,Data!$B:$B,11,Data!$G:$G,"CDU")</f>
        <v>881.0600000000001</v>
      </c>
      <c r="I15" s="10">
        <f>SUMIFS(Data!$K:$K,Data!$A:$A,2023,Data!$B:$B,11,Data!$G:$G,"FCC")</f>
        <v>347.605</v>
      </c>
      <c r="J15" s="10">
        <f>SUMIFS(Data!$K:$K,Data!$A:$A,2023,Data!$B:$B,11,Data!$G:$G,"Hydrocracker")</f>
        <v>66.22</v>
      </c>
      <c r="K15" s="10">
        <f>SUMIFS(Data!$K:$K,Data!$A:$A,2023,Data!$B:$B,11,Data!$G:$G,"Reformer")</f>
        <v>371.958</v>
      </c>
      <c r="L15" s="10">
        <f>SUMIFS(Data!$K:$K,Data!$A:$A,2023,Data!$B:$B,11,Data!$F:$F,"PADD 1")</f>
        <v>256.507</v>
      </c>
      <c r="M15" s="10">
        <f>SUMIFS(Data!$K:$K,Data!$A:$A,2023,Data!$B:$B,11,Data!$F:$F,"PADD 2")</f>
        <v>326.1729</v>
      </c>
      <c r="N15" s="10">
        <f>SUMIFS(Data!$K:$K,Data!$A:$A,2023,Data!$B:$B,11,Data!$F:$F,"PADD 3")</f>
        <v>1809.522</v>
      </c>
      <c r="O15" s="10">
        <f>SUMIFS(Data!$K:$K,Data!$A:$A,2023,Data!$B:$B,11,Data!$F:$F,"PADD 4")</f>
        <v>18.951</v>
      </c>
      <c r="P15" s="10">
        <f>SUMIFS(Data!$K:$K,Data!$A:$A,2023,Data!$B:$B,11,Data!$F:$F,"PADD 5")</f>
        <v>658.28</v>
      </c>
      <c r="Q15" s="10">
        <f>K15*ref_intake-H15*naph_yield</f>
        <v>63.587000000000046</v>
      </c>
    </row>
    <row r="16" spans="1:17">
      <c r="A16" s="6">
        <v>2023</v>
      </c>
      <c r="B16" s="6">
        <v>12</v>
      </c>
      <c r="C16" s="9" t="s">
        <v>163</v>
      </c>
      <c r="D16" s="10">
        <f>SUMIFS(Data!$K:$K,Data!$A:$A,2023,Data!$B:$B,12)</f>
        <v>976.1005</v>
      </c>
      <c r="E16" s="10">
        <f>SUMIFS(Data!$K:$K,Data!$A:$A,2023,Data!$B:$B,12,Data!$J:$J,"PLANNED")</f>
        <v>128.5582</v>
      </c>
      <c r="F16" s="10">
        <f>SUMIFS(Data!$K:$K,Data!$A:$A,2023,Data!$B:$B,12,Data!$J:$J,"UNPLANNED")</f>
        <v>847.5423</v>
      </c>
      <c r="G16" s="15">
        <f>IFERROR(F16/D16,0)</f>
        <v>0.8682940947166813</v>
      </c>
      <c r="H16" s="10">
        <f>SUMIFS(Data!$K:$K,Data!$A:$A,2023,Data!$B:$B,12,Data!$G:$G,"CDU")</f>
        <v>256.08000000000004</v>
      </c>
      <c r="I16" s="10">
        <f>SUMIFS(Data!$K:$K,Data!$A:$A,2023,Data!$B:$B,12,Data!$G:$G,"FCC")</f>
        <v>152.404</v>
      </c>
      <c r="J16" s="10">
        <f>SUMIFS(Data!$K:$K,Data!$A:$A,2023,Data!$B:$B,12,Data!$G:$G,"Hydrocracker")</f>
        <v>60.28</v>
      </c>
      <c r="K16" s="10">
        <f>SUMIFS(Data!$K:$K,Data!$A:$A,2023,Data!$B:$B,12,Data!$G:$G,"Reformer")</f>
        <v>67.175</v>
      </c>
      <c r="L16" s="10">
        <f>SUMIFS(Data!$K:$K,Data!$A:$A,2023,Data!$B:$B,12,Data!$F:$F,"PADD 1")</f>
        <v>30.79</v>
      </c>
      <c r="M16" s="10">
        <f>SUMIFS(Data!$K:$K,Data!$A:$A,2023,Data!$B:$B,12,Data!$F:$F,"PADD 2")</f>
        <v>60.5386</v>
      </c>
      <c r="N16" s="10">
        <f>SUMIFS(Data!$K:$K,Data!$A:$A,2023,Data!$B:$B,12,Data!$F:$F,"PADD 3")</f>
        <v>541.6272</v>
      </c>
      <c r="O16" s="10">
        <f>SUMIFS(Data!$K:$K,Data!$A:$A,2023,Data!$B:$B,12,Data!$F:$F,"PADD 4")</f>
        <v>111.2157</v>
      </c>
      <c r="P16" s="10">
        <f>SUMIFS(Data!$K:$K,Data!$A:$A,2023,Data!$B:$B,12,Data!$F:$F,"PADD 5")</f>
        <v>231.929</v>
      </c>
      <c r="Q16" s="10">
        <f>K16*ref_intake-H16*naph_yield</f>
        <v>-22.453000000000017</v>
      </c>
    </row>
    <row r="17" spans="1:17">
      <c r="A17" s="6">
        <v>2024</v>
      </c>
      <c r="B17" s="6">
        <v>1</v>
      </c>
      <c r="C17" s="9" t="s">
        <v>164</v>
      </c>
      <c r="D17" s="10">
        <f>SUMIFS(Data!$K:$K,Data!$A:$A,2024,Data!$B:$B,1)</f>
        <v>4684.8428</v>
      </c>
      <c r="E17" s="10">
        <f>SUMIFS(Data!$K:$K,Data!$A:$A,2024,Data!$B:$B,1,Data!$J:$J,"PLANNED")</f>
        <v>2251.219</v>
      </c>
      <c r="F17" s="10">
        <f>SUMIFS(Data!$K:$K,Data!$A:$A,2024,Data!$B:$B,1,Data!$J:$J,"UNPLANNED")</f>
        <v>2433.6238</v>
      </c>
      <c r="G17" s="15">
        <f>IFERROR(F17/D17,0)</f>
        <v>0.5194675475557045</v>
      </c>
      <c r="H17" s="10">
        <f>SUMIFS(Data!$K:$K,Data!$A:$A,2024,Data!$B:$B,1,Data!$G:$G,"CDU")</f>
        <v>1313.892</v>
      </c>
      <c r="I17" s="10">
        <f>SUMIFS(Data!$K:$K,Data!$A:$A,2024,Data!$B:$B,1,Data!$G:$G,"FCC")</f>
        <v>313.199</v>
      </c>
      <c r="J17" s="10">
        <f>SUMIFS(Data!$K:$K,Data!$A:$A,2024,Data!$B:$B,1,Data!$G:$G,"Hydrocracker")</f>
        <v>248.172</v>
      </c>
      <c r="K17" s="10">
        <f>SUMIFS(Data!$K:$K,Data!$A:$A,2024,Data!$B:$B,1,Data!$G:$G,"Reformer")</f>
        <v>436.8612</v>
      </c>
      <c r="L17" s="10">
        <f>SUMIFS(Data!$K:$K,Data!$A:$A,2024,Data!$B:$B,1,Data!$F:$F,"PADD 1")</f>
        <v>99.0698</v>
      </c>
      <c r="M17" s="10">
        <f>SUMIFS(Data!$K:$K,Data!$A:$A,2024,Data!$B:$B,1,Data!$F:$F,"PADD 2")</f>
        <v>82.622</v>
      </c>
      <c r="N17" s="10">
        <f>SUMIFS(Data!$K:$K,Data!$A:$A,2024,Data!$B:$B,1,Data!$F:$F,"PADD 3")</f>
        <v>3897.7506</v>
      </c>
      <c r="O17" s="10">
        <f>SUMIFS(Data!$K:$K,Data!$A:$A,2024,Data!$B:$B,1,Data!$F:$F,"PADD 4")</f>
        <v>71.7204</v>
      </c>
      <c r="P17" s="10">
        <f>SUMIFS(Data!$K:$K,Data!$A:$A,2024,Data!$B:$B,1,Data!$F:$F,"PADD 5")</f>
        <v>533.68</v>
      </c>
      <c r="Q17" s="10">
        <f>K17*ref_intake-H17*naph_yield</f>
        <v>-23.000999999999976</v>
      </c>
    </row>
    <row r="18" spans="1:17">
      <c r="A18" s="6">
        <v>2024</v>
      </c>
      <c r="B18" s="6">
        <v>2</v>
      </c>
      <c r="C18" s="9" t="s">
        <v>165</v>
      </c>
      <c r="D18" s="10">
        <f>SUMIFS(Data!$K:$K,Data!$A:$A,2024,Data!$B:$B,2)</f>
        <v>8792.021</v>
      </c>
      <c r="E18" s="10">
        <f>SUMIFS(Data!$K:$K,Data!$A:$A,2024,Data!$B:$B,2,Data!$J:$J,"PLANNED")</f>
        <v>3766.8788</v>
      </c>
      <c r="F18" s="10">
        <f>SUMIFS(Data!$K:$K,Data!$A:$A,2024,Data!$B:$B,2,Data!$J:$J,"UNPLANNED")</f>
        <v>5025.1422</v>
      </c>
      <c r="G18" s="15">
        <f>IFERROR(F18/D18,0)</f>
        <v>0.5715571198021479</v>
      </c>
      <c r="H18" s="10">
        <f>SUMIFS(Data!$K:$K,Data!$A:$A,2024,Data!$B:$B,2,Data!$G:$G,"CDU")</f>
        <v>2142.5348</v>
      </c>
      <c r="I18" s="10">
        <f>SUMIFS(Data!$K:$K,Data!$A:$A,2024,Data!$B:$B,2,Data!$G:$G,"FCC")</f>
        <v>1054.9718</v>
      </c>
      <c r="J18" s="10">
        <f>SUMIFS(Data!$K:$K,Data!$A:$A,2024,Data!$B:$B,2,Data!$G:$G,"Hydrocracker")</f>
        <v>429.613</v>
      </c>
      <c r="K18" s="10">
        <f>SUMIFS(Data!$K:$K,Data!$A:$A,2024,Data!$B:$B,2,Data!$G:$G,"Reformer")</f>
        <v>843.04</v>
      </c>
      <c r="L18" s="10">
        <f>SUMIFS(Data!$K:$K,Data!$A:$A,2024,Data!$B:$B,2,Data!$F:$F,"PADD 1")</f>
        <v>62.445</v>
      </c>
      <c r="M18" s="10">
        <f>SUMIFS(Data!$K:$K,Data!$A:$A,2024,Data!$B:$B,2,Data!$F:$F,"PADD 2")</f>
        <v>1893.1044</v>
      </c>
      <c r="N18" s="10">
        <f>SUMIFS(Data!$K:$K,Data!$A:$A,2024,Data!$B:$B,2,Data!$F:$F,"PADD 3")</f>
        <v>5540.9283</v>
      </c>
      <c r="O18" s="10">
        <f>SUMIFS(Data!$K:$K,Data!$A:$A,2024,Data!$B:$B,2,Data!$F:$F,"PADD 4")</f>
        <v>226.08</v>
      </c>
      <c r="P18" s="10">
        <f>SUMIFS(Data!$K:$K,Data!$A:$A,2024,Data!$B:$B,2,Data!$F:$F,"PADD 5")</f>
        <v>1069.4633</v>
      </c>
      <c r="Q18" s="10">
        <f>K18*ref_intake-H18*naph_yield</f>
        <v>93.15282000000002</v>
      </c>
    </row>
    <row r="19" spans="1:17">
      <c r="A19" s="6">
        <v>2024</v>
      </c>
      <c r="B19" s="6">
        <v>3</v>
      </c>
      <c r="C19" s="9" t="s">
        <v>166</v>
      </c>
      <c r="D19" s="10">
        <f>SUMIFS(Data!$K:$K,Data!$A:$A,2024,Data!$B:$B,3)</f>
        <v>4695.105</v>
      </c>
      <c r="E19" s="10">
        <f>SUMIFS(Data!$K:$K,Data!$A:$A,2024,Data!$B:$B,3,Data!$J:$J,"PLANNED")</f>
        <v>2643.9494</v>
      </c>
      <c r="F19" s="10">
        <f>SUMIFS(Data!$K:$K,Data!$A:$A,2024,Data!$B:$B,3,Data!$J:$J,"UNPLANNED")</f>
        <v>2051.1556</v>
      </c>
      <c r="G19" s="15">
        <f>IFERROR(F19/D19,0)</f>
        <v>0.4368710816903989</v>
      </c>
      <c r="H19" s="10">
        <f>SUMIFS(Data!$K:$K,Data!$A:$A,2024,Data!$B:$B,3,Data!$G:$G,"CDU")</f>
        <v>1268.1126</v>
      </c>
      <c r="I19" s="10">
        <f>SUMIFS(Data!$K:$K,Data!$A:$A,2024,Data!$B:$B,3,Data!$G:$G,"FCC")</f>
        <v>579.138</v>
      </c>
      <c r="J19" s="10">
        <f>SUMIFS(Data!$K:$K,Data!$A:$A,2024,Data!$B:$B,3,Data!$G:$G,"Hydrocracker")</f>
        <v>305.265</v>
      </c>
      <c r="K19" s="10">
        <f>SUMIFS(Data!$K:$K,Data!$A:$A,2024,Data!$B:$B,3,Data!$G:$G,"Reformer")</f>
        <v>439.2958</v>
      </c>
      <c r="L19" s="10">
        <f>SUMIFS(Data!$K:$K,Data!$A:$A,2024,Data!$B:$B,3,Data!$F:$F,"PADD 1")</f>
        <v>236.69639999999998</v>
      </c>
      <c r="M19" s="10">
        <f>SUMIFS(Data!$K:$K,Data!$A:$A,2024,Data!$B:$B,3,Data!$F:$F,"PADD 2")</f>
        <v>1347.1691</v>
      </c>
      <c r="N19" s="10">
        <f>SUMIFS(Data!$K:$K,Data!$A:$A,2024,Data!$B:$B,3,Data!$F:$F,"PADD 3")</f>
        <v>2248.1637</v>
      </c>
      <c r="O19" s="10">
        <f>SUMIFS(Data!$K:$K,Data!$A:$A,2024,Data!$B:$B,3,Data!$F:$F,"PADD 4")</f>
        <v>244.3878</v>
      </c>
      <c r="P19" s="10">
        <f>SUMIFS(Data!$K:$K,Data!$A:$A,2024,Data!$B:$B,3,Data!$F:$F,"PADD 5")</f>
        <v>618.688</v>
      </c>
      <c r="Q19" s="10">
        <f>K19*ref_intake-H19*naph_yield</f>
        <v>-4.543609999999944</v>
      </c>
    </row>
    <row r="20" spans="1:17">
      <c r="A20" s="6">
        <v>2024</v>
      </c>
      <c r="B20" s="6">
        <v>4</v>
      </c>
      <c r="C20" s="9" t="s">
        <v>167</v>
      </c>
      <c r="D20" s="10">
        <f>SUMIFS(Data!$K:$K,Data!$A:$A,2024,Data!$B:$B,4)</f>
        <v>4532.5513</v>
      </c>
      <c r="E20" s="10">
        <f>SUMIFS(Data!$K:$K,Data!$A:$A,2024,Data!$B:$B,4,Data!$J:$J,"PLANNED")</f>
        <v>2651.0149</v>
      </c>
      <c r="F20" s="10">
        <f>SUMIFS(Data!$K:$K,Data!$A:$A,2024,Data!$B:$B,4,Data!$J:$J,"UNPLANNED")</f>
        <v>1881.5364</v>
      </c>
      <c r="G20" s="15">
        <f>IFERROR(F20/D20,0)</f>
        <v>0.4151164047497929</v>
      </c>
      <c r="H20" s="10">
        <f>SUMIFS(Data!$K:$K,Data!$A:$A,2024,Data!$B:$B,4,Data!$G:$G,"CDU")</f>
        <v>1440.7505</v>
      </c>
      <c r="I20" s="10">
        <f>SUMIFS(Data!$K:$K,Data!$A:$A,2024,Data!$B:$B,4,Data!$G:$G,"FCC")</f>
        <v>489.937</v>
      </c>
      <c r="J20" s="10">
        <f>SUMIFS(Data!$K:$K,Data!$A:$A,2024,Data!$B:$B,4,Data!$G:$G,"Hydrocracker")</f>
        <v>142.443</v>
      </c>
      <c r="K20" s="10">
        <f>SUMIFS(Data!$K:$K,Data!$A:$A,2024,Data!$B:$B,4,Data!$G:$G,"Reformer")</f>
        <v>470.9954</v>
      </c>
      <c r="L20" s="10">
        <f>SUMIFS(Data!$K:$K,Data!$A:$A,2024,Data!$B:$B,4,Data!$F:$F,"PADD 1")</f>
        <v>214.8537</v>
      </c>
      <c r="M20" s="10">
        <f>SUMIFS(Data!$K:$K,Data!$A:$A,2024,Data!$B:$B,4,Data!$F:$F,"PADD 2")</f>
        <v>1456.5636</v>
      </c>
      <c r="N20" s="10">
        <f>SUMIFS(Data!$K:$K,Data!$A:$A,2024,Data!$B:$B,4,Data!$F:$F,"PADD 3")</f>
        <v>2012.6580000000001</v>
      </c>
      <c r="O20" s="10">
        <f>SUMIFS(Data!$K:$K,Data!$A:$A,2024,Data!$B:$B,4,Data!$F:$F,"PADD 4")</f>
        <v>138.769</v>
      </c>
      <c r="P20" s="10">
        <f>SUMIFS(Data!$K:$K,Data!$A:$A,2024,Data!$B:$B,4,Data!$F:$F,"PADD 5")</f>
        <v>709.707</v>
      </c>
      <c r="Q20" s="10">
        <f>K20*ref_intake-H20*naph_yield</f>
        <v>-33.267274999999984</v>
      </c>
    </row>
    <row r="21" spans="1:17">
      <c r="A21" s="6">
        <v>2024</v>
      </c>
      <c r="B21" s="6">
        <v>5</v>
      </c>
      <c r="C21" s="9" t="s">
        <v>168</v>
      </c>
      <c r="D21" s="10">
        <f>SUMIFS(Data!$K:$K,Data!$A:$A,2024,Data!$B:$B,5)</f>
        <v>2481.8625</v>
      </c>
      <c r="E21" s="10">
        <f>SUMIFS(Data!$K:$K,Data!$A:$A,2024,Data!$B:$B,5,Data!$J:$J,"PLANNED")</f>
        <v>1541.172</v>
      </c>
      <c r="F21" s="10">
        <f>SUMIFS(Data!$K:$K,Data!$A:$A,2024,Data!$B:$B,5,Data!$J:$J,"UNPLANNED")</f>
        <v>940.6905</v>
      </c>
      <c r="G21" s="15">
        <f>IFERROR(F21/D21,0)</f>
        <v>0.37902603387576866</v>
      </c>
      <c r="H21" s="10">
        <f>SUMIFS(Data!$K:$K,Data!$A:$A,2024,Data!$B:$B,5,Data!$G:$G,"CDU")</f>
        <v>501.391</v>
      </c>
      <c r="I21" s="10">
        <f>SUMIFS(Data!$K:$K,Data!$A:$A,2024,Data!$B:$B,5,Data!$G:$G,"FCC")</f>
        <v>277.135</v>
      </c>
      <c r="J21" s="10">
        <f>SUMIFS(Data!$K:$K,Data!$A:$A,2024,Data!$B:$B,5,Data!$G:$G,"Hydrocracker")</f>
        <v>153.69</v>
      </c>
      <c r="K21" s="10">
        <f>SUMIFS(Data!$K:$K,Data!$A:$A,2024,Data!$B:$B,5,Data!$G:$G,"Reformer")</f>
        <v>285.8775</v>
      </c>
      <c r="L21" s="10">
        <f>SUMIFS(Data!$K:$K,Data!$A:$A,2024,Data!$B:$B,5,Data!$F:$F,"PADD 1")</f>
        <v>23.4</v>
      </c>
      <c r="M21" s="10">
        <f>SUMIFS(Data!$K:$K,Data!$A:$A,2024,Data!$B:$B,5,Data!$F:$F,"PADD 2")</f>
        <v>670.5625</v>
      </c>
      <c r="N21" s="10">
        <f>SUMIFS(Data!$K:$K,Data!$A:$A,2024,Data!$B:$B,5,Data!$F:$F,"PADD 3")</f>
        <v>1141.365</v>
      </c>
      <c r="O21" s="10">
        <f>SUMIFS(Data!$K:$K,Data!$A:$A,2024,Data!$B:$B,5,Data!$F:$F,"PADD 4")</f>
        <v>31.459</v>
      </c>
      <c r="P21" s="10">
        <f>SUMIFS(Data!$K:$K,Data!$A:$A,2024,Data!$B:$B,5,Data!$F:$F,"PADD 5")</f>
        <v>615.076</v>
      </c>
      <c r="Q21" s="10">
        <f>K21*ref_intake-H21*naph_yield</f>
        <v>110.39065</v>
      </c>
    </row>
    <row r="22" spans="1:17">
      <c r="A22" s="6">
        <v>2024</v>
      </c>
      <c r="B22" s="6">
        <v>6</v>
      </c>
      <c r="C22" s="9" t="s">
        <v>169</v>
      </c>
      <c r="D22" s="10">
        <f>SUMIFS(Data!$K:$K,Data!$A:$A,2024,Data!$B:$B,6)</f>
        <v>2108.9555</v>
      </c>
      <c r="E22" s="10">
        <f>SUMIFS(Data!$K:$K,Data!$A:$A,2024,Data!$B:$B,6,Data!$J:$J,"PLANNED")</f>
        <v>1085.2415</v>
      </c>
      <c r="F22" s="10">
        <f>SUMIFS(Data!$K:$K,Data!$A:$A,2024,Data!$B:$B,6,Data!$J:$J,"UNPLANNED")</f>
        <v>1023.7139999999999</v>
      </c>
      <c r="G22" s="15">
        <f>IFERROR(F22/D22,0)</f>
        <v>0.48541280268834497</v>
      </c>
      <c r="H22" s="10">
        <f>SUMIFS(Data!$K:$K,Data!$A:$A,2024,Data!$B:$B,6,Data!$G:$G,"CDU")</f>
        <v>455.03</v>
      </c>
      <c r="I22" s="10">
        <f>SUMIFS(Data!$K:$K,Data!$A:$A,2024,Data!$B:$B,6,Data!$G:$G,"FCC")</f>
        <v>334.165</v>
      </c>
      <c r="J22" s="10">
        <f>SUMIFS(Data!$K:$K,Data!$A:$A,2024,Data!$B:$B,6,Data!$G:$G,"Hydrocracker")</f>
        <v>81.81</v>
      </c>
      <c r="K22" s="10">
        <f>SUMIFS(Data!$K:$K,Data!$A:$A,2024,Data!$B:$B,6,Data!$G:$G,"Reformer")</f>
        <v>303.314</v>
      </c>
      <c r="L22" s="10">
        <f>SUMIFS(Data!$K:$K,Data!$A:$A,2024,Data!$B:$B,6,Data!$F:$F,"PADD 1")</f>
        <v>1.82</v>
      </c>
      <c r="M22" s="10">
        <f>SUMIFS(Data!$K:$K,Data!$A:$A,2024,Data!$B:$B,6,Data!$F:$F,"PADD 2")</f>
        <v>364.397</v>
      </c>
      <c r="N22" s="10">
        <f>SUMIFS(Data!$K:$K,Data!$A:$A,2024,Data!$B:$B,6,Data!$F:$F,"PADD 3")</f>
        <v>1180.7915</v>
      </c>
      <c r="O22" s="10">
        <f>SUMIFS(Data!$K:$K,Data!$A:$A,2024,Data!$B:$B,6,Data!$F:$F,"PADD 4")</f>
        <v>17.778</v>
      </c>
      <c r="P22" s="10">
        <f>SUMIFS(Data!$K:$K,Data!$A:$A,2024,Data!$B:$B,6,Data!$F:$F,"PADD 5")</f>
        <v>544.169</v>
      </c>
      <c r="Q22" s="10">
        <f>K22*ref_intake-H22*naph_yield</f>
        <v>144.05350000000004</v>
      </c>
    </row>
    <row r="23" spans="1:17">
      <c r="A23" s="6">
        <v>2024</v>
      </c>
      <c r="B23" s="6">
        <v>7</v>
      </c>
      <c r="C23" s="9" t="s">
        <v>170</v>
      </c>
      <c r="D23" s="10">
        <f>SUMIFS(Data!$K:$K,Data!$A:$A,2024,Data!$B:$B,7)</f>
        <v>1985.748</v>
      </c>
      <c r="E23" s="10">
        <f>SUMIFS(Data!$K:$K,Data!$A:$A,2024,Data!$B:$B,7,Data!$J:$J,"PLANNED")</f>
        <v>512.8795</v>
      </c>
      <c r="F23" s="10">
        <f>SUMIFS(Data!$K:$K,Data!$A:$A,2024,Data!$B:$B,7,Data!$J:$J,"UNPLANNED")</f>
        <v>1472.8685</v>
      </c>
      <c r="G23" s="15">
        <f>IFERROR(F23/D23,0)</f>
        <v>0.7417197449021729</v>
      </c>
      <c r="H23" s="10">
        <f>SUMIFS(Data!$K:$K,Data!$A:$A,2024,Data!$B:$B,7,Data!$G:$G,"CDU")</f>
        <v>646.8299999999999</v>
      </c>
      <c r="I23" s="10">
        <f>SUMIFS(Data!$K:$K,Data!$A:$A,2024,Data!$B:$B,7,Data!$G:$G,"FCC")</f>
        <v>356.206</v>
      </c>
      <c r="J23" s="10">
        <f>SUMIFS(Data!$K:$K,Data!$A:$A,2024,Data!$B:$B,7,Data!$G:$G,"Hydrocracker")</f>
        <v>44.115</v>
      </c>
      <c r="K23" s="10">
        <f>SUMIFS(Data!$K:$K,Data!$A:$A,2024,Data!$B:$B,7,Data!$G:$G,"Reformer")</f>
        <v>129.5725</v>
      </c>
      <c r="L23" s="10">
        <f>SUMIFS(Data!$K:$K,Data!$A:$A,2024,Data!$B:$B,7,Data!$F:$F,"PADD 1")</f>
        <v>75.05</v>
      </c>
      <c r="M23" s="10">
        <f>SUMIFS(Data!$K:$K,Data!$A:$A,2024,Data!$B:$B,7,Data!$F:$F,"PADD 2")</f>
        <v>802.508</v>
      </c>
      <c r="N23" s="10">
        <f>SUMIFS(Data!$K:$K,Data!$A:$A,2024,Data!$B:$B,7,Data!$F:$F,"PADD 3")</f>
        <v>1019.787</v>
      </c>
      <c r="O23" s="10">
        <f>SUMIFS(Data!$K:$K,Data!$A:$A,2024,Data!$B:$B,7,Data!$F:$F,"PADD 4")</f>
        <v>23.131</v>
      </c>
      <c r="P23" s="10">
        <f>SUMIFS(Data!$K:$K,Data!$A:$A,2024,Data!$B:$B,7,Data!$F:$F,"PADD 5")</f>
        <v>65.27199999999999</v>
      </c>
      <c r="Q23" s="10">
        <f>K23*ref_intake-H23*naph_yield</f>
        <v>-96.81799999999996</v>
      </c>
    </row>
    <row r="24" spans="1:17">
      <c r="A24" s="6">
        <v>2024</v>
      </c>
      <c r="B24" s="6">
        <v>8</v>
      </c>
      <c r="C24" s="9" t="s">
        <v>171</v>
      </c>
      <c r="D24" s="10">
        <f>SUMIFS(Data!$K:$K,Data!$A:$A,2024,Data!$B:$B,8)</f>
        <v>1698.4168</v>
      </c>
      <c r="E24" s="10">
        <f>SUMIFS(Data!$K:$K,Data!$A:$A,2024,Data!$B:$B,8,Data!$J:$J,"PLANNED")</f>
        <v>486.4172</v>
      </c>
      <c r="F24" s="10">
        <f>SUMIFS(Data!$K:$K,Data!$A:$A,2024,Data!$B:$B,8,Data!$J:$J,"UNPLANNED")</f>
        <v>1211.9996</v>
      </c>
      <c r="G24" s="15">
        <f>IFERROR(F24/D24,0)</f>
        <v>0.713605517797516</v>
      </c>
      <c r="H24" s="10">
        <f>SUMIFS(Data!$K:$K,Data!$A:$A,2024,Data!$B:$B,8,Data!$G:$G,"CDU")</f>
        <v>550.098</v>
      </c>
      <c r="I24" s="10">
        <f>SUMIFS(Data!$K:$K,Data!$A:$A,2024,Data!$B:$B,8,Data!$G:$G,"FCC")</f>
        <v>309.4394</v>
      </c>
      <c r="J24" s="10">
        <f>SUMIFS(Data!$K:$K,Data!$A:$A,2024,Data!$B:$B,8,Data!$G:$G,"Hydrocracker")</f>
        <v>39.24</v>
      </c>
      <c r="K24" s="10">
        <f>SUMIFS(Data!$K:$K,Data!$A:$A,2024,Data!$B:$B,8,Data!$G:$G,"Reformer")</f>
        <v>149.935</v>
      </c>
      <c r="L24" s="10">
        <f>SUMIFS(Data!$K:$K,Data!$A:$A,2024,Data!$B:$B,8,Data!$F:$F,"PADD 1")</f>
        <v>10.899999999999999</v>
      </c>
      <c r="M24" s="10">
        <f>SUMIFS(Data!$K:$K,Data!$A:$A,2024,Data!$B:$B,8,Data!$F:$F,"PADD 2")</f>
        <v>516.3492</v>
      </c>
      <c r="N24" s="10">
        <f>SUMIFS(Data!$K:$K,Data!$A:$A,2024,Data!$B:$B,8,Data!$F:$F,"PADD 3")</f>
        <v>1019.9182</v>
      </c>
      <c r="O24" s="10">
        <f>SUMIFS(Data!$K:$K,Data!$A:$A,2024,Data!$B:$B,8,Data!$F:$F,"PADD 4")</f>
        <v>38.4844</v>
      </c>
      <c r="P24" s="10">
        <f>SUMIFS(Data!$K:$K,Data!$A:$A,2024,Data!$B:$B,8,Data!$F:$F,"PADD 5")</f>
        <v>112.765</v>
      </c>
      <c r="Q24" s="10">
        <f>K24*ref_intake-H24*naph_yield</f>
        <v>-42.59929999999997</v>
      </c>
    </row>
    <row r="25" spans="1:17">
      <c r="A25" s="6">
        <v>2024</v>
      </c>
      <c r="B25" s="6">
        <v>9</v>
      </c>
      <c r="C25" s="9" t="s">
        <v>172</v>
      </c>
      <c r="D25" s="10">
        <f>SUMIFS(Data!$K:$K,Data!$A:$A,2024,Data!$B:$B,9)</f>
        <v>3566.3252</v>
      </c>
      <c r="E25" s="10">
        <f>SUMIFS(Data!$K:$K,Data!$A:$A,2024,Data!$B:$B,9,Data!$J:$J,"PLANNED")</f>
        <v>1721.3308</v>
      </c>
      <c r="F25" s="10">
        <f>SUMIFS(Data!$K:$K,Data!$A:$A,2024,Data!$B:$B,9,Data!$J:$J,"UNPLANNED")</f>
        <v>1844.9944</v>
      </c>
      <c r="G25" s="15">
        <f>IFERROR(F25/D25,0)</f>
        <v>0.517337678571769</v>
      </c>
      <c r="H25" s="10">
        <f>SUMIFS(Data!$K:$K,Data!$A:$A,2024,Data!$B:$B,9,Data!$G:$G,"CDU")</f>
        <v>1090.8784</v>
      </c>
      <c r="I25" s="10">
        <f>SUMIFS(Data!$K:$K,Data!$A:$A,2024,Data!$B:$B,9,Data!$G:$G,"FCC")</f>
        <v>652.189</v>
      </c>
      <c r="J25" s="10">
        <f>SUMIFS(Data!$K:$K,Data!$A:$A,2024,Data!$B:$B,9,Data!$G:$G,"Hydrocracker")</f>
        <v>212.99</v>
      </c>
      <c r="K25" s="10">
        <f>SUMIFS(Data!$K:$K,Data!$A:$A,2024,Data!$B:$B,9,Data!$G:$G,"Reformer")</f>
        <v>319.02</v>
      </c>
      <c r="L25" s="10">
        <f>SUMIFS(Data!$K:$K,Data!$A:$A,2024,Data!$B:$B,9,Data!$F:$F,"PADD 1")</f>
        <v>87.2639</v>
      </c>
      <c r="M25" s="10">
        <f>SUMIFS(Data!$K:$K,Data!$A:$A,2024,Data!$B:$B,9,Data!$F:$F,"PADD 2")</f>
        <v>1029.2768</v>
      </c>
      <c r="N25" s="10">
        <f>SUMIFS(Data!$K:$K,Data!$A:$A,2024,Data!$B:$B,9,Data!$F:$F,"PADD 3")</f>
        <v>1784.1745</v>
      </c>
      <c r="O25" s="10">
        <f>SUMIFS(Data!$K:$K,Data!$A:$A,2024,Data!$B:$B,9,Data!$F:$F,"PADD 4")</f>
        <v>131.881</v>
      </c>
      <c r="P25" s="10">
        <f>SUMIFS(Data!$K:$K,Data!$A:$A,2024,Data!$B:$B,9,Data!$F:$F,"PADD 5")</f>
        <v>533.729</v>
      </c>
      <c r="Q25" s="10">
        <f>K25*ref_intake-H25*naph_yield</f>
        <v>-62.787440000000004</v>
      </c>
    </row>
    <row r="26" spans="1:17">
      <c r="A26" s="6">
        <v>2024</v>
      </c>
      <c r="B26" s="6">
        <v>10</v>
      </c>
      <c r="C26" s="9" t="s">
        <v>173</v>
      </c>
      <c r="D26" s="10">
        <f>SUMIFS(Data!$K:$K,Data!$A:$A,2024,Data!$B:$B,10)</f>
        <v>4409.9705</v>
      </c>
      <c r="E26" s="10">
        <f>SUMIFS(Data!$K:$K,Data!$A:$A,2024,Data!$B:$B,10,Data!$J:$J,"PLANNED")</f>
        <v>2469.8125</v>
      </c>
      <c r="F26" s="10">
        <f>SUMIFS(Data!$K:$K,Data!$A:$A,2024,Data!$B:$B,10,Data!$J:$J,"UNPLANNED")</f>
        <v>1940.158</v>
      </c>
      <c r="G26" s="15">
        <f>IFERROR(F26/D26,0)</f>
        <v>0.43994806767981776</v>
      </c>
      <c r="H26" s="10">
        <f>SUMIFS(Data!$K:$K,Data!$A:$A,2024,Data!$B:$B,10,Data!$G:$G,"CDU")</f>
        <v>1122.32</v>
      </c>
      <c r="I26" s="10">
        <f>SUMIFS(Data!$K:$K,Data!$A:$A,2024,Data!$B:$B,10,Data!$G:$G,"FCC")</f>
        <v>453.501</v>
      </c>
      <c r="J26" s="10">
        <f>SUMIFS(Data!$K:$K,Data!$A:$A,2024,Data!$B:$B,10,Data!$G:$G,"Hydrocracker")</f>
        <v>245.07999999999998</v>
      </c>
      <c r="K26" s="10">
        <f>SUMIFS(Data!$K:$K,Data!$A:$A,2024,Data!$B:$B,10,Data!$G:$G,"Reformer")</f>
        <v>587.828</v>
      </c>
      <c r="L26" s="10">
        <f>SUMIFS(Data!$K:$K,Data!$A:$A,2024,Data!$B:$B,10,Data!$F:$F,"PADD 1")</f>
        <v>154.0685</v>
      </c>
      <c r="M26" s="10">
        <f>SUMIFS(Data!$K:$K,Data!$A:$A,2024,Data!$B:$B,10,Data!$F:$F,"PADD 2")</f>
        <v>1512.466</v>
      </c>
      <c r="N26" s="10">
        <f>SUMIFS(Data!$K:$K,Data!$A:$A,2024,Data!$B:$B,10,Data!$F:$F,"PADD 3")</f>
        <v>2036.786</v>
      </c>
      <c r="O26" s="10">
        <f>SUMIFS(Data!$K:$K,Data!$A:$A,2024,Data!$B:$B,10,Data!$F:$F,"PADD 4")</f>
        <v>58.955</v>
      </c>
      <c r="P26" s="10">
        <f>SUMIFS(Data!$K:$K,Data!$A:$A,2024,Data!$B:$B,10,Data!$F:$F,"PADD 5")</f>
        <v>647.6949999999999</v>
      </c>
      <c r="Q26" s="10">
        <f>K26*ref_intake-H26*naph_yield</f>
        <v>195.01600000000002</v>
      </c>
    </row>
    <row r="27" spans="1:17">
      <c r="A27" s="6">
        <v>2024</v>
      </c>
      <c r="B27" s="6">
        <v>11</v>
      </c>
      <c r="C27" s="9" t="s">
        <v>174</v>
      </c>
      <c r="D27" s="10">
        <f>SUMIFS(Data!$K:$K,Data!$A:$A,2024,Data!$B:$B,11)</f>
        <v>2230.0646</v>
      </c>
      <c r="E27" s="10">
        <f>SUMIFS(Data!$K:$K,Data!$A:$A,2024,Data!$B:$B,11,Data!$J:$J,"PLANNED")</f>
        <v>1183.0576</v>
      </c>
      <c r="F27" s="10">
        <f>SUMIFS(Data!$K:$K,Data!$A:$A,2024,Data!$B:$B,11,Data!$J:$J,"UNPLANNED")</f>
        <v>1047.007</v>
      </c>
      <c r="G27" s="15">
        <f>IFERROR(F27/D27,0)</f>
        <v>0.46949626481672324</v>
      </c>
      <c r="H27" s="10">
        <f>SUMIFS(Data!$K:$K,Data!$A:$A,2024,Data!$B:$B,11,Data!$G:$G,"CDU")</f>
        <v>715.6</v>
      </c>
      <c r="I27" s="10">
        <f>SUMIFS(Data!$K:$K,Data!$A:$A,2024,Data!$B:$B,11,Data!$G:$G,"FCC")</f>
        <v>153.011</v>
      </c>
      <c r="J27" s="10">
        <f>SUMIFS(Data!$K:$K,Data!$A:$A,2024,Data!$B:$B,11,Data!$G:$G,"Hydrocracker")</f>
        <v>91.11</v>
      </c>
      <c r="K27" s="10">
        <f>SUMIFS(Data!$K:$K,Data!$A:$A,2024,Data!$B:$B,11,Data!$G:$G,"Reformer")</f>
        <v>228.1725</v>
      </c>
      <c r="L27" s="10">
        <f>SUMIFS(Data!$K:$K,Data!$A:$A,2024,Data!$B:$B,11,Data!$F:$F,"PADD 1")</f>
        <v>159.3301</v>
      </c>
      <c r="M27" s="10">
        <f>SUMIFS(Data!$K:$K,Data!$A:$A,2024,Data!$B:$B,11,Data!$F:$F,"PADD 2")</f>
        <v>525.778</v>
      </c>
      <c r="N27" s="10">
        <f>SUMIFS(Data!$K:$K,Data!$A:$A,2024,Data!$B:$B,11,Data!$F:$F,"PADD 3")</f>
        <v>1212.9515</v>
      </c>
      <c r="O27" s="10">
        <f>SUMIFS(Data!$K:$K,Data!$A:$A,2024,Data!$B:$B,11,Data!$F:$F,"PADD 4")</f>
        <v>6.975</v>
      </c>
      <c r="P27" s="10">
        <f>SUMIFS(Data!$K:$K,Data!$A:$A,2024,Data!$B:$B,11,Data!$F:$F,"PADD 5")</f>
        <v>325.03</v>
      </c>
      <c r="Q27" s="10">
        <f>K27*ref_intake-H27*naph_yield</f>
        <v>-22.287499999999966</v>
      </c>
    </row>
    <row r="28" spans="1:17">
      <c r="A28" s="6">
        <v>2024</v>
      </c>
      <c r="B28" s="6">
        <v>12</v>
      </c>
      <c r="C28" s="9" t="s">
        <v>175</v>
      </c>
      <c r="D28" s="10">
        <f>SUMIFS(Data!$K:$K,Data!$A:$A,2024,Data!$B:$B,12)</f>
        <v>779.1993</v>
      </c>
      <c r="E28" s="10">
        <f>SUMIFS(Data!$K:$K,Data!$A:$A,2024,Data!$B:$B,12,Data!$J:$J,"PLANNED")</f>
        <v>69.52250000000001</v>
      </c>
      <c r="F28" s="10">
        <f>SUMIFS(Data!$K:$K,Data!$A:$A,2024,Data!$B:$B,12,Data!$J:$J,"UNPLANNED")</f>
        <v>709.6768</v>
      </c>
      <c r="G28" s="15">
        <f>IFERROR(F28/D28,0)</f>
        <v>0.910776998901308</v>
      </c>
      <c r="H28" s="10">
        <f>SUMIFS(Data!$K:$K,Data!$A:$A,2024,Data!$B:$B,12,Data!$G:$G,"CDU")</f>
        <v>288.8526</v>
      </c>
      <c r="I28" s="10">
        <f>SUMIFS(Data!$K:$K,Data!$A:$A,2024,Data!$B:$B,12,Data!$G:$G,"FCC")</f>
        <v>59.754</v>
      </c>
      <c r="J28" s="10">
        <f>SUMIFS(Data!$K:$K,Data!$A:$A,2024,Data!$B:$B,12,Data!$G:$G,"Hydrocracker")</f>
        <v>64.27</v>
      </c>
      <c r="K28" s="10">
        <f>SUMIFS(Data!$K:$K,Data!$A:$A,2024,Data!$B:$B,12,Data!$G:$G,"Reformer")</f>
        <v>29.63</v>
      </c>
      <c r="L28" s="10">
        <f>SUMIFS(Data!$K:$K,Data!$A:$A,2024,Data!$B:$B,12,Data!$F:$F,"PADD 1")</f>
        <v>197.87</v>
      </c>
      <c r="M28" s="10">
        <f>SUMIFS(Data!$K:$K,Data!$A:$A,2024,Data!$B:$B,12,Data!$F:$F,"PADD 2")</f>
        <v>41.1286</v>
      </c>
      <c r="N28" s="10">
        <f>SUMIFS(Data!$K:$K,Data!$A:$A,2024,Data!$B:$B,12,Data!$F:$F,"PADD 3")</f>
        <v>324.6714</v>
      </c>
      <c r="O28" s="10">
        <f>SUMIFS(Data!$K:$K,Data!$A:$A,2024,Data!$B:$B,12,Data!$F:$F,"PADD 4")</f>
        <v>44.4628</v>
      </c>
      <c r="P28" s="10">
        <f>SUMIFS(Data!$K:$K,Data!$A:$A,2024,Data!$B:$B,12,Data!$F:$F,"PADD 5")</f>
        <v>171.0665</v>
      </c>
      <c r="Q28" s="10">
        <f>K28*ref_intake-H28*naph_yield</f>
        <v>-71.46840999999999</v>
      </c>
    </row>
    <row r="29" spans="1:17">
      <c r="A29" s="6">
        <v>2025</v>
      </c>
      <c r="B29" s="6">
        <v>1</v>
      </c>
      <c r="C29" s="9" t="s">
        <v>176</v>
      </c>
      <c r="D29" s="10">
        <f>SUMIFS(Data!$K:$K,Data!$A:$A,2025,Data!$B:$B,1)</f>
        <v>3521.0971</v>
      </c>
      <c r="E29" s="10">
        <f>SUMIFS(Data!$K:$K,Data!$A:$A,2025,Data!$B:$B,1,Data!$J:$J,"PLANNED")</f>
        <v>2120.1022</v>
      </c>
      <c r="F29" s="10">
        <f>SUMIFS(Data!$K:$K,Data!$A:$A,2025,Data!$B:$B,1,Data!$J:$J,"UNPLANNED")</f>
        <v>1400.9949</v>
      </c>
      <c r="G29" s="15">
        <f>IFERROR(F29/D29,0)</f>
        <v>0.3978859032316944</v>
      </c>
      <c r="H29" s="10">
        <f>SUMIFS(Data!$K:$K,Data!$A:$A,2025,Data!$B:$B,1,Data!$G:$G,"CDU")</f>
        <v>1256.145</v>
      </c>
      <c r="I29" s="10">
        <f>SUMIFS(Data!$K:$K,Data!$A:$A,2025,Data!$B:$B,1,Data!$G:$G,"FCC")</f>
        <v>297.316</v>
      </c>
      <c r="J29" s="10">
        <f>SUMIFS(Data!$K:$K,Data!$A:$A,2025,Data!$B:$B,1,Data!$G:$G,"Hydrocracker")</f>
        <v>158.245</v>
      </c>
      <c r="K29" s="10">
        <f>SUMIFS(Data!$K:$K,Data!$A:$A,2025,Data!$B:$B,1,Data!$G:$G,"Reformer")</f>
        <v>160.3135</v>
      </c>
      <c r="L29" s="10">
        <f>SUMIFS(Data!$K:$K,Data!$A:$A,2025,Data!$B:$B,1,Data!$F:$F,"PADD 1")</f>
        <v>240.51</v>
      </c>
      <c r="M29" s="10">
        <f>SUMIFS(Data!$K:$K,Data!$A:$A,2025,Data!$B:$B,1,Data!$F:$F,"PADD 2")</f>
        <v>194.6489</v>
      </c>
      <c r="N29" s="10">
        <f>SUMIFS(Data!$K:$K,Data!$A:$A,2025,Data!$B:$B,1,Data!$F:$F,"PADD 3")</f>
        <v>2513.4755999999998</v>
      </c>
      <c r="O29" s="10">
        <f>SUMIFS(Data!$K:$K,Data!$A:$A,2025,Data!$B:$B,1,Data!$F:$F,"PADD 4")</f>
        <v>63.17959999999999</v>
      </c>
      <c r="P29" s="10">
        <f>SUMIFS(Data!$K:$K,Data!$A:$A,2025,Data!$B:$B,1,Data!$F:$F,"PADD 5")</f>
        <v>509.28299999999996</v>
      </c>
      <c r="Q29" s="10">
        <f>K29*ref_intake-H29*naph_yield</f>
        <v>-279.3372499999999</v>
      </c>
    </row>
    <row r="30" spans="1:17">
      <c r="A30" s="6">
        <v>2025</v>
      </c>
      <c r="B30" s="6">
        <v>2</v>
      </c>
      <c r="C30" s="9" t="s">
        <v>177</v>
      </c>
      <c r="D30" s="10">
        <f>SUMIFS(Data!$K:$K,Data!$A:$A,2025,Data!$B:$B,2)</f>
        <v>5027.1616</v>
      </c>
      <c r="E30" s="10">
        <f>SUMIFS(Data!$K:$K,Data!$A:$A,2025,Data!$B:$B,2,Data!$J:$J,"PLANNED")</f>
        <v>3003.7811</v>
      </c>
      <c r="F30" s="10">
        <f>SUMIFS(Data!$K:$K,Data!$A:$A,2025,Data!$B:$B,2,Data!$J:$J,"UNPLANNED")</f>
        <v>2023.3805</v>
      </c>
      <c r="G30" s="15">
        <f>IFERROR(F30/D30,0)</f>
        <v>0.40248964743842724</v>
      </c>
      <c r="H30" s="10">
        <f>SUMIFS(Data!$K:$K,Data!$A:$A,2025,Data!$B:$B,2,Data!$G:$G,"CDU")</f>
        <v>1649.407</v>
      </c>
      <c r="I30" s="10">
        <f>SUMIFS(Data!$K:$K,Data!$A:$A,2025,Data!$B:$B,2,Data!$G:$G,"FCC")</f>
        <v>403.831</v>
      </c>
      <c r="J30" s="10">
        <f>SUMIFS(Data!$K:$K,Data!$A:$A,2025,Data!$B:$B,2,Data!$G:$G,"Hydrocracker")</f>
        <v>255.94</v>
      </c>
      <c r="K30" s="10">
        <f>SUMIFS(Data!$K:$K,Data!$A:$A,2025,Data!$B:$B,2,Data!$G:$G,"Reformer")</f>
        <v>251.5285</v>
      </c>
      <c r="L30" s="10">
        <f>SUMIFS(Data!$K:$K,Data!$A:$A,2025,Data!$B:$B,2,Data!$F:$F,"PADD 1")</f>
        <v>486.744</v>
      </c>
      <c r="M30" s="10">
        <f>SUMIFS(Data!$K:$K,Data!$A:$A,2025,Data!$B:$B,2,Data!$F:$F,"PADD 2")</f>
        <v>601.5409</v>
      </c>
      <c r="N30" s="10">
        <f>SUMIFS(Data!$K:$K,Data!$A:$A,2025,Data!$B:$B,2,Data!$F:$F,"PADD 3")</f>
        <v>2916.5111</v>
      </c>
      <c r="O30" s="10">
        <f>SUMIFS(Data!$K:$K,Data!$A:$A,2025,Data!$B:$B,2,Data!$F:$F,"PADD 4")</f>
        <v>36.943599999999996</v>
      </c>
      <c r="P30" s="10">
        <f>SUMIFS(Data!$K:$K,Data!$A:$A,2025,Data!$B:$B,2,Data!$F:$F,"PADD 5")</f>
        <v>985.422</v>
      </c>
      <c r="Q30" s="10">
        <f>K30*ref_intake-H30*naph_yield</f>
        <v>-325.7639499999999</v>
      </c>
    </row>
    <row r="31" spans="1:17">
      <c r="A31" s="6">
        <v>2025</v>
      </c>
      <c r="B31" s="6">
        <v>3</v>
      </c>
      <c r="C31" s="9" t="s">
        <v>178</v>
      </c>
      <c r="D31" s="10">
        <f>SUMIFS(Data!$K:$K,Data!$A:$A,2025,Data!$B:$B,3)</f>
        <v>4447.6385</v>
      </c>
      <c r="E31" s="10">
        <f>SUMIFS(Data!$K:$K,Data!$A:$A,2025,Data!$B:$B,3,Data!$J:$J,"PLANNED")</f>
        <v>2219.192</v>
      </c>
      <c r="F31" s="10">
        <f>SUMIFS(Data!$K:$K,Data!$A:$A,2025,Data!$B:$B,3,Data!$J:$J,"UNPLANNED")</f>
        <v>2228.4465</v>
      </c>
      <c r="G31" s="15">
        <f>IFERROR(F31/D31,0)</f>
        <v>0.501040383565346</v>
      </c>
      <c r="H31" s="10">
        <f>SUMIFS(Data!$K:$K,Data!$A:$A,2025,Data!$B:$B,3,Data!$G:$G,"CDU")</f>
        <v>1632.123</v>
      </c>
      <c r="I31" s="10">
        <f>SUMIFS(Data!$K:$K,Data!$A:$A,2025,Data!$B:$B,3,Data!$G:$G,"FCC")</f>
        <v>472.933</v>
      </c>
      <c r="J31" s="10">
        <f>SUMIFS(Data!$K:$K,Data!$A:$A,2025,Data!$B:$B,3,Data!$G:$G,"Hydrocracker")</f>
        <v>219.599</v>
      </c>
      <c r="K31" s="10">
        <f>SUMIFS(Data!$K:$K,Data!$A:$A,2025,Data!$B:$B,3,Data!$G:$G,"Reformer")</f>
        <v>301.84</v>
      </c>
      <c r="L31" s="10">
        <f>SUMIFS(Data!$K:$K,Data!$A:$A,2025,Data!$B:$B,3,Data!$F:$F,"PADD 1")</f>
        <v>667.28</v>
      </c>
      <c r="M31" s="10">
        <f>SUMIFS(Data!$K:$K,Data!$A:$A,2025,Data!$B:$B,3,Data!$F:$F,"PADD 2")</f>
        <v>1279.6</v>
      </c>
      <c r="N31" s="10">
        <f>SUMIFS(Data!$K:$K,Data!$A:$A,2025,Data!$B:$B,3,Data!$F:$F,"PADD 3")</f>
        <v>1164.6680000000001</v>
      </c>
      <c r="O31" s="10">
        <f>SUMIFS(Data!$K:$K,Data!$A:$A,2025,Data!$B:$B,3,Data!$F:$F,"PADD 4")</f>
        <v>72.1625</v>
      </c>
      <c r="P31" s="10">
        <f>SUMIFS(Data!$K:$K,Data!$A:$A,2025,Data!$B:$B,3,Data!$F:$F,"PADD 5")</f>
        <v>1263.928</v>
      </c>
      <c r="Q31" s="10">
        <f>K31*ref_intake-H31*naph_yield</f>
        <v>-269.40304999999995</v>
      </c>
    </row>
    <row r="32" spans="1:17">
      <c r="A32" s="6">
        <v>2025</v>
      </c>
      <c r="B32" s="6">
        <v>4</v>
      </c>
      <c r="C32" s="9" t="s">
        <v>179</v>
      </c>
      <c r="D32" s="10">
        <f>SUMIFS(Data!$K:$K,Data!$A:$A,2025,Data!$B:$B,4)</f>
        <v>5357.5436</v>
      </c>
      <c r="E32" s="10">
        <f>SUMIFS(Data!$K:$K,Data!$A:$A,2025,Data!$B:$B,4,Data!$J:$J,"PLANNED")</f>
        <v>2736.3085</v>
      </c>
      <c r="F32" s="10">
        <f>SUMIFS(Data!$K:$K,Data!$A:$A,2025,Data!$B:$B,4,Data!$J:$J,"UNPLANNED")</f>
        <v>2621.2351</v>
      </c>
      <c r="G32" s="15">
        <f>IFERROR(F32/D32,0)</f>
        <v>0.48926061936294835</v>
      </c>
      <c r="H32" s="10">
        <f>SUMIFS(Data!$K:$K,Data!$A:$A,2025,Data!$B:$B,4,Data!$G:$G,"CDU")</f>
        <v>1850.1686</v>
      </c>
      <c r="I32" s="10">
        <f>SUMIFS(Data!$K:$K,Data!$A:$A,2025,Data!$B:$B,4,Data!$G:$G,"FCC")</f>
        <v>576.225</v>
      </c>
      <c r="J32" s="10">
        <f>SUMIFS(Data!$K:$K,Data!$A:$A,2025,Data!$B:$B,4,Data!$G:$G,"Hydrocracker")</f>
        <v>244.39000000000001</v>
      </c>
      <c r="K32" s="10">
        <f>SUMIFS(Data!$K:$K,Data!$A:$A,2025,Data!$B:$B,4,Data!$G:$G,"Reformer")</f>
        <v>443.2805</v>
      </c>
      <c r="L32" s="10">
        <f>SUMIFS(Data!$K:$K,Data!$A:$A,2025,Data!$B:$B,4,Data!$F:$F,"PADD 1")</f>
        <v>363.0836</v>
      </c>
      <c r="M32" s="10">
        <f>SUMIFS(Data!$K:$K,Data!$A:$A,2025,Data!$B:$B,4,Data!$F:$F,"PADD 2")</f>
        <v>2216.888</v>
      </c>
      <c r="N32" s="10">
        <f>SUMIFS(Data!$K:$K,Data!$A:$A,2025,Data!$B:$B,4,Data!$F:$F,"PADD 3")</f>
        <v>951.206</v>
      </c>
      <c r="O32" s="10">
        <f>SUMIFS(Data!$K:$K,Data!$A:$A,2025,Data!$B:$B,4,Data!$F:$F,"PADD 4")</f>
        <v>127.706</v>
      </c>
      <c r="P32" s="10">
        <f>SUMIFS(Data!$K:$K,Data!$A:$A,2025,Data!$B:$B,4,Data!$F:$F,"PADD 5")</f>
        <v>1698.66</v>
      </c>
      <c r="Q32" s="10">
        <f>K32*ref_intake-H32*naph_yield</f>
        <v>-204.27850999999993</v>
      </c>
    </row>
    <row r="33" spans="1:17">
      <c r="A33" s="6">
        <v>2025</v>
      </c>
      <c r="B33" s="6">
        <v>5</v>
      </c>
      <c r="C33" s="9" t="s">
        <v>180</v>
      </c>
      <c r="D33" s="10">
        <f>SUMIFS(Data!$K:$K,Data!$A:$A,2025,Data!$B:$B,5)</f>
        <v>2654.0926</v>
      </c>
      <c r="E33" s="10">
        <f>SUMIFS(Data!$K:$K,Data!$A:$A,2025,Data!$B:$B,5,Data!$J:$J,"PLANNED")</f>
        <v>900.91</v>
      </c>
      <c r="F33" s="10">
        <f>SUMIFS(Data!$K:$K,Data!$A:$A,2025,Data!$B:$B,5,Data!$J:$J,"UNPLANNED")</f>
        <v>1753.1826</v>
      </c>
      <c r="G33" s="15">
        <f>IFERROR(F33/D33,0)</f>
        <v>0.6605581885123376</v>
      </c>
      <c r="H33" s="10">
        <f>SUMIFS(Data!$K:$K,Data!$A:$A,2025,Data!$B:$B,5,Data!$G:$G,"CDU")</f>
        <v>956.3466</v>
      </c>
      <c r="I33" s="10">
        <f>SUMIFS(Data!$K:$K,Data!$A:$A,2025,Data!$B:$B,5,Data!$G:$G,"FCC")</f>
        <v>393.455</v>
      </c>
      <c r="J33" s="10">
        <f>SUMIFS(Data!$K:$K,Data!$A:$A,2025,Data!$B:$B,5,Data!$G:$G,"Hydrocracker")</f>
        <v>128.7</v>
      </c>
      <c r="K33" s="10">
        <f>SUMIFS(Data!$K:$K,Data!$A:$A,2025,Data!$B:$B,5,Data!$G:$G,"Reformer")</f>
        <v>213.1394</v>
      </c>
      <c r="L33" s="10">
        <f>SUMIFS(Data!$K:$K,Data!$A:$A,2025,Data!$B:$B,5,Data!$F:$F,"PADD 1")</f>
        <v>265.68</v>
      </c>
      <c r="M33" s="10">
        <f>SUMIFS(Data!$K:$K,Data!$A:$A,2025,Data!$B:$B,5,Data!$F:$F,"PADD 2")</f>
        <v>919.8906</v>
      </c>
      <c r="N33" s="10">
        <f>SUMIFS(Data!$K:$K,Data!$A:$A,2025,Data!$B:$B,5,Data!$F:$F,"PADD 3")</f>
        <v>451.324</v>
      </c>
      <c r="O33" s="10">
        <f>SUMIFS(Data!$K:$K,Data!$A:$A,2025,Data!$B:$B,5,Data!$F:$F,"PADD 4")</f>
        <v>75.15</v>
      </c>
      <c r="P33" s="10">
        <f>SUMIFS(Data!$K:$K,Data!$A:$A,2025,Data!$B:$B,5,Data!$F:$F,"PADD 5")</f>
        <v>942.048</v>
      </c>
      <c r="Q33" s="10">
        <f>K33*ref_intake-H33*naph_yield</f>
        <v>-121.58190999999997</v>
      </c>
    </row>
    <row r="34" spans="1:17">
      <c r="A34" s="6">
        <v>2025</v>
      </c>
      <c r="B34" s="6">
        <v>6</v>
      </c>
      <c r="C34" s="9" t="s">
        <v>181</v>
      </c>
      <c r="D34" s="10">
        <f>SUMIFS(Data!$K:$K,Data!$A:$A,2025,Data!$B:$B,6)</f>
        <v>1540.4157</v>
      </c>
      <c r="E34" s="10">
        <f>SUMIFS(Data!$K:$K,Data!$A:$A,2025,Data!$B:$B,6,Data!$J:$J,"PLANNED")</f>
        <v>370.8306</v>
      </c>
      <c r="F34" s="10">
        <f>SUMIFS(Data!$K:$K,Data!$A:$A,2025,Data!$B:$B,6,Data!$J:$J,"UNPLANNED")</f>
        <v>1169.5851</v>
      </c>
      <c r="G34" s="15">
        <f>IFERROR(F34/D34,0)</f>
        <v>0.7592658916680738</v>
      </c>
      <c r="H34" s="10">
        <f>SUMIFS(Data!$K:$K,Data!$A:$A,2025,Data!$B:$B,6,Data!$G:$G,"CDU")</f>
        <v>488.1771</v>
      </c>
      <c r="I34" s="10">
        <f>SUMIFS(Data!$K:$K,Data!$A:$A,2025,Data!$B:$B,6,Data!$G:$G,"FCC")</f>
        <v>215.541</v>
      </c>
      <c r="J34" s="10">
        <f>SUMIFS(Data!$K:$K,Data!$A:$A,2025,Data!$B:$B,6,Data!$G:$G,"Hydrocracker")</f>
        <v>149.126</v>
      </c>
      <c r="K34" s="10">
        <f>SUMIFS(Data!$K:$K,Data!$A:$A,2025,Data!$B:$B,6,Data!$G:$G,"Reformer")</f>
        <v>90.0075</v>
      </c>
      <c r="L34" s="10">
        <f>SUMIFS(Data!$K:$K,Data!$A:$A,2025,Data!$B:$B,6,Data!$F:$F,"PADD 1")</f>
        <v>191.70420000000001</v>
      </c>
      <c r="M34" s="10">
        <f>SUMIFS(Data!$K:$K,Data!$A:$A,2025,Data!$B:$B,6,Data!$F:$F,"PADD 2")</f>
        <v>326.2495</v>
      </c>
      <c r="N34" s="10">
        <f>SUMIFS(Data!$K:$K,Data!$A:$A,2025,Data!$B:$B,6,Data!$F:$F,"PADD 3")</f>
        <v>382.74899999999997</v>
      </c>
      <c r="O34" s="10">
        <f>SUMIFS(Data!$K:$K,Data!$A:$A,2025,Data!$B:$B,6,Data!$F:$F,"PADD 4")</f>
        <v>8.223</v>
      </c>
      <c r="P34" s="10">
        <f>SUMIFS(Data!$K:$K,Data!$A:$A,2025,Data!$B:$B,6,Data!$F:$F,"PADD 5")</f>
        <v>631.49</v>
      </c>
      <c r="Q34" s="10">
        <f>K34*ref_intake-H34*naph_yield</f>
        <v>-80.85448499999998</v>
      </c>
    </row>
    <row r="35" spans="1:17">
      <c r="A35" s="6">
        <v>2025</v>
      </c>
      <c r="B35" s="6">
        <v>7</v>
      </c>
      <c r="C35" s="9" t="s">
        <v>182</v>
      </c>
      <c r="D35" s="10">
        <f>SUMIFS(Data!$K:$K,Data!$A:$A,2025,Data!$B:$B,7)</f>
        <v>1195.17</v>
      </c>
      <c r="E35" s="10">
        <f>SUMIFS(Data!$K:$K,Data!$A:$A,2025,Data!$B:$B,7,Data!$J:$J,"PLANNED")</f>
        <v>255.71620000000001</v>
      </c>
      <c r="F35" s="10">
        <f>SUMIFS(Data!$K:$K,Data!$A:$A,2025,Data!$B:$B,7,Data!$J:$J,"UNPLANNED")</f>
        <v>939.4538</v>
      </c>
      <c r="G35" s="15">
        <f>IFERROR(F35/D35,0)</f>
        <v>0.7860419856589439</v>
      </c>
      <c r="H35" s="10">
        <f>SUMIFS(Data!$K:$K,Data!$A:$A,2025,Data!$B:$B,7,Data!$G:$G,"CDU")</f>
        <v>349.903</v>
      </c>
      <c r="I35" s="10">
        <f>SUMIFS(Data!$K:$K,Data!$A:$A,2025,Data!$B:$B,7,Data!$G:$G,"FCC")</f>
        <v>183.557</v>
      </c>
      <c r="J35" s="10">
        <f>SUMIFS(Data!$K:$K,Data!$A:$A,2025,Data!$B:$B,7,Data!$G:$G,"Hydrocracker")</f>
        <v>155.39499999999998</v>
      </c>
      <c r="K35" s="10">
        <f>SUMIFS(Data!$K:$K,Data!$A:$A,2025,Data!$B:$B,7,Data!$G:$G,"Reformer")</f>
        <v>37.819</v>
      </c>
      <c r="L35" s="10">
        <f>SUMIFS(Data!$K:$K,Data!$A:$A,2025,Data!$B:$B,7,Data!$F:$F,"PADD 1")</f>
        <v>175.9952</v>
      </c>
      <c r="M35" s="10">
        <f>SUMIFS(Data!$K:$K,Data!$A:$A,2025,Data!$B:$B,7,Data!$F:$F,"PADD 2")</f>
        <v>260.56600000000003</v>
      </c>
      <c r="N35" s="10">
        <f>SUMIFS(Data!$K:$K,Data!$A:$A,2025,Data!$B:$B,7,Data!$F:$F,"PADD 3")</f>
        <v>296.0898</v>
      </c>
      <c r="O35" s="10">
        <f>SUMIFS(Data!$K:$K,Data!$A:$A,2025,Data!$B:$B,7,Data!$F:$F,"PADD 4")</f>
        <v>92.112</v>
      </c>
      <c r="P35" s="10">
        <f>SUMIFS(Data!$K:$K,Data!$A:$A,2025,Data!$B:$B,7,Data!$F:$F,"PADD 5")</f>
        <v>370.40700000000004</v>
      </c>
      <c r="Q35" s="10">
        <f>K35*ref_intake-H35*naph_yield</f>
        <v>-84.64705</v>
      </c>
    </row>
    <row r="36" spans="1:17">
      <c r="A36" s="6">
        <v>2025</v>
      </c>
      <c r="B36" s="6">
        <v>8</v>
      </c>
      <c r="C36" s="9" t="s">
        <v>183</v>
      </c>
      <c r="D36" s="10">
        <f>SUMIFS(Data!$K:$K,Data!$A:$A,2025,Data!$B:$B,8)</f>
        <v>1609.1225</v>
      </c>
      <c r="E36" s="10">
        <f>SUMIFS(Data!$K:$K,Data!$A:$A,2025,Data!$B:$B,8,Data!$J:$J,"PLANNED")</f>
        <v>629.405</v>
      </c>
      <c r="F36" s="10">
        <f>SUMIFS(Data!$K:$K,Data!$A:$A,2025,Data!$B:$B,8,Data!$J:$J,"UNPLANNED")</f>
        <v>979.7175</v>
      </c>
      <c r="G36" s="15">
        <f>IFERROR(F36/D36,0)</f>
        <v>0.6088520295999839</v>
      </c>
      <c r="H36" s="10">
        <f>SUMIFS(Data!$K:$K,Data!$A:$A,2025,Data!$B:$B,8,Data!$G:$G,"CDU")</f>
        <v>393.86580000000004</v>
      </c>
      <c r="I36" s="10">
        <f>SUMIFS(Data!$K:$K,Data!$A:$A,2025,Data!$B:$B,8,Data!$G:$G,"FCC")</f>
        <v>235.215</v>
      </c>
      <c r="J36" s="10">
        <f>SUMIFS(Data!$K:$K,Data!$A:$A,2025,Data!$B:$B,8,Data!$G:$G,"Hydrocracker")</f>
        <v>201.5</v>
      </c>
      <c r="K36" s="10">
        <f>SUMIFS(Data!$K:$K,Data!$A:$A,2025,Data!$B:$B,8,Data!$G:$G,"Reformer")</f>
        <v>87.89999999999999</v>
      </c>
      <c r="L36" s="10">
        <f>SUMIFS(Data!$K:$K,Data!$A:$A,2025,Data!$B:$B,8,Data!$F:$F,"PADD 1")</f>
        <v>4.58</v>
      </c>
      <c r="M36" s="10">
        <f>SUMIFS(Data!$K:$K,Data!$A:$A,2025,Data!$B:$B,8,Data!$F:$F,"PADD 2")</f>
        <v>603.6235</v>
      </c>
      <c r="N36" s="10">
        <f>SUMIFS(Data!$K:$K,Data!$A:$A,2025,Data!$B:$B,8,Data!$F:$F,"PADD 3")</f>
        <v>608.524</v>
      </c>
      <c r="O36" s="10">
        <f>SUMIFS(Data!$K:$K,Data!$A:$A,2025,Data!$B:$B,8,Data!$F:$F,"PADD 4")</f>
        <v>4.779999999999999</v>
      </c>
      <c r="P36" s="10">
        <f>SUMIFS(Data!$K:$K,Data!$A:$A,2025,Data!$B:$B,8,Data!$F:$F,"PADD 5")</f>
        <v>387.615</v>
      </c>
      <c r="Q36" s="10">
        <f>K36*ref_intake-H36*naph_yield</f>
        <v>-49.95303</v>
      </c>
    </row>
    <row r="37" spans="1:17">
      <c r="A37" s="6">
        <v>2025</v>
      </c>
      <c r="B37" s="6">
        <v>9</v>
      </c>
      <c r="C37" s="9" t="s">
        <v>184</v>
      </c>
      <c r="D37" s="10">
        <f>SUMIFS(Data!$K:$K,Data!$A:$A,2025,Data!$B:$B,9)</f>
        <v>3544.1765</v>
      </c>
      <c r="E37" s="10">
        <f>SUMIFS(Data!$K:$K,Data!$A:$A,2025,Data!$B:$B,9,Data!$J:$J,"PLANNED")</f>
        <v>2057.151</v>
      </c>
      <c r="F37" s="10">
        <f>SUMIFS(Data!$K:$K,Data!$A:$A,2025,Data!$B:$B,9,Data!$J:$J,"UNPLANNED")</f>
        <v>1487.0255</v>
      </c>
      <c r="G37" s="15">
        <f>IFERROR(F37/D37,0)</f>
        <v>0.4195686924734138</v>
      </c>
      <c r="H37" s="10">
        <f>SUMIFS(Data!$K:$K,Data!$A:$A,2025,Data!$B:$B,9,Data!$G:$G,"CDU")</f>
        <v>1152.71</v>
      </c>
      <c r="I37" s="10">
        <f>SUMIFS(Data!$K:$K,Data!$A:$A,2025,Data!$B:$B,9,Data!$G:$G,"FCC")</f>
        <v>364.325</v>
      </c>
      <c r="J37" s="10">
        <f>SUMIFS(Data!$K:$K,Data!$A:$A,2025,Data!$B:$B,9,Data!$G:$G,"Hydrocracker")</f>
        <v>144.05</v>
      </c>
      <c r="K37" s="10">
        <f>SUMIFS(Data!$K:$K,Data!$A:$A,2025,Data!$B:$B,9,Data!$G:$G,"Reformer")</f>
        <v>131.7565</v>
      </c>
      <c r="L37" s="10">
        <f>SUMIFS(Data!$K:$K,Data!$A:$A,2025,Data!$B:$B,9,Data!$F:$F,"PADD 1")</f>
        <v>7.8</v>
      </c>
      <c r="M37" s="10">
        <f>SUMIFS(Data!$K:$K,Data!$A:$A,2025,Data!$B:$B,9,Data!$F:$F,"PADD 2")</f>
        <v>773.2645</v>
      </c>
      <c r="N37" s="10">
        <f>SUMIFS(Data!$K:$K,Data!$A:$A,2025,Data!$B:$B,9,Data!$F:$F,"PADD 3")</f>
        <v>2193.196</v>
      </c>
      <c r="O37" s="10">
        <f>SUMIFS(Data!$K:$K,Data!$A:$A,2025,Data!$B:$B,9,Data!$F:$F,"PADD 4")</f>
        <v>6.365</v>
      </c>
      <c r="P37" s="10">
        <f>SUMIFS(Data!$K:$K,Data!$A:$A,2025,Data!$B:$B,9,Data!$F:$F,"PADD 5")</f>
        <v>563.551</v>
      </c>
      <c r="Q37" s="10">
        <f>K37*ref_intake-H37*naph_yield</f>
        <v>-271.692</v>
      </c>
    </row>
    <row r="38" spans="1:17">
      <c r="A38" s="6">
        <v>2025</v>
      </c>
      <c r="B38" s="6">
        <v>10</v>
      </c>
      <c r="C38" s="9" t="s">
        <v>185</v>
      </c>
      <c r="D38" s="10">
        <f>SUMIFS(Data!$K:$K,Data!$A:$A,2025,Data!$B:$B,10)</f>
        <v>5848.478</v>
      </c>
      <c r="E38" s="10">
        <f>SUMIFS(Data!$K:$K,Data!$A:$A,2025,Data!$B:$B,10,Data!$J:$J,"PLANNED")</f>
        <v>3379.727</v>
      </c>
      <c r="F38" s="10">
        <f>SUMIFS(Data!$K:$K,Data!$A:$A,2025,Data!$B:$B,10,Data!$J:$J,"UNPLANNED")</f>
        <v>2468.751</v>
      </c>
      <c r="G38" s="15">
        <f>IFERROR(F38/D38,0)</f>
        <v>0.42211854092637435</v>
      </c>
      <c r="H38" s="10">
        <f>SUMIFS(Data!$K:$K,Data!$A:$A,2025,Data!$B:$B,10,Data!$G:$G,"CDU")</f>
        <v>1864.885</v>
      </c>
      <c r="I38" s="10">
        <f>SUMIFS(Data!$K:$K,Data!$A:$A,2025,Data!$B:$B,10,Data!$G:$G,"FCC")</f>
        <v>702.5715</v>
      </c>
      <c r="J38" s="10">
        <f>SUMIFS(Data!$K:$K,Data!$A:$A,2025,Data!$B:$B,10,Data!$G:$G,"Hydrocracker")</f>
        <v>242.68</v>
      </c>
      <c r="K38" s="10">
        <f>SUMIFS(Data!$K:$K,Data!$A:$A,2025,Data!$B:$B,10,Data!$G:$G,"Reformer")</f>
        <v>379.416</v>
      </c>
      <c r="L38" s="10">
        <f>SUMIFS(Data!$K:$K,Data!$A:$A,2025,Data!$B:$B,10,Data!$F:$F,"PADD 1")</f>
        <v>10.24</v>
      </c>
      <c r="M38" s="10">
        <f>SUMIFS(Data!$K:$K,Data!$A:$A,2025,Data!$B:$B,10,Data!$F:$F,"PADD 2")</f>
        <v>1204.6989</v>
      </c>
      <c r="N38" s="10">
        <f>SUMIFS(Data!$K:$K,Data!$A:$A,2025,Data!$B:$B,10,Data!$F:$F,"PADD 3")</f>
        <v>3093.4153</v>
      </c>
      <c r="O38" s="10">
        <f>SUMIFS(Data!$K:$K,Data!$A:$A,2025,Data!$B:$B,10,Data!$F:$F,"PADD 4")</f>
        <v>54.195</v>
      </c>
      <c r="P38" s="10">
        <f>SUMIFS(Data!$K:$K,Data!$A:$A,2025,Data!$B:$B,10,Data!$F:$F,"PADD 5")</f>
        <v>1485.9288</v>
      </c>
      <c r="Q38" s="10">
        <f>K38*ref_intake-H38*naph_yield</f>
        <v>-273.29375</v>
      </c>
    </row>
    <row r="39" spans="1:17">
      <c r="A39" s="6">
        <v>2025</v>
      </c>
      <c r="B39" s="6">
        <v>11</v>
      </c>
      <c r="C39" s="9" t="s">
        <v>186</v>
      </c>
      <c r="D39" s="10">
        <f>SUMIFS(Data!$K:$K,Data!$A:$A,2025,Data!$B:$B,11)</f>
        <v>3057.862</v>
      </c>
      <c r="E39" s="10">
        <f>SUMIFS(Data!$K:$K,Data!$A:$A,2025,Data!$B:$B,11,Data!$J:$J,"PLANNED")</f>
        <v>1733.814</v>
      </c>
      <c r="F39" s="10">
        <f>SUMIFS(Data!$K:$K,Data!$A:$A,2025,Data!$B:$B,11,Data!$J:$J,"UNPLANNED")</f>
        <v>1324.048</v>
      </c>
      <c r="G39" s="15">
        <f>IFERROR(F39/D39,0)</f>
        <v>0.4329979573963769</v>
      </c>
      <c r="H39" s="10">
        <f>SUMIFS(Data!$K:$K,Data!$A:$A,2025,Data!$B:$B,11,Data!$G:$G,"CDU")</f>
        <v>989.6356</v>
      </c>
      <c r="I39" s="10">
        <f>SUMIFS(Data!$K:$K,Data!$A:$A,2025,Data!$B:$B,11,Data!$G:$G,"FCC")</f>
        <v>409.0129</v>
      </c>
      <c r="J39" s="10">
        <f>SUMIFS(Data!$K:$K,Data!$A:$A,2025,Data!$B:$B,11,Data!$G:$G,"Hydrocracker")</f>
        <v>146.955</v>
      </c>
      <c r="K39" s="10">
        <f>SUMIFS(Data!$K:$K,Data!$A:$A,2025,Data!$B:$B,11,Data!$G:$G,"Reformer")</f>
        <v>227.80949999999999</v>
      </c>
      <c r="L39" s="10">
        <f>SUMIFS(Data!$K:$K,Data!$A:$A,2025,Data!$B:$B,11,Data!$F:$F,"PADD 1")</f>
        <v>2.04</v>
      </c>
      <c r="M39" s="10">
        <f>SUMIFS(Data!$K:$K,Data!$A:$A,2025,Data!$B:$B,11,Data!$F:$F,"PADD 2")</f>
        <v>328.8481</v>
      </c>
      <c r="N39" s="10">
        <f>SUMIFS(Data!$K:$K,Data!$A:$A,2025,Data!$B:$B,11,Data!$F:$F,"PADD 3")</f>
        <v>1683.7699</v>
      </c>
      <c r="O39" s="10">
        <f>SUMIFS(Data!$K:$K,Data!$A:$A,2025,Data!$B:$B,11,Data!$F:$F,"PADD 4")</f>
        <v>16.895</v>
      </c>
      <c r="P39" s="10">
        <f>SUMIFS(Data!$K:$K,Data!$A:$A,2025,Data!$B:$B,11,Data!$F:$F,"PADD 5")</f>
        <v>1026.309</v>
      </c>
      <c r="Q39" s="10">
        <f>K39*ref_intake-H39*naph_yield</f>
        <v>-118.56296</v>
      </c>
    </row>
    <row r="40" spans="1:17">
      <c r="A40" s="6">
        <v>2025</v>
      </c>
      <c r="B40" s="6">
        <v>12</v>
      </c>
      <c r="C40" s="9" t="s">
        <v>187</v>
      </c>
      <c r="D40" s="10">
        <f>SUMIFS(Data!$K:$K,Data!$A:$A,2025,Data!$B:$B,12)</f>
        <v>943.3530000000001</v>
      </c>
      <c r="E40" s="10">
        <f>SUMIFS(Data!$K:$K,Data!$A:$A,2025,Data!$B:$B,12,Data!$J:$J,"PLANNED")</f>
        <v>81.62</v>
      </c>
      <c r="F40" s="10">
        <f>SUMIFS(Data!$K:$K,Data!$A:$A,2025,Data!$B:$B,12,Data!$J:$J,"UNPLANNED")</f>
        <v>861.7330000000001</v>
      </c>
      <c r="G40" s="15">
        <f>IFERROR(F40/D40,0)</f>
        <v>0.9134788356002472</v>
      </c>
      <c r="H40" s="10">
        <f>SUMIFS(Data!$K:$K,Data!$A:$A,2025,Data!$B:$B,12,Data!$G:$G,"CDU")</f>
        <v>313.306</v>
      </c>
      <c r="I40" s="10">
        <f>SUMIFS(Data!$K:$K,Data!$A:$A,2025,Data!$B:$B,12,Data!$G:$G,"FCC")</f>
        <v>75.961</v>
      </c>
      <c r="J40" s="10">
        <f>SUMIFS(Data!$K:$K,Data!$A:$A,2025,Data!$B:$B,12,Data!$G:$G,"Hydrocracker")</f>
        <v>84.29</v>
      </c>
      <c r="K40" s="10">
        <f>SUMIFS(Data!$K:$K,Data!$A:$A,2025,Data!$B:$B,12,Data!$G:$G,"Reformer")</f>
        <v>25.235</v>
      </c>
      <c r="L40" s="10">
        <f>SUMIFS(Data!$K:$K,Data!$A:$A,2025,Data!$B:$B,12,Data!$F:$F,"PADD 1")</f>
        <v>0.0</v>
      </c>
      <c r="M40" s="10">
        <f>SUMIFS(Data!$K:$K,Data!$A:$A,2025,Data!$B:$B,12,Data!$F:$F,"PADD 2")</f>
        <v>129.87</v>
      </c>
      <c r="N40" s="10">
        <f>SUMIFS(Data!$K:$K,Data!$A:$A,2025,Data!$B:$B,12,Data!$F:$F,"PADD 3")</f>
        <v>172.694</v>
      </c>
      <c r="O40" s="10">
        <f>SUMIFS(Data!$K:$K,Data!$A:$A,2025,Data!$B:$B,12,Data!$F:$F,"PADD 4")</f>
        <v>14.088999999999999</v>
      </c>
      <c r="P40" s="10">
        <f>SUMIFS(Data!$K:$K,Data!$A:$A,2025,Data!$B:$B,12,Data!$F:$F,"PADD 5")</f>
        <v>626.7</v>
      </c>
      <c r="Q40" s="10">
        <f>K40*ref_intake-H40*naph_yield</f>
        <v>-84.42209999999999</v>
      </c>
    </row>
    <row r="41" spans="1:17">
      <c r="A41" s="6">
        <v>2026</v>
      </c>
      <c r="B41" s="6">
        <v>1</v>
      </c>
      <c r="C41" s="9" t="s">
        <v>188</v>
      </c>
      <c r="D41" s="10">
        <f>SUMIFS(Data!$K:$K,Data!$A:$A,2026,Data!$B:$B,1)</f>
        <v>1849.6688</v>
      </c>
      <c r="E41" s="10">
        <f>SUMIFS(Data!$K:$K,Data!$A:$A,2026,Data!$B:$B,1,Data!$J:$J,"PLANNED")</f>
        <v>1062.6823</v>
      </c>
      <c r="F41" s="10">
        <f>SUMIFS(Data!$K:$K,Data!$A:$A,2026,Data!$B:$B,1,Data!$J:$J,"UNPLANNED")</f>
        <v>786.9865</v>
      </c>
      <c r="G41" s="15">
        <f>IFERROR(F41/D41,0)</f>
        <v>0.4254742795034441</v>
      </c>
      <c r="H41" s="10">
        <f>SUMIFS(Data!$K:$K,Data!$A:$A,2026,Data!$B:$B,1,Data!$G:$G,"CDU")</f>
        <v>531.3</v>
      </c>
      <c r="I41" s="10">
        <f>SUMIFS(Data!$K:$K,Data!$A:$A,2026,Data!$B:$B,1,Data!$G:$G,"FCC")</f>
        <v>299.98</v>
      </c>
      <c r="J41" s="10">
        <f>SUMIFS(Data!$K:$K,Data!$A:$A,2026,Data!$B:$B,1,Data!$G:$G,"Hydrocracker")</f>
        <v>50.92</v>
      </c>
      <c r="K41" s="10">
        <f>SUMIFS(Data!$K:$K,Data!$A:$A,2026,Data!$B:$B,1,Data!$G:$G,"Reformer")</f>
        <v>95.4175</v>
      </c>
      <c r="L41" s="10">
        <f>SUMIFS(Data!$K:$K,Data!$A:$A,2026,Data!$B:$B,1,Data!$F:$F,"PADD 1")</f>
        <v>32.800000000000004</v>
      </c>
      <c r="M41" s="10">
        <f>SUMIFS(Data!$K:$K,Data!$A:$A,2026,Data!$B:$B,1,Data!$F:$F,"PADD 2")</f>
        <v>161.3505</v>
      </c>
      <c r="N41" s="10">
        <f>SUMIFS(Data!$K:$K,Data!$A:$A,2026,Data!$B:$B,1,Data!$F:$F,"PADD 3")</f>
        <v>1155.2534</v>
      </c>
      <c r="O41" s="10">
        <f>SUMIFS(Data!$K:$K,Data!$A:$A,2026,Data!$B:$B,1,Data!$F:$F,"PADD 4")</f>
        <v>0.0</v>
      </c>
      <c r="P41" s="10">
        <f>SUMIFS(Data!$K:$K,Data!$A:$A,2026,Data!$B:$B,1,Data!$F:$F,"PADD 5")</f>
        <v>500.2649</v>
      </c>
      <c r="Q41" s="10">
        <f>K41*ref_intake-H41*naph_yield</f>
        <v>-90.53749999999998</v>
      </c>
    </row>
    <row r="42" spans="1:17">
      <c r="A42" s="6">
        <v>2026</v>
      </c>
      <c r="B42" s="6">
        <v>2</v>
      </c>
      <c r="C42" s="9" t="s">
        <v>189</v>
      </c>
      <c r="D42" s="10">
        <f>SUMIFS(Data!$K:$K,Data!$A:$A,2026,Data!$B:$B,2)</f>
        <v>3739.2241</v>
      </c>
      <c r="E42" s="10">
        <f>SUMIFS(Data!$K:$K,Data!$A:$A,2026,Data!$B:$B,2,Data!$J:$J,"PLANNED")</f>
        <v>1946.2561</v>
      </c>
      <c r="F42" s="10">
        <f>SUMIFS(Data!$K:$K,Data!$A:$A,2026,Data!$B:$B,2,Data!$J:$J,"UNPLANNED")</f>
        <v>1792.968</v>
      </c>
      <c r="G42" s="15">
        <f>IFERROR(F42/D42,0)</f>
        <v>0.47950268613213104</v>
      </c>
      <c r="H42" s="10">
        <f>SUMIFS(Data!$K:$K,Data!$A:$A,2026,Data!$B:$B,2,Data!$G:$G,"CDU")</f>
        <v>1246.845</v>
      </c>
      <c r="I42" s="10">
        <f>SUMIFS(Data!$K:$K,Data!$A:$A,2026,Data!$B:$B,2,Data!$G:$G,"FCC")</f>
        <v>559.7625</v>
      </c>
      <c r="J42" s="10">
        <f>SUMIFS(Data!$K:$K,Data!$A:$A,2026,Data!$B:$B,2,Data!$G:$G,"Hydrocracker")</f>
        <v>68.32</v>
      </c>
      <c r="K42" s="10">
        <f>SUMIFS(Data!$K:$K,Data!$A:$A,2026,Data!$B:$B,2,Data!$G:$G,"Reformer")</f>
        <v>210.5685</v>
      </c>
      <c r="L42" s="10">
        <f>SUMIFS(Data!$K:$K,Data!$A:$A,2026,Data!$B:$B,2,Data!$F:$F,"PADD 1")</f>
        <v>37.14</v>
      </c>
      <c r="M42" s="10">
        <f>SUMIFS(Data!$K:$K,Data!$A:$A,2026,Data!$B:$B,2,Data!$F:$F,"PADD 2")</f>
        <v>720.4935</v>
      </c>
      <c r="N42" s="10">
        <f>SUMIFS(Data!$K:$K,Data!$A:$A,2026,Data!$B:$B,2,Data!$F:$F,"PADD 3")</f>
        <v>2305.337</v>
      </c>
      <c r="O42" s="10">
        <f>SUMIFS(Data!$K:$K,Data!$A:$A,2026,Data!$B:$B,2,Data!$F:$F,"PADD 4")</f>
        <v>35.302</v>
      </c>
      <c r="P42" s="10">
        <f>SUMIFS(Data!$K:$K,Data!$A:$A,2026,Data!$B:$B,2,Data!$F:$F,"PADD 5")</f>
        <v>640.9516</v>
      </c>
      <c r="Q42" s="10">
        <f>K42*ref_intake-H42*naph_yield</f>
        <v>-225.82724999999996</v>
      </c>
    </row>
    <row r="43" spans="1:17">
      <c r="A43" s="6">
        <v>2026</v>
      </c>
      <c r="B43" s="6">
        <v>3</v>
      </c>
      <c r="C43" s="9" t="s">
        <v>190</v>
      </c>
      <c r="D43" s="10">
        <f>SUMIFS(Data!$K:$K,Data!$A:$A,2026,Data!$B:$B,3)</f>
        <v>3152.1816</v>
      </c>
      <c r="E43" s="10">
        <f>SUMIFS(Data!$K:$K,Data!$A:$A,2026,Data!$B:$B,3,Data!$J:$J,"PLANNED")</f>
        <v>2033.7659</v>
      </c>
      <c r="F43" s="10">
        <f>SUMIFS(Data!$K:$K,Data!$A:$A,2026,Data!$B:$B,3,Data!$J:$J,"UNPLANNED")</f>
        <v>1118.4157</v>
      </c>
      <c r="G43" s="15">
        <f>IFERROR(F43/D43,0)</f>
        <v>0.3548068740709609</v>
      </c>
      <c r="H43" s="10">
        <f>SUMIFS(Data!$K:$K,Data!$A:$A,2026,Data!$B:$B,3,Data!$G:$G,"CDU")</f>
        <v>968.521</v>
      </c>
      <c r="I43" s="10">
        <f>SUMIFS(Data!$K:$K,Data!$A:$A,2026,Data!$B:$B,3,Data!$G:$G,"FCC")</f>
        <v>331.375</v>
      </c>
      <c r="J43" s="10">
        <f>SUMIFS(Data!$K:$K,Data!$A:$A,2026,Data!$B:$B,3,Data!$G:$G,"Hydrocracker")</f>
        <v>145.776</v>
      </c>
      <c r="K43" s="10">
        <f>SUMIFS(Data!$K:$K,Data!$A:$A,2026,Data!$B:$B,3,Data!$G:$G,"Reformer")</f>
        <v>159.17</v>
      </c>
      <c r="L43" s="10">
        <f>SUMIFS(Data!$K:$K,Data!$A:$A,2026,Data!$B:$B,3,Data!$F:$F,"PADD 1")</f>
        <v>51.028000000000006</v>
      </c>
      <c r="M43" s="10">
        <f>SUMIFS(Data!$K:$K,Data!$A:$A,2026,Data!$B:$B,3,Data!$F:$F,"PADD 2")</f>
        <v>1236.0397</v>
      </c>
      <c r="N43" s="10">
        <f>SUMIFS(Data!$K:$K,Data!$A:$A,2026,Data!$B:$B,3,Data!$F:$F,"PADD 3")</f>
        <v>1298.356</v>
      </c>
      <c r="O43" s="10">
        <f>SUMIFS(Data!$K:$K,Data!$A:$A,2026,Data!$B:$B,3,Data!$F:$F,"PADD 4")</f>
        <v>193.667</v>
      </c>
      <c r="P43" s="10">
        <f>SUMIFS(Data!$K:$K,Data!$A:$A,2026,Data!$B:$B,3,Data!$F:$F,"PADD 5")</f>
        <v>373.0909</v>
      </c>
      <c r="Q43" s="10">
        <f>K43*ref_intake-H43*naph_yield</f>
        <v>-179.81234999999995</v>
      </c>
    </row>
    <row r="44" spans="1:17">
      <c r="A44" s="6">
        <v>2026</v>
      </c>
      <c r="B44" s="6">
        <v>4</v>
      </c>
      <c r="C44" s="9" t="s">
        <v>191</v>
      </c>
      <c r="D44" s="10">
        <f>SUMIFS(Data!$K:$K,Data!$A:$A,2026,Data!$B:$B,4)</f>
        <v>3982.502</v>
      </c>
      <c r="E44" s="10">
        <f>SUMIFS(Data!$K:$K,Data!$A:$A,2026,Data!$B:$B,4,Data!$J:$J,"PLANNED")</f>
        <v>1938.51</v>
      </c>
      <c r="F44" s="10">
        <f>SUMIFS(Data!$K:$K,Data!$A:$A,2026,Data!$B:$B,4,Data!$J:$J,"UNPLANNED")</f>
        <v>2043.992</v>
      </c>
      <c r="G44" s="15">
        <f>IFERROR(F44/D44,0)</f>
        <v>0.5132431823009757</v>
      </c>
      <c r="H44" s="10">
        <f>SUMIFS(Data!$K:$K,Data!$A:$A,2026,Data!$B:$B,4,Data!$G:$G,"CDU")</f>
        <v>1411.605</v>
      </c>
      <c r="I44" s="10">
        <f>SUMIFS(Data!$K:$K,Data!$A:$A,2026,Data!$B:$B,4,Data!$G:$G,"FCC")</f>
        <v>558.008</v>
      </c>
      <c r="J44" s="10">
        <f>SUMIFS(Data!$K:$K,Data!$A:$A,2026,Data!$B:$B,4,Data!$G:$G,"Hydrocracker")</f>
        <v>172.765</v>
      </c>
      <c r="K44" s="10">
        <f>SUMIFS(Data!$K:$K,Data!$A:$A,2026,Data!$B:$B,4,Data!$G:$G,"Reformer")</f>
        <v>154.28300000000002</v>
      </c>
      <c r="L44" s="10">
        <f>SUMIFS(Data!$K:$K,Data!$A:$A,2026,Data!$B:$B,4,Data!$F:$F,"PADD 1")</f>
        <v>5.98</v>
      </c>
      <c r="M44" s="10">
        <f>SUMIFS(Data!$K:$K,Data!$A:$A,2026,Data!$B:$B,4,Data!$F:$F,"PADD 2")</f>
        <v>1514.833</v>
      </c>
      <c r="N44" s="10">
        <f>SUMIFS(Data!$K:$K,Data!$A:$A,2026,Data!$B:$B,4,Data!$F:$F,"PADD 3")</f>
        <v>1274.583</v>
      </c>
      <c r="O44" s="10">
        <f>SUMIFS(Data!$K:$K,Data!$A:$A,2026,Data!$B:$B,4,Data!$F:$F,"PADD 4")</f>
        <v>298.055</v>
      </c>
      <c r="P44" s="10">
        <f>SUMIFS(Data!$K:$K,Data!$A:$A,2026,Data!$B:$B,4,Data!$F:$F,"PADD 5")</f>
        <v>889.0509999999999</v>
      </c>
      <c r="Q44" s="10">
        <f>K44*ref_intake-H44*naph_yield</f>
        <v>-339.77874999999995</v>
      </c>
    </row>
    <row r="45" spans="1:17">
      <c r="A45" s="6">
        <v>2026</v>
      </c>
      <c r="B45" s="6">
        <v>5</v>
      </c>
      <c r="C45" s="9" t="s">
        <v>192</v>
      </c>
      <c r="D45" s="10">
        <f>SUMIFS(Data!$K:$K,Data!$A:$A,2026,Data!$B:$B,5)</f>
        <v>2203.7437</v>
      </c>
      <c r="E45" s="10">
        <f>SUMIFS(Data!$K:$K,Data!$A:$A,2026,Data!$B:$B,5,Data!$J:$J,"PLANNED")</f>
        <v>1001.3308</v>
      </c>
      <c r="F45" s="10">
        <f>SUMIFS(Data!$K:$K,Data!$A:$A,2026,Data!$B:$B,5,Data!$J:$J,"UNPLANNED")</f>
        <v>1202.4129</v>
      </c>
      <c r="G45" s="15">
        <f>IFERROR(F45/D45,0)</f>
        <v>0.5456228417124913</v>
      </c>
      <c r="H45" s="10">
        <f>SUMIFS(Data!$K:$K,Data!$A:$A,2026,Data!$B:$B,5,Data!$G:$G,"CDU")</f>
        <v>841.202</v>
      </c>
      <c r="I45" s="10">
        <f>SUMIFS(Data!$K:$K,Data!$A:$A,2026,Data!$B:$B,5,Data!$G:$G,"FCC")</f>
        <v>360.0815</v>
      </c>
      <c r="J45" s="10">
        <f>SUMIFS(Data!$K:$K,Data!$A:$A,2026,Data!$B:$B,5,Data!$G:$G,"Hydrocracker")</f>
        <v>92.77</v>
      </c>
      <c r="K45" s="10">
        <f>SUMIFS(Data!$K:$K,Data!$A:$A,2026,Data!$B:$B,5,Data!$G:$G,"Reformer")</f>
        <v>157.769</v>
      </c>
      <c r="L45" s="10">
        <f>SUMIFS(Data!$K:$K,Data!$A:$A,2026,Data!$B:$B,5,Data!$F:$F,"PADD 1")</f>
        <v>21.2</v>
      </c>
      <c r="M45" s="10">
        <f>SUMIFS(Data!$K:$K,Data!$A:$A,2026,Data!$B:$B,5,Data!$F:$F,"PADD 2")</f>
        <v>829.96</v>
      </c>
      <c r="N45" s="10">
        <f>SUMIFS(Data!$K:$K,Data!$A:$A,2026,Data!$B:$B,5,Data!$F:$F,"PADD 3")</f>
        <v>752.5585</v>
      </c>
      <c r="O45" s="10">
        <f>SUMIFS(Data!$K:$K,Data!$A:$A,2026,Data!$B:$B,5,Data!$F:$F,"PADD 4")</f>
        <v>128.6544</v>
      </c>
      <c r="P45" s="10">
        <f>SUMIFS(Data!$K:$K,Data!$A:$A,2026,Data!$B:$B,5,Data!$F:$F,"PADD 5")</f>
        <v>471.3708</v>
      </c>
      <c r="Q45" s="10">
        <f>K45*ref_intake-H45*naph_yield</f>
        <v>-136.65169999999995</v>
      </c>
    </row>
    <row r="46" spans="1:17">
      <c r="A46" s="6">
        <v>2026</v>
      </c>
      <c r="B46" s="6">
        <v>6</v>
      </c>
      <c r="C46" s="9" t="s">
        <v>193</v>
      </c>
      <c r="D46" s="10">
        <f>SUMIFS(Data!$K:$K,Data!$A:$A,2026,Data!$B:$B,6)</f>
        <v>1349.6757</v>
      </c>
      <c r="E46" s="10">
        <f>SUMIFS(Data!$K:$K,Data!$A:$A,2026,Data!$B:$B,6,Data!$J:$J,"PLANNED")</f>
        <v>182.45</v>
      </c>
      <c r="F46" s="10">
        <f>SUMIFS(Data!$K:$K,Data!$A:$A,2026,Data!$B:$B,6,Data!$J:$J,"UNPLANNED")</f>
        <v>1167.2257</v>
      </c>
      <c r="G46" s="15">
        <f>IFERROR(F46/D46,0)</f>
        <v>0.8648193784625448</v>
      </c>
      <c r="H46" s="10">
        <f>SUMIFS(Data!$K:$K,Data!$A:$A,2026,Data!$B:$B,6,Data!$G:$G,"CDU")</f>
        <v>435.03</v>
      </c>
      <c r="I46" s="10">
        <f>SUMIFS(Data!$K:$K,Data!$A:$A,2026,Data!$B:$B,6,Data!$G:$G,"FCC")</f>
        <v>147.405</v>
      </c>
      <c r="J46" s="10">
        <f>SUMIFS(Data!$K:$K,Data!$A:$A,2026,Data!$B:$B,6,Data!$G:$G,"Hydrocracker")</f>
        <v>21.38</v>
      </c>
      <c r="K46" s="10">
        <f>SUMIFS(Data!$K:$K,Data!$A:$A,2026,Data!$B:$B,6,Data!$G:$G,"Reformer")</f>
        <v>130.51</v>
      </c>
      <c r="L46" s="10">
        <f>SUMIFS(Data!$K:$K,Data!$A:$A,2026,Data!$B:$B,6,Data!$F:$F,"PADD 1")</f>
        <v>334.0757</v>
      </c>
      <c r="M46" s="10">
        <f>SUMIFS(Data!$K:$K,Data!$A:$A,2026,Data!$B:$B,6,Data!$F:$F,"PADD 2")</f>
        <v>158.585</v>
      </c>
      <c r="N46" s="10">
        <f>SUMIFS(Data!$K:$K,Data!$A:$A,2026,Data!$B:$B,6,Data!$F:$F,"PADD 3")</f>
        <v>730.815</v>
      </c>
      <c r="O46" s="10">
        <f>SUMIFS(Data!$K:$K,Data!$A:$A,2026,Data!$B:$B,6,Data!$F:$F,"PADD 4")</f>
        <v>6.6</v>
      </c>
      <c r="P46" s="10">
        <f>SUMIFS(Data!$K:$K,Data!$A:$A,2026,Data!$B:$B,6,Data!$F:$F,"PADD 5")</f>
        <v>119.6</v>
      </c>
      <c r="Q46" s="10">
        <f>K46*ref_intake-H46*naph_yield</f>
        <v>-21.750499999999988</v>
      </c>
    </row>
    <row r="47" spans="1:17">
      <c r="A47" s="6">
        <v>2026</v>
      </c>
      <c r="B47" s="6">
        <v>7</v>
      </c>
      <c r="C47" s="9" t="s">
        <v>194</v>
      </c>
      <c r="D47" s="10">
        <f>SUMIFS(Data!$K:$K,Data!$A:$A,2026,Data!$B:$B,7)</f>
        <v>1075.021</v>
      </c>
      <c r="E47" s="10">
        <f>SUMIFS(Data!$K:$K,Data!$A:$A,2026,Data!$B:$B,7,Data!$J:$J,"PLANNED")</f>
        <v>269.572</v>
      </c>
      <c r="F47" s="10">
        <f>SUMIFS(Data!$K:$K,Data!$A:$A,2026,Data!$B:$B,7,Data!$J:$J,"UNPLANNED")</f>
        <v>805.449</v>
      </c>
      <c r="G47" s="15">
        <f>IFERROR(F47/D47,0)</f>
        <v>0.7492402473998182</v>
      </c>
      <c r="H47" s="10">
        <f>SUMIFS(Data!$K:$K,Data!$A:$A,2026,Data!$B:$B,7,Data!$G:$G,"CDU")</f>
        <v>378.602</v>
      </c>
      <c r="I47" s="10">
        <f>SUMIFS(Data!$K:$K,Data!$A:$A,2026,Data!$B:$B,7,Data!$G:$G,"FCC")</f>
        <v>69.8</v>
      </c>
      <c r="J47" s="10">
        <f>SUMIFS(Data!$K:$K,Data!$A:$A,2026,Data!$B:$B,7,Data!$G:$G,"Hydrocracker")</f>
        <v>30.240000000000002</v>
      </c>
      <c r="K47" s="10">
        <f>SUMIFS(Data!$K:$K,Data!$A:$A,2026,Data!$B:$B,7,Data!$G:$G,"Reformer")</f>
        <v>98.20400000000001</v>
      </c>
      <c r="L47" s="10">
        <f>SUMIFS(Data!$K:$K,Data!$A:$A,2026,Data!$B:$B,7,Data!$F:$F,"PADD 1")</f>
        <v>654.394</v>
      </c>
      <c r="M47" s="10">
        <f>SUMIFS(Data!$K:$K,Data!$A:$A,2026,Data!$B:$B,7,Data!$F:$F,"PADD 2")</f>
        <v>57.76</v>
      </c>
      <c r="N47" s="10">
        <f>SUMIFS(Data!$K:$K,Data!$A:$A,2026,Data!$B:$B,7,Data!$F:$F,"PADD 3")</f>
        <v>253.287</v>
      </c>
      <c r="O47" s="10">
        <f>SUMIFS(Data!$K:$K,Data!$A:$A,2026,Data!$B:$B,7,Data!$F:$F,"PADD 4")</f>
        <v>0.0</v>
      </c>
      <c r="P47" s="10">
        <f>SUMIFS(Data!$K:$K,Data!$A:$A,2026,Data!$B:$B,7,Data!$F:$F,"PADD 5")</f>
        <v>109.58000000000001</v>
      </c>
      <c r="Q47" s="10">
        <f>K47*ref_intake-H47*naph_yield</f>
        <v>-34.30669999999998</v>
      </c>
    </row>
    <row r="48" spans="1:17">
      <c r="A48" s="6">
        <v>2026</v>
      </c>
      <c r="B48" s="6">
        <v>8</v>
      </c>
      <c r="C48" s="9" t="s">
        <v>195</v>
      </c>
      <c r="D48" s="10">
        <f>SUMIFS(Data!$K:$K,Data!$A:$A,2026,Data!$B:$B,8)</f>
        <v>553.6705</v>
      </c>
      <c r="E48" s="10">
        <f>SUMIFS(Data!$K:$K,Data!$A:$A,2026,Data!$B:$B,8,Data!$J:$J,"PLANNED")</f>
        <v>204.11</v>
      </c>
      <c r="F48" s="10">
        <f>SUMIFS(Data!$K:$K,Data!$A:$A,2026,Data!$B:$B,8,Data!$J:$J,"UNPLANNED")</f>
        <v>349.5605</v>
      </c>
      <c r="G48" s="15">
        <f>IFERROR(F48/D48,0)</f>
        <v>0.6313511375448033</v>
      </c>
      <c r="H48" s="10">
        <f>SUMIFS(Data!$K:$K,Data!$A:$A,2026,Data!$B:$B,8,Data!$G:$G,"CDU")</f>
        <v>126.0</v>
      </c>
      <c r="I48" s="10">
        <f>SUMIFS(Data!$K:$K,Data!$A:$A,2026,Data!$B:$B,8,Data!$G:$G,"FCC")</f>
        <v>30.6</v>
      </c>
      <c r="J48" s="10">
        <f>SUMIFS(Data!$K:$K,Data!$A:$A,2026,Data!$B:$B,8,Data!$G:$G,"Hydrocracker")</f>
        <v>69.66</v>
      </c>
      <c r="K48" s="10">
        <f>SUMIFS(Data!$K:$K,Data!$A:$A,2026,Data!$B:$B,8,Data!$G:$G,"Reformer")</f>
        <v>44.905</v>
      </c>
      <c r="L48" s="10">
        <f>SUMIFS(Data!$K:$K,Data!$A:$A,2026,Data!$B:$B,8,Data!$F:$F,"PADD 1")</f>
        <v>294.1605</v>
      </c>
      <c r="M48" s="10">
        <f>SUMIFS(Data!$K:$K,Data!$A:$A,2026,Data!$B:$B,8,Data!$F:$F,"PADD 2")</f>
        <v>0.0</v>
      </c>
      <c r="N48" s="10">
        <f>SUMIFS(Data!$K:$K,Data!$A:$A,2026,Data!$B:$B,8,Data!$F:$F,"PADD 3")</f>
        <v>211.98</v>
      </c>
      <c r="O48" s="10">
        <f>SUMIFS(Data!$K:$K,Data!$A:$A,2026,Data!$B:$B,8,Data!$F:$F,"PADD 4")</f>
        <v>0.0</v>
      </c>
      <c r="P48" s="10">
        <f>SUMIFS(Data!$K:$K,Data!$A:$A,2026,Data!$B:$B,8,Data!$F:$F,"PADD 5")</f>
        <v>47.53</v>
      </c>
      <c r="Q48" s="10">
        <f>K48*ref_intake-H48*naph_yield</f>
        <v>0.8050000000000068</v>
      </c>
    </row>
    <row r="49" spans="1:17">
      <c r="A49" s="6">
        <v>2026</v>
      </c>
      <c r="B49" s="6">
        <v>9</v>
      </c>
      <c r="C49" s="9" t="s">
        <v>196</v>
      </c>
      <c r="D49" s="10">
        <f>SUMIFS(Data!$K:$K,Data!$A:$A,2026,Data!$B:$B,9)</f>
        <v>1218.8349</v>
      </c>
      <c r="E49" s="10">
        <f>SUMIFS(Data!$K:$K,Data!$A:$A,2026,Data!$B:$B,9,Data!$J:$J,"PLANNED")</f>
        <v>1171.8349</v>
      </c>
      <c r="F49" s="10">
        <f>SUMIFS(Data!$K:$K,Data!$A:$A,2026,Data!$B:$B,9,Data!$J:$J,"UNPLANNED")</f>
        <v>47.0</v>
      </c>
      <c r="G49" s="15">
        <f>IFERROR(F49/D49,0)</f>
        <v>0.038561416316516696</v>
      </c>
      <c r="H49" s="10">
        <f>SUMIFS(Data!$K:$K,Data!$A:$A,2026,Data!$B:$B,9,Data!$G:$G,"CDU")</f>
        <v>448.14</v>
      </c>
      <c r="I49" s="10">
        <f>SUMIFS(Data!$K:$K,Data!$A:$A,2026,Data!$B:$B,9,Data!$G:$G,"FCC")</f>
        <v>68.93</v>
      </c>
      <c r="J49" s="10">
        <f>SUMIFS(Data!$K:$K,Data!$A:$A,2026,Data!$B:$B,9,Data!$G:$G,"Hydrocracker")</f>
        <v>149.15</v>
      </c>
      <c r="K49" s="10">
        <f>SUMIFS(Data!$K:$K,Data!$A:$A,2026,Data!$B:$B,9,Data!$G:$G,"Reformer")</f>
        <v>137.55</v>
      </c>
      <c r="L49" s="10">
        <f>SUMIFS(Data!$K:$K,Data!$A:$A,2026,Data!$B:$B,9,Data!$F:$F,"PADD 1")</f>
        <v>71.8939</v>
      </c>
      <c r="M49" s="10">
        <f>SUMIFS(Data!$K:$K,Data!$A:$A,2026,Data!$B:$B,9,Data!$F:$F,"PADD 2")</f>
        <v>572.94</v>
      </c>
      <c r="N49" s="10">
        <f>SUMIFS(Data!$K:$K,Data!$A:$A,2026,Data!$B:$B,9,Data!$F:$F,"PADD 3")</f>
        <v>463.94100000000003</v>
      </c>
      <c r="O49" s="10">
        <f>SUMIFS(Data!$K:$K,Data!$A:$A,2026,Data!$B:$B,9,Data!$F:$F,"PADD 4")</f>
        <v>0.0</v>
      </c>
      <c r="P49" s="10">
        <f>SUMIFS(Data!$K:$K,Data!$A:$A,2026,Data!$B:$B,9,Data!$F:$F,"PADD 5")</f>
        <v>110.06</v>
      </c>
      <c r="Q49" s="10">
        <f>K49*ref_intake-H49*naph_yield</f>
        <v>-19.298999999999978</v>
      </c>
    </row>
    <row r="50" spans="1:17">
      <c r="A50" s="6">
        <v>2026</v>
      </c>
      <c r="B50" s="6">
        <v>10</v>
      </c>
      <c r="C50" s="9" t="s">
        <v>197</v>
      </c>
      <c r="D50" s="10">
        <f>SUMIFS(Data!$K:$K,Data!$A:$A,2026,Data!$B:$B,10)</f>
        <v>1640.294</v>
      </c>
      <c r="E50" s="10">
        <f>SUMIFS(Data!$K:$K,Data!$A:$A,2026,Data!$B:$B,10,Data!$J:$J,"PLANNED")</f>
        <v>1593.294</v>
      </c>
      <c r="F50" s="10">
        <f>SUMIFS(Data!$K:$K,Data!$A:$A,2026,Data!$B:$B,10,Data!$J:$J,"UNPLANNED")</f>
        <v>47.0</v>
      </c>
      <c r="G50" s="15">
        <f>IFERROR(F50/D50,0)</f>
        <v>0.028653399939279175</v>
      </c>
      <c r="H50" s="10">
        <f>SUMIFS(Data!$K:$K,Data!$A:$A,2026,Data!$B:$B,10,Data!$G:$G,"CDU")</f>
        <v>661.633</v>
      </c>
      <c r="I50" s="10">
        <f>SUMIFS(Data!$K:$K,Data!$A:$A,2026,Data!$B:$B,10,Data!$G:$G,"FCC")</f>
        <v>189.01</v>
      </c>
      <c r="J50" s="10">
        <f>SUMIFS(Data!$K:$K,Data!$A:$A,2026,Data!$B:$B,10,Data!$G:$G,"Hydrocracker")</f>
        <v>73.97999999999999</v>
      </c>
      <c r="K50" s="10">
        <f>SUMIFS(Data!$K:$K,Data!$A:$A,2026,Data!$B:$B,10,Data!$G:$G,"Reformer")</f>
        <v>166.385</v>
      </c>
      <c r="L50" s="10">
        <f>SUMIFS(Data!$K:$K,Data!$A:$A,2026,Data!$B:$B,10,Data!$F:$F,"PADD 1")</f>
        <v>82.5856</v>
      </c>
      <c r="M50" s="10">
        <f>SUMIFS(Data!$K:$K,Data!$A:$A,2026,Data!$B:$B,10,Data!$F:$F,"PADD 2")</f>
        <v>705.146</v>
      </c>
      <c r="N50" s="10">
        <f>SUMIFS(Data!$K:$K,Data!$A:$A,2026,Data!$B:$B,10,Data!$F:$F,"PADD 3")</f>
        <v>634.8024</v>
      </c>
      <c r="O50" s="10">
        <f>SUMIFS(Data!$K:$K,Data!$A:$A,2026,Data!$B:$B,10,Data!$F:$F,"PADD 4")</f>
        <v>19.62</v>
      </c>
      <c r="P50" s="10">
        <f>SUMIFS(Data!$K:$K,Data!$A:$A,2026,Data!$B:$B,10,Data!$F:$F,"PADD 5")</f>
        <v>198.14</v>
      </c>
      <c r="Q50" s="10">
        <f>K50*ref_intake-H50*naph_yield</f>
        <v>-65.18655000000001</v>
      </c>
    </row>
    <row r="51" spans="1:17">
      <c r="A51" s="6">
        <v>2026</v>
      </c>
      <c r="B51" s="6">
        <v>11</v>
      </c>
      <c r="C51" s="9" t="s">
        <v>198</v>
      </c>
      <c r="D51" s="10">
        <f>SUMIFS(Data!$K:$K,Data!$A:$A,2026,Data!$B:$B,11)</f>
        <v>697.476</v>
      </c>
      <c r="E51" s="10">
        <f>SUMIFS(Data!$K:$K,Data!$A:$A,2026,Data!$B:$B,11,Data!$J:$J,"PLANNED")</f>
        <v>655.176</v>
      </c>
      <c r="F51" s="10">
        <f>SUMIFS(Data!$K:$K,Data!$A:$A,2026,Data!$B:$B,11,Data!$J:$J,"UNPLANNED")</f>
        <v>42.3</v>
      </c>
      <c r="G51" s="15">
        <f>IFERROR(F51/D51,0)</f>
        <v>0.060647248077353194</v>
      </c>
      <c r="H51" s="10">
        <f>SUMIFS(Data!$K:$K,Data!$A:$A,2026,Data!$B:$B,11,Data!$G:$G,"CDU")</f>
        <v>214.3</v>
      </c>
      <c r="I51" s="10">
        <f>SUMIFS(Data!$K:$K,Data!$A:$A,2026,Data!$B:$B,11,Data!$G:$G,"FCC")</f>
        <v>127.225</v>
      </c>
      <c r="J51" s="10">
        <f>SUMIFS(Data!$K:$K,Data!$A:$A,2026,Data!$B:$B,11,Data!$G:$G,"Hydrocracker")</f>
        <v>17.296</v>
      </c>
      <c r="K51" s="10">
        <f>SUMIFS(Data!$K:$K,Data!$A:$A,2026,Data!$B:$B,11,Data!$G:$G,"Reformer")</f>
        <v>68.1</v>
      </c>
      <c r="L51" s="10">
        <f>SUMIFS(Data!$K:$K,Data!$A:$A,2026,Data!$B:$B,11,Data!$F:$F,"PADD 1")</f>
        <v>0.0</v>
      </c>
      <c r="M51" s="10">
        <f>SUMIFS(Data!$K:$K,Data!$A:$A,2026,Data!$B:$B,11,Data!$F:$F,"PADD 2")</f>
        <v>397.5</v>
      </c>
      <c r="N51" s="10">
        <f>SUMIFS(Data!$K:$K,Data!$A:$A,2026,Data!$B:$B,11,Data!$F:$F,"PADD 3")</f>
        <v>163.78</v>
      </c>
      <c r="O51" s="10">
        <f>SUMIFS(Data!$K:$K,Data!$A:$A,2026,Data!$B:$B,11,Data!$F:$F,"PADD 4")</f>
        <v>0.0</v>
      </c>
      <c r="P51" s="10">
        <f>SUMIFS(Data!$K:$K,Data!$A:$A,2026,Data!$B:$B,11,Data!$F:$F,"PADD 5")</f>
        <v>136.196</v>
      </c>
      <c r="Q51" s="10">
        <f>K51*ref_intake-H51*naph_yield</f>
        <v>-6.905000000000001</v>
      </c>
    </row>
    <row r="52" spans="1:17">
      <c r="A52" s="6">
        <v>2026</v>
      </c>
      <c r="B52" s="6">
        <v>12</v>
      </c>
      <c r="C52" s="9" t="s">
        <v>199</v>
      </c>
      <c r="D52" s="10">
        <f>SUMIFS(Data!$K:$K,Data!$A:$A,2026,Data!$B:$B,12)</f>
        <v>9.5</v>
      </c>
      <c r="E52" s="10">
        <f>SUMIFS(Data!$K:$K,Data!$A:$A,2026,Data!$B:$B,12,Data!$J:$J,"PLANNED")</f>
        <v>9.5</v>
      </c>
      <c r="F52" s="10">
        <f>SUMIFS(Data!$K:$K,Data!$A:$A,2026,Data!$B:$B,12,Data!$J:$J,"UNPLANNED")</f>
        <v>0.0</v>
      </c>
      <c r="G52" s="15">
        <f>IFERROR(F52/D52,0)</f>
        <v>0.0</v>
      </c>
      <c r="H52" s="10">
        <f>SUMIFS(Data!$K:$K,Data!$A:$A,2026,Data!$B:$B,12,Data!$G:$G,"CDU")</f>
        <v>0.0</v>
      </c>
      <c r="I52" s="10">
        <f>SUMIFS(Data!$K:$K,Data!$A:$A,2026,Data!$B:$B,12,Data!$G:$G,"FCC")</f>
        <v>4.8</v>
      </c>
      <c r="J52" s="10">
        <f>SUMIFS(Data!$K:$K,Data!$A:$A,2026,Data!$B:$B,12,Data!$G:$G,"Hydrocracker")</f>
        <v>0.0</v>
      </c>
      <c r="K52" s="10">
        <f>SUMIFS(Data!$K:$K,Data!$A:$A,2026,Data!$B:$B,12,Data!$G:$G,"Reformer")</f>
        <v>0.0</v>
      </c>
      <c r="L52" s="10">
        <f>SUMIFS(Data!$K:$K,Data!$A:$A,2026,Data!$B:$B,12,Data!$F:$F,"PADD 1")</f>
        <v>0.0</v>
      </c>
      <c r="M52" s="10">
        <f>SUMIFS(Data!$K:$K,Data!$A:$A,2026,Data!$B:$B,12,Data!$F:$F,"PADD 2")</f>
        <v>0.0</v>
      </c>
      <c r="N52" s="10">
        <f>SUMIFS(Data!$K:$K,Data!$A:$A,2026,Data!$B:$B,12,Data!$F:$F,"PADD 3")</f>
        <v>0.0</v>
      </c>
      <c r="O52" s="10">
        <f>SUMIFS(Data!$K:$K,Data!$A:$A,2026,Data!$B:$B,12,Data!$F:$F,"PADD 4")</f>
        <v>0.0</v>
      </c>
      <c r="P52" s="10">
        <f>SUMIFS(Data!$K:$K,Data!$A:$A,2026,Data!$B:$B,12,Data!$F:$F,"PADD 5")</f>
        <v>9.5</v>
      </c>
      <c r="Q52" s="10">
        <f>K52*ref_intake-H52*naph_yield</f>
        <v>0.0</v>
      </c>
    </row>
    <row r="53" spans="1:17">
      <c r="A53" s="6">
        <v>2027</v>
      </c>
      <c r="B53" s="6">
        <v>1</v>
      </c>
      <c r="C53" s="9" t="s">
        <v>200</v>
      </c>
      <c r="D53" s="10">
        <f>SUMIFS(Data!$K:$K,Data!$A:$A,2027,Data!$B:$B,1)</f>
        <v>1103.883</v>
      </c>
      <c r="E53" s="10">
        <f>SUMIFS(Data!$K:$K,Data!$A:$A,2027,Data!$B:$B,1,Data!$J:$J,"PLANNED")</f>
        <v>1103.883</v>
      </c>
      <c r="F53" s="10">
        <f>SUMIFS(Data!$K:$K,Data!$A:$A,2027,Data!$B:$B,1,Data!$J:$J,"UNPLANNED")</f>
        <v>0.0</v>
      </c>
      <c r="G53" s="15">
        <f>IFERROR(F53/D53,0)</f>
        <v>0.0</v>
      </c>
      <c r="H53" s="10">
        <f>SUMIFS(Data!$K:$K,Data!$A:$A,2027,Data!$B:$B,1,Data!$G:$G,"CDU")</f>
        <v>365.125</v>
      </c>
      <c r="I53" s="10">
        <f>SUMIFS(Data!$K:$K,Data!$A:$A,2027,Data!$B:$B,1,Data!$G:$G,"FCC")</f>
        <v>250.98000000000002</v>
      </c>
      <c r="J53" s="10">
        <f>SUMIFS(Data!$K:$K,Data!$A:$A,2027,Data!$B:$B,1,Data!$G:$G,"Hydrocracker")</f>
        <v>121.41</v>
      </c>
      <c r="K53" s="10">
        <f>SUMIFS(Data!$K:$K,Data!$A:$A,2027,Data!$B:$B,1,Data!$G:$G,"Reformer")</f>
        <v>29.125</v>
      </c>
      <c r="L53" s="10">
        <f>SUMIFS(Data!$K:$K,Data!$A:$A,2027,Data!$B:$B,1,Data!$F:$F,"PADD 1")</f>
        <v>0.0</v>
      </c>
      <c r="M53" s="10">
        <f>SUMIFS(Data!$K:$K,Data!$A:$A,2027,Data!$B:$B,1,Data!$F:$F,"PADD 2")</f>
        <v>0.0</v>
      </c>
      <c r="N53" s="10">
        <f>SUMIFS(Data!$K:$K,Data!$A:$A,2027,Data!$B:$B,1,Data!$F:$F,"PADD 3")</f>
        <v>707.863</v>
      </c>
      <c r="O53" s="10">
        <f>SUMIFS(Data!$K:$K,Data!$A:$A,2027,Data!$B:$B,1,Data!$F:$F,"PADD 4")</f>
        <v>0.0</v>
      </c>
      <c r="P53" s="10">
        <f>SUMIFS(Data!$K:$K,Data!$A:$A,2027,Data!$B:$B,1,Data!$F:$F,"PADD 5")</f>
        <v>396.02</v>
      </c>
      <c r="Q53" s="10">
        <f>K53*ref_intake-H53*naph_yield</f>
        <v>-98.66874999999999</v>
      </c>
    </row>
    <row r="54" spans="1:17">
      <c r="A54" s="6">
        <v>2027</v>
      </c>
      <c r="B54" s="6">
        <v>2</v>
      </c>
      <c r="C54" s="9" t="s">
        <v>201</v>
      </c>
      <c r="D54" s="10">
        <f>SUMIFS(Data!$K:$K,Data!$A:$A,2027,Data!$B:$B,2)</f>
        <v>2114.6201</v>
      </c>
      <c r="E54" s="10">
        <f>SUMIFS(Data!$K:$K,Data!$A:$A,2027,Data!$B:$B,2,Data!$J:$J,"PLANNED")</f>
        <v>2114.6201</v>
      </c>
      <c r="F54" s="10">
        <f>SUMIFS(Data!$K:$K,Data!$A:$A,2027,Data!$B:$B,2,Data!$J:$J,"UNPLANNED")</f>
        <v>0.0</v>
      </c>
      <c r="G54" s="15">
        <f>IFERROR(F54/D54,0)</f>
        <v>0.0</v>
      </c>
      <c r="H54" s="10">
        <f>SUMIFS(Data!$K:$K,Data!$A:$A,2027,Data!$B:$B,2,Data!$G:$G,"CDU")</f>
        <v>683.258</v>
      </c>
      <c r="I54" s="10">
        <f>SUMIFS(Data!$K:$K,Data!$A:$A,2027,Data!$B:$B,2,Data!$G:$G,"FCC")</f>
        <v>450.5215</v>
      </c>
      <c r="J54" s="10">
        <f>SUMIFS(Data!$K:$K,Data!$A:$A,2027,Data!$B:$B,2,Data!$G:$G,"Hydrocracker")</f>
        <v>141.67000000000002</v>
      </c>
      <c r="K54" s="10">
        <f>SUMIFS(Data!$K:$K,Data!$A:$A,2027,Data!$B:$B,2,Data!$G:$G,"Reformer")</f>
        <v>68.78</v>
      </c>
      <c r="L54" s="10">
        <f>SUMIFS(Data!$K:$K,Data!$A:$A,2027,Data!$B:$B,2,Data!$F:$F,"PADD 1")</f>
        <v>0.0</v>
      </c>
      <c r="M54" s="10">
        <f>SUMIFS(Data!$K:$K,Data!$A:$A,2027,Data!$B:$B,2,Data!$F:$F,"PADD 2")</f>
        <v>192.48</v>
      </c>
      <c r="N54" s="10">
        <f>SUMIFS(Data!$K:$K,Data!$A:$A,2027,Data!$B:$B,2,Data!$F:$F,"PADD 3")</f>
        <v>1278.3421</v>
      </c>
      <c r="O54" s="10">
        <f>SUMIFS(Data!$K:$K,Data!$A:$A,2027,Data!$B:$B,2,Data!$F:$F,"PADD 4")</f>
        <v>139.68</v>
      </c>
      <c r="P54" s="10">
        <f>SUMIFS(Data!$K:$K,Data!$A:$A,2027,Data!$B:$B,2,Data!$F:$F,"PADD 5")</f>
        <v>504.118</v>
      </c>
      <c r="Q54" s="10">
        <f>K54*ref_intake-H54*naph_yield</f>
        <v>-170.3603</v>
      </c>
    </row>
    <row r="55" spans="1:17">
      <c r="A55" s="6">
        <v>2027</v>
      </c>
      <c r="B55" s="6">
        <v>3</v>
      </c>
      <c r="C55" s="9" t="s">
        <v>202</v>
      </c>
      <c r="D55" s="10">
        <f>SUMIFS(Data!$K:$K,Data!$A:$A,2027,Data!$B:$B,3)</f>
        <v>2889.3523</v>
      </c>
      <c r="E55" s="10">
        <f>SUMIFS(Data!$K:$K,Data!$A:$A,2027,Data!$B:$B,3,Data!$J:$J,"PLANNED")</f>
        <v>2889.3523</v>
      </c>
      <c r="F55" s="10">
        <f>SUMIFS(Data!$K:$K,Data!$A:$A,2027,Data!$B:$B,3,Data!$J:$J,"UNPLANNED")</f>
        <v>0.0</v>
      </c>
      <c r="G55" s="15">
        <f>IFERROR(F55/D55,0)</f>
        <v>0.0</v>
      </c>
      <c r="H55" s="10">
        <f>SUMIFS(Data!$K:$K,Data!$A:$A,2027,Data!$B:$B,3,Data!$G:$G,"CDU")</f>
        <v>1062.14</v>
      </c>
      <c r="I55" s="10">
        <f>SUMIFS(Data!$K:$K,Data!$A:$A,2027,Data!$B:$B,3,Data!$G:$G,"FCC")</f>
        <v>447.892</v>
      </c>
      <c r="J55" s="10">
        <f>SUMIFS(Data!$K:$K,Data!$A:$A,2027,Data!$B:$B,3,Data!$G:$G,"Hydrocracker")</f>
        <v>75.53</v>
      </c>
      <c r="K55" s="10">
        <f>SUMIFS(Data!$K:$K,Data!$A:$A,2027,Data!$B:$B,3,Data!$G:$G,"Reformer")</f>
        <v>184.88899999999998</v>
      </c>
      <c r="L55" s="10">
        <f>SUMIFS(Data!$K:$K,Data!$A:$A,2027,Data!$B:$B,3,Data!$F:$F,"PADD 1")</f>
        <v>236.84879999999998</v>
      </c>
      <c r="M55" s="10">
        <f>SUMIFS(Data!$K:$K,Data!$A:$A,2027,Data!$B:$B,3,Data!$F:$F,"PADD 2")</f>
        <v>614.741</v>
      </c>
      <c r="N55" s="10">
        <f>SUMIFS(Data!$K:$K,Data!$A:$A,2027,Data!$B:$B,3,Data!$F:$F,"PADD 3")</f>
        <v>1544.8915</v>
      </c>
      <c r="O55" s="10">
        <f>SUMIFS(Data!$K:$K,Data!$A:$A,2027,Data!$B:$B,3,Data!$F:$F,"PADD 4")</f>
        <v>251.725</v>
      </c>
      <c r="P55" s="10">
        <f>SUMIFS(Data!$K:$K,Data!$A:$A,2027,Data!$B:$B,3,Data!$F:$F,"PADD 5")</f>
        <v>241.14600000000002</v>
      </c>
      <c r="Q55" s="10">
        <f>K55*ref_intake-H55*naph_yield</f>
        <v>-186.86000000000004</v>
      </c>
    </row>
    <row r="56" spans="1:17">
      <c r="A56" s="6">
        <v>2027</v>
      </c>
      <c r="B56" s="6">
        <v>4</v>
      </c>
      <c r="C56" s="9" t="s">
        <v>203</v>
      </c>
      <c r="D56" s="10">
        <f>SUMIFS(Data!$K:$K,Data!$A:$A,2027,Data!$B:$B,4)</f>
        <v>1954.1924</v>
      </c>
      <c r="E56" s="10">
        <f>SUMIFS(Data!$K:$K,Data!$A:$A,2027,Data!$B:$B,4,Data!$J:$J,"PLANNED")</f>
        <v>1954.1924</v>
      </c>
      <c r="F56" s="10">
        <f>SUMIFS(Data!$K:$K,Data!$A:$A,2027,Data!$B:$B,4,Data!$J:$J,"UNPLANNED")</f>
        <v>0.0</v>
      </c>
      <c r="G56" s="15">
        <f>IFERROR(F56/D56,0)</f>
        <v>0.0</v>
      </c>
      <c r="H56" s="10">
        <f>SUMIFS(Data!$K:$K,Data!$A:$A,2027,Data!$B:$B,4,Data!$G:$G,"CDU")</f>
        <v>663.255</v>
      </c>
      <c r="I56" s="10">
        <f>SUMIFS(Data!$K:$K,Data!$A:$A,2027,Data!$B:$B,4,Data!$G:$G,"FCC")</f>
        <v>150.455</v>
      </c>
      <c r="J56" s="10">
        <f>SUMIFS(Data!$K:$K,Data!$A:$A,2027,Data!$B:$B,4,Data!$G:$G,"Hydrocracker")</f>
        <v>39.15</v>
      </c>
      <c r="K56" s="10">
        <f>SUMIFS(Data!$K:$K,Data!$A:$A,2027,Data!$B:$B,4,Data!$G:$G,"Reformer")</f>
        <v>141.475</v>
      </c>
      <c r="L56" s="10">
        <f>SUMIFS(Data!$K:$K,Data!$A:$A,2027,Data!$B:$B,4,Data!$F:$F,"PADD 1")</f>
        <v>108.2632</v>
      </c>
      <c r="M56" s="10">
        <f>SUMIFS(Data!$K:$K,Data!$A:$A,2027,Data!$B:$B,4,Data!$F:$F,"PADD 2")</f>
        <v>911.25</v>
      </c>
      <c r="N56" s="10">
        <f>SUMIFS(Data!$K:$K,Data!$A:$A,2027,Data!$B:$B,4,Data!$F:$F,"PADD 3")</f>
        <v>664.0222</v>
      </c>
      <c r="O56" s="10">
        <f>SUMIFS(Data!$K:$K,Data!$A:$A,2027,Data!$B:$B,4,Data!$F:$F,"PADD 4")</f>
        <v>257.098</v>
      </c>
      <c r="P56" s="10">
        <f>SUMIFS(Data!$K:$K,Data!$A:$A,2027,Data!$B:$B,4,Data!$F:$F,"PADD 5")</f>
        <v>13.559000000000001</v>
      </c>
      <c r="Q56" s="10">
        <f>K56*ref_intake-H56*naph_yield</f>
        <v>-90.66424999999998</v>
      </c>
    </row>
    <row r="57" spans="1:17">
      <c r="A57" s="6">
        <v>2027</v>
      </c>
      <c r="B57" s="6">
        <v>5</v>
      </c>
      <c r="C57" s="9" t="s">
        <v>204</v>
      </c>
      <c r="D57" s="10">
        <f>SUMIFS(Data!$K:$K,Data!$A:$A,2027,Data!$B:$B,5)</f>
        <v>856.532</v>
      </c>
      <c r="E57" s="10">
        <f>SUMIFS(Data!$K:$K,Data!$A:$A,2027,Data!$B:$B,5,Data!$J:$J,"PLANNED")</f>
        <v>856.532</v>
      </c>
      <c r="F57" s="10">
        <f>SUMIFS(Data!$K:$K,Data!$A:$A,2027,Data!$B:$B,5,Data!$J:$J,"UNPLANNED")</f>
        <v>0.0</v>
      </c>
      <c r="G57" s="15">
        <f>IFERROR(F57/D57,0)</f>
        <v>0.0</v>
      </c>
      <c r="H57" s="10">
        <f>SUMIFS(Data!$K:$K,Data!$A:$A,2027,Data!$B:$B,5,Data!$G:$G,"CDU")</f>
        <v>320.192</v>
      </c>
      <c r="I57" s="10">
        <f>SUMIFS(Data!$K:$K,Data!$A:$A,2027,Data!$B:$B,5,Data!$G:$G,"FCC")</f>
        <v>23.3</v>
      </c>
      <c r="J57" s="10">
        <f>SUMIFS(Data!$K:$K,Data!$A:$A,2027,Data!$B:$B,5,Data!$G:$G,"Hydrocracker")</f>
        <v>0.0</v>
      </c>
      <c r="K57" s="10">
        <f>SUMIFS(Data!$K:$K,Data!$A:$A,2027,Data!$B:$B,5,Data!$G:$G,"Reformer")</f>
        <v>45.428</v>
      </c>
      <c r="L57" s="10">
        <f>SUMIFS(Data!$K:$K,Data!$A:$A,2027,Data!$B:$B,5,Data!$F:$F,"PADD 1")</f>
        <v>0.0</v>
      </c>
      <c r="M57" s="10">
        <f>SUMIFS(Data!$K:$K,Data!$A:$A,2027,Data!$B:$B,5,Data!$F:$F,"PADD 2")</f>
        <v>428.63</v>
      </c>
      <c r="N57" s="10">
        <f>SUMIFS(Data!$K:$K,Data!$A:$A,2027,Data!$B:$B,5,Data!$F:$F,"PADD 3")</f>
        <v>134.4</v>
      </c>
      <c r="O57" s="10">
        <f>SUMIFS(Data!$K:$K,Data!$A:$A,2027,Data!$B:$B,5,Data!$F:$F,"PADD 4")</f>
        <v>242.162</v>
      </c>
      <c r="P57" s="10">
        <f>SUMIFS(Data!$K:$K,Data!$A:$A,2027,Data!$B:$B,5,Data!$F:$F,"PADD 5")</f>
        <v>51.339999999999996</v>
      </c>
      <c r="Q57" s="10">
        <f>K57*ref_intake-H57*naph_yield</f>
        <v>-66.6392</v>
      </c>
    </row>
    <row r="58" spans="1:17">
      <c r="A58" s="6">
        <v>2027</v>
      </c>
      <c r="B58" s="6">
        <v>6</v>
      </c>
      <c r="C58" s="9" t="s">
        <v>205</v>
      </c>
      <c r="D58" s="10">
        <f>SUMIFS(Data!$K:$K,Data!$A:$A,2027,Data!$B:$B,6)</f>
        <v>215.305</v>
      </c>
      <c r="E58" s="10">
        <f>SUMIFS(Data!$K:$K,Data!$A:$A,2027,Data!$B:$B,6,Data!$J:$J,"PLANNED")</f>
        <v>215.305</v>
      </c>
      <c r="F58" s="10">
        <f>SUMIFS(Data!$K:$K,Data!$A:$A,2027,Data!$B:$B,6,Data!$J:$J,"UNPLANNED")</f>
        <v>0.0</v>
      </c>
      <c r="G58" s="15">
        <f>IFERROR(F58/D58,0)</f>
        <v>0.0</v>
      </c>
      <c r="H58" s="10">
        <f>SUMIFS(Data!$K:$K,Data!$A:$A,2027,Data!$B:$B,6,Data!$G:$G,"CDU")</f>
        <v>96.0</v>
      </c>
      <c r="I58" s="10">
        <f>SUMIFS(Data!$K:$K,Data!$A:$A,2027,Data!$B:$B,6,Data!$G:$G,"FCC")</f>
        <v>68.255</v>
      </c>
      <c r="J58" s="10">
        <f>SUMIFS(Data!$K:$K,Data!$A:$A,2027,Data!$B:$B,6,Data!$G:$G,"Hydrocracker")</f>
        <v>0.0</v>
      </c>
      <c r="K58" s="10">
        <f>SUMIFS(Data!$K:$K,Data!$A:$A,2027,Data!$B:$B,6,Data!$G:$G,"Reformer")</f>
        <v>0.3</v>
      </c>
      <c r="L58" s="10">
        <f>SUMIFS(Data!$K:$K,Data!$A:$A,2027,Data!$B:$B,6,Data!$F:$F,"PADD 1")</f>
        <v>0.0</v>
      </c>
      <c r="M58" s="10">
        <f>SUMIFS(Data!$K:$K,Data!$A:$A,2027,Data!$B:$B,6,Data!$F:$F,"PADD 2")</f>
        <v>0.0</v>
      </c>
      <c r="N58" s="10">
        <f>SUMIFS(Data!$K:$K,Data!$A:$A,2027,Data!$B:$B,6,Data!$F:$F,"PADD 3")</f>
        <v>210.95</v>
      </c>
      <c r="O58" s="10">
        <f>SUMIFS(Data!$K:$K,Data!$A:$A,2027,Data!$B:$B,6,Data!$F:$F,"PADD 4")</f>
        <v>0.855</v>
      </c>
      <c r="P58" s="10">
        <f>SUMIFS(Data!$K:$K,Data!$A:$A,2027,Data!$B:$B,6,Data!$F:$F,"PADD 5")</f>
        <v>3.5</v>
      </c>
      <c r="Q58" s="10">
        <f>K58*ref_intake-H58*naph_yield</f>
        <v>-33.3</v>
      </c>
    </row>
    <row r="59" spans="1:17">
      <c r="A59" s="6">
        <v>2027</v>
      </c>
      <c r="B59" s="6">
        <v>7</v>
      </c>
      <c r="C59" s="9" t="s">
        <v>206</v>
      </c>
      <c r="D59" s="10">
        <f>SUMIFS(Data!$K:$K,Data!$A:$A,2027,Data!$B:$B,7)</f>
        <v>167.5</v>
      </c>
      <c r="E59" s="10">
        <f>SUMIFS(Data!$K:$K,Data!$A:$A,2027,Data!$B:$B,7,Data!$J:$J,"PLANNED")</f>
        <v>167.5</v>
      </c>
      <c r="F59" s="10">
        <f>SUMIFS(Data!$K:$K,Data!$A:$A,2027,Data!$B:$B,7,Data!$J:$J,"UNPLANNED")</f>
        <v>0.0</v>
      </c>
      <c r="G59" s="15">
        <f>IFERROR(F59/D59,0)</f>
        <v>0.0</v>
      </c>
      <c r="H59" s="10">
        <f>SUMIFS(Data!$K:$K,Data!$A:$A,2027,Data!$B:$B,7,Data!$G:$G,"CDU")</f>
        <v>96.0</v>
      </c>
      <c r="I59" s="10">
        <f>SUMIFS(Data!$K:$K,Data!$A:$A,2027,Data!$B:$B,7,Data!$G:$G,"FCC")</f>
        <v>68.0</v>
      </c>
      <c r="J59" s="10">
        <f>SUMIFS(Data!$K:$K,Data!$A:$A,2027,Data!$B:$B,7,Data!$G:$G,"Hydrocracker")</f>
        <v>0.0</v>
      </c>
      <c r="K59" s="10">
        <f>SUMIFS(Data!$K:$K,Data!$A:$A,2027,Data!$B:$B,7,Data!$G:$G,"Reformer")</f>
        <v>0.0</v>
      </c>
      <c r="L59" s="10">
        <f>SUMIFS(Data!$K:$K,Data!$A:$A,2027,Data!$B:$B,7,Data!$F:$F,"PADD 1")</f>
        <v>0.0</v>
      </c>
      <c r="M59" s="10">
        <f>SUMIFS(Data!$K:$K,Data!$A:$A,2027,Data!$B:$B,7,Data!$F:$F,"PADD 2")</f>
        <v>0.0</v>
      </c>
      <c r="N59" s="10">
        <f>SUMIFS(Data!$K:$K,Data!$A:$A,2027,Data!$B:$B,7,Data!$F:$F,"PADD 3")</f>
        <v>164.0</v>
      </c>
      <c r="O59" s="10">
        <f>SUMIFS(Data!$K:$K,Data!$A:$A,2027,Data!$B:$B,7,Data!$F:$F,"PADD 4")</f>
        <v>0.0</v>
      </c>
      <c r="P59" s="10">
        <f>SUMIFS(Data!$K:$K,Data!$A:$A,2027,Data!$B:$B,7,Data!$F:$F,"PADD 5")</f>
        <v>3.5</v>
      </c>
      <c r="Q59" s="10">
        <f>K59*ref_intake-H59*naph_yield</f>
        <v>-33.599999999999994</v>
      </c>
    </row>
    <row r="60" spans="1:17">
      <c r="A60" s="6">
        <v>2027</v>
      </c>
      <c r="B60" s="6">
        <v>8</v>
      </c>
      <c r="C60" s="9" t="s">
        <v>207</v>
      </c>
      <c r="D60" s="10">
        <f>SUMIFS(Data!$K:$K,Data!$A:$A,2027,Data!$B:$B,8)</f>
        <v>51.06</v>
      </c>
      <c r="E60" s="10">
        <f>SUMIFS(Data!$K:$K,Data!$A:$A,2027,Data!$B:$B,8,Data!$J:$J,"PLANNED")</f>
        <v>51.06</v>
      </c>
      <c r="F60" s="10">
        <f>SUMIFS(Data!$K:$K,Data!$A:$A,2027,Data!$B:$B,8,Data!$J:$J,"UNPLANNED")</f>
        <v>0.0</v>
      </c>
      <c r="G60" s="15">
        <f>IFERROR(F60/D60,0)</f>
        <v>0.0</v>
      </c>
      <c r="H60" s="10">
        <f>SUMIFS(Data!$K:$K,Data!$A:$A,2027,Data!$B:$B,8,Data!$G:$G,"CDU")</f>
        <v>27.84</v>
      </c>
      <c r="I60" s="10">
        <f>SUMIFS(Data!$K:$K,Data!$A:$A,2027,Data!$B:$B,8,Data!$G:$G,"FCC")</f>
        <v>19.72</v>
      </c>
      <c r="J60" s="10">
        <f>SUMIFS(Data!$K:$K,Data!$A:$A,2027,Data!$B:$B,8,Data!$G:$G,"Hydrocracker")</f>
        <v>0.0</v>
      </c>
      <c r="K60" s="10">
        <f>SUMIFS(Data!$K:$K,Data!$A:$A,2027,Data!$B:$B,8,Data!$G:$G,"Reformer")</f>
        <v>0.0</v>
      </c>
      <c r="L60" s="10">
        <f>SUMIFS(Data!$K:$K,Data!$A:$A,2027,Data!$B:$B,8,Data!$F:$F,"PADD 1")</f>
        <v>0.0</v>
      </c>
      <c r="M60" s="10">
        <f>SUMIFS(Data!$K:$K,Data!$A:$A,2027,Data!$B:$B,8,Data!$F:$F,"PADD 2")</f>
        <v>0.0</v>
      </c>
      <c r="N60" s="10">
        <f>SUMIFS(Data!$K:$K,Data!$A:$A,2027,Data!$B:$B,8,Data!$F:$F,"PADD 3")</f>
        <v>47.56</v>
      </c>
      <c r="O60" s="10">
        <f>SUMIFS(Data!$K:$K,Data!$A:$A,2027,Data!$B:$B,8,Data!$F:$F,"PADD 4")</f>
        <v>0.0</v>
      </c>
      <c r="P60" s="10">
        <f>SUMIFS(Data!$K:$K,Data!$A:$A,2027,Data!$B:$B,8,Data!$F:$F,"PADD 5")</f>
        <v>3.5</v>
      </c>
      <c r="Q60" s="10">
        <f>K60*ref_intake-H60*naph_yield</f>
        <v>-9.744</v>
      </c>
    </row>
    <row r="61" spans="1:17">
      <c r="A61" s="6">
        <v>2027</v>
      </c>
      <c r="B61" s="6">
        <v>9</v>
      </c>
      <c r="C61" s="9" t="s">
        <v>208</v>
      </c>
      <c r="D61" s="10">
        <f>SUMIFS(Data!$K:$K,Data!$A:$A,2027,Data!$B:$B,9)</f>
        <v>2763.7719</v>
      </c>
      <c r="E61" s="10">
        <f>SUMIFS(Data!$K:$K,Data!$A:$A,2027,Data!$B:$B,9,Data!$J:$J,"PLANNED")</f>
        <v>2763.7719</v>
      </c>
      <c r="F61" s="10">
        <f>SUMIFS(Data!$K:$K,Data!$A:$A,2027,Data!$B:$B,9,Data!$J:$J,"UNPLANNED")</f>
        <v>0.0</v>
      </c>
      <c r="G61" s="15">
        <f>IFERROR(F61/D61,0)</f>
        <v>0.0</v>
      </c>
      <c r="H61" s="10">
        <f>SUMIFS(Data!$K:$K,Data!$A:$A,2027,Data!$B:$B,9,Data!$G:$G,"CDU")</f>
        <v>976.735</v>
      </c>
      <c r="I61" s="10">
        <f>SUMIFS(Data!$K:$K,Data!$A:$A,2027,Data!$B:$B,9,Data!$G:$G,"FCC")</f>
        <v>176.274</v>
      </c>
      <c r="J61" s="10">
        <f>SUMIFS(Data!$K:$K,Data!$A:$A,2027,Data!$B:$B,9,Data!$G:$G,"Hydrocracker")</f>
        <v>104.88</v>
      </c>
      <c r="K61" s="10">
        <f>SUMIFS(Data!$K:$K,Data!$A:$A,2027,Data!$B:$B,9,Data!$G:$G,"Reformer")</f>
        <v>112.05</v>
      </c>
      <c r="L61" s="10">
        <f>SUMIFS(Data!$K:$K,Data!$A:$A,2027,Data!$B:$B,9,Data!$F:$F,"PADD 1")</f>
        <v>38.7069</v>
      </c>
      <c r="M61" s="10">
        <f>SUMIFS(Data!$K:$K,Data!$A:$A,2027,Data!$B:$B,9,Data!$F:$F,"PADD 2")</f>
        <v>945.4159999999999</v>
      </c>
      <c r="N61" s="10">
        <f>SUMIFS(Data!$K:$K,Data!$A:$A,2027,Data!$B:$B,9,Data!$F:$F,"PADD 3")</f>
        <v>1545.905</v>
      </c>
      <c r="O61" s="10">
        <f>SUMIFS(Data!$K:$K,Data!$A:$A,2027,Data!$B:$B,9,Data!$F:$F,"PADD 4")</f>
        <v>42.994</v>
      </c>
      <c r="P61" s="10">
        <f>SUMIFS(Data!$K:$K,Data!$A:$A,2027,Data!$B:$B,9,Data!$F:$F,"PADD 5")</f>
        <v>190.75</v>
      </c>
      <c r="Q61" s="10">
        <f>K61*ref_intake-H61*naph_yield</f>
        <v>-229.80724999999995</v>
      </c>
    </row>
    <row r="62" spans="1:17">
      <c r="A62" s="6">
        <v>2027</v>
      </c>
      <c r="B62" s="6">
        <v>10</v>
      </c>
      <c r="C62" s="9" t="s">
        <v>209</v>
      </c>
      <c r="D62" s="10">
        <f>SUMIFS(Data!$K:$K,Data!$A:$A,2027,Data!$B:$B,10)</f>
        <v>2799.5469</v>
      </c>
      <c r="E62" s="10">
        <f>SUMIFS(Data!$K:$K,Data!$A:$A,2027,Data!$B:$B,10,Data!$J:$J,"PLANNED")</f>
        <v>2799.5469</v>
      </c>
      <c r="F62" s="10">
        <f>SUMIFS(Data!$K:$K,Data!$A:$A,2027,Data!$B:$B,10,Data!$J:$J,"UNPLANNED")</f>
        <v>0.0</v>
      </c>
      <c r="G62" s="15">
        <f>IFERROR(F62/D62,0)</f>
        <v>0.0</v>
      </c>
      <c r="H62" s="10">
        <f>SUMIFS(Data!$K:$K,Data!$A:$A,2027,Data!$B:$B,10,Data!$G:$G,"CDU")</f>
        <v>1307.315</v>
      </c>
      <c r="I62" s="10">
        <f>SUMIFS(Data!$K:$K,Data!$A:$A,2027,Data!$B:$B,10,Data!$G:$G,"FCC")</f>
        <v>189.624</v>
      </c>
      <c r="J62" s="10">
        <f>SUMIFS(Data!$K:$K,Data!$A:$A,2027,Data!$B:$B,10,Data!$G:$G,"Hydrocracker")</f>
        <v>63.940000000000005</v>
      </c>
      <c r="K62" s="10">
        <f>SUMIFS(Data!$K:$K,Data!$A:$A,2027,Data!$B:$B,10,Data!$G:$G,"Reformer")</f>
        <v>109.94500000000001</v>
      </c>
      <c r="L62" s="10">
        <f>SUMIFS(Data!$K:$K,Data!$A:$A,2027,Data!$B:$B,10,Data!$F:$F,"PADD 1")</f>
        <v>5.5959</v>
      </c>
      <c r="M62" s="10">
        <f>SUMIFS(Data!$K:$K,Data!$A:$A,2027,Data!$B:$B,10,Data!$F:$F,"PADD 2")</f>
        <v>427.22999999999996</v>
      </c>
      <c r="N62" s="10">
        <f>SUMIFS(Data!$K:$K,Data!$A:$A,2027,Data!$B:$B,10,Data!$F:$F,"PADD 3")</f>
        <v>1819.237</v>
      </c>
      <c r="O62" s="10">
        <f>SUMIFS(Data!$K:$K,Data!$A:$A,2027,Data!$B:$B,10,Data!$F:$F,"PADD 4")</f>
        <v>34.444</v>
      </c>
      <c r="P62" s="10">
        <f>SUMIFS(Data!$K:$K,Data!$A:$A,2027,Data!$B:$B,10,Data!$F:$F,"PADD 5")</f>
        <v>513.04</v>
      </c>
      <c r="Q62" s="10">
        <f>K62*ref_intake-H62*naph_yield</f>
        <v>-347.61525</v>
      </c>
    </row>
    <row r="63" spans="1:17">
      <c r="A63" s="6">
        <v>2027</v>
      </c>
      <c r="B63" s="6">
        <v>11</v>
      </c>
      <c r="C63" s="9" t="s">
        <v>210</v>
      </c>
      <c r="D63" s="10">
        <f>SUMIFS(Data!$K:$K,Data!$A:$A,2027,Data!$B:$B,11)</f>
        <v>546.936</v>
      </c>
      <c r="E63" s="10">
        <f>SUMIFS(Data!$K:$K,Data!$A:$A,2027,Data!$B:$B,11,Data!$J:$J,"PLANNED")</f>
        <v>546.936</v>
      </c>
      <c r="F63" s="10">
        <f>SUMIFS(Data!$K:$K,Data!$A:$A,2027,Data!$B:$B,11,Data!$J:$J,"UNPLANNED")</f>
        <v>0.0</v>
      </c>
      <c r="G63" s="15">
        <f>IFERROR(F63/D63,0)</f>
        <v>0.0</v>
      </c>
      <c r="H63" s="10">
        <f>SUMIFS(Data!$K:$K,Data!$A:$A,2027,Data!$B:$B,11,Data!$G:$G,"CDU")</f>
        <v>283.90000000000003</v>
      </c>
      <c r="I63" s="10">
        <f>SUMIFS(Data!$K:$K,Data!$A:$A,2027,Data!$B:$B,11,Data!$G:$G,"FCC")</f>
        <v>54.870000000000005</v>
      </c>
      <c r="J63" s="10">
        <f>SUMIFS(Data!$K:$K,Data!$A:$A,2027,Data!$B:$B,11,Data!$G:$G,"Hydrocracker")</f>
        <v>17.653</v>
      </c>
      <c r="K63" s="10">
        <f>SUMIFS(Data!$K:$K,Data!$A:$A,2027,Data!$B:$B,11,Data!$G:$G,"Reformer")</f>
        <v>20.105</v>
      </c>
      <c r="L63" s="10">
        <f>SUMIFS(Data!$K:$K,Data!$A:$A,2027,Data!$B:$B,11,Data!$F:$F,"PADD 1")</f>
        <v>0.0</v>
      </c>
      <c r="M63" s="10">
        <f>SUMIFS(Data!$K:$K,Data!$A:$A,2027,Data!$B:$B,11,Data!$F:$F,"PADD 2")</f>
        <v>1.8</v>
      </c>
      <c r="N63" s="10">
        <f>SUMIFS(Data!$K:$K,Data!$A:$A,2027,Data!$B:$B,11,Data!$F:$F,"PADD 3")</f>
        <v>446.13300000000004</v>
      </c>
      <c r="O63" s="10">
        <f>SUMIFS(Data!$K:$K,Data!$A:$A,2027,Data!$B:$B,11,Data!$F:$F,"PADD 4")</f>
        <v>4.753</v>
      </c>
      <c r="P63" s="10">
        <f>SUMIFS(Data!$K:$K,Data!$A:$A,2027,Data!$B:$B,11,Data!$F:$F,"PADD 5")</f>
        <v>94.25</v>
      </c>
      <c r="Q63" s="10">
        <f>K63*ref_intake-H63*naph_yield</f>
        <v>-79.26</v>
      </c>
    </row>
    <row r="64" spans="1:17">
      <c r="A64" s="6">
        <v>2027</v>
      </c>
      <c r="B64" s="6">
        <v>12</v>
      </c>
      <c r="C64" s="9" t="s">
        <v>211</v>
      </c>
      <c r="D64" s="10">
        <f>SUMIFS(Data!$K:$K,Data!$A:$A,2027,Data!$B:$B,12)</f>
        <v>3.5</v>
      </c>
      <c r="E64" s="10">
        <f>SUMIFS(Data!$K:$K,Data!$A:$A,2027,Data!$B:$B,12,Data!$J:$J,"PLANNED")</f>
        <v>3.5</v>
      </c>
      <c r="F64" s="10">
        <f>SUMIFS(Data!$K:$K,Data!$A:$A,2027,Data!$B:$B,12,Data!$J:$J,"UNPLANNED")</f>
        <v>0.0</v>
      </c>
      <c r="G64" s="15">
        <f>IFERROR(F64/D64,0)</f>
        <v>0.0</v>
      </c>
      <c r="H64" s="10">
        <f>SUMIFS(Data!$K:$K,Data!$A:$A,2027,Data!$B:$B,12,Data!$G:$G,"CDU")</f>
        <v>0.0</v>
      </c>
      <c r="I64" s="10">
        <f>SUMIFS(Data!$K:$K,Data!$A:$A,2027,Data!$B:$B,12,Data!$G:$G,"FCC")</f>
        <v>0.0</v>
      </c>
      <c r="J64" s="10">
        <f>SUMIFS(Data!$K:$K,Data!$A:$A,2027,Data!$B:$B,12,Data!$G:$G,"Hydrocracker")</f>
        <v>0.0</v>
      </c>
      <c r="K64" s="10">
        <f>SUMIFS(Data!$K:$K,Data!$A:$A,2027,Data!$B:$B,12,Data!$G:$G,"Reformer")</f>
        <v>0.0</v>
      </c>
      <c r="L64" s="10">
        <f>SUMIFS(Data!$K:$K,Data!$A:$A,2027,Data!$B:$B,12,Data!$F:$F,"PADD 1")</f>
        <v>0.0</v>
      </c>
      <c r="M64" s="10">
        <f>SUMIFS(Data!$K:$K,Data!$A:$A,2027,Data!$B:$B,12,Data!$F:$F,"PADD 2")</f>
        <v>0.0</v>
      </c>
      <c r="N64" s="10">
        <f>SUMIFS(Data!$K:$K,Data!$A:$A,2027,Data!$B:$B,12,Data!$F:$F,"PADD 3")</f>
        <v>0.0</v>
      </c>
      <c r="O64" s="10">
        <f>SUMIFS(Data!$K:$K,Data!$A:$A,2027,Data!$B:$B,12,Data!$F:$F,"PADD 4")</f>
        <v>0.0</v>
      </c>
      <c r="P64" s="10">
        <f>SUMIFS(Data!$K:$K,Data!$A:$A,2027,Data!$B:$B,12,Data!$F:$F,"PADD 5")</f>
        <v>3.5</v>
      </c>
      <c r="Q64" s="10">
        <f>K64*ref_intake-H64*naph_yield</f>
        <v>0.0</v>
      </c>
    </row>
    <row r="66" spans="1:6">
      <c r="A66" s="3" t="s">
        <v>307</v>
      </c>
    </row>
    <row r="67" spans="1:6">
      <c r="A67" s="7" t="s">
        <v>58</v>
      </c>
      <c r="B67" s="8" t="s">
        <v>18</v>
      </c>
      <c r="C67" s="8" t="s">
        <v>10</v>
      </c>
      <c r="D67" s="8" t="s">
        <v>11</v>
      </c>
      <c r="E67" s="8" t="s">
        <v>299</v>
      </c>
      <c r="F67" s="8" t="s">
        <v>308</v>
      </c>
    </row>
    <row r="68" spans="1:6">
      <c r="A68" s="9">
        <v>2023</v>
      </c>
      <c r="B68" s="10">
        <f>SUMIFS(Data!$K:$K,Data!$A:$A,2023)</f>
        <v>49891.3727</v>
      </c>
      <c r="C68" s="10">
        <f>SUMIFS(Data!$K:$K,Data!$A:$A,2023,Data!$J:$J,"PLANNED")</f>
        <v>26140.2458</v>
      </c>
      <c r="D68" s="10">
        <f>SUMIFS(Data!$K:$K,Data!$A:$A,2023,Data!$J:$J,"UNPLANNED")</f>
        <v>23751.1269</v>
      </c>
      <c r="E68" s="15">
        <f>IFERROR(D68/B68,0)</f>
        <v>0.47605679328201767</v>
      </c>
      <c r="F68" s="6" t="s">
        <v>309</v>
      </c>
    </row>
    <row r="69" spans="1:6">
      <c r="A69" s="9">
        <v>2024</v>
      </c>
      <c r="B69" s="10">
        <f>SUMIFS(Data!$K:$K,Data!$A:$A,2024)</f>
        <v>41965.0625</v>
      </c>
      <c r="C69" s="10">
        <f>SUMIFS(Data!$K:$K,Data!$A:$A,2024,Data!$J:$J,"PLANNED")</f>
        <v>20382.4957</v>
      </c>
      <c r="D69" s="10">
        <f>SUMIFS(Data!$K:$K,Data!$A:$A,2024,Data!$J:$J,"UNPLANNED")</f>
        <v>21582.5668</v>
      </c>
      <c r="E69" s="15">
        <f>IFERROR(D69/B69,0)</f>
        <v>0.5142984548158364</v>
      </c>
      <c r="F69" s="11">
        <f>IFERROR(B69/B68-1,0)</f>
        <v>-0.15887135933624053</v>
      </c>
    </row>
    <row r="70" spans="1:6">
      <c r="A70" s="9">
        <v>2025</v>
      </c>
      <c r="B70" s="10">
        <f>SUMIFS(Data!$K:$K,Data!$A:$A,2025)</f>
        <v>38746.1111</v>
      </c>
      <c r="C70" s="10">
        <f>SUMIFS(Data!$K:$K,Data!$A:$A,2025,Data!$J:$J,"PLANNED")</f>
        <v>19488.5576</v>
      </c>
      <c r="D70" s="10">
        <f>SUMIFS(Data!$K:$K,Data!$A:$A,2025,Data!$J:$J,"UNPLANNED")</f>
        <v>19257.5535</v>
      </c>
      <c r="E70" s="15">
        <f>IFERROR(D70/B70,0)</f>
        <v>0.497019002766448</v>
      </c>
      <c r="F70" s="11">
        <f>IFERROR(B70/B69-1,0)</f>
        <v>-0.0767055071108258</v>
      </c>
    </row>
    <row r="71" spans="1:6">
      <c r="A71" s="9">
        <v>2026</v>
      </c>
      <c r="B71" s="10">
        <f>SUMIFS(Data!$K:$K,Data!$A:$A,2026)</f>
        <v>21471.7923</v>
      </c>
      <c r="C71" s="10">
        <f>SUMIFS(Data!$K:$K,Data!$A:$A,2026,Data!$J:$J,"PLANNED")</f>
        <v>12068.482</v>
      </c>
      <c r="D71" s="10">
        <f>SUMIFS(Data!$K:$K,Data!$A:$A,2026,Data!$J:$J,"UNPLANNED")</f>
        <v>9403.3103</v>
      </c>
      <c r="E71" s="15">
        <f>IFERROR(D71/B71,0)</f>
        <v>0.4379378381002688</v>
      </c>
      <c r="F71" s="11">
        <f>IFERROR(B71/B70-1,0)</f>
        <v>-0.44583361554445133</v>
      </c>
    </row>
    <row r="72" spans="1:6">
      <c r="A72" s="9">
        <v>2027</v>
      </c>
      <c r="B72" s="10">
        <f>SUMIFS(Data!$K:$K,Data!$A:$A,2027)</f>
        <v>15466.1996</v>
      </c>
      <c r="C72" s="10">
        <f>SUMIFS(Data!$K:$K,Data!$A:$A,2027,Data!$J:$J,"PLANNED")</f>
        <v>15466.1996</v>
      </c>
      <c r="D72" s="10">
        <f>SUMIFS(Data!$K:$K,Data!$A:$A,2027,Data!$J:$J,"UNPLANNED")</f>
        <v>0.0</v>
      </c>
      <c r="E72" s="15">
        <f>IFERROR(D72/B72,0)</f>
        <v>0.0</v>
      </c>
      <c r="F72" s="11">
        <f>IFERROR(B72/B71-1,0)</f>
        <v>-0.27969685138953215</v>
      </c>
    </row>
  </sheetData>
  <autoFilter ref="A4:Q64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548235"/>
  </sheetPr>
  <dimension ref="A1:I32"/>
  <sheetViews>
    <sheetView showGridLines="0" zoomScale="110" zoomScaleNormal="110" workbookViewId="0"/>
  </sheetViews>
  <sheetFormatPr defaultRowHeight="15"/>
  <cols>
    <col min="1" max="1" width="28.7109375" customWidth="1"/>
    <col min="2" max="2" width="26.7109375" customWidth="1"/>
    <col min="3" max="9" width="10.7109375" customWidth="1"/>
  </cols>
  <sheetData>
    <row r="1" spans="1:8" ht="22" customHeight="1">
      <c r="A1" s="1" t="s">
        <v>310</v>
      </c>
    </row>
    <row r="2" spans="1:8">
      <c r="A2" s="2" t="s">
        <v>311</v>
      </c>
    </row>
    <row r="4" spans="1:8">
      <c r="A4" s="3" t="s">
        <v>312</v>
      </c>
    </row>
    <row r="5" spans="1:8">
      <c r="A5" s="7" t="s">
        <v>33</v>
      </c>
      <c r="B5" s="7" t="s">
        <v>34</v>
      </c>
      <c r="C5" s="8" t="s">
        <v>76</v>
      </c>
      <c r="D5" s="8" t="s">
        <v>313</v>
      </c>
      <c r="E5" s="8" t="s">
        <v>314</v>
      </c>
      <c r="F5" s="8" t="s">
        <v>315</v>
      </c>
      <c r="G5" s="8" t="s">
        <v>316</v>
      </c>
      <c r="H5" s="8" t="s">
        <v>317</v>
      </c>
    </row>
    <row r="6" spans="1:8">
      <c r="A6" s="6" t="s">
        <v>48</v>
      </c>
      <c r="B6" s="6" t="s">
        <v>318</v>
      </c>
      <c r="C6" s="6" t="s">
        <v>12</v>
      </c>
      <c r="D6" s="6">
        <v>2025</v>
      </c>
      <c r="E6" s="6">
        <v>2026</v>
      </c>
      <c r="F6" s="6">
        <v>1</v>
      </c>
      <c r="G6" s="10">
        <v>72</v>
      </c>
      <c r="H6" s="10">
        <v>598</v>
      </c>
    </row>
    <row r="7" spans="1:8">
      <c r="A7" s="6" t="s">
        <v>319</v>
      </c>
      <c r="B7" s="6" t="s">
        <v>320</v>
      </c>
      <c r="C7" s="6" t="s">
        <v>12</v>
      </c>
      <c r="D7" s="6">
        <v>2023</v>
      </c>
      <c r="E7" s="6">
        <v>2027</v>
      </c>
      <c r="F7" s="6">
        <v>4</v>
      </c>
      <c r="G7" s="10">
        <v>442</v>
      </c>
      <c r="H7" s="10">
        <v>394</v>
      </c>
    </row>
    <row r="8" spans="1:8">
      <c r="A8" s="6" t="s">
        <v>321</v>
      </c>
      <c r="B8" s="6" t="s">
        <v>81</v>
      </c>
      <c r="C8" s="6" t="s">
        <v>12</v>
      </c>
      <c r="D8" s="6">
        <v>2026</v>
      </c>
      <c r="E8" s="6">
        <v>2027</v>
      </c>
      <c r="F8" s="6">
        <v>1</v>
      </c>
      <c r="G8" s="10">
        <v>68</v>
      </c>
      <c r="H8" s="10">
        <v>322</v>
      </c>
    </row>
    <row r="9" spans="1:8">
      <c r="A9" s="6" t="s">
        <v>322</v>
      </c>
      <c r="B9" s="6" t="s">
        <v>323</v>
      </c>
      <c r="C9" s="6" t="s">
        <v>12</v>
      </c>
      <c r="D9" s="6">
        <v>2025</v>
      </c>
      <c r="E9" s="6">
        <v>2026</v>
      </c>
      <c r="F9" s="6">
        <v>1</v>
      </c>
      <c r="G9" s="10">
        <v>36</v>
      </c>
      <c r="H9" s="10">
        <v>284</v>
      </c>
    </row>
    <row r="10" spans="1:8">
      <c r="A10" s="6" t="s">
        <v>324</v>
      </c>
      <c r="B10" s="6" t="s">
        <v>98</v>
      </c>
      <c r="C10" s="6" t="s">
        <v>12</v>
      </c>
      <c r="D10" s="6">
        <v>2025</v>
      </c>
      <c r="E10" s="6">
        <v>2027</v>
      </c>
      <c r="F10" s="6">
        <v>2</v>
      </c>
      <c r="G10" s="10">
        <v>96</v>
      </c>
      <c r="H10" s="10">
        <v>284</v>
      </c>
    </row>
    <row r="11" spans="1:8">
      <c r="A11" s="6" t="s">
        <v>324</v>
      </c>
      <c r="B11" s="6" t="s">
        <v>325</v>
      </c>
      <c r="C11" s="6" t="s">
        <v>12</v>
      </c>
      <c r="D11" s="6">
        <v>2025</v>
      </c>
      <c r="E11" s="6">
        <v>2027</v>
      </c>
      <c r="F11" s="6">
        <v>2</v>
      </c>
      <c r="G11" s="10">
        <v>194</v>
      </c>
      <c r="H11" s="10">
        <v>284</v>
      </c>
    </row>
    <row r="12" spans="1:8">
      <c r="A12" s="6" t="s">
        <v>326</v>
      </c>
      <c r="B12" s="6" t="s">
        <v>93</v>
      </c>
      <c r="C12" s="6" t="s">
        <v>12</v>
      </c>
      <c r="D12" s="6">
        <v>2024</v>
      </c>
      <c r="E12" s="6">
        <v>2027</v>
      </c>
      <c r="F12" s="6">
        <v>3</v>
      </c>
      <c r="G12" s="10">
        <v>40</v>
      </c>
      <c r="H12" s="10">
        <v>270</v>
      </c>
    </row>
    <row r="13" spans="1:8">
      <c r="A13" s="6" t="s">
        <v>327</v>
      </c>
      <c r="B13" s="6" t="s">
        <v>81</v>
      </c>
      <c r="C13" s="6" t="s">
        <v>12</v>
      </c>
      <c r="D13" s="6">
        <v>2024</v>
      </c>
      <c r="E13" s="6">
        <v>2026</v>
      </c>
      <c r="F13" s="6">
        <v>2</v>
      </c>
      <c r="G13" s="10">
        <v>151</v>
      </c>
      <c r="H13" s="10">
        <v>240</v>
      </c>
    </row>
    <row r="14" spans="1:8">
      <c r="A14" s="6" t="s">
        <v>328</v>
      </c>
      <c r="B14" s="6" t="s">
        <v>91</v>
      </c>
      <c r="C14" s="6" t="s">
        <v>12</v>
      </c>
      <c r="D14" s="6">
        <v>2026</v>
      </c>
      <c r="E14" s="6">
        <v>2027</v>
      </c>
      <c r="F14" s="6">
        <v>1</v>
      </c>
      <c r="G14" s="10">
        <v>112</v>
      </c>
      <c r="H14" s="10">
        <v>229</v>
      </c>
    </row>
    <row r="15" spans="1:8">
      <c r="A15" s="6" t="s">
        <v>329</v>
      </c>
      <c r="B15" s="6" t="s">
        <v>330</v>
      </c>
      <c r="C15" s="6" t="s">
        <v>12</v>
      </c>
      <c r="D15" s="6">
        <v>2025</v>
      </c>
      <c r="E15" s="6">
        <v>2026</v>
      </c>
      <c r="F15" s="6">
        <v>1</v>
      </c>
      <c r="G15" s="10">
        <v>110</v>
      </c>
      <c r="H15" s="10">
        <v>221</v>
      </c>
    </row>
    <row r="16" spans="1:8">
      <c r="A16" s="6" t="s">
        <v>329</v>
      </c>
      <c r="B16" s="6" t="s">
        <v>123</v>
      </c>
      <c r="C16" s="6" t="s">
        <v>12</v>
      </c>
      <c r="D16" s="6">
        <v>2024</v>
      </c>
      <c r="E16" s="6">
        <v>2027</v>
      </c>
      <c r="F16" s="6">
        <v>3</v>
      </c>
      <c r="G16" s="10">
        <v>132</v>
      </c>
      <c r="H16" s="10">
        <v>220</v>
      </c>
    </row>
    <row r="17" spans="1:9">
      <c r="A17" s="6" t="s">
        <v>331</v>
      </c>
      <c r="B17" s="6" t="s">
        <v>332</v>
      </c>
      <c r="C17" s="6" t="s">
        <v>12</v>
      </c>
      <c r="D17" s="6">
        <v>2024</v>
      </c>
      <c r="E17" s="6">
        <v>2026</v>
      </c>
      <c r="F17" s="6">
        <v>2</v>
      </c>
      <c r="G17" s="10">
        <v>91</v>
      </c>
      <c r="H17" s="10">
        <v>196</v>
      </c>
    </row>
    <row r="18" spans="1:9">
      <c r="A18" s="6" t="s">
        <v>333</v>
      </c>
      <c r="B18" s="6" t="s">
        <v>105</v>
      </c>
      <c r="C18" s="6" t="s">
        <v>13</v>
      </c>
      <c r="D18" s="6">
        <v>2024</v>
      </c>
      <c r="E18" s="6">
        <v>2027</v>
      </c>
      <c r="F18" s="6">
        <v>3</v>
      </c>
      <c r="G18" s="10">
        <v>60</v>
      </c>
      <c r="H18" s="10">
        <v>187</v>
      </c>
    </row>
    <row r="19" spans="1:9">
      <c r="A19" s="6" t="s">
        <v>321</v>
      </c>
      <c r="B19" s="6" t="s">
        <v>105</v>
      </c>
      <c r="C19" s="6" t="s">
        <v>13</v>
      </c>
      <c r="D19" s="6">
        <v>2026</v>
      </c>
      <c r="E19" s="6">
        <v>2027</v>
      </c>
      <c r="F19" s="6">
        <v>1</v>
      </c>
      <c r="G19" s="10">
        <v>30</v>
      </c>
      <c r="H19" s="10">
        <v>165</v>
      </c>
    </row>
    <row r="20" spans="1:9">
      <c r="A20" s="6" t="s">
        <v>334</v>
      </c>
      <c r="B20" s="6" t="s">
        <v>137</v>
      </c>
      <c r="C20" s="6" t="s">
        <v>12</v>
      </c>
      <c r="D20" s="6">
        <v>2024</v>
      </c>
      <c r="E20" s="6">
        <v>2027</v>
      </c>
      <c r="F20" s="6">
        <v>3</v>
      </c>
      <c r="G20" s="10">
        <v>8</v>
      </c>
      <c r="H20" s="10">
        <v>162</v>
      </c>
    </row>
    <row r="21" spans="1:9">
      <c r="A21" s="6" t="s">
        <v>335</v>
      </c>
      <c r="B21" s="6" t="s">
        <v>141</v>
      </c>
      <c r="C21" s="6" t="s">
        <v>13</v>
      </c>
      <c r="D21" s="6">
        <v>2025</v>
      </c>
      <c r="E21" s="6">
        <v>2027</v>
      </c>
      <c r="F21" s="6">
        <v>2</v>
      </c>
      <c r="G21" s="10">
        <v>85</v>
      </c>
      <c r="H21" s="10">
        <v>158</v>
      </c>
    </row>
    <row r="22" spans="1:9">
      <c r="A22" s="12" t="s">
        <v>336</v>
      </c>
      <c r="B22" s="12"/>
      <c r="C22" s="12"/>
      <c r="D22" s="12"/>
      <c r="E22" s="12"/>
      <c r="F22" s="12"/>
      <c r="G22" s="12"/>
      <c r="H22" s="12"/>
      <c r="I22" s="12"/>
    </row>
    <row r="24" spans="1:9">
      <c r="A24" s="3" t="s">
        <v>337</v>
      </c>
    </row>
    <row r="25" spans="1:9">
      <c r="A25" s="8" t="s">
        <v>58</v>
      </c>
      <c r="B25" s="8" t="s">
        <v>147</v>
      </c>
      <c r="C25" s="7" t="s">
        <v>33</v>
      </c>
      <c r="D25" s="7" t="s">
        <v>34</v>
      </c>
      <c r="E25" s="8" t="s">
        <v>76</v>
      </c>
      <c r="F25" s="8" t="s">
        <v>338</v>
      </c>
      <c r="G25" s="8" t="s">
        <v>339</v>
      </c>
      <c r="H25" s="8" t="s">
        <v>340</v>
      </c>
      <c r="I25" s="8" t="s">
        <v>78</v>
      </c>
    </row>
    <row r="26" spans="1:9">
      <c r="A26" s="6">
        <v>2026</v>
      </c>
      <c r="B26" s="6">
        <v>2</v>
      </c>
      <c r="C26" s="6" t="s">
        <v>50</v>
      </c>
      <c r="D26" s="6" t="s">
        <v>341</v>
      </c>
      <c r="E26" s="6" t="s">
        <v>12</v>
      </c>
      <c r="F26" s="10">
        <v>192.1</v>
      </c>
      <c r="G26" s="10">
        <v>115</v>
      </c>
      <c r="H26" s="15">
        <v>1.67</v>
      </c>
      <c r="I26" s="6" t="s">
        <v>342</v>
      </c>
    </row>
    <row r="27" spans="1:9">
      <c r="A27" s="6">
        <v>2026</v>
      </c>
      <c r="B27" s="6">
        <v>4</v>
      </c>
      <c r="C27" s="6" t="s">
        <v>343</v>
      </c>
      <c r="D27" s="6" t="s">
        <v>344</v>
      </c>
      <c r="E27" s="6" t="s">
        <v>13</v>
      </c>
      <c r="F27" s="10">
        <v>155</v>
      </c>
      <c r="G27" s="10">
        <v>80</v>
      </c>
      <c r="H27" s="15">
        <v>1.94</v>
      </c>
      <c r="I27" s="6" t="s">
        <v>345</v>
      </c>
    </row>
    <row r="28" spans="1:9">
      <c r="A28" s="6">
        <v>2026</v>
      </c>
      <c r="B28" s="6">
        <v>5</v>
      </c>
      <c r="C28" s="6" t="s">
        <v>346</v>
      </c>
      <c r="D28" s="6" t="s">
        <v>105</v>
      </c>
      <c r="E28" s="6" t="s">
        <v>13</v>
      </c>
      <c r="F28" s="10">
        <v>93.90000000000001</v>
      </c>
      <c r="G28" s="10">
        <v>82</v>
      </c>
      <c r="H28" s="15">
        <v>1.14</v>
      </c>
      <c r="I28" s="6" t="s">
        <v>345</v>
      </c>
    </row>
    <row r="29" spans="1:9">
      <c r="A29" s="6">
        <v>2026</v>
      </c>
      <c r="B29" s="6">
        <v>11</v>
      </c>
      <c r="C29" s="6" t="s">
        <v>347</v>
      </c>
      <c r="D29" s="6" t="s">
        <v>348</v>
      </c>
      <c r="E29" s="6" t="s">
        <v>15</v>
      </c>
      <c r="F29" s="10">
        <v>15</v>
      </c>
      <c r="G29" s="10">
        <v>7.5</v>
      </c>
      <c r="H29" s="15">
        <v>2</v>
      </c>
      <c r="I29" s="6" t="s">
        <v>349</v>
      </c>
    </row>
    <row r="30" spans="1:9">
      <c r="A30" s="6">
        <v>2026</v>
      </c>
      <c r="B30" s="6">
        <v>4</v>
      </c>
      <c r="C30" s="6" t="s">
        <v>343</v>
      </c>
      <c r="D30" s="6" t="s">
        <v>350</v>
      </c>
      <c r="E30" s="6" t="s">
        <v>12</v>
      </c>
      <c r="F30" s="10">
        <v>217</v>
      </c>
      <c r="G30" s="10">
        <v>210</v>
      </c>
      <c r="H30" s="15">
        <v>1.03</v>
      </c>
      <c r="I30" s="6" t="s">
        <v>345</v>
      </c>
    </row>
    <row r="31" spans="1:9">
      <c r="A31" s="6">
        <v>2026</v>
      </c>
      <c r="B31" s="6">
        <v>3</v>
      </c>
      <c r="C31" s="6" t="s">
        <v>343</v>
      </c>
      <c r="D31" s="6" t="s">
        <v>351</v>
      </c>
      <c r="E31" s="6" t="s">
        <v>14</v>
      </c>
      <c r="F31" s="10">
        <v>50.8</v>
      </c>
      <c r="G31" s="10">
        <v>45</v>
      </c>
      <c r="H31" s="15">
        <v>1.13</v>
      </c>
      <c r="I31" s="6" t="s">
        <v>342</v>
      </c>
    </row>
    <row r="32" spans="1:9">
      <c r="A32" s="12" t="s">
        <v>352</v>
      </c>
      <c r="B32" s="12"/>
      <c r="C32" s="12"/>
      <c r="D32" s="12"/>
      <c r="E32" s="12"/>
      <c r="F32" s="12"/>
      <c r="G32" s="12"/>
      <c r="H32" s="12"/>
      <c r="I32" s="12"/>
    </row>
  </sheetData>
  <mergeCells count="2">
    <mergeCell ref="A22:I22"/>
    <mergeCell ref="A32:I3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548235"/>
  </sheetPr>
  <dimension ref="A1:M14827"/>
  <sheetViews>
    <sheetView zoomScale="110" zoomScaleNormal="110" workbookViewId="0">
      <pane ySplit="4" topLeftCell="A5" activePane="bottomLeft" state="frozen"/>
      <selection pane="bottomLeft"/>
    </sheetView>
  </sheetViews>
  <sheetFormatPr defaultRowHeight="15"/>
  <cols>
    <col min="1" max="3" width="6.7109375" customWidth="1"/>
    <col min="4" max="4" width="26.7109375" customWidth="1"/>
    <col min="5" max="5" width="24.7109375" customWidth="1"/>
    <col min="6" max="7" width="12.7109375" customWidth="1"/>
    <col min="8" max="8" width="20.7109375" customWidth="1"/>
    <col min="9" max="9" width="24.7109375" customWidth="1"/>
    <col min="10" max="13" width="10.7109375" customWidth="1"/>
  </cols>
  <sheetData>
    <row r="1" spans="1:13" ht="22" customHeight="1">
      <c r="A1" s="1" t="s">
        <v>353</v>
      </c>
    </row>
    <row r="2" spans="1:13">
      <c r="A2" s="2" t="s">
        <v>354</v>
      </c>
    </row>
    <row r="4" spans="1:13">
      <c r="A4" s="8" t="s">
        <v>355</v>
      </c>
      <c r="B4" s="8" t="s">
        <v>356</v>
      </c>
      <c r="C4" s="8" t="s">
        <v>357</v>
      </c>
      <c r="D4" s="8" t="s">
        <v>358</v>
      </c>
      <c r="E4" s="8" t="s">
        <v>359</v>
      </c>
      <c r="F4" s="8" t="s">
        <v>360</v>
      </c>
      <c r="G4" s="8" t="s">
        <v>361</v>
      </c>
      <c r="H4" s="8" t="s">
        <v>362</v>
      </c>
      <c r="I4" s="8" t="s">
        <v>363</v>
      </c>
      <c r="J4" s="8" t="s">
        <v>364</v>
      </c>
      <c r="K4" s="8" t="s">
        <v>365</v>
      </c>
      <c r="L4" s="8" t="s">
        <v>366</v>
      </c>
      <c r="M4" s="8" t="s">
        <v>367</v>
      </c>
    </row>
    <row r="5" spans="1:13">
      <c r="A5" s="6">
        <v>2023</v>
      </c>
      <c r="B5" s="6">
        <v>1</v>
      </c>
      <c r="C5" s="6" t="s">
        <v>59</v>
      </c>
      <c r="D5" s="6" t="s">
        <v>368</v>
      </c>
      <c r="E5" s="6" t="s">
        <v>369</v>
      </c>
      <c r="F5" s="6" t="str">
        <f>IF($M5="PADD I","PADD 1",IF($M5="PADD II","PADD 2",IF($M5="PADD III","PADD 3",IF($M5="PADD IV","PADD 4",IF($M5="PADD V","PADD 5","")))))</f>
        <v>PADD 3</v>
      </c>
      <c r="G5" s="6" t="str">
        <f>IF(AND($H5="ATMOS DISTILLATION",ISNUMBER(SEARCH("VPS",$I5))=FALSE,LEFT($I5,6)&lt;&gt;"VACUUM"),"CDU",IF($H5="FLUID CAT CRACKING","FCC",IF(OR($H5="HYDROCRACKING",$H5="RESID_HYDROCRACKING"),"Hydrocracker",IF($H5="REFORMING","Reformer",""))))</f>
        <v>CDU</v>
      </c>
      <c r="H5" s="6" t="s">
        <v>38</v>
      </c>
      <c r="I5" s="6" t="s">
        <v>370</v>
      </c>
      <c r="J5" s="6" t="s">
        <v>349</v>
      </c>
      <c r="K5" s="10">
        <v>269.14</v>
      </c>
      <c r="L5" s="10">
        <v>269.14</v>
      </c>
      <c r="M5" s="6" t="s">
        <v>371</v>
      </c>
    </row>
    <row r="6" spans="1:13">
      <c r="A6" s="6">
        <v>2023</v>
      </c>
      <c r="B6" s="6">
        <v>1</v>
      </c>
      <c r="C6" s="6" t="s">
        <v>59</v>
      </c>
      <c r="D6" s="6" t="s">
        <v>372</v>
      </c>
      <c r="E6" s="6" t="s">
        <v>373</v>
      </c>
      <c r="F6" s="6" t="str">
        <f>IF($M6="PADD I","PADD 1",IF($M6="PADD II","PADD 2",IF($M6="PADD III","PADD 3",IF($M6="PADD IV","PADD 4",IF($M6="PADD V","PADD 5","")))))</f>
        <v>PADD 2</v>
      </c>
      <c r="G6" s="6" t="str">
        <f>IF(AND($H6="ATMOS DISTILLATION",ISNUMBER(SEARCH("VPS",$I6))=FALSE,LEFT($I6,6)&lt;&gt;"VACUUM"),"CDU",IF($H6="FLUID CAT CRACKING","FCC",IF(OR($H6="HYDROCRACKING",$H6="RESID_HYDROCRACKING"),"Hydrocracker",IF($H6="REFORMING","Reformer",""))))</f>
        <v>CDU</v>
      </c>
      <c r="H6" s="6" t="s">
        <v>38</v>
      </c>
      <c r="I6" s="6" t="s">
        <v>374</v>
      </c>
      <c r="J6" s="6" t="s">
        <v>345</v>
      </c>
      <c r="K6" s="10">
        <v>110</v>
      </c>
      <c r="L6" s="10">
        <v>110</v>
      </c>
      <c r="M6" s="6" t="s">
        <v>375</v>
      </c>
    </row>
    <row r="7" spans="1:13">
      <c r="A7" s="6">
        <v>2023</v>
      </c>
      <c r="B7" s="6">
        <v>1</v>
      </c>
      <c r="C7" s="6" t="s">
        <v>59</v>
      </c>
      <c r="D7" s="6" t="s">
        <v>368</v>
      </c>
      <c r="E7" s="6" t="s">
        <v>369</v>
      </c>
      <c r="F7" s="6" t="str">
        <f>IF($M7="PADD I","PADD 1",IF($M7="PADD II","PADD 2",IF($M7="PADD III","PADD 3",IF($M7="PADD IV","PADD 4",IF($M7="PADD V","PADD 5","")))))</f>
        <v>PADD 3</v>
      </c>
      <c r="G7" s="6" t="str">
        <f>IF(AND($H7="ATMOS DISTILLATION",ISNUMBER(SEARCH("VPS",$I7))=FALSE,LEFT($I7,6)&lt;&gt;"VACUUM"),"CDU",IF($H7="FLUID CAT CRACKING","FCC",IF(OR($H7="HYDROCRACKING",$H7="RESID_HYDROCRACKING"),"Hydrocracker",IF($H7="REFORMING","Reformer",""))))</f>
        <v>FCC</v>
      </c>
      <c r="H7" s="6" t="s">
        <v>376</v>
      </c>
      <c r="I7" s="6" t="s">
        <v>377</v>
      </c>
      <c r="J7" s="6" t="s">
        <v>349</v>
      </c>
      <c r="K7" s="10">
        <v>104</v>
      </c>
      <c r="L7" s="10">
        <v>104</v>
      </c>
      <c r="M7" s="6" t="s">
        <v>371</v>
      </c>
    </row>
    <row r="8" spans="1:13">
      <c r="A8" s="6">
        <v>2023</v>
      </c>
      <c r="B8" s="6">
        <v>1</v>
      </c>
      <c r="C8" s="6" t="s">
        <v>59</v>
      </c>
      <c r="D8" s="6" t="s">
        <v>368</v>
      </c>
      <c r="E8" s="6" t="s">
        <v>369</v>
      </c>
      <c r="F8" s="6" t="str">
        <f>IF($M8="PADD I","PADD 1",IF($M8="PADD II","PADD 2",IF($M8="PADD III","PADD 3",IF($M8="PADD IV","PADD 4",IF($M8="PADD V","PADD 5","")))))</f>
        <v>PADD 3</v>
      </c>
      <c r="G8" s="6">
        <f>IF(AND($H8="ATMOS DISTILLATION",ISNUMBER(SEARCH("VPS",$I8))=FALSE,LEFT($I8,6)&lt;&gt;"VACUUM"),"CDU",IF($H8="FLUID CAT CRACKING","FCC",IF(OR($H8="HYDROCRACKING",$H8="RESID_HYDROCRACKING"),"Hydrocracker",IF($H8="REFORMING","Reformer",""))))</f>
        <v/>
      </c>
      <c r="H8" s="6" t="s">
        <v>378</v>
      </c>
      <c r="I8" s="6" t="s">
        <v>379</v>
      </c>
      <c r="J8" s="6" t="s">
        <v>349</v>
      </c>
      <c r="K8" s="10">
        <v>103</v>
      </c>
      <c r="L8" s="10">
        <v>103</v>
      </c>
      <c r="M8" s="6" t="s">
        <v>371</v>
      </c>
    </row>
    <row r="9" spans="1:13">
      <c r="A9" s="6">
        <v>2023</v>
      </c>
      <c r="B9" s="6">
        <v>1</v>
      </c>
      <c r="C9" s="6" t="s">
        <v>59</v>
      </c>
      <c r="D9" s="6" t="s">
        <v>380</v>
      </c>
      <c r="E9" s="6" t="s">
        <v>381</v>
      </c>
      <c r="F9" s="6" t="str">
        <f>IF($M9="PADD I","PADD 1",IF($M9="PADD II","PADD 2",IF($M9="PADD III","PADD 3",IF($M9="PADD IV","PADD 4",IF($M9="PADD V","PADD 5","")))))</f>
        <v>PADD 3</v>
      </c>
      <c r="G9" s="6" t="str">
        <f>IF(AND($H9="ATMOS DISTILLATION",ISNUMBER(SEARCH("VPS",$I9))=FALSE,LEFT($I9,6)&lt;&gt;"VACUUM"),"CDU",IF($H9="FLUID CAT CRACKING","FCC",IF(OR($H9="HYDROCRACKING",$H9="RESID_HYDROCRACKING"),"Hydrocracker",IF($H9="REFORMING","Reformer",""))))</f>
        <v>CDU</v>
      </c>
      <c r="H9" s="6" t="s">
        <v>38</v>
      </c>
      <c r="I9" s="6" t="s">
        <v>382</v>
      </c>
      <c r="J9" s="6" t="s">
        <v>349</v>
      </c>
      <c r="K9" s="10">
        <v>100.8</v>
      </c>
      <c r="L9" s="10">
        <v>210</v>
      </c>
      <c r="M9" s="6" t="s">
        <v>371</v>
      </c>
    </row>
    <row r="10" spans="1:13">
      <c r="A10" s="6">
        <v>2023</v>
      </c>
      <c r="B10" s="6">
        <v>1</v>
      </c>
      <c r="C10" s="6" t="s">
        <v>59</v>
      </c>
      <c r="D10" s="6" t="s">
        <v>333</v>
      </c>
      <c r="E10" s="6" t="s">
        <v>381</v>
      </c>
      <c r="F10" s="6" t="str">
        <f>IF($M10="PADD I","PADD 1",IF($M10="PADD II","PADD 2",IF($M10="PADD III","PADD 3",IF($M10="PADD IV","PADD 4",IF($M10="PADD V","PADD 5","")))))</f>
        <v>PADD 3</v>
      </c>
      <c r="G10" s="6" t="str">
        <f>IF(AND($H10="ATMOS DISTILLATION",ISNUMBER(SEARCH("VPS",$I10))=FALSE,LEFT($I10,6)&lt;&gt;"VACUUM"),"CDU",IF($H10="FLUID CAT CRACKING","FCC",IF(OR($H10="HYDROCRACKING",$H10="RESID_HYDROCRACKING"),"Hydrocracker",IF($H10="REFORMING","Reformer",""))))</f>
        <v>FCC</v>
      </c>
      <c r="H10" s="6" t="s">
        <v>376</v>
      </c>
      <c r="I10" s="6" t="s">
        <v>105</v>
      </c>
      <c r="J10" s="6" t="s">
        <v>349</v>
      </c>
      <c r="K10" s="10">
        <v>92.40000000000001</v>
      </c>
      <c r="L10" s="10">
        <v>120</v>
      </c>
      <c r="M10" s="6" t="s">
        <v>371</v>
      </c>
    </row>
    <row r="11" spans="1:13">
      <c r="A11" s="6">
        <v>2023</v>
      </c>
      <c r="B11" s="6">
        <v>1</v>
      </c>
      <c r="C11" s="6" t="s">
        <v>59</v>
      </c>
      <c r="D11" s="6" t="s">
        <v>346</v>
      </c>
      <c r="E11" s="6" t="s">
        <v>383</v>
      </c>
      <c r="F11" s="6" t="str">
        <f>IF($M11="PADD I","PADD 1",IF($M11="PADD II","PADD 2",IF($M11="PADD III","PADD 3",IF($M11="PADD IV","PADD 4",IF($M11="PADD V","PADD 5","")))))</f>
        <v>PADD 2</v>
      </c>
      <c r="G11" s="6" t="str">
        <f>IF(AND($H11="ATMOS DISTILLATION",ISNUMBER(SEARCH("VPS",$I11))=FALSE,LEFT($I11,6)&lt;&gt;"VACUUM"),"CDU",IF($H11="FLUID CAT CRACKING","FCC",IF(OR($H11="HYDROCRACKING",$H11="RESID_HYDROCRACKING"),"Hydrocracker",IF($H11="REFORMING","Reformer",""))))</f>
        <v>CDU</v>
      </c>
      <c r="H11" s="6" t="s">
        <v>38</v>
      </c>
      <c r="I11" s="6" t="s">
        <v>384</v>
      </c>
      <c r="J11" s="6" t="s">
        <v>349</v>
      </c>
      <c r="K11" s="10">
        <v>88</v>
      </c>
      <c r="L11" s="10">
        <v>88</v>
      </c>
      <c r="M11" s="6" t="s">
        <v>375</v>
      </c>
    </row>
    <row r="12" spans="1:13">
      <c r="A12" s="6">
        <v>2023</v>
      </c>
      <c r="B12" s="6">
        <v>1</v>
      </c>
      <c r="C12" s="6" t="s">
        <v>59</v>
      </c>
      <c r="D12" s="6" t="s">
        <v>326</v>
      </c>
      <c r="E12" s="6" t="s">
        <v>385</v>
      </c>
      <c r="F12" s="6" t="str">
        <f>IF($M12="PADD I","PADD 1",IF($M12="PADD II","PADD 2",IF($M12="PADD III","PADD 3",IF($M12="PADD IV","PADD 4",IF($M12="PADD V","PADD 5","")))))</f>
        <v>PADD 5</v>
      </c>
      <c r="G12" s="6" t="str">
        <f>IF(AND($H12="ATMOS DISTILLATION",ISNUMBER(SEARCH("VPS",$I12))=FALSE,LEFT($I12,6)&lt;&gt;"VACUUM"),"CDU",IF($H12="FLUID CAT CRACKING","FCC",IF(OR($H12="HYDROCRACKING",$H12="RESID_HYDROCRACKING"),"Hydrocracker",IF($H12="REFORMING","Reformer",""))))</f>
        <v>CDU</v>
      </c>
      <c r="H12" s="6" t="s">
        <v>38</v>
      </c>
      <c r="I12" s="6" t="s">
        <v>93</v>
      </c>
      <c r="J12" s="6" t="s">
        <v>349</v>
      </c>
      <c r="K12" s="10">
        <v>80.59999999999999</v>
      </c>
      <c r="L12" s="10">
        <v>155</v>
      </c>
      <c r="M12" s="6" t="s">
        <v>386</v>
      </c>
    </row>
    <row r="13" spans="1:13">
      <c r="A13" s="6">
        <v>2023</v>
      </c>
      <c r="B13" s="6">
        <v>1</v>
      </c>
      <c r="C13" s="6" t="s">
        <v>59</v>
      </c>
      <c r="D13" s="6" t="s">
        <v>346</v>
      </c>
      <c r="E13" s="6" t="s">
        <v>383</v>
      </c>
      <c r="F13" s="6" t="str">
        <f>IF($M13="PADD I","PADD 1",IF($M13="PADD II","PADD 2",IF($M13="PADD III","PADD 3",IF($M13="PADD IV","PADD 4",IF($M13="PADD V","PADD 5","")))))</f>
        <v>PADD 2</v>
      </c>
      <c r="G13" s="6" t="str">
        <f>IF(AND($H13="ATMOS DISTILLATION",ISNUMBER(SEARCH("VPS",$I13))=FALSE,LEFT($I13,6)&lt;&gt;"VACUUM"),"CDU",IF($H13="FLUID CAT CRACKING","FCC",IF(OR($H13="HYDROCRACKING",$H13="RESID_HYDROCRACKING"),"Hydrocracker",IF($H13="REFORMING","Reformer",""))))</f>
        <v>FCC</v>
      </c>
      <c r="H13" s="6" t="s">
        <v>376</v>
      </c>
      <c r="I13" s="6" t="s">
        <v>105</v>
      </c>
      <c r="J13" s="6" t="s">
        <v>349</v>
      </c>
      <c r="K13" s="10">
        <v>79</v>
      </c>
      <c r="L13" s="10">
        <v>79</v>
      </c>
      <c r="M13" s="6" t="s">
        <v>375</v>
      </c>
    </row>
    <row r="14" spans="1:13">
      <c r="A14" s="6">
        <v>2023</v>
      </c>
      <c r="B14" s="6">
        <v>1</v>
      </c>
      <c r="C14" s="6" t="s">
        <v>59</v>
      </c>
      <c r="D14" s="6" t="s">
        <v>387</v>
      </c>
      <c r="E14" s="6" t="s">
        <v>388</v>
      </c>
      <c r="F14" s="6" t="str">
        <f>IF($M14="PADD I","PADD 1",IF($M14="PADD II","PADD 2",IF($M14="PADD III","PADD 3",IF($M14="PADD IV","PADD 4",IF($M14="PADD V","PADD 5","")))))</f>
        <v>PADD 3</v>
      </c>
      <c r="G14" s="6" t="str">
        <f>IF(AND($H14="ATMOS DISTILLATION",ISNUMBER(SEARCH("VPS",$I14))=FALSE,LEFT($I14,6)&lt;&gt;"VACUUM"),"CDU",IF($H14="FLUID CAT CRACKING","FCC",IF(OR($H14="HYDROCRACKING",$H14="RESID_HYDROCRACKING"),"Hydrocracker",IF($H14="REFORMING","Reformer",""))))</f>
        <v>CDU</v>
      </c>
      <c r="H14" s="6" t="s">
        <v>38</v>
      </c>
      <c r="I14" s="6" t="s">
        <v>389</v>
      </c>
      <c r="J14" s="6" t="s">
        <v>349</v>
      </c>
      <c r="K14" s="10">
        <v>78.40000000000001</v>
      </c>
      <c r="L14" s="10">
        <v>245</v>
      </c>
      <c r="M14" s="6" t="s">
        <v>371</v>
      </c>
    </row>
    <row r="15" spans="1:13">
      <c r="A15" s="6">
        <v>2023</v>
      </c>
      <c r="B15" s="6">
        <v>1</v>
      </c>
      <c r="C15" s="6" t="s">
        <v>59</v>
      </c>
      <c r="D15" s="6" t="s">
        <v>390</v>
      </c>
      <c r="E15" s="6" t="s">
        <v>391</v>
      </c>
      <c r="F15" s="6" t="str">
        <f>IF($M15="PADD I","PADD 1",IF($M15="PADD II","PADD 2",IF($M15="PADD III","PADD 3",IF($M15="PADD IV","PADD 4",IF($M15="PADD V","PADD 5","")))))</f>
        <v>PADD 3</v>
      </c>
      <c r="G15" s="6" t="str">
        <f>IF(AND($H15="ATMOS DISTILLATION",ISNUMBER(SEARCH("VPS",$I15))=FALSE,LEFT($I15,6)&lt;&gt;"VACUUM"),"CDU",IF($H15="FLUID CAT CRACKING","FCC",IF(OR($H15="HYDROCRACKING",$H15="RESID_HYDROCRACKING"),"Hydrocracker",IF($H15="REFORMING","Reformer",""))))</f>
        <v>CDU</v>
      </c>
      <c r="H15" s="6" t="s">
        <v>38</v>
      </c>
      <c r="I15" s="6" t="s">
        <v>392</v>
      </c>
      <c r="J15" s="6" t="s">
        <v>345</v>
      </c>
      <c r="K15" s="10">
        <v>68.25</v>
      </c>
      <c r="L15" s="10">
        <v>175</v>
      </c>
      <c r="M15" s="6" t="s">
        <v>371</v>
      </c>
    </row>
    <row r="16" spans="1:13">
      <c r="A16" s="6">
        <v>2023</v>
      </c>
      <c r="B16" s="6">
        <v>1</v>
      </c>
      <c r="C16" s="6" t="s">
        <v>59</v>
      </c>
      <c r="D16" s="6" t="s">
        <v>368</v>
      </c>
      <c r="E16" s="6" t="s">
        <v>369</v>
      </c>
      <c r="F16" s="6" t="str">
        <f>IF($M16="PADD I","PADD 1",IF($M16="PADD II","PADD 2",IF($M16="PADD III","PADD 3",IF($M16="PADD IV","PADD 4",IF($M16="PADD V","PADD 5","")))))</f>
        <v>PADD 3</v>
      </c>
      <c r="G16" s="6">
        <f>IF(AND($H16="ATMOS DISTILLATION",ISNUMBER(SEARCH("VPS",$I16))=FALSE,LEFT($I16,6)&lt;&gt;"VACUUM"),"CDU",IF($H16="FLUID CAT CRACKING","FCC",IF(OR($H16="HYDROCRACKING",$H16="RESID_HYDROCRACKING"),"Hydrocracker",IF($H16="REFORMING","Reformer",""))))</f>
        <v/>
      </c>
      <c r="H16" s="6" t="s">
        <v>43</v>
      </c>
      <c r="I16" s="6" t="s">
        <v>393</v>
      </c>
      <c r="J16" s="6" t="s">
        <v>349</v>
      </c>
      <c r="K16" s="10">
        <v>65.40000000000001</v>
      </c>
      <c r="L16" s="10">
        <v>65.40000000000001</v>
      </c>
      <c r="M16" s="6" t="s">
        <v>371</v>
      </c>
    </row>
    <row r="17" spans="1:13">
      <c r="A17" s="6">
        <v>2023</v>
      </c>
      <c r="B17" s="6">
        <v>1</v>
      </c>
      <c r="C17" s="6" t="s">
        <v>59</v>
      </c>
      <c r="D17" s="6" t="s">
        <v>346</v>
      </c>
      <c r="E17" s="6" t="s">
        <v>383</v>
      </c>
      <c r="F17" s="6" t="str">
        <f>IF($M17="PADD I","PADD 1",IF($M17="PADD II","PADD 2",IF($M17="PADD III","PADD 3",IF($M17="PADD IV","PADD 4",IF($M17="PADD V","PADD 5","")))))</f>
        <v>PADD 2</v>
      </c>
      <c r="G17" s="6">
        <f>IF(AND($H17="ATMOS DISTILLATION",ISNUMBER(SEARCH("VPS",$I17))=FALSE,LEFT($I17,6)&lt;&gt;"VACUUM"),"CDU",IF($H17="FLUID CAT CRACKING","FCC",IF(OR($H17="HYDROCRACKING",$H17="RESID_HYDROCRACKING"),"Hydrocracker",IF($H17="REFORMING","Reformer",""))))</f>
        <v/>
      </c>
      <c r="H17" s="6" t="s">
        <v>43</v>
      </c>
      <c r="I17" s="6" t="s">
        <v>394</v>
      </c>
      <c r="J17" s="6" t="s">
        <v>349</v>
      </c>
      <c r="K17" s="10">
        <v>65</v>
      </c>
      <c r="L17" s="10">
        <v>65</v>
      </c>
      <c r="M17" s="6" t="s">
        <v>375</v>
      </c>
    </row>
    <row r="18" spans="1:13">
      <c r="A18" s="6">
        <v>2023</v>
      </c>
      <c r="B18" s="6">
        <v>1</v>
      </c>
      <c r="C18" s="6" t="s">
        <v>59</v>
      </c>
      <c r="D18" s="6" t="s">
        <v>395</v>
      </c>
      <c r="E18" s="6" t="s">
        <v>396</v>
      </c>
      <c r="F18" s="6" t="str">
        <f>IF($M18="PADD I","PADD 1",IF($M18="PADD II","PADD 2",IF($M18="PADD III","PADD 3",IF($M18="PADD IV","PADD 4",IF($M18="PADD V","PADD 5","")))))</f>
        <v>PADD 3</v>
      </c>
      <c r="G18" s="6" t="str">
        <f>IF(AND($H18="ATMOS DISTILLATION",ISNUMBER(SEARCH("VPS",$I18))=FALSE,LEFT($I18,6)&lt;&gt;"VACUUM"),"CDU",IF($H18="FLUID CAT CRACKING","FCC",IF(OR($H18="HYDROCRACKING",$H18="RESID_HYDROCRACKING"),"Hydrocracker",IF($H18="REFORMING","Reformer",""))))</f>
        <v>CDU</v>
      </c>
      <c r="H18" s="6" t="s">
        <v>38</v>
      </c>
      <c r="I18" s="6" t="s">
        <v>397</v>
      </c>
      <c r="J18" s="6" t="s">
        <v>345</v>
      </c>
      <c r="K18" s="10">
        <v>62.1</v>
      </c>
      <c r="L18" s="10">
        <v>270</v>
      </c>
      <c r="M18" s="6" t="s">
        <v>371</v>
      </c>
    </row>
    <row r="19" spans="1:13">
      <c r="A19" s="6">
        <v>2023</v>
      </c>
      <c r="B19" s="6">
        <v>1</v>
      </c>
      <c r="C19" s="6" t="s">
        <v>59</v>
      </c>
      <c r="D19" s="6" t="s">
        <v>398</v>
      </c>
      <c r="E19" s="6" t="s">
        <v>399</v>
      </c>
      <c r="F19" s="6" t="str">
        <f>IF($M19="PADD I","PADD 1",IF($M19="PADD II","PADD 2",IF($M19="PADD III","PADD 3",IF($M19="PADD IV","PADD 4",IF($M19="PADD V","PADD 5","")))))</f>
        <v>PADD 3</v>
      </c>
      <c r="G19" s="6">
        <f>IF(AND($H19="ATMOS DISTILLATION",ISNUMBER(SEARCH("VPS",$I19))=FALSE,LEFT($I19,6)&lt;&gt;"VACUUM"),"CDU",IF($H19="FLUID CAT CRACKING","FCC",IF(OR($H19="HYDROCRACKING",$H19="RESID_HYDROCRACKING"),"Hydrocracker",IF($H19="REFORMING","Reformer",""))))</f>
        <v/>
      </c>
      <c r="H19" s="6" t="s">
        <v>38</v>
      </c>
      <c r="I19" s="6" t="s">
        <v>400</v>
      </c>
      <c r="J19" s="6" t="s">
        <v>349</v>
      </c>
      <c r="K19" s="10">
        <v>58.8</v>
      </c>
      <c r="L19" s="10">
        <v>140</v>
      </c>
      <c r="M19" s="6" t="s">
        <v>371</v>
      </c>
    </row>
    <row r="20" spans="1:13">
      <c r="A20" s="6">
        <v>2023</v>
      </c>
      <c r="B20" s="6">
        <v>1</v>
      </c>
      <c r="C20" s="6" t="s">
        <v>59</v>
      </c>
      <c r="D20" s="6" t="s">
        <v>368</v>
      </c>
      <c r="E20" s="6" t="s">
        <v>369</v>
      </c>
      <c r="F20" s="6" t="str">
        <f>IF($M20="PADD I","PADD 1",IF($M20="PADD II","PADD 2",IF($M20="PADD III","PADD 3",IF($M20="PADD IV","PADD 4",IF($M20="PADD V","PADD 5","")))))</f>
        <v>PADD 3</v>
      </c>
      <c r="G20" s="6">
        <f>IF(AND($H20="ATMOS DISTILLATION",ISNUMBER(SEARCH("VPS",$I20))=FALSE,LEFT($I20,6)&lt;&gt;"VACUUM"),"CDU",IF($H20="FLUID CAT CRACKING","FCC",IF(OR($H20="HYDROCRACKING",$H20="RESID_HYDROCRACKING"),"Hydrocracker",IF($H20="REFORMING","Reformer",""))))</f>
        <v/>
      </c>
      <c r="H20" s="6" t="s">
        <v>43</v>
      </c>
      <c r="I20" s="6" t="s">
        <v>401</v>
      </c>
      <c r="J20" s="6" t="s">
        <v>349</v>
      </c>
      <c r="K20" s="10">
        <v>58.5</v>
      </c>
      <c r="L20" s="10">
        <v>58.5</v>
      </c>
      <c r="M20" s="6" t="s">
        <v>371</v>
      </c>
    </row>
    <row r="21" spans="1:13">
      <c r="A21" s="6">
        <v>2023</v>
      </c>
      <c r="B21" s="6">
        <v>1</v>
      </c>
      <c r="C21" s="6" t="s">
        <v>59</v>
      </c>
      <c r="D21" s="6" t="s">
        <v>402</v>
      </c>
      <c r="E21" s="6" t="s">
        <v>403</v>
      </c>
      <c r="F21" s="6" t="str">
        <f>IF($M21="PADD I","PADD 1",IF($M21="PADD II","PADD 2",IF($M21="PADD III","PADD 3",IF($M21="PADD IV","PADD 4",IF($M21="PADD V","PADD 5","")))))</f>
        <v>PADD 3</v>
      </c>
      <c r="G21" s="6" t="str">
        <f>IF(AND($H21="ATMOS DISTILLATION",ISNUMBER(SEARCH("VPS",$I21))=FALSE,LEFT($I21,6)&lt;&gt;"VACUUM"),"CDU",IF($H21="FLUID CAT CRACKING","FCC",IF(OR($H21="HYDROCRACKING",$H21="RESID_HYDROCRACKING"),"Hydrocracker",IF($H21="REFORMING","Reformer",""))))</f>
        <v>CDU</v>
      </c>
      <c r="H21" s="6" t="s">
        <v>38</v>
      </c>
      <c r="I21" s="6" t="s">
        <v>404</v>
      </c>
      <c r="J21" s="6" t="s">
        <v>349</v>
      </c>
      <c r="K21" s="10">
        <v>57.75</v>
      </c>
      <c r="L21" s="10">
        <v>75</v>
      </c>
      <c r="M21" s="6" t="s">
        <v>371</v>
      </c>
    </row>
    <row r="22" spans="1:13">
      <c r="A22" s="6">
        <v>2023</v>
      </c>
      <c r="B22" s="6">
        <v>1</v>
      </c>
      <c r="C22" s="6" t="s">
        <v>59</v>
      </c>
      <c r="D22" s="6" t="s">
        <v>42</v>
      </c>
      <c r="E22" s="6" t="s">
        <v>405</v>
      </c>
      <c r="F22" s="6" t="str">
        <f>IF($M22="PADD I","PADD 1",IF($M22="PADD II","PADD 2",IF($M22="PADD III","PADD 3",IF($M22="PADD IV","PADD 4",IF($M22="PADD V","PADD 5","")))))</f>
        <v>PADD 3</v>
      </c>
      <c r="G22" s="6" t="str">
        <f>IF(AND($H22="ATMOS DISTILLATION",ISNUMBER(SEARCH("VPS",$I22))=FALSE,LEFT($I22,6)&lt;&gt;"VACUUM"),"CDU",IF($H22="FLUID CAT CRACKING","FCC",IF(OR($H22="HYDROCRACKING",$H22="RESID_HYDROCRACKING"),"Hydrocracker",IF($H22="REFORMING","Reformer",""))))</f>
        <v>CDU</v>
      </c>
      <c r="H22" s="6" t="s">
        <v>38</v>
      </c>
      <c r="I22" s="6" t="s">
        <v>406</v>
      </c>
      <c r="J22" s="6" t="s">
        <v>349</v>
      </c>
      <c r="K22" s="10">
        <v>56.73</v>
      </c>
      <c r="L22" s="10">
        <v>93</v>
      </c>
      <c r="M22" s="6" t="s">
        <v>371</v>
      </c>
    </row>
    <row r="23" spans="1:13">
      <c r="A23" s="6">
        <v>2023</v>
      </c>
      <c r="B23" s="6">
        <v>1</v>
      </c>
      <c r="C23" s="6" t="s">
        <v>59</v>
      </c>
      <c r="D23" s="6" t="s">
        <v>372</v>
      </c>
      <c r="E23" s="6" t="s">
        <v>373</v>
      </c>
      <c r="F23" s="6" t="str">
        <f>IF($M23="PADD I","PADD 1",IF($M23="PADD II","PADD 2",IF($M23="PADD III","PADD 3",IF($M23="PADD IV","PADD 4",IF($M23="PADD V","PADD 5","")))))</f>
        <v>PADD 2</v>
      </c>
      <c r="G23" s="6" t="str">
        <f>IF(AND($H23="ATMOS DISTILLATION",ISNUMBER(SEARCH("VPS",$I23))=FALSE,LEFT($I23,6)&lt;&gt;"VACUUM"),"CDU",IF($H23="FLUID CAT CRACKING","FCC",IF(OR($H23="HYDROCRACKING",$H23="RESID_HYDROCRACKING"),"Hydrocracker",IF($H23="REFORMING","Reformer",""))))</f>
        <v>FCC</v>
      </c>
      <c r="H23" s="6" t="s">
        <v>376</v>
      </c>
      <c r="I23" s="6" t="s">
        <v>407</v>
      </c>
      <c r="J23" s="6" t="s">
        <v>345</v>
      </c>
      <c r="K23" s="10">
        <v>55</v>
      </c>
      <c r="L23" s="10">
        <v>55</v>
      </c>
      <c r="M23" s="6" t="s">
        <v>375</v>
      </c>
    </row>
    <row r="24" spans="1:13">
      <c r="A24" s="6">
        <v>2023</v>
      </c>
      <c r="B24" s="6">
        <v>1</v>
      </c>
      <c r="C24" s="6" t="s">
        <v>59</v>
      </c>
      <c r="D24" s="6" t="s">
        <v>408</v>
      </c>
      <c r="E24" s="6" t="s">
        <v>409</v>
      </c>
      <c r="F24" s="6" t="str">
        <f>IF($M24="PADD I","PADD 1",IF($M24="PADD II","PADD 2",IF($M24="PADD III","PADD 3",IF($M24="PADD IV","PADD 4",IF($M24="PADD V","PADD 5","")))))</f>
        <v>PADD 3</v>
      </c>
      <c r="G24" s="6" t="str">
        <f>IF(AND($H24="ATMOS DISTILLATION",ISNUMBER(SEARCH("VPS",$I24))=FALSE,LEFT($I24,6)&lt;&gt;"VACUUM"),"CDU",IF($H24="FLUID CAT CRACKING","FCC",IF(OR($H24="HYDROCRACKING",$H24="RESID_HYDROCRACKING"),"Hydrocracker",IF($H24="REFORMING","Reformer",""))))</f>
        <v>CDU</v>
      </c>
      <c r="H24" s="6" t="s">
        <v>38</v>
      </c>
      <c r="I24" s="6" t="s">
        <v>410</v>
      </c>
      <c r="J24" s="6" t="s">
        <v>345</v>
      </c>
      <c r="K24" s="10">
        <v>52.5</v>
      </c>
      <c r="L24" s="10">
        <v>150</v>
      </c>
      <c r="M24" s="6" t="s">
        <v>371</v>
      </c>
    </row>
    <row r="25" spans="1:13">
      <c r="A25" s="6">
        <v>2023</v>
      </c>
      <c r="B25" s="6">
        <v>1</v>
      </c>
      <c r="C25" s="6" t="s">
        <v>59</v>
      </c>
      <c r="D25" s="6" t="s">
        <v>411</v>
      </c>
      <c r="E25" s="6" t="s">
        <v>369</v>
      </c>
      <c r="F25" s="6" t="str">
        <f>IF($M25="PADD I","PADD 1",IF($M25="PADD II","PADD 2",IF($M25="PADD III","PADD 3",IF($M25="PADD IV","PADD 4",IF($M25="PADD V","PADD 5","")))))</f>
        <v>PADD 1</v>
      </c>
      <c r="G25" s="6" t="str">
        <f>IF(AND($H25="ATMOS DISTILLATION",ISNUMBER(SEARCH("VPS",$I25))=FALSE,LEFT($I25,6)&lt;&gt;"VACUUM"),"CDU",IF($H25="FLUID CAT CRACKING","FCC",IF(OR($H25="HYDROCRACKING",$H25="RESID_HYDROCRACKING"),"Hydrocracker",IF($H25="REFORMING","Reformer",""))))</f>
        <v>CDU</v>
      </c>
      <c r="H25" s="6" t="s">
        <v>38</v>
      </c>
      <c r="I25" s="6" t="s">
        <v>412</v>
      </c>
      <c r="J25" s="6" t="s">
        <v>349</v>
      </c>
      <c r="K25" s="10">
        <v>50.31</v>
      </c>
      <c r="L25" s="10">
        <v>129</v>
      </c>
      <c r="M25" s="6" t="s">
        <v>413</v>
      </c>
    </row>
    <row r="26" spans="1:13">
      <c r="A26" s="6">
        <v>2023</v>
      </c>
      <c r="B26" s="6">
        <v>1</v>
      </c>
      <c r="C26" s="6" t="s">
        <v>59</v>
      </c>
      <c r="D26" s="6" t="s">
        <v>372</v>
      </c>
      <c r="E26" s="6" t="s">
        <v>373</v>
      </c>
      <c r="F26" s="6" t="str">
        <f>IF($M26="PADD I","PADD 1",IF($M26="PADD II","PADD 2",IF($M26="PADD III","PADD 3",IF($M26="PADD IV","PADD 4",IF($M26="PADD V","PADD 5","")))))</f>
        <v>PADD 2</v>
      </c>
      <c r="G26" s="6" t="str">
        <f>IF(AND($H26="ATMOS DISTILLATION",ISNUMBER(SEARCH("VPS",$I26))=FALSE,LEFT($I26,6)&lt;&gt;"VACUUM"),"CDU",IF($H26="FLUID CAT CRACKING","FCC",IF(OR($H26="HYDROCRACKING",$H26="RESID_HYDROCRACKING"),"Hydrocracker",IF($H26="REFORMING","Reformer",""))))</f>
        <v>CDU</v>
      </c>
      <c r="H26" s="6" t="s">
        <v>38</v>
      </c>
      <c r="I26" s="6" t="s">
        <v>414</v>
      </c>
      <c r="J26" s="6" t="s">
        <v>345</v>
      </c>
      <c r="K26" s="10">
        <v>50</v>
      </c>
      <c r="L26" s="10">
        <v>50</v>
      </c>
      <c r="M26" s="6" t="s">
        <v>375</v>
      </c>
    </row>
    <row r="27" spans="1:13">
      <c r="A27" s="6">
        <v>2023</v>
      </c>
      <c r="B27" s="6">
        <v>1</v>
      </c>
      <c r="C27" s="6" t="s">
        <v>59</v>
      </c>
      <c r="D27" s="6" t="s">
        <v>415</v>
      </c>
      <c r="E27" s="6" t="s">
        <v>416</v>
      </c>
      <c r="F27" s="6" t="str">
        <f>IF($M27="PADD I","PADD 1",IF($M27="PADD II","PADD 2",IF($M27="PADD III","PADD 3",IF($M27="PADD IV","PADD 4",IF($M27="PADD V","PADD 5","")))))</f>
        <v>PADD 3</v>
      </c>
      <c r="G27" s="6">
        <f>IF(AND($H27="ATMOS DISTILLATION",ISNUMBER(SEARCH("VPS",$I27))=FALSE,LEFT($I27,6)&lt;&gt;"VACUUM"),"CDU",IF($H27="FLUID CAT CRACKING","FCC",IF(OR($H27="HYDROCRACKING",$H27="RESID_HYDROCRACKING"),"Hydrocracker",IF($H27="REFORMING","Reformer",""))))</f>
        <v/>
      </c>
      <c r="H27" s="6" t="s">
        <v>378</v>
      </c>
      <c r="I27" s="6" t="s">
        <v>417</v>
      </c>
      <c r="J27" s="6" t="s">
        <v>345</v>
      </c>
      <c r="K27" s="10">
        <v>50</v>
      </c>
      <c r="L27" s="10">
        <v>50</v>
      </c>
      <c r="M27" s="6" t="s">
        <v>371</v>
      </c>
    </row>
    <row r="28" spans="1:13">
      <c r="A28" s="6">
        <v>2023</v>
      </c>
      <c r="B28" s="6">
        <v>1</v>
      </c>
      <c r="C28" s="6" t="s">
        <v>59</v>
      </c>
      <c r="D28" s="6" t="s">
        <v>380</v>
      </c>
      <c r="E28" s="6" t="s">
        <v>381</v>
      </c>
      <c r="F28" s="6" t="str">
        <f>IF($M28="PADD I","PADD 1",IF($M28="PADD II","PADD 2",IF($M28="PADD III","PADD 3",IF($M28="PADD IV","PADD 4",IF($M28="PADD V","PADD 5","")))))</f>
        <v>PADD 3</v>
      </c>
      <c r="G28" s="6">
        <f>IF(AND($H28="ATMOS DISTILLATION",ISNUMBER(SEARCH("VPS",$I28))=FALSE,LEFT($I28,6)&lt;&gt;"VACUUM"),"CDU",IF($H28="FLUID CAT CRACKING","FCC",IF(OR($H28="HYDROCRACKING",$H28="RESID_HYDROCRACKING"),"Hydrocracker",IF($H28="REFORMING","Reformer",""))))</f>
        <v/>
      </c>
      <c r="H28" s="6" t="s">
        <v>378</v>
      </c>
      <c r="I28" s="6" t="s">
        <v>418</v>
      </c>
      <c r="J28" s="6" t="s">
        <v>345</v>
      </c>
      <c r="K28" s="10">
        <v>49.44</v>
      </c>
      <c r="L28" s="10">
        <v>103</v>
      </c>
      <c r="M28" s="6" t="s">
        <v>371</v>
      </c>
    </row>
    <row r="29" spans="1:13">
      <c r="A29" s="6">
        <v>2023</v>
      </c>
      <c r="B29" s="6">
        <v>1</v>
      </c>
      <c r="C29" s="6" t="s">
        <v>59</v>
      </c>
      <c r="D29" s="6" t="s">
        <v>322</v>
      </c>
      <c r="E29" s="6" t="s">
        <v>369</v>
      </c>
      <c r="F29" s="6" t="str">
        <f>IF($M29="PADD I","PADD 1",IF($M29="PADD II","PADD 2",IF($M29="PADD III","PADD 3",IF($M29="PADD IV","PADD 4",IF($M29="PADD V","PADD 5","")))))</f>
        <v>PADD 2</v>
      </c>
      <c r="G29" s="6">
        <f>IF(AND($H29="ATMOS DISTILLATION",ISNUMBER(SEARCH("VPS",$I29))=FALSE,LEFT($I29,6)&lt;&gt;"VACUUM"),"CDU",IF($H29="FLUID CAT CRACKING","FCC",IF(OR($H29="HYDROCRACKING",$H29="RESID_HYDROCRACKING"),"Hydrocracker",IF($H29="REFORMING","Reformer",""))))</f>
        <v/>
      </c>
      <c r="H29" s="6" t="s">
        <v>378</v>
      </c>
      <c r="I29" s="6" t="s">
        <v>419</v>
      </c>
      <c r="J29" s="6" t="s">
        <v>349</v>
      </c>
      <c r="K29" s="10">
        <v>47.25</v>
      </c>
      <c r="L29" s="10">
        <v>105</v>
      </c>
      <c r="M29" s="6" t="s">
        <v>375</v>
      </c>
    </row>
    <row r="30" spans="1:13">
      <c r="A30" s="6">
        <v>2023</v>
      </c>
      <c r="B30" s="6">
        <v>1</v>
      </c>
      <c r="C30" s="6" t="s">
        <v>59</v>
      </c>
      <c r="D30" s="6" t="s">
        <v>420</v>
      </c>
      <c r="E30" s="6" t="s">
        <v>373</v>
      </c>
      <c r="F30" s="6" t="str">
        <f>IF($M30="PADD I","PADD 1",IF($M30="PADD II","PADD 2",IF($M30="PADD III","PADD 3",IF($M30="PADD IV","PADD 4",IF($M30="PADD V","PADD 5","")))))</f>
        <v>PADD 2</v>
      </c>
      <c r="G30" s="6" t="str">
        <f>IF(AND($H30="ATMOS DISTILLATION",ISNUMBER(SEARCH("VPS",$I30))=FALSE,LEFT($I30,6)&lt;&gt;"VACUUM"),"CDU",IF($H30="FLUID CAT CRACKING","FCC",IF(OR($H30="HYDROCRACKING",$H30="RESID_HYDROCRACKING"),"Hydrocracker",IF($H30="REFORMING","Reformer",""))))</f>
        <v>CDU</v>
      </c>
      <c r="H30" s="6" t="s">
        <v>38</v>
      </c>
      <c r="I30" s="6" t="s">
        <v>81</v>
      </c>
      <c r="J30" s="6" t="s">
        <v>345</v>
      </c>
      <c r="K30" s="10">
        <v>45</v>
      </c>
      <c r="L30" s="10">
        <v>45</v>
      </c>
      <c r="M30" s="6" t="s">
        <v>375</v>
      </c>
    </row>
    <row r="31" spans="1:13">
      <c r="A31" s="6">
        <v>2023</v>
      </c>
      <c r="B31" s="6">
        <v>1</v>
      </c>
      <c r="C31" s="6" t="s">
        <v>59</v>
      </c>
      <c r="D31" s="6" t="s">
        <v>368</v>
      </c>
      <c r="E31" s="6" t="s">
        <v>369</v>
      </c>
      <c r="F31" s="6" t="str">
        <f>IF($M31="PADD I","PADD 1",IF($M31="PADD II","PADD 2",IF($M31="PADD III","PADD 3",IF($M31="PADD IV","PADD 4",IF($M31="PADD V","PADD 5","")))))</f>
        <v>PADD 3</v>
      </c>
      <c r="G31" s="6" t="str">
        <f>IF(AND($H31="ATMOS DISTILLATION",ISNUMBER(SEARCH("VPS",$I31))=FALSE,LEFT($I31,6)&lt;&gt;"VACUUM"),"CDU",IF($H31="FLUID CAT CRACKING","FCC",IF(OR($H31="HYDROCRACKING",$H31="RESID_HYDROCRACKING"),"Hydrocracker",IF($H31="REFORMING","Reformer",""))))</f>
        <v>Reformer</v>
      </c>
      <c r="H31" s="6" t="s">
        <v>421</v>
      </c>
      <c r="I31" s="6" t="s">
        <v>422</v>
      </c>
      <c r="J31" s="6" t="s">
        <v>349</v>
      </c>
      <c r="K31" s="10">
        <v>44.6</v>
      </c>
      <c r="L31" s="10">
        <v>44.6</v>
      </c>
      <c r="M31" s="6" t="s">
        <v>371</v>
      </c>
    </row>
    <row r="32" spans="1:13">
      <c r="A32" s="6">
        <v>2023</v>
      </c>
      <c r="B32" s="6">
        <v>1</v>
      </c>
      <c r="C32" s="6" t="s">
        <v>59</v>
      </c>
      <c r="D32" s="6" t="s">
        <v>51</v>
      </c>
      <c r="E32" s="6" t="s">
        <v>391</v>
      </c>
      <c r="F32" s="6" t="str">
        <f>IF($M32="PADD I","PADD 1",IF($M32="PADD II","PADD 2",IF($M32="PADD III","PADD 3",IF($M32="PADD IV","PADD 4",IF($M32="PADD V","PADD 5","")))))</f>
        <v>PADD 5</v>
      </c>
      <c r="G32" s="6" t="str">
        <f>IF(AND($H32="ATMOS DISTILLATION",ISNUMBER(SEARCH("VPS",$I32))=FALSE,LEFT($I32,6)&lt;&gt;"VACUUM"),"CDU",IF($H32="FLUID CAT CRACKING","FCC",IF(OR($H32="HYDROCRACKING",$H32="RESID_HYDROCRACKING"),"Hydrocracker",IF($H32="REFORMING","Reformer",""))))</f>
        <v>FCC</v>
      </c>
      <c r="H32" s="6" t="s">
        <v>376</v>
      </c>
      <c r="I32" s="6" t="s">
        <v>105</v>
      </c>
      <c r="J32" s="6" t="s">
        <v>349</v>
      </c>
      <c r="K32" s="10">
        <v>42.05</v>
      </c>
      <c r="L32" s="10">
        <v>72.5</v>
      </c>
      <c r="M32" s="6" t="s">
        <v>386</v>
      </c>
    </row>
    <row r="33" spans="1:13">
      <c r="A33" s="6">
        <v>2023</v>
      </c>
      <c r="B33" s="6">
        <v>1</v>
      </c>
      <c r="C33" s="6" t="s">
        <v>59</v>
      </c>
      <c r="D33" s="6" t="s">
        <v>372</v>
      </c>
      <c r="E33" s="6" t="s">
        <v>373</v>
      </c>
      <c r="F33" s="6" t="str">
        <f>IF($M33="PADD I","PADD 1",IF($M33="PADD II","PADD 2",IF($M33="PADD III","PADD 3",IF($M33="PADD IV","PADD 4",IF($M33="PADD V","PADD 5","")))))</f>
        <v>PADD 2</v>
      </c>
      <c r="G33" s="6" t="str">
        <f>IF(AND($H33="ATMOS DISTILLATION",ISNUMBER(SEARCH("VPS",$I33))=FALSE,LEFT($I33,6)&lt;&gt;"VACUUM"),"CDU",IF($H33="FLUID CAT CRACKING","FCC",IF(OR($H33="HYDROCRACKING",$H33="RESID_HYDROCRACKING"),"Hydrocracker",IF($H33="REFORMING","Reformer",""))))</f>
        <v>Reformer</v>
      </c>
      <c r="H33" s="6" t="s">
        <v>421</v>
      </c>
      <c r="I33" s="6" t="s">
        <v>423</v>
      </c>
      <c r="J33" s="6" t="s">
        <v>345</v>
      </c>
      <c r="K33" s="10">
        <v>42</v>
      </c>
      <c r="L33" s="10">
        <v>42</v>
      </c>
      <c r="M33" s="6" t="s">
        <v>375</v>
      </c>
    </row>
    <row r="34" spans="1:13">
      <c r="A34" s="6">
        <v>2023</v>
      </c>
      <c r="B34" s="6">
        <v>1</v>
      </c>
      <c r="C34" s="6" t="s">
        <v>59</v>
      </c>
      <c r="D34" s="6" t="s">
        <v>346</v>
      </c>
      <c r="E34" s="6" t="s">
        <v>383</v>
      </c>
      <c r="F34" s="6" t="str">
        <f>IF($M34="PADD I","PADD 1",IF($M34="PADD II","PADD 2",IF($M34="PADD III","PADD 3",IF($M34="PADD IV","PADD 4",IF($M34="PADD V","PADD 5","")))))</f>
        <v>PADD 2</v>
      </c>
      <c r="G34" s="6">
        <f>IF(AND($H34="ATMOS DISTILLATION",ISNUMBER(SEARCH("VPS",$I34))=FALSE,LEFT($I34,6)&lt;&gt;"VACUUM"),"CDU",IF($H34="FLUID CAT CRACKING","FCC",IF(OR($H34="HYDROCRACKING",$H34="RESID_HYDROCRACKING"),"Hydrocracker",IF($H34="REFORMING","Reformer",""))))</f>
        <v/>
      </c>
      <c r="H34" s="6" t="s">
        <v>43</v>
      </c>
      <c r="I34" s="6" t="s">
        <v>424</v>
      </c>
      <c r="J34" s="6" t="s">
        <v>349</v>
      </c>
      <c r="K34" s="10">
        <v>42</v>
      </c>
      <c r="L34" s="10">
        <v>42</v>
      </c>
      <c r="M34" s="6" t="s">
        <v>375</v>
      </c>
    </row>
    <row r="35" spans="1:13">
      <c r="A35" s="6">
        <v>2023</v>
      </c>
      <c r="B35" s="6">
        <v>1</v>
      </c>
      <c r="C35" s="6" t="s">
        <v>59</v>
      </c>
      <c r="D35" s="6" t="s">
        <v>415</v>
      </c>
      <c r="E35" s="6" t="s">
        <v>416</v>
      </c>
      <c r="F35" s="6" t="str">
        <f>IF($M35="PADD I","PADD 1",IF($M35="PADD II","PADD 2",IF($M35="PADD III","PADD 3",IF($M35="PADD IV","PADD 4",IF($M35="PADD V","PADD 5","")))))</f>
        <v>PADD 3</v>
      </c>
      <c r="G35" s="6" t="str">
        <f>IF(AND($H35="ATMOS DISTILLATION",ISNUMBER(SEARCH("VPS",$I35))=FALSE,LEFT($I35,6)&lt;&gt;"VACUUM"),"CDU",IF($H35="FLUID CAT CRACKING","FCC",IF(OR($H35="HYDROCRACKING",$H35="RESID_HYDROCRACKING"),"Hydrocracker",IF($H35="REFORMING","Reformer",""))))</f>
        <v>FCC</v>
      </c>
      <c r="H35" s="6" t="s">
        <v>376</v>
      </c>
      <c r="I35" s="6" t="s">
        <v>425</v>
      </c>
      <c r="J35" s="6" t="s">
        <v>345</v>
      </c>
      <c r="K35" s="10">
        <v>42</v>
      </c>
      <c r="L35" s="10">
        <v>42</v>
      </c>
      <c r="M35" s="6" t="s">
        <v>371</v>
      </c>
    </row>
    <row r="36" spans="1:13">
      <c r="A36" s="6">
        <v>2023</v>
      </c>
      <c r="B36" s="6">
        <v>1</v>
      </c>
      <c r="C36" s="6" t="s">
        <v>59</v>
      </c>
      <c r="D36" s="6" t="s">
        <v>408</v>
      </c>
      <c r="E36" s="6" t="s">
        <v>409</v>
      </c>
      <c r="F36" s="6" t="str">
        <f>IF($M36="PADD I","PADD 1",IF($M36="PADD II","PADD 2",IF($M36="PADD III","PADD 3",IF($M36="PADD IV","PADD 4",IF($M36="PADD V","PADD 5","")))))</f>
        <v>PADD 3</v>
      </c>
      <c r="G36" s="6" t="str">
        <f>IF(AND($H36="ATMOS DISTILLATION",ISNUMBER(SEARCH("VPS",$I36))=FALSE,LEFT($I36,6)&lt;&gt;"VACUUM"),"CDU",IF($H36="FLUID CAT CRACKING","FCC",IF(OR($H36="HYDROCRACKING",$H36="RESID_HYDROCRACKING"),"Hydrocracker",IF($H36="REFORMING","Reformer",""))))</f>
        <v>FCC</v>
      </c>
      <c r="H36" s="6" t="s">
        <v>376</v>
      </c>
      <c r="I36" s="6" t="s">
        <v>426</v>
      </c>
      <c r="J36" s="6" t="s">
        <v>345</v>
      </c>
      <c r="K36" s="10">
        <v>41.8</v>
      </c>
      <c r="L36" s="10">
        <v>76</v>
      </c>
      <c r="M36" s="6" t="s">
        <v>371</v>
      </c>
    </row>
    <row r="37" spans="1:13">
      <c r="A37" s="6">
        <v>2023</v>
      </c>
      <c r="B37" s="6">
        <v>1</v>
      </c>
      <c r="C37" s="6" t="s">
        <v>59</v>
      </c>
      <c r="D37" s="6" t="s">
        <v>329</v>
      </c>
      <c r="E37" s="6" t="s">
        <v>427</v>
      </c>
      <c r="F37" s="6" t="str">
        <f>IF($M37="PADD I","PADD 1",IF($M37="PADD II","PADD 2",IF($M37="PADD III","PADD 3",IF($M37="PADD IV","PADD 4",IF($M37="PADD V","PADD 5","")))))</f>
        <v>PADD 3</v>
      </c>
      <c r="G37" s="6" t="str">
        <f>IF(AND($H37="ATMOS DISTILLATION",ISNUMBER(SEARCH("VPS",$I37))=FALSE,LEFT($I37,6)&lt;&gt;"VACUUM"),"CDU",IF($H37="FLUID CAT CRACKING","FCC",IF(OR($H37="HYDROCRACKING",$H37="RESID_HYDROCRACKING"),"Hydrocracker",IF($H37="REFORMING","Reformer",""))))</f>
        <v>FCC</v>
      </c>
      <c r="H37" s="6" t="s">
        <v>376</v>
      </c>
      <c r="I37" s="6" t="s">
        <v>428</v>
      </c>
      <c r="J37" s="6" t="s">
        <v>345</v>
      </c>
      <c r="K37" s="10">
        <v>41.48</v>
      </c>
      <c r="L37" s="10">
        <v>68</v>
      </c>
      <c r="M37" s="6" t="s">
        <v>371</v>
      </c>
    </row>
    <row r="38" spans="1:13">
      <c r="A38" s="6">
        <v>2023</v>
      </c>
      <c r="B38" s="6">
        <v>1</v>
      </c>
      <c r="C38" s="6" t="s">
        <v>59</v>
      </c>
      <c r="D38" s="6" t="s">
        <v>429</v>
      </c>
      <c r="E38" s="6" t="s">
        <v>388</v>
      </c>
      <c r="F38" s="6" t="str">
        <f>IF($M38="PADD I","PADD 1",IF($M38="PADD II","PADD 2",IF($M38="PADD III","PADD 3",IF($M38="PADD IV","PADD 4",IF($M38="PADD V","PADD 5","")))))</f>
        <v>PADD 4</v>
      </c>
      <c r="G38" s="6" t="str">
        <f>IF(AND($H38="ATMOS DISTILLATION",ISNUMBER(SEARCH("VPS",$I38))=FALSE,LEFT($I38,6)&lt;&gt;"VACUUM"),"CDU",IF($H38="FLUID CAT CRACKING","FCC",IF(OR($H38="HYDROCRACKING",$H38="RESID_HYDROCRACKING"),"Hydrocracker",IF($H38="REFORMING","Reformer",""))))</f>
        <v>CDU</v>
      </c>
      <c r="H38" s="6" t="s">
        <v>38</v>
      </c>
      <c r="I38" s="6" t="s">
        <v>81</v>
      </c>
      <c r="J38" s="6" t="s">
        <v>345</v>
      </c>
      <c r="K38" s="10">
        <v>40.565</v>
      </c>
      <c r="L38" s="10">
        <v>66.5</v>
      </c>
      <c r="M38" s="6" t="s">
        <v>430</v>
      </c>
    </row>
    <row r="39" spans="1:13">
      <c r="A39" s="6">
        <v>2023</v>
      </c>
      <c r="B39" s="6">
        <v>1</v>
      </c>
      <c r="C39" s="6" t="s">
        <v>59</v>
      </c>
      <c r="D39" s="6" t="s">
        <v>326</v>
      </c>
      <c r="E39" s="6" t="s">
        <v>385</v>
      </c>
      <c r="F39" s="6" t="str">
        <f>IF($M39="PADD I","PADD 1",IF($M39="PADD II","PADD 2",IF($M39="PADD III","PADD 3",IF($M39="PADD IV","PADD 4",IF($M39="PADD V","PADD 5","")))))</f>
        <v>PADD 5</v>
      </c>
      <c r="G39" s="6">
        <f>IF(AND($H39="ATMOS DISTILLATION",ISNUMBER(SEARCH("VPS",$I39))=FALSE,LEFT($I39,6)&lt;&gt;"VACUUM"),"CDU",IF($H39="FLUID CAT CRACKING","FCC",IF(OR($H39="HYDROCRACKING",$H39="RESID_HYDROCRACKING"),"Hydrocracker",IF($H39="REFORMING","Reformer",""))))</f>
        <v/>
      </c>
      <c r="H39" s="6" t="s">
        <v>378</v>
      </c>
      <c r="I39" s="6" t="s">
        <v>431</v>
      </c>
      <c r="J39" s="6" t="s">
        <v>349</v>
      </c>
      <c r="K39" s="10">
        <v>40.5</v>
      </c>
      <c r="L39" s="10">
        <v>90</v>
      </c>
      <c r="M39" s="6" t="s">
        <v>386</v>
      </c>
    </row>
    <row r="40" spans="1:13">
      <c r="A40" s="6">
        <v>2023</v>
      </c>
      <c r="B40" s="6">
        <v>1</v>
      </c>
      <c r="C40" s="6" t="s">
        <v>59</v>
      </c>
      <c r="D40" s="6" t="s">
        <v>372</v>
      </c>
      <c r="E40" s="6" t="s">
        <v>373</v>
      </c>
      <c r="F40" s="6" t="str">
        <f>IF($M40="PADD I","PADD 1",IF($M40="PADD II","PADD 2",IF($M40="PADD III","PADD 3",IF($M40="PADD IV","PADD 4",IF($M40="PADD V","PADD 5","")))))</f>
        <v>PADD 2</v>
      </c>
      <c r="G40" s="6">
        <f>IF(AND($H40="ATMOS DISTILLATION",ISNUMBER(SEARCH("VPS",$I40))=FALSE,LEFT($I40,6)&lt;&gt;"VACUUM"),"CDU",IF($H40="FLUID CAT CRACKING","FCC",IF(OR($H40="HYDROCRACKING",$H40="RESID_HYDROCRACKING"),"Hydrocracker",IF($H40="REFORMING","Reformer",""))))</f>
        <v/>
      </c>
      <c r="H40" s="6" t="s">
        <v>43</v>
      </c>
      <c r="I40" s="6" t="s">
        <v>432</v>
      </c>
      <c r="J40" s="6" t="s">
        <v>345</v>
      </c>
      <c r="K40" s="10">
        <v>40</v>
      </c>
      <c r="L40" s="10">
        <v>40</v>
      </c>
      <c r="M40" s="6" t="s">
        <v>375</v>
      </c>
    </row>
    <row r="41" spans="1:13">
      <c r="A41" s="6">
        <v>2023</v>
      </c>
      <c r="B41" s="6">
        <v>1</v>
      </c>
      <c r="C41" s="6" t="s">
        <v>59</v>
      </c>
      <c r="D41" s="6" t="s">
        <v>372</v>
      </c>
      <c r="E41" s="6" t="s">
        <v>373</v>
      </c>
      <c r="F41" s="6" t="str">
        <f>IF($M41="PADD I","PADD 1",IF($M41="PADD II","PADD 2",IF($M41="PADD III","PADD 3",IF($M41="PADD IV","PADD 4",IF($M41="PADD V","PADD 5","")))))</f>
        <v>PADD 2</v>
      </c>
      <c r="G41" s="6">
        <f>IF(AND($H41="ATMOS DISTILLATION",ISNUMBER(SEARCH("VPS",$I41))=FALSE,LEFT($I41,6)&lt;&gt;"VACUUM"),"CDU",IF($H41="FLUID CAT CRACKING","FCC",IF(OR($H41="HYDROCRACKING",$H41="RESID_HYDROCRACKING"),"Hydrocracker",IF($H41="REFORMING","Reformer",""))))</f>
        <v/>
      </c>
      <c r="H41" s="6" t="s">
        <v>43</v>
      </c>
      <c r="I41" s="6" t="s">
        <v>433</v>
      </c>
      <c r="J41" s="6" t="s">
        <v>345</v>
      </c>
      <c r="K41" s="10">
        <v>40</v>
      </c>
      <c r="L41" s="10">
        <v>40</v>
      </c>
      <c r="M41" s="6" t="s">
        <v>375</v>
      </c>
    </row>
    <row r="42" spans="1:13">
      <c r="A42" s="6">
        <v>2023</v>
      </c>
      <c r="B42" s="6">
        <v>1</v>
      </c>
      <c r="C42" s="6" t="s">
        <v>59</v>
      </c>
      <c r="D42" s="6" t="s">
        <v>434</v>
      </c>
      <c r="E42" s="6" t="s">
        <v>388</v>
      </c>
      <c r="F42" s="6" t="str">
        <f>IF($M42="PADD I","PADD 1",IF($M42="PADD II","PADD 2",IF($M42="PADD III","PADD 3",IF($M42="PADD IV","PADD 4",IF($M42="PADD V","PADD 5","")))))</f>
        <v>PADD 5</v>
      </c>
      <c r="G42" s="6">
        <f>IF(AND($H42="ATMOS DISTILLATION",ISNUMBER(SEARCH("VPS",$I42))=FALSE,LEFT($I42,6)&lt;&gt;"VACUUM"),"CDU",IF($H42="FLUID CAT CRACKING","FCC",IF(OR($H42="HYDROCRACKING",$H42="RESID_HYDROCRACKING"),"Hydrocracker",IF($H42="REFORMING","Reformer",""))))</f>
        <v/>
      </c>
      <c r="H42" s="6" t="s">
        <v>435</v>
      </c>
      <c r="I42" s="6" t="s">
        <v>436</v>
      </c>
      <c r="J42" s="6" t="s">
        <v>349</v>
      </c>
      <c r="K42" s="10">
        <v>39.77</v>
      </c>
      <c r="L42" s="10">
        <v>41</v>
      </c>
      <c r="M42" s="6" t="s">
        <v>386</v>
      </c>
    </row>
    <row r="43" spans="1:13">
      <c r="A43" s="6">
        <v>2023</v>
      </c>
      <c r="B43" s="6">
        <v>1</v>
      </c>
      <c r="C43" s="6" t="s">
        <v>59</v>
      </c>
      <c r="D43" s="6" t="s">
        <v>437</v>
      </c>
      <c r="E43" s="6" t="s">
        <v>438</v>
      </c>
      <c r="F43" s="6" t="str">
        <f>IF($M43="PADD I","PADD 1",IF($M43="PADD II","PADD 2",IF($M43="PADD III","PADD 3",IF($M43="PADD IV","PADD 4",IF($M43="PADD V","PADD 5","")))))</f>
        <v>PADD 4</v>
      </c>
      <c r="G43" s="6" t="str">
        <f>IF(AND($H43="ATMOS DISTILLATION",ISNUMBER(SEARCH("VPS",$I43))=FALSE,LEFT($I43,6)&lt;&gt;"VACUUM"),"CDU",IF($H43="FLUID CAT CRACKING","FCC",IF(OR($H43="HYDROCRACKING",$H43="RESID_HYDROCRACKING"),"Hydrocracker",IF($H43="REFORMING","Reformer",""))))</f>
        <v>CDU</v>
      </c>
      <c r="H43" s="6" t="s">
        <v>38</v>
      </c>
      <c r="I43" s="6" t="s">
        <v>439</v>
      </c>
      <c r="J43" s="6" t="s">
        <v>345</v>
      </c>
      <c r="K43" s="10">
        <v>39</v>
      </c>
      <c r="L43" s="10">
        <v>39</v>
      </c>
      <c r="M43" s="6" t="s">
        <v>430</v>
      </c>
    </row>
    <row r="44" spans="1:13">
      <c r="A44" s="6">
        <v>2023</v>
      </c>
      <c r="B44" s="6">
        <v>1</v>
      </c>
      <c r="C44" s="6" t="s">
        <v>59</v>
      </c>
      <c r="D44" s="6" t="s">
        <v>437</v>
      </c>
      <c r="E44" s="6" t="s">
        <v>438</v>
      </c>
      <c r="F44" s="6" t="str">
        <f>IF($M44="PADD I","PADD 1",IF($M44="PADD II","PADD 2",IF($M44="PADD III","PADD 3",IF($M44="PADD IV","PADD 4",IF($M44="PADD V","PADD 5","")))))</f>
        <v>PADD 4</v>
      </c>
      <c r="G44" s="6" t="str">
        <f>IF(AND($H44="ATMOS DISTILLATION",ISNUMBER(SEARCH("VPS",$I44))=FALSE,LEFT($I44,6)&lt;&gt;"VACUUM"),"CDU",IF($H44="FLUID CAT CRACKING","FCC",IF(OR($H44="HYDROCRACKING",$H44="RESID_HYDROCRACKING"),"Hydrocracker",IF($H44="REFORMING","Reformer",""))))</f>
        <v>CDU</v>
      </c>
      <c r="H44" s="6" t="s">
        <v>38</v>
      </c>
      <c r="I44" s="6" t="s">
        <v>330</v>
      </c>
      <c r="J44" s="6" t="s">
        <v>345</v>
      </c>
      <c r="K44" s="10">
        <v>39</v>
      </c>
      <c r="L44" s="10">
        <v>39</v>
      </c>
      <c r="M44" s="6" t="s">
        <v>430</v>
      </c>
    </row>
    <row r="45" spans="1:13">
      <c r="A45" s="6">
        <v>2023</v>
      </c>
      <c r="B45" s="6">
        <v>1</v>
      </c>
      <c r="C45" s="6" t="s">
        <v>59</v>
      </c>
      <c r="D45" s="6" t="s">
        <v>437</v>
      </c>
      <c r="E45" s="6" t="s">
        <v>438</v>
      </c>
      <c r="F45" s="6" t="str">
        <f>IF($M45="PADD I","PADD 1",IF($M45="PADD II","PADD 2",IF($M45="PADD III","PADD 3",IF($M45="PADD IV","PADD 4",IF($M45="PADD V","PADD 5","")))))</f>
        <v>PADD 4</v>
      </c>
      <c r="G45" s="6" t="str">
        <f>IF(AND($H45="ATMOS DISTILLATION",ISNUMBER(SEARCH("VPS",$I45))=FALSE,LEFT($I45,6)&lt;&gt;"VACUUM"),"CDU",IF($H45="FLUID CAT CRACKING","FCC",IF(OR($H45="HYDROCRACKING",$H45="RESID_HYDROCRACKING"),"Hydrocracker",IF($H45="REFORMING","Reformer",""))))</f>
        <v>CDU</v>
      </c>
      <c r="H45" s="6" t="s">
        <v>38</v>
      </c>
      <c r="I45" s="6" t="s">
        <v>439</v>
      </c>
      <c r="J45" s="6" t="s">
        <v>345</v>
      </c>
      <c r="K45" s="10">
        <v>38</v>
      </c>
      <c r="L45" s="10">
        <v>38</v>
      </c>
      <c r="M45" s="6" t="s">
        <v>430</v>
      </c>
    </row>
    <row r="46" spans="1:13">
      <c r="A46" s="6">
        <v>2023</v>
      </c>
      <c r="B46" s="6">
        <v>1</v>
      </c>
      <c r="C46" s="6" t="s">
        <v>59</v>
      </c>
      <c r="D46" s="6" t="s">
        <v>440</v>
      </c>
      <c r="E46" s="6" t="s">
        <v>369</v>
      </c>
      <c r="F46" s="6" t="str">
        <f>IF($M46="PADD I","PADD 1",IF($M46="PADD II","PADD 2",IF($M46="PADD III","PADD 3",IF($M46="PADD IV","PADD 4",IF($M46="PADD V","PADD 5","")))))</f>
        <v>PADD 5</v>
      </c>
      <c r="G46" s="6">
        <f>IF(AND($H46="ATMOS DISTILLATION",ISNUMBER(SEARCH("VPS",$I46))=FALSE,LEFT($I46,6)&lt;&gt;"VACUUM"),"CDU",IF($H46="FLUID CAT CRACKING","FCC",IF(OR($H46="HYDROCRACKING",$H46="RESID_HYDROCRACKING"),"Hydrocracker",IF($H46="REFORMING","Reformer",""))))</f>
        <v/>
      </c>
      <c r="H46" s="6" t="s">
        <v>435</v>
      </c>
      <c r="I46" s="6" t="s">
        <v>441</v>
      </c>
      <c r="J46" s="6" t="s">
        <v>345</v>
      </c>
      <c r="K46" s="10">
        <v>36.04</v>
      </c>
      <c r="L46" s="10">
        <v>53</v>
      </c>
      <c r="M46" s="6" t="s">
        <v>386</v>
      </c>
    </row>
    <row r="47" spans="1:13">
      <c r="A47" s="6">
        <v>2023</v>
      </c>
      <c r="B47" s="6">
        <v>1</v>
      </c>
      <c r="C47" s="6" t="s">
        <v>59</v>
      </c>
      <c r="D47" s="6" t="s">
        <v>387</v>
      </c>
      <c r="E47" s="6" t="s">
        <v>388</v>
      </c>
      <c r="F47" s="6" t="str">
        <f>IF($M47="PADD I","PADD 1",IF($M47="PADD II","PADD 2",IF($M47="PADD III","PADD 3",IF($M47="PADD IV","PADD 4",IF($M47="PADD V","PADD 5","")))))</f>
        <v>PADD 3</v>
      </c>
      <c r="G47" s="6">
        <f>IF(AND($H47="ATMOS DISTILLATION",ISNUMBER(SEARCH("VPS",$I47))=FALSE,LEFT($I47,6)&lt;&gt;"VACUUM"),"CDU",IF($H47="FLUID CAT CRACKING","FCC",IF(OR($H47="HYDROCRACKING",$H47="RESID_HYDROCRACKING"),"Hydrocracker",IF($H47="REFORMING","Reformer",""))))</f>
        <v/>
      </c>
      <c r="H47" s="6" t="s">
        <v>378</v>
      </c>
      <c r="I47" s="6" t="s">
        <v>442</v>
      </c>
      <c r="J47" s="6" t="s">
        <v>349</v>
      </c>
      <c r="K47" s="10">
        <v>36</v>
      </c>
      <c r="L47" s="10">
        <v>112.5</v>
      </c>
      <c r="M47" s="6" t="s">
        <v>371</v>
      </c>
    </row>
    <row r="48" spans="1:13">
      <c r="A48" s="6">
        <v>2023</v>
      </c>
      <c r="B48" s="6">
        <v>1</v>
      </c>
      <c r="C48" s="6" t="s">
        <v>59</v>
      </c>
      <c r="D48" s="6" t="s">
        <v>387</v>
      </c>
      <c r="E48" s="6" t="s">
        <v>388</v>
      </c>
      <c r="F48" s="6" t="str">
        <f>IF($M48="PADD I","PADD 1",IF($M48="PADD II","PADD 2",IF($M48="PADD III","PADD 3",IF($M48="PADD IV","PADD 4",IF($M48="PADD V","PADD 5","")))))</f>
        <v>PADD 3</v>
      </c>
      <c r="G48" s="6" t="str">
        <f>IF(AND($H48="ATMOS DISTILLATION",ISNUMBER(SEARCH("VPS",$I48))=FALSE,LEFT($I48,6)&lt;&gt;"VACUUM"),"CDU",IF($H48="FLUID CAT CRACKING","FCC",IF(OR($H48="HYDROCRACKING",$H48="RESID_HYDROCRACKING"),"Hydrocracker",IF($H48="REFORMING","Reformer",""))))</f>
        <v>Reformer</v>
      </c>
      <c r="H48" s="6" t="s">
        <v>421</v>
      </c>
      <c r="I48" s="6" t="s">
        <v>443</v>
      </c>
      <c r="J48" s="6" t="s">
        <v>349</v>
      </c>
      <c r="K48" s="10">
        <v>36</v>
      </c>
      <c r="L48" s="10">
        <v>75</v>
      </c>
      <c r="M48" s="6" t="s">
        <v>371</v>
      </c>
    </row>
    <row r="49" spans="1:13">
      <c r="A49" s="6">
        <v>2023</v>
      </c>
      <c r="B49" s="6">
        <v>1</v>
      </c>
      <c r="C49" s="6" t="s">
        <v>59</v>
      </c>
      <c r="D49" s="6" t="s">
        <v>372</v>
      </c>
      <c r="E49" s="6" t="s">
        <v>373</v>
      </c>
      <c r="F49" s="6" t="str">
        <f>IF($M49="PADD I","PADD 1",IF($M49="PADD II","PADD 2",IF($M49="PADD III","PADD 3",IF($M49="PADD IV","PADD 4",IF($M49="PADD V","PADD 5","")))))</f>
        <v>PADD 2</v>
      </c>
      <c r="G49" s="6" t="str">
        <f>IF(AND($H49="ATMOS DISTILLATION",ISNUMBER(SEARCH("VPS",$I49))=FALSE,LEFT($I49,6)&lt;&gt;"VACUUM"),"CDU",IF($H49="FLUID CAT CRACKING","FCC",IF(OR($H49="HYDROCRACKING",$H49="RESID_HYDROCRACKING"),"Hydrocracker",IF($H49="REFORMING","Reformer",""))))</f>
        <v>Hydrocracker</v>
      </c>
      <c r="H49" s="6" t="s">
        <v>444</v>
      </c>
      <c r="I49" s="6" t="s">
        <v>445</v>
      </c>
      <c r="J49" s="6" t="s">
        <v>345</v>
      </c>
      <c r="K49" s="10">
        <v>35</v>
      </c>
      <c r="L49" s="10">
        <v>35</v>
      </c>
      <c r="M49" s="6" t="s">
        <v>375</v>
      </c>
    </row>
    <row r="50" spans="1:13">
      <c r="A50" s="6">
        <v>2023</v>
      </c>
      <c r="B50" s="6">
        <v>1</v>
      </c>
      <c r="C50" s="6" t="s">
        <v>59</v>
      </c>
      <c r="D50" s="6" t="s">
        <v>446</v>
      </c>
      <c r="E50" s="6" t="s">
        <v>391</v>
      </c>
      <c r="F50" s="6" t="str">
        <f>IF($M50="PADD I","PADD 1",IF($M50="PADD II","PADD 2",IF($M50="PADD III","PADD 3",IF($M50="PADD IV","PADD 4",IF($M50="PADD V","PADD 5","")))))</f>
        <v>PADD 3</v>
      </c>
      <c r="G50" s="6">
        <f>IF(AND($H50="ATMOS DISTILLATION",ISNUMBER(SEARCH("VPS",$I50))=FALSE,LEFT($I50,6)&lt;&gt;"VACUUM"),"CDU",IF($H50="FLUID CAT CRACKING","FCC",IF(OR($H50="HYDROCRACKING",$H50="RESID_HYDROCRACKING"),"Hydrocracker",IF($H50="REFORMING","Reformer",""))))</f>
        <v/>
      </c>
      <c r="H50" s="6" t="s">
        <v>43</v>
      </c>
      <c r="I50" s="6" t="s">
        <v>447</v>
      </c>
      <c r="J50" s="6" t="s">
        <v>349</v>
      </c>
      <c r="K50" s="10">
        <v>35</v>
      </c>
      <c r="L50" s="10">
        <v>35</v>
      </c>
      <c r="M50" s="6" t="s">
        <v>371</v>
      </c>
    </row>
    <row r="51" spans="1:13">
      <c r="A51" s="6">
        <v>2023</v>
      </c>
      <c r="B51" s="6">
        <v>1</v>
      </c>
      <c r="C51" s="6" t="s">
        <v>59</v>
      </c>
      <c r="D51" s="6" t="s">
        <v>448</v>
      </c>
      <c r="E51" s="6" t="s">
        <v>391</v>
      </c>
      <c r="F51" s="6" t="str">
        <f>IF($M51="PADD I","PADD 1",IF($M51="PADD II","PADD 2",IF($M51="PADD III","PADD 3",IF($M51="PADD IV","PADD 4",IF($M51="PADD V","PADD 5","")))))</f>
        <v>PADD 3</v>
      </c>
      <c r="G51" s="6">
        <f>IF(AND($H51="ATMOS DISTILLATION",ISNUMBER(SEARCH("VPS",$I51))=FALSE,LEFT($I51,6)&lt;&gt;"VACUUM"),"CDU",IF($H51="FLUID CAT CRACKING","FCC",IF(OR($H51="HYDROCRACKING",$H51="RESID_HYDROCRACKING"),"Hydrocracker",IF($H51="REFORMING","Reformer",""))))</f>
        <v/>
      </c>
      <c r="H51" s="6" t="s">
        <v>43</v>
      </c>
      <c r="I51" s="6" t="s">
        <v>449</v>
      </c>
      <c r="J51" s="6" t="s">
        <v>345</v>
      </c>
      <c r="K51" s="10">
        <v>35</v>
      </c>
      <c r="L51" s="10">
        <v>35</v>
      </c>
      <c r="M51" s="6" t="s">
        <v>371</v>
      </c>
    </row>
    <row r="52" spans="1:13">
      <c r="A52" s="6">
        <v>2023</v>
      </c>
      <c r="B52" s="6">
        <v>1</v>
      </c>
      <c r="C52" s="6" t="s">
        <v>59</v>
      </c>
      <c r="D52" s="6" t="s">
        <v>450</v>
      </c>
      <c r="E52" s="6" t="s">
        <v>369</v>
      </c>
      <c r="F52" s="6" t="str">
        <f>IF($M52="PADD I","PADD 1",IF($M52="PADD II","PADD 2",IF($M52="PADD III","PADD 3",IF($M52="PADD IV","PADD 4",IF($M52="PADD V","PADD 5","")))))</f>
        <v>PADD 3</v>
      </c>
      <c r="G52" s="6">
        <f>IF(AND($H52="ATMOS DISTILLATION",ISNUMBER(SEARCH("VPS",$I52))=FALSE,LEFT($I52,6)&lt;&gt;"VACUUM"),"CDU",IF($H52="FLUID CAT CRACKING","FCC",IF(OR($H52="HYDROCRACKING",$H52="RESID_HYDROCRACKING"),"Hydrocracker",IF($H52="REFORMING","Reformer",""))))</f>
        <v/>
      </c>
      <c r="H52" s="6" t="s">
        <v>43</v>
      </c>
      <c r="I52" s="6" t="s">
        <v>449</v>
      </c>
      <c r="J52" s="6" t="s">
        <v>349</v>
      </c>
      <c r="K52" s="10">
        <v>35</v>
      </c>
      <c r="L52" s="10">
        <v>35</v>
      </c>
      <c r="M52" s="6" t="s">
        <v>371</v>
      </c>
    </row>
    <row r="53" spans="1:13">
      <c r="A53" s="6">
        <v>2023</v>
      </c>
      <c r="B53" s="6">
        <v>1</v>
      </c>
      <c r="C53" s="6" t="s">
        <v>59</v>
      </c>
      <c r="D53" s="6" t="s">
        <v>451</v>
      </c>
      <c r="E53" s="6" t="s">
        <v>452</v>
      </c>
      <c r="F53" s="6" t="str">
        <f>IF($M53="PADD I","PADD 1",IF($M53="PADD II","PADD 2",IF($M53="PADD III","PADD 3",IF($M53="PADD IV","PADD 4",IF($M53="PADD V","PADD 5","")))))</f>
        <v>PADD 2</v>
      </c>
      <c r="G53" s="6">
        <f>IF(AND($H53="ATMOS DISTILLATION",ISNUMBER(SEARCH("VPS",$I53))=FALSE,LEFT($I53,6)&lt;&gt;"VACUUM"),"CDU",IF($H53="FLUID CAT CRACKING","FCC",IF(OR($H53="HYDROCRACKING",$H53="RESID_HYDROCRACKING"),"Hydrocracker",IF($H53="REFORMING","Reformer",""))))</f>
        <v/>
      </c>
      <c r="H53" s="6" t="s">
        <v>378</v>
      </c>
      <c r="I53" s="6" t="s">
        <v>431</v>
      </c>
      <c r="J53" s="6" t="s">
        <v>345</v>
      </c>
      <c r="K53" s="10">
        <v>34.16</v>
      </c>
      <c r="L53" s="10">
        <v>56</v>
      </c>
      <c r="M53" s="6" t="s">
        <v>375</v>
      </c>
    </row>
    <row r="54" spans="1:13">
      <c r="A54" s="6">
        <v>2023</v>
      </c>
      <c r="B54" s="6">
        <v>1</v>
      </c>
      <c r="C54" s="6" t="s">
        <v>59</v>
      </c>
      <c r="D54" s="6" t="s">
        <v>415</v>
      </c>
      <c r="E54" s="6" t="s">
        <v>416</v>
      </c>
      <c r="F54" s="6" t="str">
        <f>IF($M54="PADD I","PADD 1",IF($M54="PADD II","PADD 2",IF($M54="PADD III","PADD 3",IF($M54="PADD IV","PADD 4",IF($M54="PADD V","PADD 5","")))))</f>
        <v>PADD 3</v>
      </c>
      <c r="G54" s="6">
        <f>IF(AND($H54="ATMOS DISTILLATION",ISNUMBER(SEARCH("VPS",$I54))=FALSE,LEFT($I54,6)&lt;&gt;"VACUUM"),"CDU",IF($H54="FLUID CAT CRACKING","FCC",IF(OR($H54="HYDROCRACKING",$H54="RESID_HYDROCRACKING"),"Hydrocracker",IF($H54="REFORMING","Reformer",""))))</f>
        <v/>
      </c>
      <c r="H54" s="6" t="s">
        <v>435</v>
      </c>
      <c r="I54" s="6" t="s">
        <v>453</v>
      </c>
      <c r="J54" s="6" t="s">
        <v>345</v>
      </c>
      <c r="K54" s="10">
        <v>34</v>
      </c>
      <c r="L54" s="10">
        <v>34</v>
      </c>
      <c r="M54" s="6" t="s">
        <v>371</v>
      </c>
    </row>
    <row r="55" spans="1:13">
      <c r="A55" s="6">
        <v>2023</v>
      </c>
      <c r="B55" s="6">
        <v>1</v>
      </c>
      <c r="C55" s="6" t="s">
        <v>59</v>
      </c>
      <c r="D55" s="6" t="s">
        <v>415</v>
      </c>
      <c r="E55" s="6" t="s">
        <v>416</v>
      </c>
      <c r="F55" s="6" t="str">
        <f>IF($M55="PADD I","PADD 1",IF($M55="PADD II","PADD 2",IF($M55="PADD III","PADD 3",IF($M55="PADD IV","PADD 4",IF($M55="PADD V","PADD 5","")))))</f>
        <v>PADD 3</v>
      </c>
      <c r="G55" s="6">
        <f>IF(AND($H55="ATMOS DISTILLATION",ISNUMBER(SEARCH("VPS",$I55))=FALSE,LEFT($I55,6)&lt;&gt;"VACUUM"),"CDU",IF($H55="FLUID CAT CRACKING","FCC",IF(OR($H55="HYDROCRACKING",$H55="RESID_HYDROCRACKING"),"Hydrocracker",IF($H55="REFORMING","Reformer",""))))</f>
        <v/>
      </c>
      <c r="H55" s="6" t="s">
        <v>435</v>
      </c>
      <c r="I55" s="6" t="s">
        <v>453</v>
      </c>
      <c r="J55" s="6" t="s">
        <v>345</v>
      </c>
      <c r="K55" s="10">
        <v>34</v>
      </c>
      <c r="L55" s="10">
        <v>34</v>
      </c>
      <c r="M55" s="6" t="s">
        <v>371</v>
      </c>
    </row>
    <row r="56" spans="1:13">
      <c r="A56" s="6">
        <v>2023</v>
      </c>
      <c r="B56" s="6">
        <v>1</v>
      </c>
      <c r="C56" s="6" t="s">
        <v>59</v>
      </c>
      <c r="D56" s="6" t="s">
        <v>415</v>
      </c>
      <c r="E56" s="6" t="s">
        <v>416</v>
      </c>
      <c r="F56" s="6" t="str">
        <f>IF($M56="PADD I","PADD 1",IF($M56="PADD II","PADD 2",IF($M56="PADD III","PADD 3",IF($M56="PADD IV","PADD 4",IF($M56="PADD V","PADD 5","")))))</f>
        <v>PADD 3</v>
      </c>
      <c r="G56" s="6" t="str">
        <f>IF(AND($H56="ATMOS DISTILLATION",ISNUMBER(SEARCH("VPS",$I56))=FALSE,LEFT($I56,6)&lt;&gt;"VACUUM"),"CDU",IF($H56="FLUID CAT CRACKING","FCC",IF(OR($H56="HYDROCRACKING",$H56="RESID_HYDROCRACKING"),"Hydrocracker",IF($H56="REFORMING","Reformer",""))))</f>
        <v>Reformer</v>
      </c>
      <c r="H56" s="6" t="s">
        <v>421</v>
      </c>
      <c r="I56" s="6" t="s">
        <v>454</v>
      </c>
      <c r="J56" s="6" t="s">
        <v>345</v>
      </c>
      <c r="K56" s="10">
        <v>33.8</v>
      </c>
      <c r="L56" s="10">
        <v>52</v>
      </c>
      <c r="M56" s="6" t="s">
        <v>371</v>
      </c>
    </row>
    <row r="57" spans="1:13">
      <c r="A57" s="6">
        <v>2023</v>
      </c>
      <c r="B57" s="6">
        <v>1</v>
      </c>
      <c r="C57" s="6" t="s">
        <v>59</v>
      </c>
      <c r="D57" s="6" t="s">
        <v>455</v>
      </c>
      <c r="E57" s="6" t="s">
        <v>405</v>
      </c>
      <c r="F57" s="6" t="str">
        <f>IF($M57="PADD I","PADD 1",IF($M57="PADD II","PADD 2",IF($M57="PADD III","PADD 3",IF($M57="PADD IV","PADD 4",IF($M57="PADD V","PADD 5","")))))</f>
        <v>PADD 3</v>
      </c>
      <c r="G57" s="6" t="str">
        <f>IF(AND($H57="ATMOS DISTILLATION",ISNUMBER(SEARCH("VPS",$I57))=FALSE,LEFT($I57,6)&lt;&gt;"VACUUM"),"CDU",IF($H57="FLUID CAT CRACKING","FCC",IF(OR($H57="HYDROCRACKING",$H57="RESID_HYDROCRACKING"),"Hydrocracker",IF($H57="REFORMING","Reformer",""))))</f>
        <v>Hydrocracker</v>
      </c>
      <c r="H57" s="6" t="s">
        <v>444</v>
      </c>
      <c r="I57" s="6" t="s">
        <v>456</v>
      </c>
      <c r="J57" s="6" t="s">
        <v>349</v>
      </c>
      <c r="K57" s="10">
        <v>33.75</v>
      </c>
      <c r="L57" s="10">
        <v>75</v>
      </c>
      <c r="M57" s="6" t="s">
        <v>371</v>
      </c>
    </row>
    <row r="58" spans="1:13">
      <c r="A58" s="6">
        <v>2023</v>
      </c>
      <c r="B58" s="6">
        <v>1</v>
      </c>
      <c r="C58" s="6" t="s">
        <v>59</v>
      </c>
      <c r="D58" s="6" t="s">
        <v>457</v>
      </c>
      <c r="E58" s="6" t="s">
        <v>388</v>
      </c>
      <c r="F58" s="6" t="str">
        <f>IF($M58="PADD I","PADD 1",IF($M58="PADD II","PADD 2",IF($M58="PADD III","PADD 3",IF($M58="PADD IV","PADD 4",IF($M58="PADD V","PADD 5","")))))</f>
        <v>PADD 5</v>
      </c>
      <c r="G58" s="6" t="str">
        <f>IF(AND($H58="ATMOS DISTILLATION",ISNUMBER(SEARCH("VPS",$I58))=FALSE,LEFT($I58,6)&lt;&gt;"VACUUM"),"CDU",IF($H58="FLUID CAT CRACKING","FCC",IF(OR($H58="HYDROCRACKING",$H58="RESID_HYDROCRACKING"),"Hydrocracker",IF($H58="REFORMING","Reformer",""))))</f>
        <v>Hydrocracker</v>
      </c>
      <c r="H58" s="6" t="s">
        <v>444</v>
      </c>
      <c r="I58" s="6" t="s">
        <v>14</v>
      </c>
      <c r="J58" s="6" t="s">
        <v>345</v>
      </c>
      <c r="K58" s="10">
        <v>33.55</v>
      </c>
      <c r="L58" s="10">
        <v>55</v>
      </c>
      <c r="M58" s="6" t="s">
        <v>386</v>
      </c>
    </row>
    <row r="59" spans="1:13">
      <c r="A59" s="6">
        <v>2023</v>
      </c>
      <c r="B59" s="6">
        <v>1</v>
      </c>
      <c r="C59" s="6" t="s">
        <v>59</v>
      </c>
      <c r="D59" s="6" t="s">
        <v>411</v>
      </c>
      <c r="E59" s="6" t="s">
        <v>369</v>
      </c>
      <c r="F59" s="6" t="str">
        <f>IF($M59="PADD I","PADD 1",IF($M59="PADD II","PADD 2",IF($M59="PADD III","PADD 3",IF($M59="PADD IV","PADD 4",IF($M59="PADD V","PADD 5","")))))</f>
        <v>PADD 1</v>
      </c>
      <c r="G59" s="6">
        <f>IF(AND($H59="ATMOS DISTILLATION",ISNUMBER(SEARCH("VPS",$I59))=FALSE,LEFT($I59,6)&lt;&gt;"VACUUM"),"CDU",IF($H59="FLUID CAT CRACKING","FCC",IF(OR($H59="HYDROCRACKING",$H59="RESID_HYDROCRACKING"),"Hydrocracker",IF($H59="REFORMING","Reformer",""))))</f>
        <v/>
      </c>
      <c r="H59" s="6" t="s">
        <v>43</v>
      </c>
      <c r="I59" s="6" t="s">
        <v>458</v>
      </c>
      <c r="J59" s="6" t="s">
        <v>349</v>
      </c>
      <c r="K59" s="10">
        <v>33.15</v>
      </c>
      <c r="L59" s="10">
        <v>85</v>
      </c>
      <c r="M59" s="6" t="s">
        <v>413</v>
      </c>
    </row>
    <row r="60" spans="1:13">
      <c r="A60" s="6">
        <v>2023</v>
      </c>
      <c r="B60" s="6">
        <v>1</v>
      </c>
      <c r="C60" s="6" t="s">
        <v>59</v>
      </c>
      <c r="D60" s="6" t="s">
        <v>408</v>
      </c>
      <c r="E60" s="6" t="s">
        <v>409</v>
      </c>
      <c r="F60" s="6" t="str">
        <f>IF($M60="PADD I","PADD 1",IF($M60="PADD II","PADD 2",IF($M60="PADD III","PADD 3",IF($M60="PADD IV","PADD 4",IF($M60="PADD V","PADD 5","")))))</f>
        <v>PADD 3</v>
      </c>
      <c r="G60" s="6">
        <f>IF(AND($H60="ATMOS DISTILLATION",ISNUMBER(SEARCH("VPS",$I60))=FALSE,LEFT($I60,6)&lt;&gt;"VACUUM"),"CDU",IF($H60="FLUID CAT CRACKING","FCC",IF(OR($H60="HYDROCRACKING",$H60="RESID_HYDROCRACKING"),"Hydrocracker",IF($H60="REFORMING","Reformer",""))))</f>
        <v/>
      </c>
      <c r="H60" s="6" t="s">
        <v>435</v>
      </c>
      <c r="I60" s="6" t="s">
        <v>459</v>
      </c>
      <c r="J60" s="6" t="s">
        <v>345</v>
      </c>
      <c r="K60" s="10">
        <v>33</v>
      </c>
      <c r="L60" s="10">
        <v>60</v>
      </c>
      <c r="M60" s="6" t="s">
        <v>371</v>
      </c>
    </row>
    <row r="61" spans="1:13">
      <c r="A61" s="6">
        <v>2023</v>
      </c>
      <c r="B61" s="6">
        <v>1</v>
      </c>
      <c r="C61" s="6" t="s">
        <v>59</v>
      </c>
      <c r="D61" s="6" t="s">
        <v>51</v>
      </c>
      <c r="E61" s="6" t="s">
        <v>391</v>
      </c>
      <c r="F61" s="6" t="str">
        <f>IF($M61="PADD I","PADD 1",IF($M61="PADD II","PADD 2",IF($M61="PADD III","PADD 3",IF($M61="PADD IV","PADD 4",IF($M61="PADD V","PADD 5","")))))</f>
        <v>PADD 5</v>
      </c>
      <c r="G61" s="6">
        <f>IF(AND($H61="ATMOS DISTILLATION",ISNUMBER(SEARCH("VPS",$I61))=FALSE,LEFT($I61,6)&lt;&gt;"VACUUM"),"CDU",IF($H61="FLUID CAT CRACKING","FCC",IF(OR($H61="HYDROCRACKING",$H61="RESID_HYDROCRACKING"),"Hydrocracker",IF($H61="REFORMING","Reformer",""))))</f>
        <v/>
      </c>
      <c r="H61" s="6" t="s">
        <v>460</v>
      </c>
      <c r="I61" s="6" t="s">
        <v>461</v>
      </c>
      <c r="J61" s="6" t="s">
        <v>345</v>
      </c>
      <c r="K61" s="10">
        <v>33</v>
      </c>
      <c r="L61" s="10">
        <v>33</v>
      </c>
      <c r="M61" s="6" t="s">
        <v>386</v>
      </c>
    </row>
    <row r="62" spans="1:13">
      <c r="A62" s="6">
        <v>2023</v>
      </c>
      <c r="B62" s="6">
        <v>1</v>
      </c>
      <c r="C62" s="6" t="s">
        <v>59</v>
      </c>
      <c r="D62" s="6" t="s">
        <v>42</v>
      </c>
      <c r="E62" s="6" t="s">
        <v>405</v>
      </c>
      <c r="F62" s="6" t="str">
        <f>IF($M62="PADD I","PADD 1",IF($M62="PADD II","PADD 2",IF($M62="PADD III","PADD 3",IF($M62="PADD IV","PADD 4",IF($M62="PADD V","PADD 5","")))))</f>
        <v>PADD 3</v>
      </c>
      <c r="G62" s="6">
        <f>IF(AND($H62="ATMOS DISTILLATION",ISNUMBER(SEARCH("VPS",$I62))=FALSE,LEFT($I62,6)&lt;&gt;"VACUUM"),"CDU",IF($H62="FLUID CAT CRACKING","FCC",IF(OR($H62="HYDROCRACKING",$H62="RESID_HYDROCRACKING"),"Hydrocracker",IF($H62="REFORMING","Reformer",""))))</f>
        <v/>
      </c>
      <c r="H62" s="6" t="s">
        <v>435</v>
      </c>
      <c r="I62" s="6" t="s">
        <v>441</v>
      </c>
      <c r="J62" s="6" t="s">
        <v>349</v>
      </c>
      <c r="K62" s="10">
        <v>32.33</v>
      </c>
      <c r="L62" s="10">
        <v>53</v>
      </c>
      <c r="M62" s="6" t="s">
        <v>371</v>
      </c>
    </row>
    <row r="63" spans="1:13">
      <c r="A63" s="6">
        <v>2023</v>
      </c>
      <c r="B63" s="6">
        <v>1</v>
      </c>
      <c r="C63" s="6" t="s">
        <v>59</v>
      </c>
      <c r="D63" s="6" t="s">
        <v>462</v>
      </c>
      <c r="E63" s="6" t="s">
        <v>438</v>
      </c>
      <c r="F63" s="6" t="str">
        <f>IF($M63="PADD I","PADD 1",IF($M63="PADD II","PADD 2",IF($M63="PADD III","PADD 3",IF($M63="PADD IV","PADD 4",IF($M63="PADD V","PADD 5","")))))</f>
        <v>PADD 4</v>
      </c>
      <c r="G63" s="6" t="str">
        <f>IF(AND($H63="ATMOS DISTILLATION",ISNUMBER(SEARCH("VPS",$I63))=FALSE,LEFT($I63,6)&lt;&gt;"VACUUM"),"CDU",IF($H63="FLUID CAT CRACKING","FCC",IF(OR($H63="HYDROCRACKING",$H63="RESID_HYDROCRACKING"),"Hydrocracker",IF($H63="REFORMING","Reformer",""))))</f>
        <v>CDU</v>
      </c>
      <c r="H63" s="6" t="s">
        <v>38</v>
      </c>
      <c r="I63" s="6" t="s">
        <v>123</v>
      </c>
      <c r="J63" s="6" t="s">
        <v>345</v>
      </c>
      <c r="K63" s="10">
        <v>32</v>
      </c>
      <c r="L63" s="10">
        <v>32</v>
      </c>
      <c r="M63" s="6" t="s">
        <v>430</v>
      </c>
    </row>
    <row r="64" spans="1:13">
      <c r="A64" s="6">
        <v>2023</v>
      </c>
      <c r="B64" s="6">
        <v>1</v>
      </c>
      <c r="C64" s="6" t="s">
        <v>59</v>
      </c>
      <c r="D64" s="6" t="s">
        <v>346</v>
      </c>
      <c r="E64" s="6" t="s">
        <v>383</v>
      </c>
      <c r="F64" s="6" t="str">
        <f>IF($M64="PADD I","PADD 1",IF($M64="PADD II","PADD 2",IF($M64="PADD III","PADD 3",IF($M64="PADD IV","PADD 4",IF($M64="PADD V","PADD 5","")))))</f>
        <v>PADD 2</v>
      </c>
      <c r="G64" s="6" t="str">
        <f>IF(AND($H64="ATMOS DISTILLATION",ISNUMBER(SEARCH("VPS",$I64))=FALSE,LEFT($I64,6)&lt;&gt;"VACUUM"),"CDU",IF($H64="FLUID CAT CRACKING","FCC",IF(OR($H64="HYDROCRACKING",$H64="RESID_HYDROCRACKING"),"Hydrocracker",IF($H64="REFORMING","Reformer",""))))</f>
        <v>Hydrocracker</v>
      </c>
      <c r="H64" s="6" t="s">
        <v>444</v>
      </c>
      <c r="I64" s="6" t="s">
        <v>463</v>
      </c>
      <c r="J64" s="6" t="s">
        <v>349</v>
      </c>
      <c r="K64" s="10">
        <v>32</v>
      </c>
      <c r="L64" s="10">
        <v>32</v>
      </c>
      <c r="M64" s="6" t="s">
        <v>375</v>
      </c>
    </row>
    <row r="65" spans="1:13">
      <c r="A65" s="6">
        <v>2023</v>
      </c>
      <c r="B65" s="6">
        <v>1</v>
      </c>
      <c r="C65" s="6" t="s">
        <v>59</v>
      </c>
      <c r="D65" s="6" t="s">
        <v>408</v>
      </c>
      <c r="E65" s="6" t="s">
        <v>409</v>
      </c>
      <c r="F65" s="6" t="str">
        <f>IF($M65="PADD I","PADD 1",IF($M65="PADD II","PADD 2",IF($M65="PADD III","PADD 3",IF($M65="PADD IV","PADD 4",IF($M65="PADD V","PADD 5","")))))</f>
        <v>PADD 3</v>
      </c>
      <c r="G65" s="6">
        <f>IF(AND($H65="ATMOS DISTILLATION",ISNUMBER(SEARCH("VPS",$I65))=FALSE,LEFT($I65,6)&lt;&gt;"VACUUM"),"CDU",IF($H65="FLUID CAT CRACKING","FCC",IF(OR($H65="HYDROCRACKING",$H65="RESID_HYDROCRACKING"),"Hydrocracker",IF($H65="REFORMING","Reformer",""))))</f>
        <v/>
      </c>
      <c r="H65" s="6" t="s">
        <v>43</v>
      </c>
      <c r="I65" s="6" t="s">
        <v>464</v>
      </c>
      <c r="J65" s="6" t="s">
        <v>345</v>
      </c>
      <c r="K65" s="10">
        <v>30.5</v>
      </c>
      <c r="L65" s="10">
        <v>50</v>
      </c>
      <c r="M65" s="6" t="s">
        <v>371</v>
      </c>
    </row>
    <row r="66" spans="1:13">
      <c r="A66" s="6">
        <v>2023</v>
      </c>
      <c r="B66" s="6">
        <v>1</v>
      </c>
      <c r="C66" s="6" t="s">
        <v>59</v>
      </c>
      <c r="D66" s="6" t="s">
        <v>465</v>
      </c>
      <c r="E66" s="6" t="s">
        <v>369</v>
      </c>
      <c r="F66" s="6" t="str">
        <f>IF($M66="PADD I","PADD 1",IF($M66="PADD II","PADD 2",IF($M66="PADD III","PADD 3",IF($M66="PADD IV","PADD 4",IF($M66="PADD V","PADD 5","")))))</f>
        <v>PADD 5</v>
      </c>
      <c r="G66" s="6">
        <f>IF(AND($H66="ATMOS DISTILLATION",ISNUMBER(SEARCH("VPS",$I66))=FALSE,LEFT($I66,6)&lt;&gt;"VACUUM"),"CDU",IF($H66="FLUID CAT CRACKING","FCC",IF(OR($H66="HYDROCRACKING",$H66="RESID_HYDROCRACKING"),"Hydrocracker",IF($H66="REFORMING","Reformer",""))))</f>
        <v/>
      </c>
      <c r="H66" s="6" t="s">
        <v>43</v>
      </c>
      <c r="I66" s="6" t="s">
        <v>466</v>
      </c>
      <c r="J66" s="6" t="s">
        <v>349</v>
      </c>
      <c r="K66" s="10">
        <v>30.5</v>
      </c>
      <c r="L66" s="10">
        <v>50</v>
      </c>
      <c r="M66" s="6" t="s">
        <v>386</v>
      </c>
    </row>
    <row r="67" spans="1:13">
      <c r="A67" s="6">
        <v>2023</v>
      </c>
      <c r="B67" s="6">
        <v>1</v>
      </c>
      <c r="C67" s="6" t="s">
        <v>59</v>
      </c>
      <c r="D67" s="6" t="s">
        <v>387</v>
      </c>
      <c r="E67" s="6" t="s">
        <v>388</v>
      </c>
      <c r="F67" s="6" t="str">
        <f>IF($M67="PADD I","PADD 1",IF($M67="PADD II","PADD 2",IF($M67="PADD III","PADD 3",IF($M67="PADD IV","PADD 4",IF($M67="PADD V","PADD 5","")))))</f>
        <v>PADD 3</v>
      </c>
      <c r="G67" s="6" t="str">
        <f>IF(AND($H67="ATMOS DISTILLATION",ISNUMBER(SEARCH("VPS",$I67))=FALSE,LEFT($I67,6)&lt;&gt;"VACUUM"),"CDU",IF($H67="FLUID CAT CRACKING","FCC",IF(OR($H67="HYDROCRACKING",$H67="RESID_HYDROCRACKING"),"Hydrocracker",IF($H67="REFORMING","Reformer",""))))</f>
        <v>Reformer</v>
      </c>
      <c r="H67" s="6" t="s">
        <v>421</v>
      </c>
      <c r="I67" s="6" t="s">
        <v>443</v>
      </c>
      <c r="J67" s="6" t="s">
        <v>345</v>
      </c>
      <c r="K67" s="10">
        <v>30.225</v>
      </c>
      <c r="L67" s="10">
        <v>77.5</v>
      </c>
      <c r="M67" s="6" t="s">
        <v>371</v>
      </c>
    </row>
    <row r="68" spans="1:13">
      <c r="A68" s="6">
        <v>2023</v>
      </c>
      <c r="B68" s="6">
        <v>1</v>
      </c>
      <c r="C68" s="6" t="s">
        <v>59</v>
      </c>
      <c r="D68" s="6" t="s">
        <v>372</v>
      </c>
      <c r="E68" s="6" t="s">
        <v>373</v>
      </c>
      <c r="F68" s="6" t="str">
        <f>IF($M68="PADD I","PADD 1",IF($M68="PADD II","PADD 2",IF($M68="PADD III","PADD 3",IF($M68="PADD IV","PADD 4",IF($M68="PADD V","PADD 5","")))))</f>
        <v>PADD 2</v>
      </c>
      <c r="G68" s="6">
        <f>IF(AND($H68="ATMOS DISTILLATION",ISNUMBER(SEARCH("VPS",$I68))=FALSE,LEFT($I68,6)&lt;&gt;"VACUUM"),"CDU",IF($H68="FLUID CAT CRACKING","FCC",IF(OR($H68="HYDROCRACKING",$H68="RESID_HYDROCRACKING"),"Hydrocracker",IF($H68="REFORMING","Reformer",""))))</f>
        <v/>
      </c>
      <c r="H68" s="6" t="s">
        <v>435</v>
      </c>
      <c r="I68" s="6" t="s">
        <v>467</v>
      </c>
      <c r="J68" s="6" t="s">
        <v>345</v>
      </c>
      <c r="K68" s="10">
        <v>30</v>
      </c>
      <c r="L68" s="10">
        <v>30</v>
      </c>
      <c r="M68" s="6" t="s">
        <v>375</v>
      </c>
    </row>
    <row r="69" spans="1:13">
      <c r="A69" s="6">
        <v>2023</v>
      </c>
      <c r="B69" s="6">
        <v>1</v>
      </c>
      <c r="C69" s="6" t="s">
        <v>59</v>
      </c>
      <c r="D69" s="6" t="s">
        <v>468</v>
      </c>
      <c r="E69" s="6" t="s">
        <v>369</v>
      </c>
      <c r="F69" s="6" t="str">
        <f>IF($M69="PADD I","PADD 1",IF($M69="PADD II","PADD 2",IF($M69="PADD III","PADD 3",IF($M69="PADD IV","PADD 4",IF($M69="PADD V","PADD 5","")))))</f>
        <v>PADD 3</v>
      </c>
      <c r="G69" s="6" t="str">
        <f>IF(AND($H69="ATMOS DISTILLATION",ISNUMBER(SEARCH("VPS",$I69))=FALSE,LEFT($I69,6)&lt;&gt;"VACUUM"),"CDU",IF($H69="FLUID CAT CRACKING","FCC",IF(OR($H69="HYDROCRACKING",$H69="RESID_HYDROCRACKING"),"Hydrocracker",IF($H69="REFORMING","Reformer",""))))</f>
        <v>FCC</v>
      </c>
      <c r="H69" s="6" t="s">
        <v>376</v>
      </c>
      <c r="I69" s="6" t="s">
        <v>469</v>
      </c>
      <c r="J69" s="6" t="s">
        <v>349</v>
      </c>
      <c r="K69" s="10">
        <v>30</v>
      </c>
      <c r="L69" s="10">
        <v>30</v>
      </c>
      <c r="M69" s="6" t="s">
        <v>371</v>
      </c>
    </row>
    <row r="70" spans="1:13">
      <c r="A70" s="6">
        <v>2023</v>
      </c>
      <c r="B70" s="6">
        <v>1</v>
      </c>
      <c r="C70" s="6" t="s">
        <v>59</v>
      </c>
      <c r="D70" s="6" t="s">
        <v>462</v>
      </c>
      <c r="E70" s="6" t="s">
        <v>438</v>
      </c>
      <c r="F70" s="6" t="str">
        <f>IF($M70="PADD I","PADD 1",IF($M70="PADD II","PADD 2",IF($M70="PADD III","PADD 3",IF($M70="PADD IV","PADD 4",IF($M70="PADD V","PADD 5","")))))</f>
        <v>PADD 4</v>
      </c>
      <c r="G70" s="6">
        <f>IF(AND($H70="ATMOS DISTILLATION",ISNUMBER(SEARCH("VPS",$I70))=FALSE,LEFT($I70,6)&lt;&gt;"VACUUM"),"CDU",IF($H70="FLUID CAT CRACKING","FCC",IF(OR($H70="HYDROCRACKING",$H70="RESID_HYDROCRACKING"),"Hydrocracker",IF($H70="REFORMING","Reformer",""))))</f>
        <v/>
      </c>
      <c r="H70" s="6" t="s">
        <v>43</v>
      </c>
      <c r="I70" s="6" t="s">
        <v>470</v>
      </c>
      <c r="J70" s="6" t="s">
        <v>345</v>
      </c>
      <c r="K70" s="10">
        <v>30</v>
      </c>
      <c r="L70" s="10">
        <v>30</v>
      </c>
      <c r="M70" s="6" t="s">
        <v>430</v>
      </c>
    </row>
    <row r="71" spans="1:13">
      <c r="A71" s="6">
        <v>2023</v>
      </c>
      <c r="B71" s="6">
        <v>1</v>
      </c>
      <c r="C71" s="6" t="s">
        <v>59</v>
      </c>
      <c r="D71" s="6" t="s">
        <v>346</v>
      </c>
      <c r="E71" s="6" t="s">
        <v>383</v>
      </c>
      <c r="F71" s="6" t="str">
        <f>IF($M71="PADD I","PADD 1",IF($M71="PADD II","PADD 2",IF($M71="PADD III","PADD 3",IF($M71="PADD IV","PADD 4",IF($M71="PADD V","PADD 5","")))))</f>
        <v>PADD 2</v>
      </c>
      <c r="G71" s="6" t="str">
        <f>IF(AND($H71="ATMOS DISTILLATION",ISNUMBER(SEARCH("VPS",$I71))=FALSE,LEFT($I71,6)&lt;&gt;"VACUUM"),"CDU",IF($H71="FLUID CAT CRACKING","FCC",IF(OR($H71="HYDROCRACKING",$H71="RESID_HYDROCRACKING"),"Hydrocracker",IF($H71="REFORMING","Reformer",""))))</f>
        <v>Reformer</v>
      </c>
      <c r="H71" s="6" t="s">
        <v>421</v>
      </c>
      <c r="I71" s="6" t="s">
        <v>471</v>
      </c>
      <c r="J71" s="6" t="s">
        <v>349</v>
      </c>
      <c r="K71" s="10">
        <v>30</v>
      </c>
      <c r="L71" s="10">
        <v>30</v>
      </c>
      <c r="M71" s="6" t="s">
        <v>375</v>
      </c>
    </row>
    <row r="72" spans="1:13">
      <c r="A72" s="6">
        <v>2023</v>
      </c>
      <c r="B72" s="6">
        <v>1</v>
      </c>
      <c r="C72" s="6" t="s">
        <v>59</v>
      </c>
      <c r="D72" s="6" t="s">
        <v>335</v>
      </c>
      <c r="E72" s="6" t="s">
        <v>369</v>
      </c>
      <c r="F72" s="6" t="str">
        <f>IF($M72="PADD I","PADD 1",IF($M72="PADD II","PADD 2",IF($M72="PADD III","PADD 3",IF($M72="PADD IV","PADD 4",IF($M72="PADD V","PADD 5","")))))</f>
        <v>PADD 3</v>
      </c>
      <c r="G72" s="6" t="str">
        <f>IF(AND($H72="ATMOS DISTILLATION",ISNUMBER(SEARCH("VPS",$I72))=FALSE,LEFT($I72,6)&lt;&gt;"VACUUM"),"CDU",IF($H72="FLUID CAT CRACKING","FCC",IF(OR($H72="HYDROCRACKING",$H72="RESID_HYDROCRACKING"),"Hydrocracker",IF($H72="REFORMING","Reformer",""))))</f>
        <v>FCC</v>
      </c>
      <c r="H72" s="6" t="s">
        <v>376</v>
      </c>
      <c r="I72" s="6" t="s">
        <v>472</v>
      </c>
      <c r="J72" s="6" t="s">
        <v>345</v>
      </c>
      <c r="K72" s="10">
        <v>30</v>
      </c>
      <c r="L72" s="10">
        <v>30</v>
      </c>
      <c r="M72" s="6" t="s">
        <v>371</v>
      </c>
    </row>
    <row r="73" spans="1:13">
      <c r="A73" s="6">
        <v>2023</v>
      </c>
      <c r="B73" s="6">
        <v>1</v>
      </c>
      <c r="C73" s="6" t="s">
        <v>59</v>
      </c>
      <c r="D73" s="6" t="s">
        <v>468</v>
      </c>
      <c r="E73" s="6" t="s">
        <v>369</v>
      </c>
      <c r="F73" s="6" t="str">
        <f>IF($M73="PADD I","PADD 1",IF($M73="PADD II","PADD 2",IF($M73="PADD III","PADD 3",IF($M73="PADD IV","PADD 4",IF($M73="PADD V","PADD 5","")))))</f>
        <v>PADD 3</v>
      </c>
      <c r="G73" s="6" t="str">
        <f>IF(AND($H73="ATMOS DISTILLATION",ISNUMBER(SEARCH("VPS",$I73))=FALSE,LEFT($I73,6)&lt;&gt;"VACUUM"),"CDU",IF($H73="FLUID CAT CRACKING","FCC",IF(OR($H73="HYDROCRACKING",$H73="RESID_HYDROCRACKING"),"Hydrocracker",IF($H73="REFORMING","Reformer",""))))</f>
        <v>FCC</v>
      </c>
      <c r="H73" s="6" t="s">
        <v>376</v>
      </c>
      <c r="I73" s="6" t="s">
        <v>473</v>
      </c>
      <c r="J73" s="6" t="s">
        <v>345</v>
      </c>
      <c r="K73" s="10">
        <v>30</v>
      </c>
      <c r="L73" s="10">
        <v>30</v>
      </c>
      <c r="M73" s="6" t="s">
        <v>371</v>
      </c>
    </row>
    <row r="74" spans="1:13">
      <c r="A74" s="6">
        <v>2023</v>
      </c>
      <c r="B74" s="6">
        <v>1</v>
      </c>
      <c r="C74" s="6" t="s">
        <v>59</v>
      </c>
      <c r="D74" s="6" t="s">
        <v>395</v>
      </c>
      <c r="E74" s="6" t="s">
        <v>396</v>
      </c>
      <c r="F74" s="6" t="str">
        <f>IF($M74="PADD I","PADD 1",IF($M74="PADD II","PADD 2",IF($M74="PADD III","PADD 3",IF($M74="PADD IV","PADD 4",IF($M74="PADD V","PADD 5","")))))</f>
        <v>PADD 3</v>
      </c>
      <c r="G74" s="6">
        <f>IF(AND($H74="ATMOS DISTILLATION",ISNUMBER(SEARCH("VPS",$I74))=FALSE,LEFT($I74,6)&lt;&gt;"VACUUM"),"CDU",IF($H74="FLUID CAT CRACKING","FCC",IF(OR($H74="HYDROCRACKING",$H74="RESID_HYDROCRACKING"),"Hydrocracker",IF($H74="REFORMING","Reformer",""))))</f>
        <v/>
      </c>
      <c r="H74" s="6" t="s">
        <v>378</v>
      </c>
      <c r="I74" s="6" t="s">
        <v>474</v>
      </c>
      <c r="J74" s="6" t="s">
        <v>345</v>
      </c>
      <c r="K74" s="10">
        <v>29.9</v>
      </c>
      <c r="L74" s="10">
        <v>115</v>
      </c>
      <c r="M74" s="6" t="s">
        <v>371</v>
      </c>
    </row>
    <row r="75" spans="1:13">
      <c r="A75" s="6">
        <v>2023</v>
      </c>
      <c r="B75" s="6">
        <v>1</v>
      </c>
      <c r="C75" s="6" t="s">
        <v>59</v>
      </c>
      <c r="D75" s="6" t="s">
        <v>462</v>
      </c>
      <c r="E75" s="6" t="s">
        <v>438</v>
      </c>
      <c r="F75" s="6" t="str">
        <f>IF($M75="PADD I","PADD 1",IF($M75="PADD II","PADD 2",IF($M75="PADD III","PADD 3",IF($M75="PADD IV","PADD 4",IF($M75="PADD V","PADD 5","")))))</f>
        <v>PADD 4</v>
      </c>
      <c r="G75" s="6" t="str">
        <f>IF(AND($H75="ATMOS DISTILLATION",ISNUMBER(SEARCH("VPS",$I75))=FALSE,LEFT($I75,6)&lt;&gt;"VACUUM"),"CDU",IF($H75="FLUID CAT CRACKING","FCC",IF(OR($H75="HYDROCRACKING",$H75="RESID_HYDROCRACKING"),"Hydrocracker",IF($H75="REFORMING","Reformer",""))))</f>
        <v>FCC</v>
      </c>
      <c r="H75" s="6" t="s">
        <v>376</v>
      </c>
      <c r="I75" s="6" t="s">
        <v>105</v>
      </c>
      <c r="J75" s="6" t="s">
        <v>345</v>
      </c>
      <c r="K75" s="10">
        <v>28.3</v>
      </c>
      <c r="L75" s="10">
        <v>28.3</v>
      </c>
      <c r="M75" s="6" t="s">
        <v>430</v>
      </c>
    </row>
    <row r="76" spans="1:13">
      <c r="A76" s="6">
        <v>2023</v>
      </c>
      <c r="B76" s="6">
        <v>1</v>
      </c>
      <c r="C76" s="6" t="s">
        <v>59</v>
      </c>
      <c r="D76" s="6" t="s">
        <v>437</v>
      </c>
      <c r="E76" s="6" t="s">
        <v>438</v>
      </c>
      <c r="F76" s="6" t="str">
        <f>IF($M76="PADD I","PADD 1",IF($M76="PADD II","PADD 2",IF($M76="PADD III","PADD 3",IF($M76="PADD IV","PADD 4",IF($M76="PADD V","PADD 5","")))))</f>
        <v>PADD 4</v>
      </c>
      <c r="G76" s="6" t="str">
        <f>IF(AND($H76="ATMOS DISTILLATION",ISNUMBER(SEARCH("VPS",$I76))=FALSE,LEFT($I76,6)&lt;&gt;"VACUUM"),"CDU",IF($H76="FLUID CAT CRACKING","FCC",IF(OR($H76="HYDROCRACKING",$H76="RESID_HYDROCRACKING"),"Hydrocracker",IF($H76="REFORMING","Reformer",""))))</f>
        <v>CDU</v>
      </c>
      <c r="H76" s="6" t="s">
        <v>38</v>
      </c>
      <c r="I76" s="6" t="s">
        <v>330</v>
      </c>
      <c r="J76" s="6" t="s">
        <v>345</v>
      </c>
      <c r="K76" s="10">
        <v>28</v>
      </c>
      <c r="L76" s="10">
        <v>28</v>
      </c>
      <c r="M76" s="6" t="s">
        <v>430</v>
      </c>
    </row>
    <row r="77" spans="1:13">
      <c r="A77" s="6">
        <v>2023</v>
      </c>
      <c r="B77" s="6">
        <v>1</v>
      </c>
      <c r="C77" s="6" t="s">
        <v>59</v>
      </c>
      <c r="D77" s="6" t="s">
        <v>398</v>
      </c>
      <c r="E77" s="6" t="s">
        <v>399</v>
      </c>
      <c r="F77" s="6" t="str">
        <f>IF($M77="PADD I","PADD 1",IF($M77="PADD II","PADD 2",IF($M77="PADD III","PADD 3",IF($M77="PADD IV","PADD 4",IF($M77="PADD V","PADD 5","")))))</f>
        <v>PADD 3</v>
      </c>
      <c r="G77" s="6" t="str">
        <f>IF(AND($H77="ATMOS DISTILLATION",ISNUMBER(SEARCH("VPS",$I77))=FALSE,LEFT($I77,6)&lt;&gt;"VACUUM"),"CDU",IF($H77="FLUID CAT CRACKING","FCC",IF(OR($H77="HYDROCRACKING",$H77="RESID_HYDROCRACKING"),"Hydrocracker",IF($H77="REFORMING","Reformer",""))))</f>
        <v>CDU</v>
      </c>
      <c r="H77" s="6" t="s">
        <v>38</v>
      </c>
      <c r="I77" s="6" t="s">
        <v>475</v>
      </c>
      <c r="J77" s="6" t="s">
        <v>345</v>
      </c>
      <c r="K77" s="10">
        <v>27.93</v>
      </c>
      <c r="L77" s="10">
        <v>147</v>
      </c>
      <c r="M77" s="6" t="s">
        <v>371</v>
      </c>
    </row>
    <row r="78" spans="1:13">
      <c r="A78" s="6">
        <v>2023</v>
      </c>
      <c r="B78" s="6">
        <v>1</v>
      </c>
      <c r="C78" s="6" t="s">
        <v>59</v>
      </c>
      <c r="D78" s="6" t="s">
        <v>387</v>
      </c>
      <c r="E78" s="6" t="s">
        <v>388</v>
      </c>
      <c r="F78" s="6" t="str">
        <f>IF($M78="PADD I","PADD 1",IF($M78="PADD II","PADD 2",IF($M78="PADD III","PADD 3",IF($M78="PADD IV","PADD 4",IF($M78="PADD V","PADD 5","")))))</f>
        <v>PADD 3</v>
      </c>
      <c r="G78" s="6" t="str">
        <f>IF(AND($H78="ATMOS DISTILLATION",ISNUMBER(SEARCH("VPS",$I78))=FALSE,LEFT($I78,6)&lt;&gt;"VACUUM"),"CDU",IF($H78="FLUID CAT CRACKING","FCC",IF(OR($H78="HYDROCRACKING",$H78="RESID_HYDROCRACKING"),"Hydrocracker",IF($H78="REFORMING","Reformer",""))))</f>
        <v>Hydrocracker</v>
      </c>
      <c r="H78" s="6" t="s">
        <v>444</v>
      </c>
      <c r="I78" s="6" t="s">
        <v>476</v>
      </c>
      <c r="J78" s="6" t="s">
        <v>345</v>
      </c>
      <c r="K78" s="10">
        <v>27.3</v>
      </c>
      <c r="L78" s="10">
        <v>70</v>
      </c>
      <c r="M78" s="6" t="s">
        <v>371</v>
      </c>
    </row>
    <row r="79" spans="1:13">
      <c r="A79" s="6">
        <v>2023</v>
      </c>
      <c r="B79" s="6">
        <v>1</v>
      </c>
      <c r="C79" s="6" t="s">
        <v>59</v>
      </c>
      <c r="D79" s="6" t="s">
        <v>380</v>
      </c>
      <c r="E79" s="6" t="s">
        <v>381</v>
      </c>
      <c r="F79" s="6" t="str">
        <f>IF($M79="PADD I","PADD 1",IF($M79="PADD II","PADD 2",IF($M79="PADD III","PADD 3",IF($M79="PADD IV","PADD 4",IF($M79="PADD V","PADD 5","")))))</f>
        <v>PADD 3</v>
      </c>
      <c r="G79" s="6">
        <f>IF(AND($H79="ATMOS DISTILLATION",ISNUMBER(SEARCH("VPS",$I79))=FALSE,LEFT($I79,6)&lt;&gt;"VACUUM"),"CDU",IF($H79="FLUID CAT CRACKING","FCC",IF(OR($H79="HYDROCRACKING",$H79="RESID_HYDROCRACKING"),"Hydrocracker",IF($H79="REFORMING","Reformer",""))))</f>
        <v/>
      </c>
      <c r="H79" s="6" t="s">
        <v>435</v>
      </c>
      <c r="I79" s="6" t="s">
        <v>477</v>
      </c>
      <c r="J79" s="6" t="s">
        <v>349</v>
      </c>
      <c r="K79" s="10">
        <v>26</v>
      </c>
      <c r="L79" s="10">
        <v>50</v>
      </c>
      <c r="M79" s="6" t="s">
        <v>371</v>
      </c>
    </row>
    <row r="80" spans="1:13">
      <c r="A80" s="6">
        <v>2023</v>
      </c>
      <c r="B80" s="6">
        <v>1</v>
      </c>
      <c r="C80" s="6" t="s">
        <v>59</v>
      </c>
      <c r="D80" s="6" t="s">
        <v>408</v>
      </c>
      <c r="E80" s="6" t="s">
        <v>409</v>
      </c>
      <c r="F80" s="6" t="str">
        <f>IF($M80="PADD I","PADD 1",IF($M80="PADD II","PADD 2",IF($M80="PADD III","PADD 3",IF($M80="PADD IV","PADD 4",IF($M80="PADD V","PADD 5","")))))</f>
        <v>PADD 3</v>
      </c>
      <c r="G80" s="6">
        <f>IF(AND($H80="ATMOS DISTILLATION",ISNUMBER(SEARCH("VPS",$I80))=FALSE,LEFT($I80,6)&lt;&gt;"VACUUM"),"CDU",IF($H80="FLUID CAT CRACKING","FCC",IF(OR($H80="HYDROCRACKING",$H80="RESID_HYDROCRACKING"),"Hydrocracker",IF($H80="REFORMING","Reformer",""))))</f>
        <v/>
      </c>
      <c r="H80" s="6" t="s">
        <v>43</v>
      </c>
      <c r="I80" s="6" t="s">
        <v>478</v>
      </c>
      <c r="J80" s="6" t="s">
        <v>345</v>
      </c>
      <c r="K80" s="10">
        <v>25.62</v>
      </c>
      <c r="L80" s="10">
        <v>42</v>
      </c>
      <c r="M80" s="6" t="s">
        <v>371</v>
      </c>
    </row>
    <row r="81" spans="1:13">
      <c r="A81" s="6">
        <v>2023</v>
      </c>
      <c r="B81" s="6">
        <v>1</v>
      </c>
      <c r="C81" s="6" t="s">
        <v>59</v>
      </c>
      <c r="D81" s="6" t="s">
        <v>372</v>
      </c>
      <c r="E81" s="6" t="s">
        <v>373</v>
      </c>
      <c r="F81" s="6" t="str">
        <f>IF($M81="PADD I","PADD 1",IF($M81="PADD II","PADD 2",IF($M81="PADD III","PADD 3",IF($M81="PADD IV","PADD 4",IF($M81="PADD V","PADD 5","")))))</f>
        <v>PADD 2</v>
      </c>
      <c r="G81" s="6">
        <f>IF(AND($H81="ATMOS DISTILLATION",ISNUMBER(SEARCH("VPS",$I81))=FALSE,LEFT($I81,6)&lt;&gt;"VACUUM"),"CDU",IF($H81="FLUID CAT CRACKING","FCC",IF(OR($H81="HYDROCRACKING",$H81="RESID_HYDROCRACKING"),"Hydrocracker",IF($H81="REFORMING","Reformer",""))))</f>
        <v/>
      </c>
      <c r="H81" s="6" t="s">
        <v>43</v>
      </c>
      <c r="I81" s="6" t="s">
        <v>479</v>
      </c>
      <c r="J81" s="6" t="s">
        <v>345</v>
      </c>
      <c r="K81" s="10">
        <v>25</v>
      </c>
      <c r="L81" s="10">
        <v>25</v>
      </c>
      <c r="M81" s="6" t="s">
        <v>375</v>
      </c>
    </row>
    <row r="82" spans="1:13">
      <c r="A82" s="6">
        <v>2023</v>
      </c>
      <c r="B82" s="6">
        <v>1</v>
      </c>
      <c r="C82" s="6" t="s">
        <v>59</v>
      </c>
      <c r="D82" s="6" t="s">
        <v>372</v>
      </c>
      <c r="E82" s="6" t="s">
        <v>373</v>
      </c>
      <c r="F82" s="6" t="str">
        <f>IF($M82="PADD I","PADD 1",IF($M82="PADD II","PADD 2",IF($M82="PADD III","PADD 3",IF($M82="PADD IV","PADD 4",IF($M82="PADD V","PADD 5","")))))</f>
        <v>PADD 2</v>
      </c>
      <c r="G82" s="6">
        <f>IF(AND($H82="ATMOS DISTILLATION",ISNUMBER(SEARCH("VPS",$I82))=FALSE,LEFT($I82,6)&lt;&gt;"VACUUM"),"CDU",IF($H82="FLUID CAT CRACKING","FCC",IF(OR($H82="HYDROCRACKING",$H82="RESID_HYDROCRACKING"),"Hydrocracker",IF($H82="REFORMING","Reformer",""))))</f>
        <v/>
      </c>
      <c r="H82" s="6" t="s">
        <v>43</v>
      </c>
      <c r="I82" s="6" t="s">
        <v>480</v>
      </c>
      <c r="J82" s="6" t="s">
        <v>345</v>
      </c>
      <c r="K82" s="10">
        <v>25</v>
      </c>
      <c r="L82" s="10">
        <v>25</v>
      </c>
      <c r="M82" s="6" t="s">
        <v>375</v>
      </c>
    </row>
    <row r="83" spans="1:13">
      <c r="A83" s="6">
        <v>2023</v>
      </c>
      <c r="B83" s="6">
        <v>1</v>
      </c>
      <c r="C83" s="6" t="s">
        <v>59</v>
      </c>
      <c r="D83" s="6" t="s">
        <v>387</v>
      </c>
      <c r="E83" s="6" t="s">
        <v>388</v>
      </c>
      <c r="F83" s="6" t="str">
        <f>IF($M83="PADD I","PADD 1",IF($M83="PADD II","PADD 2",IF($M83="PADD III","PADD 3",IF($M83="PADD IV","PADD 4",IF($M83="PADD V","PADD 5","")))))</f>
        <v>PADD 3</v>
      </c>
      <c r="G83" s="6" t="str">
        <f>IF(AND($H83="ATMOS DISTILLATION",ISNUMBER(SEARCH("VPS",$I83))=FALSE,LEFT($I83,6)&lt;&gt;"VACUUM"),"CDU",IF($H83="FLUID CAT CRACKING","FCC",IF(OR($H83="HYDROCRACKING",$H83="RESID_HYDROCRACKING"),"Hydrocracker",IF($H83="REFORMING","Reformer",""))))</f>
        <v>Hydrocracker</v>
      </c>
      <c r="H83" s="6" t="s">
        <v>444</v>
      </c>
      <c r="I83" s="6" t="s">
        <v>476</v>
      </c>
      <c r="J83" s="6" t="s">
        <v>345</v>
      </c>
      <c r="K83" s="10">
        <v>24.5</v>
      </c>
      <c r="L83" s="10">
        <v>70</v>
      </c>
      <c r="M83" s="6" t="s">
        <v>371</v>
      </c>
    </row>
    <row r="84" spans="1:13">
      <c r="A84" s="6">
        <v>2023</v>
      </c>
      <c r="B84" s="6">
        <v>1</v>
      </c>
      <c r="C84" s="6" t="s">
        <v>59</v>
      </c>
      <c r="D84" s="6" t="s">
        <v>451</v>
      </c>
      <c r="E84" s="6" t="s">
        <v>452</v>
      </c>
      <c r="F84" s="6" t="str">
        <f>IF($M84="PADD I","PADD 1",IF($M84="PADD II","PADD 2",IF($M84="PADD III","PADD 3",IF($M84="PADD IV","PADD 4",IF($M84="PADD V","PADD 5","")))))</f>
        <v>PADD 2</v>
      </c>
      <c r="G84" s="6" t="str">
        <f>IF(AND($H84="ATMOS DISTILLATION",ISNUMBER(SEARCH("VPS",$I84))=FALSE,LEFT($I84,6)&lt;&gt;"VACUUM"),"CDU",IF($H84="FLUID CAT CRACKING","FCC",IF(OR($H84="HYDROCRACKING",$H84="RESID_HYDROCRACKING"),"Hydrocracker",IF($H84="REFORMING","Reformer",""))))</f>
        <v>CDU</v>
      </c>
      <c r="H84" s="6" t="s">
        <v>38</v>
      </c>
      <c r="I84" s="6" t="s">
        <v>481</v>
      </c>
      <c r="J84" s="6" t="s">
        <v>345</v>
      </c>
      <c r="K84" s="10">
        <v>24.4</v>
      </c>
      <c r="L84" s="10">
        <v>40</v>
      </c>
      <c r="M84" s="6" t="s">
        <v>375</v>
      </c>
    </row>
    <row r="85" spans="1:13">
      <c r="A85" s="6">
        <v>2023</v>
      </c>
      <c r="B85" s="6">
        <v>1</v>
      </c>
      <c r="C85" s="6" t="s">
        <v>59</v>
      </c>
      <c r="D85" s="6" t="s">
        <v>468</v>
      </c>
      <c r="E85" s="6" t="s">
        <v>369</v>
      </c>
      <c r="F85" s="6" t="str">
        <f>IF($M85="PADD I","PADD 1",IF($M85="PADD II","PADD 2",IF($M85="PADD III","PADD 3",IF($M85="PADD IV","PADD 4",IF($M85="PADD V","PADD 5","")))))</f>
        <v>PADD 3</v>
      </c>
      <c r="G85" s="6">
        <f>IF(AND($H85="ATMOS DISTILLATION",ISNUMBER(SEARCH("VPS",$I85))=FALSE,LEFT($I85,6)&lt;&gt;"VACUUM"),"CDU",IF($H85="FLUID CAT CRACKING","FCC",IF(OR($H85="HYDROCRACKING",$H85="RESID_HYDROCRACKING"),"Hydrocracker",IF($H85="REFORMING","Reformer",""))))</f>
        <v/>
      </c>
      <c r="H85" s="6" t="s">
        <v>43</v>
      </c>
      <c r="I85" s="6" t="s">
        <v>482</v>
      </c>
      <c r="J85" s="6" t="s">
        <v>349</v>
      </c>
      <c r="K85" s="10">
        <v>24</v>
      </c>
      <c r="L85" s="10">
        <v>50</v>
      </c>
      <c r="M85" s="6" t="s">
        <v>371</v>
      </c>
    </row>
    <row r="86" spans="1:13">
      <c r="A86" s="6">
        <v>2023</v>
      </c>
      <c r="B86" s="6">
        <v>1</v>
      </c>
      <c r="C86" s="6" t="s">
        <v>59</v>
      </c>
      <c r="D86" s="6" t="s">
        <v>446</v>
      </c>
      <c r="E86" s="6" t="s">
        <v>391</v>
      </c>
      <c r="F86" s="6" t="str">
        <f>IF($M86="PADD I","PADD 1",IF($M86="PADD II","PADD 2",IF($M86="PADD III","PADD 3",IF($M86="PADD IV","PADD 4",IF($M86="PADD V","PADD 5","")))))</f>
        <v>PADD 3</v>
      </c>
      <c r="G86" s="6" t="str">
        <f>IF(AND($H86="ATMOS DISTILLATION",ISNUMBER(SEARCH("VPS",$I86))=FALSE,LEFT($I86,6)&lt;&gt;"VACUUM"),"CDU",IF($H86="FLUID CAT CRACKING","FCC",IF(OR($H86="HYDROCRACKING",$H86="RESID_HYDROCRACKING"),"Hydrocracker",IF($H86="REFORMING","Reformer",""))))</f>
        <v>Reformer</v>
      </c>
      <c r="H86" s="6" t="s">
        <v>421</v>
      </c>
      <c r="I86" s="6" t="s">
        <v>483</v>
      </c>
      <c r="J86" s="6" t="s">
        <v>345</v>
      </c>
      <c r="K86" s="10">
        <v>24</v>
      </c>
      <c r="L86" s="10">
        <v>24</v>
      </c>
      <c r="M86" s="6" t="s">
        <v>371</v>
      </c>
    </row>
    <row r="87" spans="1:13">
      <c r="A87" s="6">
        <v>2023</v>
      </c>
      <c r="B87" s="6">
        <v>1</v>
      </c>
      <c r="C87" s="6" t="s">
        <v>59</v>
      </c>
      <c r="D87" s="6" t="s">
        <v>395</v>
      </c>
      <c r="E87" s="6" t="s">
        <v>396</v>
      </c>
      <c r="F87" s="6" t="str">
        <f>IF($M87="PADD I","PADD 1",IF($M87="PADD II","PADD 2",IF($M87="PADD III","PADD 3",IF($M87="PADD IV","PADD 4",IF($M87="PADD V","PADD 5","")))))</f>
        <v>PADD 3</v>
      </c>
      <c r="G87" s="6">
        <f>IF(AND($H87="ATMOS DISTILLATION",ISNUMBER(SEARCH("VPS",$I87))=FALSE,LEFT($I87,6)&lt;&gt;"VACUUM"),"CDU",IF($H87="FLUID CAT CRACKING","FCC",IF(OR($H87="HYDROCRACKING",$H87="RESID_HYDROCRACKING"),"Hydrocracker",IF($H87="REFORMING","Reformer",""))))</f>
        <v/>
      </c>
      <c r="H87" s="6" t="s">
        <v>435</v>
      </c>
      <c r="I87" s="6" t="s">
        <v>441</v>
      </c>
      <c r="J87" s="6" t="s">
        <v>345</v>
      </c>
      <c r="K87" s="10">
        <v>23.92</v>
      </c>
      <c r="L87" s="10">
        <v>92</v>
      </c>
      <c r="M87" s="6" t="s">
        <v>371</v>
      </c>
    </row>
    <row r="88" spans="1:13">
      <c r="A88" s="6">
        <v>2023</v>
      </c>
      <c r="B88" s="6">
        <v>1</v>
      </c>
      <c r="C88" s="6" t="s">
        <v>59</v>
      </c>
      <c r="D88" s="6" t="s">
        <v>398</v>
      </c>
      <c r="E88" s="6" t="s">
        <v>399</v>
      </c>
      <c r="F88" s="6" t="str">
        <f>IF($M88="PADD I","PADD 1",IF($M88="PADD II","PADD 2",IF($M88="PADD III","PADD 3",IF($M88="PADD IV","PADD 4",IF($M88="PADD V","PADD 5","")))))</f>
        <v>PADD 3</v>
      </c>
      <c r="G88" s="6" t="str">
        <f>IF(AND($H88="ATMOS DISTILLATION",ISNUMBER(SEARCH("VPS",$I88))=FALSE,LEFT($I88,6)&lt;&gt;"VACUUM"),"CDU",IF($H88="FLUID CAT CRACKING","FCC",IF(OR($H88="HYDROCRACKING",$H88="RESID_HYDROCRACKING"),"Hydrocracker",IF($H88="REFORMING","Reformer",""))))</f>
        <v>CDU</v>
      </c>
      <c r="H88" s="6" t="s">
        <v>38</v>
      </c>
      <c r="I88" s="6" t="s">
        <v>475</v>
      </c>
      <c r="J88" s="6" t="s">
        <v>349</v>
      </c>
      <c r="K88" s="10">
        <v>23.84</v>
      </c>
      <c r="L88" s="10">
        <v>149</v>
      </c>
      <c r="M88" s="6" t="s">
        <v>371</v>
      </c>
    </row>
    <row r="89" spans="1:13">
      <c r="A89" s="6">
        <v>2023</v>
      </c>
      <c r="B89" s="6">
        <v>1</v>
      </c>
      <c r="C89" s="6" t="s">
        <v>59</v>
      </c>
      <c r="D89" s="6" t="s">
        <v>484</v>
      </c>
      <c r="E89" s="6" t="s">
        <v>409</v>
      </c>
      <c r="F89" s="6" t="str">
        <f>IF($M89="PADD I","PADD 1",IF($M89="PADD II","PADD 2",IF($M89="PADD III","PADD 3",IF($M89="PADD IV","PADD 4",IF($M89="PADD V","PADD 5","")))))</f>
        <v>PADD 3</v>
      </c>
      <c r="G89" s="6">
        <f>IF(AND($H89="ATMOS DISTILLATION",ISNUMBER(SEARCH("VPS",$I89))=FALSE,LEFT($I89,6)&lt;&gt;"VACUUM"),"CDU",IF($H89="FLUID CAT CRACKING","FCC",IF(OR($H89="HYDROCRACKING",$H89="RESID_HYDROCRACKING"),"Hydrocracker",IF($H89="REFORMING","Reformer",""))))</f>
        <v/>
      </c>
      <c r="H89" s="6" t="s">
        <v>43</v>
      </c>
      <c r="I89" s="6" t="s">
        <v>485</v>
      </c>
      <c r="J89" s="6" t="s">
        <v>345</v>
      </c>
      <c r="K89" s="10">
        <v>23.1</v>
      </c>
      <c r="L89" s="10">
        <v>66</v>
      </c>
      <c r="M89" s="6" t="s">
        <v>371</v>
      </c>
    </row>
    <row r="90" spans="1:13">
      <c r="A90" s="6">
        <v>2023</v>
      </c>
      <c r="B90" s="6">
        <v>1</v>
      </c>
      <c r="C90" s="6" t="s">
        <v>59</v>
      </c>
      <c r="D90" s="6" t="s">
        <v>387</v>
      </c>
      <c r="E90" s="6" t="s">
        <v>388</v>
      </c>
      <c r="F90" s="6" t="str">
        <f>IF($M90="PADD I","PADD 1",IF($M90="PADD II","PADD 2",IF($M90="PADD III","PADD 3",IF($M90="PADD IV","PADD 4",IF($M90="PADD V","PADD 5","")))))</f>
        <v>PADD 3</v>
      </c>
      <c r="G90" s="6">
        <f>IF(AND($H90="ATMOS DISTILLATION",ISNUMBER(SEARCH("VPS",$I90))=FALSE,LEFT($I90,6)&lt;&gt;"VACUUM"),"CDU",IF($H90="FLUID CAT CRACKING","FCC",IF(OR($H90="HYDROCRACKING",$H90="RESID_HYDROCRACKING"),"Hydrocracker",IF($H90="REFORMING","Reformer",""))))</f>
        <v/>
      </c>
      <c r="H90" s="6" t="s">
        <v>43</v>
      </c>
      <c r="I90" s="6" t="s">
        <v>486</v>
      </c>
      <c r="J90" s="6" t="s">
        <v>349</v>
      </c>
      <c r="K90" s="10">
        <v>22.4</v>
      </c>
      <c r="L90" s="10">
        <v>64</v>
      </c>
      <c r="M90" s="6" t="s">
        <v>371</v>
      </c>
    </row>
    <row r="91" spans="1:13">
      <c r="A91" s="6">
        <v>2023</v>
      </c>
      <c r="B91" s="6">
        <v>1</v>
      </c>
      <c r="C91" s="6" t="s">
        <v>59</v>
      </c>
      <c r="D91" s="6" t="s">
        <v>398</v>
      </c>
      <c r="E91" s="6" t="s">
        <v>399</v>
      </c>
      <c r="F91" s="6" t="str">
        <f>IF($M91="PADD I","PADD 1",IF($M91="PADD II","PADD 2",IF($M91="PADD III","PADD 3",IF($M91="PADD IV","PADD 4",IF($M91="PADD V","PADD 5","")))))</f>
        <v>PADD 3</v>
      </c>
      <c r="G91" s="6">
        <f>IF(AND($H91="ATMOS DISTILLATION",ISNUMBER(SEARCH("VPS",$I91))=FALSE,LEFT($I91,6)&lt;&gt;"VACUUM"),"CDU",IF($H91="FLUID CAT CRACKING","FCC",IF(OR($H91="HYDROCRACKING",$H91="RESID_HYDROCRACKING"),"Hydrocracker",IF($H91="REFORMING","Reformer",""))))</f>
        <v/>
      </c>
      <c r="H91" s="6" t="s">
        <v>378</v>
      </c>
      <c r="I91" s="6" t="s">
        <v>487</v>
      </c>
      <c r="J91" s="6" t="s">
        <v>349</v>
      </c>
      <c r="K91" s="10">
        <v>21.9765</v>
      </c>
      <c r="L91" s="10">
        <v>95.55</v>
      </c>
      <c r="M91" s="6" t="s">
        <v>371</v>
      </c>
    </row>
    <row r="92" spans="1:13">
      <c r="A92" s="6">
        <v>2023</v>
      </c>
      <c r="B92" s="6">
        <v>1</v>
      </c>
      <c r="C92" s="6" t="s">
        <v>59</v>
      </c>
      <c r="D92" s="6" t="s">
        <v>411</v>
      </c>
      <c r="E92" s="6" t="s">
        <v>369</v>
      </c>
      <c r="F92" s="6" t="str">
        <f>IF($M92="PADD I","PADD 1",IF($M92="PADD II","PADD 2",IF($M92="PADD III","PADD 3",IF($M92="PADD IV","PADD 4",IF($M92="PADD V","PADD 5","")))))</f>
        <v>PADD 1</v>
      </c>
      <c r="G92" s="6">
        <f>IF(AND($H92="ATMOS DISTILLATION",ISNUMBER(SEARCH("VPS",$I92))=FALSE,LEFT($I92,6)&lt;&gt;"VACUUM"),"CDU",IF($H92="FLUID CAT CRACKING","FCC",IF(OR($H92="HYDROCRACKING",$H92="RESID_HYDROCRACKING"),"Hydrocracker",IF($H92="REFORMING","Reformer",""))))</f>
        <v/>
      </c>
      <c r="H92" s="6" t="s">
        <v>43</v>
      </c>
      <c r="I92" s="6" t="s">
        <v>488</v>
      </c>
      <c r="J92" s="6" t="s">
        <v>349</v>
      </c>
      <c r="K92" s="10">
        <v>21.06</v>
      </c>
      <c r="L92" s="10">
        <v>54</v>
      </c>
      <c r="M92" s="6" t="s">
        <v>413</v>
      </c>
    </row>
    <row r="93" spans="1:13">
      <c r="A93" s="6">
        <v>2023</v>
      </c>
      <c r="B93" s="6">
        <v>1</v>
      </c>
      <c r="C93" s="6" t="s">
        <v>59</v>
      </c>
      <c r="D93" s="6" t="s">
        <v>408</v>
      </c>
      <c r="E93" s="6" t="s">
        <v>409</v>
      </c>
      <c r="F93" s="6" t="str">
        <f>IF($M93="PADD I","PADD 1",IF($M93="PADD II","PADD 2",IF($M93="PADD III","PADD 3",IF($M93="PADD IV","PADD 4",IF($M93="PADD V","PADD 5","")))))</f>
        <v>PADD 3</v>
      </c>
      <c r="G93" s="6">
        <f>IF(AND($H93="ATMOS DISTILLATION",ISNUMBER(SEARCH("VPS",$I93))=FALSE,LEFT($I93,6)&lt;&gt;"VACUUM"),"CDU",IF($H93="FLUID CAT CRACKING","FCC",IF(OR($H93="HYDROCRACKING",$H93="RESID_HYDROCRACKING"),"Hydrocracker",IF($H93="REFORMING","Reformer",""))))</f>
        <v/>
      </c>
      <c r="H93" s="6" t="s">
        <v>378</v>
      </c>
      <c r="I93" s="6" t="s">
        <v>489</v>
      </c>
      <c r="J93" s="6" t="s">
        <v>345</v>
      </c>
      <c r="K93" s="10">
        <v>21</v>
      </c>
      <c r="L93" s="10">
        <v>60</v>
      </c>
      <c r="M93" s="6" t="s">
        <v>371</v>
      </c>
    </row>
    <row r="94" spans="1:13">
      <c r="A94" s="6">
        <v>2023</v>
      </c>
      <c r="B94" s="6">
        <v>1</v>
      </c>
      <c r="C94" s="6" t="s">
        <v>59</v>
      </c>
      <c r="D94" s="6" t="s">
        <v>490</v>
      </c>
      <c r="E94" s="6" t="s">
        <v>491</v>
      </c>
      <c r="F94" s="6" t="str">
        <f>IF($M94="PADD I","PADD 1",IF($M94="PADD II","PADD 2",IF($M94="PADD III","PADD 3",IF($M94="PADD IV","PADD 4",IF($M94="PADD V","PADD 5","")))))</f>
        <v>PADD 3</v>
      </c>
      <c r="G94" s="6">
        <f>IF(AND($H94="ATMOS DISTILLATION",ISNUMBER(SEARCH("VPS",$I94))=FALSE,LEFT($I94,6)&lt;&gt;"VACUUM"),"CDU",IF($H94="FLUID CAT CRACKING","FCC",IF(OR($H94="HYDROCRACKING",$H94="RESID_HYDROCRACKING"),"Hydrocracker",IF($H94="REFORMING","Reformer",""))))</f>
        <v/>
      </c>
      <c r="H94" s="6" t="s">
        <v>38</v>
      </c>
      <c r="I94" s="6" t="s">
        <v>492</v>
      </c>
      <c r="J94" s="6" t="s">
        <v>345</v>
      </c>
      <c r="K94" s="10">
        <v>21</v>
      </c>
      <c r="L94" s="10">
        <v>210</v>
      </c>
      <c r="M94" s="6" t="s">
        <v>371</v>
      </c>
    </row>
    <row r="95" spans="1:13">
      <c r="A95" s="6">
        <v>2023</v>
      </c>
      <c r="B95" s="6">
        <v>1</v>
      </c>
      <c r="C95" s="6" t="s">
        <v>59</v>
      </c>
      <c r="D95" s="6" t="s">
        <v>437</v>
      </c>
      <c r="E95" s="6" t="s">
        <v>438</v>
      </c>
      <c r="F95" s="6" t="str">
        <f>IF($M95="PADD I","PADD 1",IF($M95="PADD II","PADD 2",IF($M95="PADD III","PADD 3",IF($M95="PADD IV","PADD 4",IF($M95="PADD V","PADD 5","")))))</f>
        <v>PADD 4</v>
      </c>
      <c r="G95" s="6">
        <f>IF(AND($H95="ATMOS DISTILLATION",ISNUMBER(SEARCH("VPS",$I95))=FALSE,LEFT($I95,6)&lt;&gt;"VACUUM"),"CDU",IF($H95="FLUID CAT CRACKING","FCC",IF(OR($H95="HYDROCRACKING",$H95="RESID_HYDROCRACKING"),"Hydrocracker",IF($H95="REFORMING","Reformer",""))))</f>
        <v/>
      </c>
      <c r="H95" s="6" t="s">
        <v>43</v>
      </c>
      <c r="I95" s="6" t="s">
        <v>493</v>
      </c>
      <c r="J95" s="6" t="s">
        <v>345</v>
      </c>
      <c r="K95" s="10">
        <v>21</v>
      </c>
      <c r="L95" s="10">
        <v>21</v>
      </c>
      <c r="M95" s="6" t="s">
        <v>430</v>
      </c>
    </row>
    <row r="96" spans="1:13">
      <c r="A96" s="6">
        <v>2023</v>
      </c>
      <c r="B96" s="6">
        <v>1</v>
      </c>
      <c r="C96" s="6" t="s">
        <v>59</v>
      </c>
      <c r="D96" s="6" t="s">
        <v>420</v>
      </c>
      <c r="E96" s="6" t="s">
        <v>373</v>
      </c>
      <c r="F96" s="6" t="str">
        <f>IF($M96="PADD I","PADD 1",IF($M96="PADD II","PADD 2",IF($M96="PADD III","PADD 3",IF($M96="PADD IV","PADD 4",IF($M96="PADD V","PADD 5","")))))</f>
        <v>PADD 2</v>
      </c>
      <c r="G96" s="6">
        <f>IF(AND($H96="ATMOS DISTILLATION",ISNUMBER(SEARCH("VPS",$I96))=FALSE,LEFT($I96,6)&lt;&gt;"VACUUM"),"CDU",IF($H96="FLUID CAT CRACKING","FCC",IF(OR($H96="HYDROCRACKING",$H96="RESID_HYDROCRACKING"),"Hydrocracker",IF($H96="REFORMING","Reformer",""))))</f>
        <v/>
      </c>
      <c r="H96" s="6" t="s">
        <v>378</v>
      </c>
      <c r="I96" s="6" t="s">
        <v>431</v>
      </c>
      <c r="J96" s="6" t="s">
        <v>345</v>
      </c>
      <c r="K96" s="10">
        <v>20.5</v>
      </c>
      <c r="L96" s="10">
        <v>20.5</v>
      </c>
      <c r="M96" s="6" t="s">
        <v>375</v>
      </c>
    </row>
    <row r="97" spans="1:13">
      <c r="A97" s="6">
        <v>2023</v>
      </c>
      <c r="B97" s="6">
        <v>1</v>
      </c>
      <c r="C97" s="6" t="s">
        <v>59</v>
      </c>
      <c r="D97" s="6" t="s">
        <v>446</v>
      </c>
      <c r="E97" s="6" t="s">
        <v>391</v>
      </c>
      <c r="F97" s="6" t="str">
        <f>IF($M97="PADD I","PADD 1",IF($M97="PADD II","PADD 2",IF($M97="PADD III","PADD 3",IF($M97="PADD IV","PADD 4",IF($M97="PADD V","PADD 5","")))))</f>
        <v>PADD 3</v>
      </c>
      <c r="G97" s="6" t="str">
        <f>IF(AND($H97="ATMOS DISTILLATION",ISNUMBER(SEARCH("VPS",$I97))=FALSE,LEFT($I97,6)&lt;&gt;"VACUUM"),"CDU",IF($H97="FLUID CAT CRACKING","FCC",IF(OR($H97="HYDROCRACKING",$H97="RESID_HYDROCRACKING"),"Hydrocracker",IF($H97="REFORMING","Reformer",""))))</f>
        <v>Reformer</v>
      </c>
      <c r="H97" s="6" t="s">
        <v>421</v>
      </c>
      <c r="I97" s="6" t="s">
        <v>483</v>
      </c>
      <c r="J97" s="6" t="s">
        <v>345</v>
      </c>
      <c r="K97" s="10">
        <v>20.01</v>
      </c>
      <c r="L97" s="10">
        <v>23</v>
      </c>
      <c r="M97" s="6" t="s">
        <v>371</v>
      </c>
    </row>
    <row r="98" spans="1:13">
      <c r="A98" s="6">
        <v>2023</v>
      </c>
      <c r="B98" s="6">
        <v>1</v>
      </c>
      <c r="C98" s="6" t="s">
        <v>59</v>
      </c>
      <c r="D98" s="6" t="s">
        <v>437</v>
      </c>
      <c r="E98" s="6" t="s">
        <v>438</v>
      </c>
      <c r="F98" s="6" t="str">
        <f>IF($M98="PADD I","PADD 1",IF($M98="PADD II","PADD 2",IF($M98="PADD III","PADD 3",IF($M98="PADD IV","PADD 4",IF($M98="PADD V","PADD 5","")))))</f>
        <v>PADD 4</v>
      </c>
      <c r="G98" s="6">
        <f>IF(AND($H98="ATMOS DISTILLATION",ISNUMBER(SEARCH("VPS",$I98))=FALSE,LEFT($I98,6)&lt;&gt;"VACUUM"),"CDU",IF($H98="FLUID CAT CRACKING","FCC",IF(OR($H98="HYDROCRACKING",$H98="RESID_HYDROCRACKING"),"Hydrocracker",IF($H98="REFORMING","Reformer",""))))</f>
        <v/>
      </c>
      <c r="H98" s="6" t="s">
        <v>378</v>
      </c>
      <c r="I98" s="6" t="s">
        <v>494</v>
      </c>
      <c r="J98" s="6" t="s">
        <v>345</v>
      </c>
      <c r="K98" s="10">
        <v>20</v>
      </c>
      <c r="L98" s="10">
        <v>20</v>
      </c>
      <c r="M98" s="6" t="s">
        <v>430</v>
      </c>
    </row>
    <row r="99" spans="1:13">
      <c r="A99" s="6">
        <v>2023</v>
      </c>
      <c r="B99" s="6">
        <v>1</v>
      </c>
      <c r="C99" s="6" t="s">
        <v>59</v>
      </c>
      <c r="D99" s="6" t="s">
        <v>462</v>
      </c>
      <c r="E99" s="6" t="s">
        <v>438</v>
      </c>
      <c r="F99" s="6" t="str">
        <f>IF($M99="PADD I","PADD 1",IF($M99="PADD II","PADD 2",IF($M99="PADD III","PADD 3",IF($M99="PADD IV","PADD 4",IF($M99="PADD V","PADD 5","")))))</f>
        <v>PADD 4</v>
      </c>
      <c r="G99" s="6">
        <f>IF(AND($H99="ATMOS DISTILLATION",ISNUMBER(SEARCH("VPS",$I99))=FALSE,LEFT($I99,6)&lt;&gt;"VACUUM"),"CDU",IF($H99="FLUID CAT CRACKING","FCC",IF(OR($H99="HYDROCRACKING",$H99="RESID_HYDROCRACKING"),"Hydrocracker",IF($H99="REFORMING","Reformer",""))))</f>
        <v/>
      </c>
      <c r="H99" s="6" t="s">
        <v>43</v>
      </c>
      <c r="I99" s="6" t="s">
        <v>495</v>
      </c>
      <c r="J99" s="6" t="s">
        <v>345</v>
      </c>
      <c r="K99" s="10">
        <v>20</v>
      </c>
      <c r="L99" s="10">
        <v>20</v>
      </c>
      <c r="M99" s="6" t="s">
        <v>430</v>
      </c>
    </row>
    <row r="100" spans="1:13">
      <c r="A100" s="6">
        <v>2023</v>
      </c>
      <c r="B100" s="6">
        <v>1</v>
      </c>
      <c r="C100" s="6" t="s">
        <v>59</v>
      </c>
      <c r="D100" s="6" t="s">
        <v>496</v>
      </c>
      <c r="E100" s="6" t="s">
        <v>388</v>
      </c>
      <c r="F100" s="6" t="str">
        <f>IF($M100="PADD I","PADD 1",IF($M100="PADD II","PADD 2",IF($M100="PADD III","PADD 3",IF($M100="PADD IV","PADD 4",IF($M100="PADD V","PADD 5","")))))</f>
        <v>PADD 2</v>
      </c>
      <c r="G100" s="6" t="str">
        <f>IF(AND($H100="ATMOS DISTILLATION",ISNUMBER(SEARCH("VPS",$I100))=FALSE,LEFT($I100,6)&lt;&gt;"VACUUM"),"CDU",IF($H100="FLUID CAT CRACKING","FCC",IF(OR($H100="HYDROCRACKING",$H100="RESID_HYDROCRACKING"),"Hydrocracker",IF($H100="REFORMING","Reformer",""))))</f>
        <v>CDU</v>
      </c>
      <c r="H100" s="6" t="s">
        <v>38</v>
      </c>
      <c r="I100" s="6" t="s">
        <v>81</v>
      </c>
      <c r="J100" s="6" t="s">
        <v>349</v>
      </c>
      <c r="K100" s="10">
        <v>20</v>
      </c>
      <c r="L100" s="10">
        <v>20</v>
      </c>
      <c r="M100" s="6" t="s">
        <v>375</v>
      </c>
    </row>
    <row r="101" spans="1:13">
      <c r="A101" s="6">
        <v>2023</v>
      </c>
      <c r="B101" s="6">
        <v>1</v>
      </c>
      <c r="C101" s="6" t="s">
        <v>59</v>
      </c>
      <c r="D101" s="6" t="s">
        <v>408</v>
      </c>
      <c r="E101" s="6" t="s">
        <v>409</v>
      </c>
      <c r="F101" s="6" t="str">
        <f>IF($M101="PADD I","PADD 1",IF($M101="PADD II","PADD 2",IF($M101="PADD III","PADD 3",IF($M101="PADD IV","PADD 4",IF($M101="PADD V","PADD 5","")))))</f>
        <v>PADD 3</v>
      </c>
      <c r="G101" s="6">
        <f>IF(AND($H101="ATMOS DISTILLATION",ISNUMBER(SEARCH("VPS",$I101))=FALSE,LEFT($I101,6)&lt;&gt;"VACUUM"),"CDU",IF($H101="FLUID CAT CRACKING","FCC",IF(OR($H101="HYDROCRACKING",$H101="RESID_HYDROCRACKING"),"Hydrocracker",IF($H101="REFORMING","Reformer",""))))</f>
        <v/>
      </c>
      <c r="H101" s="6" t="s">
        <v>43</v>
      </c>
      <c r="I101" s="6" t="s">
        <v>497</v>
      </c>
      <c r="J101" s="6" t="s">
        <v>345</v>
      </c>
      <c r="K101" s="10">
        <v>18.91</v>
      </c>
      <c r="L101" s="10">
        <v>31</v>
      </c>
      <c r="M101" s="6" t="s">
        <v>371</v>
      </c>
    </row>
    <row r="102" spans="1:13">
      <c r="A102" s="6">
        <v>2023</v>
      </c>
      <c r="B102" s="6">
        <v>1</v>
      </c>
      <c r="C102" s="6" t="s">
        <v>59</v>
      </c>
      <c r="D102" s="6" t="s">
        <v>326</v>
      </c>
      <c r="E102" s="6" t="s">
        <v>385</v>
      </c>
      <c r="F102" s="6" t="str">
        <f>IF($M102="PADD I","PADD 1",IF($M102="PADD II","PADD 2",IF($M102="PADD III","PADD 3",IF($M102="PADD IV","PADD 4",IF($M102="PADD V","PADD 5","")))))</f>
        <v>PADD 5</v>
      </c>
      <c r="G102" s="6" t="str">
        <f>IF(AND($H102="ATMOS DISTILLATION",ISNUMBER(SEARCH("VPS",$I102))=FALSE,LEFT($I102,6)&lt;&gt;"VACUUM"),"CDU",IF($H102="FLUID CAT CRACKING","FCC",IF(OR($H102="HYDROCRACKING",$H102="RESID_HYDROCRACKING"),"Hydrocracker",IF($H102="REFORMING","Reformer",""))))</f>
        <v>Hydrocracker</v>
      </c>
      <c r="H102" s="6" t="s">
        <v>444</v>
      </c>
      <c r="I102" s="6" t="s">
        <v>498</v>
      </c>
      <c r="J102" s="6" t="s">
        <v>349</v>
      </c>
      <c r="K102" s="10">
        <v>18.9</v>
      </c>
      <c r="L102" s="10">
        <v>42</v>
      </c>
      <c r="M102" s="6" t="s">
        <v>386</v>
      </c>
    </row>
    <row r="103" spans="1:13">
      <c r="A103" s="6">
        <v>2023</v>
      </c>
      <c r="B103" s="6">
        <v>1</v>
      </c>
      <c r="C103" s="6" t="s">
        <v>59</v>
      </c>
      <c r="D103" s="6" t="s">
        <v>395</v>
      </c>
      <c r="E103" s="6" t="s">
        <v>396</v>
      </c>
      <c r="F103" s="6" t="str">
        <f>IF($M103="PADD I","PADD 1",IF($M103="PADD II","PADD 2",IF($M103="PADD III","PADD 3",IF($M103="PADD IV","PADD 4",IF($M103="PADD V","PADD 5","")))))</f>
        <v>PADD 3</v>
      </c>
      <c r="G103" s="6">
        <f>IF(AND($H103="ATMOS DISTILLATION",ISNUMBER(SEARCH("VPS",$I103))=FALSE,LEFT($I103,6)&lt;&gt;"VACUUM"),"CDU",IF($H103="FLUID CAT CRACKING","FCC",IF(OR($H103="HYDROCRACKING",$H103="RESID_HYDROCRACKING"),"Hydrocracker",IF($H103="REFORMING","Reformer",""))))</f>
        <v/>
      </c>
      <c r="H103" s="6" t="s">
        <v>43</v>
      </c>
      <c r="I103" s="6" t="s">
        <v>499</v>
      </c>
      <c r="J103" s="6" t="s">
        <v>345</v>
      </c>
      <c r="K103" s="10">
        <v>18.72</v>
      </c>
      <c r="L103" s="10">
        <v>72</v>
      </c>
      <c r="M103" s="6" t="s">
        <v>371</v>
      </c>
    </row>
    <row r="104" spans="1:13">
      <c r="A104" s="6">
        <v>2023</v>
      </c>
      <c r="B104" s="6">
        <v>1</v>
      </c>
      <c r="C104" s="6" t="s">
        <v>59</v>
      </c>
      <c r="D104" s="6" t="s">
        <v>500</v>
      </c>
      <c r="E104" s="6" t="s">
        <v>388</v>
      </c>
      <c r="F104" s="6" t="str">
        <f>IF($M104="PADD I","PADD 1",IF($M104="PADD II","PADD 2",IF($M104="PADD III","PADD 3",IF($M104="PADD IV","PADD 4",IF($M104="PADD V","PADD 5","")))))</f>
        <v>PADD 2</v>
      </c>
      <c r="G104" s="6">
        <f>IF(AND($H104="ATMOS DISTILLATION",ISNUMBER(SEARCH("VPS",$I104))=FALSE,LEFT($I104,6)&lt;&gt;"VACUUM"),"CDU",IF($H104="FLUID CAT CRACKING","FCC",IF(OR($H104="HYDROCRACKING",$H104="RESID_HYDROCRACKING"),"Hydrocracker",IF($H104="REFORMING","Reformer",""))))</f>
        <v/>
      </c>
      <c r="H104" s="6" t="s">
        <v>43</v>
      </c>
      <c r="I104" s="6" t="s">
        <v>501</v>
      </c>
      <c r="J104" s="6" t="s">
        <v>345</v>
      </c>
      <c r="K104" s="10">
        <v>18.605</v>
      </c>
      <c r="L104" s="10">
        <v>30.5</v>
      </c>
      <c r="M104" s="6" t="s">
        <v>375</v>
      </c>
    </row>
    <row r="105" spans="1:13">
      <c r="A105" s="6">
        <v>2023</v>
      </c>
      <c r="B105" s="6">
        <v>1</v>
      </c>
      <c r="C105" s="6" t="s">
        <v>59</v>
      </c>
      <c r="D105" s="6" t="s">
        <v>408</v>
      </c>
      <c r="E105" s="6" t="s">
        <v>409</v>
      </c>
      <c r="F105" s="6" t="str">
        <f>IF($M105="PADD I","PADD 1",IF($M105="PADD II","PADD 2",IF($M105="PADD III","PADD 3",IF($M105="PADD IV","PADD 4",IF($M105="PADD V","PADD 5","")))))</f>
        <v>PADD 3</v>
      </c>
      <c r="G105" s="6">
        <f>IF(AND($H105="ATMOS DISTILLATION",ISNUMBER(SEARCH("VPS",$I105))=FALSE,LEFT($I105,6)&lt;&gt;"VACUUM"),"CDU",IF($H105="FLUID CAT CRACKING","FCC",IF(OR($H105="HYDROCRACKING",$H105="RESID_HYDROCRACKING"),"Hydrocracker",IF($H105="REFORMING","Reformer",""))))</f>
        <v/>
      </c>
      <c r="H105" s="6" t="s">
        <v>43</v>
      </c>
      <c r="I105" s="6" t="s">
        <v>502</v>
      </c>
      <c r="J105" s="6" t="s">
        <v>345</v>
      </c>
      <c r="K105" s="10">
        <v>18.3</v>
      </c>
      <c r="L105" s="10">
        <v>30</v>
      </c>
      <c r="M105" s="6" t="s">
        <v>371</v>
      </c>
    </row>
    <row r="106" spans="1:13">
      <c r="A106" s="6">
        <v>2023</v>
      </c>
      <c r="B106" s="6">
        <v>1</v>
      </c>
      <c r="C106" s="6" t="s">
        <v>59</v>
      </c>
      <c r="D106" s="6" t="s">
        <v>408</v>
      </c>
      <c r="E106" s="6" t="s">
        <v>409</v>
      </c>
      <c r="F106" s="6" t="str">
        <f>IF($M106="PADD I","PADD 1",IF($M106="PADD II","PADD 2",IF($M106="PADD III","PADD 3",IF($M106="PADD IV","PADD 4",IF($M106="PADD V","PADD 5","")))))</f>
        <v>PADD 3</v>
      </c>
      <c r="G106" s="6">
        <f>IF(AND($H106="ATMOS DISTILLATION",ISNUMBER(SEARCH("VPS",$I106))=FALSE,LEFT($I106,6)&lt;&gt;"VACUUM"),"CDU",IF($H106="FLUID CAT CRACKING","FCC",IF(OR($H106="HYDROCRACKING",$H106="RESID_HYDROCRACKING"),"Hydrocracker",IF($H106="REFORMING","Reformer",""))))</f>
        <v/>
      </c>
      <c r="H106" s="6" t="s">
        <v>43</v>
      </c>
      <c r="I106" s="6" t="s">
        <v>503</v>
      </c>
      <c r="J106" s="6" t="s">
        <v>345</v>
      </c>
      <c r="K106" s="10">
        <v>18.3</v>
      </c>
      <c r="L106" s="10">
        <v>30</v>
      </c>
      <c r="M106" s="6" t="s">
        <v>371</v>
      </c>
    </row>
    <row r="107" spans="1:13">
      <c r="A107" s="6">
        <v>2023</v>
      </c>
      <c r="B107" s="6">
        <v>1</v>
      </c>
      <c r="C107" s="6" t="s">
        <v>59</v>
      </c>
      <c r="D107" s="6" t="s">
        <v>335</v>
      </c>
      <c r="E107" s="6" t="s">
        <v>369</v>
      </c>
      <c r="F107" s="6" t="str">
        <f>IF($M107="PADD I","PADD 1",IF($M107="PADD II","PADD 2",IF($M107="PADD III","PADD 3",IF($M107="PADD IV","PADD 4",IF($M107="PADD V","PADD 5","")))))</f>
        <v>PADD 3</v>
      </c>
      <c r="G107" s="6" t="str">
        <f>IF(AND($H107="ATMOS DISTILLATION",ISNUMBER(SEARCH("VPS",$I107))=FALSE,LEFT($I107,6)&lt;&gt;"VACUUM"),"CDU",IF($H107="FLUID CAT CRACKING","FCC",IF(OR($H107="HYDROCRACKING",$H107="RESID_HYDROCRACKING"),"Hydrocracker",IF($H107="REFORMING","Reformer",""))))</f>
        <v>FCC</v>
      </c>
      <c r="H107" s="6" t="s">
        <v>376</v>
      </c>
      <c r="I107" s="6" t="s">
        <v>472</v>
      </c>
      <c r="J107" s="6" t="s">
        <v>349</v>
      </c>
      <c r="K107" s="10">
        <v>18.3</v>
      </c>
      <c r="L107" s="10">
        <v>30</v>
      </c>
      <c r="M107" s="6" t="s">
        <v>371</v>
      </c>
    </row>
    <row r="108" spans="1:13">
      <c r="A108" s="6">
        <v>2023</v>
      </c>
      <c r="B108" s="6">
        <v>1</v>
      </c>
      <c r="C108" s="6" t="s">
        <v>59</v>
      </c>
      <c r="D108" s="6" t="s">
        <v>326</v>
      </c>
      <c r="E108" s="6" t="s">
        <v>385</v>
      </c>
      <c r="F108" s="6" t="str">
        <f>IF($M108="PADD I","PADD 1",IF($M108="PADD II","PADD 2",IF($M108="PADD III","PADD 3",IF($M108="PADD IV","PADD 4",IF($M108="PADD V","PADD 5","")))))</f>
        <v>PADD 5</v>
      </c>
      <c r="G108" s="6" t="str">
        <f>IF(AND($H108="ATMOS DISTILLATION",ISNUMBER(SEARCH("VPS",$I108))=FALSE,LEFT($I108,6)&lt;&gt;"VACUUM"),"CDU",IF($H108="FLUID CAT CRACKING","FCC",IF(OR($H108="HYDROCRACKING",$H108="RESID_HYDROCRACKING"),"Hydrocracker",IF($H108="REFORMING","Reformer",""))))</f>
        <v>FCC</v>
      </c>
      <c r="H108" s="6" t="s">
        <v>376</v>
      </c>
      <c r="I108" s="6" t="s">
        <v>504</v>
      </c>
      <c r="J108" s="6" t="s">
        <v>349</v>
      </c>
      <c r="K108" s="10">
        <v>18.2</v>
      </c>
      <c r="L108" s="10">
        <v>35</v>
      </c>
      <c r="M108" s="6" t="s">
        <v>386</v>
      </c>
    </row>
    <row r="109" spans="1:13">
      <c r="A109" s="6">
        <v>2023</v>
      </c>
      <c r="B109" s="6">
        <v>1</v>
      </c>
      <c r="C109" s="6" t="s">
        <v>59</v>
      </c>
      <c r="D109" s="6" t="s">
        <v>372</v>
      </c>
      <c r="E109" s="6" t="s">
        <v>373</v>
      </c>
      <c r="F109" s="6" t="str">
        <f>IF($M109="PADD I","PADD 1",IF($M109="PADD II","PADD 2",IF($M109="PADD III","PADD 3",IF($M109="PADD IV","PADD 4",IF($M109="PADD V","PADD 5","")))))</f>
        <v>PADD 2</v>
      </c>
      <c r="G109" s="6">
        <f>IF(AND($H109="ATMOS DISTILLATION",ISNUMBER(SEARCH("VPS",$I109))=FALSE,LEFT($I109,6)&lt;&gt;"VACUUM"),"CDU",IF($H109="FLUID CAT CRACKING","FCC",IF(OR($H109="HYDROCRACKING",$H109="RESID_HYDROCRACKING"),"Hydrocracker",IF($H109="REFORMING","Reformer",""))))</f>
        <v/>
      </c>
      <c r="H109" s="6" t="s">
        <v>460</v>
      </c>
      <c r="I109" s="6" t="s">
        <v>505</v>
      </c>
      <c r="J109" s="6" t="s">
        <v>345</v>
      </c>
      <c r="K109" s="10">
        <v>18</v>
      </c>
      <c r="L109" s="10">
        <v>18</v>
      </c>
      <c r="M109" s="6" t="s">
        <v>375</v>
      </c>
    </row>
    <row r="110" spans="1:13">
      <c r="A110" s="6">
        <v>2023</v>
      </c>
      <c r="B110" s="6">
        <v>1</v>
      </c>
      <c r="C110" s="6" t="s">
        <v>59</v>
      </c>
      <c r="D110" s="6" t="s">
        <v>408</v>
      </c>
      <c r="E110" s="6" t="s">
        <v>409</v>
      </c>
      <c r="F110" s="6" t="str">
        <f>IF($M110="PADD I","PADD 1",IF($M110="PADD II","PADD 2",IF($M110="PADD III","PADD 3",IF($M110="PADD IV","PADD 4",IF($M110="PADD V","PADD 5","")))))</f>
        <v>PADD 3</v>
      </c>
      <c r="G110" s="6">
        <f>IF(AND($H110="ATMOS DISTILLATION",ISNUMBER(SEARCH("VPS",$I110))=FALSE,LEFT($I110,6)&lt;&gt;"VACUUM"),"CDU",IF($H110="FLUID CAT CRACKING","FCC",IF(OR($H110="HYDROCRACKING",$H110="RESID_HYDROCRACKING"),"Hydrocracker",IF($H110="REFORMING","Reformer",""))))</f>
        <v/>
      </c>
      <c r="H110" s="6" t="s">
        <v>378</v>
      </c>
      <c r="I110" s="6" t="s">
        <v>506</v>
      </c>
      <c r="J110" s="6" t="s">
        <v>345</v>
      </c>
      <c r="K110" s="10">
        <v>17.85</v>
      </c>
      <c r="L110" s="10">
        <v>51</v>
      </c>
      <c r="M110" s="6" t="s">
        <v>371</v>
      </c>
    </row>
    <row r="111" spans="1:13">
      <c r="A111" s="6">
        <v>2023</v>
      </c>
      <c r="B111" s="6">
        <v>1</v>
      </c>
      <c r="C111" s="6" t="s">
        <v>59</v>
      </c>
      <c r="D111" s="6" t="s">
        <v>451</v>
      </c>
      <c r="E111" s="6" t="s">
        <v>452</v>
      </c>
      <c r="F111" s="6" t="str">
        <f>IF($M111="PADD I","PADD 1",IF($M111="PADD II","PADD 2",IF($M111="PADD III","PADD 3",IF($M111="PADD IV","PADD 4",IF($M111="PADD V","PADD 5","")))))</f>
        <v>PADD 2</v>
      </c>
      <c r="G111" s="6" t="str">
        <f>IF(AND($H111="ATMOS DISTILLATION",ISNUMBER(SEARCH("VPS",$I111))=FALSE,LEFT($I111,6)&lt;&gt;"VACUUM"),"CDU",IF($H111="FLUID CAT CRACKING","FCC",IF(OR($H111="HYDROCRACKING",$H111="RESID_HYDROCRACKING"),"Hydrocracker",IF($H111="REFORMING","Reformer",""))))</f>
        <v>FCC</v>
      </c>
      <c r="H111" s="6" t="s">
        <v>376</v>
      </c>
      <c r="I111" s="6" t="s">
        <v>105</v>
      </c>
      <c r="J111" s="6" t="s">
        <v>345</v>
      </c>
      <c r="K111" s="10">
        <v>17.69</v>
      </c>
      <c r="L111" s="10">
        <v>29</v>
      </c>
      <c r="M111" s="6" t="s">
        <v>375</v>
      </c>
    </row>
    <row r="112" spans="1:13">
      <c r="A112" s="6">
        <v>2023</v>
      </c>
      <c r="B112" s="6">
        <v>1</v>
      </c>
      <c r="C112" s="6" t="s">
        <v>59</v>
      </c>
      <c r="D112" s="6" t="s">
        <v>402</v>
      </c>
      <c r="E112" s="6" t="s">
        <v>403</v>
      </c>
      <c r="F112" s="6" t="str">
        <f>IF($M112="PADD I","PADD 1",IF($M112="PADD II","PADD 2",IF($M112="PADD III","PADD 3",IF($M112="PADD IV","PADD 4",IF($M112="PADD V","PADD 5","")))))</f>
        <v>PADD 3</v>
      </c>
      <c r="G112" s="6">
        <f>IF(AND($H112="ATMOS DISTILLATION",ISNUMBER(SEARCH("VPS",$I112))=FALSE,LEFT($I112,6)&lt;&gt;"VACUUM"),"CDU",IF($H112="FLUID CAT CRACKING","FCC",IF(OR($H112="HYDROCRACKING",$H112="RESID_HYDROCRACKING"),"Hydrocracker",IF($H112="REFORMING","Reformer",""))))</f>
        <v/>
      </c>
      <c r="H112" s="6" t="s">
        <v>43</v>
      </c>
      <c r="I112" s="6" t="s">
        <v>507</v>
      </c>
      <c r="J112" s="6" t="s">
        <v>349</v>
      </c>
      <c r="K112" s="10">
        <v>16.94</v>
      </c>
      <c r="L112" s="10">
        <v>22</v>
      </c>
      <c r="M112" s="6" t="s">
        <v>371</v>
      </c>
    </row>
    <row r="113" spans="1:13">
      <c r="A113" s="6">
        <v>2023</v>
      </c>
      <c r="B113" s="6">
        <v>1</v>
      </c>
      <c r="C113" s="6" t="s">
        <v>59</v>
      </c>
      <c r="D113" s="6" t="s">
        <v>402</v>
      </c>
      <c r="E113" s="6" t="s">
        <v>403</v>
      </c>
      <c r="F113" s="6" t="str">
        <f>IF($M113="PADD I","PADD 1",IF($M113="PADD II","PADD 2",IF($M113="PADD III","PADD 3",IF($M113="PADD IV","PADD 4",IF($M113="PADD V","PADD 5","")))))</f>
        <v>PADD 3</v>
      </c>
      <c r="G113" s="6">
        <f>IF(AND($H113="ATMOS DISTILLATION",ISNUMBER(SEARCH("VPS",$I113))=FALSE,LEFT($I113,6)&lt;&gt;"VACUUM"),"CDU",IF($H113="FLUID CAT CRACKING","FCC",IF(OR($H113="HYDROCRACKING",$H113="RESID_HYDROCRACKING"),"Hydrocracker",IF($H113="REFORMING","Reformer",""))))</f>
        <v/>
      </c>
      <c r="H113" s="6" t="s">
        <v>43</v>
      </c>
      <c r="I113" s="6" t="s">
        <v>508</v>
      </c>
      <c r="J113" s="6" t="s">
        <v>349</v>
      </c>
      <c r="K113" s="10">
        <v>16.94</v>
      </c>
      <c r="L113" s="10">
        <v>22</v>
      </c>
      <c r="M113" s="6" t="s">
        <v>371</v>
      </c>
    </row>
    <row r="114" spans="1:13">
      <c r="A114" s="6">
        <v>2023</v>
      </c>
      <c r="B114" s="6">
        <v>1</v>
      </c>
      <c r="C114" s="6" t="s">
        <v>59</v>
      </c>
      <c r="D114" s="6" t="s">
        <v>322</v>
      </c>
      <c r="E114" s="6" t="s">
        <v>369</v>
      </c>
      <c r="F114" s="6" t="str">
        <f>IF($M114="PADD I","PADD 1",IF($M114="PADD II","PADD 2",IF($M114="PADD III","PADD 3",IF($M114="PADD IV","PADD 4",IF($M114="PADD V","PADD 5","")))))</f>
        <v>PADD 2</v>
      </c>
      <c r="G114" s="6">
        <f>IF(AND($H114="ATMOS DISTILLATION",ISNUMBER(SEARCH("VPS",$I114))=FALSE,LEFT($I114,6)&lt;&gt;"VACUUM"),"CDU",IF($H114="FLUID CAT CRACKING","FCC",IF(OR($H114="HYDROCRACKING",$H114="RESID_HYDROCRACKING"),"Hydrocracker",IF($H114="REFORMING","Reformer",""))))</f>
        <v/>
      </c>
      <c r="H114" s="6" t="s">
        <v>378</v>
      </c>
      <c r="I114" s="6" t="s">
        <v>419</v>
      </c>
      <c r="J114" s="6" t="s">
        <v>349</v>
      </c>
      <c r="K114" s="10">
        <v>16.8</v>
      </c>
      <c r="L114" s="10">
        <v>105</v>
      </c>
      <c r="M114" s="6" t="s">
        <v>375</v>
      </c>
    </row>
    <row r="115" spans="1:13">
      <c r="A115" s="6">
        <v>2023</v>
      </c>
      <c r="B115" s="6">
        <v>1</v>
      </c>
      <c r="C115" s="6" t="s">
        <v>59</v>
      </c>
      <c r="D115" s="6" t="s">
        <v>437</v>
      </c>
      <c r="E115" s="6" t="s">
        <v>438</v>
      </c>
      <c r="F115" s="6" t="str">
        <f>IF($M115="PADD I","PADD 1",IF($M115="PADD II","PADD 2",IF($M115="PADD III","PADD 3",IF($M115="PADD IV","PADD 4",IF($M115="PADD V","PADD 5","")))))</f>
        <v>PADD 4</v>
      </c>
      <c r="G115" s="6">
        <f>IF(AND($H115="ATMOS DISTILLATION",ISNUMBER(SEARCH("VPS",$I115))=FALSE,LEFT($I115,6)&lt;&gt;"VACUUM"),"CDU",IF($H115="FLUID CAT CRACKING","FCC",IF(OR($H115="HYDROCRACKING",$H115="RESID_HYDROCRACKING"),"Hydrocracker",IF($H115="REFORMING","Reformer",""))))</f>
        <v/>
      </c>
      <c r="H115" s="6" t="s">
        <v>378</v>
      </c>
      <c r="I115" s="6" t="s">
        <v>494</v>
      </c>
      <c r="J115" s="6" t="s">
        <v>345</v>
      </c>
      <c r="K115" s="10">
        <v>16.75</v>
      </c>
      <c r="L115" s="10">
        <v>16.75</v>
      </c>
      <c r="M115" s="6" t="s">
        <v>430</v>
      </c>
    </row>
    <row r="116" spans="1:13">
      <c r="A116" s="6">
        <v>2023</v>
      </c>
      <c r="B116" s="6">
        <v>1</v>
      </c>
      <c r="C116" s="6" t="s">
        <v>59</v>
      </c>
      <c r="D116" s="6" t="s">
        <v>326</v>
      </c>
      <c r="E116" s="6" t="s">
        <v>385</v>
      </c>
      <c r="F116" s="6" t="str">
        <f>IF($M116="PADD I","PADD 1",IF($M116="PADD II","PADD 2",IF($M116="PADD III","PADD 3",IF($M116="PADD IV","PADD 4",IF($M116="PADD V","PADD 5","")))))</f>
        <v>PADD 5</v>
      </c>
      <c r="G116" s="6">
        <f>IF(AND($H116="ATMOS DISTILLATION",ISNUMBER(SEARCH("VPS",$I116))=FALSE,LEFT($I116,6)&lt;&gt;"VACUUM"),"CDU",IF($H116="FLUID CAT CRACKING","FCC",IF(OR($H116="HYDROCRACKING",$H116="RESID_HYDROCRACKING"),"Hydrocracker",IF($H116="REFORMING","Reformer",""))))</f>
        <v/>
      </c>
      <c r="H116" s="6" t="s">
        <v>435</v>
      </c>
      <c r="I116" s="6" t="s">
        <v>441</v>
      </c>
      <c r="J116" s="6" t="s">
        <v>345</v>
      </c>
      <c r="K116" s="10">
        <v>16.65</v>
      </c>
      <c r="L116" s="10">
        <v>22.5</v>
      </c>
      <c r="M116" s="6" t="s">
        <v>386</v>
      </c>
    </row>
    <row r="117" spans="1:13">
      <c r="A117" s="6">
        <v>2023</v>
      </c>
      <c r="B117" s="6">
        <v>1</v>
      </c>
      <c r="C117" s="6" t="s">
        <v>59</v>
      </c>
      <c r="D117" s="6" t="s">
        <v>468</v>
      </c>
      <c r="E117" s="6" t="s">
        <v>369</v>
      </c>
      <c r="F117" s="6" t="str">
        <f>IF($M117="PADD I","PADD 1",IF($M117="PADD II","PADD 2",IF($M117="PADD III","PADD 3",IF($M117="PADD IV","PADD 4",IF($M117="PADD V","PADD 5","")))))</f>
        <v>PADD 3</v>
      </c>
      <c r="G117" s="6" t="str">
        <f>IF(AND($H117="ATMOS DISTILLATION",ISNUMBER(SEARCH("VPS",$I117))=FALSE,LEFT($I117,6)&lt;&gt;"VACUUM"),"CDU",IF($H117="FLUID CAT CRACKING","FCC",IF(OR($H117="HYDROCRACKING",$H117="RESID_HYDROCRACKING"),"Hydrocracker",IF($H117="REFORMING","Reformer",""))))</f>
        <v>CDU</v>
      </c>
      <c r="H117" s="6" t="s">
        <v>38</v>
      </c>
      <c r="I117" s="6" t="s">
        <v>509</v>
      </c>
      <c r="J117" s="6" t="s">
        <v>345</v>
      </c>
      <c r="K117" s="10">
        <v>16.32</v>
      </c>
      <c r="L117" s="10">
        <v>34</v>
      </c>
      <c r="M117" s="6" t="s">
        <v>371</v>
      </c>
    </row>
    <row r="118" spans="1:13">
      <c r="A118" s="6">
        <v>2023</v>
      </c>
      <c r="B118" s="6">
        <v>1</v>
      </c>
      <c r="C118" s="6" t="s">
        <v>59</v>
      </c>
      <c r="D118" s="6" t="s">
        <v>395</v>
      </c>
      <c r="E118" s="6" t="s">
        <v>396</v>
      </c>
      <c r="F118" s="6" t="str">
        <f>IF($M118="PADD I","PADD 1",IF($M118="PADD II","PADD 2",IF($M118="PADD III","PADD 3",IF($M118="PADD IV","PADD 4",IF($M118="PADD V","PADD 5","")))))</f>
        <v>PADD 3</v>
      </c>
      <c r="G118" s="6" t="str">
        <f>IF(AND($H118="ATMOS DISTILLATION",ISNUMBER(SEARCH("VPS",$I118))=FALSE,LEFT($I118,6)&lt;&gt;"VACUUM"),"CDU",IF($H118="FLUID CAT CRACKING","FCC",IF(OR($H118="HYDROCRACKING",$H118="RESID_HYDROCRACKING"),"Hydrocracker",IF($H118="REFORMING","Reformer",""))))</f>
        <v>CDU</v>
      </c>
      <c r="H118" s="6" t="s">
        <v>38</v>
      </c>
      <c r="I118" s="6" t="s">
        <v>397</v>
      </c>
      <c r="J118" s="6" t="s">
        <v>345</v>
      </c>
      <c r="K118" s="10">
        <v>16.2</v>
      </c>
      <c r="L118" s="10">
        <v>270</v>
      </c>
      <c r="M118" s="6" t="s">
        <v>371</v>
      </c>
    </row>
    <row r="119" spans="1:13">
      <c r="A119" s="6">
        <v>2023</v>
      </c>
      <c r="B119" s="6">
        <v>1</v>
      </c>
      <c r="C119" s="6" t="s">
        <v>59</v>
      </c>
      <c r="D119" s="6" t="s">
        <v>402</v>
      </c>
      <c r="E119" s="6" t="s">
        <v>403</v>
      </c>
      <c r="F119" s="6" t="str">
        <f>IF($M119="PADD I","PADD 1",IF($M119="PADD II","PADD 2",IF($M119="PADD III","PADD 3",IF($M119="PADD IV","PADD 4",IF($M119="PADD V","PADD 5","")))))</f>
        <v>PADD 3</v>
      </c>
      <c r="G119" s="6">
        <f>IF(AND($H119="ATMOS DISTILLATION",ISNUMBER(SEARCH("VPS",$I119))=FALSE,LEFT($I119,6)&lt;&gt;"VACUUM"),"CDU",IF($H119="FLUID CAT CRACKING","FCC",IF(OR($H119="HYDROCRACKING",$H119="RESID_HYDROCRACKING"),"Hydrocracker",IF($H119="REFORMING","Reformer",""))))</f>
        <v/>
      </c>
      <c r="H119" s="6" t="s">
        <v>43</v>
      </c>
      <c r="I119" s="6" t="s">
        <v>493</v>
      </c>
      <c r="J119" s="6" t="s">
        <v>349</v>
      </c>
      <c r="K119" s="10">
        <v>16.17</v>
      </c>
      <c r="L119" s="10">
        <v>21</v>
      </c>
      <c r="M119" s="6" t="s">
        <v>371</v>
      </c>
    </row>
    <row r="120" spans="1:13">
      <c r="A120" s="6">
        <v>2023</v>
      </c>
      <c r="B120" s="6">
        <v>1</v>
      </c>
      <c r="C120" s="6" t="s">
        <v>59</v>
      </c>
      <c r="D120" s="6" t="s">
        <v>429</v>
      </c>
      <c r="E120" s="6" t="s">
        <v>388</v>
      </c>
      <c r="F120" s="6" t="str">
        <f>IF($M120="PADD I","PADD 1",IF($M120="PADD II","PADD 2",IF($M120="PADD III","PADD 3",IF($M120="PADD IV","PADD 4",IF($M120="PADD V","PADD 5","")))))</f>
        <v>PADD 4</v>
      </c>
      <c r="G120" s="6" t="str">
        <f>IF(AND($H120="ATMOS DISTILLATION",ISNUMBER(SEARCH("VPS",$I120))=FALSE,LEFT($I120,6)&lt;&gt;"VACUUM"),"CDU",IF($H120="FLUID CAT CRACKING","FCC",IF(OR($H120="HYDROCRACKING",$H120="RESID_HYDROCRACKING"),"Hydrocracker",IF($H120="REFORMING","Reformer",""))))</f>
        <v>FCC</v>
      </c>
      <c r="H120" s="6" t="s">
        <v>376</v>
      </c>
      <c r="I120" s="6" t="s">
        <v>105</v>
      </c>
      <c r="J120" s="6" t="s">
        <v>345</v>
      </c>
      <c r="K120" s="10">
        <v>16.104</v>
      </c>
      <c r="L120" s="10">
        <v>26.4</v>
      </c>
      <c r="M120" s="6" t="s">
        <v>430</v>
      </c>
    </row>
    <row r="121" spans="1:13">
      <c r="A121" s="6">
        <v>2023</v>
      </c>
      <c r="B121" s="6">
        <v>1</v>
      </c>
      <c r="C121" s="6" t="s">
        <v>59</v>
      </c>
      <c r="D121" s="6" t="s">
        <v>395</v>
      </c>
      <c r="E121" s="6" t="s">
        <v>396</v>
      </c>
      <c r="F121" s="6" t="str">
        <f>IF($M121="PADD I","PADD 1",IF($M121="PADD II","PADD 2",IF($M121="PADD III","PADD 3",IF($M121="PADD IV","PADD 4",IF($M121="PADD V","PADD 5","")))))</f>
        <v>PADD 3</v>
      </c>
      <c r="G121" s="6" t="str">
        <f>IF(AND($H121="ATMOS DISTILLATION",ISNUMBER(SEARCH("VPS",$I121))=FALSE,LEFT($I121,6)&lt;&gt;"VACUUM"),"CDU",IF($H121="FLUID CAT CRACKING","FCC",IF(OR($H121="HYDROCRACKING",$H121="RESID_HYDROCRACKING"),"Hydrocracker",IF($H121="REFORMING","Reformer",""))))</f>
        <v>CDU</v>
      </c>
      <c r="H121" s="6" t="s">
        <v>38</v>
      </c>
      <c r="I121" s="6" t="s">
        <v>510</v>
      </c>
      <c r="J121" s="6" t="s">
        <v>345</v>
      </c>
      <c r="K121" s="10">
        <v>16.1</v>
      </c>
      <c r="L121" s="10">
        <v>70</v>
      </c>
      <c r="M121" s="6" t="s">
        <v>371</v>
      </c>
    </row>
    <row r="122" spans="1:13">
      <c r="A122" s="6">
        <v>2023</v>
      </c>
      <c r="B122" s="6">
        <v>1</v>
      </c>
      <c r="C122" s="6" t="s">
        <v>59</v>
      </c>
      <c r="D122" s="6" t="s">
        <v>395</v>
      </c>
      <c r="E122" s="6" t="s">
        <v>396</v>
      </c>
      <c r="F122" s="6" t="str">
        <f>IF($M122="PADD I","PADD 1",IF($M122="PADD II","PADD 2",IF($M122="PADD III","PADD 3",IF($M122="PADD IV","PADD 4",IF($M122="PADD V","PADD 5","")))))</f>
        <v>PADD 3</v>
      </c>
      <c r="G122" s="6" t="str">
        <f>IF(AND($H122="ATMOS DISTILLATION",ISNUMBER(SEARCH("VPS",$I122))=FALSE,LEFT($I122,6)&lt;&gt;"VACUUM"),"CDU",IF($H122="FLUID CAT CRACKING","FCC",IF(OR($H122="HYDROCRACKING",$H122="RESID_HYDROCRACKING"),"Hydrocracker",IF($H122="REFORMING","Reformer",""))))</f>
        <v>FCC</v>
      </c>
      <c r="H122" s="6" t="s">
        <v>376</v>
      </c>
      <c r="I122" s="6" t="s">
        <v>105</v>
      </c>
      <c r="J122" s="6" t="s">
        <v>345</v>
      </c>
      <c r="K122" s="10">
        <v>16.1</v>
      </c>
      <c r="L122" s="10">
        <v>70</v>
      </c>
      <c r="M122" s="6" t="s">
        <v>371</v>
      </c>
    </row>
    <row r="123" spans="1:13">
      <c r="A123" s="6">
        <v>2023</v>
      </c>
      <c r="B123" s="6">
        <v>1</v>
      </c>
      <c r="C123" s="6" t="s">
        <v>59</v>
      </c>
      <c r="D123" s="6" t="s">
        <v>457</v>
      </c>
      <c r="E123" s="6" t="s">
        <v>388</v>
      </c>
      <c r="F123" s="6" t="str">
        <f>IF($M123="PADD I","PADD 1",IF($M123="PADD II","PADD 2",IF($M123="PADD III","PADD 3",IF($M123="PADD IV","PADD 4",IF($M123="PADD V","PADD 5","")))))</f>
        <v>PADD 5</v>
      </c>
      <c r="G123" s="6" t="str">
        <f>IF(AND($H123="ATMOS DISTILLATION",ISNUMBER(SEARCH("VPS",$I123))=FALSE,LEFT($I123,6)&lt;&gt;"VACUUM"),"CDU",IF($H123="FLUID CAT CRACKING","FCC",IF(OR($H123="HYDROCRACKING",$H123="RESID_HYDROCRACKING"),"Hydrocracker",IF($H123="REFORMING","Reformer",""))))</f>
        <v>CDU</v>
      </c>
      <c r="H123" s="6" t="s">
        <v>38</v>
      </c>
      <c r="I123" s="6" t="s">
        <v>131</v>
      </c>
      <c r="J123" s="6" t="s">
        <v>345</v>
      </c>
      <c r="K123" s="10">
        <v>16</v>
      </c>
      <c r="L123" s="10">
        <v>160</v>
      </c>
      <c r="M123" s="6" t="s">
        <v>386</v>
      </c>
    </row>
    <row r="124" spans="1:13">
      <c r="A124" s="6">
        <v>2023</v>
      </c>
      <c r="B124" s="6">
        <v>1</v>
      </c>
      <c r="C124" s="6" t="s">
        <v>59</v>
      </c>
      <c r="D124" s="6" t="s">
        <v>484</v>
      </c>
      <c r="E124" s="6" t="s">
        <v>409</v>
      </c>
      <c r="F124" s="6" t="str">
        <f>IF($M124="PADD I","PADD 1",IF($M124="PADD II","PADD 2",IF($M124="PADD III","PADD 3",IF($M124="PADD IV","PADD 4",IF($M124="PADD V","PADD 5","")))))</f>
        <v>PADD 3</v>
      </c>
      <c r="G124" s="6">
        <f>IF(AND($H124="ATMOS DISTILLATION",ISNUMBER(SEARCH("VPS",$I124))=FALSE,LEFT($I124,6)&lt;&gt;"VACUUM"),"CDU",IF($H124="FLUID CAT CRACKING","FCC",IF(OR($H124="HYDROCRACKING",$H124="RESID_HYDROCRACKING"),"Hydrocracker",IF($H124="REFORMING","Reformer",""))))</f>
        <v/>
      </c>
      <c r="H124" s="6" t="s">
        <v>43</v>
      </c>
      <c r="I124" s="6" t="s">
        <v>501</v>
      </c>
      <c r="J124" s="6" t="s">
        <v>345</v>
      </c>
      <c r="K124" s="10">
        <v>15.925</v>
      </c>
      <c r="L124" s="10">
        <v>45.5</v>
      </c>
      <c r="M124" s="6" t="s">
        <v>371</v>
      </c>
    </row>
    <row r="125" spans="1:13">
      <c r="A125" s="6">
        <v>2023</v>
      </c>
      <c r="B125" s="6">
        <v>1</v>
      </c>
      <c r="C125" s="6" t="s">
        <v>59</v>
      </c>
      <c r="D125" s="6" t="s">
        <v>402</v>
      </c>
      <c r="E125" s="6" t="s">
        <v>403</v>
      </c>
      <c r="F125" s="6" t="str">
        <f>IF($M125="PADD I","PADD 1",IF($M125="PADD II","PADD 2",IF($M125="PADD III","PADD 3",IF($M125="PADD IV","PADD 4",IF($M125="PADD V","PADD 5","")))))</f>
        <v>PADD 3</v>
      </c>
      <c r="G125" s="6" t="str">
        <f>IF(AND($H125="ATMOS DISTILLATION",ISNUMBER(SEARCH("VPS",$I125))=FALSE,LEFT($I125,6)&lt;&gt;"VACUUM"),"CDU",IF($H125="FLUID CAT CRACKING","FCC",IF(OR($H125="HYDROCRACKING",$H125="RESID_HYDROCRACKING"),"Hydrocracker",IF($H125="REFORMING","Reformer",""))))</f>
        <v>FCC</v>
      </c>
      <c r="H125" s="6" t="s">
        <v>376</v>
      </c>
      <c r="I125" s="6" t="s">
        <v>105</v>
      </c>
      <c r="J125" s="6" t="s">
        <v>349</v>
      </c>
      <c r="K125" s="10">
        <v>15.554</v>
      </c>
      <c r="L125" s="10">
        <v>20.2</v>
      </c>
      <c r="M125" s="6" t="s">
        <v>371</v>
      </c>
    </row>
    <row r="126" spans="1:13">
      <c r="A126" s="6">
        <v>2023</v>
      </c>
      <c r="B126" s="6">
        <v>1</v>
      </c>
      <c r="C126" s="6" t="s">
        <v>59</v>
      </c>
      <c r="D126" s="6" t="s">
        <v>511</v>
      </c>
      <c r="E126" s="6" t="s">
        <v>405</v>
      </c>
      <c r="F126" s="6" t="str">
        <f>IF($M126="PADD I","PADD 1",IF($M126="PADD II","PADD 2",IF($M126="PADD III","PADD 3",IF($M126="PADD IV","PADD 4",IF($M126="PADD V","PADD 5","")))))</f>
        <v>PADD 3</v>
      </c>
      <c r="G126" s="6" t="str">
        <f>IF(AND($H126="ATMOS DISTILLATION",ISNUMBER(SEARCH("VPS",$I126))=FALSE,LEFT($I126,6)&lt;&gt;"VACUUM"),"CDU",IF($H126="FLUID CAT CRACKING","FCC",IF(OR($H126="HYDROCRACKING",$H126="RESID_HYDROCRACKING"),"Hydrocracker",IF($H126="REFORMING","Reformer",""))))</f>
        <v>FCC</v>
      </c>
      <c r="H126" s="6" t="s">
        <v>376</v>
      </c>
      <c r="I126" s="6" t="s">
        <v>105</v>
      </c>
      <c r="J126" s="6" t="s">
        <v>349</v>
      </c>
      <c r="K126" s="10">
        <v>15.52</v>
      </c>
      <c r="L126" s="10">
        <v>97</v>
      </c>
      <c r="M126" s="6" t="s">
        <v>371</v>
      </c>
    </row>
    <row r="127" spans="1:13">
      <c r="A127" s="6">
        <v>2023</v>
      </c>
      <c r="B127" s="6">
        <v>1</v>
      </c>
      <c r="C127" s="6" t="s">
        <v>59</v>
      </c>
      <c r="D127" s="6" t="s">
        <v>395</v>
      </c>
      <c r="E127" s="6" t="s">
        <v>396</v>
      </c>
      <c r="F127" s="6" t="str">
        <f>IF($M127="PADD I","PADD 1",IF($M127="PADD II","PADD 2",IF($M127="PADD III","PADD 3",IF($M127="PADD IV","PADD 4",IF($M127="PADD V","PADD 5","")))))</f>
        <v>PADD 3</v>
      </c>
      <c r="G127" s="6" t="str">
        <f>IF(AND($H127="ATMOS DISTILLATION",ISNUMBER(SEARCH("VPS",$I127))=FALSE,LEFT($I127,6)&lt;&gt;"VACUUM"),"CDU",IF($H127="FLUID CAT CRACKING","FCC",IF(OR($H127="HYDROCRACKING",$H127="RESID_HYDROCRACKING"),"Hydrocracker",IF($H127="REFORMING","Reformer",""))))</f>
        <v>Hydrocracker</v>
      </c>
      <c r="H127" s="6" t="s">
        <v>444</v>
      </c>
      <c r="I127" s="6" t="s">
        <v>512</v>
      </c>
      <c r="J127" s="6" t="s">
        <v>345</v>
      </c>
      <c r="K127" s="10">
        <v>15.41</v>
      </c>
      <c r="L127" s="10">
        <v>67</v>
      </c>
      <c r="M127" s="6" t="s">
        <v>371</v>
      </c>
    </row>
    <row r="128" spans="1:13">
      <c r="A128" s="6">
        <v>2023</v>
      </c>
      <c r="B128" s="6">
        <v>1</v>
      </c>
      <c r="C128" s="6" t="s">
        <v>59</v>
      </c>
      <c r="D128" s="6" t="s">
        <v>402</v>
      </c>
      <c r="E128" s="6" t="s">
        <v>403</v>
      </c>
      <c r="F128" s="6" t="str">
        <f>IF($M128="PADD I","PADD 1",IF($M128="PADD II","PADD 2",IF($M128="PADD III","PADD 3",IF($M128="PADD IV","PADD 4",IF($M128="PADD V","PADD 5","")))))</f>
        <v>PADD 3</v>
      </c>
      <c r="G128" s="6">
        <f>IF(AND($H128="ATMOS DISTILLATION",ISNUMBER(SEARCH("VPS",$I128))=FALSE,LEFT($I128,6)&lt;&gt;"VACUUM"),"CDU",IF($H128="FLUID CAT CRACKING","FCC",IF(OR($H128="HYDROCRACKING",$H128="RESID_HYDROCRACKING"),"Hydrocracker",IF($H128="REFORMING","Reformer",""))))</f>
        <v/>
      </c>
      <c r="H128" s="6" t="s">
        <v>378</v>
      </c>
      <c r="I128" s="6" t="s">
        <v>513</v>
      </c>
      <c r="J128" s="6" t="s">
        <v>349</v>
      </c>
      <c r="K128" s="10">
        <v>15.4</v>
      </c>
      <c r="L128" s="10">
        <v>20</v>
      </c>
      <c r="M128" s="6" t="s">
        <v>371</v>
      </c>
    </row>
    <row r="129" spans="1:13">
      <c r="A129" s="6">
        <v>2023</v>
      </c>
      <c r="B129" s="6">
        <v>1</v>
      </c>
      <c r="C129" s="6" t="s">
        <v>59</v>
      </c>
      <c r="D129" s="6" t="s">
        <v>429</v>
      </c>
      <c r="E129" s="6" t="s">
        <v>388</v>
      </c>
      <c r="F129" s="6" t="str">
        <f>IF($M129="PADD I","PADD 1",IF($M129="PADD II","PADD 2",IF($M129="PADD III","PADD 3",IF($M129="PADD IV","PADD 4",IF($M129="PADD V","PADD 5","")))))</f>
        <v>PADD 4</v>
      </c>
      <c r="G129" s="6">
        <f>IF(AND($H129="ATMOS DISTILLATION",ISNUMBER(SEARCH("VPS",$I129))=FALSE,LEFT($I129,6)&lt;&gt;"VACUUM"),"CDU",IF($H129="FLUID CAT CRACKING","FCC",IF(OR($H129="HYDROCRACKING",$H129="RESID_HYDROCRACKING"),"Hydrocracker",IF($H129="REFORMING","Reformer",""))))</f>
        <v/>
      </c>
      <c r="H129" s="6" t="s">
        <v>43</v>
      </c>
      <c r="I129" s="6" t="s">
        <v>514</v>
      </c>
      <c r="J129" s="6" t="s">
        <v>345</v>
      </c>
      <c r="K129" s="10">
        <v>15.39</v>
      </c>
      <c r="L129" s="10">
        <v>17.1</v>
      </c>
      <c r="M129" s="6" t="s">
        <v>430</v>
      </c>
    </row>
    <row r="130" spans="1:13">
      <c r="A130" s="6">
        <v>2023</v>
      </c>
      <c r="B130" s="6">
        <v>1</v>
      </c>
      <c r="C130" s="6" t="s">
        <v>59</v>
      </c>
      <c r="D130" s="6" t="s">
        <v>380</v>
      </c>
      <c r="E130" s="6" t="s">
        <v>381</v>
      </c>
      <c r="F130" s="6" t="str">
        <f>IF($M130="PADD I","PADD 1",IF($M130="PADD II","PADD 2",IF($M130="PADD III","PADD 3",IF($M130="PADD IV","PADD 4",IF($M130="PADD V","PADD 5","")))))</f>
        <v>PADD 3</v>
      </c>
      <c r="G130" s="6">
        <f>IF(AND($H130="ATMOS DISTILLATION",ISNUMBER(SEARCH("VPS",$I130))=FALSE,LEFT($I130,6)&lt;&gt;"VACUUM"),"CDU",IF($H130="FLUID CAT CRACKING","FCC",IF(OR($H130="HYDROCRACKING",$H130="RESID_HYDROCRACKING"),"Hydrocracker",IF($H130="REFORMING","Reformer",""))))</f>
        <v/>
      </c>
      <c r="H130" s="6" t="s">
        <v>435</v>
      </c>
      <c r="I130" s="6" t="s">
        <v>515</v>
      </c>
      <c r="J130" s="6" t="s">
        <v>345</v>
      </c>
      <c r="K130" s="10">
        <v>15.36</v>
      </c>
      <c r="L130" s="10">
        <v>32</v>
      </c>
      <c r="M130" s="6" t="s">
        <v>371</v>
      </c>
    </row>
    <row r="131" spans="1:13">
      <c r="A131" s="6">
        <v>2023</v>
      </c>
      <c r="B131" s="6">
        <v>1</v>
      </c>
      <c r="C131" s="6" t="s">
        <v>59</v>
      </c>
      <c r="D131" s="6" t="s">
        <v>398</v>
      </c>
      <c r="E131" s="6" t="s">
        <v>399</v>
      </c>
      <c r="F131" s="6" t="str">
        <f>IF($M131="PADD I","PADD 1",IF($M131="PADD II","PADD 2",IF($M131="PADD III","PADD 3",IF($M131="PADD IV","PADD 4",IF($M131="PADD V","PADD 5","")))))</f>
        <v>PADD 3</v>
      </c>
      <c r="G131" s="6">
        <f>IF(AND($H131="ATMOS DISTILLATION",ISNUMBER(SEARCH("VPS",$I131))=FALSE,LEFT($I131,6)&lt;&gt;"VACUUM"),"CDU",IF($H131="FLUID CAT CRACKING","FCC",IF(OR($H131="HYDROCRACKING",$H131="RESID_HYDROCRACKING"),"Hydrocracker",IF($H131="REFORMING","Reformer",""))))</f>
        <v/>
      </c>
      <c r="H131" s="6" t="s">
        <v>378</v>
      </c>
      <c r="I131" s="6" t="s">
        <v>400</v>
      </c>
      <c r="J131" s="6" t="s">
        <v>349</v>
      </c>
      <c r="K131" s="10">
        <v>15.288</v>
      </c>
      <c r="L131" s="10">
        <v>95.55</v>
      </c>
      <c r="M131" s="6" t="s">
        <v>371</v>
      </c>
    </row>
    <row r="132" spans="1:13">
      <c r="A132" s="6">
        <v>2023</v>
      </c>
      <c r="B132" s="6">
        <v>1</v>
      </c>
      <c r="C132" s="6" t="s">
        <v>59</v>
      </c>
      <c r="D132" s="6" t="s">
        <v>346</v>
      </c>
      <c r="E132" s="6" t="s">
        <v>383</v>
      </c>
      <c r="F132" s="6" t="str">
        <f>IF($M132="PADD I","PADD 1",IF($M132="PADD II","PADD 2",IF($M132="PADD III","PADD 3",IF($M132="PADD IV","PADD 4",IF($M132="PADD V","PADD 5","")))))</f>
        <v>PADD 2</v>
      </c>
      <c r="G132" s="6" t="str">
        <f>IF(AND($H132="ATMOS DISTILLATION",ISNUMBER(SEARCH("VPS",$I132))=FALSE,LEFT($I132,6)&lt;&gt;"VACUUM"),"CDU",IF($H132="FLUID CAT CRACKING","FCC",IF(OR($H132="HYDROCRACKING",$H132="RESID_HYDROCRACKING"),"Hydrocracker",IF($H132="REFORMING","Reformer",""))))</f>
        <v>Reformer</v>
      </c>
      <c r="H132" s="6" t="s">
        <v>421</v>
      </c>
      <c r="I132" s="6" t="s">
        <v>516</v>
      </c>
      <c r="J132" s="6" t="s">
        <v>349</v>
      </c>
      <c r="K132" s="10">
        <v>15</v>
      </c>
      <c r="L132" s="10">
        <v>15</v>
      </c>
      <c r="M132" s="6" t="s">
        <v>375</v>
      </c>
    </row>
    <row r="133" spans="1:13">
      <c r="A133" s="6">
        <v>2023</v>
      </c>
      <c r="B133" s="6">
        <v>1</v>
      </c>
      <c r="C133" s="6" t="s">
        <v>59</v>
      </c>
      <c r="D133" s="6" t="s">
        <v>408</v>
      </c>
      <c r="E133" s="6" t="s">
        <v>409</v>
      </c>
      <c r="F133" s="6" t="str">
        <f>IF($M133="PADD I","PADD 1",IF($M133="PADD II","PADD 2",IF($M133="PADD III","PADD 3",IF($M133="PADD IV","PADD 4",IF($M133="PADD V","PADD 5","")))))</f>
        <v>PADD 3</v>
      </c>
      <c r="G133" s="6">
        <f>IF(AND($H133="ATMOS DISTILLATION",ISNUMBER(SEARCH("VPS",$I133))=FALSE,LEFT($I133,6)&lt;&gt;"VACUUM"),"CDU",IF($H133="FLUID CAT CRACKING","FCC",IF(OR($H133="HYDROCRACKING",$H133="RESID_HYDROCRACKING"),"Hydrocracker",IF($H133="REFORMING","Reformer",""))))</f>
        <v/>
      </c>
      <c r="H133" s="6" t="s">
        <v>43</v>
      </c>
      <c r="I133" s="6" t="s">
        <v>517</v>
      </c>
      <c r="J133" s="6" t="s">
        <v>345</v>
      </c>
      <c r="K133" s="10">
        <v>14.64</v>
      </c>
      <c r="L133" s="10">
        <v>24</v>
      </c>
      <c r="M133" s="6" t="s">
        <v>371</v>
      </c>
    </row>
    <row r="134" spans="1:13">
      <c r="A134" s="6">
        <v>2023</v>
      </c>
      <c r="B134" s="6">
        <v>1</v>
      </c>
      <c r="C134" s="6" t="s">
        <v>59</v>
      </c>
      <c r="D134" s="6" t="s">
        <v>518</v>
      </c>
      <c r="E134" s="6" t="s">
        <v>369</v>
      </c>
      <c r="F134" s="6" t="str">
        <f>IF($M134="PADD I","PADD 1",IF($M134="PADD II","PADD 2",IF($M134="PADD III","PADD 3",IF($M134="PADD IV","PADD 4",IF($M134="PADD V","PADD 5","")))))</f>
        <v>PADD 5</v>
      </c>
      <c r="G134" s="6" t="str">
        <f>IF(AND($H134="ATMOS DISTILLATION",ISNUMBER(SEARCH("VPS",$I134))=FALSE,LEFT($I134,6)&lt;&gt;"VACUUM"),"CDU",IF($H134="FLUID CAT CRACKING","FCC",IF(OR($H134="HYDROCRACKING",$H134="RESID_HYDROCRACKING"),"Hydrocracker",IF($H134="REFORMING","Reformer",""))))</f>
        <v>CDU</v>
      </c>
      <c r="H134" s="6" t="s">
        <v>38</v>
      </c>
      <c r="I134" s="6" t="s">
        <v>519</v>
      </c>
      <c r="J134" s="6" t="s">
        <v>345</v>
      </c>
      <c r="K134" s="10">
        <v>14.5</v>
      </c>
      <c r="L134" s="10">
        <v>50</v>
      </c>
      <c r="M134" s="6" t="s">
        <v>386</v>
      </c>
    </row>
    <row r="135" spans="1:13">
      <c r="A135" s="6">
        <v>2023</v>
      </c>
      <c r="B135" s="6">
        <v>1</v>
      </c>
      <c r="C135" s="6" t="s">
        <v>59</v>
      </c>
      <c r="D135" s="6" t="s">
        <v>500</v>
      </c>
      <c r="E135" s="6" t="s">
        <v>388</v>
      </c>
      <c r="F135" s="6" t="str">
        <f>IF($M135="PADD I","PADD 1",IF($M135="PADD II","PADD 2",IF($M135="PADD III","PADD 3",IF($M135="PADD IV","PADD 4",IF($M135="PADD V","PADD 5","")))))</f>
        <v>PADD 2</v>
      </c>
      <c r="G135" s="6">
        <f>IF(AND($H135="ATMOS DISTILLATION",ISNUMBER(SEARCH("VPS",$I135))=FALSE,LEFT($I135,6)&lt;&gt;"VACUUM"),"CDU",IF($H135="FLUID CAT CRACKING","FCC",IF(OR($H135="HYDROCRACKING",$H135="RESID_HYDROCRACKING"),"Hydrocracker",IF($H135="REFORMING","Reformer",""))))</f>
        <v/>
      </c>
      <c r="H135" s="6" t="s">
        <v>43</v>
      </c>
      <c r="I135" s="6" t="s">
        <v>520</v>
      </c>
      <c r="J135" s="6" t="s">
        <v>345</v>
      </c>
      <c r="K135" s="10">
        <v>14.335</v>
      </c>
      <c r="L135" s="10">
        <v>23.5</v>
      </c>
      <c r="M135" s="6" t="s">
        <v>375</v>
      </c>
    </row>
    <row r="136" spans="1:13">
      <c r="A136" s="6">
        <v>2023</v>
      </c>
      <c r="B136" s="6">
        <v>1</v>
      </c>
      <c r="C136" s="6" t="s">
        <v>59</v>
      </c>
      <c r="D136" s="6" t="s">
        <v>511</v>
      </c>
      <c r="E136" s="6" t="s">
        <v>405</v>
      </c>
      <c r="F136" s="6" t="str">
        <f>IF($M136="PADD I","PADD 1",IF($M136="PADD II","PADD 2",IF($M136="PADD III","PADD 3",IF($M136="PADD IV","PADD 4",IF($M136="PADD V","PADD 5","")))))</f>
        <v>PADD 3</v>
      </c>
      <c r="G136" s="6" t="str">
        <f>IF(AND($H136="ATMOS DISTILLATION",ISNUMBER(SEARCH("VPS",$I136))=FALSE,LEFT($I136,6)&lt;&gt;"VACUUM"),"CDU",IF($H136="FLUID CAT CRACKING","FCC",IF(OR($H136="HYDROCRACKING",$H136="RESID_HYDROCRACKING"),"Hydrocracker",IF($H136="REFORMING","Reformer",""))))</f>
        <v>CDU</v>
      </c>
      <c r="H136" s="6" t="s">
        <v>38</v>
      </c>
      <c r="I136" s="6" t="s">
        <v>112</v>
      </c>
      <c r="J136" s="6" t="s">
        <v>349</v>
      </c>
      <c r="K136" s="10">
        <v>14.3</v>
      </c>
      <c r="L136" s="10">
        <v>110</v>
      </c>
      <c r="M136" s="6" t="s">
        <v>371</v>
      </c>
    </row>
    <row r="137" spans="1:13">
      <c r="A137" s="6">
        <v>2023</v>
      </c>
      <c r="B137" s="6">
        <v>1</v>
      </c>
      <c r="C137" s="6" t="s">
        <v>59</v>
      </c>
      <c r="D137" s="6" t="s">
        <v>322</v>
      </c>
      <c r="E137" s="6" t="s">
        <v>369</v>
      </c>
      <c r="F137" s="6" t="str">
        <f>IF($M137="PADD I","PADD 1",IF($M137="PADD II","PADD 2",IF($M137="PADD III","PADD 3",IF($M137="PADD IV","PADD 4",IF($M137="PADD V","PADD 5","")))))</f>
        <v>PADD 2</v>
      </c>
      <c r="G137" s="6" t="str">
        <f>IF(AND($H137="ATMOS DISTILLATION",ISNUMBER(SEARCH("VPS",$I137))=FALSE,LEFT($I137,6)&lt;&gt;"VACUUM"),"CDU",IF($H137="FLUID CAT CRACKING","FCC",IF(OR($H137="HYDROCRACKING",$H137="RESID_HYDROCRACKING"),"Hydrocracker",IF($H137="REFORMING","Reformer",""))))</f>
        <v>CDU</v>
      </c>
      <c r="H137" s="6" t="s">
        <v>38</v>
      </c>
      <c r="I137" s="6" t="s">
        <v>521</v>
      </c>
      <c r="J137" s="6" t="s">
        <v>349</v>
      </c>
      <c r="K137" s="10">
        <v>14.3</v>
      </c>
      <c r="L137" s="10">
        <v>110</v>
      </c>
      <c r="M137" s="6" t="s">
        <v>375</v>
      </c>
    </row>
    <row r="138" spans="1:13">
      <c r="A138" s="6">
        <v>2023</v>
      </c>
      <c r="B138" s="6">
        <v>1</v>
      </c>
      <c r="C138" s="6" t="s">
        <v>59</v>
      </c>
      <c r="D138" s="6" t="s">
        <v>408</v>
      </c>
      <c r="E138" s="6" t="s">
        <v>409</v>
      </c>
      <c r="F138" s="6" t="str">
        <f>IF($M138="PADD I","PADD 1",IF($M138="PADD II","PADD 2",IF($M138="PADD III","PADD 3",IF($M138="PADD IV","PADD 4",IF($M138="PADD V","PADD 5","")))))</f>
        <v>PADD 3</v>
      </c>
      <c r="G138" s="6" t="str">
        <f>IF(AND($H138="ATMOS DISTILLATION",ISNUMBER(SEARCH("VPS",$I138))=FALSE,LEFT($I138,6)&lt;&gt;"VACUUM"),"CDU",IF($H138="FLUID CAT CRACKING","FCC",IF(OR($H138="HYDROCRACKING",$H138="RESID_HYDROCRACKING"),"Hydrocracker",IF($H138="REFORMING","Reformer",""))))</f>
        <v>CDU</v>
      </c>
      <c r="H138" s="6" t="s">
        <v>38</v>
      </c>
      <c r="I138" s="6" t="s">
        <v>522</v>
      </c>
      <c r="J138" s="6" t="s">
        <v>345</v>
      </c>
      <c r="K138" s="10">
        <v>14</v>
      </c>
      <c r="L138" s="10">
        <v>40</v>
      </c>
      <c r="M138" s="6" t="s">
        <v>371</v>
      </c>
    </row>
    <row r="139" spans="1:13">
      <c r="A139" s="6">
        <v>2023</v>
      </c>
      <c r="B139" s="6">
        <v>1</v>
      </c>
      <c r="C139" s="6" t="s">
        <v>59</v>
      </c>
      <c r="D139" s="6" t="s">
        <v>420</v>
      </c>
      <c r="E139" s="6" t="s">
        <v>373</v>
      </c>
      <c r="F139" s="6" t="str">
        <f>IF($M139="PADD I","PADD 1",IF($M139="PADD II","PADD 2",IF($M139="PADD III","PADD 3",IF($M139="PADD IV","PADD 4",IF($M139="PADD V","PADD 5","")))))</f>
        <v>PADD 2</v>
      </c>
      <c r="G139" s="6">
        <f>IF(AND($H139="ATMOS DISTILLATION",ISNUMBER(SEARCH("VPS",$I139))=FALSE,LEFT($I139,6)&lt;&gt;"VACUUM"),"CDU",IF($H139="FLUID CAT CRACKING","FCC",IF(OR($H139="HYDROCRACKING",$H139="RESID_HYDROCRACKING"),"Hydrocracker",IF($H139="REFORMING","Reformer",""))))</f>
        <v/>
      </c>
      <c r="H139" s="6" t="s">
        <v>523</v>
      </c>
      <c r="I139" s="6" t="s">
        <v>524</v>
      </c>
      <c r="J139" s="6" t="s">
        <v>345</v>
      </c>
      <c r="K139" s="10">
        <v>13.5</v>
      </c>
      <c r="L139" s="10">
        <v>13.5</v>
      </c>
      <c r="M139" s="6" t="s">
        <v>375</v>
      </c>
    </row>
    <row r="140" spans="1:13">
      <c r="A140" s="6">
        <v>2023</v>
      </c>
      <c r="B140" s="6">
        <v>1</v>
      </c>
      <c r="C140" s="6" t="s">
        <v>59</v>
      </c>
      <c r="D140" s="6" t="s">
        <v>402</v>
      </c>
      <c r="E140" s="6" t="s">
        <v>403</v>
      </c>
      <c r="F140" s="6" t="str">
        <f>IF($M140="PADD I","PADD 1",IF($M140="PADD II","PADD 2",IF($M140="PADD III","PADD 3",IF($M140="PADD IV","PADD 4",IF($M140="PADD V","PADD 5","")))))</f>
        <v>PADD 3</v>
      </c>
      <c r="G140" s="6" t="str">
        <f>IF(AND($H140="ATMOS DISTILLATION",ISNUMBER(SEARCH("VPS",$I140))=FALSE,LEFT($I140,6)&lt;&gt;"VACUUM"),"CDU",IF($H140="FLUID CAT CRACKING","FCC",IF(OR($H140="HYDROCRACKING",$H140="RESID_HYDROCRACKING"),"Hydrocracker",IF($H140="REFORMING","Reformer",""))))</f>
        <v>Reformer</v>
      </c>
      <c r="H140" s="6" t="s">
        <v>421</v>
      </c>
      <c r="I140" s="6" t="s">
        <v>525</v>
      </c>
      <c r="J140" s="6" t="s">
        <v>349</v>
      </c>
      <c r="K140" s="10">
        <v>13.475</v>
      </c>
      <c r="L140" s="10">
        <v>17.5</v>
      </c>
      <c r="M140" s="6" t="s">
        <v>371</v>
      </c>
    </row>
    <row r="141" spans="1:13">
      <c r="A141" s="6">
        <v>2023</v>
      </c>
      <c r="B141" s="6">
        <v>1</v>
      </c>
      <c r="C141" s="6" t="s">
        <v>59</v>
      </c>
      <c r="D141" s="6" t="s">
        <v>526</v>
      </c>
      <c r="E141" s="6" t="s">
        <v>405</v>
      </c>
      <c r="F141" s="6" t="str">
        <f>IF($M141="PADD I","PADD 1",IF($M141="PADD II","PADD 2",IF($M141="PADD III","PADD 3",IF($M141="PADD IV","PADD 4",IF($M141="PADD V","PADD 5","")))))</f>
        <v>PADD 3</v>
      </c>
      <c r="G141" s="6" t="str">
        <f>IF(AND($H141="ATMOS DISTILLATION",ISNUMBER(SEARCH("VPS",$I141))=FALSE,LEFT($I141,6)&lt;&gt;"VACUUM"),"CDU",IF($H141="FLUID CAT CRACKING","FCC",IF(OR($H141="HYDROCRACKING",$H141="RESID_HYDROCRACKING"),"Hydrocracker",IF($H141="REFORMING","Reformer",""))))</f>
        <v>Hydrocracker</v>
      </c>
      <c r="H141" s="6" t="s">
        <v>444</v>
      </c>
      <c r="I141" s="6" t="s">
        <v>527</v>
      </c>
      <c r="J141" s="6" t="s">
        <v>345</v>
      </c>
      <c r="K141" s="10">
        <v>13.11</v>
      </c>
      <c r="L141" s="10">
        <v>57</v>
      </c>
      <c r="M141" s="6" t="s">
        <v>371</v>
      </c>
    </row>
    <row r="142" spans="1:13">
      <c r="A142" s="6">
        <v>2023</v>
      </c>
      <c r="B142" s="6">
        <v>1</v>
      </c>
      <c r="C142" s="6" t="s">
        <v>59</v>
      </c>
      <c r="D142" s="6" t="s">
        <v>398</v>
      </c>
      <c r="E142" s="6" t="s">
        <v>399</v>
      </c>
      <c r="F142" s="6" t="str">
        <f>IF($M142="PADD I","PADD 1",IF($M142="PADD II","PADD 2",IF($M142="PADD III","PADD 3",IF($M142="PADD IV","PADD 4",IF($M142="PADD V","PADD 5","")))))</f>
        <v>PADD 3</v>
      </c>
      <c r="G142" s="6">
        <f>IF(AND($H142="ATMOS DISTILLATION",ISNUMBER(SEARCH("VPS",$I142))=FALSE,LEFT($I142,6)&lt;&gt;"VACUUM"),"CDU",IF($H142="FLUID CAT CRACKING","FCC",IF(OR($H142="HYDROCRACKING",$H142="RESID_HYDROCRACKING"),"Hydrocracker",IF($H142="REFORMING","Reformer",""))))</f>
        <v/>
      </c>
      <c r="H142" s="6" t="s">
        <v>435</v>
      </c>
      <c r="I142" s="6" t="s">
        <v>528</v>
      </c>
      <c r="J142" s="6" t="s">
        <v>349</v>
      </c>
      <c r="K142" s="10">
        <v>13.11</v>
      </c>
      <c r="L142" s="10">
        <v>57</v>
      </c>
      <c r="M142" s="6" t="s">
        <v>371</v>
      </c>
    </row>
    <row r="143" spans="1:13">
      <c r="A143" s="6">
        <v>2023</v>
      </c>
      <c r="B143" s="6">
        <v>1</v>
      </c>
      <c r="C143" s="6" t="s">
        <v>59</v>
      </c>
      <c r="D143" s="6" t="s">
        <v>420</v>
      </c>
      <c r="E143" s="6" t="s">
        <v>373</v>
      </c>
      <c r="F143" s="6" t="str">
        <f>IF($M143="PADD I","PADD 1",IF($M143="PADD II","PADD 2",IF($M143="PADD III","PADD 3",IF($M143="PADD IV","PADD 4",IF($M143="PADD V","PADD 5","")))))</f>
        <v>PADD 2</v>
      </c>
      <c r="G143" s="6" t="str">
        <f>IF(AND($H143="ATMOS DISTILLATION",ISNUMBER(SEARCH("VPS",$I143))=FALSE,LEFT($I143,6)&lt;&gt;"VACUUM"),"CDU",IF($H143="FLUID CAT CRACKING","FCC",IF(OR($H143="HYDROCRACKING",$H143="RESID_HYDROCRACKING"),"Hydrocracker",IF($H143="REFORMING","Reformer",""))))</f>
        <v>FCC</v>
      </c>
      <c r="H143" s="6" t="s">
        <v>376</v>
      </c>
      <c r="I143" s="6" t="s">
        <v>105</v>
      </c>
      <c r="J143" s="6" t="s">
        <v>345</v>
      </c>
      <c r="K143" s="10">
        <v>13</v>
      </c>
      <c r="L143" s="10">
        <v>13</v>
      </c>
      <c r="M143" s="6" t="s">
        <v>375</v>
      </c>
    </row>
    <row r="144" spans="1:13">
      <c r="A144" s="6">
        <v>2023</v>
      </c>
      <c r="B144" s="6">
        <v>1</v>
      </c>
      <c r="C144" s="6" t="s">
        <v>59</v>
      </c>
      <c r="D144" s="6" t="s">
        <v>411</v>
      </c>
      <c r="E144" s="6" t="s">
        <v>369</v>
      </c>
      <c r="F144" s="6" t="str">
        <f>IF($M144="PADD I","PADD 1",IF($M144="PADD II","PADD 2",IF($M144="PADD III","PADD 3",IF($M144="PADD IV","PADD 4",IF($M144="PADD V","PADD 5","")))))</f>
        <v>PADD 1</v>
      </c>
      <c r="G144" s="6" t="str">
        <f>IF(AND($H144="ATMOS DISTILLATION",ISNUMBER(SEARCH("VPS",$I144))=FALSE,LEFT($I144,6)&lt;&gt;"VACUUM"),"CDU",IF($H144="FLUID CAT CRACKING","FCC",IF(OR($H144="HYDROCRACKING",$H144="RESID_HYDROCRACKING"),"Hydrocracker",IF($H144="REFORMING","Reformer",""))))</f>
        <v>CDU</v>
      </c>
      <c r="H144" s="6" t="s">
        <v>38</v>
      </c>
      <c r="I144" s="6" t="s">
        <v>529</v>
      </c>
      <c r="J144" s="6" t="s">
        <v>345</v>
      </c>
      <c r="K144" s="10">
        <v>12.95</v>
      </c>
      <c r="L144" s="10">
        <v>129.5</v>
      </c>
      <c r="M144" s="6" t="s">
        <v>413</v>
      </c>
    </row>
    <row r="145" spans="1:13">
      <c r="A145" s="6">
        <v>2023</v>
      </c>
      <c r="B145" s="6">
        <v>1</v>
      </c>
      <c r="C145" s="6" t="s">
        <v>59</v>
      </c>
      <c r="D145" s="6" t="s">
        <v>500</v>
      </c>
      <c r="E145" s="6" t="s">
        <v>388</v>
      </c>
      <c r="F145" s="6" t="str">
        <f>IF($M145="PADD I","PADD 1",IF($M145="PADD II","PADD 2",IF($M145="PADD III","PADD 3",IF($M145="PADD IV","PADD 4",IF($M145="PADD V","PADD 5","")))))</f>
        <v>PADD 2</v>
      </c>
      <c r="G145" s="6" t="str">
        <f>IF(AND($H145="ATMOS DISTILLATION",ISNUMBER(SEARCH("VPS",$I145))=FALSE,LEFT($I145,6)&lt;&gt;"VACUUM"),"CDU",IF($H145="FLUID CAT CRACKING","FCC",IF(OR($H145="HYDROCRACKING",$H145="RESID_HYDROCRACKING"),"Hydrocracker",IF($H145="REFORMING","Reformer",""))))</f>
        <v>CDU</v>
      </c>
      <c r="H145" s="6" t="s">
        <v>38</v>
      </c>
      <c r="I145" s="6" t="s">
        <v>530</v>
      </c>
      <c r="J145" s="6" t="s">
        <v>345</v>
      </c>
      <c r="K145" s="10">
        <v>12.65</v>
      </c>
      <c r="L145" s="10">
        <v>23</v>
      </c>
      <c r="M145" s="6" t="s">
        <v>375</v>
      </c>
    </row>
    <row r="146" spans="1:13">
      <c r="A146" s="6">
        <v>2023</v>
      </c>
      <c r="B146" s="6">
        <v>1</v>
      </c>
      <c r="C146" s="6" t="s">
        <v>59</v>
      </c>
      <c r="D146" s="6" t="s">
        <v>531</v>
      </c>
      <c r="E146" s="6" t="s">
        <v>532</v>
      </c>
      <c r="F146" s="6" t="str">
        <f>IF($M146="PADD I","PADD 1",IF($M146="PADD II","PADD 2",IF($M146="PADD III","PADD 3",IF($M146="PADD IV","PADD 4",IF($M146="PADD V","PADD 5","")))))</f>
        <v>PADD 5</v>
      </c>
      <c r="G146" s="6" t="str">
        <f>IF(AND($H146="ATMOS DISTILLATION",ISNUMBER(SEARCH("VPS",$I146))=FALSE,LEFT($I146,6)&lt;&gt;"VACUUM"),"CDU",IF($H146="FLUID CAT CRACKING","FCC",IF(OR($H146="HYDROCRACKING",$H146="RESID_HYDROCRACKING"),"Hydrocracker",IF($H146="REFORMING","Reformer",""))))</f>
        <v>CDU</v>
      </c>
      <c r="H146" s="6" t="s">
        <v>38</v>
      </c>
      <c r="I146" s="6" t="s">
        <v>81</v>
      </c>
      <c r="J146" s="6" t="s">
        <v>345</v>
      </c>
      <c r="K146" s="10">
        <v>12.4</v>
      </c>
      <c r="L146" s="10">
        <v>77.5</v>
      </c>
      <c r="M146" s="6" t="s">
        <v>386</v>
      </c>
    </row>
    <row r="147" spans="1:13">
      <c r="A147" s="6">
        <v>2023</v>
      </c>
      <c r="B147" s="6">
        <v>1</v>
      </c>
      <c r="C147" s="6" t="s">
        <v>59</v>
      </c>
      <c r="D147" s="6" t="s">
        <v>408</v>
      </c>
      <c r="E147" s="6" t="s">
        <v>409</v>
      </c>
      <c r="F147" s="6" t="str">
        <f>IF($M147="PADD I","PADD 1",IF($M147="PADD II","PADD 2",IF($M147="PADD III","PADD 3",IF($M147="PADD IV","PADD 4",IF($M147="PADD V","PADD 5","")))))</f>
        <v>PADD 3</v>
      </c>
      <c r="G147" s="6" t="str">
        <f>IF(AND($H147="ATMOS DISTILLATION",ISNUMBER(SEARCH("VPS",$I147))=FALSE,LEFT($I147,6)&lt;&gt;"VACUUM"),"CDU",IF($H147="FLUID CAT CRACKING","FCC",IF(OR($H147="HYDROCRACKING",$H147="RESID_HYDROCRACKING"),"Hydrocracker",IF($H147="REFORMING","Reformer",""))))</f>
        <v>Reformer</v>
      </c>
      <c r="H147" s="6" t="s">
        <v>421</v>
      </c>
      <c r="I147" s="6" t="s">
        <v>533</v>
      </c>
      <c r="J147" s="6" t="s">
        <v>345</v>
      </c>
      <c r="K147" s="10">
        <v>12.25</v>
      </c>
      <c r="L147" s="10">
        <v>35</v>
      </c>
      <c r="M147" s="6" t="s">
        <v>371</v>
      </c>
    </row>
    <row r="148" spans="1:13">
      <c r="A148" s="6">
        <v>2023</v>
      </c>
      <c r="B148" s="6">
        <v>1</v>
      </c>
      <c r="C148" s="6" t="s">
        <v>59</v>
      </c>
      <c r="D148" s="6" t="s">
        <v>518</v>
      </c>
      <c r="E148" s="6" t="s">
        <v>369</v>
      </c>
      <c r="F148" s="6" t="str">
        <f>IF($M148="PADD I","PADD 1",IF($M148="PADD II","PADD 2",IF($M148="PADD III","PADD 3",IF($M148="PADD IV","PADD 4",IF($M148="PADD V","PADD 5","")))))</f>
        <v>PADD 5</v>
      </c>
      <c r="G148" s="6" t="str">
        <f>IF(AND($H148="ATMOS DISTILLATION",ISNUMBER(SEARCH("VPS",$I148))=FALSE,LEFT($I148,6)&lt;&gt;"VACUUM"),"CDU",IF($H148="FLUID CAT CRACKING","FCC",IF(OR($H148="HYDROCRACKING",$H148="RESID_HYDROCRACKING"),"Hydrocracker",IF($H148="REFORMING","Reformer",""))))</f>
        <v>Hydrocracker</v>
      </c>
      <c r="H148" s="6" t="s">
        <v>444</v>
      </c>
      <c r="I148" s="6" t="s">
        <v>534</v>
      </c>
      <c r="J148" s="6" t="s">
        <v>345</v>
      </c>
      <c r="K148" s="10">
        <v>12.18</v>
      </c>
      <c r="L148" s="10">
        <v>42</v>
      </c>
      <c r="M148" s="6" t="s">
        <v>386</v>
      </c>
    </row>
    <row r="149" spans="1:13">
      <c r="A149" s="6">
        <v>2023</v>
      </c>
      <c r="B149" s="6">
        <v>1</v>
      </c>
      <c r="C149" s="6" t="s">
        <v>59</v>
      </c>
      <c r="D149" s="6" t="s">
        <v>333</v>
      </c>
      <c r="E149" s="6" t="s">
        <v>381</v>
      </c>
      <c r="F149" s="6" t="str">
        <f>IF($M149="PADD I","PADD 1",IF($M149="PADD II","PADD 2",IF($M149="PADD III","PADD 3",IF($M149="PADD IV","PADD 4",IF($M149="PADD V","PADD 5","")))))</f>
        <v>PADD 3</v>
      </c>
      <c r="G149" s="6" t="str">
        <f>IF(AND($H149="ATMOS DISTILLATION",ISNUMBER(SEARCH("VPS",$I149))=FALSE,LEFT($I149,6)&lt;&gt;"VACUUM"),"CDU",IF($H149="FLUID CAT CRACKING","FCC",IF(OR($H149="HYDROCRACKING",$H149="RESID_HYDROCRACKING"),"Hydrocracker",IF($H149="REFORMING","Reformer",""))))</f>
        <v>FCC</v>
      </c>
      <c r="H149" s="6" t="s">
        <v>376</v>
      </c>
      <c r="I149" s="6" t="s">
        <v>105</v>
      </c>
      <c r="J149" s="6" t="s">
        <v>345</v>
      </c>
      <c r="K149" s="10">
        <v>12</v>
      </c>
      <c r="L149" s="10">
        <v>120</v>
      </c>
      <c r="M149" s="6" t="s">
        <v>371</v>
      </c>
    </row>
    <row r="150" spans="1:13">
      <c r="A150" s="6">
        <v>2023</v>
      </c>
      <c r="B150" s="6">
        <v>1</v>
      </c>
      <c r="C150" s="6" t="s">
        <v>59</v>
      </c>
      <c r="D150" s="6" t="s">
        <v>462</v>
      </c>
      <c r="E150" s="6" t="s">
        <v>438</v>
      </c>
      <c r="F150" s="6" t="str">
        <f>IF($M150="PADD I","PADD 1",IF($M150="PADD II","PADD 2",IF($M150="PADD III","PADD 3",IF($M150="PADD IV","PADD 4",IF($M150="PADD V","PADD 5","")))))</f>
        <v>PADD 4</v>
      </c>
      <c r="G150" s="6">
        <f>IF(AND($H150="ATMOS DISTILLATION",ISNUMBER(SEARCH("VPS",$I150))=FALSE,LEFT($I150,6)&lt;&gt;"VACUUM"),"CDU",IF($H150="FLUID CAT CRACKING","FCC",IF(OR($H150="HYDROCRACKING",$H150="RESID_HYDROCRACKING"),"Hydrocracker",IF($H150="REFORMING","Reformer",""))))</f>
        <v/>
      </c>
      <c r="H150" s="6" t="s">
        <v>43</v>
      </c>
      <c r="I150" s="6" t="s">
        <v>535</v>
      </c>
      <c r="J150" s="6" t="s">
        <v>345</v>
      </c>
      <c r="K150" s="10">
        <v>12</v>
      </c>
      <c r="L150" s="10">
        <v>12</v>
      </c>
      <c r="M150" s="6" t="s">
        <v>430</v>
      </c>
    </row>
    <row r="151" spans="1:13">
      <c r="A151" s="6">
        <v>2023</v>
      </c>
      <c r="B151" s="6">
        <v>1</v>
      </c>
      <c r="C151" s="6" t="s">
        <v>59</v>
      </c>
      <c r="D151" s="6" t="s">
        <v>496</v>
      </c>
      <c r="E151" s="6" t="s">
        <v>388</v>
      </c>
      <c r="F151" s="6" t="str">
        <f>IF($M151="PADD I","PADD 1",IF($M151="PADD II","PADD 2",IF($M151="PADD III","PADD 3",IF($M151="PADD IV","PADD 4",IF($M151="PADD V","PADD 5","")))))</f>
        <v>PADD 2</v>
      </c>
      <c r="G151" s="6">
        <f>IF(AND($H151="ATMOS DISTILLATION",ISNUMBER(SEARCH("VPS",$I151))=FALSE,LEFT($I151,6)&lt;&gt;"VACUUM"),"CDU",IF($H151="FLUID CAT CRACKING","FCC",IF(OR($H151="HYDROCRACKING",$H151="RESID_HYDROCRACKING"),"Hydrocracker",IF($H151="REFORMING","Reformer",""))))</f>
        <v/>
      </c>
      <c r="H151" s="6" t="s">
        <v>378</v>
      </c>
      <c r="I151" s="6" t="s">
        <v>536</v>
      </c>
      <c r="J151" s="6" t="s">
        <v>349</v>
      </c>
      <c r="K151" s="10">
        <v>12</v>
      </c>
      <c r="L151" s="10">
        <v>12</v>
      </c>
      <c r="M151" s="6" t="s">
        <v>375</v>
      </c>
    </row>
    <row r="152" spans="1:13">
      <c r="A152" s="6">
        <v>2023</v>
      </c>
      <c r="B152" s="6">
        <v>1</v>
      </c>
      <c r="C152" s="6" t="s">
        <v>59</v>
      </c>
      <c r="D152" s="6" t="s">
        <v>333</v>
      </c>
      <c r="E152" s="6" t="s">
        <v>381</v>
      </c>
      <c r="F152" s="6" t="str">
        <f>IF($M152="PADD I","PADD 1",IF($M152="PADD II","PADD 2",IF($M152="PADD III","PADD 3",IF($M152="PADD IV","PADD 4",IF($M152="PADD V","PADD 5","")))))</f>
        <v>PADD 3</v>
      </c>
      <c r="G152" s="6" t="str">
        <f>IF(AND($H152="ATMOS DISTILLATION",ISNUMBER(SEARCH("VPS",$I152))=FALSE,LEFT($I152,6)&lt;&gt;"VACUUM"),"CDU",IF($H152="FLUID CAT CRACKING","FCC",IF(OR($H152="HYDROCRACKING",$H152="RESID_HYDROCRACKING"),"Hydrocracker",IF($H152="REFORMING","Reformer",""))))</f>
        <v>CDU</v>
      </c>
      <c r="H152" s="6" t="s">
        <v>38</v>
      </c>
      <c r="I152" s="6" t="s">
        <v>537</v>
      </c>
      <c r="J152" s="6" t="s">
        <v>349</v>
      </c>
      <c r="K152" s="10">
        <v>11.94</v>
      </c>
      <c r="L152" s="10">
        <v>119.4</v>
      </c>
      <c r="M152" s="6" t="s">
        <v>371</v>
      </c>
    </row>
    <row r="153" spans="1:13">
      <c r="A153" s="6">
        <v>2023</v>
      </c>
      <c r="B153" s="6">
        <v>1</v>
      </c>
      <c r="C153" s="6" t="s">
        <v>59</v>
      </c>
      <c r="D153" s="6" t="s">
        <v>395</v>
      </c>
      <c r="E153" s="6" t="s">
        <v>396</v>
      </c>
      <c r="F153" s="6" t="str">
        <f>IF($M153="PADD I","PADD 1",IF($M153="PADD II","PADD 2",IF($M153="PADD III","PADD 3",IF($M153="PADD IV","PADD 4",IF($M153="PADD V","PADD 5","")))))</f>
        <v>PADD 3</v>
      </c>
      <c r="G153" s="6" t="str">
        <f>IF(AND($H153="ATMOS DISTILLATION",ISNUMBER(SEARCH("VPS",$I153))=FALSE,LEFT($I153,6)&lt;&gt;"VACUUM"),"CDU",IF($H153="FLUID CAT CRACKING","FCC",IF(OR($H153="HYDROCRACKING",$H153="RESID_HYDROCRACKING"),"Hydrocracker",IF($H153="REFORMING","Reformer",""))))</f>
        <v>Reformer</v>
      </c>
      <c r="H153" s="6" t="s">
        <v>421</v>
      </c>
      <c r="I153" s="6" t="s">
        <v>538</v>
      </c>
      <c r="J153" s="6" t="s">
        <v>345</v>
      </c>
      <c r="K153" s="10">
        <v>11.934</v>
      </c>
      <c r="L153" s="10">
        <v>45.9</v>
      </c>
      <c r="M153" s="6" t="s">
        <v>371</v>
      </c>
    </row>
    <row r="154" spans="1:13">
      <c r="A154" s="6">
        <v>2023</v>
      </c>
      <c r="B154" s="6">
        <v>1</v>
      </c>
      <c r="C154" s="6" t="s">
        <v>59</v>
      </c>
      <c r="D154" s="6" t="s">
        <v>500</v>
      </c>
      <c r="E154" s="6" t="s">
        <v>388</v>
      </c>
      <c r="F154" s="6" t="str">
        <f>IF($M154="PADD I","PADD 1",IF($M154="PADD II","PADD 2",IF($M154="PADD III","PADD 3",IF($M154="PADD IV","PADD 4",IF($M154="PADD V","PADD 5","")))))</f>
        <v>PADD 2</v>
      </c>
      <c r="G154" s="6" t="str">
        <f>IF(AND($H154="ATMOS DISTILLATION",ISNUMBER(SEARCH("VPS",$I154))=FALSE,LEFT($I154,6)&lt;&gt;"VACUUM"),"CDU",IF($H154="FLUID CAT CRACKING","FCC",IF(OR($H154="HYDROCRACKING",$H154="RESID_HYDROCRACKING"),"Hydrocracker",IF($H154="REFORMING","Reformer",""))))</f>
        <v>Reformer</v>
      </c>
      <c r="H154" s="6" t="s">
        <v>421</v>
      </c>
      <c r="I154" s="6" t="s">
        <v>539</v>
      </c>
      <c r="J154" s="6" t="s">
        <v>345</v>
      </c>
      <c r="K154" s="10">
        <v>11.825</v>
      </c>
      <c r="L154" s="10">
        <v>21.5</v>
      </c>
      <c r="M154" s="6" t="s">
        <v>375</v>
      </c>
    </row>
    <row r="155" spans="1:13">
      <c r="A155" s="6">
        <v>2023</v>
      </c>
      <c r="B155" s="6">
        <v>1</v>
      </c>
      <c r="C155" s="6" t="s">
        <v>59</v>
      </c>
      <c r="D155" s="6" t="s">
        <v>395</v>
      </c>
      <c r="E155" s="6" t="s">
        <v>396</v>
      </c>
      <c r="F155" s="6" t="str">
        <f>IF($M155="PADD I","PADD 1",IF($M155="PADD II","PADD 2",IF($M155="PADD III","PADD 3",IF($M155="PADD IV","PADD 4",IF($M155="PADD V","PADD 5","")))))</f>
        <v>PADD 3</v>
      </c>
      <c r="G155" s="6" t="str">
        <f>IF(AND($H155="ATMOS DISTILLATION",ISNUMBER(SEARCH("VPS",$I155))=FALSE,LEFT($I155,6)&lt;&gt;"VACUUM"),"CDU",IF($H155="FLUID CAT CRACKING","FCC",IF(OR($H155="HYDROCRACKING",$H155="RESID_HYDROCRACKING"),"Hydrocracker",IF($H155="REFORMING","Reformer",""))))</f>
        <v>Reformer</v>
      </c>
      <c r="H155" s="6" t="s">
        <v>421</v>
      </c>
      <c r="I155" s="6" t="s">
        <v>540</v>
      </c>
      <c r="J155" s="6" t="s">
        <v>345</v>
      </c>
      <c r="K155" s="10">
        <v>11.7</v>
      </c>
      <c r="L155" s="10">
        <v>45</v>
      </c>
      <c r="M155" s="6" t="s">
        <v>371</v>
      </c>
    </row>
    <row r="156" spans="1:13">
      <c r="A156" s="6">
        <v>2023</v>
      </c>
      <c r="B156" s="6">
        <v>1</v>
      </c>
      <c r="C156" s="6" t="s">
        <v>59</v>
      </c>
      <c r="D156" s="6" t="s">
        <v>333</v>
      </c>
      <c r="E156" s="6" t="s">
        <v>381</v>
      </c>
      <c r="F156" s="6" t="str">
        <f>IF($M156="PADD I","PADD 1",IF($M156="PADD II","PADD 2",IF($M156="PADD III","PADD 3",IF($M156="PADD IV","PADD 4",IF($M156="PADD V","PADD 5","")))))</f>
        <v>PADD 3</v>
      </c>
      <c r="G156" s="6">
        <f>IF(AND($H156="ATMOS DISTILLATION",ISNUMBER(SEARCH("VPS",$I156))=FALSE,LEFT($I156,6)&lt;&gt;"VACUUM"),"CDU",IF($H156="FLUID CAT CRACKING","FCC",IF(OR($H156="HYDROCRACKING",$H156="RESID_HYDROCRACKING"),"Hydrocracker",IF($H156="REFORMING","Reformer",""))))</f>
        <v/>
      </c>
      <c r="H156" s="6" t="s">
        <v>460</v>
      </c>
      <c r="I156" s="6" t="s">
        <v>541</v>
      </c>
      <c r="J156" s="6" t="s">
        <v>349</v>
      </c>
      <c r="K156" s="10">
        <v>11.36</v>
      </c>
      <c r="L156" s="10">
        <v>16</v>
      </c>
      <c r="M156" s="6" t="s">
        <v>371</v>
      </c>
    </row>
    <row r="157" spans="1:13">
      <c r="A157" s="6">
        <v>2023</v>
      </c>
      <c r="B157" s="6">
        <v>1</v>
      </c>
      <c r="C157" s="6" t="s">
        <v>59</v>
      </c>
      <c r="D157" s="6" t="s">
        <v>542</v>
      </c>
      <c r="E157" s="6" t="s">
        <v>543</v>
      </c>
      <c r="F157" s="6" t="str">
        <f>IF($M157="PADD I","PADD 1",IF($M157="PADD II","PADD 2",IF($M157="PADD III","PADD 3",IF($M157="PADD IV","PADD 4",IF($M157="PADD V","PADD 5","")))))</f>
        <v>PADD 2</v>
      </c>
      <c r="G157" s="6" t="str">
        <f>IF(AND($H157="ATMOS DISTILLATION",ISNUMBER(SEARCH("VPS",$I157))=FALSE,LEFT($I157,6)&lt;&gt;"VACUUM"),"CDU",IF($H157="FLUID CAT CRACKING","FCC",IF(OR($H157="HYDROCRACKING",$H157="RESID_HYDROCRACKING"),"Hydrocracker",IF($H157="REFORMING","Reformer",""))))</f>
        <v>CDU</v>
      </c>
      <c r="H157" s="6" t="s">
        <v>38</v>
      </c>
      <c r="I157" s="6" t="s">
        <v>544</v>
      </c>
      <c r="J157" s="6" t="s">
        <v>345</v>
      </c>
      <c r="K157" s="10">
        <v>11.2</v>
      </c>
      <c r="L157" s="10">
        <v>70</v>
      </c>
      <c r="M157" s="6" t="s">
        <v>375</v>
      </c>
    </row>
    <row r="158" spans="1:13">
      <c r="A158" s="6">
        <v>2023</v>
      </c>
      <c r="B158" s="6">
        <v>1</v>
      </c>
      <c r="C158" s="6" t="s">
        <v>59</v>
      </c>
      <c r="D158" s="6" t="s">
        <v>395</v>
      </c>
      <c r="E158" s="6" t="s">
        <v>396</v>
      </c>
      <c r="F158" s="6" t="str">
        <f>IF($M158="PADD I","PADD 1",IF($M158="PADD II","PADD 2",IF($M158="PADD III","PADD 3",IF($M158="PADD IV","PADD 4",IF($M158="PADD V","PADD 5","")))))</f>
        <v>PADD 3</v>
      </c>
      <c r="G158" s="6">
        <f>IF(AND($H158="ATMOS DISTILLATION",ISNUMBER(SEARCH("VPS",$I158))=FALSE,LEFT($I158,6)&lt;&gt;"VACUUM"),"CDU",IF($H158="FLUID CAT CRACKING","FCC",IF(OR($H158="HYDROCRACKING",$H158="RESID_HYDROCRACKING"),"Hydrocracker",IF($H158="REFORMING","Reformer",""))))</f>
        <v/>
      </c>
      <c r="H158" s="6" t="s">
        <v>43</v>
      </c>
      <c r="I158" s="6" t="s">
        <v>545</v>
      </c>
      <c r="J158" s="6" t="s">
        <v>345</v>
      </c>
      <c r="K158" s="10">
        <v>11.18</v>
      </c>
      <c r="L158" s="10">
        <v>43</v>
      </c>
      <c r="M158" s="6" t="s">
        <v>371</v>
      </c>
    </row>
    <row r="159" spans="1:13">
      <c r="A159" s="6">
        <v>2023</v>
      </c>
      <c r="B159" s="6">
        <v>1</v>
      </c>
      <c r="C159" s="6" t="s">
        <v>59</v>
      </c>
      <c r="D159" s="6" t="s">
        <v>420</v>
      </c>
      <c r="E159" s="6" t="s">
        <v>373</v>
      </c>
      <c r="F159" s="6" t="str">
        <f>IF($M159="PADD I","PADD 1",IF($M159="PADD II","PADD 2",IF($M159="PADD III","PADD 3",IF($M159="PADD IV","PADD 4",IF($M159="PADD V","PADD 5","")))))</f>
        <v>PADD 2</v>
      </c>
      <c r="G159" s="6">
        <f>IF(AND($H159="ATMOS DISTILLATION",ISNUMBER(SEARCH("VPS",$I159))=FALSE,LEFT($I159,6)&lt;&gt;"VACUUM"),"CDU",IF($H159="FLUID CAT CRACKING","FCC",IF(OR($H159="HYDROCRACKING",$H159="RESID_HYDROCRACKING"),"Hydrocracker",IF($H159="REFORMING","Reformer",""))))</f>
        <v/>
      </c>
      <c r="H159" s="6" t="s">
        <v>43</v>
      </c>
      <c r="I159" s="6" t="s">
        <v>546</v>
      </c>
      <c r="J159" s="6" t="s">
        <v>345</v>
      </c>
      <c r="K159" s="10">
        <v>11</v>
      </c>
      <c r="L159" s="10">
        <v>11</v>
      </c>
      <c r="M159" s="6" t="s">
        <v>375</v>
      </c>
    </row>
    <row r="160" spans="1:13">
      <c r="A160" s="6">
        <v>2023</v>
      </c>
      <c r="B160" s="6">
        <v>1</v>
      </c>
      <c r="C160" s="6" t="s">
        <v>59</v>
      </c>
      <c r="D160" s="6" t="s">
        <v>547</v>
      </c>
      <c r="E160" s="6" t="s">
        <v>391</v>
      </c>
      <c r="F160" s="6" t="str">
        <f>IF($M160="PADD I","PADD 1",IF($M160="PADD II","PADD 2",IF($M160="PADD III","PADD 3",IF($M160="PADD IV","PADD 4",IF($M160="PADD V","PADD 5","")))))</f>
        <v>PADD 5</v>
      </c>
      <c r="G160" s="6" t="str">
        <f>IF(AND($H160="ATMOS DISTILLATION",ISNUMBER(SEARCH("VPS",$I160))=FALSE,LEFT($I160,6)&lt;&gt;"VACUUM"),"CDU",IF($H160="FLUID CAT CRACKING","FCC",IF(OR($H160="HYDROCRACKING",$H160="RESID_HYDROCRACKING"),"Hydrocracker",IF($H160="REFORMING","Reformer",""))))</f>
        <v>Reformer</v>
      </c>
      <c r="H160" s="6" t="s">
        <v>421</v>
      </c>
      <c r="I160" s="6" t="s">
        <v>548</v>
      </c>
      <c r="J160" s="6" t="s">
        <v>345</v>
      </c>
      <c r="K160" s="10">
        <v>10.92</v>
      </c>
      <c r="L160" s="10">
        <v>28</v>
      </c>
      <c r="M160" s="6" t="s">
        <v>386</v>
      </c>
    </row>
    <row r="161" spans="1:13">
      <c r="A161" s="6">
        <v>2023</v>
      </c>
      <c r="B161" s="6">
        <v>1</v>
      </c>
      <c r="C161" s="6" t="s">
        <v>59</v>
      </c>
      <c r="D161" s="6" t="s">
        <v>395</v>
      </c>
      <c r="E161" s="6" t="s">
        <v>396</v>
      </c>
      <c r="F161" s="6" t="str">
        <f>IF($M161="PADD I","PADD 1",IF($M161="PADD II","PADD 2",IF($M161="PADD III","PADD 3",IF($M161="PADD IV","PADD 4",IF($M161="PADD V","PADD 5","")))))</f>
        <v>PADD 3</v>
      </c>
      <c r="G161" s="6">
        <f>IF(AND($H161="ATMOS DISTILLATION",ISNUMBER(SEARCH("VPS",$I161))=FALSE,LEFT($I161,6)&lt;&gt;"VACUUM"),"CDU",IF($H161="FLUID CAT CRACKING","FCC",IF(OR($H161="HYDROCRACKING",$H161="RESID_HYDROCRACKING"),"Hydrocracker",IF($H161="REFORMING","Reformer",""))))</f>
        <v/>
      </c>
      <c r="H161" s="6" t="s">
        <v>43</v>
      </c>
      <c r="I161" s="6" t="s">
        <v>549</v>
      </c>
      <c r="J161" s="6" t="s">
        <v>345</v>
      </c>
      <c r="K161" s="10">
        <v>10.79</v>
      </c>
      <c r="L161" s="10">
        <v>41.5</v>
      </c>
      <c r="M161" s="6" t="s">
        <v>371</v>
      </c>
    </row>
    <row r="162" spans="1:13">
      <c r="A162" s="6">
        <v>2023</v>
      </c>
      <c r="B162" s="6">
        <v>1</v>
      </c>
      <c r="C162" s="6" t="s">
        <v>59</v>
      </c>
      <c r="D162" s="6" t="s">
        <v>395</v>
      </c>
      <c r="E162" s="6" t="s">
        <v>396</v>
      </c>
      <c r="F162" s="6" t="str">
        <f>IF($M162="PADD I","PADD 1",IF($M162="PADD II","PADD 2",IF($M162="PADD III","PADD 3",IF($M162="PADD IV","PADD 4",IF($M162="PADD V","PADD 5","")))))</f>
        <v>PADD 3</v>
      </c>
      <c r="G162" s="6">
        <f>IF(AND($H162="ATMOS DISTILLATION",ISNUMBER(SEARCH("VPS",$I162))=FALSE,LEFT($I162,6)&lt;&gt;"VACUUM"),"CDU",IF($H162="FLUID CAT CRACKING","FCC",IF(OR($H162="HYDROCRACKING",$H162="RESID_HYDROCRACKING"),"Hydrocracker",IF($H162="REFORMING","Reformer",""))))</f>
        <v/>
      </c>
      <c r="H162" s="6" t="s">
        <v>43</v>
      </c>
      <c r="I162" s="6" t="s">
        <v>550</v>
      </c>
      <c r="J162" s="6" t="s">
        <v>345</v>
      </c>
      <c r="K162" s="10">
        <v>10.686</v>
      </c>
      <c r="L162" s="10">
        <v>41.1</v>
      </c>
      <c r="M162" s="6" t="s">
        <v>371</v>
      </c>
    </row>
    <row r="163" spans="1:13">
      <c r="A163" s="6">
        <v>2023</v>
      </c>
      <c r="B163" s="6">
        <v>1</v>
      </c>
      <c r="C163" s="6" t="s">
        <v>59</v>
      </c>
      <c r="D163" s="6" t="s">
        <v>395</v>
      </c>
      <c r="E163" s="6" t="s">
        <v>396</v>
      </c>
      <c r="F163" s="6" t="str">
        <f>IF($M163="PADD I","PADD 1",IF($M163="PADD II","PADD 2",IF($M163="PADD III","PADD 3",IF($M163="PADD IV","PADD 4",IF($M163="PADD V","PADD 5","")))))</f>
        <v>PADD 3</v>
      </c>
      <c r="G163" s="6">
        <f>IF(AND($H163="ATMOS DISTILLATION",ISNUMBER(SEARCH("VPS",$I163))=FALSE,LEFT($I163,6)&lt;&gt;"VACUUM"),"CDU",IF($H163="FLUID CAT CRACKING","FCC",IF(OR($H163="HYDROCRACKING",$H163="RESID_HYDROCRACKING"),"Hydrocracker",IF($H163="REFORMING","Reformer",""))))</f>
        <v/>
      </c>
      <c r="H163" s="6" t="s">
        <v>43</v>
      </c>
      <c r="I163" s="6" t="s">
        <v>551</v>
      </c>
      <c r="J163" s="6" t="s">
        <v>345</v>
      </c>
      <c r="K163" s="10">
        <v>10.634</v>
      </c>
      <c r="L163" s="10">
        <v>40.9</v>
      </c>
      <c r="M163" s="6" t="s">
        <v>371</v>
      </c>
    </row>
    <row r="164" spans="1:13">
      <c r="A164" s="6">
        <v>2023</v>
      </c>
      <c r="B164" s="6">
        <v>1</v>
      </c>
      <c r="C164" s="6" t="s">
        <v>59</v>
      </c>
      <c r="D164" s="6" t="s">
        <v>334</v>
      </c>
      <c r="E164" s="6" t="s">
        <v>552</v>
      </c>
      <c r="F164" s="6" t="str">
        <f>IF($M164="PADD I","PADD 1",IF($M164="PADD II","PADD 2",IF($M164="PADD III","PADD 3",IF($M164="PADD IV","PADD 4",IF($M164="PADD V","PADD 5","")))))</f>
        <v>PADD 3</v>
      </c>
      <c r="G164" s="6" t="str">
        <f>IF(AND($H164="ATMOS DISTILLATION",ISNUMBER(SEARCH("VPS",$I164))=FALSE,LEFT($I164,6)&lt;&gt;"VACUUM"),"CDU",IF($H164="FLUID CAT CRACKING","FCC",IF(OR($H164="HYDROCRACKING",$H164="RESID_HYDROCRACKING"),"Hydrocracker",IF($H164="REFORMING","Reformer",""))))</f>
        <v>CDU</v>
      </c>
      <c r="H164" s="6" t="s">
        <v>38</v>
      </c>
      <c r="I164" s="6" t="s">
        <v>137</v>
      </c>
      <c r="J164" s="6" t="s">
        <v>345</v>
      </c>
      <c r="K164" s="10">
        <v>10.4</v>
      </c>
      <c r="L164" s="10">
        <v>80</v>
      </c>
      <c r="M164" s="6" t="s">
        <v>371</v>
      </c>
    </row>
    <row r="165" spans="1:13">
      <c r="A165" s="6">
        <v>2023</v>
      </c>
      <c r="B165" s="6">
        <v>1</v>
      </c>
      <c r="C165" s="6" t="s">
        <v>59</v>
      </c>
      <c r="D165" s="6" t="s">
        <v>518</v>
      </c>
      <c r="E165" s="6" t="s">
        <v>369</v>
      </c>
      <c r="F165" s="6" t="str">
        <f>IF($M165="PADD I","PADD 1",IF($M165="PADD II","PADD 2",IF($M165="PADD III","PADD 3",IF($M165="PADD IV","PADD 4",IF($M165="PADD V","PADD 5","")))))</f>
        <v>PADD 5</v>
      </c>
      <c r="G165" s="6" t="str">
        <f>IF(AND($H165="ATMOS DISTILLATION",ISNUMBER(SEARCH("VPS",$I165))=FALSE,LEFT($I165,6)&lt;&gt;"VACUUM"),"CDU",IF($H165="FLUID CAT CRACKING","FCC",IF(OR($H165="HYDROCRACKING",$H165="RESID_HYDROCRACKING"),"Hydrocracker",IF($H165="REFORMING","Reformer",""))))</f>
        <v>CDU</v>
      </c>
      <c r="H165" s="6" t="s">
        <v>38</v>
      </c>
      <c r="I165" s="6" t="s">
        <v>553</v>
      </c>
      <c r="J165" s="6" t="s">
        <v>345</v>
      </c>
      <c r="K165" s="10">
        <v>10.24</v>
      </c>
      <c r="L165" s="10">
        <v>32</v>
      </c>
      <c r="M165" s="6" t="s">
        <v>386</v>
      </c>
    </row>
    <row r="166" spans="1:13">
      <c r="A166" s="6">
        <v>2023</v>
      </c>
      <c r="B166" s="6">
        <v>1</v>
      </c>
      <c r="C166" s="6" t="s">
        <v>59</v>
      </c>
      <c r="D166" s="6" t="s">
        <v>395</v>
      </c>
      <c r="E166" s="6" t="s">
        <v>396</v>
      </c>
      <c r="F166" s="6" t="str">
        <f>IF($M166="PADD I","PADD 1",IF($M166="PADD II","PADD 2",IF($M166="PADD III","PADD 3",IF($M166="PADD IV","PADD 4",IF($M166="PADD V","PADD 5","")))))</f>
        <v>PADD 3</v>
      </c>
      <c r="G166" s="6">
        <f>IF(AND($H166="ATMOS DISTILLATION",ISNUMBER(SEARCH("VPS",$I166))=FALSE,LEFT($I166,6)&lt;&gt;"VACUUM"),"CDU",IF($H166="FLUID CAT CRACKING","FCC",IF(OR($H166="HYDROCRACKING",$H166="RESID_HYDROCRACKING"),"Hydrocracker",IF($H166="REFORMING","Reformer",""))))</f>
        <v/>
      </c>
      <c r="H166" s="6" t="s">
        <v>43</v>
      </c>
      <c r="I166" s="6" t="s">
        <v>554</v>
      </c>
      <c r="J166" s="6" t="s">
        <v>345</v>
      </c>
      <c r="K166" s="10">
        <v>10.01</v>
      </c>
      <c r="L166" s="10">
        <v>38.5</v>
      </c>
      <c r="M166" s="6" t="s">
        <v>371</v>
      </c>
    </row>
    <row r="167" spans="1:13">
      <c r="A167" s="6">
        <v>2023</v>
      </c>
      <c r="B167" s="6">
        <v>1</v>
      </c>
      <c r="C167" s="6" t="s">
        <v>59</v>
      </c>
      <c r="D167" s="6" t="s">
        <v>462</v>
      </c>
      <c r="E167" s="6" t="s">
        <v>438</v>
      </c>
      <c r="F167" s="6" t="str">
        <f>IF($M167="PADD I","PADD 1",IF($M167="PADD II","PADD 2",IF($M167="PADD III","PADD 3",IF($M167="PADD IV","PADD 4",IF($M167="PADD V","PADD 5","")))))</f>
        <v>PADD 4</v>
      </c>
      <c r="G167" s="6">
        <f>IF(AND($H167="ATMOS DISTILLATION",ISNUMBER(SEARCH("VPS",$I167))=FALSE,LEFT($I167,6)&lt;&gt;"VACUUM"),"CDU",IF($H167="FLUID CAT CRACKING","FCC",IF(OR($H167="HYDROCRACKING",$H167="RESID_HYDROCRACKING"),"Hydrocracker",IF($H167="REFORMING","Reformer",""))))</f>
        <v/>
      </c>
      <c r="H167" s="6" t="s">
        <v>378</v>
      </c>
      <c r="I167" s="6" t="s">
        <v>555</v>
      </c>
      <c r="J167" s="6" t="s">
        <v>345</v>
      </c>
      <c r="K167" s="10">
        <v>10</v>
      </c>
      <c r="L167" s="10">
        <v>10</v>
      </c>
      <c r="M167" s="6" t="s">
        <v>430</v>
      </c>
    </row>
    <row r="168" spans="1:13">
      <c r="A168" s="6">
        <v>2023</v>
      </c>
      <c r="B168" s="6">
        <v>1</v>
      </c>
      <c r="C168" s="6" t="s">
        <v>59</v>
      </c>
      <c r="D168" s="6" t="s">
        <v>437</v>
      </c>
      <c r="E168" s="6" t="s">
        <v>438</v>
      </c>
      <c r="F168" s="6" t="str">
        <f>IF($M168="PADD I","PADD 1",IF($M168="PADD II","PADD 2",IF($M168="PADD III","PADD 3",IF($M168="PADD IV","PADD 4",IF($M168="PADD V","PADD 5","")))))</f>
        <v>PADD 4</v>
      </c>
      <c r="G168" s="6">
        <f>IF(AND($H168="ATMOS DISTILLATION",ISNUMBER(SEARCH("VPS",$I168))=FALSE,LEFT($I168,6)&lt;&gt;"VACUUM"),"CDU",IF($H168="FLUID CAT CRACKING","FCC",IF(OR($H168="HYDROCRACKING",$H168="RESID_HYDROCRACKING"),"Hydrocracker",IF($H168="REFORMING","Reformer",""))))</f>
        <v/>
      </c>
      <c r="H168" s="6" t="s">
        <v>378</v>
      </c>
      <c r="I168" s="6" t="s">
        <v>556</v>
      </c>
      <c r="J168" s="6" t="s">
        <v>345</v>
      </c>
      <c r="K168" s="10">
        <v>10</v>
      </c>
      <c r="L168" s="10">
        <v>10</v>
      </c>
      <c r="M168" s="6" t="s">
        <v>430</v>
      </c>
    </row>
    <row r="169" spans="1:13">
      <c r="A169" s="6">
        <v>2023</v>
      </c>
      <c r="B169" s="6">
        <v>1</v>
      </c>
      <c r="C169" s="6" t="s">
        <v>59</v>
      </c>
      <c r="D169" s="6" t="s">
        <v>437</v>
      </c>
      <c r="E169" s="6" t="s">
        <v>438</v>
      </c>
      <c r="F169" s="6" t="str">
        <f>IF($M169="PADD I","PADD 1",IF($M169="PADD II","PADD 2",IF($M169="PADD III","PADD 3",IF($M169="PADD IV","PADD 4",IF($M169="PADD V","PADD 5","")))))</f>
        <v>PADD 4</v>
      </c>
      <c r="G169" s="6" t="str">
        <f>IF(AND($H169="ATMOS DISTILLATION",ISNUMBER(SEARCH("VPS",$I169))=FALSE,LEFT($I169,6)&lt;&gt;"VACUUM"),"CDU",IF($H169="FLUID CAT CRACKING","FCC",IF(OR($H169="HYDROCRACKING",$H169="RESID_HYDROCRACKING"),"Hydrocracker",IF($H169="REFORMING","Reformer",""))))</f>
        <v>Reformer</v>
      </c>
      <c r="H169" s="6" t="s">
        <v>421</v>
      </c>
      <c r="I169" s="6" t="s">
        <v>557</v>
      </c>
      <c r="J169" s="6" t="s">
        <v>345</v>
      </c>
      <c r="K169" s="10">
        <v>10</v>
      </c>
      <c r="L169" s="10">
        <v>10</v>
      </c>
      <c r="M169" s="6" t="s">
        <v>430</v>
      </c>
    </row>
    <row r="170" spans="1:13">
      <c r="A170" s="6">
        <v>2023</v>
      </c>
      <c r="B170" s="6">
        <v>1</v>
      </c>
      <c r="C170" s="6" t="s">
        <v>59</v>
      </c>
      <c r="D170" s="6" t="s">
        <v>462</v>
      </c>
      <c r="E170" s="6" t="s">
        <v>438</v>
      </c>
      <c r="F170" s="6" t="str">
        <f>IF($M170="PADD I","PADD 1",IF($M170="PADD II","PADD 2",IF($M170="PADD III","PADD 3",IF($M170="PADD IV","PADD 4",IF($M170="PADD V","PADD 5","")))))</f>
        <v>PADD 4</v>
      </c>
      <c r="G170" s="6">
        <f>IF(AND($H170="ATMOS DISTILLATION",ISNUMBER(SEARCH("VPS",$I170))=FALSE,LEFT($I170,6)&lt;&gt;"VACUUM"),"CDU",IF($H170="FLUID CAT CRACKING","FCC",IF(OR($H170="HYDROCRACKING",$H170="RESID_HYDROCRACKING"),"Hydrocracker",IF($H170="REFORMING","Reformer",""))))</f>
        <v/>
      </c>
      <c r="H170" s="6" t="s">
        <v>43</v>
      </c>
      <c r="I170" s="6" t="s">
        <v>493</v>
      </c>
      <c r="J170" s="6" t="s">
        <v>345</v>
      </c>
      <c r="K170" s="10">
        <v>10</v>
      </c>
      <c r="L170" s="10">
        <v>10</v>
      </c>
      <c r="M170" s="6" t="s">
        <v>430</v>
      </c>
    </row>
    <row r="171" spans="1:13">
      <c r="A171" s="6">
        <v>2023</v>
      </c>
      <c r="B171" s="6">
        <v>1</v>
      </c>
      <c r="C171" s="6" t="s">
        <v>59</v>
      </c>
      <c r="D171" s="6" t="s">
        <v>462</v>
      </c>
      <c r="E171" s="6" t="s">
        <v>438</v>
      </c>
      <c r="F171" s="6" t="str">
        <f>IF($M171="PADD I","PADD 1",IF($M171="PADD II","PADD 2",IF($M171="PADD III","PADD 3",IF($M171="PADD IV","PADD 4",IF($M171="PADD V","PADD 5","")))))</f>
        <v>PADD 4</v>
      </c>
      <c r="G171" s="6">
        <f>IF(AND($H171="ATMOS DISTILLATION",ISNUMBER(SEARCH("VPS",$I171))=FALSE,LEFT($I171,6)&lt;&gt;"VACUUM"),"CDU",IF($H171="FLUID CAT CRACKING","FCC",IF(OR($H171="HYDROCRACKING",$H171="RESID_HYDROCRACKING"),"Hydrocracker",IF($H171="REFORMING","Reformer",""))))</f>
        <v/>
      </c>
      <c r="H171" s="6" t="s">
        <v>43</v>
      </c>
      <c r="I171" s="6" t="s">
        <v>558</v>
      </c>
      <c r="J171" s="6" t="s">
        <v>345</v>
      </c>
      <c r="K171" s="10">
        <v>10</v>
      </c>
      <c r="L171" s="10">
        <v>10</v>
      </c>
      <c r="M171" s="6" t="s">
        <v>430</v>
      </c>
    </row>
    <row r="172" spans="1:13">
      <c r="A172" s="6">
        <v>2023</v>
      </c>
      <c r="B172" s="6">
        <v>1</v>
      </c>
      <c r="C172" s="6" t="s">
        <v>59</v>
      </c>
      <c r="D172" s="6" t="s">
        <v>462</v>
      </c>
      <c r="E172" s="6" t="s">
        <v>438</v>
      </c>
      <c r="F172" s="6" t="str">
        <f>IF($M172="PADD I","PADD 1",IF($M172="PADD II","PADD 2",IF($M172="PADD III","PADD 3",IF($M172="PADD IV","PADD 4",IF($M172="PADD V","PADD 5","")))))</f>
        <v>PADD 4</v>
      </c>
      <c r="G172" s="6" t="str">
        <f>IF(AND($H172="ATMOS DISTILLATION",ISNUMBER(SEARCH("VPS",$I172))=FALSE,LEFT($I172,6)&lt;&gt;"VACUUM"),"CDU",IF($H172="FLUID CAT CRACKING","FCC",IF(OR($H172="HYDROCRACKING",$H172="RESID_HYDROCRACKING"),"Hydrocracker",IF($H172="REFORMING","Reformer",""))))</f>
        <v>Reformer</v>
      </c>
      <c r="H172" s="6" t="s">
        <v>421</v>
      </c>
      <c r="I172" s="6" t="s">
        <v>559</v>
      </c>
      <c r="J172" s="6" t="s">
        <v>345</v>
      </c>
      <c r="K172" s="10">
        <v>10</v>
      </c>
      <c r="L172" s="10">
        <v>10</v>
      </c>
      <c r="M172" s="6" t="s">
        <v>430</v>
      </c>
    </row>
    <row r="173" spans="1:13">
      <c r="A173" s="6">
        <v>2023</v>
      </c>
      <c r="B173" s="6">
        <v>1</v>
      </c>
      <c r="C173" s="6" t="s">
        <v>59</v>
      </c>
      <c r="D173" s="6" t="s">
        <v>490</v>
      </c>
      <c r="E173" s="6" t="s">
        <v>491</v>
      </c>
      <c r="F173" s="6" t="str">
        <f>IF($M173="PADD I","PADD 1",IF($M173="PADD II","PADD 2",IF($M173="PADD III","PADD 3",IF($M173="PADD IV","PADD 4",IF($M173="PADD V","PADD 5","")))))</f>
        <v>PADD 3</v>
      </c>
      <c r="G173" s="6">
        <f>IF(AND($H173="ATMOS DISTILLATION",ISNUMBER(SEARCH("VPS",$I173))=FALSE,LEFT($I173,6)&lt;&gt;"VACUUM"),"CDU",IF($H173="FLUID CAT CRACKING","FCC",IF(OR($H173="HYDROCRACKING",$H173="RESID_HYDROCRACKING"),"Hydrocracker",IF($H173="REFORMING","Reformer",""))))</f>
        <v/>
      </c>
      <c r="H173" s="6" t="s">
        <v>378</v>
      </c>
      <c r="I173" s="6" t="s">
        <v>560</v>
      </c>
      <c r="J173" s="6" t="s">
        <v>345</v>
      </c>
      <c r="K173" s="10">
        <v>10</v>
      </c>
      <c r="L173" s="10">
        <v>100</v>
      </c>
      <c r="M173" s="6" t="s">
        <v>371</v>
      </c>
    </row>
    <row r="174" spans="1:13">
      <c r="A174" s="6">
        <v>2023</v>
      </c>
      <c r="B174" s="6">
        <v>1</v>
      </c>
      <c r="C174" s="6" t="s">
        <v>59</v>
      </c>
      <c r="D174" s="6" t="s">
        <v>468</v>
      </c>
      <c r="E174" s="6" t="s">
        <v>369</v>
      </c>
      <c r="F174" s="6" t="str">
        <f>IF($M174="PADD I","PADD 1",IF($M174="PADD II","PADD 2",IF($M174="PADD III","PADD 3",IF($M174="PADD IV","PADD 4",IF($M174="PADD V","PADD 5","")))))</f>
        <v>PADD 3</v>
      </c>
      <c r="G174" s="6" t="str">
        <f>IF(AND($H174="ATMOS DISTILLATION",ISNUMBER(SEARCH("VPS",$I174))=FALSE,LEFT($I174,6)&lt;&gt;"VACUUM"),"CDU",IF($H174="FLUID CAT CRACKING","FCC",IF(OR($H174="HYDROCRACKING",$H174="RESID_HYDROCRACKING"),"Hydrocracker",IF($H174="REFORMING","Reformer",""))))</f>
        <v>CDU</v>
      </c>
      <c r="H174" s="6" t="s">
        <v>38</v>
      </c>
      <c r="I174" s="6" t="s">
        <v>561</v>
      </c>
      <c r="J174" s="6" t="s">
        <v>345</v>
      </c>
      <c r="K174" s="10">
        <v>9.84</v>
      </c>
      <c r="L174" s="10">
        <v>20.5</v>
      </c>
      <c r="M174" s="6" t="s">
        <v>371</v>
      </c>
    </row>
    <row r="175" spans="1:13">
      <c r="A175" s="6">
        <v>2023</v>
      </c>
      <c r="B175" s="6">
        <v>1</v>
      </c>
      <c r="C175" s="6" t="s">
        <v>59</v>
      </c>
      <c r="D175" s="6" t="s">
        <v>329</v>
      </c>
      <c r="E175" s="6" t="s">
        <v>427</v>
      </c>
      <c r="F175" s="6" t="str">
        <f>IF($M175="PADD I","PADD 1",IF($M175="PADD II","PADD 2",IF($M175="PADD III","PADD 3",IF($M175="PADD IV","PADD 4",IF($M175="PADD V","PADD 5","")))))</f>
        <v>PADD 3</v>
      </c>
      <c r="G175" s="6">
        <f>IF(AND($H175="ATMOS DISTILLATION",ISNUMBER(SEARCH("VPS",$I175))=FALSE,LEFT($I175,6)&lt;&gt;"VACUUM"),"CDU",IF($H175="FLUID CAT CRACKING","FCC",IF(OR($H175="HYDROCRACKING",$H175="RESID_HYDROCRACKING"),"Hydrocracker",IF($H175="REFORMING","Reformer",""))))</f>
        <v/>
      </c>
      <c r="H175" s="6" t="s">
        <v>43</v>
      </c>
      <c r="I175" s="6" t="s">
        <v>562</v>
      </c>
      <c r="J175" s="6" t="s">
        <v>345</v>
      </c>
      <c r="K175" s="10">
        <v>9.449999999999999</v>
      </c>
      <c r="L175" s="10">
        <v>27</v>
      </c>
      <c r="M175" s="6" t="s">
        <v>371</v>
      </c>
    </row>
    <row r="176" spans="1:13">
      <c r="A176" s="6">
        <v>2023</v>
      </c>
      <c r="B176" s="6">
        <v>1</v>
      </c>
      <c r="C176" s="6" t="s">
        <v>59</v>
      </c>
      <c r="D176" s="6" t="s">
        <v>563</v>
      </c>
      <c r="E176" s="6" t="s">
        <v>396</v>
      </c>
      <c r="F176" s="6" t="str">
        <f>IF($M176="PADD I","PADD 1",IF($M176="PADD II","PADD 2",IF($M176="PADD III","PADD 3",IF($M176="PADD IV","PADD 4",IF($M176="PADD V","PADD 5","")))))</f>
        <v>PADD 3</v>
      </c>
      <c r="G176" s="6">
        <f>IF(AND($H176="ATMOS DISTILLATION",ISNUMBER(SEARCH("VPS",$I176))=FALSE,LEFT($I176,6)&lt;&gt;"VACUUM"),"CDU",IF($H176="FLUID CAT CRACKING","FCC",IF(OR($H176="HYDROCRACKING",$H176="RESID_HYDROCRACKING"),"Hydrocracker",IF($H176="REFORMING","Reformer",""))))</f>
        <v/>
      </c>
      <c r="H176" s="6" t="s">
        <v>43</v>
      </c>
      <c r="I176" s="6" t="s">
        <v>564</v>
      </c>
      <c r="J176" s="6" t="s">
        <v>345</v>
      </c>
      <c r="K176" s="10">
        <v>9.407</v>
      </c>
      <c r="L176" s="10">
        <v>40.9</v>
      </c>
      <c r="M176" s="6" t="s">
        <v>371</v>
      </c>
    </row>
    <row r="177" spans="1:13">
      <c r="A177" s="6">
        <v>2023</v>
      </c>
      <c r="B177" s="6">
        <v>1</v>
      </c>
      <c r="C177" s="6" t="s">
        <v>59</v>
      </c>
      <c r="D177" s="6" t="s">
        <v>437</v>
      </c>
      <c r="E177" s="6" t="s">
        <v>438</v>
      </c>
      <c r="F177" s="6" t="str">
        <f>IF($M177="PADD I","PADD 1",IF($M177="PADD II","PADD 2",IF($M177="PADD III","PADD 3",IF($M177="PADD IV","PADD 4",IF($M177="PADD V","PADD 5","")))))</f>
        <v>PADD 4</v>
      </c>
      <c r="G177" s="6" t="str">
        <f>IF(AND($H177="ATMOS DISTILLATION",ISNUMBER(SEARCH("VPS",$I177))=FALSE,LEFT($I177,6)&lt;&gt;"VACUUM"),"CDU",IF($H177="FLUID CAT CRACKING","FCC",IF(OR($H177="HYDROCRACKING",$H177="RESID_HYDROCRACKING"),"Hydrocracker",IF($H177="REFORMING","Reformer",""))))</f>
        <v>FCC</v>
      </c>
      <c r="H177" s="6" t="s">
        <v>376</v>
      </c>
      <c r="I177" s="6" t="s">
        <v>428</v>
      </c>
      <c r="J177" s="6" t="s">
        <v>345</v>
      </c>
      <c r="K177" s="10">
        <v>9.300000000000001</v>
      </c>
      <c r="L177" s="10">
        <v>9.300000000000001</v>
      </c>
      <c r="M177" s="6" t="s">
        <v>430</v>
      </c>
    </row>
    <row r="178" spans="1:13">
      <c r="A178" s="6">
        <v>2023</v>
      </c>
      <c r="B178" s="6">
        <v>1</v>
      </c>
      <c r="C178" s="6" t="s">
        <v>59</v>
      </c>
      <c r="D178" s="6" t="s">
        <v>518</v>
      </c>
      <c r="E178" s="6" t="s">
        <v>369</v>
      </c>
      <c r="F178" s="6" t="str">
        <f>IF($M178="PADD I","PADD 1",IF($M178="PADD II","PADD 2",IF($M178="PADD III","PADD 3",IF($M178="PADD IV","PADD 4",IF($M178="PADD V","PADD 5","")))))</f>
        <v>PADD 5</v>
      </c>
      <c r="G178" s="6" t="str">
        <f>IF(AND($H178="ATMOS DISTILLATION",ISNUMBER(SEARCH("VPS",$I178))=FALSE,LEFT($I178,6)&lt;&gt;"VACUUM"),"CDU",IF($H178="FLUID CAT CRACKING","FCC",IF(OR($H178="HYDROCRACKING",$H178="RESID_HYDROCRACKING"),"Hydrocracker",IF($H178="REFORMING","Reformer",""))))</f>
        <v>CDU</v>
      </c>
      <c r="H178" s="6" t="s">
        <v>38</v>
      </c>
      <c r="I178" s="6" t="s">
        <v>553</v>
      </c>
      <c r="J178" s="6" t="s">
        <v>345</v>
      </c>
      <c r="K178" s="10">
        <v>9.279999999999999</v>
      </c>
      <c r="L178" s="10">
        <v>32</v>
      </c>
      <c r="M178" s="6" t="s">
        <v>386</v>
      </c>
    </row>
    <row r="179" spans="1:13">
      <c r="A179" s="6">
        <v>2023</v>
      </c>
      <c r="B179" s="6">
        <v>1</v>
      </c>
      <c r="C179" s="6" t="s">
        <v>59</v>
      </c>
      <c r="D179" s="6" t="s">
        <v>468</v>
      </c>
      <c r="E179" s="6" t="s">
        <v>369</v>
      </c>
      <c r="F179" s="6" t="str">
        <f>IF($M179="PADD I","PADD 1",IF($M179="PADD II","PADD 2",IF($M179="PADD III","PADD 3",IF($M179="PADD IV","PADD 4",IF($M179="PADD V","PADD 5","")))))</f>
        <v>PADD 3</v>
      </c>
      <c r="G179" s="6" t="str">
        <f>IF(AND($H179="ATMOS DISTILLATION",ISNUMBER(SEARCH("VPS",$I179))=FALSE,LEFT($I179,6)&lt;&gt;"VACUUM"),"CDU",IF($H179="FLUID CAT CRACKING","FCC",IF(OR($H179="HYDROCRACKING",$H179="RESID_HYDROCRACKING"),"Hydrocracker",IF($H179="REFORMING","Reformer",""))))</f>
        <v>CDU</v>
      </c>
      <c r="H179" s="6" t="s">
        <v>38</v>
      </c>
      <c r="I179" s="6" t="s">
        <v>565</v>
      </c>
      <c r="J179" s="6" t="s">
        <v>345</v>
      </c>
      <c r="K179" s="10">
        <v>8.880000000000001</v>
      </c>
      <c r="L179" s="10">
        <v>18.5</v>
      </c>
      <c r="M179" s="6" t="s">
        <v>371</v>
      </c>
    </row>
    <row r="180" spans="1:13">
      <c r="A180" s="6">
        <v>2023</v>
      </c>
      <c r="B180" s="6">
        <v>1</v>
      </c>
      <c r="C180" s="6" t="s">
        <v>59</v>
      </c>
      <c r="D180" s="6" t="s">
        <v>518</v>
      </c>
      <c r="E180" s="6" t="s">
        <v>369</v>
      </c>
      <c r="F180" s="6" t="str">
        <f>IF($M180="PADD I","PADD 1",IF($M180="PADD II","PADD 2",IF($M180="PADD III","PADD 3",IF($M180="PADD IV","PADD 4",IF($M180="PADD V","PADD 5","")))))</f>
        <v>PADD 5</v>
      </c>
      <c r="G180" s="6">
        <f>IF(AND($H180="ATMOS DISTILLATION",ISNUMBER(SEARCH("VPS",$I180))=FALSE,LEFT($I180,6)&lt;&gt;"VACUUM"),"CDU",IF($H180="FLUID CAT CRACKING","FCC",IF(OR($H180="HYDROCRACKING",$H180="RESID_HYDROCRACKING"),"Hydrocracker",IF($H180="REFORMING","Reformer",""))))</f>
        <v/>
      </c>
      <c r="H180" s="6" t="s">
        <v>378</v>
      </c>
      <c r="I180" s="6" t="s">
        <v>431</v>
      </c>
      <c r="J180" s="6" t="s">
        <v>345</v>
      </c>
      <c r="K180" s="10">
        <v>8.699999999999999</v>
      </c>
      <c r="L180" s="10">
        <v>30</v>
      </c>
      <c r="M180" s="6" t="s">
        <v>386</v>
      </c>
    </row>
    <row r="181" spans="1:13">
      <c r="A181" s="6">
        <v>2023</v>
      </c>
      <c r="B181" s="6">
        <v>1</v>
      </c>
      <c r="C181" s="6" t="s">
        <v>59</v>
      </c>
      <c r="D181" s="6" t="s">
        <v>411</v>
      </c>
      <c r="E181" s="6" t="s">
        <v>369</v>
      </c>
      <c r="F181" s="6" t="str">
        <f>IF($M181="PADD I","PADD 1",IF($M181="PADD II","PADD 2",IF($M181="PADD III","PADD 3",IF($M181="PADD IV","PADD 4",IF($M181="PADD V","PADD 5","")))))</f>
        <v>PADD 1</v>
      </c>
      <c r="G181" s="6">
        <f>IF(AND($H181="ATMOS DISTILLATION",ISNUMBER(SEARCH("VPS",$I181))=FALSE,LEFT($I181,6)&lt;&gt;"VACUUM"),"CDU",IF($H181="FLUID CAT CRACKING","FCC",IF(OR($H181="HYDROCRACKING",$H181="RESID_HYDROCRACKING"),"Hydrocracker",IF($H181="REFORMING","Reformer",""))))</f>
        <v/>
      </c>
      <c r="H181" s="6" t="s">
        <v>460</v>
      </c>
      <c r="I181" s="6" t="s">
        <v>566</v>
      </c>
      <c r="J181" s="6" t="s">
        <v>349</v>
      </c>
      <c r="K181" s="10">
        <v>8.58</v>
      </c>
      <c r="L181" s="10">
        <v>22</v>
      </c>
      <c r="M181" s="6" t="s">
        <v>413</v>
      </c>
    </row>
    <row r="182" spans="1:13">
      <c r="A182" s="6">
        <v>2023</v>
      </c>
      <c r="B182" s="6">
        <v>1</v>
      </c>
      <c r="C182" s="6" t="s">
        <v>59</v>
      </c>
      <c r="D182" s="6" t="s">
        <v>437</v>
      </c>
      <c r="E182" s="6" t="s">
        <v>438</v>
      </c>
      <c r="F182" s="6" t="str">
        <f>IF($M182="PADD I","PADD 1",IF($M182="PADD II","PADD 2",IF($M182="PADD III","PADD 3",IF($M182="PADD IV","PADD 4",IF($M182="PADD V","PADD 5","")))))</f>
        <v>PADD 4</v>
      </c>
      <c r="G182" s="6" t="str">
        <f>IF(AND($H182="ATMOS DISTILLATION",ISNUMBER(SEARCH("VPS",$I182))=FALSE,LEFT($I182,6)&lt;&gt;"VACUUM"),"CDU",IF($H182="FLUID CAT CRACKING","FCC",IF(OR($H182="HYDROCRACKING",$H182="RESID_HYDROCRACKING"),"Hydrocracker",IF($H182="REFORMING","Reformer",""))))</f>
        <v>FCC</v>
      </c>
      <c r="H182" s="6" t="s">
        <v>376</v>
      </c>
      <c r="I182" s="6" t="s">
        <v>428</v>
      </c>
      <c r="J182" s="6" t="s">
        <v>345</v>
      </c>
      <c r="K182" s="10">
        <v>8.5</v>
      </c>
      <c r="L182" s="10">
        <v>8.5</v>
      </c>
      <c r="M182" s="6" t="s">
        <v>430</v>
      </c>
    </row>
    <row r="183" spans="1:13">
      <c r="A183" s="6">
        <v>2023</v>
      </c>
      <c r="B183" s="6">
        <v>1</v>
      </c>
      <c r="C183" s="6" t="s">
        <v>59</v>
      </c>
      <c r="D183" s="6" t="s">
        <v>531</v>
      </c>
      <c r="E183" s="6" t="s">
        <v>532</v>
      </c>
      <c r="F183" s="6" t="str">
        <f>IF($M183="PADD I","PADD 1",IF($M183="PADD II","PADD 2",IF($M183="PADD III","PADD 3",IF($M183="PADD IV","PADD 4",IF($M183="PADD V","PADD 5","")))))</f>
        <v>PADD 5</v>
      </c>
      <c r="G183" s="6">
        <f>IF(AND($H183="ATMOS DISTILLATION",ISNUMBER(SEARCH("VPS",$I183))=FALSE,LEFT($I183,6)&lt;&gt;"VACUUM"),"CDU",IF($H183="FLUID CAT CRACKING","FCC",IF(OR($H183="HYDROCRACKING",$H183="RESID_HYDROCRACKING"),"Hydrocracker",IF($H183="REFORMING","Reformer",""))))</f>
        <v/>
      </c>
      <c r="H183" s="6" t="s">
        <v>43</v>
      </c>
      <c r="I183" s="6" t="s">
        <v>567</v>
      </c>
      <c r="J183" s="6" t="s">
        <v>345</v>
      </c>
      <c r="K183" s="10">
        <v>8.4</v>
      </c>
      <c r="L183" s="10">
        <v>52.5</v>
      </c>
      <c r="M183" s="6" t="s">
        <v>386</v>
      </c>
    </row>
    <row r="184" spans="1:13">
      <c r="A184" s="6">
        <v>2023</v>
      </c>
      <c r="B184" s="6">
        <v>1</v>
      </c>
      <c r="C184" s="6" t="s">
        <v>59</v>
      </c>
      <c r="D184" s="6" t="s">
        <v>437</v>
      </c>
      <c r="E184" s="6" t="s">
        <v>438</v>
      </c>
      <c r="F184" s="6" t="str">
        <f>IF($M184="PADD I","PADD 1",IF($M184="PADD II","PADD 2",IF($M184="PADD III","PADD 3",IF($M184="PADD IV","PADD 4",IF($M184="PADD V","PADD 5","")))))</f>
        <v>PADD 4</v>
      </c>
      <c r="G184" s="6">
        <f>IF(AND($H184="ATMOS DISTILLATION",ISNUMBER(SEARCH("VPS",$I184))=FALSE,LEFT($I184,6)&lt;&gt;"VACUUM"),"CDU",IF($H184="FLUID CAT CRACKING","FCC",IF(OR($H184="HYDROCRACKING",$H184="RESID_HYDROCRACKING"),"Hydrocracker",IF($H184="REFORMING","Reformer",""))))</f>
        <v/>
      </c>
      <c r="H184" s="6" t="s">
        <v>378</v>
      </c>
      <c r="I184" s="6" t="s">
        <v>556</v>
      </c>
      <c r="J184" s="6" t="s">
        <v>345</v>
      </c>
      <c r="K184" s="10">
        <v>8.380000000000001</v>
      </c>
      <c r="L184" s="10">
        <v>8.380000000000001</v>
      </c>
      <c r="M184" s="6" t="s">
        <v>430</v>
      </c>
    </row>
    <row r="185" spans="1:13">
      <c r="A185" s="6">
        <v>2023</v>
      </c>
      <c r="B185" s="6">
        <v>1</v>
      </c>
      <c r="C185" s="6" t="s">
        <v>59</v>
      </c>
      <c r="D185" s="6" t="s">
        <v>408</v>
      </c>
      <c r="E185" s="6" t="s">
        <v>409</v>
      </c>
      <c r="F185" s="6" t="str">
        <f>IF($M185="PADD I","PADD 1",IF($M185="PADD II","PADD 2",IF($M185="PADD III","PADD 3",IF($M185="PADD IV","PADD 4",IF($M185="PADD V","PADD 5","")))))</f>
        <v>PADD 3</v>
      </c>
      <c r="G185" s="6">
        <f>IF(AND($H185="ATMOS DISTILLATION",ISNUMBER(SEARCH("VPS",$I185))=FALSE,LEFT($I185,6)&lt;&gt;"VACUUM"),"CDU",IF($H185="FLUID CAT CRACKING","FCC",IF(OR($H185="HYDROCRACKING",$H185="RESID_HYDROCRACKING"),"Hydrocracker",IF($H185="REFORMING","Reformer",""))))</f>
        <v/>
      </c>
      <c r="H185" s="6" t="s">
        <v>568</v>
      </c>
      <c r="I185" s="6" t="s">
        <v>569</v>
      </c>
      <c r="J185" s="6" t="s">
        <v>345</v>
      </c>
      <c r="K185" s="10">
        <v>8.234999999999999</v>
      </c>
      <c r="L185" s="10">
        <v>13.5</v>
      </c>
      <c r="M185" s="6" t="s">
        <v>371</v>
      </c>
    </row>
    <row r="186" spans="1:13">
      <c r="A186" s="6">
        <v>2023</v>
      </c>
      <c r="B186" s="6">
        <v>1</v>
      </c>
      <c r="C186" s="6" t="s">
        <v>59</v>
      </c>
      <c r="D186" s="6" t="s">
        <v>518</v>
      </c>
      <c r="E186" s="6" t="s">
        <v>369</v>
      </c>
      <c r="F186" s="6" t="str">
        <f>IF($M186="PADD I","PADD 1",IF($M186="PADD II","PADD 2",IF($M186="PADD III","PADD 3",IF($M186="PADD IV","PADD 4",IF($M186="PADD V","PADD 5","")))))</f>
        <v>PADD 5</v>
      </c>
      <c r="G186" s="6">
        <f>IF(AND($H186="ATMOS DISTILLATION",ISNUMBER(SEARCH("VPS",$I186))=FALSE,LEFT($I186,6)&lt;&gt;"VACUUM"),"CDU",IF($H186="FLUID CAT CRACKING","FCC",IF(OR($H186="HYDROCRACKING",$H186="RESID_HYDROCRACKING"),"Hydrocracker",IF($H186="REFORMING","Reformer",""))))</f>
        <v/>
      </c>
      <c r="H186" s="6" t="s">
        <v>43</v>
      </c>
      <c r="I186" s="6" t="s">
        <v>570</v>
      </c>
      <c r="J186" s="6" t="s">
        <v>345</v>
      </c>
      <c r="K186" s="10">
        <v>8.119999999999999</v>
      </c>
      <c r="L186" s="10">
        <v>28</v>
      </c>
      <c r="M186" s="6" t="s">
        <v>386</v>
      </c>
    </row>
    <row r="187" spans="1:13">
      <c r="A187" s="6">
        <v>2023</v>
      </c>
      <c r="B187" s="6">
        <v>1</v>
      </c>
      <c r="C187" s="6" t="s">
        <v>59</v>
      </c>
      <c r="D187" s="6" t="s">
        <v>531</v>
      </c>
      <c r="E187" s="6" t="s">
        <v>532</v>
      </c>
      <c r="F187" s="6" t="str">
        <f>IF($M187="PADD I","PADD 1",IF($M187="PADD II","PADD 2",IF($M187="PADD III","PADD 3",IF($M187="PADD IV","PADD 4",IF($M187="PADD V","PADD 5","")))))</f>
        <v>PADD 5</v>
      </c>
      <c r="G187" s="6" t="str">
        <f>IF(AND($H187="ATMOS DISTILLATION",ISNUMBER(SEARCH("VPS",$I187))=FALSE,LEFT($I187,6)&lt;&gt;"VACUUM"),"CDU",IF($H187="FLUID CAT CRACKING","FCC",IF(OR($H187="HYDROCRACKING",$H187="RESID_HYDROCRACKING"),"Hydrocracker",IF($H187="REFORMING","Reformer",""))))</f>
        <v>FCC</v>
      </c>
      <c r="H187" s="6" t="s">
        <v>376</v>
      </c>
      <c r="I187" s="6" t="s">
        <v>105</v>
      </c>
      <c r="J187" s="6" t="s">
        <v>345</v>
      </c>
      <c r="K187" s="10">
        <v>8</v>
      </c>
      <c r="L187" s="10">
        <v>50</v>
      </c>
      <c r="M187" s="6" t="s">
        <v>386</v>
      </c>
    </row>
    <row r="188" spans="1:13">
      <c r="A188" s="6">
        <v>2023</v>
      </c>
      <c r="B188" s="6">
        <v>1</v>
      </c>
      <c r="C188" s="6" t="s">
        <v>59</v>
      </c>
      <c r="D188" s="6" t="s">
        <v>420</v>
      </c>
      <c r="E188" s="6" t="s">
        <v>373</v>
      </c>
      <c r="F188" s="6" t="str">
        <f>IF($M188="PADD I","PADD 1",IF($M188="PADD II","PADD 2",IF($M188="PADD III","PADD 3",IF($M188="PADD IV","PADD 4",IF($M188="PADD V","PADD 5","")))))</f>
        <v>PADD 2</v>
      </c>
      <c r="G188" s="6" t="str">
        <f>IF(AND($H188="ATMOS DISTILLATION",ISNUMBER(SEARCH("VPS",$I188))=FALSE,LEFT($I188,6)&lt;&gt;"VACUUM"),"CDU",IF($H188="FLUID CAT CRACKING","FCC",IF(OR($H188="HYDROCRACKING",$H188="RESID_HYDROCRACKING"),"Hydrocracker",IF($H188="REFORMING","Reformer",""))))</f>
        <v>Reformer</v>
      </c>
      <c r="H188" s="6" t="s">
        <v>421</v>
      </c>
      <c r="I188" s="6" t="s">
        <v>571</v>
      </c>
      <c r="J188" s="6" t="s">
        <v>345</v>
      </c>
      <c r="K188" s="10">
        <v>8</v>
      </c>
      <c r="L188" s="10">
        <v>8</v>
      </c>
      <c r="M188" s="6" t="s">
        <v>375</v>
      </c>
    </row>
    <row r="189" spans="1:13">
      <c r="A189" s="6">
        <v>2023</v>
      </c>
      <c r="B189" s="6">
        <v>1</v>
      </c>
      <c r="C189" s="6" t="s">
        <v>59</v>
      </c>
      <c r="D189" s="6" t="s">
        <v>572</v>
      </c>
      <c r="E189" s="6" t="s">
        <v>573</v>
      </c>
      <c r="F189" s="6" t="str">
        <f>IF($M189="PADD I","PADD 1",IF($M189="PADD II","PADD 2",IF($M189="PADD III","PADD 3",IF($M189="PADD IV","PADD 4",IF($M189="PADD V","PADD 5","")))))</f>
        <v>PADD 3</v>
      </c>
      <c r="G189" s="6" t="str">
        <f>IF(AND($H189="ATMOS DISTILLATION",ISNUMBER(SEARCH("VPS",$I189))=FALSE,LEFT($I189,6)&lt;&gt;"VACUUM"),"CDU",IF($H189="FLUID CAT CRACKING","FCC",IF(OR($H189="HYDROCRACKING",$H189="RESID_HYDROCRACKING"),"Hydrocracker",IF($H189="REFORMING","Reformer",""))))</f>
        <v>CDU</v>
      </c>
      <c r="H189" s="6" t="s">
        <v>38</v>
      </c>
      <c r="I189" s="6" t="s">
        <v>574</v>
      </c>
      <c r="J189" s="6" t="s">
        <v>345</v>
      </c>
      <c r="K189" s="10">
        <v>8</v>
      </c>
      <c r="L189" s="10">
        <v>50</v>
      </c>
      <c r="M189" s="6" t="s">
        <v>371</v>
      </c>
    </row>
    <row r="190" spans="1:13">
      <c r="A190" s="6">
        <v>2023</v>
      </c>
      <c r="B190" s="6">
        <v>1</v>
      </c>
      <c r="C190" s="6" t="s">
        <v>59</v>
      </c>
      <c r="D190" s="6" t="s">
        <v>531</v>
      </c>
      <c r="E190" s="6" t="s">
        <v>532</v>
      </c>
      <c r="F190" s="6" t="str">
        <f>IF($M190="PADD I","PADD 1",IF($M190="PADD II","PADD 2",IF($M190="PADD III","PADD 3",IF($M190="PADD IV","PADD 4",IF($M190="PADD V","PADD 5","")))))</f>
        <v>PADD 5</v>
      </c>
      <c r="G190" s="6">
        <f>IF(AND($H190="ATMOS DISTILLATION",ISNUMBER(SEARCH("VPS",$I190))=FALSE,LEFT($I190,6)&lt;&gt;"VACUUM"),"CDU",IF($H190="FLUID CAT CRACKING","FCC",IF(OR($H190="HYDROCRACKING",$H190="RESID_HYDROCRACKING"),"Hydrocracker",IF($H190="REFORMING","Reformer",""))))</f>
        <v/>
      </c>
      <c r="H190" s="6" t="s">
        <v>378</v>
      </c>
      <c r="I190" s="6" t="s">
        <v>379</v>
      </c>
      <c r="J190" s="6" t="s">
        <v>345</v>
      </c>
      <c r="K190" s="10">
        <v>7.84</v>
      </c>
      <c r="L190" s="10">
        <v>49</v>
      </c>
      <c r="M190" s="6" t="s">
        <v>386</v>
      </c>
    </row>
    <row r="191" spans="1:13">
      <c r="A191" s="6">
        <v>2023</v>
      </c>
      <c r="B191" s="6">
        <v>1</v>
      </c>
      <c r="C191" s="6" t="s">
        <v>59</v>
      </c>
      <c r="D191" s="6" t="s">
        <v>395</v>
      </c>
      <c r="E191" s="6" t="s">
        <v>396</v>
      </c>
      <c r="F191" s="6" t="str">
        <f>IF($M191="PADD I","PADD 1",IF($M191="PADD II","PADD 2",IF($M191="PADD III","PADD 3",IF($M191="PADD IV","PADD 4",IF($M191="PADD V","PADD 5","")))))</f>
        <v>PADD 3</v>
      </c>
      <c r="G191" s="6">
        <f>IF(AND($H191="ATMOS DISTILLATION",ISNUMBER(SEARCH("VPS",$I191))=FALSE,LEFT($I191,6)&lt;&gt;"VACUUM"),"CDU",IF($H191="FLUID CAT CRACKING","FCC",IF(OR($H191="HYDROCRACKING",$H191="RESID_HYDROCRACKING"),"Hydrocracker",IF($H191="REFORMING","Reformer",""))))</f>
        <v/>
      </c>
      <c r="H191" s="6" t="s">
        <v>378</v>
      </c>
      <c r="I191" s="6" t="s">
        <v>575</v>
      </c>
      <c r="J191" s="6" t="s">
        <v>345</v>
      </c>
      <c r="K191" s="10">
        <v>7.8</v>
      </c>
      <c r="L191" s="10">
        <v>30</v>
      </c>
      <c r="M191" s="6" t="s">
        <v>371</v>
      </c>
    </row>
    <row r="192" spans="1:13">
      <c r="A192" s="6">
        <v>2023</v>
      </c>
      <c r="B192" s="6">
        <v>1</v>
      </c>
      <c r="C192" s="6" t="s">
        <v>59</v>
      </c>
      <c r="D192" s="6" t="s">
        <v>576</v>
      </c>
      <c r="E192" s="6" t="s">
        <v>369</v>
      </c>
      <c r="F192" s="6" t="str">
        <f>IF($M192="PADD I","PADD 1",IF($M192="PADD II","PADD 2",IF($M192="PADD III","PADD 3",IF($M192="PADD IV","PADD 4",IF($M192="PADD V","PADD 5","")))))</f>
        <v>PADD 3</v>
      </c>
      <c r="G192" s="6" t="str">
        <f>IF(AND($H192="ATMOS DISTILLATION",ISNUMBER(SEARCH("VPS",$I192))=FALSE,LEFT($I192,6)&lt;&gt;"VACUUM"),"CDU",IF($H192="FLUID CAT CRACKING","FCC",IF(OR($H192="HYDROCRACKING",$H192="RESID_HYDROCRACKING"),"Hydrocracker",IF($H192="REFORMING","Reformer",""))))</f>
        <v>Reformer</v>
      </c>
      <c r="H192" s="6" t="s">
        <v>421</v>
      </c>
      <c r="I192" s="6" t="s">
        <v>483</v>
      </c>
      <c r="J192" s="6" t="s">
        <v>345</v>
      </c>
      <c r="K192" s="10">
        <v>7.8</v>
      </c>
      <c r="L192" s="10">
        <v>12</v>
      </c>
      <c r="M192" s="6" t="s">
        <v>371</v>
      </c>
    </row>
    <row r="193" spans="1:13">
      <c r="A193" s="6">
        <v>2023</v>
      </c>
      <c r="B193" s="6">
        <v>1</v>
      </c>
      <c r="C193" s="6" t="s">
        <v>59</v>
      </c>
      <c r="D193" s="6" t="s">
        <v>402</v>
      </c>
      <c r="E193" s="6" t="s">
        <v>403</v>
      </c>
      <c r="F193" s="6" t="str">
        <f>IF($M193="PADD I","PADD 1",IF($M193="PADD II","PADD 2",IF($M193="PADD III","PADD 3",IF($M193="PADD IV","PADD 4",IF($M193="PADD V","PADD 5","")))))</f>
        <v>PADD 3</v>
      </c>
      <c r="G193" s="6">
        <f>IF(AND($H193="ATMOS DISTILLATION",ISNUMBER(SEARCH("VPS",$I193))=FALSE,LEFT($I193,6)&lt;&gt;"VACUUM"),"CDU",IF($H193="FLUID CAT CRACKING","FCC",IF(OR($H193="HYDROCRACKING",$H193="RESID_HYDROCRACKING"),"Hydrocracker",IF($H193="REFORMING","Reformer",""))))</f>
        <v/>
      </c>
      <c r="H193" s="6" t="s">
        <v>435</v>
      </c>
      <c r="I193" s="6" t="s">
        <v>441</v>
      </c>
      <c r="J193" s="6" t="s">
        <v>349</v>
      </c>
      <c r="K193" s="10">
        <v>7.7</v>
      </c>
      <c r="L193" s="10">
        <v>10</v>
      </c>
      <c r="M193" s="6" t="s">
        <v>371</v>
      </c>
    </row>
    <row r="194" spans="1:13">
      <c r="A194" s="6">
        <v>2023</v>
      </c>
      <c r="B194" s="6">
        <v>1</v>
      </c>
      <c r="C194" s="6" t="s">
        <v>59</v>
      </c>
      <c r="D194" s="6" t="s">
        <v>420</v>
      </c>
      <c r="E194" s="6" t="s">
        <v>373</v>
      </c>
      <c r="F194" s="6" t="str">
        <f>IF($M194="PADD I","PADD 1",IF($M194="PADD II","PADD 2",IF($M194="PADD III","PADD 3",IF($M194="PADD IV","PADD 4",IF($M194="PADD V","PADD 5","")))))</f>
        <v>PADD 2</v>
      </c>
      <c r="G194" s="6">
        <f>IF(AND($H194="ATMOS DISTILLATION",ISNUMBER(SEARCH("VPS",$I194))=FALSE,LEFT($I194,6)&lt;&gt;"VACUUM"),"CDU",IF($H194="FLUID CAT CRACKING","FCC",IF(OR($H194="HYDROCRACKING",$H194="RESID_HYDROCRACKING"),"Hydrocracker",IF($H194="REFORMING","Reformer",""))))</f>
        <v/>
      </c>
      <c r="H194" s="6" t="s">
        <v>43</v>
      </c>
      <c r="I194" s="6" t="s">
        <v>577</v>
      </c>
      <c r="J194" s="6" t="s">
        <v>345</v>
      </c>
      <c r="K194" s="10">
        <v>7.7</v>
      </c>
      <c r="L194" s="10">
        <v>7.7</v>
      </c>
      <c r="M194" s="6" t="s">
        <v>375</v>
      </c>
    </row>
    <row r="195" spans="1:13">
      <c r="A195" s="6">
        <v>2023</v>
      </c>
      <c r="B195" s="6">
        <v>1</v>
      </c>
      <c r="C195" s="6" t="s">
        <v>59</v>
      </c>
      <c r="D195" s="6" t="s">
        <v>326</v>
      </c>
      <c r="E195" s="6" t="s">
        <v>385</v>
      </c>
      <c r="F195" s="6" t="str">
        <f>IF($M195="PADD I","PADD 1",IF($M195="PADD II","PADD 2",IF($M195="PADD III","PADD 3",IF($M195="PADD IV","PADD 4",IF($M195="PADD V","PADD 5","")))))</f>
        <v>PADD 5</v>
      </c>
      <c r="G195" s="6" t="str">
        <f>IF(AND($H195="ATMOS DISTILLATION",ISNUMBER(SEARCH("VPS",$I195))=FALSE,LEFT($I195,6)&lt;&gt;"VACUUM"),"CDU",IF($H195="FLUID CAT CRACKING","FCC",IF(OR($H195="HYDROCRACKING",$H195="RESID_HYDROCRACKING"),"Hydrocracker",IF($H195="REFORMING","Reformer",""))))</f>
        <v>Reformer</v>
      </c>
      <c r="H195" s="6" t="s">
        <v>421</v>
      </c>
      <c r="I195" s="6" t="s">
        <v>15</v>
      </c>
      <c r="J195" s="6" t="s">
        <v>349</v>
      </c>
      <c r="K195" s="10">
        <v>7.67</v>
      </c>
      <c r="L195" s="10">
        <v>14.75</v>
      </c>
      <c r="M195" s="6" t="s">
        <v>386</v>
      </c>
    </row>
    <row r="196" spans="1:13">
      <c r="A196" s="6">
        <v>2023</v>
      </c>
      <c r="B196" s="6">
        <v>1</v>
      </c>
      <c r="C196" s="6" t="s">
        <v>59</v>
      </c>
      <c r="D196" s="6" t="s">
        <v>518</v>
      </c>
      <c r="E196" s="6" t="s">
        <v>369</v>
      </c>
      <c r="F196" s="6" t="str">
        <f>IF($M196="PADD I","PADD 1",IF($M196="PADD II","PADD 2",IF($M196="PADD III","PADD 3",IF($M196="PADD IV","PADD 4",IF($M196="PADD V","PADD 5","")))))</f>
        <v>PADD 5</v>
      </c>
      <c r="G196" s="6">
        <f>IF(AND($H196="ATMOS DISTILLATION",ISNUMBER(SEARCH("VPS",$I196))=FALSE,LEFT($I196,6)&lt;&gt;"VACUUM"),"CDU",IF($H196="FLUID CAT CRACKING","FCC",IF(OR($H196="HYDROCRACKING",$H196="RESID_HYDROCRACKING"),"Hydrocracker",IF($H196="REFORMING","Reformer",""))))</f>
        <v/>
      </c>
      <c r="H196" s="6" t="s">
        <v>435</v>
      </c>
      <c r="I196" s="6" t="s">
        <v>578</v>
      </c>
      <c r="J196" s="6" t="s">
        <v>345</v>
      </c>
      <c r="K196" s="10">
        <v>7.54</v>
      </c>
      <c r="L196" s="10">
        <v>26</v>
      </c>
      <c r="M196" s="6" t="s">
        <v>386</v>
      </c>
    </row>
    <row r="197" spans="1:13">
      <c r="A197" s="6">
        <v>2023</v>
      </c>
      <c r="B197" s="6">
        <v>1</v>
      </c>
      <c r="C197" s="6" t="s">
        <v>59</v>
      </c>
      <c r="D197" s="6" t="s">
        <v>420</v>
      </c>
      <c r="E197" s="6" t="s">
        <v>373</v>
      </c>
      <c r="F197" s="6" t="str">
        <f>IF($M197="PADD I","PADD 1",IF($M197="PADD II","PADD 2",IF($M197="PADD III","PADD 3",IF($M197="PADD IV","PADD 4",IF($M197="PADD V","PADD 5","")))))</f>
        <v>PADD 2</v>
      </c>
      <c r="G197" s="6">
        <f>IF(AND($H197="ATMOS DISTILLATION",ISNUMBER(SEARCH("VPS",$I197))=FALSE,LEFT($I197,6)&lt;&gt;"VACUUM"),"CDU",IF($H197="FLUID CAT CRACKING","FCC",IF(OR($H197="HYDROCRACKING",$H197="RESID_HYDROCRACKING"),"Hydrocracker",IF($H197="REFORMING","Reformer",""))))</f>
        <v/>
      </c>
      <c r="H197" s="6" t="s">
        <v>43</v>
      </c>
      <c r="I197" s="6" t="s">
        <v>458</v>
      </c>
      <c r="J197" s="6" t="s">
        <v>345</v>
      </c>
      <c r="K197" s="10">
        <v>7.5</v>
      </c>
      <c r="L197" s="10">
        <v>7.5</v>
      </c>
      <c r="M197" s="6" t="s">
        <v>375</v>
      </c>
    </row>
    <row r="198" spans="1:13">
      <c r="A198" s="6">
        <v>2023</v>
      </c>
      <c r="B198" s="6">
        <v>1</v>
      </c>
      <c r="C198" s="6" t="s">
        <v>59</v>
      </c>
      <c r="D198" s="6" t="s">
        <v>526</v>
      </c>
      <c r="E198" s="6" t="s">
        <v>405</v>
      </c>
      <c r="F198" s="6" t="str">
        <f>IF($M198="PADD I","PADD 1",IF($M198="PADD II","PADD 2",IF($M198="PADD III","PADD 3",IF($M198="PADD IV","PADD 4",IF($M198="PADD V","PADD 5","")))))</f>
        <v>PADD 3</v>
      </c>
      <c r="G198" s="6" t="str">
        <f>IF(AND($H198="ATMOS DISTILLATION",ISNUMBER(SEARCH("VPS",$I198))=FALSE,LEFT($I198,6)&lt;&gt;"VACUUM"),"CDU",IF($H198="FLUID CAT CRACKING","FCC",IF(OR($H198="HYDROCRACKING",$H198="RESID_HYDROCRACKING"),"Hydrocracker",IF($H198="REFORMING","Reformer",""))))</f>
        <v>Hydrocracker</v>
      </c>
      <c r="H198" s="6" t="s">
        <v>444</v>
      </c>
      <c r="I198" s="6" t="s">
        <v>351</v>
      </c>
      <c r="J198" s="6" t="s">
        <v>345</v>
      </c>
      <c r="K198" s="10">
        <v>7.41</v>
      </c>
      <c r="L198" s="10">
        <v>57</v>
      </c>
      <c r="M198" s="6" t="s">
        <v>371</v>
      </c>
    </row>
    <row r="199" spans="1:13">
      <c r="A199" s="6">
        <v>2023</v>
      </c>
      <c r="B199" s="6">
        <v>1</v>
      </c>
      <c r="C199" s="6" t="s">
        <v>59</v>
      </c>
      <c r="D199" s="6" t="s">
        <v>518</v>
      </c>
      <c r="E199" s="6" t="s">
        <v>369</v>
      </c>
      <c r="F199" s="6" t="str">
        <f>IF($M199="PADD I","PADD 1",IF($M199="PADD II","PADD 2",IF($M199="PADD III","PADD 3",IF($M199="PADD IV","PADD 4",IF($M199="PADD V","PADD 5","")))))</f>
        <v>PADD 5</v>
      </c>
      <c r="G199" s="6">
        <f>IF(AND($H199="ATMOS DISTILLATION",ISNUMBER(SEARCH("VPS",$I199))=FALSE,LEFT($I199,6)&lt;&gt;"VACUUM"),"CDU",IF($H199="FLUID CAT CRACKING","FCC",IF(OR($H199="HYDROCRACKING",$H199="RESID_HYDROCRACKING"),"Hydrocracker",IF($H199="REFORMING","Reformer",""))))</f>
        <v/>
      </c>
      <c r="H199" s="6" t="s">
        <v>435</v>
      </c>
      <c r="I199" s="6" t="s">
        <v>578</v>
      </c>
      <c r="J199" s="6" t="s">
        <v>349</v>
      </c>
      <c r="K199" s="10">
        <v>7.36</v>
      </c>
      <c r="L199" s="10">
        <v>23</v>
      </c>
      <c r="M199" s="6" t="s">
        <v>386</v>
      </c>
    </row>
    <row r="200" spans="1:13">
      <c r="A200" s="6">
        <v>2023</v>
      </c>
      <c r="B200" s="6">
        <v>1</v>
      </c>
      <c r="C200" s="6" t="s">
        <v>59</v>
      </c>
      <c r="D200" s="6" t="s">
        <v>518</v>
      </c>
      <c r="E200" s="6" t="s">
        <v>369</v>
      </c>
      <c r="F200" s="6" t="str">
        <f>IF($M200="PADD I","PADD 1",IF($M200="PADD II","PADD 2",IF($M200="PADD III","PADD 3",IF($M200="PADD IV","PADD 4",IF($M200="PADD V","PADD 5","")))))</f>
        <v>PADD 5</v>
      </c>
      <c r="G200" s="6">
        <f>IF(AND($H200="ATMOS DISTILLATION",ISNUMBER(SEARCH("VPS",$I200))=FALSE,LEFT($I200,6)&lt;&gt;"VACUUM"),"CDU",IF($H200="FLUID CAT CRACKING","FCC",IF(OR($H200="HYDROCRACKING",$H200="RESID_HYDROCRACKING"),"Hydrocracker",IF($H200="REFORMING","Reformer",""))))</f>
        <v/>
      </c>
      <c r="H200" s="6" t="s">
        <v>43</v>
      </c>
      <c r="I200" s="6" t="s">
        <v>579</v>
      </c>
      <c r="J200" s="6" t="s">
        <v>345</v>
      </c>
      <c r="K200" s="10">
        <v>7.25</v>
      </c>
      <c r="L200" s="10">
        <v>25</v>
      </c>
      <c r="M200" s="6" t="s">
        <v>386</v>
      </c>
    </row>
    <row r="201" spans="1:13">
      <c r="A201" s="6">
        <v>2023</v>
      </c>
      <c r="B201" s="6">
        <v>1</v>
      </c>
      <c r="C201" s="6" t="s">
        <v>59</v>
      </c>
      <c r="D201" s="6" t="s">
        <v>446</v>
      </c>
      <c r="E201" s="6" t="s">
        <v>391</v>
      </c>
      <c r="F201" s="6" t="str">
        <f>IF($M201="PADD I","PADD 1",IF($M201="PADD II","PADD 2",IF($M201="PADD III","PADD 3",IF($M201="PADD IV","PADD 4",IF($M201="PADD V","PADD 5","")))))</f>
        <v>PADD 3</v>
      </c>
      <c r="G201" s="6">
        <f>IF(AND($H201="ATMOS DISTILLATION",ISNUMBER(SEARCH("VPS",$I201))=FALSE,LEFT($I201,6)&lt;&gt;"VACUUM"),"CDU",IF($H201="FLUID CAT CRACKING","FCC",IF(OR($H201="HYDROCRACKING",$H201="RESID_HYDROCRACKING"),"Hydrocracker",IF($H201="REFORMING","Reformer",""))))</f>
        <v/>
      </c>
      <c r="H201" s="6" t="s">
        <v>460</v>
      </c>
      <c r="I201" s="6" t="s">
        <v>580</v>
      </c>
      <c r="J201" s="6" t="s">
        <v>345</v>
      </c>
      <c r="K201" s="10">
        <v>7.2</v>
      </c>
      <c r="L201" s="10">
        <v>7.2</v>
      </c>
      <c r="M201" s="6" t="s">
        <v>371</v>
      </c>
    </row>
    <row r="202" spans="1:13">
      <c r="A202" s="6">
        <v>2023</v>
      </c>
      <c r="B202" s="6">
        <v>1</v>
      </c>
      <c r="C202" s="6" t="s">
        <v>59</v>
      </c>
      <c r="D202" s="6" t="s">
        <v>395</v>
      </c>
      <c r="E202" s="6" t="s">
        <v>396</v>
      </c>
      <c r="F202" s="6" t="str">
        <f>IF($M202="PADD I","PADD 1",IF($M202="PADD II","PADD 2",IF($M202="PADD III","PADD 3",IF($M202="PADD IV","PADD 4",IF($M202="PADD V","PADD 5","")))))</f>
        <v>PADD 3</v>
      </c>
      <c r="G202" s="6">
        <f>IF(AND($H202="ATMOS DISTILLATION",ISNUMBER(SEARCH("VPS",$I202))=FALSE,LEFT($I202,6)&lt;&gt;"VACUUM"),"CDU",IF($H202="FLUID CAT CRACKING","FCC",IF(OR($H202="HYDROCRACKING",$H202="RESID_HYDROCRACKING"),"Hydrocracker",IF($H202="REFORMING","Reformer",""))))</f>
        <v/>
      </c>
      <c r="H202" s="6" t="s">
        <v>378</v>
      </c>
      <c r="I202" s="6" t="s">
        <v>474</v>
      </c>
      <c r="J202" s="6" t="s">
        <v>345</v>
      </c>
      <c r="K202" s="10">
        <v>6.9</v>
      </c>
      <c r="L202" s="10">
        <v>115</v>
      </c>
      <c r="M202" s="6" t="s">
        <v>371</v>
      </c>
    </row>
    <row r="203" spans="1:13">
      <c r="A203" s="6">
        <v>2023</v>
      </c>
      <c r="B203" s="6">
        <v>1</v>
      </c>
      <c r="C203" s="6" t="s">
        <v>59</v>
      </c>
      <c r="D203" s="6" t="s">
        <v>518</v>
      </c>
      <c r="E203" s="6" t="s">
        <v>369</v>
      </c>
      <c r="F203" s="6" t="str">
        <f>IF($M203="PADD I","PADD 1",IF($M203="PADD II","PADD 2",IF($M203="PADD III","PADD 3",IF($M203="PADD IV","PADD 4",IF($M203="PADD V","PADD 5","")))))</f>
        <v>PADD 5</v>
      </c>
      <c r="G203" s="6" t="str">
        <f>IF(AND($H203="ATMOS DISTILLATION",ISNUMBER(SEARCH("VPS",$I203))=FALSE,LEFT($I203,6)&lt;&gt;"VACUUM"),"CDU",IF($H203="FLUID CAT CRACKING","FCC",IF(OR($H203="HYDROCRACKING",$H203="RESID_HYDROCRACKING"),"Hydrocracker",IF($H203="REFORMING","Reformer",""))))</f>
        <v>Hydrocracker</v>
      </c>
      <c r="H203" s="6" t="s">
        <v>581</v>
      </c>
      <c r="I203" s="6" t="s">
        <v>582</v>
      </c>
      <c r="J203" s="6" t="s">
        <v>345</v>
      </c>
      <c r="K203" s="10">
        <v>6.67</v>
      </c>
      <c r="L203" s="10">
        <v>23</v>
      </c>
      <c r="M203" s="6" t="s">
        <v>386</v>
      </c>
    </row>
    <row r="204" spans="1:13">
      <c r="A204" s="6">
        <v>2023</v>
      </c>
      <c r="B204" s="6">
        <v>1</v>
      </c>
      <c r="C204" s="6" t="s">
        <v>59</v>
      </c>
      <c r="D204" s="6" t="s">
        <v>387</v>
      </c>
      <c r="E204" s="6" t="s">
        <v>388</v>
      </c>
      <c r="F204" s="6" t="str">
        <f>IF($M204="PADD I","PADD 1",IF($M204="PADD II","PADD 2",IF($M204="PADD III","PADD 3",IF($M204="PADD IV","PADD 4",IF($M204="PADD V","PADD 5","")))))</f>
        <v>PADD 3</v>
      </c>
      <c r="G204" s="6" t="str">
        <f>IF(AND($H204="ATMOS DISTILLATION",ISNUMBER(SEARCH("VPS",$I204))=FALSE,LEFT($I204,6)&lt;&gt;"VACUUM"),"CDU",IF($H204="FLUID CAT CRACKING","FCC",IF(OR($H204="HYDROCRACKING",$H204="RESID_HYDROCRACKING"),"Hydrocracker",IF($H204="REFORMING","Reformer",""))))</f>
        <v>Reformer</v>
      </c>
      <c r="H204" s="6" t="s">
        <v>421</v>
      </c>
      <c r="I204" s="6" t="s">
        <v>583</v>
      </c>
      <c r="J204" s="6" t="s">
        <v>345</v>
      </c>
      <c r="K204" s="10">
        <v>6.55</v>
      </c>
      <c r="L204" s="10">
        <v>65.5</v>
      </c>
      <c r="M204" s="6" t="s">
        <v>371</v>
      </c>
    </row>
    <row r="205" spans="1:13">
      <c r="A205" s="6">
        <v>2023</v>
      </c>
      <c r="B205" s="6">
        <v>1</v>
      </c>
      <c r="C205" s="6" t="s">
        <v>59</v>
      </c>
      <c r="D205" s="6" t="s">
        <v>372</v>
      </c>
      <c r="E205" s="6" t="s">
        <v>373</v>
      </c>
      <c r="F205" s="6" t="str">
        <f>IF($M205="PADD I","PADD 1",IF($M205="PADD II","PADD 2",IF($M205="PADD III","PADD 3",IF($M205="PADD IV","PADD 4",IF($M205="PADD V","PADD 5","")))))</f>
        <v>PADD 2</v>
      </c>
      <c r="G205" s="6">
        <f>IF(AND($H205="ATMOS DISTILLATION",ISNUMBER(SEARCH("VPS",$I205))=FALSE,LEFT($I205,6)&lt;&gt;"VACUUM"),"CDU",IF($H205="FLUID CAT CRACKING","FCC",IF(OR($H205="HYDROCRACKING",$H205="RESID_HYDROCRACKING"),"Hydrocracker",IF($H205="REFORMING","Reformer",""))))</f>
        <v/>
      </c>
      <c r="H205" s="6" t="s">
        <v>435</v>
      </c>
      <c r="I205" s="6" t="s">
        <v>584</v>
      </c>
      <c r="J205" s="6" t="s">
        <v>345</v>
      </c>
      <c r="K205" s="10">
        <v>6.5</v>
      </c>
      <c r="L205" s="10">
        <v>6.5</v>
      </c>
      <c r="M205" s="6" t="s">
        <v>375</v>
      </c>
    </row>
    <row r="206" spans="1:13">
      <c r="A206" s="6">
        <v>2023</v>
      </c>
      <c r="B206" s="6">
        <v>1</v>
      </c>
      <c r="C206" s="6" t="s">
        <v>59</v>
      </c>
      <c r="D206" s="6" t="s">
        <v>333</v>
      </c>
      <c r="E206" s="6" t="s">
        <v>381</v>
      </c>
      <c r="F206" s="6" t="str">
        <f>IF($M206="PADD I","PADD 1",IF($M206="PADD II","PADD 2",IF($M206="PADD III","PADD 3",IF($M206="PADD IV","PADD 4",IF($M206="PADD V","PADD 5","")))))</f>
        <v>PADD 3</v>
      </c>
      <c r="G206" s="6" t="str">
        <f>IF(AND($H206="ATMOS DISTILLATION",ISNUMBER(SEARCH("VPS",$I206))=FALSE,LEFT($I206,6)&lt;&gt;"VACUUM"),"CDU",IF($H206="FLUID CAT CRACKING","FCC",IF(OR($H206="HYDROCRACKING",$H206="RESID_HYDROCRACKING"),"Hydrocracker",IF($H206="REFORMING","Reformer",""))))</f>
        <v>Hydrocracker</v>
      </c>
      <c r="H206" s="6" t="s">
        <v>444</v>
      </c>
      <c r="I206" s="6" t="s">
        <v>14</v>
      </c>
      <c r="J206" s="6" t="s">
        <v>345</v>
      </c>
      <c r="K206" s="10">
        <v>6.5</v>
      </c>
      <c r="L206" s="10">
        <v>65</v>
      </c>
      <c r="M206" s="6" t="s">
        <v>371</v>
      </c>
    </row>
    <row r="207" spans="1:13">
      <c r="A207" s="6">
        <v>2023</v>
      </c>
      <c r="B207" s="6">
        <v>1</v>
      </c>
      <c r="C207" s="6" t="s">
        <v>59</v>
      </c>
      <c r="D207" s="6" t="s">
        <v>457</v>
      </c>
      <c r="E207" s="6" t="s">
        <v>388</v>
      </c>
      <c r="F207" s="6" t="str">
        <f>IF($M207="PADD I","PADD 1",IF($M207="PADD II","PADD 2",IF($M207="PADD III","PADD 3",IF($M207="PADD IV","PADD 4",IF($M207="PADD V","PADD 5","")))))</f>
        <v>PADD 5</v>
      </c>
      <c r="G207" s="6">
        <f>IF(AND($H207="ATMOS DISTILLATION",ISNUMBER(SEARCH("VPS",$I207))=FALSE,LEFT($I207,6)&lt;&gt;"VACUUM"),"CDU",IF($H207="FLUID CAT CRACKING","FCC",IF(OR($H207="HYDROCRACKING",$H207="RESID_HYDROCRACKING"),"Hydrocracker",IF($H207="REFORMING","Reformer",""))))</f>
        <v/>
      </c>
      <c r="H207" s="6" t="s">
        <v>378</v>
      </c>
      <c r="I207" s="6" t="s">
        <v>585</v>
      </c>
      <c r="J207" s="6" t="s">
        <v>345</v>
      </c>
      <c r="K207" s="10">
        <v>6.2</v>
      </c>
      <c r="L207" s="10">
        <v>62</v>
      </c>
      <c r="M207" s="6" t="s">
        <v>386</v>
      </c>
    </row>
    <row r="208" spans="1:13">
      <c r="A208" s="6">
        <v>2023</v>
      </c>
      <c r="B208" s="6">
        <v>1</v>
      </c>
      <c r="C208" s="6" t="s">
        <v>59</v>
      </c>
      <c r="D208" s="6" t="s">
        <v>518</v>
      </c>
      <c r="E208" s="6" t="s">
        <v>369</v>
      </c>
      <c r="F208" s="6" t="str">
        <f>IF($M208="PADD I","PADD 1",IF($M208="PADD II","PADD 2",IF($M208="PADD III","PADD 3",IF($M208="PADD IV","PADD 4",IF($M208="PADD V","PADD 5","")))))</f>
        <v>PADD 5</v>
      </c>
      <c r="G208" s="6" t="str">
        <f>IF(AND($H208="ATMOS DISTILLATION",ISNUMBER(SEARCH("VPS",$I208))=FALSE,LEFT($I208,6)&lt;&gt;"VACUUM"),"CDU",IF($H208="FLUID CAT CRACKING","FCC",IF(OR($H208="HYDROCRACKING",$H208="RESID_HYDROCRACKING"),"Hydrocracker",IF($H208="REFORMING","Reformer",""))))</f>
        <v>Reformer</v>
      </c>
      <c r="H208" s="6" t="s">
        <v>421</v>
      </c>
      <c r="I208" s="6" t="s">
        <v>586</v>
      </c>
      <c r="J208" s="6" t="s">
        <v>345</v>
      </c>
      <c r="K208" s="10">
        <v>5.92</v>
      </c>
      <c r="L208" s="10">
        <v>18.5</v>
      </c>
      <c r="M208" s="6" t="s">
        <v>386</v>
      </c>
    </row>
    <row r="209" spans="1:13">
      <c r="A209" s="6">
        <v>2023</v>
      </c>
      <c r="B209" s="6">
        <v>1</v>
      </c>
      <c r="C209" s="6" t="s">
        <v>59</v>
      </c>
      <c r="D209" s="6" t="s">
        <v>518</v>
      </c>
      <c r="E209" s="6" t="s">
        <v>369</v>
      </c>
      <c r="F209" s="6" t="str">
        <f>IF($M209="PADD I","PADD 1",IF($M209="PADD II","PADD 2",IF($M209="PADD III","PADD 3",IF($M209="PADD IV","PADD 4",IF($M209="PADD V","PADD 5","")))))</f>
        <v>PADD 5</v>
      </c>
      <c r="G209" s="6">
        <f>IF(AND($H209="ATMOS DISTILLATION",ISNUMBER(SEARCH("VPS",$I209))=FALSE,LEFT($I209,6)&lt;&gt;"VACUUM"),"CDU",IF($H209="FLUID CAT CRACKING","FCC",IF(OR($H209="HYDROCRACKING",$H209="RESID_HYDROCRACKING"),"Hydrocracker",IF($H209="REFORMING","Reformer",""))))</f>
        <v/>
      </c>
      <c r="H209" s="6" t="s">
        <v>43</v>
      </c>
      <c r="I209" s="6" t="s">
        <v>587</v>
      </c>
      <c r="J209" s="6" t="s">
        <v>345</v>
      </c>
      <c r="K209" s="10">
        <v>5.8</v>
      </c>
      <c r="L209" s="10">
        <v>20</v>
      </c>
      <c r="M209" s="6" t="s">
        <v>386</v>
      </c>
    </row>
    <row r="210" spans="1:13">
      <c r="A210" s="6">
        <v>2023</v>
      </c>
      <c r="B210" s="6">
        <v>1</v>
      </c>
      <c r="C210" s="6" t="s">
        <v>59</v>
      </c>
      <c r="D210" s="6" t="s">
        <v>395</v>
      </c>
      <c r="E210" s="6" t="s">
        <v>396</v>
      </c>
      <c r="F210" s="6" t="str">
        <f>IF($M210="PADD I","PADD 1",IF($M210="PADD II","PADD 2",IF($M210="PADD III","PADD 3",IF($M210="PADD IV","PADD 4",IF($M210="PADD V","PADD 5","")))))</f>
        <v>PADD 3</v>
      </c>
      <c r="G210" s="6">
        <f>IF(AND($H210="ATMOS DISTILLATION",ISNUMBER(SEARCH("VPS",$I210))=FALSE,LEFT($I210,6)&lt;&gt;"VACUUM"),"CDU",IF($H210="FLUID CAT CRACKING","FCC",IF(OR($H210="HYDROCRACKING",$H210="RESID_HYDROCRACKING"),"Hydrocracker",IF($H210="REFORMING","Reformer",""))))</f>
        <v/>
      </c>
      <c r="H210" s="6" t="s">
        <v>435</v>
      </c>
      <c r="I210" s="6" t="s">
        <v>441</v>
      </c>
      <c r="J210" s="6" t="s">
        <v>345</v>
      </c>
      <c r="K210" s="10">
        <v>5.52</v>
      </c>
      <c r="L210" s="10">
        <v>92</v>
      </c>
      <c r="M210" s="6" t="s">
        <v>371</v>
      </c>
    </row>
    <row r="211" spans="1:13">
      <c r="A211" s="6">
        <v>2023</v>
      </c>
      <c r="B211" s="6">
        <v>1</v>
      </c>
      <c r="C211" s="6" t="s">
        <v>59</v>
      </c>
      <c r="D211" s="6" t="s">
        <v>420</v>
      </c>
      <c r="E211" s="6" t="s">
        <v>373</v>
      </c>
      <c r="F211" s="6" t="str">
        <f>IF($M211="PADD I","PADD 1",IF($M211="PADD II","PADD 2",IF($M211="PADD III","PADD 3",IF($M211="PADD IV","PADD 4",IF($M211="PADD V","PADD 5","")))))</f>
        <v>PADD 2</v>
      </c>
      <c r="G211" s="6">
        <f>IF(AND($H211="ATMOS DISTILLATION",ISNUMBER(SEARCH("VPS",$I211))=FALSE,LEFT($I211,6)&lt;&gt;"VACUUM"),"CDU",IF($H211="FLUID CAT CRACKING","FCC",IF(OR($H211="HYDROCRACKING",$H211="RESID_HYDROCRACKING"),"Hydrocracker",IF($H211="REFORMING","Reformer",""))))</f>
        <v/>
      </c>
      <c r="H211" s="6" t="s">
        <v>43</v>
      </c>
      <c r="I211" s="6" t="s">
        <v>588</v>
      </c>
      <c r="J211" s="6" t="s">
        <v>345</v>
      </c>
      <c r="K211" s="10">
        <v>5.5</v>
      </c>
      <c r="L211" s="10">
        <v>5.5</v>
      </c>
      <c r="M211" s="6" t="s">
        <v>375</v>
      </c>
    </row>
    <row r="212" spans="1:13">
      <c r="A212" s="6">
        <v>2023</v>
      </c>
      <c r="B212" s="6">
        <v>1</v>
      </c>
      <c r="C212" s="6" t="s">
        <v>59</v>
      </c>
      <c r="D212" s="6" t="s">
        <v>484</v>
      </c>
      <c r="E212" s="6" t="s">
        <v>409</v>
      </c>
      <c r="F212" s="6" t="str">
        <f>IF($M212="PADD I","PADD 1",IF($M212="PADD II","PADD 2",IF($M212="PADD III","PADD 3",IF($M212="PADD IV","PADD 4",IF($M212="PADD V","PADD 5","")))))</f>
        <v>PADD 3</v>
      </c>
      <c r="G212" s="6">
        <f>IF(AND($H212="ATMOS DISTILLATION",ISNUMBER(SEARCH("VPS",$I212))=FALSE,LEFT($I212,6)&lt;&gt;"VACUUM"),"CDU",IF($H212="FLUID CAT CRACKING","FCC",IF(OR($H212="HYDROCRACKING",$H212="RESID_HYDROCRACKING"),"Hydrocracker",IF($H212="REFORMING","Reformer",""))))</f>
        <v/>
      </c>
      <c r="H212" s="6" t="s">
        <v>43</v>
      </c>
      <c r="I212" s="6" t="s">
        <v>493</v>
      </c>
      <c r="J212" s="6" t="s">
        <v>345</v>
      </c>
      <c r="K212" s="10">
        <v>5.5</v>
      </c>
      <c r="L212" s="10">
        <v>10</v>
      </c>
      <c r="M212" s="6" t="s">
        <v>371</v>
      </c>
    </row>
    <row r="213" spans="1:13">
      <c r="A213" s="6">
        <v>2023</v>
      </c>
      <c r="B213" s="6">
        <v>1</v>
      </c>
      <c r="C213" s="6" t="s">
        <v>59</v>
      </c>
      <c r="D213" s="6" t="s">
        <v>437</v>
      </c>
      <c r="E213" s="6" t="s">
        <v>438</v>
      </c>
      <c r="F213" s="6" t="str">
        <f>IF($M213="PADD I","PADD 1",IF($M213="PADD II","PADD 2",IF($M213="PADD III","PADD 3",IF($M213="PADD IV","PADD 4",IF($M213="PADD V","PADD 5","")))))</f>
        <v>PADD 4</v>
      </c>
      <c r="G213" s="6" t="str">
        <f>IF(AND($H213="ATMOS DISTILLATION",ISNUMBER(SEARCH("VPS",$I213))=FALSE,LEFT($I213,6)&lt;&gt;"VACUUM"),"CDU",IF($H213="FLUID CAT CRACKING","FCC",IF(OR($H213="HYDROCRACKING",$H213="RESID_HYDROCRACKING"),"Hydrocracker",IF($H213="REFORMING","Reformer",""))))</f>
        <v>Reformer</v>
      </c>
      <c r="H213" s="6" t="s">
        <v>421</v>
      </c>
      <c r="I213" s="6" t="s">
        <v>557</v>
      </c>
      <c r="J213" s="6" t="s">
        <v>345</v>
      </c>
      <c r="K213" s="10">
        <v>5.5</v>
      </c>
      <c r="L213" s="10">
        <v>5.5</v>
      </c>
      <c r="M213" s="6" t="s">
        <v>430</v>
      </c>
    </row>
    <row r="214" spans="1:13">
      <c r="A214" s="6">
        <v>2023</v>
      </c>
      <c r="B214" s="6">
        <v>1</v>
      </c>
      <c r="C214" s="6" t="s">
        <v>59</v>
      </c>
      <c r="D214" s="6" t="s">
        <v>50</v>
      </c>
      <c r="E214" s="6" t="s">
        <v>381</v>
      </c>
      <c r="F214" s="6" t="str">
        <f>IF($M214="PADD I","PADD 1",IF($M214="PADD II","PADD 2",IF($M214="PADD III","PADD 3",IF($M214="PADD IV","PADD 4",IF($M214="PADD V","PADD 5","")))))</f>
        <v>PADD 3</v>
      </c>
      <c r="G214" s="6" t="str">
        <f>IF(AND($H214="ATMOS DISTILLATION",ISNUMBER(SEARCH("VPS",$I214))=FALSE,LEFT($I214,6)&lt;&gt;"VACUUM"),"CDU",IF($H214="FLUID CAT CRACKING","FCC",IF(OR($H214="HYDROCRACKING",$H214="RESID_HYDROCRACKING"),"Hydrocracker",IF($H214="REFORMING","Reformer",""))))</f>
        <v>FCC</v>
      </c>
      <c r="H214" s="6" t="s">
        <v>376</v>
      </c>
      <c r="I214" s="6" t="s">
        <v>589</v>
      </c>
      <c r="J214" s="6" t="s">
        <v>349</v>
      </c>
      <c r="K214" s="10">
        <v>5.4</v>
      </c>
      <c r="L214" s="10">
        <v>90</v>
      </c>
      <c r="M214" s="6" t="s">
        <v>371</v>
      </c>
    </row>
    <row r="215" spans="1:13">
      <c r="A215" s="6">
        <v>2023</v>
      </c>
      <c r="B215" s="6">
        <v>1</v>
      </c>
      <c r="C215" s="6" t="s">
        <v>59</v>
      </c>
      <c r="D215" s="6" t="s">
        <v>518</v>
      </c>
      <c r="E215" s="6" t="s">
        <v>369</v>
      </c>
      <c r="F215" s="6" t="str">
        <f>IF($M215="PADD I","PADD 1",IF($M215="PADD II","PADD 2",IF($M215="PADD III","PADD 3",IF($M215="PADD IV","PADD 4",IF($M215="PADD V","PADD 5","")))))</f>
        <v>PADD 5</v>
      </c>
      <c r="G215" s="6">
        <f>IF(AND($H215="ATMOS DISTILLATION",ISNUMBER(SEARCH("VPS",$I215))=FALSE,LEFT($I215,6)&lt;&gt;"VACUUM"),"CDU",IF($H215="FLUID CAT CRACKING","FCC",IF(OR($H215="HYDROCRACKING",$H215="RESID_HYDROCRACKING"),"Hydrocracker",IF($H215="REFORMING","Reformer",""))))</f>
        <v/>
      </c>
      <c r="H215" s="6" t="s">
        <v>43</v>
      </c>
      <c r="I215" s="6" t="s">
        <v>579</v>
      </c>
      <c r="J215" s="6" t="s">
        <v>345</v>
      </c>
      <c r="K215" s="10">
        <v>5.3568</v>
      </c>
      <c r="L215" s="10">
        <v>16.74</v>
      </c>
      <c r="M215" s="6" t="s">
        <v>386</v>
      </c>
    </row>
    <row r="216" spans="1:13">
      <c r="A216" s="6">
        <v>2023</v>
      </c>
      <c r="B216" s="6">
        <v>1</v>
      </c>
      <c r="C216" s="6" t="s">
        <v>59</v>
      </c>
      <c r="D216" s="6" t="s">
        <v>395</v>
      </c>
      <c r="E216" s="6" t="s">
        <v>396</v>
      </c>
      <c r="F216" s="6" t="str">
        <f>IF($M216="PADD I","PADD 1",IF($M216="PADD II","PADD 2",IF($M216="PADD III","PADD 3",IF($M216="PADD IV","PADD 4",IF($M216="PADD V","PADD 5","")))))</f>
        <v>PADD 3</v>
      </c>
      <c r="G216" s="6">
        <f>IF(AND($H216="ATMOS DISTILLATION",ISNUMBER(SEARCH("VPS",$I216))=FALSE,LEFT($I216,6)&lt;&gt;"VACUUM"),"CDU",IF($H216="FLUID CAT CRACKING","FCC",IF(OR($H216="HYDROCRACKING",$H216="RESID_HYDROCRACKING"),"Hydrocracker",IF($H216="REFORMING","Reformer",""))))</f>
        <v/>
      </c>
      <c r="H216" s="6" t="s">
        <v>43</v>
      </c>
      <c r="I216" s="6" t="s">
        <v>550</v>
      </c>
      <c r="J216" s="6" t="s">
        <v>345</v>
      </c>
      <c r="K216" s="10">
        <v>5.343</v>
      </c>
      <c r="L216" s="10">
        <v>41.1</v>
      </c>
      <c r="M216" s="6" t="s">
        <v>371</v>
      </c>
    </row>
    <row r="217" spans="1:13">
      <c r="A217" s="6">
        <v>2023</v>
      </c>
      <c r="B217" s="6">
        <v>1</v>
      </c>
      <c r="C217" s="6" t="s">
        <v>59</v>
      </c>
      <c r="D217" s="6" t="s">
        <v>387</v>
      </c>
      <c r="E217" s="6" t="s">
        <v>388</v>
      </c>
      <c r="F217" s="6" t="str">
        <f>IF($M217="PADD I","PADD 1",IF($M217="PADD II","PADD 2",IF($M217="PADD III","PADD 3",IF($M217="PADD IV","PADD 4",IF($M217="PADD V","PADD 5","")))))</f>
        <v>PADD 3</v>
      </c>
      <c r="G217" s="6">
        <f>IF(AND($H217="ATMOS DISTILLATION",ISNUMBER(SEARCH("VPS",$I217))=FALSE,LEFT($I217,6)&lt;&gt;"VACUUM"),"CDU",IF($H217="FLUID CAT CRACKING","FCC",IF(OR($H217="HYDROCRACKING",$H217="RESID_HYDROCRACKING"),"Hydrocracker",IF($H217="REFORMING","Reformer",""))))</f>
        <v/>
      </c>
      <c r="H217" s="6" t="s">
        <v>435</v>
      </c>
      <c r="I217" s="6" t="s">
        <v>590</v>
      </c>
      <c r="J217" s="6" t="s">
        <v>345</v>
      </c>
      <c r="K217" s="10">
        <v>5.28</v>
      </c>
      <c r="L217" s="10">
        <v>33</v>
      </c>
      <c r="M217" s="6" t="s">
        <v>371</v>
      </c>
    </row>
    <row r="218" spans="1:13">
      <c r="A218" s="6">
        <v>2023</v>
      </c>
      <c r="B218" s="6">
        <v>1</v>
      </c>
      <c r="C218" s="6" t="s">
        <v>59</v>
      </c>
      <c r="D218" s="6" t="s">
        <v>518</v>
      </c>
      <c r="E218" s="6" t="s">
        <v>369</v>
      </c>
      <c r="F218" s="6" t="str">
        <f>IF($M218="PADD I","PADD 1",IF($M218="PADD II","PADD 2",IF($M218="PADD III","PADD 3",IF($M218="PADD IV","PADD 4",IF($M218="PADD V","PADD 5","")))))</f>
        <v>PADD 5</v>
      </c>
      <c r="G218" s="6" t="str">
        <f>IF(AND($H218="ATMOS DISTILLATION",ISNUMBER(SEARCH("VPS",$I218))=FALSE,LEFT($I218,6)&lt;&gt;"VACUUM"),"CDU",IF($H218="FLUID CAT CRACKING","FCC",IF(OR($H218="HYDROCRACKING",$H218="RESID_HYDROCRACKING"),"Hydrocracker",IF($H218="REFORMING","Reformer",""))))</f>
        <v>Reformer</v>
      </c>
      <c r="H218" s="6" t="s">
        <v>421</v>
      </c>
      <c r="I218" s="6" t="s">
        <v>591</v>
      </c>
      <c r="J218" s="6" t="s">
        <v>345</v>
      </c>
      <c r="K218" s="10">
        <v>5.22</v>
      </c>
      <c r="L218" s="10">
        <v>18</v>
      </c>
      <c r="M218" s="6" t="s">
        <v>386</v>
      </c>
    </row>
    <row r="219" spans="1:13">
      <c r="A219" s="6">
        <v>2023</v>
      </c>
      <c r="B219" s="6">
        <v>1</v>
      </c>
      <c r="C219" s="6" t="s">
        <v>59</v>
      </c>
      <c r="D219" s="6" t="s">
        <v>334</v>
      </c>
      <c r="E219" s="6" t="s">
        <v>552</v>
      </c>
      <c r="F219" s="6" t="str">
        <f>IF($M219="PADD I","PADD 1",IF($M219="PADD II","PADD 2",IF($M219="PADD III","PADD 3",IF($M219="PADD IV","PADD 4",IF($M219="PADD V","PADD 5","")))))</f>
        <v>PADD 3</v>
      </c>
      <c r="G219" s="6" t="str">
        <f>IF(AND($H219="ATMOS DISTILLATION",ISNUMBER(SEARCH("VPS",$I219))=FALSE,LEFT($I219,6)&lt;&gt;"VACUUM"),"CDU",IF($H219="FLUID CAT CRACKING","FCC",IF(OR($H219="HYDROCRACKING",$H219="RESID_HYDROCRACKING"),"Hydrocracker",IF($H219="REFORMING","Reformer",""))))</f>
        <v>Reformer</v>
      </c>
      <c r="H219" s="6" t="s">
        <v>421</v>
      </c>
      <c r="I219" s="6" t="s">
        <v>592</v>
      </c>
      <c r="J219" s="6" t="s">
        <v>345</v>
      </c>
      <c r="K219" s="10">
        <v>5.12</v>
      </c>
      <c r="L219" s="10">
        <v>16</v>
      </c>
      <c r="M219" s="6" t="s">
        <v>371</v>
      </c>
    </row>
    <row r="220" spans="1:13">
      <c r="A220" s="6">
        <v>2023</v>
      </c>
      <c r="B220" s="6">
        <v>1</v>
      </c>
      <c r="C220" s="6" t="s">
        <v>59</v>
      </c>
      <c r="D220" s="6" t="s">
        <v>511</v>
      </c>
      <c r="E220" s="6" t="s">
        <v>405</v>
      </c>
      <c r="F220" s="6" t="str">
        <f>IF($M220="PADD I","PADD 1",IF($M220="PADD II","PADD 2",IF($M220="PADD III","PADD 3",IF($M220="PADD IV","PADD 4",IF($M220="PADD V","PADD 5","")))))</f>
        <v>PADD 3</v>
      </c>
      <c r="G220" s="6">
        <f>IF(AND($H220="ATMOS DISTILLATION",ISNUMBER(SEARCH("VPS",$I220))=FALSE,LEFT($I220,6)&lt;&gt;"VACUUM"),"CDU",IF($H220="FLUID CAT CRACKING","FCC",IF(OR($H220="HYDROCRACKING",$H220="RESID_HYDROCRACKING"),"Hydrocracker",IF($H220="REFORMING","Reformer",""))))</f>
        <v/>
      </c>
      <c r="H220" s="6" t="s">
        <v>378</v>
      </c>
      <c r="I220" s="6" t="s">
        <v>593</v>
      </c>
      <c r="J220" s="6" t="s">
        <v>349</v>
      </c>
      <c r="K220" s="10">
        <v>5.07</v>
      </c>
      <c r="L220" s="10">
        <v>39</v>
      </c>
      <c r="M220" s="6" t="s">
        <v>371</v>
      </c>
    </row>
    <row r="221" spans="1:13">
      <c r="A221" s="6">
        <v>2023</v>
      </c>
      <c r="B221" s="6">
        <v>1</v>
      </c>
      <c r="C221" s="6" t="s">
        <v>59</v>
      </c>
      <c r="D221" s="6" t="s">
        <v>490</v>
      </c>
      <c r="E221" s="6" t="s">
        <v>491</v>
      </c>
      <c r="F221" s="6" t="str">
        <f>IF($M221="PADD I","PADD 1",IF($M221="PADD II","PADD 2",IF($M221="PADD III","PADD 3",IF($M221="PADD IV","PADD 4",IF($M221="PADD V","PADD 5","")))))</f>
        <v>PADD 3</v>
      </c>
      <c r="G221" s="6" t="str">
        <f>IF(AND($H221="ATMOS DISTILLATION",ISNUMBER(SEARCH("VPS",$I221))=FALSE,LEFT($I221,6)&lt;&gt;"VACUUM"),"CDU",IF($H221="FLUID CAT CRACKING","FCC",IF(OR($H221="HYDROCRACKING",$H221="RESID_HYDROCRACKING"),"Hydrocracker",IF($H221="REFORMING","Reformer",""))))</f>
        <v>FCC</v>
      </c>
      <c r="H221" s="6" t="s">
        <v>376</v>
      </c>
      <c r="I221" s="6" t="s">
        <v>472</v>
      </c>
      <c r="J221" s="6" t="s">
        <v>345</v>
      </c>
      <c r="K221" s="10">
        <v>4.86</v>
      </c>
      <c r="L221" s="10">
        <v>81</v>
      </c>
      <c r="M221" s="6" t="s">
        <v>371</v>
      </c>
    </row>
    <row r="222" spans="1:13">
      <c r="A222" s="6">
        <v>2023</v>
      </c>
      <c r="B222" s="6">
        <v>1</v>
      </c>
      <c r="C222" s="6" t="s">
        <v>59</v>
      </c>
      <c r="D222" s="6" t="s">
        <v>334</v>
      </c>
      <c r="E222" s="6" t="s">
        <v>552</v>
      </c>
      <c r="F222" s="6" t="str">
        <f>IF($M222="PADD I","PADD 1",IF($M222="PADD II","PADD 2",IF($M222="PADD III","PADD 3",IF($M222="PADD IV","PADD 4",IF($M222="PADD V","PADD 5","")))))</f>
        <v>PADD 3</v>
      </c>
      <c r="G222" s="6">
        <f>IF(AND($H222="ATMOS DISTILLATION",ISNUMBER(SEARCH("VPS",$I222))=FALSE,LEFT($I222,6)&lt;&gt;"VACUUM"),"CDU",IF($H222="FLUID CAT CRACKING","FCC",IF(OR($H222="HYDROCRACKING",$H222="RESID_HYDROCRACKING"),"Hydrocracker",IF($H222="REFORMING","Reformer",""))))</f>
        <v/>
      </c>
      <c r="H222" s="6" t="s">
        <v>43</v>
      </c>
      <c r="I222" s="6" t="s">
        <v>594</v>
      </c>
      <c r="J222" s="6" t="s">
        <v>345</v>
      </c>
      <c r="K222" s="10">
        <v>4.8</v>
      </c>
      <c r="L222" s="10">
        <v>30</v>
      </c>
      <c r="M222" s="6" t="s">
        <v>371</v>
      </c>
    </row>
    <row r="223" spans="1:13">
      <c r="A223" s="6">
        <v>2023</v>
      </c>
      <c r="B223" s="6">
        <v>1</v>
      </c>
      <c r="C223" s="6" t="s">
        <v>59</v>
      </c>
      <c r="D223" s="6" t="s">
        <v>387</v>
      </c>
      <c r="E223" s="6" t="s">
        <v>388</v>
      </c>
      <c r="F223" s="6" t="str">
        <f>IF($M223="PADD I","PADD 1",IF($M223="PADD II","PADD 2",IF($M223="PADD III","PADD 3",IF($M223="PADD IV","PADD 4",IF($M223="PADD V","PADD 5","")))))</f>
        <v>PADD 3</v>
      </c>
      <c r="G223" s="6">
        <f>IF(AND($H223="ATMOS DISTILLATION",ISNUMBER(SEARCH("VPS",$I223))=FALSE,LEFT($I223,6)&lt;&gt;"VACUUM"),"CDU",IF($H223="FLUID CAT CRACKING","FCC",IF(OR($H223="HYDROCRACKING",$H223="RESID_HYDROCRACKING"),"Hydrocracker",IF($H223="REFORMING","Reformer",""))))</f>
        <v/>
      </c>
      <c r="H223" s="6" t="s">
        <v>435</v>
      </c>
      <c r="I223" s="6" t="s">
        <v>595</v>
      </c>
      <c r="J223" s="6" t="s">
        <v>349</v>
      </c>
      <c r="K223" s="10">
        <v>4.725</v>
      </c>
      <c r="L223" s="10">
        <v>13.5</v>
      </c>
      <c r="M223" s="6" t="s">
        <v>371</v>
      </c>
    </row>
    <row r="224" spans="1:13">
      <c r="A224" s="6">
        <v>2023</v>
      </c>
      <c r="B224" s="6">
        <v>1</v>
      </c>
      <c r="C224" s="6" t="s">
        <v>59</v>
      </c>
      <c r="D224" s="6" t="s">
        <v>333</v>
      </c>
      <c r="E224" s="6" t="s">
        <v>381</v>
      </c>
      <c r="F224" s="6" t="str">
        <f>IF($M224="PADD I","PADD 1",IF($M224="PADD II","PADD 2",IF($M224="PADD III","PADD 3",IF($M224="PADD IV","PADD 4",IF($M224="PADD V","PADD 5","")))))</f>
        <v>PADD 3</v>
      </c>
      <c r="G224" s="6">
        <f>IF(AND($H224="ATMOS DISTILLATION",ISNUMBER(SEARCH("VPS",$I224))=FALSE,LEFT($I224,6)&lt;&gt;"VACUUM"),"CDU",IF($H224="FLUID CAT CRACKING","FCC",IF(OR($H224="HYDROCRACKING",$H224="RESID_HYDROCRACKING"),"Hydrocracker",IF($H224="REFORMING","Reformer",""))))</f>
        <v/>
      </c>
      <c r="H224" s="6" t="s">
        <v>378</v>
      </c>
      <c r="I224" s="6" t="s">
        <v>596</v>
      </c>
      <c r="J224" s="6" t="s">
        <v>349</v>
      </c>
      <c r="K224" s="10">
        <v>4.68</v>
      </c>
      <c r="L224" s="10">
        <v>46.8</v>
      </c>
      <c r="M224" s="6" t="s">
        <v>371</v>
      </c>
    </row>
    <row r="225" spans="1:13">
      <c r="A225" s="6">
        <v>2023</v>
      </c>
      <c r="B225" s="6">
        <v>1</v>
      </c>
      <c r="C225" s="6" t="s">
        <v>59</v>
      </c>
      <c r="D225" s="6" t="s">
        <v>395</v>
      </c>
      <c r="E225" s="6" t="s">
        <v>396</v>
      </c>
      <c r="F225" s="6" t="str">
        <f>IF($M225="PADD I","PADD 1",IF($M225="PADD II","PADD 2",IF($M225="PADD III","PADD 3",IF($M225="PADD IV","PADD 4",IF($M225="PADD V","PADD 5","")))))</f>
        <v>PADD 3</v>
      </c>
      <c r="G225" s="6">
        <f>IF(AND($H225="ATMOS DISTILLATION",ISNUMBER(SEARCH("VPS",$I225))=FALSE,LEFT($I225,6)&lt;&gt;"VACUUM"),"CDU",IF($H225="FLUID CAT CRACKING","FCC",IF(OR($H225="HYDROCRACKING",$H225="RESID_HYDROCRACKING"),"Hydrocracker",IF($H225="REFORMING","Reformer",""))))</f>
        <v/>
      </c>
      <c r="H225" s="6" t="s">
        <v>460</v>
      </c>
      <c r="I225" s="6" t="s">
        <v>461</v>
      </c>
      <c r="J225" s="6" t="s">
        <v>345</v>
      </c>
      <c r="K225" s="10">
        <v>4.368</v>
      </c>
      <c r="L225" s="10">
        <v>16.8</v>
      </c>
      <c r="M225" s="6" t="s">
        <v>371</v>
      </c>
    </row>
    <row r="226" spans="1:13">
      <c r="A226" s="6">
        <v>2023</v>
      </c>
      <c r="B226" s="6">
        <v>1</v>
      </c>
      <c r="C226" s="6" t="s">
        <v>59</v>
      </c>
      <c r="D226" s="6" t="s">
        <v>395</v>
      </c>
      <c r="E226" s="6" t="s">
        <v>396</v>
      </c>
      <c r="F226" s="6" t="str">
        <f>IF($M226="PADD I","PADD 1",IF($M226="PADD II","PADD 2",IF($M226="PADD III","PADD 3",IF($M226="PADD IV","PADD 4",IF($M226="PADD V","PADD 5","")))))</f>
        <v>PADD 3</v>
      </c>
      <c r="G226" s="6">
        <f>IF(AND($H226="ATMOS DISTILLATION",ISNUMBER(SEARCH("VPS",$I226))=FALSE,LEFT($I226,6)&lt;&gt;"VACUUM"),"CDU",IF($H226="FLUID CAT CRACKING","FCC",IF(OR($H226="HYDROCRACKING",$H226="RESID_HYDROCRACKING"),"Hydrocracker",IF($H226="REFORMING","Reformer",""))))</f>
        <v/>
      </c>
      <c r="H226" s="6" t="s">
        <v>43</v>
      </c>
      <c r="I226" s="6" t="s">
        <v>499</v>
      </c>
      <c r="J226" s="6" t="s">
        <v>345</v>
      </c>
      <c r="K226" s="10">
        <v>4.32</v>
      </c>
      <c r="L226" s="10">
        <v>72</v>
      </c>
      <c r="M226" s="6" t="s">
        <v>371</v>
      </c>
    </row>
    <row r="227" spans="1:13">
      <c r="A227" s="6">
        <v>2023</v>
      </c>
      <c r="B227" s="6">
        <v>1</v>
      </c>
      <c r="C227" s="6" t="s">
        <v>59</v>
      </c>
      <c r="D227" s="6" t="s">
        <v>429</v>
      </c>
      <c r="E227" s="6" t="s">
        <v>388</v>
      </c>
      <c r="F227" s="6" t="str">
        <f>IF($M227="PADD I","PADD 1",IF($M227="PADD II","PADD 2",IF($M227="PADD III","PADD 3",IF($M227="PADD IV","PADD 4",IF($M227="PADD V","PADD 5","")))))</f>
        <v>PADD 4</v>
      </c>
      <c r="G227" s="6" t="str">
        <f>IF(AND($H227="ATMOS DISTILLATION",ISNUMBER(SEARCH("VPS",$I227))=FALSE,LEFT($I227,6)&lt;&gt;"VACUUM"),"CDU",IF($H227="FLUID CAT CRACKING","FCC",IF(OR($H227="HYDROCRACKING",$H227="RESID_HYDROCRACKING"),"Hydrocracker",IF($H227="REFORMING","Reformer",""))))</f>
        <v>FCC</v>
      </c>
      <c r="H227" s="6" t="s">
        <v>376</v>
      </c>
      <c r="I227" s="6" t="s">
        <v>105</v>
      </c>
      <c r="J227" s="6" t="s">
        <v>349</v>
      </c>
      <c r="K227" s="10">
        <v>4.224</v>
      </c>
      <c r="L227" s="10">
        <v>26.4</v>
      </c>
      <c r="M227" s="6" t="s">
        <v>430</v>
      </c>
    </row>
    <row r="228" spans="1:13">
      <c r="A228" s="6">
        <v>2023</v>
      </c>
      <c r="B228" s="6">
        <v>1</v>
      </c>
      <c r="C228" s="6" t="s">
        <v>59</v>
      </c>
      <c r="D228" s="6" t="s">
        <v>526</v>
      </c>
      <c r="E228" s="6" t="s">
        <v>405</v>
      </c>
      <c r="F228" s="6" t="str">
        <f>IF($M228="PADD I","PADD 1",IF($M228="PADD II","PADD 2",IF($M228="PADD III","PADD 3",IF($M228="PADD IV","PADD 4",IF($M228="PADD V","PADD 5","")))))</f>
        <v>PADD 3</v>
      </c>
      <c r="G228" s="6" t="str">
        <f>IF(AND($H228="ATMOS DISTILLATION",ISNUMBER(SEARCH("VPS",$I228))=FALSE,LEFT($I228,6)&lt;&gt;"VACUUM"),"CDU",IF($H228="FLUID CAT CRACKING","FCC",IF(OR($H228="HYDROCRACKING",$H228="RESID_HYDROCRACKING"),"Hydrocracker",IF($H228="REFORMING","Reformer",""))))</f>
        <v>Reformer</v>
      </c>
      <c r="H228" s="6" t="s">
        <v>421</v>
      </c>
      <c r="I228" s="6" t="s">
        <v>597</v>
      </c>
      <c r="J228" s="6" t="s">
        <v>345</v>
      </c>
      <c r="K228" s="10">
        <v>4.2</v>
      </c>
      <c r="L228" s="10">
        <v>70</v>
      </c>
      <c r="M228" s="6" t="s">
        <v>371</v>
      </c>
    </row>
    <row r="229" spans="1:13">
      <c r="A229" s="6">
        <v>2023</v>
      </c>
      <c r="B229" s="6">
        <v>1</v>
      </c>
      <c r="C229" s="6" t="s">
        <v>59</v>
      </c>
      <c r="D229" s="6" t="s">
        <v>395</v>
      </c>
      <c r="E229" s="6" t="s">
        <v>396</v>
      </c>
      <c r="F229" s="6" t="str">
        <f>IF($M229="PADD I","PADD 1",IF($M229="PADD II","PADD 2",IF($M229="PADD III","PADD 3",IF($M229="PADD IV","PADD 4",IF($M229="PADD V","PADD 5","")))))</f>
        <v>PADD 3</v>
      </c>
      <c r="G229" s="6" t="str">
        <f>IF(AND($H229="ATMOS DISTILLATION",ISNUMBER(SEARCH("VPS",$I229))=FALSE,LEFT($I229,6)&lt;&gt;"VACUUM"),"CDU",IF($H229="FLUID CAT CRACKING","FCC",IF(OR($H229="HYDROCRACKING",$H229="RESID_HYDROCRACKING"),"Hydrocracker",IF($H229="REFORMING","Reformer",""))))</f>
        <v>CDU</v>
      </c>
      <c r="H229" s="6" t="s">
        <v>38</v>
      </c>
      <c r="I229" s="6" t="s">
        <v>510</v>
      </c>
      <c r="J229" s="6" t="s">
        <v>345</v>
      </c>
      <c r="K229" s="10">
        <v>4.2</v>
      </c>
      <c r="L229" s="10">
        <v>70</v>
      </c>
      <c r="M229" s="6" t="s">
        <v>371</v>
      </c>
    </row>
    <row r="230" spans="1:13">
      <c r="A230" s="6">
        <v>2023</v>
      </c>
      <c r="B230" s="6">
        <v>1</v>
      </c>
      <c r="C230" s="6" t="s">
        <v>59</v>
      </c>
      <c r="D230" s="6" t="s">
        <v>395</v>
      </c>
      <c r="E230" s="6" t="s">
        <v>396</v>
      </c>
      <c r="F230" s="6" t="str">
        <f>IF($M230="PADD I","PADD 1",IF($M230="PADD II","PADD 2",IF($M230="PADD III","PADD 3",IF($M230="PADD IV","PADD 4",IF($M230="PADD V","PADD 5","")))))</f>
        <v>PADD 3</v>
      </c>
      <c r="G230" s="6" t="str">
        <f>IF(AND($H230="ATMOS DISTILLATION",ISNUMBER(SEARCH("VPS",$I230))=FALSE,LEFT($I230,6)&lt;&gt;"VACUUM"),"CDU",IF($H230="FLUID CAT CRACKING","FCC",IF(OR($H230="HYDROCRACKING",$H230="RESID_HYDROCRACKING"),"Hydrocracker",IF($H230="REFORMING","Reformer",""))))</f>
        <v>FCC</v>
      </c>
      <c r="H230" s="6" t="s">
        <v>376</v>
      </c>
      <c r="I230" s="6" t="s">
        <v>105</v>
      </c>
      <c r="J230" s="6" t="s">
        <v>345</v>
      </c>
      <c r="K230" s="10">
        <v>4.2</v>
      </c>
      <c r="L230" s="10">
        <v>70</v>
      </c>
      <c r="M230" s="6" t="s">
        <v>371</v>
      </c>
    </row>
    <row r="231" spans="1:13">
      <c r="A231" s="6">
        <v>2023</v>
      </c>
      <c r="B231" s="6">
        <v>1</v>
      </c>
      <c r="C231" s="6" t="s">
        <v>59</v>
      </c>
      <c r="D231" s="6" t="s">
        <v>395</v>
      </c>
      <c r="E231" s="6" t="s">
        <v>396</v>
      </c>
      <c r="F231" s="6" t="str">
        <f>IF($M231="PADD I","PADD 1",IF($M231="PADD II","PADD 2",IF($M231="PADD III","PADD 3",IF($M231="PADD IV","PADD 4",IF($M231="PADD V","PADD 5","")))))</f>
        <v>PADD 3</v>
      </c>
      <c r="G231" s="6" t="str">
        <f>IF(AND($H231="ATMOS DISTILLATION",ISNUMBER(SEARCH("VPS",$I231))=FALSE,LEFT($I231,6)&lt;&gt;"VACUUM"),"CDU",IF($H231="FLUID CAT CRACKING","FCC",IF(OR($H231="HYDROCRACKING",$H231="RESID_HYDROCRACKING"),"Hydrocracker",IF($H231="REFORMING","Reformer",""))))</f>
        <v>Hydrocracker</v>
      </c>
      <c r="H231" s="6" t="s">
        <v>444</v>
      </c>
      <c r="I231" s="6" t="s">
        <v>512</v>
      </c>
      <c r="J231" s="6" t="s">
        <v>345</v>
      </c>
      <c r="K231" s="10">
        <v>4.02</v>
      </c>
      <c r="L231" s="10">
        <v>67</v>
      </c>
      <c r="M231" s="6" t="s">
        <v>371</v>
      </c>
    </row>
    <row r="232" spans="1:13">
      <c r="A232" s="6">
        <v>2023</v>
      </c>
      <c r="B232" s="6">
        <v>1</v>
      </c>
      <c r="C232" s="6" t="s">
        <v>59</v>
      </c>
      <c r="D232" s="6" t="s">
        <v>334</v>
      </c>
      <c r="E232" s="6" t="s">
        <v>552</v>
      </c>
      <c r="F232" s="6" t="str">
        <f>IF($M232="PADD I","PADD 1",IF($M232="PADD II","PADD 2",IF($M232="PADD III","PADD 3",IF($M232="PADD IV","PADD 4",IF($M232="PADD V","PADD 5","")))))</f>
        <v>PADD 3</v>
      </c>
      <c r="G232" s="6">
        <f>IF(AND($H232="ATMOS DISTILLATION",ISNUMBER(SEARCH("VPS",$I232))=FALSE,LEFT($I232,6)&lt;&gt;"VACUUM"),"CDU",IF($H232="FLUID CAT CRACKING","FCC",IF(OR($H232="HYDROCRACKING",$H232="RESID_HYDROCRACKING"),"Hydrocracker",IF($H232="REFORMING","Reformer",""))))</f>
        <v/>
      </c>
      <c r="H232" s="6" t="s">
        <v>43</v>
      </c>
      <c r="I232" s="6" t="s">
        <v>598</v>
      </c>
      <c r="J232" s="6" t="s">
        <v>345</v>
      </c>
      <c r="K232" s="10">
        <v>4</v>
      </c>
      <c r="L232" s="10">
        <v>25</v>
      </c>
      <c r="M232" s="6" t="s">
        <v>371</v>
      </c>
    </row>
    <row r="233" spans="1:13">
      <c r="A233" s="6">
        <v>2023</v>
      </c>
      <c r="B233" s="6">
        <v>1</v>
      </c>
      <c r="C233" s="6" t="s">
        <v>59</v>
      </c>
      <c r="D233" s="6" t="s">
        <v>531</v>
      </c>
      <c r="E233" s="6" t="s">
        <v>532</v>
      </c>
      <c r="F233" s="6" t="str">
        <f>IF($M233="PADD I","PADD 1",IF($M233="PADD II","PADD 2",IF($M233="PADD III","PADD 3",IF($M233="PADD IV","PADD 4",IF($M233="PADD V","PADD 5","")))))</f>
        <v>PADD 5</v>
      </c>
      <c r="G233" s="6">
        <f>IF(AND($H233="ATMOS DISTILLATION",ISNUMBER(SEARCH("VPS",$I233))=FALSE,LEFT($I233,6)&lt;&gt;"VACUUM"),"CDU",IF($H233="FLUID CAT CRACKING","FCC",IF(OR($H233="HYDROCRACKING",$H233="RESID_HYDROCRACKING"),"Hydrocracker",IF($H233="REFORMING","Reformer",""))))</f>
        <v/>
      </c>
      <c r="H233" s="6" t="s">
        <v>435</v>
      </c>
      <c r="I233" s="6" t="s">
        <v>599</v>
      </c>
      <c r="J233" s="6" t="s">
        <v>345</v>
      </c>
      <c r="K233" s="10">
        <v>4</v>
      </c>
      <c r="L233" s="10">
        <v>25</v>
      </c>
      <c r="M233" s="6" t="s">
        <v>386</v>
      </c>
    </row>
    <row r="234" spans="1:13">
      <c r="A234" s="6">
        <v>2023</v>
      </c>
      <c r="B234" s="6">
        <v>1</v>
      </c>
      <c r="C234" s="6" t="s">
        <v>59</v>
      </c>
      <c r="D234" s="6" t="s">
        <v>457</v>
      </c>
      <c r="E234" s="6" t="s">
        <v>388</v>
      </c>
      <c r="F234" s="6" t="str">
        <f>IF($M234="PADD I","PADD 1",IF($M234="PADD II","PADD 2",IF($M234="PADD III","PADD 3",IF($M234="PADD IV","PADD 4",IF($M234="PADD V","PADD 5","")))))</f>
        <v>PADD 5</v>
      </c>
      <c r="G234" s="6" t="str">
        <f>IF(AND($H234="ATMOS DISTILLATION",ISNUMBER(SEARCH("VPS",$I234))=FALSE,LEFT($I234,6)&lt;&gt;"VACUUM"),"CDU",IF($H234="FLUID CAT CRACKING","FCC",IF(OR($H234="HYDROCRACKING",$H234="RESID_HYDROCRACKING"),"Hydrocracker",IF($H234="REFORMING","Reformer",""))))</f>
        <v>CDU</v>
      </c>
      <c r="H234" s="6" t="s">
        <v>38</v>
      </c>
      <c r="I234" s="6" t="s">
        <v>135</v>
      </c>
      <c r="J234" s="6" t="s">
        <v>345</v>
      </c>
      <c r="K234" s="10">
        <v>3.9</v>
      </c>
      <c r="L234" s="10">
        <v>65</v>
      </c>
      <c r="M234" s="6" t="s">
        <v>386</v>
      </c>
    </row>
    <row r="235" spans="1:13">
      <c r="A235" s="6">
        <v>2023</v>
      </c>
      <c r="B235" s="6">
        <v>1</v>
      </c>
      <c r="C235" s="6" t="s">
        <v>59</v>
      </c>
      <c r="D235" s="6" t="s">
        <v>402</v>
      </c>
      <c r="E235" s="6" t="s">
        <v>403</v>
      </c>
      <c r="F235" s="6" t="str">
        <f>IF($M235="PADD I","PADD 1",IF($M235="PADD II","PADD 2",IF($M235="PADD III","PADD 3",IF($M235="PADD IV","PADD 4",IF($M235="PADD V","PADD 5","")))))</f>
        <v>PADD 3</v>
      </c>
      <c r="G235" s="6">
        <f>IF(AND($H235="ATMOS DISTILLATION",ISNUMBER(SEARCH("VPS",$I235))=FALSE,LEFT($I235,6)&lt;&gt;"VACUUM"),"CDU",IF($H235="FLUID CAT CRACKING","FCC",IF(OR($H235="HYDROCRACKING",$H235="RESID_HYDROCRACKING"),"Hydrocracker",IF($H235="REFORMING","Reformer",""))))</f>
        <v/>
      </c>
      <c r="H235" s="6" t="s">
        <v>568</v>
      </c>
      <c r="I235" s="6" t="s">
        <v>600</v>
      </c>
      <c r="J235" s="6" t="s">
        <v>349</v>
      </c>
      <c r="K235" s="10">
        <v>3.85</v>
      </c>
      <c r="L235" s="10">
        <v>5</v>
      </c>
      <c r="M235" s="6" t="s">
        <v>371</v>
      </c>
    </row>
    <row r="236" spans="1:13">
      <c r="A236" s="6">
        <v>2023</v>
      </c>
      <c r="B236" s="6">
        <v>1</v>
      </c>
      <c r="C236" s="6" t="s">
        <v>59</v>
      </c>
      <c r="D236" s="6" t="s">
        <v>500</v>
      </c>
      <c r="E236" s="6" t="s">
        <v>388</v>
      </c>
      <c r="F236" s="6" t="str">
        <f>IF($M236="PADD I","PADD 1",IF($M236="PADD II","PADD 2",IF($M236="PADD III","PADD 3",IF($M236="PADD IV","PADD 4",IF($M236="PADD V","PADD 5","")))))</f>
        <v>PADD 2</v>
      </c>
      <c r="G236" s="6" t="str">
        <f>IF(AND($H236="ATMOS DISTILLATION",ISNUMBER(SEARCH("VPS",$I236))=FALSE,LEFT($I236,6)&lt;&gt;"VACUUM"),"CDU",IF($H236="FLUID CAT CRACKING","FCC",IF(OR($H236="HYDROCRACKING",$H236="RESID_HYDROCRACKING"),"Hydrocracker",IF($H236="REFORMING","Reformer",""))))</f>
        <v>FCC</v>
      </c>
      <c r="H236" s="6" t="s">
        <v>376</v>
      </c>
      <c r="I236" s="6" t="s">
        <v>105</v>
      </c>
      <c r="J236" s="6" t="s">
        <v>345</v>
      </c>
      <c r="K236" s="10">
        <v>3.77</v>
      </c>
      <c r="L236" s="10">
        <v>6.5</v>
      </c>
      <c r="M236" s="6" t="s">
        <v>375</v>
      </c>
    </row>
    <row r="237" spans="1:13">
      <c r="A237" s="6">
        <v>2023</v>
      </c>
      <c r="B237" s="6">
        <v>1</v>
      </c>
      <c r="C237" s="6" t="s">
        <v>59</v>
      </c>
      <c r="D237" s="6" t="s">
        <v>457</v>
      </c>
      <c r="E237" s="6" t="s">
        <v>388</v>
      </c>
      <c r="F237" s="6" t="str">
        <f>IF($M237="PADD I","PADD 1",IF($M237="PADD II","PADD 2",IF($M237="PADD III","PADD 3",IF($M237="PADD IV","PADD 4",IF($M237="PADD V","PADD 5","")))))</f>
        <v>PADD 5</v>
      </c>
      <c r="G237" s="6">
        <f>IF(AND($H237="ATMOS DISTILLATION",ISNUMBER(SEARCH("VPS",$I237))=FALSE,LEFT($I237,6)&lt;&gt;"VACUUM"),"CDU",IF($H237="FLUID CAT CRACKING","FCC",IF(OR($H237="HYDROCRACKING",$H237="RESID_HYDROCRACKING"),"Hydrocracker",IF($H237="REFORMING","Reformer",""))))</f>
        <v/>
      </c>
      <c r="H237" s="6" t="s">
        <v>378</v>
      </c>
      <c r="I237" s="6" t="s">
        <v>601</v>
      </c>
      <c r="J237" s="6" t="s">
        <v>345</v>
      </c>
      <c r="K237" s="10">
        <v>3.72</v>
      </c>
      <c r="L237" s="10">
        <v>62</v>
      </c>
      <c r="M237" s="6" t="s">
        <v>386</v>
      </c>
    </row>
    <row r="238" spans="1:13">
      <c r="A238" s="6">
        <v>2023</v>
      </c>
      <c r="B238" s="6">
        <v>1</v>
      </c>
      <c r="C238" s="6" t="s">
        <v>59</v>
      </c>
      <c r="D238" s="6" t="s">
        <v>602</v>
      </c>
      <c r="E238" s="6" t="s">
        <v>369</v>
      </c>
      <c r="F238" s="6" t="str">
        <f>IF($M238="PADD I","PADD 1",IF($M238="PADD II","PADD 2",IF($M238="PADD III","PADD 3",IF($M238="PADD IV","PADD 4",IF($M238="PADD V","PADD 5","")))))</f>
        <v>PADD 2</v>
      </c>
      <c r="G238" s="6">
        <f>IF(AND($H238="ATMOS DISTILLATION",ISNUMBER(SEARCH("VPS",$I238))=FALSE,LEFT($I238,6)&lt;&gt;"VACUUM"),"CDU",IF($H238="FLUID CAT CRACKING","FCC",IF(OR($H238="HYDROCRACKING",$H238="RESID_HYDROCRACKING"),"Hydrocracker",IF($H238="REFORMING","Reformer",""))))</f>
        <v/>
      </c>
      <c r="H238" s="6" t="s">
        <v>435</v>
      </c>
      <c r="I238" s="6" t="s">
        <v>441</v>
      </c>
      <c r="J238" s="6" t="s">
        <v>345</v>
      </c>
      <c r="K238" s="10">
        <v>3.696</v>
      </c>
      <c r="L238" s="10">
        <v>23.1</v>
      </c>
      <c r="M238" s="6" t="s">
        <v>375</v>
      </c>
    </row>
    <row r="239" spans="1:13">
      <c r="A239" s="6">
        <v>2023</v>
      </c>
      <c r="B239" s="6">
        <v>1</v>
      </c>
      <c r="C239" s="6" t="s">
        <v>59</v>
      </c>
      <c r="D239" s="6" t="s">
        <v>402</v>
      </c>
      <c r="E239" s="6" t="s">
        <v>403</v>
      </c>
      <c r="F239" s="6" t="str">
        <f>IF($M239="PADD I","PADD 1",IF($M239="PADD II","PADD 2",IF($M239="PADD III","PADD 3",IF($M239="PADD IV","PADD 4",IF($M239="PADD V","PADD 5","")))))</f>
        <v>PADD 3</v>
      </c>
      <c r="G239" s="6">
        <f>IF(AND($H239="ATMOS DISTILLATION",ISNUMBER(SEARCH("VPS",$I239))=FALSE,LEFT($I239,6)&lt;&gt;"VACUUM"),"CDU",IF($H239="FLUID CAT CRACKING","FCC",IF(OR($H239="HYDROCRACKING",$H239="RESID_HYDROCRACKING"),"Hydrocracker",IF($H239="REFORMING","Reformer",""))))</f>
        <v/>
      </c>
      <c r="H239" s="6" t="s">
        <v>460</v>
      </c>
      <c r="I239" s="6" t="s">
        <v>603</v>
      </c>
      <c r="J239" s="6" t="s">
        <v>349</v>
      </c>
      <c r="K239" s="10">
        <v>3.696</v>
      </c>
      <c r="L239" s="10">
        <v>4.8</v>
      </c>
      <c r="M239" s="6" t="s">
        <v>371</v>
      </c>
    </row>
    <row r="240" spans="1:13">
      <c r="A240" s="6">
        <v>2023</v>
      </c>
      <c r="B240" s="6">
        <v>1</v>
      </c>
      <c r="C240" s="6" t="s">
        <v>59</v>
      </c>
      <c r="D240" s="6" t="s">
        <v>531</v>
      </c>
      <c r="E240" s="6" t="s">
        <v>532</v>
      </c>
      <c r="F240" s="6" t="str">
        <f>IF($M240="PADD I","PADD 1",IF($M240="PADD II","PADD 2",IF($M240="PADD III","PADD 3",IF($M240="PADD IV","PADD 4",IF($M240="PADD V","PADD 5","")))))</f>
        <v>PADD 5</v>
      </c>
      <c r="G240" s="6" t="str">
        <f>IF(AND($H240="ATMOS DISTILLATION",ISNUMBER(SEARCH("VPS",$I240))=FALSE,LEFT($I240,6)&lt;&gt;"VACUUM"),"CDU",IF($H240="FLUID CAT CRACKING","FCC",IF(OR($H240="HYDROCRACKING",$H240="RESID_HYDROCRACKING"),"Hydrocracker",IF($H240="REFORMING","Reformer",""))))</f>
        <v>Reformer</v>
      </c>
      <c r="H240" s="6" t="s">
        <v>421</v>
      </c>
      <c r="I240" s="6" t="s">
        <v>557</v>
      </c>
      <c r="J240" s="6" t="s">
        <v>345</v>
      </c>
      <c r="K240" s="10">
        <v>3.6</v>
      </c>
      <c r="L240" s="10">
        <v>22.5</v>
      </c>
      <c r="M240" s="6" t="s">
        <v>386</v>
      </c>
    </row>
    <row r="241" spans="1:13">
      <c r="A241" s="6">
        <v>2023</v>
      </c>
      <c r="B241" s="6">
        <v>1</v>
      </c>
      <c r="C241" s="6" t="s">
        <v>59</v>
      </c>
      <c r="D241" s="6" t="s">
        <v>526</v>
      </c>
      <c r="E241" s="6" t="s">
        <v>405</v>
      </c>
      <c r="F241" s="6" t="str">
        <f>IF($M241="PADD I","PADD 1",IF($M241="PADD II","PADD 2",IF($M241="PADD III","PADD 3",IF($M241="PADD IV","PADD 4",IF($M241="PADD V","PADD 5","")))))</f>
        <v>PADD 3</v>
      </c>
      <c r="G241" s="6" t="str">
        <f>IF(AND($H241="ATMOS DISTILLATION",ISNUMBER(SEARCH("VPS",$I241))=FALSE,LEFT($I241,6)&lt;&gt;"VACUUM"),"CDU",IF($H241="FLUID CAT CRACKING","FCC",IF(OR($H241="HYDROCRACKING",$H241="RESID_HYDROCRACKING"),"Hydrocracker",IF($H241="REFORMING","Reformer",""))))</f>
        <v>Hydrocracker</v>
      </c>
      <c r="H241" s="6" t="s">
        <v>444</v>
      </c>
      <c r="I241" s="6" t="s">
        <v>351</v>
      </c>
      <c r="J241" s="6" t="s">
        <v>345</v>
      </c>
      <c r="K241" s="10">
        <v>3.42</v>
      </c>
      <c r="L241" s="10">
        <v>57</v>
      </c>
      <c r="M241" s="6" t="s">
        <v>371</v>
      </c>
    </row>
    <row r="242" spans="1:13">
      <c r="A242" s="6">
        <v>2023</v>
      </c>
      <c r="B242" s="6">
        <v>1</v>
      </c>
      <c r="C242" s="6" t="s">
        <v>59</v>
      </c>
      <c r="D242" s="6" t="s">
        <v>451</v>
      </c>
      <c r="E242" s="6" t="s">
        <v>452</v>
      </c>
      <c r="F242" s="6" t="str">
        <f>IF($M242="PADD I","PADD 1",IF($M242="PADD II","PADD 2",IF($M242="PADD III","PADD 3",IF($M242="PADD IV","PADD 4",IF($M242="PADD V","PADD 5","")))))</f>
        <v>PADD 2</v>
      </c>
      <c r="G242" s="6">
        <f>IF(AND($H242="ATMOS DISTILLATION",ISNUMBER(SEARCH("VPS",$I242))=FALSE,LEFT($I242,6)&lt;&gt;"VACUUM"),"CDU",IF($H242="FLUID CAT CRACKING","FCC",IF(OR($H242="HYDROCRACKING",$H242="RESID_HYDROCRACKING"),"Hydrocracker",IF($H242="REFORMING","Reformer",""))))</f>
        <v/>
      </c>
      <c r="H242" s="6" t="s">
        <v>568</v>
      </c>
      <c r="I242" s="6" t="s">
        <v>604</v>
      </c>
      <c r="J242" s="6" t="s">
        <v>345</v>
      </c>
      <c r="K242" s="10">
        <v>3.355</v>
      </c>
      <c r="L242" s="10">
        <v>5.5</v>
      </c>
      <c r="M242" s="6" t="s">
        <v>375</v>
      </c>
    </row>
    <row r="243" spans="1:13">
      <c r="A243" s="6">
        <v>2023</v>
      </c>
      <c r="B243" s="6">
        <v>1</v>
      </c>
      <c r="C243" s="6" t="s">
        <v>59</v>
      </c>
      <c r="D243" s="6" t="s">
        <v>511</v>
      </c>
      <c r="E243" s="6" t="s">
        <v>405</v>
      </c>
      <c r="F243" s="6" t="str">
        <f>IF($M243="PADD I","PADD 1",IF($M243="PADD II","PADD 2",IF($M243="PADD III","PADD 3",IF($M243="PADD IV","PADD 4",IF($M243="PADD V","PADD 5","")))))</f>
        <v>PADD 3</v>
      </c>
      <c r="G243" s="6">
        <f>IF(AND($H243="ATMOS DISTILLATION",ISNUMBER(SEARCH("VPS",$I243))=FALSE,LEFT($I243,6)&lt;&gt;"VACUUM"),"CDU",IF($H243="FLUID CAT CRACKING","FCC",IF(OR($H243="HYDROCRACKING",$H243="RESID_HYDROCRACKING"),"Hydrocracker",IF($H243="REFORMING","Reformer",""))))</f>
        <v/>
      </c>
      <c r="H243" s="6" t="s">
        <v>43</v>
      </c>
      <c r="I243" s="6" t="s">
        <v>605</v>
      </c>
      <c r="J243" s="6" t="s">
        <v>349</v>
      </c>
      <c r="K243" s="10">
        <v>3.25</v>
      </c>
      <c r="L243" s="10">
        <v>25</v>
      </c>
      <c r="M243" s="6" t="s">
        <v>371</v>
      </c>
    </row>
    <row r="244" spans="1:13">
      <c r="A244" s="6">
        <v>2023</v>
      </c>
      <c r="B244" s="6">
        <v>1</v>
      </c>
      <c r="C244" s="6" t="s">
        <v>59</v>
      </c>
      <c r="D244" s="6" t="s">
        <v>408</v>
      </c>
      <c r="E244" s="6" t="s">
        <v>409</v>
      </c>
      <c r="F244" s="6" t="str">
        <f>IF($M244="PADD I","PADD 1",IF($M244="PADD II","PADD 2",IF($M244="PADD III","PADD 3",IF($M244="PADD IV","PADD 4",IF($M244="PADD V","PADD 5","")))))</f>
        <v>PADD 3</v>
      </c>
      <c r="G244" s="6">
        <f>IF(AND($H244="ATMOS DISTILLATION",ISNUMBER(SEARCH("VPS",$I244))=FALSE,LEFT($I244,6)&lt;&gt;"VACUUM"),"CDU",IF($H244="FLUID CAT CRACKING","FCC",IF(OR($H244="HYDROCRACKING",$H244="RESID_HYDROCRACKING"),"Hydrocracker",IF($H244="REFORMING","Reformer",""))))</f>
        <v/>
      </c>
      <c r="H244" s="6" t="s">
        <v>460</v>
      </c>
      <c r="I244" s="6" t="s">
        <v>606</v>
      </c>
      <c r="J244" s="6" t="s">
        <v>345</v>
      </c>
      <c r="K244" s="10">
        <v>3.05</v>
      </c>
      <c r="L244" s="10">
        <v>5</v>
      </c>
      <c r="M244" s="6" t="s">
        <v>371</v>
      </c>
    </row>
    <row r="245" spans="1:13">
      <c r="A245" s="6">
        <v>2023</v>
      </c>
      <c r="B245" s="6">
        <v>1</v>
      </c>
      <c r="C245" s="6" t="s">
        <v>59</v>
      </c>
      <c r="D245" s="6" t="s">
        <v>334</v>
      </c>
      <c r="E245" s="6" t="s">
        <v>552</v>
      </c>
      <c r="F245" s="6" t="str">
        <f>IF($M245="PADD I","PADD 1",IF($M245="PADD II","PADD 2",IF($M245="PADD III","PADD 3",IF($M245="PADD IV","PADD 4",IF($M245="PADD V","PADD 5","")))))</f>
        <v>PADD 3</v>
      </c>
      <c r="G245" s="6">
        <f>IF(AND($H245="ATMOS DISTILLATION",ISNUMBER(SEARCH("VPS",$I245))=FALSE,LEFT($I245,6)&lt;&gt;"VACUUM"),"CDU",IF($H245="FLUID CAT CRACKING","FCC",IF(OR($H245="HYDROCRACKING",$H245="RESID_HYDROCRACKING"),"Hydrocracker",IF($H245="REFORMING","Reformer",""))))</f>
        <v/>
      </c>
      <c r="H245" s="6" t="s">
        <v>43</v>
      </c>
      <c r="I245" s="6" t="s">
        <v>607</v>
      </c>
      <c r="J245" s="6" t="s">
        <v>345</v>
      </c>
      <c r="K245" s="10">
        <v>3.024</v>
      </c>
      <c r="L245" s="10">
        <v>18.9</v>
      </c>
      <c r="M245" s="6" t="s">
        <v>371</v>
      </c>
    </row>
    <row r="246" spans="1:13">
      <c r="A246" s="6">
        <v>2023</v>
      </c>
      <c r="B246" s="6">
        <v>1</v>
      </c>
      <c r="C246" s="6" t="s">
        <v>59</v>
      </c>
      <c r="D246" s="6" t="s">
        <v>372</v>
      </c>
      <c r="E246" s="6" t="s">
        <v>373</v>
      </c>
      <c r="F246" s="6" t="str">
        <f>IF($M246="PADD I","PADD 1",IF($M246="PADD II","PADD 2",IF($M246="PADD III","PADD 3",IF($M246="PADD IV","PADD 4",IF($M246="PADD V","PADD 5","")))))</f>
        <v>PADD 2</v>
      </c>
      <c r="G246" s="6">
        <f>IF(AND($H246="ATMOS DISTILLATION",ISNUMBER(SEARCH("VPS",$I246))=FALSE,LEFT($I246,6)&lt;&gt;"VACUUM"),"CDU",IF($H246="FLUID CAT CRACKING","FCC",IF(OR($H246="HYDROCRACKING",$H246="RESID_HYDROCRACKING"),"Hydrocracker",IF($H246="REFORMING","Reformer",""))))</f>
        <v/>
      </c>
      <c r="H246" s="6" t="s">
        <v>460</v>
      </c>
      <c r="I246" s="6" t="s">
        <v>541</v>
      </c>
      <c r="J246" s="6" t="s">
        <v>345</v>
      </c>
      <c r="K246" s="10">
        <v>3</v>
      </c>
      <c r="L246" s="10">
        <v>3</v>
      </c>
      <c r="M246" s="6" t="s">
        <v>375</v>
      </c>
    </row>
    <row r="247" spans="1:13">
      <c r="A247" s="6">
        <v>2023</v>
      </c>
      <c r="B247" s="6">
        <v>1</v>
      </c>
      <c r="C247" s="6" t="s">
        <v>59</v>
      </c>
      <c r="D247" s="6" t="s">
        <v>372</v>
      </c>
      <c r="E247" s="6" t="s">
        <v>373</v>
      </c>
      <c r="F247" s="6" t="str">
        <f>IF($M247="PADD I","PADD 1",IF($M247="PADD II","PADD 2",IF($M247="PADD III","PADD 3",IF($M247="PADD IV","PADD 4",IF($M247="PADD V","PADD 5","")))))</f>
        <v>PADD 2</v>
      </c>
      <c r="G247" s="6">
        <f>IF(AND($H247="ATMOS DISTILLATION",ISNUMBER(SEARCH("VPS",$I247))=FALSE,LEFT($I247,6)&lt;&gt;"VACUUM"),"CDU",IF($H247="FLUID CAT CRACKING","FCC",IF(OR($H247="HYDROCRACKING",$H247="RESID_HYDROCRACKING"),"Hydrocracker",IF($H247="REFORMING","Reformer",""))))</f>
        <v/>
      </c>
      <c r="H247" s="6" t="s">
        <v>460</v>
      </c>
      <c r="I247" s="6" t="s">
        <v>608</v>
      </c>
      <c r="J247" s="6" t="s">
        <v>345</v>
      </c>
      <c r="K247" s="10">
        <v>3</v>
      </c>
      <c r="L247" s="10">
        <v>3</v>
      </c>
      <c r="M247" s="6" t="s">
        <v>375</v>
      </c>
    </row>
    <row r="248" spans="1:13">
      <c r="A248" s="6">
        <v>2023</v>
      </c>
      <c r="B248" s="6">
        <v>1</v>
      </c>
      <c r="C248" s="6" t="s">
        <v>59</v>
      </c>
      <c r="D248" s="6" t="s">
        <v>322</v>
      </c>
      <c r="E248" s="6" t="s">
        <v>369</v>
      </c>
      <c r="F248" s="6" t="str">
        <f>IF($M248="PADD I","PADD 1",IF($M248="PADD II","PADD 2",IF($M248="PADD III","PADD 3",IF($M248="PADD IV","PADD 4",IF($M248="PADD V","PADD 5","")))))</f>
        <v>PADD 2</v>
      </c>
      <c r="G248" s="6">
        <f>IF(AND($H248="ATMOS DISTILLATION",ISNUMBER(SEARCH("VPS",$I248))=FALSE,LEFT($I248,6)&lt;&gt;"VACUUM"),"CDU",IF($H248="FLUID CAT CRACKING","FCC",IF(OR($H248="HYDROCRACKING",$H248="RESID_HYDROCRACKING"),"Hydrocracker",IF($H248="REFORMING","Reformer",""))))</f>
        <v/>
      </c>
      <c r="H248" s="6" t="s">
        <v>43</v>
      </c>
      <c r="I248" s="6" t="s">
        <v>609</v>
      </c>
      <c r="J248" s="6" t="s">
        <v>345</v>
      </c>
      <c r="K248" s="10">
        <v>3</v>
      </c>
      <c r="L248" s="10">
        <v>50</v>
      </c>
      <c r="M248" s="6" t="s">
        <v>375</v>
      </c>
    </row>
    <row r="249" spans="1:13">
      <c r="A249" s="6">
        <v>2023</v>
      </c>
      <c r="B249" s="6">
        <v>1</v>
      </c>
      <c r="C249" s="6" t="s">
        <v>59</v>
      </c>
      <c r="D249" s="6" t="s">
        <v>572</v>
      </c>
      <c r="E249" s="6" t="s">
        <v>573</v>
      </c>
      <c r="F249" s="6" t="str">
        <f>IF($M249="PADD I","PADD 1",IF($M249="PADD II","PADD 2",IF($M249="PADD III","PADD 3",IF($M249="PADD IV","PADD 4",IF($M249="PADD V","PADD 5","")))))</f>
        <v>PADD 3</v>
      </c>
      <c r="G249" s="6" t="str">
        <f>IF(AND($H249="ATMOS DISTILLATION",ISNUMBER(SEARCH("VPS",$I249))=FALSE,LEFT($I249,6)&lt;&gt;"VACUUM"),"CDU",IF($H249="FLUID CAT CRACKING","FCC",IF(OR($H249="HYDROCRACKING",$H249="RESID_HYDROCRACKING"),"Hydrocracker",IF($H249="REFORMING","Reformer",""))))</f>
        <v>CDU</v>
      </c>
      <c r="H249" s="6" t="s">
        <v>38</v>
      </c>
      <c r="I249" s="6" t="s">
        <v>574</v>
      </c>
      <c r="J249" s="6" t="s">
        <v>345</v>
      </c>
      <c r="K249" s="10">
        <v>3</v>
      </c>
      <c r="L249" s="10">
        <v>50</v>
      </c>
      <c r="M249" s="6" t="s">
        <v>371</v>
      </c>
    </row>
    <row r="250" spans="1:13">
      <c r="A250" s="6">
        <v>2023</v>
      </c>
      <c r="B250" s="6">
        <v>1</v>
      </c>
      <c r="C250" s="6" t="s">
        <v>59</v>
      </c>
      <c r="D250" s="6" t="s">
        <v>610</v>
      </c>
      <c r="E250" s="6" t="s">
        <v>611</v>
      </c>
      <c r="F250" s="6" t="str">
        <f>IF($M250="PADD I","PADD 1",IF($M250="PADD II","PADD 2",IF($M250="PADD III","PADD 3",IF($M250="PADD IV","PADD 4",IF($M250="PADD V","PADD 5","")))))</f>
        <v>PADD 2</v>
      </c>
      <c r="G250" s="6" t="str">
        <f>IF(AND($H250="ATMOS DISTILLATION",ISNUMBER(SEARCH("VPS",$I250))=FALSE,LEFT($I250,6)&lt;&gt;"VACUUM"),"CDU",IF($H250="FLUID CAT CRACKING","FCC",IF(OR($H250="HYDROCRACKING",$H250="RESID_HYDROCRACKING"),"Hydrocracker",IF($H250="REFORMING","Reformer",""))))</f>
        <v>CDU</v>
      </c>
      <c r="H250" s="6" t="s">
        <v>38</v>
      </c>
      <c r="I250" s="6" t="s">
        <v>374</v>
      </c>
      <c r="J250" s="6" t="s">
        <v>345</v>
      </c>
      <c r="K250" s="10">
        <v>2.85</v>
      </c>
      <c r="L250" s="10">
        <v>15</v>
      </c>
      <c r="M250" s="6" t="s">
        <v>375</v>
      </c>
    </row>
    <row r="251" spans="1:13">
      <c r="A251" s="6">
        <v>2023</v>
      </c>
      <c r="B251" s="6">
        <v>1</v>
      </c>
      <c r="C251" s="6" t="s">
        <v>59</v>
      </c>
      <c r="D251" s="6" t="s">
        <v>395</v>
      </c>
      <c r="E251" s="6" t="s">
        <v>396</v>
      </c>
      <c r="F251" s="6" t="str">
        <f>IF($M251="PADD I","PADD 1",IF($M251="PADD II","PADD 2",IF($M251="PADD III","PADD 3",IF($M251="PADD IV","PADD 4",IF($M251="PADD V","PADD 5","")))))</f>
        <v>PADD 3</v>
      </c>
      <c r="G251" s="6" t="str">
        <f>IF(AND($H251="ATMOS DISTILLATION",ISNUMBER(SEARCH("VPS",$I251))=FALSE,LEFT($I251,6)&lt;&gt;"VACUUM"),"CDU",IF($H251="FLUID CAT CRACKING","FCC",IF(OR($H251="HYDROCRACKING",$H251="RESID_HYDROCRACKING"),"Hydrocracker",IF($H251="REFORMING","Reformer",""))))</f>
        <v>Reformer</v>
      </c>
      <c r="H251" s="6" t="s">
        <v>421</v>
      </c>
      <c r="I251" s="6" t="s">
        <v>540</v>
      </c>
      <c r="J251" s="6" t="s">
        <v>345</v>
      </c>
      <c r="K251" s="10">
        <v>2.7</v>
      </c>
      <c r="L251" s="10">
        <v>45</v>
      </c>
      <c r="M251" s="6" t="s">
        <v>371</v>
      </c>
    </row>
    <row r="252" spans="1:13">
      <c r="A252" s="6">
        <v>2023</v>
      </c>
      <c r="B252" s="6">
        <v>1</v>
      </c>
      <c r="C252" s="6" t="s">
        <v>59</v>
      </c>
      <c r="D252" s="6" t="s">
        <v>612</v>
      </c>
      <c r="E252" s="6" t="s">
        <v>416</v>
      </c>
      <c r="F252" s="6" t="str">
        <f>IF($M252="PADD I","PADD 1",IF($M252="PADD II","PADD 2",IF($M252="PADD III","PADD 3",IF($M252="PADD IV","PADD 4",IF($M252="PADD V","PADD 5","")))))</f>
        <v>PADD 3</v>
      </c>
      <c r="G252" s="6">
        <f>IF(AND($H252="ATMOS DISTILLATION",ISNUMBER(SEARCH("VPS",$I252))=FALSE,LEFT($I252,6)&lt;&gt;"VACUUM"),"CDU",IF($H252="FLUID CAT CRACKING","FCC",IF(OR($H252="HYDROCRACKING",$H252="RESID_HYDROCRACKING"),"Hydrocracker",IF($H252="REFORMING","Reformer",""))))</f>
        <v/>
      </c>
      <c r="H252" s="6" t="s">
        <v>435</v>
      </c>
      <c r="I252" s="6" t="s">
        <v>441</v>
      </c>
      <c r="J252" s="6" t="s">
        <v>345</v>
      </c>
      <c r="K252" s="10">
        <v>2.64</v>
      </c>
      <c r="L252" s="10">
        <v>44</v>
      </c>
      <c r="M252" s="6" t="s">
        <v>371</v>
      </c>
    </row>
    <row r="253" spans="1:13">
      <c r="A253" s="6">
        <v>2023</v>
      </c>
      <c r="B253" s="6">
        <v>1</v>
      </c>
      <c r="C253" s="6" t="s">
        <v>59</v>
      </c>
      <c r="D253" s="6" t="s">
        <v>334</v>
      </c>
      <c r="E253" s="6" t="s">
        <v>552</v>
      </c>
      <c r="F253" s="6" t="str">
        <f>IF($M253="PADD I","PADD 1",IF($M253="PADD II","PADD 2",IF($M253="PADD III","PADD 3",IF($M253="PADD IV","PADD 4",IF($M253="PADD V","PADD 5","")))))</f>
        <v>PADD 3</v>
      </c>
      <c r="G253" s="6" t="str">
        <f>IF(AND($H253="ATMOS DISTILLATION",ISNUMBER(SEARCH("VPS",$I253))=FALSE,LEFT($I253,6)&lt;&gt;"VACUUM"),"CDU",IF($H253="FLUID CAT CRACKING","FCC",IF(OR($H253="HYDROCRACKING",$H253="RESID_HYDROCRACKING"),"Hydrocracker",IF($H253="REFORMING","Reformer",""))))</f>
        <v>FCC</v>
      </c>
      <c r="H253" s="6" t="s">
        <v>376</v>
      </c>
      <c r="I253" s="6" t="s">
        <v>613</v>
      </c>
      <c r="J253" s="6" t="s">
        <v>345</v>
      </c>
      <c r="K253" s="10">
        <v>2.6</v>
      </c>
      <c r="L253" s="10">
        <v>20</v>
      </c>
      <c r="M253" s="6" t="s">
        <v>371</v>
      </c>
    </row>
    <row r="254" spans="1:13">
      <c r="A254" s="6">
        <v>2023</v>
      </c>
      <c r="B254" s="6">
        <v>1</v>
      </c>
      <c r="C254" s="6" t="s">
        <v>59</v>
      </c>
      <c r="D254" s="6" t="s">
        <v>395</v>
      </c>
      <c r="E254" s="6" t="s">
        <v>396</v>
      </c>
      <c r="F254" s="6" t="str">
        <f>IF($M254="PADD I","PADD 1",IF($M254="PADD II","PADD 2",IF($M254="PADD III","PADD 3",IF($M254="PADD IV","PADD 4",IF($M254="PADD V","PADD 5","")))))</f>
        <v>PADD 3</v>
      </c>
      <c r="G254" s="6">
        <f>IF(AND($H254="ATMOS DISTILLATION",ISNUMBER(SEARCH("VPS",$I254))=FALSE,LEFT($I254,6)&lt;&gt;"VACUUM"),"CDU",IF($H254="FLUID CAT CRACKING","FCC",IF(OR($H254="HYDROCRACKING",$H254="RESID_HYDROCRACKING"),"Hydrocracker",IF($H254="REFORMING","Reformer",""))))</f>
        <v/>
      </c>
      <c r="H254" s="6" t="s">
        <v>43</v>
      </c>
      <c r="I254" s="6" t="s">
        <v>545</v>
      </c>
      <c r="J254" s="6" t="s">
        <v>345</v>
      </c>
      <c r="K254" s="10">
        <v>2.58</v>
      </c>
      <c r="L254" s="10">
        <v>43</v>
      </c>
      <c r="M254" s="6" t="s">
        <v>371</v>
      </c>
    </row>
    <row r="255" spans="1:13">
      <c r="A255" s="6">
        <v>2023</v>
      </c>
      <c r="B255" s="6">
        <v>1</v>
      </c>
      <c r="C255" s="6" t="s">
        <v>59</v>
      </c>
      <c r="D255" s="6" t="s">
        <v>518</v>
      </c>
      <c r="E255" s="6" t="s">
        <v>369</v>
      </c>
      <c r="F255" s="6" t="str">
        <f>IF($M255="PADD I","PADD 1",IF($M255="PADD II","PADD 2",IF($M255="PADD III","PADD 3",IF($M255="PADD IV","PADD 4",IF($M255="PADD V","PADD 5","")))))</f>
        <v>PADD 5</v>
      </c>
      <c r="G255" s="6" t="str">
        <f>IF(AND($H255="ATMOS DISTILLATION",ISNUMBER(SEARCH("VPS",$I255))=FALSE,LEFT($I255,6)&lt;&gt;"VACUUM"),"CDU",IF($H255="FLUID CAT CRACKING","FCC",IF(OR($H255="HYDROCRACKING",$H255="RESID_HYDROCRACKING"),"Hydrocracker",IF($H255="REFORMING","Reformer",""))))</f>
        <v>Hydrocracker</v>
      </c>
      <c r="H255" s="6" t="s">
        <v>444</v>
      </c>
      <c r="I255" s="6" t="s">
        <v>534</v>
      </c>
      <c r="J255" s="6" t="s">
        <v>349</v>
      </c>
      <c r="K255" s="10">
        <v>2.52</v>
      </c>
      <c r="L255" s="10">
        <v>42</v>
      </c>
      <c r="M255" s="6" t="s">
        <v>386</v>
      </c>
    </row>
    <row r="256" spans="1:13">
      <c r="A256" s="6">
        <v>2023</v>
      </c>
      <c r="B256" s="6">
        <v>1</v>
      </c>
      <c r="C256" s="6" t="s">
        <v>59</v>
      </c>
      <c r="D256" s="6" t="s">
        <v>395</v>
      </c>
      <c r="E256" s="6" t="s">
        <v>396</v>
      </c>
      <c r="F256" s="6" t="str">
        <f>IF($M256="PADD I","PADD 1",IF($M256="PADD II","PADD 2",IF($M256="PADD III","PADD 3",IF($M256="PADD IV","PADD 4",IF($M256="PADD V","PADD 5","")))))</f>
        <v>PADD 3</v>
      </c>
      <c r="G256" s="6">
        <f>IF(AND($H256="ATMOS DISTILLATION",ISNUMBER(SEARCH("VPS",$I256))=FALSE,LEFT($I256,6)&lt;&gt;"VACUUM"),"CDU",IF($H256="FLUID CAT CRACKING","FCC",IF(OR($H256="HYDROCRACKING",$H256="RESID_HYDROCRACKING"),"Hydrocracker",IF($H256="REFORMING","Reformer",""))))</f>
        <v/>
      </c>
      <c r="H256" s="6" t="s">
        <v>43</v>
      </c>
      <c r="I256" s="6" t="s">
        <v>551</v>
      </c>
      <c r="J256" s="6" t="s">
        <v>345</v>
      </c>
      <c r="K256" s="10">
        <v>2.454</v>
      </c>
      <c r="L256" s="10">
        <v>40.9</v>
      </c>
      <c r="M256" s="6" t="s">
        <v>371</v>
      </c>
    </row>
    <row r="257" spans="1:13">
      <c r="A257" s="6">
        <v>2023</v>
      </c>
      <c r="B257" s="6">
        <v>1</v>
      </c>
      <c r="C257" s="6" t="s">
        <v>59</v>
      </c>
      <c r="D257" s="6" t="s">
        <v>563</v>
      </c>
      <c r="E257" s="6" t="s">
        <v>396</v>
      </c>
      <c r="F257" s="6" t="str">
        <f>IF($M257="PADD I","PADD 1",IF($M257="PADD II","PADD 2",IF($M257="PADD III","PADD 3",IF($M257="PADD IV","PADD 4",IF($M257="PADD V","PADD 5","")))))</f>
        <v>PADD 3</v>
      </c>
      <c r="G257" s="6">
        <f>IF(AND($H257="ATMOS DISTILLATION",ISNUMBER(SEARCH("VPS",$I257))=FALSE,LEFT($I257,6)&lt;&gt;"VACUUM"),"CDU",IF($H257="FLUID CAT CRACKING","FCC",IF(OR($H257="HYDROCRACKING",$H257="RESID_HYDROCRACKING"),"Hydrocracker",IF($H257="REFORMING","Reformer",""))))</f>
        <v/>
      </c>
      <c r="H257" s="6" t="s">
        <v>43</v>
      </c>
      <c r="I257" s="6" t="s">
        <v>564</v>
      </c>
      <c r="J257" s="6" t="s">
        <v>345</v>
      </c>
      <c r="K257" s="10">
        <v>2.454</v>
      </c>
      <c r="L257" s="10">
        <v>40.9</v>
      </c>
      <c r="M257" s="6" t="s">
        <v>371</v>
      </c>
    </row>
    <row r="258" spans="1:13">
      <c r="A258" s="6">
        <v>2023</v>
      </c>
      <c r="B258" s="6">
        <v>1</v>
      </c>
      <c r="C258" s="6" t="s">
        <v>59</v>
      </c>
      <c r="D258" s="6" t="s">
        <v>334</v>
      </c>
      <c r="E258" s="6" t="s">
        <v>552</v>
      </c>
      <c r="F258" s="6" t="str">
        <f>IF($M258="PADD I","PADD 1",IF($M258="PADD II","PADD 2",IF($M258="PADD III","PADD 3",IF($M258="PADD IV","PADD 4",IF($M258="PADD V","PADD 5","")))))</f>
        <v>PADD 3</v>
      </c>
      <c r="G258" s="6">
        <f>IF(AND($H258="ATMOS DISTILLATION",ISNUMBER(SEARCH("VPS",$I258))=FALSE,LEFT($I258,6)&lt;&gt;"VACUUM"),"CDU",IF($H258="FLUID CAT CRACKING","FCC",IF(OR($H258="HYDROCRACKING",$H258="RESID_HYDROCRACKING"),"Hydrocracker",IF($H258="REFORMING","Reformer",""))))</f>
        <v/>
      </c>
      <c r="H258" s="6" t="s">
        <v>378</v>
      </c>
      <c r="I258" s="6" t="s">
        <v>555</v>
      </c>
      <c r="J258" s="6" t="s">
        <v>345</v>
      </c>
      <c r="K258" s="10">
        <v>2.4089</v>
      </c>
      <c r="L258" s="10">
        <v>18.53</v>
      </c>
      <c r="M258" s="6" t="s">
        <v>371</v>
      </c>
    </row>
    <row r="259" spans="1:13">
      <c r="A259" s="6">
        <v>2023</v>
      </c>
      <c r="B259" s="6">
        <v>1</v>
      </c>
      <c r="C259" s="6" t="s">
        <v>59</v>
      </c>
      <c r="D259" s="6" t="s">
        <v>331</v>
      </c>
      <c r="E259" s="6" t="s">
        <v>373</v>
      </c>
      <c r="F259" s="6" t="str">
        <f>IF($M259="PADD I","PADD 1",IF($M259="PADD II","PADD 2",IF($M259="PADD III","PADD 3",IF($M259="PADD IV","PADD 4",IF($M259="PADD V","PADD 5","")))))</f>
        <v>PADD 2</v>
      </c>
      <c r="G259" s="6">
        <f>IF(AND($H259="ATMOS DISTILLATION",ISNUMBER(SEARCH("VPS",$I259))=FALSE,LEFT($I259,6)&lt;&gt;"VACUUM"),"CDU",IF($H259="FLUID CAT CRACKING","FCC",IF(OR($H259="HYDROCRACKING",$H259="RESID_HYDROCRACKING"),"Hydrocracker",IF($H259="REFORMING","Reformer",""))))</f>
        <v/>
      </c>
      <c r="H259" s="6" t="s">
        <v>435</v>
      </c>
      <c r="I259" s="6" t="s">
        <v>441</v>
      </c>
      <c r="J259" s="6" t="s">
        <v>345</v>
      </c>
      <c r="K259" s="10">
        <v>2.3</v>
      </c>
      <c r="L259" s="10">
        <v>23</v>
      </c>
      <c r="M259" s="6" t="s">
        <v>375</v>
      </c>
    </row>
    <row r="260" spans="1:13">
      <c r="A260" s="6">
        <v>2023</v>
      </c>
      <c r="B260" s="6">
        <v>1</v>
      </c>
      <c r="C260" s="6" t="s">
        <v>59</v>
      </c>
      <c r="D260" s="6" t="s">
        <v>610</v>
      </c>
      <c r="E260" s="6" t="s">
        <v>611</v>
      </c>
      <c r="F260" s="6" t="str">
        <f>IF($M260="PADD I","PADD 1",IF($M260="PADD II","PADD 2",IF($M260="PADD III","PADD 3",IF($M260="PADD IV","PADD 4",IF($M260="PADD V","PADD 5","")))))</f>
        <v>PADD 2</v>
      </c>
      <c r="G260" s="6" t="str">
        <f>IF(AND($H260="ATMOS DISTILLATION",ISNUMBER(SEARCH("VPS",$I260))=FALSE,LEFT($I260,6)&lt;&gt;"VACUUM"),"CDU",IF($H260="FLUID CAT CRACKING","FCC",IF(OR($H260="HYDROCRACKING",$H260="RESID_HYDROCRACKING"),"Hydrocracker",IF($H260="REFORMING","Reformer",""))))</f>
        <v>CDU</v>
      </c>
      <c r="H260" s="6" t="s">
        <v>38</v>
      </c>
      <c r="I260" s="6" t="s">
        <v>332</v>
      </c>
      <c r="J260" s="6" t="s">
        <v>345</v>
      </c>
      <c r="K260" s="10">
        <v>2.28</v>
      </c>
      <c r="L260" s="10">
        <v>12</v>
      </c>
      <c r="M260" s="6" t="s">
        <v>375</v>
      </c>
    </row>
    <row r="261" spans="1:13">
      <c r="A261" s="6">
        <v>2023</v>
      </c>
      <c r="B261" s="6">
        <v>1</v>
      </c>
      <c r="C261" s="6" t="s">
        <v>59</v>
      </c>
      <c r="D261" s="6" t="s">
        <v>334</v>
      </c>
      <c r="E261" s="6" t="s">
        <v>552</v>
      </c>
      <c r="F261" s="6" t="str">
        <f>IF($M261="PADD I","PADD 1",IF($M261="PADD II","PADD 2",IF($M261="PADD III","PADD 3",IF($M261="PADD IV","PADD 4",IF($M261="PADD V","PADD 5","")))))</f>
        <v>PADD 3</v>
      </c>
      <c r="G261" s="6">
        <f>IF(AND($H261="ATMOS DISTILLATION",ISNUMBER(SEARCH("VPS",$I261))=FALSE,LEFT($I261,6)&lt;&gt;"VACUUM"),"CDU",IF($H261="FLUID CAT CRACKING","FCC",IF(OR($H261="HYDROCRACKING",$H261="RESID_HYDROCRACKING"),"Hydrocracker",IF($H261="REFORMING","Reformer",""))))</f>
        <v/>
      </c>
      <c r="H261" s="6" t="s">
        <v>43</v>
      </c>
      <c r="I261" s="6" t="s">
        <v>501</v>
      </c>
      <c r="J261" s="6" t="s">
        <v>345</v>
      </c>
      <c r="K261" s="10">
        <v>2.16</v>
      </c>
      <c r="L261" s="10">
        <v>13.5</v>
      </c>
      <c r="M261" s="6" t="s">
        <v>371</v>
      </c>
    </row>
    <row r="262" spans="1:13">
      <c r="A262" s="6">
        <v>2023</v>
      </c>
      <c r="B262" s="6">
        <v>1</v>
      </c>
      <c r="C262" s="6" t="s">
        <v>59</v>
      </c>
      <c r="D262" s="6" t="s">
        <v>531</v>
      </c>
      <c r="E262" s="6" t="s">
        <v>532</v>
      </c>
      <c r="F262" s="6" t="str">
        <f>IF($M262="PADD I","PADD 1",IF($M262="PADD II","PADD 2",IF($M262="PADD III","PADD 3",IF($M262="PADD IV","PADD 4",IF($M262="PADD V","PADD 5","")))))</f>
        <v>PADD 5</v>
      </c>
      <c r="G262" s="6">
        <f>IF(AND($H262="ATMOS DISTILLATION",ISNUMBER(SEARCH("VPS",$I262))=FALSE,LEFT($I262,6)&lt;&gt;"VACUUM"),"CDU",IF($H262="FLUID CAT CRACKING","FCC",IF(OR($H262="HYDROCRACKING",$H262="RESID_HYDROCRACKING"),"Hydrocracker",IF($H262="REFORMING","Reformer",""))))</f>
        <v/>
      </c>
      <c r="H262" s="6" t="s">
        <v>435</v>
      </c>
      <c r="I262" s="6" t="s">
        <v>614</v>
      </c>
      <c r="J262" s="6" t="s">
        <v>345</v>
      </c>
      <c r="K262" s="10">
        <v>2.16</v>
      </c>
      <c r="L262" s="10">
        <v>13.5</v>
      </c>
      <c r="M262" s="6" t="s">
        <v>386</v>
      </c>
    </row>
    <row r="263" spans="1:13">
      <c r="A263" s="6">
        <v>2023</v>
      </c>
      <c r="B263" s="6">
        <v>1</v>
      </c>
      <c r="C263" s="6" t="s">
        <v>59</v>
      </c>
      <c r="D263" s="6" t="s">
        <v>615</v>
      </c>
      <c r="E263" s="6" t="s">
        <v>405</v>
      </c>
      <c r="F263" s="6" t="str">
        <f>IF($M263="PADD I","PADD 1",IF($M263="PADD II","PADD 2",IF($M263="PADD III","PADD 3",IF($M263="PADD IV","PADD 4",IF($M263="PADD V","PADD 5","")))))</f>
        <v>PADD 5</v>
      </c>
      <c r="G263" s="6" t="str">
        <f>IF(AND($H263="ATMOS DISTILLATION",ISNUMBER(SEARCH("VPS",$I263))=FALSE,LEFT($I263,6)&lt;&gt;"VACUUM"),"CDU",IF($H263="FLUID CAT CRACKING","FCC",IF(OR($H263="HYDROCRACKING",$H263="RESID_HYDROCRACKING"),"Hydrocracker",IF($H263="REFORMING","Reformer",""))))</f>
        <v>Hydrocracker</v>
      </c>
      <c r="H263" s="6" t="s">
        <v>444</v>
      </c>
      <c r="I263" s="6" t="s">
        <v>14</v>
      </c>
      <c r="J263" s="6" t="s">
        <v>349</v>
      </c>
      <c r="K263" s="10">
        <v>2.16</v>
      </c>
      <c r="L263" s="10">
        <v>36</v>
      </c>
      <c r="M263" s="6" t="s">
        <v>386</v>
      </c>
    </row>
    <row r="264" spans="1:13">
      <c r="A264" s="6">
        <v>2023</v>
      </c>
      <c r="B264" s="6">
        <v>1</v>
      </c>
      <c r="C264" s="6" t="s">
        <v>59</v>
      </c>
      <c r="D264" s="6" t="s">
        <v>531</v>
      </c>
      <c r="E264" s="6" t="s">
        <v>532</v>
      </c>
      <c r="F264" s="6" t="str">
        <f>IF($M264="PADD I","PADD 1",IF($M264="PADD II","PADD 2",IF($M264="PADD III","PADD 3",IF($M264="PADD IV","PADD 4",IF($M264="PADD V","PADD 5","")))))</f>
        <v>PADD 5</v>
      </c>
      <c r="G264" s="6">
        <f>IF(AND($H264="ATMOS DISTILLATION",ISNUMBER(SEARCH("VPS",$I264))=FALSE,LEFT($I264,6)&lt;&gt;"VACUUM"),"CDU",IF($H264="FLUID CAT CRACKING","FCC",IF(OR($H264="HYDROCRACKING",$H264="RESID_HYDROCRACKING"),"Hydrocracker",IF($H264="REFORMING","Reformer",""))))</f>
        <v/>
      </c>
      <c r="H264" s="6" t="s">
        <v>460</v>
      </c>
      <c r="I264" s="6" t="s">
        <v>616</v>
      </c>
      <c r="J264" s="6" t="s">
        <v>345</v>
      </c>
      <c r="K264" s="10">
        <v>2.04</v>
      </c>
      <c r="L264" s="10">
        <v>12.75</v>
      </c>
      <c r="M264" s="6" t="s">
        <v>386</v>
      </c>
    </row>
    <row r="265" spans="1:13">
      <c r="A265" s="6">
        <v>2023</v>
      </c>
      <c r="B265" s="6">
        <v>1</v>
      </c>
      <c r="C265" s="6" t="s">
        <v>59</v>
      </c>
      <c r="D265" s="6" t="s">
        <v>420</v>
      </c>
      <c r="E265" s="6" t="s">
        <v>373</v>
      </c>
      <c r="F265" s="6" t="str">
        <f>IF($M265="PADD I","PADD 1",IF($M265="PADD II","PADD 2",IF($M265="PADD III","PADD 3",IF($M265="PADD IV","PADD 4",IF($M265="PADD V","PADD 5","")))))</f>
        <v>PADD 2</v>
      </c>
      <c r="G265" s="6">
        <f>IF(AND($H265="ATMOS DISTILLATION",ISNUMBER(SEARCH("VPS",$I265))=FALSE,LEFT($I265,6)&lt;&gt;"VACUUM"),"CDU",IF($H265="FLUID CAT CRACKING","FCC",IF(OR($H265="HYDROCRACKING",$H265="RESID_HYDROCRACKING"),"Hydrocracker",IF($H265="REFORMING","Reformer",""))))</f>
        <v/>
      </c>
      <c r="H265" s="6" t="s">
        <v>568</v>
      </c>
      <c r="I265" s="6" t="s">
        <v>604</v>
      </c>
      <c r="J265" s="6" t="s">
        <v>345</v>
      </c>
      <c r="K265" s="10">
        <v>2</v>
      </c>
      <c r="L265" s="10">
        <v>2</v>
      </c>
      <c r="M265" s="6" t="s">
        <v>375</v>
      </c>
    </row>
    <row r="266" spans="1:13">
      <c r="A266" s="6">
        <v>2023</v>
      </c>
      <c r="B266" s="6">
        <v>1</v>
      </c>
      <c r="C266" s="6" t="s">
        <v>59</v>
      </c>
      <c r="D266" s="6" t="s">
        <v>531</v>
      </c>
      <c r="E266" s="6" t="s">
        <v>532</v>
      </c>
      <c r="F266" s="6" t="str">
        <f>IF($M266="PADD I","PADD 1",IF($M266="PADD II","PADD 2",IF($M266="PADD III","PADD 3",IF($M266="PADD IV","PADD 4",IF($M266="PADD V","PADD 5","")))))</f>
        <v>PADD 5</v>
      </c>
      <c r="G266" s="6" t="str">
        <f>IF(AND($H266="ATMOS DISTILLATION",ISNUMBER(SEARCH("VPS",$I266))=FALSE,LEFT($I266,6)&lt;&gt;"VACUUM"),"CDU",IF($H266="FLUID CAT CRACKING","FCC",IF(OR($H266="HYDROCRACKING",$H266="RESID_HYDROCRACKING"),"Hydrocracker",IF($H266="REFORMING","Reformer",""))))</f>
        <v>Hydrocracker</v>
      </c>
      <c r="H266" s="6" t="s">
        <v>444</v>
      </c>
      <c r="I266" s="6" t="s">
        <v>14</v>
      </c>
      <c r="J266" s="6" t="s">
        <v>345</v>
      </c>
      <c r="K266" s="10">
        <v>1.92</v>
      </c>
      <c r="L266" s="10">
        <v>12</v>
      </c>
      <c r="M266" s="6" t="s">
        <v>386</v>
      </c>
    </row>
    <row r="267" spans="1:13">
      <c r="A267" s="6">
        <v>2023</v>
      </c>
      <c r="B267" s="6">
        <v>1</v>
      </c>
      <c r="C267" s="6" t="s">
        <v>59</v>
      </c>
      <c r="D267" s="6" t="s">
        <v>518</v>
      </c>
      <c r="E267" s="6" t="s">
        <v>369</v>
      </c>
      <c r="F267" s="6" t="str">
        <f>IF($M267="PADD I","PADD 1",IF($M267="PADD II","PADD 2",IF($M267="PADD III","PADD 3",IF($M267="PADD IV","PADD 4",IF($M267="PADD V","PADD 5","")))))</f>
        <v>PADD 5</v>
      </c>
      <c r="G267" s="6">
        <f>IF(AND($H267="ATMOS DISTILLATION",ISNUMBER(SEARCH("VPS",$I267))=FALSE,LEFT($I267,6)&lt;&gt;"VACUUM"),"CDU",IF($H267="FLUID CAT CRACKING","FCC",IF(OR($H267="HYDROCRACKING",$H267="RESID_HYDROCRACKING"),"Hydrocracker",IF($H267="REFORMING","Reformer",""))))</f>
        <v/>
      </c>
      <c r="H267" s="6" t="s">
        <v>568</v>
      </c>
      <c r="I267" s="6" t="s">
        <v>617</v>
      </c>
      <c r="J267" s="6" t="s">
        <v>345</v>
      </c>
      <c r="K267" s="10">
        <v>1.885</v>
      </c>
      <c r="L267" s="10">
        <v>6.5</v>
      </c>
      <c r="M267" s="6" t="s">
        <v>386</v>
      </c>
    </row>
    <row r="268" spans="1:13">
      <c r="A268" s="6">
        <v>2023</v>
      </c>
      <c r="B268" s="6">
        <v>1</v>
      </c>
      <c r="C268" s="6" t="s">
        <v>59</v>
      </c>
      <c r="D268" s="6" t="s">
        <v>451</v>
      </c>
      <c r="E268" s="6" t="s">
        <v>452</v>
      </c>
      <c r="F268" s="6" t="str">
        <f>IF($M268="PADD I","PADD 1",IF($M268="PADD II","PADD 2",IF($M268="PADD III","PADD 3",IF($M268="PADD IV","PADD 4",IF($M268="PADD V","PADD 5","")))))</f>
        <v>PADD 2</v>
      </c>
      <c r="G268" s="6">
        <f>IF(AND($H268="ATMOS DISTILLATION",ISNUMBER(SEARCH("VPS",$I268))=FALSE,LEFT($I268,6)&lt;&gt;"VACUUM"),"CDU",IF($H268="FLUID CAT CRACKING","FCC",IF(OR($H268="HYDROCRACKING",$H268="RESID_HYDROCRACKING"),"Hydrocracker",IF($H268="REFORMING","Reformer",""))))</f>
        <v/>
      </c>
      <c r="H268" s="6" t="s">
        <v>460</v>
      </c>
      <c r="I268" s="6" t="s">
        <v>461</v>
      </c>
      <c r="J268" s="6" t="s">
        <v>345</v>
      </c>
      <c r="K268" s="10">
        <v>1.83</v>
      </c>
      <c r="L268" s="10">
        <v>3</v>
      </c>
      <c r="M268" s="6" t="s">
        <v>375</v>
      </c>
    </row>
    <row r="269" spans="1:13">
      <c r="A269" s="6">
        <v>2023</v>
      </c>
      <c r="B269" s="6">
        <v>1</v>
      </c>
      <c r="C269" s="6" t="s">
        <v>59</v>
      </c>
      <c r="D269" s="6" t="s">
        <v>518</v>
      </c>
      <c r="E269" s="6" t="s">
        <v>369</v>
      </c>
      <c r="F269" s="6" t="str">
        <f>IF($M269="PADD I","PADD 1",IF($M269="PADD II","PADD 2",IF($M269="PADD III","PADD 3",IF($M269="PADD IV","PADD 4",IF($M269="PADD V","PADD 5","")))))</f>
        <v>PADD 5</v>
      </c>
      <c r="G269" s="6">
        <f>IF(AND($H269="ATMOS DISTILLATION",ISNUMBER(SEARCH("VPS",$I269))=FALSE,LEFT($I269,6)&lt;&gt;"VACUUM"),"CDU",IF($H269="FLUID CAT CRACKING","FCC",IF(OR($H269="HYDROCRACKING",$H269="RESID_HYDROCRACKING"),"Hydrocracker",IF($H269="REFORMING","Reformer",""))))</f>
        <v/>
      </c>
      <c r="H269" s="6" t="s">
        <v>378</v>
      </c>
      <c r="I269" s="6" t="s">
        <v>431</v>
      </c>
      <c r="J269" s="6" t="s">
        <v>349</v>
      </c>
      <c r="K269" s="10">
        <v>1.8</v>
      </c>
      <c r="L269" s="10">
        <v>30</v>
      </c>
      <c r="M269" s="6" t="s">
        <v>386</v>
      </c>
    </row>
    <row r="270" spans="1:13">
      <c r="A270" s="6">
        <v>2023</v>
      </c>
      <c r="B270" s="6">
        <v>1</v>
      </c>
      <c r="C270" s="6" t="s">
        <v>59</v>
      </c>
      <c r="D270" s="6" t="s">
        <v>547</v>
      </c>
      <c r="E270" s="6" t="s">
        <v>391</v>
      </c>
      <c r="F270" s="6" t="str">
        <f>IF($M270="PADD I","PADD 1",IF($M270="PADD II","PADD 2",IF($M270="PADD III","PADD 3",IF($M270="PADD IV","PADD 4",IF($M270="PADD V","PADD 5","")))))</f>
        <v>PADD 5</v>
      </c>
      <c r="G270" s="6" t="str">
        <f>IF(AND($H270="ATMOS DISTILLATION",ISNUMBER(SEARCH("VPS",$I270))=FALSE,LEFT($I270,6)&lt;&gt;"VACUUM"),"CDU",IF($H270="FLUID CAT CRACKING","FCC",IF(OR($H270="HYDROCRACKING",$H270="RESID_HYDROCRACKING"),"Hydrocracker",IF($H270="REFORMING","Reformer",""))))</f>
        <v>Reformer</v>
      </c>
      <c r="H270" s="6" t="s">
        <v>421</v>
      </c>
      <c r="I270" s="6" t="s">
        <v>548</v>
      </c>
      <c r="J270" s="6" t="s">
        <v>345</v>
      </c>
      <c r="K270" s="10">
        <v>1.68</v>
      </c>
      <c r="L270" s="10">
        <v>28</v>
      </c>
      <c r="M270" s="6" t="s">
        <v>386</v>
      </c>
    </row>
    <row r="271" spans="1:13">
      <c r="A271" s="6">
        <v>2023</v>
      </c>
      <c r="B271" s="6">
        <v>1</v>
      </c>
      <c r="C271" s="6" t="s">
        <v>59</v>
      </c>
      <c r="D271" s="6" t="s">
        <v>531</v>
      </c>
      <c r="E271" s="6" t="s">
        <v>532</v>
      </c>
      <c r="F271" s="6" t="str">
        <f>IF($M271="PADD I","PADD 1",IF($M271="PADD II","PADD 2",IF($M271="PADD III","PADD 3",IF($M271="PADD IV","PADD 4",IF($M271="PADD V","PADD 5","")))))</f>
        <v>PADD 5</v>
      </c>
      <c r="G271" s="6">
        <f>IF(AND($H271="ATMOS DISTILLATION",ISNUMBER(SEARCH("VPS",$I271))=FALSE,LEFT($I271,6)&lt;&gt;"VACUUM"),"CDU",IF($H271="FLUID CAT CRACKING","FCC",IF(OR($H271="HYDROCRACKING",$H271="RESID_HYDROCRACKING"),"Hydrocracker",IF($H271="REFORMING","Reformer",""))))</f>
        <v/>
      </c>
      <c r="H271" s="6" t="s">
        <v>43</v>
      </c>
      <c r="I271" s="6" t="s">
        <v>618</v>
      </c>
      <c r="J271" s="6" t="s">
        <v>345</v>
      </c>
      <c r="K271" s="10">
        <v>1.6</v>
      </c>
      <c r="L271" s="10">
        <v>10</v>
      </c>
      <c r="M271" s="6" t="s">
        <v>386</v>
      </c>
    </row>
    <row r="272" spans="1:13">
      <c r="A272" s="6">
        <v>2023</v>
      </c>
      <c r="B272" s="6">
        <v>1</v>
      </c>
      <c r="C272" s="6" t="s">
        <v>59</v>
      </c>
      <c r="D272" s="6" t="s">
        <v>518</v>
      </c>
      <c r="E272" s="6" t="s">
        <v>369</v>
      </c>
      <c r="F272" s="6" t="str">
        <f>IF($M272="PADD I","PADD 1",IF($M272="PADD II","PADD 2",IF($M272="PADD III","PADD 3",IF($M272="PADD IV","PADD 4",IF($M272="PADD V","PADD 5","")))))</f>
        <v>PADD 5</v>
      </c>
      <c r="G272" s="6" t="str">
        <f>IF(AND($H272="ATMOS DISTILLATION",ISNUMBER(SEARCH("VPS",$I272))=FALSE,LEFT($I272,6)&lt;&gt;"VACUUM"),"CDU",IF($H272="FLUID CAT CRACKING","FCC",IF(OR($H272="HYDROCRACKING",$H272="RESID_HYDROCRACKING"),"Hydrocracker",IF($H272="REFORMING","Reformer",""))))</f>
        <v>CDU</v>
      </c>
      <c r="H272" s="6" t="s">
        <v>38</v>
      </c>
      <c r="I272" s="6" t="s">
        <v>519</v>
      </c>
      <c r="J272" s="6" t="s">
        <v>349</v>
      </c>
      <c r="K272" s="10">
        <v>1.5</v>
      </c>
      <c r="L272" s="10">
        <v>50</v>
      </c>
      <c r="M272" s="6" t="s">
        <v>386</v>
      </c>
    </row>
    <row r="273" spans="1:13">
      <c r="A273" s="6">
        <v>2023</v>
      </c>
      <c r="B273" s="6">
        <v>1</v>
      </c>
      <c r="C273" s="6" t="s">
        <v>59</v>
      </c>
      <c r="D273" s="6" t="s">
        <v>518</v>
      </c>
      <c r="E273" s="6" t="s">
        <v>369</v>
      </c>
      <c r="F273" s="6" t="str">
        <f>IF($M273="PADD I","PADD 1",IF($M273="PADD II","PADD 2",IF($M273="PADD III","PADD 3",IF($M273="PADD IV","PADD 4",IF($M273="PADD V","PADD 5","")))))</f>
        <v>PADD 5</v>
      </c>
      <c r="G273" s="6" t="str">
        <f>IF(AND($H273="ATMOS DISTILLATION",ISNUMBER(SEARCH("VPS",$I273))=FALSE,LEFT($I273,6)&lt;&gt;"VACUUM"),"CDU",IF($H273="FLUID CAT CRACKING","FCC",IF(OR($H273="HYDROCRACKING",$H273="RESID_HYDROCRACKING"),"Hydrocracker",IF($H273="REFORMING","Reformer",""))))</f>
        <v>Hydrocracker</v>
      </c>
      <c r="H273" s="6" t="s">
        <v>444</v>
      </c>
      <c r="I273" s="6" t="s">
        <v>582</v>
      </c>
      <c r="J273" s="6" t="s">
        <v>345</v>
      </c>
      <c r="K273" s="10">
        <v>1.38</v>
      </c>
      <c r="L273" s="10">
        <v>23</v>
      </c>
      <c r="M273" s="6" t="s">
        <v>386</v>
      </c>
    </row>
    <row r="274" spans="1:13">
      <c r="A274" s="6">
        <v>2023</v>
      </c>
      <c r="B274" s="6">
        <v>1</v>
      </c>
      <c r="C274" s="6" t="s">
        <v>59</v>
      </c>
      <c r="D274" s="6" t="s">
        <v>334</v>
      </c>
      <c r="E274" s="6" t="s">
        <v>552</v>
      </c>
      <c r="F274" s="6" t="str">
        <f>IF($M274="PADD I","PADD 1",IF($M274="PADD II","PADD 2",IF($M274="PADD III","PADD 3",IF($M274="PADD IV","PADD 4",IF($M274="PADD V","PADD 5","")))))</f>
        <v>PADD 3</v>
      </c>
      <c r="G274" s="6">
        <f>IF(AND($H274="ATMOS DISTILLATION",ISNUMBER(SEARCH("VPS",$I274))=FALSE,LEFT($I274,6)&lt;&gt;"VACUUM"),"CDU",IF($H274="FLUID CAT CRACKING","FCC",IF(OR($H274="HYDROCRACKING",$H274="RESID_HYDROCRACKING"),"Hydrocracker",IF($H274="REFORMING","Reformer",""))))</f>
        <v/>
      </c>
      <c r="H274" s="6" t="s">
        <v>43</v>
      </c>
      <c r="I274" s="6" t="s">
        <v>619</v>
      </c>
      <c r="J274" s="6" t="s">
        <v>345</v>
      </c>
      <c r="K274" s="10">
        <v>1.28</v>
      </c>
      <c r="L274" s="10">
        <v>8</v>
      </c>
      <c r="M274" s="6" t="s">
        <v>371</v>
      </c>
    </row>
    <row r="275" spans="1:13">
      <c r="A275" s="6">
        <v>2023</v>
      </c>
      <c r="B275" s="6">
        <v>1</v>
      </c>
      <c r="C275" s="6" t="s">
        <v>59</v>
      </c>
      <c r="D275" s="6" t="s">
        <v>50</v>
      </c>
      <c r="E275" s="6" t="s">
        <v>381</v>
      </c>
      <c r="F275" s="6" t="str">
        <f>IF($M275="PADD I","PADD 1",IF($M275="PADD II","PADD 2",IF($M275="PADD III","PADD 3",IF($M275="PADD IV","PADD 4",IF($M275="PADD V","PADD 5","")))))</f>
        <v>PADD 3</v>
      </c>
      <c r="G275" s="6">
        <f>IF(AND($H275="ATMOS DISTILLATION",ISNUMBER(SEARCH("VPS",$I275))=FALSE,LEFT($I275,6)&lt;&gt;"VACUUM"),"CDU",IF($H275="FLUID CAT CRACKING","FCC",IF(OR($H275="HYDROCRACKING",$H275="RESID_HYDROCRACKING"),"Hydrocracker",IF($H275="REFORMING","Reformer",""))))</f>
        <v/>
      </c>
      <c r="H275" s="6" t="s">
        <v>460</v>
      </c>
      <c r="I275" s="6" t="s">
        <v>620</v>
      </c>
      <c r="J275" s="6" t="s">
        <v>349</v>
      </c>
      <c r="K275" s="10">
        <v>1.26</v>
      </c>
      <c r="L275" s="10">
        <v>21</v>
      </c>
      <c r="M275" s="6" t="s">
        <v>371</v>
      </c>
    </row>
    <row r="276" spans="1:13">
      <c r="A276" s="6">
        <v>2023</v>
      </c>
      <c r="B276" s="6">
        <v>1</v>
      </c>
      <c r="C276" s="6" t="s">
        <v>59</v>
      </c>
      <c r="D276" s="6" t="s">
        <v>610</v>
      </c>
      <c r="E276" s="6" t="s">
        <v>611</v>
      </c>
      <c r="F276" s="6" t="str">
        <f>IF($M276="PADD I","PADD 1",IF($M276="PADD II","PADD 2",IF($M276="PADD III","PADD 3",IF($M276="PADD IV","PADD 4",IF($M276="PADD V","PADD 5","")))))</f>
        <v>PADD 2</v>
      </c>
      <c r="G276" s="6" t="str">
        <f>IF(AND($H276="ATMOS DISTILLATION",ISNUMBER(SEARCH("VPS",$I276))=FALSE,LEFT($I276,6)&lt;&gt;"VACUUM"),"CDU",IF($H276="FLUID CAT CRACKING","FCC",IF(OR($H276="HYDROCRACKING",$H276="RESID_HYDROCRACKING"),"Hydrocracker",IF($H276="REFORMING","Reformer",""))))</f>
        <v>FCC</v>
      </c>
      <c r="H276" s="6" t="s">
        <v>376</v>
      </c>
      <c r="I276" s="6" t="s">
        <v>105</v>
      </c>
      <c r="J276" s="6" t="s">
        <v>345</v>
      </c>
      <c r="K276" s="10">
        <v>1.216</v>
      </c>
      <c r="L276" s="10">
        <v>6.4</v>
      </c>
      <c r="M276" s="6" t="s">
        <v>375</v>
      </c>
    </row>
    <row r="277" spans="1:13">
      <c r="A277" s="6">
        <v>2023</v>
      </c>
      <c r="B277" s="6">
        <v>1</v>
      </c>
      <c r="C277" s="6" t="s">
        <v>59</v>
      </c>
      <c r="D277" s="6" t="s">
        <v>395</v>
      </c>
      <c r="E277" s="6" t="s">
        <v>396</v>
      </c>
      <c r="F277" s="6" t="str">
        <f>IF($M277="PADD I","PADD 1",IF($M277="PADD II","PADD 2",IF($M277="PADD III","PADD 3",IF($M277="PADD IV","PADD 4",IF($M277="PADD V","PADD 5","")))))</f>
        <v>PADD 3</v>
      </c>
      <c r="G277" s="6">
        <f>IF(AND($H277="ATMOS DISTILLATION",ISNUMBER(SEARCH("VPS",$I277))=FALSE,LEFT($I277,6)&lt;&gt;"VACUUM"),"CDU",IF($H277="FLUID CAT CRACKING","FCC",IF(OR($H277="HYDROCRACKING",$H277="RESID_HYDROCRACKING"),"Hydrocracker",IF($H277="REFORMING","Reformer",""))))</f>
        <v/>
      </c>
      <c r="H277" s="6" t="s">
        <v>43</v>
      </c>
      <c r="I277" s="6" t="s">
        <v>621</v>
      </c>
      <c r="J277" s="6" t="s">
        <v>345</v>
      </c>
      <c r="K277" s="10">
        <v>1.17</v>
      </c>
      <c r="L277" s="10">
        <v>4.5</v>
      </c>
      <c r="M277" s="6" t="s">
        <v>371</v>
      </c>
    </row>
    <row r="278" spans="1:13">
      <c r="A278" s="6">
        <v>2023</v>
      </c>
      <c r="B278" s="6">
        <v>1</v>
      </c>
      <c r="C278" s="6" t="s">
        <v>59</v>
      </c>
      <c r="D278" s="6" t="s">
        <v>610</v>
      </c>
      <c r="E278" s="6" t="s">
        <v>611</v>
      </c>
      <c r="F278" s="6" t="str">
        <f>IF($M278="PADD I","PADD 1",IF($M278="PADD II","PADD 2",IF($M278="PADD III","PADD 3",IF($M278="PADD IV","PADD 4",IF($M278="PADD V","PADD 5","")))))</f>
        <v>PADD 2</v>
      </c>
      <c r="G278" s="6">
        <f>IF(AND($H278="ATMOS DISTILLATION",ISNUMBER(SEARCH("VPS",$I278))=FALSE,LEFT($I278,6)&lt;&gt;"VACUUM"),"CDU",IF($H278="FLUID CAT CRACKING","FCC",IF(OR($H278="HYDROCRACKING",$H278="RESID_HYDROCRACKING"),"Hydrocracker",IF($H278="REFORMING","Reformer",""))))</f>
        <v/>
      </c>
      <c r="H278" s="6" t="s">
        <v>43</v>
      </c>
      <c r="I278" s="6" t="s">
        <v>622</v>
      </c>
      <c r="J278" s="6" t="s">
        <v>345</v>
      </c>
      <c r="K278" s="10">
        <v>1.14</v>
      </c>
      <c r="L278" s="10">
        <v>6</v>
      </c>
      <c r="M278" s="6" t="s">
        <v>375</v>
      </c>
    </row>
    <row r="279" spans="1:13">
      <c r="A279" s="6">
        <v>2023</v>
      </c>
      <c r="B279" s="6">
        <v>1</v>
      </c>
      <c r="C279" s="6" t="s">
        <v>59</v>
      </c>
      <c r="D279" s="6" t="s">
        <v>334</v>
      </c>
      <c r="E279" s="6" t="s">
        <v>552</v>
      </c>
      <c r="F279" s="6" t="str">
        <f>IF($M279="PADD I","PADD 1",IF($M279="PADD II","PADD 2",IF($M279="PADD III","PADD 3",IF($M279="PADD IV","PADD 4",IF($M279="PADD V","PADD 5","")))))</f>
        <v>PADD 3</v>
      </c>
      <c r="G279" s="6">
        <f>IF(AND($H279="ATMOS DISTILLATION",ISNUMBER(SEARCH("VPS",$I279))=FALSE,LEFT($I279,6)&lt;&gt;"VACUUM"),"CDU",IF($H279="FLUID CAT CRACKING","FCC",IF(OR($H279="HYDROCRACKING",$H279="RESID_HYDROCRACKING"),"Hydrocracker",IF($H279="REFORMING","Reformer",""))))</f>
        <v/>
      </c>
      <c r="H279" s="6" t="s">
        <v>523</v>
      </c>
      <c r="I279" s="6" t="s">
        <v>524</v>
      </c>
      <c r="J279" s="6" t="s">
        <v>345</v>
      </c>
      <c r="K279" s="10">
        <v>1.1088</v>
      </c>
      <c r="L279" s="10">
        <v>6.93</v>
      </c>
      <c r="M279" s="6" t="s">
        <v>371</v>
      </c>
    </row>
    <row r="280" spans="1:13">
      <c r="A280" s="6">
        <v>2023</v>
      </c>
      <c r="B280" s="6">
        <v>1</v>
      </c>
      <c r="C280" s="6" t="s">
        <v>59</v>
      </c>
      <c r="D280" s="6" t="s">
        <v>334</v>
      </c>
      <c r="E280" s="6" t="s">
        <v>552</v>
      </c>
      <c r="F280" s="6" t="str">
        <f>IF($M280="PADD I","PADD 1",IF($M280="PADD II","PADD 2",IF($M280="PADD III","PADD 3",IF($M280="PADD IV","PADD 4",IF($M280="PADD V","PADD 5","")))))</f>
        <v>PADD 3</v>
      </c>
      <c r="G280" s="6">
        <f>IF(AND($H280="ATMOS DISTILLATION",ISNUMBER(SEARCH("VPS",$I280))=FALSE,LEFT($I280,6)&lt;&gt;"VACUUM"),"CDU",IF($H280="FLUID CAT CRACKING","FCC",IF(OR($H280="HYDROCRACKING",$H280="RESID_HYDROCRACKING"),"Hydrocracker",IF($H280="REFORMING","Reformer",""))))</f>
        <v/>
      </c>
      <c r="H280" s="6" t="s">
        <v>568</v>
      </c>
      <c r="I280" s="6" t="s">
        <v>623</v>
      </c>
      <c r="J280" s="6" t="s">
        <v>345</v>
      </c>
      <c r="K280" s="10">
        <v>0.96</v>
      </c>
      <c r="L280" s="10">
        <v>6</v>
      </c>
      <c r="M280" s="6" t="s">
        <v>371</v>
      </c>
    </row>
    <row r="281" spans="1:13">
      <c r="A281" s="6">
        <v>2023</v>
      </c>
      <c r="B281" s="6">
        <v>1</v>
      </c>
      <c r="C281" s="6" t="s">
        <v>59</v>
      </c>
      <c r="D281" s="6" t="s">
        <v>429</v>
      </c>
      <c r="E281" s="6" t="s">
        <v>388</v>
      </c>
      <c r="F281" s="6" t="str">
        <f>IF($M281="PADD I","PADD 1",IF($M281="PADD II","PADD 2",IF($M281="PADD III","PADD 3",IF($M281="PADD IV","PADD 4",IF($M281="PADD V","PADD 5","")))))</f>
        <v>PADD 4</v>
      </c>
      <c r="G281" s="6">
        <f>IF(AND($H281="ATMOS DISTILLATION",ISNUMBER(SEARCH("VPS",$I281))=FALSE,LEFT($I281,6)&lt;&gt;"VACUUM"),"CDU",IF($H281="FLUID CAT CRACKING","FCC",IF(OR($H281="HYDROCRACKING",$H281="RESID_HYDROCRACKING"),"Hydrocracker",IF($H281="REFORMING","Reformer",""))))</f>
        <v/>
      </c>
      <c r="H281" s="6" t="s">
        <v>460</v>
      </c>
      <c r="I281" s="6" t="s">
        <v>461</v>
      </c>
      <c r="J281" s="6" t="s">
        <v>349</v>
      </c>
      <c r="K281" s="10">
        <v>0.96</v>
      </c>
      <c r="L281" s="10">
        <v>6</v>
      </c>
      <c r="M281" s="6" t="s">
        <v>430</v>
      </c>
    </row>
    <row r="282" spans="1:13">
      <c r="A282" s="6">
        <v>2023</v>
      </c>
      <c r="B282" s="6">
        <v>1</v>
      </c>
      <c r="C282" s="6" t="s">
        <v>59</v>
      </c>
      <c r="D282" s="6" t="s">
        <v>610</v>
      </c>
      <c r="E282" s="6" t="s">
        <v>611</v>
      </c>
      <c r="F282" s="6" t="str">
        <f>IF($M282="PADD I","PADD 1",IF($M282="PADD II","PADD 2",IF($M282="PADD III","PADD 3",IF($M282="PADD IV","PADD 4",IF($M282="PADD V","PADD 5","")))))</f>
        <v>PADD 2</v>
      </c>
      <c r="G282" s="6">
        <f>IF(AND($H282="ATMOS DISTILLATION",ISNUMBER(SEARCH("VPS",$I282))=FALSE,LEFT($I282,6)&lt;&gt;"VACUUM"),"CDU",IF($H282="FLUID CAT CRACKING","FCC",IF(OR($H282="HYDROCRACKING",$H282="RESID_HYDROCRACKING"),"Hydrocracker",IF($H282="REFORMING","Reformer",""))))</f>
        <v/>
      </c>
      <c r="H282" s="6" t="s">
        <v>43</v>
      </c>
      <c r="I282" s="6" t="s">
        <v>458</v>
      </c>
      <c r="J282" s="6" t="s">
        <v>345</v>
      </c>
      <c r="K282" s="10">
        <v>0.95</v>
      </c>
      <c r="L282" s="10">
        <v>5</v>
      </c>
      <c r="M282" s="6" t="s">
        <v>375</v>
      </c>
    </row>
    <row r="283" spans="1:13">
      <c r="A283" s="6">
        <v>2023</v>
      </c>
      <c r="B283" s="6">
        <v>1</v>
      </c>
      <c r="C283" s="6" t="s">
        <v>59</v>
      </c>
      <c r="D283" s="6" t="s">
        <v>610</v>
      </c>
      <c r="E283" s="6" t="s">
        <v>611</v>
      </c>
      <c r="F283" s="6" t="str">
        <f>IF($M283="PADD I","PADD 1",IF($M283="PADD II","PADD 2",IF($M283="PADD III","PADD 3",IF($M283="PADD IV","PADD 4",IF($M283="PADD V","PADD 5","")))))</f>
        <v>PADD 2</v>
      </c>
      <c r="G283" s="6">
        <f>IF(AND($H283="ATMOS DISTILLATION",ISNUMBER(SEARCH("VPS",$I283))=FALSE,LEFT($I283,6)&lt;&gt;"VACUUM"),"CDU",IF($H283="FLUID CAT CRACKING","FCC",IF(OR($H283="HYDROCRACKING",$H283="RESID_HYDROCRACKING"),"Hydrocracker",IF($H283="REFORMING","Reformer",""))))</f>
        <v/>
      </c>
      <c r="H283" s="6" t="s">
        <v>43</v>
      </c>
      <c r="I283" s="6" t="s">
        <v>624</v>
      </c>
      <c r="J283" s="6" t="s">
        <v>345</v>
      </c>
      <c r="K283" s="10">
        <v>0.95</v>
      </c>
      <c r="L283" s="10">
        <v>5</v>
      </c>
      <c r="M283" s="6" t="s">
        <v>375</v>
      </c>
    </row>
    <row r="284" spans="1:13">
      <c r="A284" s="6">
        <v>2023</v>
      </c>
      <c r="B284" s="6">
        <v>1</v>
      </c>
      <c r="C284" s="6" t="s">
        <v>59</v>
      </c>
      <c r="D284" s="6" t="s">
        <v>610</v>
      </c>
      <c r="E284" s="6" t="s">
        <v>611</v>
      </c>
      <c r="F284" s="6" t="str">
        <f>IF($M284="PADD I","PADD 1",IF($M284="PADD II","PADD 2",IF($M284="PADD III","PADD 3",IF($M284="PADD IV","PADD 4",IF($M284="PADD V","PADD 5","")))))</f>
        <v>PADD 2</v>
      </c>
      <c r="G284" s="6" t="str">
        <f>IF(AND($H284="ATMOS DISTILLATION",ISNUMBER(SEARCH("VPS",$I284))=FALSE,LEFT($I284,6)&lt;&gt;"VACUUM"),"CDU",IF($H284="FLUID CAT CRACKING","FCC",IF(OR($H284="HYDROCRACKING",$H284="RESID_HYDROCRACKING"),"Hydrocracker",IF($H284="REFORMING","Reformer",""))))</f>
        <v>Reformer</v>
      </c>
      <c r="H284" s="6" t="s">
        <v>421</v>
      </c>
      <c r="I284" s="6" t="s">
        <v>15</v>
      </c>
      <c r="J284" s="6" t="s">
        <v>345</v>
      </c>
      <c r="K284" s="10">
        <v>0.95</v>
      </c>
      <c r="L284" s="10">
        <v>5</v>
      </c>
      <c r="M284" s="6" t="s">
        <v>375</v>
      </c>
    </row>
    <row r="285" spans="1:13">
      <c r="A285" s="6">
        <v>2023</v>
      </c>
      <c r="B285" s="6">
        <v>1</v>
      </c>
      <c r="C285" s="6" t="s">
        <v>59</v>
      </c>
      <c r="D285" s="6" t="s">
        <v>395</v>
      </c>
      <c r="E285" s="6" t="s">
        <v>396</v>
      </c>
      <c r="F285" s="6" t="str">
        <f>IF($M285="PADD I","PADD 1",IF($M285="PADD II","PADD 2",IF($M285="PADD III","PADD 3",IF($M285="PADD IV","PADD 4",IF($M285="PADD V","PADD 5","")))))</f>
        <v>PADD 3</v>
      </c>
      <c r="G285" s="6">
        <f>IF(AND($H285="ATMOS DISTILLATION",ISNUMBER(SEARCH("VPS",$I285))=FALSE,LEFT($I285,6)&lt;&gt;"VACUUM"),"CDU",IF($H285="FLUID CAT CRACKING","FCC",IF(OR($H285="HYDROCRACKING",$H285="RESID_HYDROCRACKING"),"Hydrocracker",IF($H285="REFORMING","Reformer",""))))</f>
        <v/>
      </c>
      <c r="H285" s="6" t="s">
        <v>43</v>
      </c>
      <c r="I285" s="6" t="s">
        <v>625</v>
      </c>
      <c r="J285" s="6" t="s">
        <v>345</v>
      </c>
      <c r="K285" s="10">
        <v>0.91</v>
      </c>
      <c r="L285" s="10">
        <v>3.5</v>
      </c>
      <c r="M285" s="6" t="s">
        <v>371</v>
      </c>
    </row>
    <row r="286" spans="1:13">
      <c r="A286" s="6">
        <v>2023</v>
      </c>
      <c r="B286" s="6">
        <v>1</v>
      </c>
      <c r="C286" s="6" t="s">
        <v>59</v>
      </c>
      <c r="D286" s="6" t="s">
        <v>610</v>
      </c>
      <c r="E286" s="6" t="s">
        <v>611</v>
      </c>
      <c r="F286" s="6" t="str">
        <f>IF($M286="PADD I","PADD 1",IF($M286="PADD II","PADD 2",IF($M286="PADD III","PADD 3",IF($M286="PADD IV","PADD 4",IF($M286="PADD V","PADD 5","")))))</f>
        <v>PADD 2</v>
      </c>
      <c r="G286" s="6">
        <f>IF(AND($H286="ATMOS DISTILLATION",ISNUMBER(SEARCH("VPS",$I286))=FALSE,LEFT($I286,6)&lt;&gt;"VACUUM"),"CDU",IF($H286="FLUID CAT CRACKING","FCC",IF(OR($H286="HYDROCRACKING",$H286="RESID_HYDROCRACKING"),"Hydrocracker",IF($H286="REFORMING","Reformer",""))))</f>
        <v/>
      </c>
      <c r="H286" s="6" t="s">
        <v>43</v>
      </c>
      <c r="I286" s="6" t="s">
        <v>626</v>
      </c>
      <c r="J286" s="6" t="s">
        <v>345</v>
      </c>
      <c r="K286" s="10">
        <v>0.874</v>
      </c>
      <c r="L286" s="10">
        <v>4.6</v>
      </c>
      <c r="M286" s="6" t="s">
        <v>375</v>
      </c>
    </row>
    <row r="287" spans="1:13">
      <c r="A287" s="6">
        <v>2023</v>
      </c>
      <c r="B287" s="6">
        <v>1</v>
      </c>
      <c r="C287" s="6" t="s">
        <v>59</v>
      </c>
      <c r="D287" s="6" t="s">
        <v>610</v>
      </c>
      <c r="E287" s="6" t="s">
        <v>611</v>
      </c>
      <c r="F287" s="6" t="str">
        <f>IF($M287="PADD I","PADD 1",IF($M287="PADD II","PADD 2",IF($M287="PADD III","PADD 3",IF($M287="PADD IV","PADD 4",IF($M287="PADD V","PADD 5","")))))</f>
        <v>PADD 2</v>
      </c>
      <c r="G287" s="6">
        <f>IF(AND($H287="ATMOS DISTILLATION",ISNUMBER(SEARCH("VPS",$I287))=FALSE,LEFT($I287,6)&lt;&gt;"VACUUM"),"CDU",IF($H287="FLUID CAT CRACKING","FCC",IF(OR($H287="HYDROCRACKING",$H287="RESID_HYDROCRACKING"),"Hydrocracker",IF($H287="REFORMING","Reformer",""))))</f>
        <v/>
      </c>
      <c r="H287" s="6" t="s">
        <v>568</v>
      </c>
      <c r="I287" s="6" t="s">
        <v>604</v>
      </c>
      <c r="J287" s="6" t="s">
        <v>345</v>
      </c>
      <c r="K287" s="10">
        <v>0.8436</v>
      </c>
      <c r="L287" s="10">
        <v>4.44</v>
      </c>
      <c r="M287" s="6" t="s">
        <v>375</v>
      </c>
    </row>
    <row r="288" spans="1:13">
      <c r="A288" s="6">
        <v>2023</v>
      </c>
      <c r="B288" s="6">
        <v>1</v>
      </c>
      <c r="C288" s="6" t="s">
        <v>59</v>
      </c>
      <c r="D288" s="6" t="s">
        <v>610</v>
      </c>
      <c r="E288" s="6" t="s">
        <v>611</v>
      </c>
      <c r="F288" s="6" t="str">
        <f>IF($M288="PADD I","PADD 1",IF($M288="PADD II","PADD 2",IF($M288="PADD III","PADD 3",IF($M288="PADD IV","PADD 4",IF($M288="PADD V","PADD 5","")))))</f>
        <v>PADD 2</v>
      </c>
      <c r="G288" s="6">
        <f>IF(AND($H288="ATMOS DISTILLATION",ISNUMBER(SEARCH("VPS",$I288))=FALSE,LEFT($I288,6)&lt;&gt;"VACUUM"),"CDU",IF($H288="FLUID CAT CRACKING","FCC",IF(OR($H288="HYDROCRACKING",$H288="RESID_HYDROCRACKING"),"Hydrocracker",IF($H288="REFORMING","Reformer",""))))</f>
        <v/>
      </c>
      <c r="H288" s="6" t="s">
        <v>378</v>
      </c>
      <c r="I288" s="6" t="s">
        <v>627</v>
      </c>
      <c r="J288" s="6" t="s">
        <v>345</v>
      </c>
      <c r="K288" s="10">
        <v>0.836</v>
      </c>
      <c r="L288" s="10">
        <v>4.4</v>
      </c>
      <c r="M288" s="6" t="s">
        <v>375</v>
      </c>
    </row>
    <row r="289" spans="1:13">
      <c r="A289" s="6">
        <v>2023</v>
      </c>
      <c r="B289" s="6">
        <v>1</v>
      </c>
      <c r="C289" s="6" t="s">
        <v>59</v>
      </c>
      <c r="D289" s="6" t="s">
        <v>628</v>
      </c>
      <c r="E289" s="6" t="s">
        <v>388</v>
      </c>
      <c r="F289" s="6" t="str">
        <f>IF($M289="PADD I","PADD 1",IF($M289="PADD II","PADD 2",IF($M289="PADD III","PADD 3",IF($M289="PADD IV","PADD 4",IF($M289="PADD V","PADD 5","")))))</f>
        <v>PADD 3</v>
      </c>
      <c r="G289" s="6">
        <f>IF(AND($H289="ATMOS DISTILLATION",ISNUMBER(SEARCH("VPS",$I289))=FALSE,LEFT($I289,6)&lt;&gt;"VACUUM"),"CDU",IF($H289="FLUID CAT CRACKING","FCC",IF(OR($H289="HYDROCRACKING",$H289="RESID_HYDROCRACKING"),"Hydrocracker",IF($H289="REFORMING","Reformer",""))))</f>
        <v/>
      </c>
      <c r="H289" s="6" t="s">
        <v>460</v>
      </c>
      <c r="I289" s="6" t="s">
        <v>616</v>
      </c>
      <c r="J289" s="6" t="s">
        <v>345</v>
      </c>
      <c r="K289" s="10">
        <v>0.828</v>
      </c>
      <c r="L289" s="10">
        <v>13.8</v>
      </c>
      <c r="M289" s="6" t="s">
        <v>371</v>
      </c>
    </row>
    <row r="290" spans="1:13">
      <c r="A290" s="6">
        <v>2023</v>
      </c>
      <c r="B290" s="6">
        <v>1</v>
      </c>
      <c r="C290" s="6" t="s">
        <v>59</v>
      </c>
      <c r="D290" s="6" t="s">
        <v>610</v>
      </c>
      <c r="E290" s="6" t="s">
        <v>611</v>
      </c>
      <c r="F290" s="6" t="str">
        <f>IF($M290="PADD I","PADD 1",IF($M290="PADD II","PADD 2",IF($M290="PADD III","PADD 3",IF($M290="PADD IV","PADD 4",IF($M290="PADD V","PADD 5","")))))</f>
        <v>PADD 2</v>
      </c>
      <c r="G290" s="6">
        <f>IF(AND($H290="ATMOS DISTILLATION",ISNUMBER(SEARCH("VPS",$I290))=FALSE,LEFT($I290,6)&lt;&gt;"VACUUM"),"CDU",IF($H290="FLUID CAT CRACKING","FCC",IF(OR($H290="HYDROCRACKING",$H290="RESID_HYDROCRACKING"),"Hydrocracker",IF($H290="REFORMING","Reformer",""))))</f>
        <v/>
      </c>
      <c r="H290" s="6" t="s">
        <v>378</v>
      </c>
      <c r="I290" s="6" t="s">
        <v>494</v>
      </c>
      <c r="J290" s="6" t="s">
        <v>345</v>
      </c>
      <c r="K290" s="10">
        <v>0.8169999999999999</v>
      </c>
      <c r="L290" s="10">
        <v>4.3</v>
      </c>
      <c r="M290" s="6" t="s">
        <v>375</v>
      </c>
    </row>
    <row r="291" spans="1:13">
      <c r="A291" s="6">
        <v>2023</v>
      </c>
      <c r="B291" s="6">
        <v>1</v>
      </c>
      <c r="C291" s="6" t="s">
        <v>59</v>
      </c>
      <c r="D291" s="6" t="s">
        <v>610</v>
      </c>
      <c r="E291" s="6" t="s">
        <v>611</v>
      </c>
      <c r="F291" s="6" t="str">
        <f>IF($M291="PADD I","PADD 1",IF($M291="PADD II","PADD 2",IF($M291="PADD III","PADD 3",IF($M291="PADD IV","PADD 4",IF($M291="PADD V","PADD 5","")))))</f>
        <v>PADD 2</v>
      </c>
      <c r="G291" s="6">
        <f>IF(AND($H291="ATMOS DISTILLATION",ISNUMBER(SEARCH("VPS",$I291))=FALSE,LEFT($I291,6)&lt;&gt;"VACUUM"),"CDU",IF($H291="FLUID CAT CRACKING","FCC",IF(OR($H291="HYDROCRACKING",$H291="RESID_HYDROCRACKING"),"Hydrocracker",IF($H291="REFORMING","Reformer",""))))</f>
        <v/>
      </c>
      <c r="H291" s="6" t="s">
        <v>43</v>
      </c>
      <c r="I291" s="6" t="s">
        <v>629</v>
      </c>
      <c r="J291" s="6" t="s">
        <v>345</v>
      </c>
      <c r="K291" s="10">
        <v>0.76</v>
      </c>
      <c r="L291" s="10">
        <v>4</v>
      </c>
      <c r="M291" s="6" t="s">
        <v>375</v>
      </c>
    </row>
    <row r="292" spans="1:13">
      <c r="A292" s="6">
        <v>2023</v>
      </c>
      <c r="B292" s="6">
        <v>1</v>
      </c>
      <c r="C292" s="6" t="s">
        <v>59</v>
      </c>
      <c r="D292" s="6" t="s">
        <v>610</v>
      </c>
      <c r="E292" s="6" t="s">
        <v>611</v>
      </c>
      <c r="F292" s="6" t="str">
        <f>IF($M292="PADD I","PADD 1",IF($M292="PADD II","PADD 2",IF($M292="PADD III","PADD 3",IF($M292="PADD IV","PADD 4",IF($M292="PADD V","PADD 5","")))))</f>
        <v>PADD 2</v>
      </c>
      <c r="G292" s="6">
        <f>IF(AND($H292="ATMOS DISTILLATION",ISNUMBER(SEARCH("VPS",$I292))=FALSE,LEFT($I292,6)&lt;&gt;"VACUUM"),"CDU",IF($H292="FLUID CAT CRACKING","FCC",IF(OR($H292="HYDROCRACKING",$H292="RESID_HYDROCRACKING"),"Hydrocracker",IF($H292="REFORMING","Reformer",""))))</f>
        <v/>
      </c>
      <c r="H292" s="6" t="s">
        <v>435</v>
      </c>
      <c r="I292" s="6" t="s">
        <v>441</v>
      </c>
      <c r="J292" s="6" t="s">
        <v>345</v>
      </c>
      <c r="K292" s="10">
        <v>0.741</v>
      </c>
      <c r="L292" s="10">
        <v>3.9</v>
      </c>
      <c r="M292" s="6" t="s">
        <v>375</v>
      </c>
    </row>
    <row r="293" spans="1:13">
      <c r="A293" s="6">
        <v>2023</v>
      </c>
      <c r="B293" s="6">
        <v>1</v>
      </c>
      <c r="C293" s="6" t="s">
        <v>59</v>
      </c>
      <c r="D293" s="6" t="s">
        <v>630</v>
      </c>
      <c r="E293" s="6" t="s">
        <v>491</v>
      </c>
      <c r="F293" s="6" t="str">
        <f>IF($M293="PADD I","PADD 1",IF($M293="PADD II","PADD 2",IF($M293="PADD III","PADD 3",IF($M293="PADD IV","PADD 4",IF($M293="PADD V","PADD 5","")))))</f>
        <v>PADD 3</v>
      </c>
      <c r="G293" s="6">
        <f>IF(AND($H293="ATMOS DISTILLATION",ISNUMBER(SEARCH("VPS",$I293))=FALSE,LEFT($I293,6)&lt;&gt;"VACUUM"),"CDU",IF($H293="FLUID CAT CRACKING","FCC",IF(OR($H293="HYDROCRACKING",$H293="RESID_HYDROCRACKING"),"Hydrocracker",IF($H293="REFORMING","Reformer",""))))</f>
        <v/>
      </c>
      <c r="H293" s="6" t="s">
        <v>43</v>
      </c>
      <c r="I293" s="6" t="s">
        <v>464</v>
      </c>
      <c r="J293" s="6" t="s">
        <v>345</v>
      </c>
      <c r="K293" s="10">
        <v>0.72</v>
      </c>
      <c r="L293" s="10">
        <v>12</v>
      </c>
      <c r="M293" s="6" t="s">
        <v>371</v>
      </c>
    </row>
    <row r="294" spans="1:13">
      <c r="A294" s="6">
        <v>2023</v>
      </c>
      <c r="B294" s="6">
        <v>1</v>
      </c>
      <c r="C294" s="6" t="s">
        <v>59</v>
      </c>
      <c r="D294" s="6" t="s">
        <v>48</v>
      </c>
      <c r="E294" s="6" t="s">
        <v>388</v>
      </c>
      <c r="F294" s="6" t="str">
        <f>IF($M294="PADD I","PADD 1",IF($M294="PADD II","PADD 2",IF($M294="PADD III","PADD 3",IF($M294="PADD IV","PADD 4",IF($M294="PADD V","PADD 5","")))))</f>
        <v>PADD 2</v>
      </c>
      <c r="G294" s="6">
        <f>IF(AND($H294="ATMOS DISTILLATION",ISNUMBER(SEARCH("VPS",$I294))=FALSE,LEFT($I294,6)&lt;&gt;"VACUUM"),"CDU",IF($H294="FLUID CAT CRACKING","FCC",IF(OR($H294="HYDROCRACKING",$H294="RESID_HYDROCRACKING"),"Hydrocracker",IF($H294="REFORMING","Reformer",""))))</f>
        <v/>
      </c>
      <c r="H294" s="6" t="s">
        <v>435</v>
      </c>
      <c r="I294" s="6" t="s">
        <v>631</v>
      </c>
      <c r="J294" s="6" t="s">
        <v>345</v>
      </c>
      <c r="K294" s="10">
        <v>0.72</v>
      </c>
      <c r="L294" s="10">
        <v>12</v>
      </c>
      <c r="M294" s="6" t="s">
        <v>375</v>
      </c>
    </row>
    <row r="295" spans="1:13">
      <c r="A295" s="6">
        <v>2023</v>
      </c>
      <c r="B295" s="6">
        <v>1</v>
      </c>
      <c r="C295" s="6" t="s">
        <v>59</v>
      </c>
      <c r="D295" s="6" t="s">
        <v>334</v>
      </c>
      <c r="E295" s="6" t="s">
        <v>552</v>
      </c>
      <c r="F295" s="6" t="str">
        <f>IF($M295="PADD I","PADD 1",IF($M295="PADD II","PADD 2",IF($M295="PADD III","PADD 3",IF($M295="PADD IV","PADD 4",IF($M295="PADD V","PADD 5","")))))</f>
        <v>PADD 3</v>
      </c>
      <c r="G295" s="6">
        <f>IF(AND($H295="ATMOS DISTILLATION",ISNUMBER(SEARCH("VPS",$I295))=FALSE,LEFT($I295,6)&lt;&gt;"VACUUM"),"CDU",IF($H295="FLUID CAT CRACKING","FCC",IF(OR($H295="HYDROCRACKING",$H295="RESID_HYDROCRACKING"),"Hydrocracker",IF($H295="REFORMING","Reformer",""))))</f>
        <v/>
      </c>
      <c r="H295" s="6" t="s">
        <v>460</v>
      </c>
      <c r="I295" s="6" t="s">
        <v>461</v>
      </c>
      <c r="J295" s="6" t="s">
        <v>345</v>
      </c>
      <c r="K295" s="10">
        <v>0.64</v>
      </c>
      <c r="L295" s="10">
        <v>4</v>
      </c>
      <c r="M295" s="6" t="s">
        <v>371</v>
      </c>
    </row>
    <row r="296" spans="1:13">
      <c r="A296" s="6">
        <v>2023</v>
      </c>
      <c r="B296" s="6">
        <v>1</v>
      </c>
      <c r="C296" s="6" t="s">
        <v>59</v>
      </c>
      <c r="D296" s="6" t="s">
        <v>632</v>
      </c>
      <c r="E296" s="6" t="s">
        <v>633</v>
      </c>
      <c r="F296" s="6" t="str">
        <f>IF($M296="PADD I","PADD 1",IF($M296="PADD II","PADD 2",IF($M296="PADD III","PADD 3",IF($M296="PADD IV","PADD 4",IF($M296="PADD V","PADD 5","")))))</f>
        <v>PADD 4</v>
      </c>
      <c r="G296" s="6" t="str">
        <f>IF(AND($H296="ATMOS DISTILLATION",ISNUMBER(SEARCH("VPS",$I296))=FALSE,LEFT($I296,6)&lt;&gt;"VACUUM"),"CDU",IF($H296="FLUID CAT CRACKING","FCC",IF(OR($H296="HYDROCRACKING",$H296="RESID_HYDROCRACKING"),"Hydrocracker",IF($H296="REFORMING","Reformer",""))))</f>
        <v>FCC</v>
      </c>
      <c r="H296" s="6" t="s">
        <v>376</v>
      </c>
      <c r="I296" s="6" t="s">
        <v>634</v>
      </c>
      <c r="J296" s="6" t="s">
        <v>345</v>
      </c>
      <c r="K296" s="10">
        <v>0.375</v>
      </c>
      <c r="L296" s="10">
        <v>12.5</v>
      </c>
      <c r="M296" s="6" t="s">
        <v>430</v>
      </c>
    </row>
    <row r="297" spans="1:13">
      <c r="A297" s="6">
        <v>2023</v>
      </c>
      <c r="B297" s="6">
        <v>1</v>
      </c>
      <c r="C297" s="6" t="s">
        <v>59</v>
      </c>
      <c r="D297" s="6" t="s">
        <v>610</v>
      </c>
      <c r="E297" s="6" t="s">
        <v>611</v>
      </c>
      <c r="F297" s="6" t="str">
        <f>IF($M297="PADD I","PADD 1",IF($M297="PADD II","PADD 2",IF($M297="PADD III","PADD 3",IF($M297="PADD IV","PADD 4",IF($M297="PADD V","PADD 5","")))))</f>
        <v>PADD 2</v>
      </c>
      <c r="G297" s="6">
        <f>IF(AND($H297="ATMOS DISTILLATION",ISNUMBER(SEARCH("VPS",$I297))=FALSE,LEFT($I297,6)&lt;&gt;"VACUUM"),"CDU",IF($H297="FLUID CAT CRACKING","FCC",IF(OR($H297="HYDROCRACKING",$H297="RESID_HYDROCRACKING"),"Hydrocracker",IF($H297="REFORMING","Reformer",""))))</f>
        <v/>
      </c>
      <c r="H297" s="6" t="s">
        <v>460</v>
      </c>
      <c r="I297" s="6" t="s">
        <v>616</v>
      </c>
      <c r="J297" s="6" t="s">
        <v>345</v>
      </c>
      <c r="K297" s="10">
        <v>0.304</v>
      </c>
      <c r="L297" s="10">
        <v>1.6</v>
      </c>
      <c r="M297" s="6" t="s">
        <v>375</v>
      </c>
    </row>
    <row r="298" spans="1:13">
      <c r="A298" s="6">
        <v>2023</v>
      </c>
      <c r="B298" s="6">
        <v>1</v>
      </c>
      <c r="C298" s="6" t="s">
        <v>59</v>
      </c>
      <c r="D298" s="6" t="s">
        <v>468</v>
      </c>
      <c r="E298" s="6" t="s">
        <v>369</v>
      </c>
      <c r="F298" s="6" t="str">
        <f>IF($M298="PADD I","PADD 1",IF($M298="PADD II","PADD 2",IF($M298="PADD III","PADD 3",IF($M298="PADD IV","PADD 4",IF($M298="PADD V","PADD 5","")))))</f>
        <v>PADD 3</v>
      </c>
      <c r="G298" s="6" t="str">
        <f>IF(AND($H298="ATMOS DISTILLATION",ISNUMBER(SEARCH("VPS",$I298))=FALSE,LEFT($I298,6)&lt;&gt;"VACUUM"),"CDU",IF($H298="FLUID CAT CRACKING","FCC",IF(OR($H298="HYDROCRACKING",$H298="RESID_HYDROCRACKING"),"Hydrocracker",IF($H298="REFORMING","Reformer",""))))</f>
        <v>Reformer</v>
      </c>
      <c r="H298" s="6" t="s">
        <v>421</v>
      </c>
      <c r="I298" s="6" t="s">
        <v>635</v>
      </c>
      <c r="J298" s="6" t="s">
        <v>345</v>
      </c>
      <c r="K298" s="10">
        <v>0.21</v>
      </c>
      <c r="L298" s="10">
        <v>7</v>
      </c>
      <c r="M298" s="6" t="s">
        <v>371</v>
      </c>
    </row>
    <row r="299" spans="1:13">
      <c r="A299" s="6">
        <v>2023</v>
      </c>
      <c r="B299" s="6">
        <v>1</v>
      </c>
      <c r="C299" s="6" t="s">
        <v>59</v>
      </c>
      <c r="D299" s="6" t="s">
        <v>636</v>
      </c>
      <c r="E299" s="6" t="s">
        <v>369</v>
      </c>
      <c r="F299" s="6" t="str">
        <f>IF($M299="PADD I","PADD 1",IF($M299="PADD II","PADD 2",IF($M299="PADD III","PADD 3",IF($M299="PADD IV","PADD 4",IF($M299="PADD V","PADD 5","")))))</f>
        <v>PADD 5</v>
      </c>
      <c r="G299" s="6">
        <f>IF(AND($H299="ATMOS DISTILLATION",ISNUMBER(SEARCH("VPS",$I299))=FALSE,LEFT($I299,6)&lt;&gt;"VACUUM"),"CDU",IF($H299="FLUID CAT CRACKING","FCC",IF(OR($H299="HYDROCRACKING",$H299="RESID_HYDROCRACKING"),"Hydrocracker",IF($H299="REFORMING","Reformer",""))))</f>
        <v/>
      </c>
      <c r="H299" s="6" t="s">
        <v>637</v>
      </c>
      <c r="I299" s="6" t="s">
        <v>638</v>
      </c>
      <c r="J299" s="6" t="s">
        <v>345</v>
      </c>
      <c r="K299" s="10">
        <v>0.058</v>
      </c>
      <c r="L299" s="10">
        <v>0.2</v>
      </c>
      <c r="M299" s="6" t="s">
        <v>386</v>
      </c>
    </row>
    <row r="300" spans="1:13">
      <c r="A300" s="6">
        <v>2023</v>
      </c>
      <c r="B300" s="6">
        <v>2</v>
      </c>
      <c r="C300" s="6" t="s">
        <v>60</v>
      </c>
      <c r="D300" s="6" t="s">
        <v>368</v>
      </c>
      <c r="E300" s="6" t="s">
        <v>369</v>
      </c>
      <c r="F300" s="6" t="str">
        <f>IF($M300="PADD I","PADD 1",IF($M300="PADD II","PADD 2",IF($M300="PADD III","PADD 3",IF($M300="PADD IV","PADD 4",IF($M300="PADD V","PADD 5","")))))</f>
        <v>PADD 3</v>
      </c>
      <c r="G300" s="6" t="str">
        <f>IF(AND($H300="ATMOS DISTILLATION",ISNUMBER(SEARCH("VPS",$I300))=FALSE,LEFT($I300,6)&lt;&gt;"VACUUM"),"CDU",IF($H300="FLUID CAT CRACKING","FCC",IF(OR($H300="HYDROCRACKING",$H300="RESID_HYDROCRACKING"),"Hydrocracker",IF($H300="REFORMING","Reformer",""))))</f>
        <v>CDU</v>
      </c>
      <c r="H300" s="6" t="s">
        <v>38</v>
      </c>
      <c r="I300" s="6" t="s">
        <v>370</v>
      </c>
      <c r="J300" s="6" t="s">
        <v>349</v>
      </c>
      <c r="K300" s="10">
        <v>269.14</v>
      </c>
      <c r="L300" s="10">
        <v>269.14</v>
      </c>
      <c r="M300" s="6" t="s">
        <v>371</v>
      </c>
    </row>
    <row r="301" spans="1:13">
      <c r="A301" s="6">
        <v>2023</v>
      </c>
      <c r="B301" s="6">
        <v>2</v>
      </c>
      <c r="C301" s="6" t="s">
        <v>60</v>
      </c>
      <c r="D301" s="6" t="s">
        <v>387</v>
      </c>
      <c r="E301" s="6" t="s">
        <v>388</v>
      </c>
      <c r="F301" s="6" t="str">
        <f>IF($M301="PADD I","PADD 1",IF($M301="PADD II","PADD 2",IF($M301="PADD III","PADD 3",IF($M301="PADD IV","PADD 4",IF($M301="PADD V","PADD 5","")))))</f>
        <v>PADD 3</v>
      </c>
      <c r="G301" s="6" t="str">
        <f>IF(AND($H301="ATMOS DISTILLATION",ISNUMBER(SEARCH("VPS",$I301))=FALSE,LEFT($I301,6)&lt;&gt;"VACUUM"),"CDU",IF($H301="FLUID CAT CRACKING","FCC",IF(OR($H301="HYDROCRACKING",$H301="RESID_HYDROCRACKING"),"Hydrocracker",IF($H301="REFORMING","Reformer",""))))</f>
        <v>CDU</v>
      </c>
      <c r="H301" s="6" t="s">
        <v>38</v>
      </c>
      <c r="I301" s="6" t="s">
        <v>389</v>
      </c>
      <c r="J301" s="6" t="s">
        <v>349</v>
      </c>
      <c r="K301" s="10">
        <v>245</v>
      </c>
      <c r="L301" s="10">
        <v>245</v>
      </c>
      <c r="M301" s="6" t="s">
        <v>371</v>
      </c>
    </row>
    <row r="302" spans="1:13">
      <c r="A302" s="6">
        <v>2023</v>
      </c>
      <c r="B302" s="6">
        <v>2</v>
      </c>
      <c r="C302" s="6" t="s">
        <v>60</v>
      </c>
      <c r="D302" s="6" t="s">
        <v>380</v>
      </c>
      <c r="E302" s="6" t="s">
        <v>381</v>
      </c>
      <c r="F302" s="6" t="str">
        <f>IF($M302="PADD I","PADD 1",IF($M302="PADD II","PADD 2",IF($M302="PADD III","PADD 3",IF($M302="PADD IV","PADD 4",IF($M302="PADD V","PADD 5","")))))</f>
        <v>PADD 3</v>
      </c>
      <c r="G302" s="6" t="str">
        <f>IF(AND($H302="ATMOS DISTILLATION",ISNUMBER(SEARCH("VPS",$I302))=FALSE,LEFT($I302,6)&lt;&gt;"VACUUM"),"CDU",IF($H302="FLUID CAT CRACKING","FCC",IF(OR($H302="HYDROCRACKING",$H302="RESID_HYDROCRACKING"),"Hydrocracker",IF($H302="REFORMING","Reformer",""))))</f>
        <v>CDU</v>
      </c>
      <c r="H302" s="6" t="s">
        <v>38</v>
      </c>
      <c r="I302" s="6" t="s">
        <v>382</v>
      </c>
      <c r="J302" s="6" t="s">
        <v>349</v>
      </c>
      <c r="K302" s="10">
        <v>210</v>
      </c>
      <c r="L302" s="10">
        <v>210</v>
      </c>
      <c r="M302" s="6" t="s">
        <v>371</v>
      </c>
    </row>
    <row r="303" spans="1:13">
      <c r="A303" s="6">
        <v>2023</v>
      </c>
      <c r="B303" s="6">
        <v>2</v>
      </c>
      <c r="C303" s="6" t="s">
        <v>60</v>
      </c>
      <c r="D303" s="6" t="s">
        <v>326</v>
      </c>
      <c r="E303" s="6" t="s">
        <v>385</v>
      </c>
      <c r="F303" s="6" t="str">
        <f>IF($M303="PADD I","PADD 1",IF($M303="PADD II","PADD 2",IF($M303="PADD III","PADD 3",IF($M303="PADD IV","PADD 4",IF($M303="PADD V","PADD 5","")))))</f>
        <v>PADD 5</v>
      </c>
      <c r="G303" s="6" t="str">
        <f>IF(AND($H303="ATMOS DISTILLATION",ISNUMBER(SEARCH("VPS",$I303))=FALSE,LEFT($I303,6)&lt;&gt;"VACUUM"),"CDU",IF($H303="FLUID CAT CRACKING","FCC",IF(OR($H303="HYDROCRACKING",$H303="RESID_HYDROCRACKING"),"Hydrocracker",IF($H303="REFORMING","Reformer",""))))</f>
        <v>CDU</v>
      </c>
      <c r="H303" s="6" t="s">
        <v>38</v>
      </c>
      <c r="I303" s="6" t="s">
        <v>93</v>
      </c>
      <c r="J303" s="6" t="s">
        <v>349</v>
      </c>
      <c r="K303" s="10">
        <v>155</v>
      </c>
      <c r="L303" s="10">
        <v>155</v>
      </c>
      <c r="M303" s="6" t="s">
        <v>386</v>
      </c>
    </row>
    <row r="304" spans="1:13">
      <c r="A304" s="6">
        <v>2023</v>
      </c>
      <c r="B304" s="6">
        <v>2</v>
      </c>
      <c r="C304" s="6" t="s">
        <v>60</v>
      </c>
      <c r="D304" s="6" t="s">
        <v>411</v>
      </c>
      <c r="E304" s="6" t="s">
        <v>369</v>
      </c>
      <c r="F304" s="6" t="str">
        <f>IF($M304="PADD I","PADD 1",IF($M304="PADD II","PADD 2",IF($M304="PADD III","PADD 3",IF($M304="PADD IV","PADD 4",IF($M304="PADD V","PADD 5","")))))</f>
        <v>PADD 1</v>
      </c>
      <c r="G304" s="6" t="str">
        <f>IF(AND($H304="ATMOS DISTILLATION",ISNUMBER(SEARCH("VPS",$I304))=FALSE,LEFT($I304,6)&lt;&gt;"VACUUM"),"CDU",IF($H304="FLUID CAT CRACKING","FCC",IF(OR($H304="HYDROCRACKING",$H304="RESID_HYDROCRACKING"),"Hydrocracker",IF($H304="REFORMING","Reformer",""))))</f>
        <v>FCC</v>
      </c>
      <c r="H304" s="6" t="s">
        <v>376</v>
      </c>
      <c r="I304" s="6" t="s">
        <v>105</v>
      </c>
      <c r="J304" s="6" t="s">
        <v>349</v>
      </c>
      <c r="K304" s="10">
        <v>150</v>
      </c>
      <c r="L304" s="10">
        <v>150</v>
      </c>
      <c r="M304" s="6" t="s">
        <v>413</v>
      </c>
    </row>
    <row r="305" spans="1:13">
      <c r="A305" s="6">
        <v>2023</v>
      </c>
      <c r="B305" s="6">
        <v>2</v>
      </c>
      <c r="C305" s="6" t="s">
        <v>60</v>
      </c>
      <c r="D305" s="6" t="s">
        <v>411</v>
      </c>
      <c r="E305" s="6" t="s">
        <v>369</v>
      </c>
      <c r="F305" s="6" t="str">
        <f>IF($M305="PADD I","PADD 1",IF($M305="PADD II","PADD 2",IF($M305="PADD III","PADD 3",IF($M305="PADD IV","PADD 4",IF($M305="PADD V","PADD 5","")))))</f>
        <v>PADD 1</v>
      </c>
      <c r="G305" s="6" t="str">
        <f>IF(AND($H305="ATMOS DISTILLATION",ISNUMBER(SEARCH("VPS",$I305))=FALSE,LEFT($I305,6)&lt;&gt;"VACUUM"),"CDU",IF($H305="FLUID CAT CRACKING","FCC",IF(OR($H305="HYDROCRACKING",$H305="RESID_HYDROCRACKING"),"Hydrocracker",IF($H305="REFORMING","Reformer",""))))</f>
        <v>CDU</v>
      </c>
      <c r="H305" s="6" t="s">
        <v>38</v>
      </c>
      <c r="I305" s="6" t="s">
        <v>412</v>
      </c>
      <c r="J305" s="6" t="s">
        <v>349</v>
      </c>
      <c r="K305" s="10">
        <v>129</v>
      </c>
      <c r="L305" s="10">
        <v>129</v>
      </c>
      <c r="M305" s="6" t="s">
        <v>413</v>
      </c>
    </row>
    <row r="306" spans="1:13">
      <c r="A306" s="6">
        <v>2023</v>
      </c>
      <c r="B306" s="6">
        <v>2</v>
      </c>
      <c r="C306" s="6" t="s">
        <v>60</v>
      </c>
      <c r="D306" s="6" t="s">
        <v>387</v>
      </c>
      <c r="E306" s="6" t="s">
        <v>388</v>
      </c>
      <c r="F306" s="6" t="str">
        <f>IF($M306="PADD I","PADD 1",IF($M306="PADD II","PADD 2",IF($M306="PADD III","PADD 3",IF($M306="PADD IV","PADD 4",IF($M306="PADD V","PADD 5","")))))</f>
        <v>PADD 3</v>
      </c>
      <c r="G306" s="6">
        <f>IF(AND($H306="ATMOS DISTILLATION",ISNUMBER(SEARCH("VPS",$I306))=FALSE,LEFT($I306,6)&lt;&gt;"VACUUM"),"CDU",IF($H306="FLUID CAT CRACKING","FCC",IF(OR($H306="HYDROCRACKING",$H306="RESID_HYDROCRACKING"),"Hydrocracker",IF($H306="REFORMING","Reformer",""))))</f>
        <v/>
      </c>
      <c r="H306" s="6" t="s">
        <v>378</v>
      </c>
      <c r="I306" s="6" t="s">
        <v>442</v>
      </c>
      <c r="J306" s="6" t="s">
        <v>349</v>
      </c>
      <c r="K306" s="10">
        <v>112.5</v>
      </c>
      <c r="L306" s="10">
        <v>112.5</v>
      </c>
      <c r="M306" s="6" t="s">
        <v>371</v>
      </c>
    </row>
    <row r="307" spans="1:13">
      <c r="A307" s="6">
        <v>2023</v>
      </c>
      <c r="B307" s="6">
        <v>2</v>
      </c>
      <c r="C307" s="6" t="s">
        <v>60</v>
      </c>
      <c r="D307" s="6" t="s">
        <v>372</v>
      </c>
      <c r="E307" s="6" t="s">
        <v>373</v>
      </c>
      <c r="F307" s="6" t="str">
        <f>IF($M307="PADD I","PADD 1",IF($M307="PADD II","PADD 2",IF($M307="PADD III","PADD 3",IF($M307="PADD IV","PADD 4",IF($M307="PADD V","PADD 5","")))))</f>
        <v>PADD 2</v>
      </c>
      <c r="G307" s="6" t="str">
        <f>IF(AND($H307="ATMOS DISTILLATION",ISNUMBER(SEARCH("VPS",$I307))=FALSE,LEFT($I307,6)&lt;&gt;"VACUUM"),"CDU",IF($H307="FLUID CAT CRACKING","FCC",IF(OR($H307="HYDROCRACKING",$H307="RESID_HYDROCRACKING"),"Hydrocracker",IF($H307="REFORMING","Reformer",""))))</f>
        <v>CDU</v>
      </c>
      <c r="H307" s="6" t="s">
        <v>38</v>
      </c>
      <c r="I307" s="6" t="s">
        <v>374</v>
      </c>
      <c r="J307" s="6" t="s">
        <v>345</v>
      </c>
      <c r="K307" s="10">
        <v>110</v>
      </c>
      <c r="L307" s="10">
        <v>110</v>
      </c>
      <c r="M307" s="6" t="s">
        <v>375</v>
      </c>
    </row>
    <row r="308" spans="1:13">
      <c r="A308" s="6">
        <v>2023</v>
      </c>
      <c r="B308" s="6">
        <v>2</v>
      </c>
      <c r="C308" s="6" t="s">
        <v>60</v>
      </c>
      <c r="D308" s="6" t="s">
        <v>511</v>
      </c>
      <c r="E308" s="6" t="s">
        <v>405</v>
      </c>
      <c r="F308" s="6" t="str">
        <f>IF($M308="PADD I","PADD 1",IF($M308="PADD II","PADD 2",IF($M308="PADD III","PADD 3",IF($M308="PADD IV","PADD 4",IF($M308="PADD V","PADD 5","")))))</f>
        <v>PADD 3</v>
      </c>
      <c r="G308" s="6" t="str">
        <f>IF(AND($H308="ATMOS DISTILLATION",ISNUMBER(SEARCH("VPS",$I308))=FALSE,LEFT($I308,6)&lt;&gt;"VACUUM"),"CDU",IF($H308="FLUID CAT CRACKING","FCC",IF(OR($H308="HYDROCRACKING",$H308="RESID_HYDROCRACKING"),"Hydrocracker",IF($H308="REFORMING","Reformer",""))))</f>
        <v>CDU</v>
      </c>
      <c r="H308" s="6" t="s">
        <v>38</v>
      </c>
      <c r="I308" s="6" t="s">
        <v>112</v>
      </c>
      <c r="J308" s="6" t="s">
        <v>349</v>
      </c>
      <c r="K308" s="10">
        <v>110</v>
      </c>
      <c r="L308" s="10">
        <v>110</v>
      </c>
      <c r="M308" s="6" t="s">
        <v>371</v>
      </c>
    </row>
    <row r="309" spans="1:13">
      <c r="A309" s="6">
        <v>2023</v>
      </c>
      <c r="B309" s="6">
        <v>2</v>
      </c>
      <c r="C309" s="6" t="s">
        <v>60</v>
      </c>
      <c r="D309" s="6" t="s">
        <v>368</v>
      </c>
      <c r="E309" s="6" t="s">
        <v>369</v>
      </c>
      <c r="F309" s="6" t="str">
        <f>IF($M309="PADD I","PADD 1",IF($M309="PADD II","PADD 2",IF($M309="PADD III","PADD 3",IF($M309="PADD IV","PADD 4",IF($M309="PADD V","PADD 5","")))))</f>
        <v>PADD 3</v>
      </c>
      <c r="G309" s="6" t="str">
        <f>IF(AND($H309="ATMOS DISTILLATION",ISNUMBER(SEARCH("VPS",$I309))=FALSE,LEFT($I309,6)&lt;&gt;"VACUUM"),"CDU",IF($H309="FLUID CAT CRACKING","FCC",IF(OR($H309="HYDROCRACKING",$H309="RESID_HYDROCRACKING"),"Hydrocracker",IF($H309="REFORMING","Reformer",""))))</f>
        <v>FCC</v>
      </c>
      <c r="H309" s="6" t="s">
        <v>376</v>
      </c>
      <c r="I309" s="6" t="s">
        <v>377</v>
      </c>
      <c r="J309" s="6" t="s">
        <v>349</v>
      </c>
      <c r="K309" s="10">
        <v>104</v>
      </c>
      <c r="L309" s="10">
        <v>104</v>
      </c>
      <c r="M309" s="6" t="s">
        <v>371</v>
      </c>
    </row>
    <row r="310" spans="1:13">
      <c r="A310" s="6">
        <v>2023</v>
      </c>
      <c r="B310" s="6">
        <v>2</v>
      </c>
      <c r="C310" s="6" t="s">
        <v>60</v>
      </c>
      <c r="D310" s="6" t="s">
        <v>368</v>
      </c>
      <c r="E310" s="6" t="s">
        <v>369</v>
      </c>
      <c r="F310" s="6" t="str">
        <f>IF($M310="PADD I","PADD 1",IF($M310="PADD II","PADD 2",IF($M310="PADD III","PADD 3",IF($M310="PADD IV","PADD 4",IF($M310="PADD V","PADD 5","")))))</f>
        <v>PADD 3</v>
      </c>
      <c r="G310" s="6">
        <f>IF(AND($H310="ATMOS DISTILLATION",ISNUMBER(SEARCH("VPS",$I310))=FALSE,LEFT($I310,6)&lt;&gt;"VACUUM"),"CDU",IF($H310="FLUID CAT CRACKING","FCC",IF(OR($H310="HYDROCRACKING",$H310="RESID_HYDROCRACKING"),"Hydrocracker",IF($H310="REFORMING","Reformer",""))))</f>
        <v/>
      </c>
      <c r="H310" s="6" t="s">
        <v>378</v>
      </c>
      <c r="I310" s="6" t="s">
        <v>379</v>
      </c>
      <c r="J310" s="6" t="s">
        <v>349</v>
      </c>
      <c r="K310" s="10">
        <v>103</v>
      </c>
      <c r="L310" s="10">
        <v>103</v>
      </c>
      <c r="M310" s="6" t="s">
        <v>371</v>
      </c>
    </row>
    <row r="311" spans="1:13">
      <c r="A311" s="6">
        <v>2023</v>
      </c>
      <c r="B311" s="6">
        <v>2</v>
      </c>
      <c r="C311" s="6" t="s">
        <v>60</v>
      </c>
      <c r="D311" s="6" t="s">
        <v>380</v>
      </c>
      <c r="E311" s="6" t="s">
        <v>381</v>
      </c>
      <c r="F311" s="6" t="str">
        <f>IF($M311="PADD I","PADD 1",IF($M311="PADD II","PADD 2",IF($M311="PADD III","PADD 3",IF($M311="PADD IV","PADD 4",IF($M311="PADD V","PADD 5","")))))</f>
        <v>PADD 3</v>
      </c>
      <c r="G311" s="6">
        <f>IF(AND($H311="ATMOS DISTILLATION",ISNUMBER(SEARCH("VPS",$I311))=FALSE,LEFT($I311,6)&lt;&gt;"VACUUM"),"CDU",IF($H311="FLUID CAT CRACKING","FCC",IF(OR($H311="HYDROCRACKING",$H311="RESID_HYDROCRACKING"),"Hydrocracker",IF($H311="REFORMING","Reformer",""))))</f>
        <v/>
      </c>
      <c r="H311" s="6" t="s">
        <v>378</v>
      </c>
      <c r="I311" s="6" t="s">
        <v>418</v>
      </c>
      <c r="J311" s="6" t="s">
        <v>345</v>
      </c>
      <c r="K311" s="10">
        <v>103</v>
      </c>
      <c r="L311" s="10">
        <v>103</v>
      </c>
      <c r="M311" s="6" t="s">
        <v>371</v>
      </c>
    </row>
    <row r="312" spans="1:13">
      <c r="A312" s="6">
        <v>2023</v>
      </c>
      <c r="B312" s="6">
        <v>2</v>
      </c>
      <c r="C312" s="6" t="s">
        <v>60</v>
      </c>
      <c r="D312" s="6" t="s">
        <v>326</v>
      </c>
      <c r="E312" s="6" t="s">
        <v>385</v>
      </c>
      <c r="F312" s="6" t="str">
        <f>IF($M312="PADD I","PADD 1",IF($M312="PADD II","PADD 2",IF($M312="PADD III","PADD 3",IF($M312="PADD IV","PADD 4",IF($M312="PADD V","PADD 5","")))))</f>
        <v>PADD 5</v>
      </c>
      <c r="G312" s="6">
        <f>IF(AND($H312="ATMOS DISTILLATION",ISNUMBER(SEARCH("VPS",$I312))=FALSE,LEFT($I312,6)&lt;&gt;"VACUUM"),"CDU",IF($H312="FLUID CAT CRACKING","FCC",IF(OR($H312="HYDROCRACKING",$H312="RESID_HYDROCRACKING"),"Hydrocracker",IF($H312="REFORMING","Reformer",""))))</f>
        <v/>
      </c>
      <c r="H312" s="6" t="s">
        <v>378</v>
      </c>
      <c r="I312" s="6" t="s">
        <v>431</v>
      </c>
      <c r="J312" s="6" t="s">
        <v>349</v>
      </c>
      <c r="K312" s="10">
        <v>90</v>
      </c>
      <c r="L312" s="10">
        <v>90</v>
      </c>
      <c r="M312" s="6" t="s">
        <v>386</v>
      </c>
    </row>
    <row r="313" spans="1:13">
      <c r="A313" s="6">
        <v>2023</v>
      </c>
      <c r="B313" s="6">
        <v>2</v>
      </c>
      <c r="C313" s="6" t="s">
        <v>60</v>
      </c>
      <c r="D313" s="6" t="s">
        <v>50</v>
      </c>
      <c r="E313" s="6" t="s">
        <v>381</v>
      </c>
      <c r="F313" s="6" t="str">
        <f>IF($M313="PADD I","PADD 1",IF($M313="PADD II","PADD 2",IF($M313="PADD III","PADD 3",IF($M313="PADD IV","PADD 4",IF($M313="PADD V","PADD 5","")))))</f>
        <v>PADD 3</v>
      </c>
      <c r="G313" s="6" t="str">
        <f>IF(AND($H313="ATMOS DISTILLATION",ISNUMBER(SEARCH("VPS",$I313))=FALSE,LEFT($I313,6)&lt;&gt;"VACUUM"),"CDU",IF($H313="FLUID CAT CRACKING","FCC",IF(OR($H313="HYDROCRACKING",$H313="RESID_HYDROCRACKING"),"Hydrocracker",IF($H313="REFORMING","Reformer",""))))</f>
        <v>FCC</v>
      </c>
      <c r="H313" s="6" t="s">
        <v>376</v>
      </c>
      <c r="I313" s="6" t="s">
        <v>589</v>
      </c>
      <c r="J313" s="6" t="s">
        <v>349</v>
      </c>
      <c r="K313" s="10">
        <v>90</v>
      </c>
      <c r="L313" s="10">
        <v>90</v>
      </c>
      <c r="M313" s="6" t="s">
        <v>371</v>
      </c>
    </row>
    <row r="314" spans="1:13">
      <c r="A314" s="6">
        <v>2023</v>
      </c>
      <c r="B314" s="6">
        <v>2</v>
      </c>
      <c r="C314" s="6" t="s">
        <v>60</v>
      </c>
      <c r="D314" s="6" t="s">
        <v>42</v>
      </c>
      <c r="E314" s="6" t="s">
        <v>405</v>
      </c>
      <c r="F314" s="6" t="str">
        <f>IF($M314="PADD I","PADD 1",IF($M314="PADD II","PADD 2",IF($M314="PADD III","PADD 3",IF($M314="PADD IV","PADD 4",IF($M314="PADD V","PADD 5","")))))</f>
        <v>PADD 3</v>
      </c>
      <c r="G314" s="6" t="str">
        <f>IF(AND($H314="ATMOS DISTILLATION",ISNUMBER(SEARCH("VPS",$I314))=FALSE,LEFT($I314,6)&lt;&gt;"VACUUM"),"CDU",IF($H314="FLUID CAT CRACKING","FCC",IF(OR($H314="HYDROCRACKING",$H314="RESID_HYDROCRACKING"),"Hydrocracker",IF($H314="REFORMING","Reformer",""))))</f>
        <v>CDU</v>
      </c>
      <c r="H314" s="6" t="s">
        <v>38</v>
      </c>
      <c r="I314" s="6" t="s">
        <v>406</v>
      </c>
      <c r="J314" s="6" t="s">
        <v>349</v>
      </c>
      <c r="K314" s="10">
        <v>89.28</v>
      </c>
      <c r="L314" s="10">
        <v>93</v>
      </c>
      <c r="M314" s="6" t="s">
        <v>371</v>
      </c>
    </row>
    <row r="315" spans="1:13">
      <c r="A315" s="6">
        <v>2023</v>
      </c>
      <c r="B315" s="6">
        <v>2</v>
      </c>
      <c r="C315" s="6" t="s">
        <v>60</v>
      </c>
      <c r="D315" s="6" t="s">
        <v>346</v>
      </c>
      <c r="E315" s="6" t="s">
        <v>383</v>
      </c>
      <c r="F315" s="6" t="str">
        <f>IF($M315="PADD I","PADD 1",IF($M315="PADD II","PADD 2",IF($M315="PADD III","PADD 3",IF($M315="PADD IV","PADD 4",IF($M315="PADD V","PADD 5","")))))</f>
        <v>PADD 2</v>
      </c>
      <c r="G315" s="6" t="str">
        <f>IF(AND($H315="ATMOS DISTILLATION",ISNUMBER(SEARCH("VPS",$I315))=FALSE,LEFT($I315,6)&lt;&gt;"VACUUM"),"CDU",IF($H315="FLUID CAT CRACKING","FCC",IF(OR($H315="HYDROCRACKING",$H315="RESID_HYDROCRACKING"),"Hydrocracker",IF($H315="REFORMING","Reformer",""))))</f>
        <v>CDU</v>
      </c>
      <c r="H315" s="6" t="s">
        <v>38</v>
      </c>
      <c r="I315" s="6" t="s">
        <v>384</v>
      </c>
      <c r="J315" s="6" t="s">
        <v>349</v>
      </c>
      <c r="K315" s="10">
        <v>88</v>
      </c>
      <c r="L315" s="10">
        <v>88</v>
      </c>
      <c r="M315" s="6" t="s">
        <v>375</v>
      </c>
    </row>
    <row r="316" spans="1:13">
      <c r="A316" s="6">
        <v>2023</v>
      </c>
      <c r="B316" s="6">
        <v>2</v>
      </c>
      <c r="C316" s="6" t="s">
        <v>60</v>
      </c>
      <c r="D316" s="6" t="s">
        <v>411</v>
      </c>
      <c r="E316" s="6" t="s">
        <v>369</v>
      </c>
      <c r="F316" s="6" t="str">
        <f>IF($M316="PADD I","PADD 1",IF($M316="PADD II","PADD 2",IF($M316="PADD III","PADD 3",IF($M316="PADD IV","PADD 4",IF($M316="PADD V","PADD 5","")))))</f>
        <v>PADD 1</v>
      </c>
      <c r="G316" s="6">
        <f>IF(AND($H316="ATMOS DISTILLATION",ISNUMBER(SEARCH("VPS",$I316))=FALSE,LEFT($I316,6)&lt;&gt;"VACUUM"),"CDU",IF($H316="FLUID CAT CRACKING","FCC",IF(OR($H316="HYDROCRACKING",$H316="RESID_HYDROCRACKING"),"Hydrocracker",IF($H316="REFORMING","Reformer",""))))</f>
        <v/>
      </c>
      <c r="H316" s="6" t="s">
        <v>43</v>
      </c>
      <c r="I316" s="6" t="s">
        <v>458</v>
      </c>
      <c r="J316" s="6" t="s">
        <v>349</v>
      </c>
      <c r="K316" s="10">
        <v>85</v>
      </c>
      <c r="L316" s="10">
        <v>85</v>
      </c>
      <c r="M316" s="6" t="s">
        <v>413</v>
      </c>
    </row>
    <row r="317" spans="1:13">
      <c r="A317" s="6">
        <v>2023</v>
      </c>
      <c r="B317" s="6">
        <v>2</v>
      </c>
      <c r="C317" s="6" t="s">
        <v>60</v>
      </c>
      <c r="D317" s="6" t="s">
        <v>346</v>
      </c>
      <c r="E317" s="6" t="s">
        <v>383</v>
      </c>
      <c r="F317" s="6" t="str">
        <f>IF($M317="PADD I","PADD 1",IF($M317="PADD II","PADD 2",IF($M317="PADD III","PADD 3",IF($M317="PADD IV","PADD 4",IF($M317="PADD V","PADD 5","")))))</f>
        <v>PADD 2</v>
      </c>
      <c r="G317" s="6" t="str">
        <f>IF(AND($H317="ATMOS DISTILLATION",ISNUMBER(SEARCH("VPS",$I317))=FALSE,LEFT($I317,6)&lt;&gt;"VACUUM"),"CDU",IF($H317="FLUID CAT CRACKING","FCC",IF(OR($H317="HYDROCRACKING",$H317="RESID_HYDROCRACKING"),"Hydrocracker",IF($H317="REFORMING","Reformer",""))))</f>
        <v>FCC</v>
      </c>
      <c r="H317" s="6" t="s">
        <v>376</v>
      </c>
      <c r="I317" s="6" t="s">
        <v>105</v>
      </c>
      <c r="J317" s="6" t="s">
        <v>349</v>
      </c>
      <c r="K317" s="10">
        <v>79</v>
      </c>
      <c r="L317" s="10">
        <v>79</v>
      </c>
      <c r="M317" s="6" t="s">
        <v>375</v>
      </c>
    </row>
    <row r="318" spans="1:13">
      <c r="A318" s="6">
        <v>2023</v>
      </c>
      <c r="B318" s="6">
        <v>2</v>
      </c>
      <c r="C318" s="6" t="s">
        <v>60</v>
      </c>
      <c r="D318" s="6" t="s">
        <v>639</v>
      </c>
      <c r="E318" s="6" t="s">
        <v>452</v>
      </c>
      <c r="F318" s="6" t="str">
        <f>IF($M318="PADD I","PADD 1",IF($M318="PADD II","PADD 2",IF($M318="PADD III","PADD 3",IF($M318="PADD IV","PADD 4",IF($M318="PADD V","PADD 5","")))))</f>
        <v>PADD 5</v>
      </c>
      <c r="G318" s="6">
        <f>IF(AND($H318="ATMOS DISTILLATION",ISNUMBER(SEARCH("VPS",$I318))=FALSE,LEFT($I318,6)&lt;&gt;"VACUUM"),"CDU",IF($H318="FLUID CAT CRACKING","FCC",IF(OR($H318="HYDROCRACKING",$H318="RESID_HYDROCRACKING"),"Hydrocracker",IF($H318="REFORMING","Reformer",""))))</f>
        <v/>
      </c>
      <c r="H318" s="6" t="s">
        <v>38</v>
      </c>
      <c r="I318" s="6" t="s">
        <v>640</v>
      </c>
      <c r="J318" s="6" t="s">
        <v>349</v>
      </c>
      <c r="K318" s="10">
        <v>77.76000000000001</v>
      </c>
      <c r="L318" s="10">
        <v>144</v>
      </c>
      <c r="M318" s="6" t="s">
        <v>386</v>
      </c>
    </row>
    <row r="319" spans="1:13">
      <c r="A319" s="6">
        <v>2023</v>
      </c>
      <c r="B319" s="6">
        <v>2</v>
      </c>
      <c r="C319" s="6" t="s">
        <v>60</v>
      </c>
      <c r="D319" s="6" t="s">
        <v>387</v>
      </c>
      <c r="E319" s="6" t="s">
        <v>388</v>
      </c>
      <c r="F319" s="6" t="str">
        <f>IF($M319="PADD I","PADD 1",IF($M319="PADD II","PADD 2",IF($M319="PADD III","PADD 3",IF($M319="PADD IV","PADD 4",IF($M319="PADD V","PADD 5","")))))</f>
        <v>PADD 3</v>
      </c>
      <c r="G319" s="6" t="str">
        <f>IF(AND($H319="ATMOS DISTILLATION",ISNUMBER(SEARCH("VPS",$I319))=FALSE,LEFT($I319,6)&lt;&gt;"VACUUM"),"CDU",IF($H319="FLUID CAT CRACKING","FCC",IF(OR($H319="HYDROCRACKING",$H319="RESID_HYDROCRACKING"),"Hydrocracker",IF($H319="REFORMING","Reformer",""))))</f>
        <v>Reformer</v>
      </c>
      <c r="H319" s="6" t="s">
        <v>421</v>
      </c>
      <c r="I319" s="6" t="s">
        <v>443</v>
      </c>
      <c r="J319" s="6" t="s">
        <v>349</v>
      </c>
      <c r="K319" s="10">
        <v>75</v>
      </c>
      <c r="L319" s="10">
        <v>75</v>
      </c>
      <c r="M319" s="6" t="s">
        <v>371</v>
      </c>
    </row>
    <row r="320" spans="1:13">
      <c r="A320" s="6">
        <v>2023</v>
      </c>
      <c r="B320" s="6">
        <v>2</v>
      </c>
      <c r="C320" s="6" t="s">
        <v>60</v>
      </c>
      <c r="D320" s="6" t="s">
        <v>402</v>
      </c>
      <c r="E320" s="6" t="s">
        <v>403</v>
      </c>
      <c r="F320" s="6" t="str">
        <f>IF($M320="PADD I","PADD 1",IF($M320="PADD II","PADD 2",IF($M320="PADD III","PADD 3",IF($M320="PADD IV","PADD 4",IF($M320="PADD V","PADD 5","")))))</f>
        <v>PADD 3</v>
      </c>
      <c r="G320" s="6" t="str">
        <f>IF(AND($H320="ATMOS DISTILLATION",ISNUMBER(SEARCH("VPS",$I320))=FALSE,LEFT($I320,6)&lt;&gt;"VACUUM"),"CDU",IF($H320="FLUID CAT CRACKING","FCC",IF(OR($H320="HYDROCRACKING",$H320="RESID_HYDROCRACKING"),"Hydrocracker",IF($H320="REFORMING","Reformer",""))))</f>
        <v>CDU</v>
      </c>
      <c r="H320" s="6" t="s">
        <v>38</v>
      </c>
      <c r="I320" s="6" t="s">
        <v>404</v>
      </c>
      <c r="J320" s="6" t="s">
        <v>349</v>
      </c>
      <c r="K320" s="10">
        <v>75</v>
      </c>
      <c r="L320" s="10">
        <v>75</v>
      </c>
      <c r="M320" s="6" t="s">
        <v>371</v>
      </c>
    </row>
    <row r="321" spans="1:13">
      <c r="A321" s="6">
        <v>2023</v>
      </c>
      <c r="B321" s="6">
        <v>2</v>
      </c>
      <c r="C321" s="6" t="s">
        <v>60</v>
      </c>
      <c r="D321" s="6" t="s">
        <v>324</v>
      </c>
      <c r="E321" s="6" t="s">
        <v>388</v>
      </c>
      <c r="F321" s="6" t="str">
        <f>IF($M321="PADD I","PADD 1",IF($M321="PADD II","PADD 2",IF($M321="PADD III","PADD 3",IF($M321="PADD IV","PADD 4",IF($M321="PADD V","PADD 5","")))))</f>
        <v>PADD 3</v>
      </c>
      <c r="G321" s="6" t="str">
        <f>IF(AND($H321="ATMOS DISTILLATION",ISNUMBER(SEARCH("VPS",$I321))=FALSE,LEFT($I321,6)&lt;&gt;"VACUUM"),"CDU",IF($H321="FLUID CAT CRACKING","FCC",IF(OR($H321="HYDROCRACKING",$H321="RESID_HYDROCRACKING"),"Hydrocracker",IF($H321="REFORMING","Reformer",""))))</f>
        <v>CDU</v>
      </c>
      <c r="H321" s="6" t="s">
        <v>38</v>
      </c>
      <c r="I321" s="6" t="s">
        <v>99</v>
      </c>
      <c r="J321" s="6" t="s">
        <v>349</v>
      </c>
      <c r="K321" s="10">
        <v>74.8</v>
      </c>
      <c r="L321" s="10">
        <v>110</v>
      </c>
      <c r="M321" s="6" t="s">
        <v>371</v>
      </c>
    </row>
    <row r="322" spans="1:13">
      <c r="A322" s="6">
        <v>2023</v>
      </c>
      <c r="B322" s="6">
        <v>2</v>
      </c>
      <c r="C322" s="6" t="s">
        <v>60</v>
      </c>
      <c r="D322" s="6" t="s">
        <v>51</v>
      </c>
      <c r="E322" s="6" t="s">
        <v>391</v>
      </c>
      <c r="F322" s="6" t="str">
        <f>IF($M322="PADD I","PADD 1",IF($M322="PADD II","PADD 2",IF($M322="PADD III","PADD 3",IF($M322="PADD IV","PADD 4",IF($M322="PADD V","PADD 5","")))))</f>
        <v>PADD 5</v>
      </c>
      <c r="G322" s="6" t="str">
        <f>IF(AND($H322="ATMOS DISTILLATION",ISNUMBER(SEARCH("VPS",$I322))=FALSE,LEFT($I322,6)&lt;&gt;"VACUUM"),"CDU",IF($H322="FLUID CAT CRACKING","FCC",IF(OR($H322="HYDROCRACKING",$H322="RESID_HYDROCRACKING"),"Hydrocracker",IF($H322="REFORMING","Reformer",""))))</f>
        <v>FCC</v>
      </c>
      <c r="H322" s="6" t="s">
        <v>376</v>
      </c>
      <c r="I322" s="6" t="s">
        <v>105</v>
      </c>
      <c r="J322" s="6" t="s">
        <v>349</v>
      </c>
      <c r="K322" s="10">
        <v>72.5</v>
      </c>
      <c r="L322" s="10">
        <v>72.5</v>
      </c>
      <c r="M322" s="6" t="s">
        <v>386</v>
      </c>
    </row>
    <row r="323" spans="1:13">
      <c r="A323" s="6">
        <v>2023</v>
      </c>
      <c r="B323" s="6">
        <v>2</v>
      </c>
      <c r="C323" s="6" t="s">
        <v>60</v>
      </c>
      <c r="D323" s="6" t="s">
        <v>387</v>
      </c>
      <c r="E323" s="6" t="s">
        <v>388</v>
      </c>
      <c r="F323" s="6" t="str">
        <f>IF($M323="PADD I","PADD 1",IF($M323="PADD II","PADD 2",IF($M323="PADD III","PADD 3",IF($M323="PADD IV","PADD 4",IF($M323="PADD V","PADD 5","")))))</f>
        <v>PADD 3</v>
      </c>
      <c r="G323" s="6" t="str">
        <f>IF(AND($H323="ATMOS DISTILLATION",ISNUMBER(SEARCH("VPS",$I323))=FALSE,LEFT($I323,6)&lt;&gt;"VACUUM"),"CDU",IF($H323="FLUID CAT CRACKING","FCC",IF(OR($H323="HYDROCRACKING",$H323="RESID_HYDROCRACKING"),"Hydrocracker",IF($H323="REFORMING","Reformer",""))))</f>
        <v>Hydrocracker</v>
      </c>
      <c r="H323" s="6" t="s">
        <v>444</v>
      </c>
      <c r="I323" s="6" t="s">
        <v>476</v>
      </c>
      <c r="J323" s="6" t="s">
        <v>345</v>
      </c>
      <c r="K323" s="10">
        <v>70</v>
      </c>
      <c r="L323" s="10">
        <v>70</v>
      </c>
      <c r="M323" s="6" t="s">
        <v>371</v>
      </c>
    </row>
    <row r="324" spans="1:13">
      <c r="A324" s="6">
        <v>2023</v>
      </c>
      <c r="B324" s="6">
        <v>2</v>
      </c>
      <c r="C324" s="6" t="s">
        <v>60</v>
      </c>
      <c r="D324" s="6" t="s">
        <v>333</v>
      </c>
      <c r="E324" s="6" t="s">
        <v>381</v>
      </c>
      <c r="F324" s="6" t="str">
        <f>IF($M324="PADD I","PADD 1",IF($M324="PADD II","PADD 2",IF($M324="PADD III","PADD 3",IF($M324="PADD IV","PADD 4",IF($M324="PADD V","PADD 5","")))))</f>
        <v>PADD 3</v>
      </c>
      <c r="G324" s="6" t="str">
        <f>IF(AND($H324="ATMOS DISTILLATION",ISNUMBER(SEARCH("VPS",$I324))=FALSE,LEFT($I324,6)&lt;&gt;"VACUUM"),"CDU",IF($H324="FLUID CAT CRACKING","FCC",IF(OR($H324="HYDROCRACKING",$H324="RESID_HYDROCRACKING"),"Hydrocracker",IF($H324="REFORMING","Reformer",""))))</f>
        <v>FCC</v>
      </c>
      <c r="H324" s="6" t="s">
        <v>376</v>
      </c>
      <c r="I324" s="6" t="s">
        <v>105</v>
      </c>
      <c r="J324" s="6" t="s">
        <v>349</v>
      </c>
      <c r="K324" s="10">
        <v>68.40000000000001</v>
      </c>
      <c r="L324" s="10">
        <v>120</v>
      </c>
      <c r="M324" s="6" t="s">
        <v>371</v>
      </c>
    </row>
    <row r="325" spans="1:13">
      <c r="A325" s="6">
        <v>2023</v>
      </c>
      <c r="B325" s="6">
        <v>2</v>
      </c>
      <c r="C325" s="6" t="s">
        <v>60</v>
      </c>
      <c r="D325" s="6" t="s">
        <v>526</v>
      </c>
      <c r="E325" s="6" t="s">
        <v>405</v>
      </c>
      <c r="F325" s="6" t="str">
        <f>IF($M325="PADD I","PADD 1",IF($M325="PADD II","PADD 2",IF($M325="PADD III","PADD 3",IF($M325="PADD IV","PADD 4",IF($M325="PADD V","PADD 5","")))))</f>
        <v>PADD 3</v>
      </c>
      <c r="G325" s="6" t="str">
        <f>IF(AND($H325="ATMOS DISTILLATION",ISNUMBER(SEARCH("VPS",$I325))=FALSE,LEFT($I325,6)&lt;&gt;"VACUUM"),"CDU",IF($H325="FLUID CAT CRACKING","FCC",IF(OR($H325="HYDROCRACKING",$H325="RESID_HYDROCRACKING"),"Hydrocracker",IF($H325="REFORMING","Reformer",""))))</f>
        <v>CDU</v>
      </c>
      <c r="H325" s="6" t="s">
        <v>38</v>
      </c>
      <c r="I325" s="6" t="s">
        <v>641</v>
      </c>
      <c r="J325" s="6" t="s">
        <v>349</v>
      </c>
      <c r="K325" s="10">
        <v>65.55</v>
      </c>
      <c r="L325" s="10">
        <v>115</v>
      </c>
      <c r="M325" s="6" t="s">
        <v>371</v>
      </c>
    </row>
    <row r="326" spans="1:13">
      <c r="A326" s="6">
        <v>2023</v>
      </c>
      <c r="B326" s="6">
        <v>2</v>
      </c>
      <c r="C326" s="6" t="s">
        <v>60</v>
      </c>
      <c r="D326" s="6" t="s">
        <v>368</v>
      </c>
      <c r="E326" s="6" t="s">
        <v>369</v>
      </c>
      <c r="F326" s="6" t="str">
        <f>IF($M326="PADD I","PADD 1",IF($M326="PADD II","PADD 2",IF($M326="PADD III","PADD 3",IF($M326="PADD IV","PADD 4",IF($M326="PADD V","PADD 5","")))))</f>
        <v>PADD 3</v>
      </c>
      <c r="G326" s="6">
        <f>IF(AND($H326="ATMOS DISTILLATION",ISNUMBER(SEARCH("VPS",$I326))=FALSE,LEFT($I326,6)&lt;&gt;"VACUUM"),"CDU",IF($H326="FLUID CAT CRACKING","FCC",IF(OR($H326="HYDROCRACKING",$H326="RESID_HYDROCRACKING"),"Hydrocracker",IF($H326="REFORMING","Reformer",""))))</f>
        <v/>
      </c>
      <c r="H326" s="6" t="s">
        <v>43</v>
      </c>
      <c r="I326" s="6" t="s">
        <v>393</v>
      </c>
      <c r="J326" s="6" t="s">
        <v>349</v>
      </c>
      <c r="K326" s="10">
        <v>65.40000000000001</v>
      </c>
      <c r="L326" s="10">
        <v>65.40000000000001</v>
      </c>
      <c r="M326" s="6" t="s">
        <v>371</v>
      </c>
    </row>
    <row r="327" spans="1:13">
      <c r="A327" s="6">
        <v>2023</v>
      </c>
      <c r="B327" s="6">
        <v>2</v>
      </c>
      <c r="C327" s="6" t="s">
        <v>60</v>
      </c>
      <c r="D327" s="6" t="s">
        <v>346</v>
      </c>
      <c r="E327" s="6" t="s">
        <v>383</v>
      </c>
      <c r="F327" s="6" t="str">
        <f>IF($M327="PADD I","PADD 1",IF($M327="PADD II","PADD 2",IF($M327="PADD III","PADD 3",IF($M327="PADD IV","PADD 4",IF($M327="PADD V","PADD 5","")))))</f>
        <v>PADD 2</v>
      </c>
      <c r="G327" s="6">
        <f>IF(AND($H327="ATMOS DISTILLATION",ISNUMBER(SEARCH("VPS",$I327))=FALSE,LEFT($I327,6)&lt;&gt;"VACUUM"),"CDU",IF($H327="FLUID CAT CRACKING","FCC",IF(OR($H327="HYDROCRACKING",$H327="RESID_HYDROCRACKING"),"Hydrocracker",IF($H327="REFORMING","Reformer",""))))</f>
        <v/>
      </c>
      <c r="H327" s="6" t="s">
        <v>43</v>
      </c>
      <c r="I327" s="6" t="s">
        <v>394</v>
      </c>
      <c r="J327" s="6" t="s">
        <v>349</v>
      </c>
      <c r="K327" s="10">
        <v>65</v>
      </c>
      <c r="L327" s="10">
        <v>65</v>
      </c>
      <c r="M327" s="6" t="s">
        <v>375</v>
      </c>
    </row>
    <row r="328" spans="1:13">
      <c r="A328" s="6">
        <v>2023</v>
      </c>
      <c r="B328" s="6">
        <v>2</v>
      </c>
      <c r="C328" s="6" t="s">
        <v>60</v>
      </c>
      <c r="D328" s="6" t="s">
        <v>387</v>
      </c>
      <c r="E328" s="6" t="s">
        <v>388</v>
      </c>
      <c r="F328" s="6" t="str">
        <f>IF($M328="PADD I","PADD 1",IF($M328="PADD II","PADD 2",IF($M328="PADD III","PADD 3",IF($M328="PADD IV","PADD 4",IF($M328="PADD V","PADD 5","")))))</f>
        <v>PADD 3</v>
      </c>
      <c r="G328" s="6">
        <f>IF(AND($H328="ATMOS DISTILLATION",ISNUMBER(SEARCH("VPS",$I328))=FALSE,LEFT($I328,6)&lt;&gt;"VACUUM"),"CDU",IF($H328="FLUID CAT CRACKING","FCC",IF(OR($H328="HYDROCRACKING",$H328="RESID_HYDROCRACKING"),"Hydrocracker",IF($H328="REFORMING","Reformer",""))))</f>
        <v/>
      </c>
      <c r="H328" s="6" t="s">
        <v>43</v>
      </c>
      <c r="I328" s="6" t="s">
        <v>486</v>
      </c>
      <c r="J328" s="6" t="s">
        <v>349</v>
      </c>
      <c r="K328" s="10">
        <v>64</v>
      </c>
      <c r="L328" s="10">
        <v>64</v>
      </c>
      <c r="M328" s="6" t="s">
        <v>371</v>
      </c>
    </row>
    <row r="329" spans="1:13">
      <c r="A329" s="6">
        <v>2023</v>
      </c>
      <c r="B329" s="6">
        <v>2</v>
      </c>
      <c r="C329" s="6" t="s">
        <v>60</v>
      </c>
      <c r="D329" s="6" t="s">
        <v>368</v>
      </c>
      <c r="E329" s="6" t="s">
        <v>369</v>
      </c>
      <c r="F329" s="6" t="str">
        <f>IF($M329="PADD I","PADD 1",IF($M329="PADD II","PADD 2",IF($M329="PADD III","PADD 3",IF($M329="PADD IV","PADD 4",IF($M329="PADD V","PADD 5","")))))</f>
        <v>PADD 3</v>
      </c>
      <c r="G329" s="6">
        <f>IF(AND($H329="ATMOS DISTILLATION",ISNUMBER(SEARCH("VPS",$I329))=FALSE,LEFT($I329,6)&lt;&gt;"VACUUM"),"CDU",IF($H329="FLUID CAT CRACKING","FCC",IF(OR($H329="HYDROCRACKING",$H329="RESID_HYDROCRACKING"),"Hydrocracker",IF($H329="REFORMING","Reformer",""))))</f>
        <v/>
      </c>
      <c r="H329" s="6" t="s">
        <v>43</v>
      </c>
      <c r="I329" s="6" t="s">
        <v>401</v>
      </c>
      <c r="J329" s="6" t="s">
        <v>349</v>
      </c>
      <c r="K329" s="10">
        <v>58.5</v>
      </c>
      <c r="L329" s="10">
        <v>58.5</v>
      </c>
      <c r="M329" s="6" t="s">
        <v>371</v>
      </c>
    </row>
    <row r="330" spans="1:13">
      <c r="A330" s="6">
        <v>2023</v>
      </c>
      <c r="B330" s="6">
        <v>2</v>
      </c>
      <c r="C330" s="6" t="s">
        <v>60</v>
      </c>
      <c r="D330" s="6" t="s">
        <v>542</v>
      </c>
      <c r="E330" s="6" t="s">
        <v>543</v>
      </c>
      <c r="F330" s="6" t="str">
        <f>IF($M330="PADD I","PADD 1",IF($M330="PADD II","PADD 2",IF($M330="PADD III","PADD 3",IF($M330="PADD IV","PADD 4",IF($M330="PADD V","PADD 5","")))))</f>
        <v>PADD 2</v>
      </c>
      <c r="G330" s="6" t="str">
        <f>IF(AND($H330="ATMOS DISTILLATION",ISNUMBER(SEARCH("VPS",$I330))=FALSE,LEFT($I330,6)&lt;&gt;"VACUUM"),"CDU",IF($H330="FLUID CAT CRACKING","FCC",IF(OR($H330="HYDROCRACKING",$H330="RESID_HYDROCRACKING"),"Hydrocracker",IF($H330="REFORMING","Reformer",""))))</f>
        <v>CDU</v>
      </c>
      <c r="H330" s="6" t="s">
        <v>38</v>
      </c>
      <c r="I330" s="6" t="s">
        <v>544</v>
      </c>
      <c r="J330" s="6" t="s">
        <v>345</v>
      </c>
      <c r="K330" s="10">
        <v>55.3</v>
      </c>
      <c r="L330" s="10">
        <v>70</v>
      </c>
      <c r="M330" s="6" t="s">
        <v>375</v>
      </c>
    </row>
    <row r="331" spans="1:13">
      <c r="A331" s="6">
        <v>2023</v>
      </c>
      <c r="B331" s="6">
        <v>2</v>
      </c>
      <c r="C331" s="6" t="s">
        <v>60</v>
      </c>
      <c r="D331" s="6" t="s">
        <v>372</v>
      </c>
      <c r="E331" s="6" t="s">
        <v>373</v>
      </c>
      <c r="F331" s="6" t="str">
        <f>IF($M331="PADD I","PADD 1",IF($M331="PADD II","PADD 2",IF($M331="PADD III","PADD 3",IF($M331="PADD IV","PADD 4",IF($M331="PADD V","PADD 5","")))))</f>
        <v>PADD 2</v>
      </c>
      <c r="G331" s="6" t="str">
        <f>IF(AND($H331="ATMOS DISTILLATION",ISNUMBER(SEARCH("VPS",$I331))=FALSE,LEFT($I331,6)&lt;&gt;"VACUUM"),"CDU",IF($H331="FLUID CAT CRACKING","FCC",IF(OR($H331="HYDROCRACKING",$H331="RESID_HYDROCRACKING"),"Hydrocracker",IF($H331="REFORMING","Reformer",""))))</f>
        <v>FCC</v>
      </c>
      <c r="H331" s="6" t="s">
        <v>376</v>
      </c>
      <c r="I331" s="6" t="s">
        <v>407</v>
      </c>
      <c r="J331" s="6" t="s">
        <v>345</v>
      </c>
      <c r="K331" s="10">
        <v>55</v>
      </c>
      <c r="L331" s="10">
        <v>55</v>
      </c>
      <c r="M331" s="6" t="s">
        <v>375</v>
      </c>
    </row>
    <row r="332" spans="1:13">
      <c r="A332" s="6">
        <v>2023</v>
      </c>
      <c r="B332" s="6">
        <v>2</v>
      </c>
      <c r="C332" s="6" t="s">
        <v>60</v>
      </c>
      <c r="D332" s="6" t="s">
        <v>411</v>
      </c>
      <c r="E332" s="6" t="s">
        <v>369</v>
      </c>
      <c r="F332" s="6" t="str">
        <f>IF($M332="PADD I","PADD 1",IF($M332="PADD II","PADD 2",IF($M332="PADD III","PADD 3",IF($M332="PADD IV","PADD 4",IF($M332="PADD V","PADD 5","")))))</f>
        <v>PADD 1</v>
      </c>
      <c r="G332" s="6">
        <f>IF(AND($H332="ATMOS DISTILLATION",ISNUMBER(SEARCH("VPS",$I332))=FALSE,LEFT($I332,6)&lt;&gt;"VACUUM"),"CDU",IF($H332="FLUID CAT CRACKING","FCC",IF(OR($H332="HYDROCRACKING",$H332="RESID_HYDROCRACKING"),"Hydrocracker",IF($H332="REFORMING","Reformer",""))))</f>
        <v/>
      </c>
      <c r="H332" s="6" t="s">
        <v>43</v>
      </c>
      <c r="I332" s="6" t="s">
        <v>488</v>
      </c>
      <c r="J332" s="6" t="s">
        <v>349</v>
      </c>
      <c r="K332" s="10">
        <v>54</v>
      </c>
      <c r="L332" s="10">
        <v>54</v>
      </c>
      <c r="M332" s="6" t="s">
        <v>413</v>
      </c>
    </row>
    <row r="333" spans="1:13">
      <c r="A333" s="6">
        <v>2023</v>
      </c>
      <c r="B333" s="6">
        <v>2</v>
      </c>
      <c r="C333" s="6" t="s">
        <v>60</v>
      </c>
      <c r="D333" s="6" t="s">
        <v>42</v>
      </c>
      <c r="E333" s="6" t="s">
        <v>405</v>
      </c>
      <c r="F333" s="6" t="str">
        <f>IF($M333="PADD I","PADD 1",IF($M333="PADD II","PADD 2",IF($M333="PADD III","PADD 3",IF($M333="PADD IV","PADD 4",IF($M333="PADD V","PADD 5","")))))</f>
        <v>PADD 3</v>
      </c>
      <c r="G333" s="6">
        <f>IF(AND($H333="ATMOS DISTILLATION",ISNUMBER(SEARCH("VPS",$I333))=FALSE,LEFT($I333,6)&lt;&gt;"VACUUM"),"CDU",IF($H333="FLUID CAT CRACKING","FCC",IF(OR($H333="HYDROCRACKING",$H333="RESID_HYDROCRACKING"),"Hydrocracker",IF($H333="REFORMING","Reformer",""))))</f>
        <v/>
      </c>
      <c r="H333" s="6" t="s">
        <v>435</v>
      </c>
      <c r="I333" s="6" t="s">
        <v>441</v>
      </c>
      <c r="J333" s="6" t="s">
        <v>349</v>
      </c>
      <c r="K333" s="10">
        <v>50.88</v>
      </c>
      <c r="L333" s="10">
        <v>53</v>
      </c>
      <c r="M333" s="6" t="s">
        <v>371</v>
      </c>
    </row>
    <row r="334" spans="1:13">
      <c r="A334" s="6">
        <v>2023</v>
      </c>
      <c r="B334" s="6">
        <v>2</v>
      </c>
      <c r="C334" s="6" t="s">
        <v>60</v>
      </c>
      <c r="D334" s="6" t="s">
        <v>380</v>
      </c>
      <c r="E334" s="6" t="s">
        <v>381</v>
      </c>
      <c r="F334" s="6" t="str">
        <f>IF($M334="PADD I","PADD 1",IF($M334="PADD II","PADD 2",IF($M334="PADD III","PADD 3",IF($M334="PADD IV","PADD 4",IF($M334="PADD V","PADD 5","")))))</f>
        <v>PADD 3</v>
      </c>
      <c r="G334" s="6">
        <f>IF(AND($H334="ATMOS DISTILLATION",ISNUMBER(SEARCH("VPS",$I334))=FALSE,LEFT($I334,6)&lt;&gt;"VACUUM"),"CDU",IF($H334="FLUID CAT CRACKING","FCC",IF(OR($H334="HYDROCRACKING",$H334="RESID_HYDROCRACKING"),"Hydrocracker",IF($H334="REFORMING","Reformer",""))))</f>
        <v/>
      </c>
      <c r="H334" s="6" t="s">
        <v>435</v>
      </c>
      <c r="I334" s="6" t="s">
        <v>477</v>
      </c>
      <c r="J334" s="6" t="s">
        <v>349</v>
      </c>
      <c r="K334" s="10">
        <v>50</v>
      </c>
      <c r="L334" s="10">
        <v>50</v>
      </c>
      <c r="M334" s="6" t="s">
        <v>371</v>
      </c>
    </row>
    <row r="335" spans="1:13">
      <c r="A335" s="6">
        <v>2023</v>
      </c>
      <c r="B335" s="6">
        <v>2</v>
      </c>
      <c r="C335" s="6" t="s">
        <v>60</v>
      </c>
      <c r="D335" s="6" t="s">
        <v>372</v>
      </c>
      <c r="E335" s="6" t="s">
        <v>373</v>
      </c>
      <c r="F335" s="6" t="str">
        <f>IF($M335="PADD I","PADD 1",IF($M335="PADD II","PADD 2",IF($M335="PADD III","PADD 3",IF($M335="PADD IV","PADD 4",IF($M335="PADD V","PADD 5","")))))</f>
        <v>PADD 2</v>
      </c>
      <c r="G335" s="6" t="str">
        <f>IF(AND($H335="ATMOS DISTILLATION",ISNUMBER(SEARCH("VPS",$I335))=FALSE,LEFT($I335,6)&lt;&gt;"VACUUM"),"CDU",IF($H335="FLUID CAT CRACKING","FCC",IF(OR($H335="HYDROCRACKING",$H335="RESID_HYDROCRACKING"),"Hydrocracker",IF($H335="REFORMING","Reformer",""))))</f>
        <v>CDU</v>
      </c>
      <c r="H335" s="6" t="s">
        <v>38</v>
      </c>
      <c r="I335" s="6" t="s">
        <v>414</v>
      </c>
      <c r="J335" s="6" t="s">
        <v>345</v>
      </c>
      <c r="K335" s="10">
        <v>50</v>
      </c>
      <c r="L335" s="10">
        <v>50</v>
      </c>
      <c r="M335" s="6" t="s">
        <v>375</v>
      </c>
    </row>
    <row r="336" spans="1:13">
      <c r="A336" s="6">
        <v>2023</v>
      </c>
      <c r="B336" s="6">
        <v>2</v>
      </c>
      <c r="C336" s="6" t="s">
        <v>60</v>
      </c>
      <c r="D336" s="6" t="s">
        <v>518</v>
      </c>
      <c r="E336" s="6" t="s">
        <v>369</v>
      </c>
      <c r="F336" s="6" t="str">
        <f>IF($M336="PADD I","PADD 1",IF($M336="PADD II","PADD 2",IF($M336="PADD III","PADD 3",IF($M336="PADD IV","PADD 4",IF($M336="PADD V","PADD 5","")))))</f>
        <v>PADD 5</v>
      </c>
      <c r="G336" s="6" t="str">
        <f>IF(AND($H336="ATMOS DISTILLATION",ISNUMBER(SEARCH("VPS",$I336))=FALSE,LEFT($I336,6)&lt;&gt;"VACUUM"),"CDU",IF($H336="FLUID CAT CRACKING","FCC",IF(OR($H336="HYDROCRACKING",$H336="RESID_HYDROCRACKING"),"Hydrocracker",IF($H336="REFORMING","Reformer",""))))</f>
        <v>CDU</v>
      </c>
      <c r="H336" s="6" t="s">
        <v>38</v>
      </c>
      <c r="I336" s="6" t="s">
        <v>519</v>
      </c>
      <c r="J336" s="6" t="s">
        <v>345</v>
      </c>
      <c r="K336" s="10">
        <v>50</v>
      </c>
      <c r="L336" s="10">
        <v>50</v>
      </c>
      <c r="M336" s="6" t="s">
        <v>386</v>
      </c>
    </row>
    <row r="337" spans="1:13">
      <c r="A337" s="6">
        <v>2023</v>
      </c>
      <c r="B337" s="6">
        <v>2</v>
      </c>
      <c r="C337" s="6" t="s">
        <v>60</v>
      </c>
      <c r="D337" s="6" t="s">
        <v>415</v>
      </c>
      <c r="E337" s="6" t="s">
        <v>416</v>
      </c>
      <c r="F337" s="6" t="str">
        <f>IF($M337="PADD I","PADD 1",IF($M337="PADD II","PADD 2",IF($M337="PADD III","PADD 3",IF($M337="PADD IV","PADD 4",IF($M337="PADD V","PADD 5","")))))</f>
        <v>PADD 3</v>
      </c>
      <c r="G337" s="6">
        <f>IF(AND($H337="ATMOS DISTILLATION",ISNUMBER(SEARCH("VPS",$I337))=FALSE,LEFT($I337,6)&lt;&gt;"VACUUM"),"CDU",IF($H337="FLUID CAT CRACKING","FCC",IF(OR($H337="HYDROCRACKING",$H337="RESID_HYDROCRACKING"),"Hydrocracker",IF($H337="REFORMING","Reformer",""))))</f>
        <v/>
      </c>
      <c r="H337" s="6" t="s">
        <v>378</v>
      </c>
      <c r="I337" s="6" t="s">
        <v>417</v>
      </c>
      <c r="J337" s="6" t="s">
        <v>345</v>
      </c>
      <c r="K337" s="10">
        <v>50</v>
      </c>
      <c r="L337" s="10">
        <v>50</v>
      </c>
      <c r="M337" s="6" t="s">
        <v>371</v>
      </c>
    </row>
    <row r="338" spans="1:13">
      <c r="A338" s="6">
        <v>2023</v>
      </c>
      <c r="B338" s="6">
        <v>2</v>
      </c>
      <c r="C338" s="6" t="s">
        <v>60</v>
      </c>
      <c r="D338" s="6" t="s">
        <v>465</v>
      </c>
      <c r="E338" s="6" t="s">
        <v>369</v>
      </c>
      <c r="F338" s="6" t="str">
        <f>IF($M338="PADD I","PADD 1",IF($M338="PADD II","PADD 2",IF($M338="PADD III","PADD 3",IF($M338="PADD IV","PADD 4",IF($M338="PADD V","PADD 5","")))))</f>
        <v>PADD 5</v>
      </c>
      <c r="G338" s="6">
        <f>IF(AND($H338="ATMOS DISTILLATION",ISNUMBER(SEARCH("VPS",$I338))=FALSE,LEFT($I338,6)&lt;&gt;"VACUUM"),"CDU",IF($H338="FLUID CAT CRACKING","FCC",IF(OR($H338="HYDROCRACKING",$H338="RESID_HYDROCRACKING"),"Hydrocracker",IF($H338="REFORMING","Reformer",""))))</f>
        <v/>
      </c>
      <c r="H338" s="6" t="s">
        <v>43</v>
      </c>
      <c r="I338" s="6" t="s">
        <v>466</v>
      </c>
      <c r="J338" s="6" t="s">
        <v>349</v>
      </c>
      <c r="K338" s="10">
        <v>50</v>
      </c>
      <c r="L338" s="10">
        <v>50</v>
      </c>
      <c r="M338" s="6" t="s">
        <v>386</v>
      </c>
    </row>
    <row r="339" spans="1:13">
      <c r="A339" s="6">
        <v>2023</v>
      </c>
      <c r="B339" s="6">
        <v>2</v>
      </c>
      <c r="C339" s="6" t="s">
        <v>60</v>
      </c>
      <c r="D339" s="6" t="s">
        <v>324</v>
      </c>
      <c r="E339" s="6" t="s">
        <v>388</v>
      </c>
      <c r="F339" s="6" t="str">
        <f>IF($M339="PADD I","PADD 1",IF($M339="PADD II","PADD 2",IF($M339="PADD III","PADD 3",IF($M339="PADD IV","PADD 4",IF($M339="PADD V","PADD 5","")))))</f>
        <v>PADD 3</v>
      </c>
      <c r="G339" s="6" t="str">
        <f>IF(AND($H339="ATMOS DISTILLATION",ISNUMBER(SEARCH("VPS",$I339))=FALSE,LEFT($I339,6)&lt;&gt;"VACUUM"),"CDU",IF($H339="FLUID CAT CRACKING","FCC",IF(OR($H339="HYDROCRACKING",$H339="RESID_HYDROCRACKING"),"Hydrocracker",IF($H339="REFORMING","Reformer",""))))</f>
        <v>Reformer</v>
      </c>
      <c r="H339" s="6" t="s">
        <v>421</v>
      </c>
      <c r="I339" s="6" t="s">
        <v>642</v>
      </c>
      <c r="J339" s="6" t="s">
        <v>349</v>
      </c>
      <c r="K339" s="10">
        <v>48.75</v>
      </c>
      <c r="L339" s="10">
        <v>65</v>
      </c>
      <c r="M339" s="6" t="s">
        <v>371</v>
      </c>
    </row>
    <row r="340" spans="1:13">
      <c r="A340" s="6">
        <v>2023</v>
      </c>
      <c r="B340" s="6">
        <v>2</v>
      </c>
      <c r="C340" s="6" t="s">
        <v>60</v>
      </c>
      <c r="D340" s="6" t="s">
        <v>490</v>
      </c>
      <c r="E340" s="6" t="s">
        <v>491</v>
      </c>
      <c r="F340" s="6" t="str">
        <f>IF($M340="PADD I","PADD 1",IF($M340="PADD II","PADD 2",IF($M340="PADD III","PADD 3",IF($M340="PADD IV","PADD 4",IF($M340="PADD V","PADD 5","")))))</f>
        <v>PADD 3</v>
      </c>
      <c r="G340" s="6">
        <f>IF(AND($H340="ATMOS DISTILLATION",ISNUMBER(SEARCH("VPS",$I340))=FALSE,LEFT($I340,6)&lt;&gt;"VACUUM"),"CDU",IF($H340="FLUID CAT CRACKING","FCC",IF(OR($H340="HYDROCRACKING",$H340="RESID_HYDROCRACKING"),"Hydrocracker",IF($H340="REFORMING","Reformer",""))))</f>
        <v/>
      </c>
      <c r="H340" s="6" t="s">
        <v>435</v>
      </c>
      <c r="I340" s="6" t="s">
        <v>643</v>
      </c>
      <c r="J340" s="6" t="s">
        <v>345</v>
      </c>
      <c r="K340" s="10">
        <v>47.3</v>
      </c>
      <c r="L340" s="10">
        <v>110</v>
      </c>
      <c r="M340" s="6" t="s">
        <v>371</v>
      </c>
    </row>
    <row r="341" spans="1:13">
      <c r="A341" s="6">
        <v>2023</v>
      </c>
      <c r="B341" s="6">
        <v>2</v>
      </c>
      <c r="C341" s="6" t="s">
        <v>60</v>
      </c>
      <c r="D341" s="6" t="s">
        <v>547</v>
      </c>
      <c r="E341" s="6" t="s">
        <v>391</v>
      </c>
      <c r="F341" s="6" t="str">
        <f>IF($M341="PADD I","PADD 1",IF($M341="PADD II","PADD 2",IF($M341="PADD III","PADD 3",IF($M341="PADD IV","PADD 4",IF($M341="PADD V","PADD 5","")))))</f>
        <v>PADD 5</v>
      </c>
      <c r="G341" s="6" t="str">
        <f>IF(AND($H341="ATMOS DISTILLATION",ISNUMBER(SEARCH("VPS",$I341))=FALSE,LEFT($I341,6)&lt;&gt;"VACUUM"),"CDU",IF($H341="FLUID CAT CRACKING","FCC",IF(OR($H341="HYDROCRACKING",$H341="RESID_HYDROCRACKING"),"Hydrocracker",IF($H341="REFORMING","Reformer",""))))</f>
        <v>FCC</v>
      </c>
      <c r="H341" s="6" t="s">
        <v>376</v>
      </c>
      <c r="I341" s="6" t="s">
        <v>105</v>
      </c>
      <c r="J341" s="6" t="s">
        <v>345</v>
      </c>
      <c r="K341" s="10">
        <v>45.6</v>
      </c>
      <c r="L341" s="10">
        <v>80</v>
      </c>
      <c r="M341" s="6" t="s">
        <v>386</v>
      </c>
    </row>
    <row r="342" spans="1:13">
      <c r="A342" s="6">
        <v>2023</v>
      </c>
      <c r="B342" s="6">
        <v>2</v>
      </c>
      <c r="C342" s="6" t="s">
        <v>60</v>
      </c>
      <c r="D342" s="6" t="s">
        <v>324</v>
      </c>
      <c r="E342" s="6" t="s">
        <v>388</v>
      </c>
      <c r="F342" s="6" t="str">
        <f>IF($M342="PADD I","PADD 1",IF($M342="PADD II","PADD 2",IF($M342="PADD III","PADD 3",IF($M342="PADD IV","PADD 4",IF($M342="PADD V","PADD 5","")))))</f>
        <v>PADD 3</v>
      </c>
      <c r="G342" s="6">
        <f>IF(AND($H342="ATMOS DISTILLATION",ISNUMBER(SEARCH("VPS",$I342))=FALSE,LEFT($I342,6)&lt;&gt;"VACUUM"),"CDU",IF($H342="FLUID CAT CRACKING","FCC",IF(OR($H342="HYDROCRACKING",$H342="RESID_HYDROCRACKING"),"Hydrocracker",IF($H342="REFORMING","Reformer",""))))</f>
        <v/>
      </c>
      <c r="H342" s="6" t="s">
        <v>43</v>
      </c>
      <c r="I342" s="6" t="s">
        <v>644</v>
      </c>
      <c r="J342" s="6" t="s">
        <v>349</v>
      </c>
      <c r="K342" s="10">
        <v>45</v>
      </c>
      <c r="L342" s="10">
        <v>60</v>
      </c>
      <c r="M342" s="6" t="s">
        <v>371</v>
      </c>
    </row>
    <row r="343" spans="1:13">
      <c r="A343" s="6">
        <v>2023</v>
      </c>
      <c r="B343" s="6">
        <v>2</v>
      </c>
      <c r="C343" s="6" t="s">
        <v>60</v>
      </c>
      <c r="D343" s="6" t="s">
        <v>368</v>
      </c>
      <c r="E343" s="6" t="s">
        <v>369</v>
      </c>
      <c r="F343" s="6" t="str">
        <f>IF($M343="PADD I","PADD 1",IF($M343="PADD II","PADD 2",IF($M343="PADD III","PADD 3",IF($M343="PADD IV","PADD 4",IF($M343="PADD V","PADD 5","")))))</f>
        <v>PADD 3</v>
      </c>
      <c r="G343" s="6" t="str">
        <f>IF(AND($H343="ATMOS DISTILLATION",ISNUMBER(SEARCH("VPS",$I343))=FALSE,LEFT($I343,6)&lt;&gt;"VACUUM"),"CDU",IF($H343="FLUID CAT CRACKING","FCC",IF(OR($H343="HYDROCRACKING",$H343="RESID_HYDROCRACKING"),"Hydrocracker",IF($H343="REFORMING","Reformer",""))))</f>
        <v>Reformer</v>
      </c>
      <c r="H343" s="6" t="s">
        <v>421</v>
      </c>
      <c r="I343" s="6" t="s">
        <v>422</v>
      </c>
      <c r="J343" s="6" t="s">
        <v>349</v>
      </c>
      <c r="K343" s="10">
        <v>44.6</v>
      </c>
      <c r="L343" s="10">
        <v>44.6</v>
      </c>
      <c r="M343" s="6" t="s">
        <v>371</v>
      </c>
    </row>
    <row r="344" spans="1:13">
      <c r="A344" s="6">
        <v>2023</v>
      </c>
      <c r="B344" s="6">
        <v>2</v>
      </c>
      <c r="C344" s="6" t="s">
        <v>60</v>
      </c>
      <c r="D344" s="6" t="s">
        <v>511</v>
      </c>
      <c r="E344" s="6" t="s">
        <v>405</v>
      </c>
      <c r="F344" s="6" t="str">
        <f>IF($M344="PADD I","PADD 1",IF($M344="PADD II","PADD 2",IF($M344="PADD III","PADD 3",IF($M344="PADD IV","PADD 4",IF($M344="PADD V","PADD 5","")))))</f>
        <v>PADD 3</v>
      </c>
      <c r="G344" s="6" t="str">
        <f>IF(AND($H344="ATMOS DISTILLATION",ISNUMBER(SEARCH("VPS",$I344))=FALSE,LEFT($I344,6)&lt;&gt;"VACUUM"),"CDU",IF($H344="FLUID CAT CRACKING","FCC",IF(OR($H344="HYDROCRACKING",$H344="RESID_HYDROCRACKING"),"Hydrocracker",IF($H344="REFORMING","Reformer",""))))</f>
        <v>Hydrocracker</v>
      </c>
      <c r="H344" s="6" t="s">
        <v>444</v>
      </c>
      <c r="I344" s="6" t="s">
        <v>14</v>
      </c>
      <c r="J344" s="6" t="s">
        <v>345</v>
      </c>
      <c r="K344" s="10">
        <v>44.5</v>
      </c>
      <c r="L344" s="10">
        <v>50</v>
      </c>
      <c r="M344" s="6" t="s">
        <v>371</v>
      </c>
    </row>
    <row r="345" spans="1:13">
      <c r="A345" s="6">
        <v>2023</v>
      </c>
      <c r="B345" s="6">
        <v>2</v>
      </c>
      <c r="C345" s="6" t="s">
        <v>60</v>
      </c>
      <c r="D345" s="6" t="s">
        <v>645</v>
      </c>
      <c r="E345" s="6" t="s">
        <v>388</v>
      </c>
      <c r="F345" s="6" t="str">
        <f>IF($M345="PADD I","PADD 1",IF($M345="PADD II","PADD 2",IF($M345="PADD III","PADD 3",IF($M345="PADD IV","PADD 4",IF($M345="PADD V","PADD 5","")))))</f>
        <v>PADD 3</v>
      </c>
      <c r="G345" s="6">
        <f>IF(AND($H345="ATMOS DISTILLATION",ISNUMBER(SEARCH("VPS",$I345))=FALSE,LEFT($I345,6)&lt;&gt;"VACUUM"),"CDU",IF($H345="FLUID CAT CRACKING","FCC",IF(OR($H345="HYDROCRACKING",$H345="RESID_HYDROCRACKING"),"Hydrocracker",IF($H345="REFORMING","Reformer",""))))</f>
        <v/>
      </c>
      <c r="H345" s="6" t="s">
        <v>43</v>
      </c>
      <c r="I345" s="6" t="s">
        <v>449</v>
      </c>
      <c r="J345" s="6" t="s">
        <v>345</v>
      </c>
      <c r="K345" s="10">
        <v>43.2</v>
      </c>
      <c r="L345" s="10">
        <v>80</v>
      </c>
      <c r="M345" s="6" t="s">
        <v>371</v>
      </c>
    </row>
    <row r="346" spans="1:13">
      <c r="A346" s="6">
        <v>2023</v>
      </c>
      <c r="B346" s="6">
        <v>2</v>
      </c>
      <c r="C346" s="6" t="s">
        <v>60</v>
      </c>
      <c r="D346" s="6" t="s">
        <v>372</v>
      </c>
      <c r="E346" s="6" t="s">
        <v>373</v>
      </c>
      <c r="F346" s="6" t="str">
        <f>IF($M346="PADD I","PADD 1",IF($M346="PADD II","PADD 2",IF($M346="PADD III","PADD 3",IF($M346="PADD IV","PADD 4",IF($M346="PADD V","PADD 5","")))))</f>
        <v>PADD 2</v>
      </c>
      <c r="G346" s="6" t="str">
        <f>IF(AND($H346="ATMOS DISTILLATION",ISNUMBER(SEARCH("VPS",$I346))=FALSE,LEFT($I346,6)&lt;&gt;"VACUUM"),"CDU",IF($H346="FLUID CAT CRACKING","FCC",IF(OR($H346="HYDROCRACKING",$H346="RESID_HYDROCRACKING"),"Hydrocracker",IF($H346="REFORMING","Reformer",""))))</f>
        <v>Reformer</v>
      </c>
      <c r="H346" s="6" t="s">
        <v>421</v>
      </c>
      <c r="I346" s="6" t="s">
        <v>423</v>
      </c>
      <c r="J346" s="6" t="s">
        <v>345</v>
      </c>
      <c r="K346" s="10">
        <v>42</v>
      </c>
      <c r="L346" s="10">
        <v>42</v>
      </c>
      <c r="M346" s="6" t="s">
        <v>375</v>
      </c>
    </row>
    <row r="347" spans="1:13">
      <c r="A347" s="6">
        <v>2023</v>
      </c>
      <c r="B347" s="6">
        <v>2</v>
      </c>
      <c r="C347" s="6" t="s">
        <v>60</v>
      </c>
      <c r="D347" s="6" t="s">
        <v>326</v>
      </c>
      <c r="E347" s="6" t="s">
        <v>385</v>
      </c>
      <c r="F347" s="6" t="str">
        <f>IF($M347="PADD I","PADD 1",IF($M347="PADD II","PADD 2",IF($M347="PADD III","PADD 3",IF($M347="PADD IV","PADD 4",IF($M347="PADD V","PADD 5","")))))</f>
        <v>PADD 5</v>
      </c>
      <c r="G347" s="6" t="str">
        <f>IF(AND($H347="ATMOS DISTILLATION",ISNUMBER(SEARCH("VPS",$I347))=FALSE,LEFT($I347,6)&lt;&gt;"VACUUM"),"CDU",IF($H347="FLUID CAT CRACKING","FCC",IF(OR($H347="HYDROCRACKING",$H347="RESID_HYDROCRACKING"),"Hydrocracker",IF($H347="REFORMING","Reformer",""))))</f>
        <v>Hydrocracker</v>
      </c>
      <c r="H347" s="6" t="s">
        <v>444</v>
      </c>
      <c r="I347" s="6" t="s">
        <v>498</v>
      </c>
      <c r="J347" s="6" t="s">
        <v>349</v>
      </c>
      <c r="K347" s="10">
        <v>42</v>
      </c>
      <c r="L347" s="10">
        <v>42</v>
      </c>
      <c r="M347" s="6" t="s">
        <v>386</v>
      </c>
    </row>
    <row r="348" spans="1:13">
      <c r="A348" s="6">
        <v>2023</v>
      </c>
      <c r="B348" s="6">
        <v>2</v>
      </c>
      <c r="C348" s="6" t="s">
        <v>60</v>
      </c>
      <c r="D348" s="6" t="s">
        <v>346</v>
      </c>
      <c r="E348" s="6" t="s">
        <v>383</v>
      </c>
      <c r="F348" s="6" t="str">
        <f>IF($M348="PADD I","PADD 1",IF($M348="PADD II","PADD 2",IF($M348="PADD III","PADD 3",IF($M348="PADD IV","PADD 4",IF($M348="PADD V","PADD 5","")))))</f>
        <v>PADD 2</v>
      </c>
      <c r="G348" s="6">
        <f>IF(AND($H348="ATMOS DISTILLATION",ISNUMBER(SEARCH("VPS",$I348))=FALSE,LEFT($I348,6)&lt;&gt;"VACUUM"),"CDU",IF($H348="FLUID CAT CRACKING","FCC",IF(OR($H348="HYDROCRACKING",$H348="RESID_HYDROCRACKING"),"Hydrocracker",IF($H348="REFORMING","Reformer",""))))</f>
        <v/>
      </c>
      <c r="H348" s="6" t="s">
        <v>43</v>
      </c>
      <c r="I348" s="6" t="s">
        <v>424</v>
      </c>
      <c r="J348" s="6" t="s">
        <v>349</v>
      </c>
      <c r="K348" s="10">
        <v>42</v>
      </c>
      <c r="L348" s="10">
        <v>42</v>
      </c>
      <c r="M348" s="6" t="s">
        <v>375</v>
      </c>
    </row>
    <row r="349" spans="1:13">
      <c r="A349" s="6">
        <v>2023</v>
      </c>
      <c r="B349" s="6">
        <v>2</v>
      </c>
      <c r="C349" s="6" t="s">
        <v>60</v>
      </c>
      <c r="D349" s="6" t="s">
        <v>518</v>
      </c>
      <c r="E349" s="6" t="s">
        <v>369</v>
      </c>
      <c r="F349" s="6" t="str">
        <f>IF($M349="PADD I","PADD 1",IF($M349="PADD II","PADD 2",IF($M349="PADD III","PADD 3",IF($M349="PADD IV","PADD 4",IF($M349="PADD V","PADD 5","")))))</f>
        <v>PADD 5</v>
      </c>
      <c r="G349" s="6" t="str">
        <f>IF(AND($H349="ATMOS DISTILLATION",ISNUMBER(SEARCH("VPS",$I349))=FALSE,LEFT($I349,6)&lt;&gt;"VACUUM"),"CDU",IF($H349="FLUID CAT CRACKING","FCC",IF(OR($H349="HYDROCRACKING",$H349="RESID_HYDROCRACKING"),"Hydrocracker",IF($H349="REFORMING","Reformer",""))))</f>
        <v>Hydrocracker</v>
      </c>
      <c r="H349" s="6" t="s">
        <v>444</v>
      </c>
      <c r="I349" s="6" t="s">
        <v>534</v>
      </c>
      <c r="J349" s="6" t="s">
        <v>345</v>
      </c>
      <c r="K349" s="10">
        <v>42</v>
      </c>
      <c r="L349" s="10">
        <v>42</v>
      </c>
      <c r="M349" s="6" t="s">
        <v>386</v>
      </c>
    </row>
    <row r="350" spans="1:13">
      <c r="A350" s="6">
        <v>2023</v>
      </c>
      <c r="B350" s="6">
        <v>2</v>
      </c>
      <c r="C350" s="6" t="s">
        <v>60</v>
      </c>
      <c r="D350" s="6" t="s">
        <v>415</v>
      </c>
      <c r="E350" s="6" t="s">
        <v>416</v>
      </c>
      <c r="F350" s="6" t="str">
        <f>IF($M350="PADD I","PADD 1",IF($M350="PADD II","PADD 2",IF($M350="PADD III","PADD 3",IF($M350="PADD IV","PADD 4",IF($M350="PADD V","PADD 5","")))))</f>
        <v>PADD 3</v>
      </c>
      <c r="G350" s="6" t="str">
        <f>IF(AND($H350="ATMOS DISTILLATION",ISNUMBER(SEARCH("VPS",$I350))=FALSE,LEFT($I350,6)&lt;&gt;"VACUUM"),"CDU",IF($H350="FLUID CAT CRACKING","FCC",IF(OR($H350="HYDROCRACKING",$H350="RESID_HYDROCRACKING"),"Hydrocracker",IF($H350="REFORMING","Reformer",""))))</f>
        <v>FCC</v>
      </c>
      <c r="H350" s="6" t="s">
        <v>376</v>
      </c>
      <c r="I350" s="6" t="s">
        <v>425</v>
      </c>
      <c r="J350" s="6" t="s">
        <v>345</v>
      </c>
      <c r="K350" s="10">
        <v>42</v>
      </c>
      <c r="L350" s="10">
        <v>42</v>
      </c>
      <c r="M350" s="6" t="s">
        <v>371</v>
      </c>
    </row>
    <row r="351" spans="1:13">
      <c r="A351" s="6">
        <v>2023</v>
      </c>
      <c r="B351" s="6">
        <v>2</v>
      </c>
      <c r="C351" s="6" t="s">
        <v>60</v>
      </c>
      <c r="D351" s="6" t="s">
        <v>646</v>
      </c>
      <c r="E351" s="6" t="s">
        <v>405</v>
      </c>
      <c r="F351" s="6" t="str">
        <f>IF($M351="PADD I","PADD 1",IF($M351="PADD II","PADD 2",IF($M351="PADD III","PADD 3",IF($M351="PADD IV","PADD 4",IF($M351="PADD V","PADD 5","")))))</f>
        <v>PADD 3</v>
      </c>
      <c r="G351" s="6">
        <f>IF(AND($H351="ATMOS DISTILLATION",ISNUMBER(SEARCH("VPS",$I351))=FALSE,LEFT($I351,6)&lt;&gt;"VACUUM"),"CDU",IF($H351="FLUID CAT CRACKING","FCC",IF(OR($H351="HYDROCRACKING",$H351="RESID_HYDROCRACKING"),"Hydrocracker",IF($H351="REFORMING","Reformer",""))))</f>
        <v/>
      </c>
      <c r="H351" s="6" t="s">
        <v>43</v>
      </c>
      <c r="I351" s="6" t="s">
        <v>647</v>
      </c>
      <c r="J351" s="6" t="s">
        <v>345</v>
      </c>
      <c r="K351" s="10">
        <v>41.85</v>
      </c>
      <c r="L351" s="10">
        <v>45</v>
      </c>
      <c r="M351" s="6" t="s">
        <v>371</v>
      </c>
    </row>
    <row r="352" spans="1:13">
      <c r="A352" s="6">
        <v>2023</v>
      </c>
      <c r="B352" s="6">
        <v>2</v>
      </c>
      <c r="C352" s="6" t="s">
        <v>60</v>
      </c>
      <c r="D352" s="6" t="s">
        <v>372</v>
      </c>
      <c r="E352" s="6" t="s">
        <v>373</v>
      </c>
      <c r="F352" s="6" t="str">
        <f>IF($M352="PADD I","PADD 1",IF($M352="PADD II","PADD 2",IF($M352="PADD III","PADD 3",IF($M352="PADD IV","PADD 4",IF($M352="PADD V","PADD 5","")))))</f>
        <v>PADD 2</v>
      </c>
      <c r="G352" s="6">
        <f>IF(AND($H352="ATMOS DISTILLATION",ISNUMBER(SEARCH("VPS",$I352))=FALSE,LEFT($I352,6)&lt;&gt;"VACUUM"),"CDU",IF($H352="FLUID CAT CRACKING","FCC",IF(OR($H352="HYDROCRACKING",$H352="RESID_HYDROCRACKING"),"Hydrocracker",IF($H352="REFORMING","Reformer",""))))</f>
        <v/>
      </c>
      <c r="H352" s="6" t="s">
        <v>43</v>
      </c>
      <c r="I352" s="6" t="s">
        <v>432</v>
      </c>
      <c r="J352" s="6" t="s">
        <v>345</v>
      </c>
      <c r="K352" s="10">
        <v>40</v>
      </c>
      <c r="L352" s="10">
        <v>40</v>
      </c>
      <c r="M352" s="6" t="s">
        <v>375</v>
      </c>
    </row>
    <row r="353" spans="1:13">
      <c r="A353" s="6">
        <v>2023</v>
      </c>
      <c r="B353" s="6">
        <v>2</v>
      </c>
      <c r="C353" s="6" t="s">
        <v>60</v>
      </c>
      <c r="D353" s="6" t="s">
        <v>372</v>
      </c>
      <c r="E353" s="6" t="s">
        <v>373</v>
      </c>
      <c r="F353" s="6" t="str">
        <f>IF($M353="PADD I","PADD 1",IF($M353="PADD II","PADD 2",IF($M353="PADD III","PADD 3",IF($M353="PADD IV","PADD 4",IF($M353="PADD V","PADD 5","")))))</f>
        <v>PADD 2</v>
      </c>
      <c r="G353" s="6">
        <f>IF(AND($H353="ATMOS DISTILLATION",ISNUMBER(SEARCH("VPS",$I353))=FALSE,LEFT($I353,6)&lt;&gt;"VACUUM"),"CDU",IF($H353="FLUID CAT CRACKING","FCC",IF(OR($H353="HYDROCRACKING",$H353="RESID_HYDROCRACKING"),"Hydrocracker",IF($H353="REFORMING","Reformer",""))))</f>
        <v/>
      </c>
      <c r="H353" s="6" t="s">
        <v>43</v>
      </c>
      <c r="I353" s="6" t="s">
        <v>433</v>
      </c>
      <c r="J353" s="6" t="s">
        <v>345</v>
      </c>
      <c r="K353" s="10">
        <v>40</v>
      </c>
      <c r="L353" s="10">
        <v>40</v>
      </c>
      <c r="M353" s="6" t="s">
        <v>375</v>
      </c>
    </row>
    <row r="354" spans="1:13">
      <c r="A354" s="6">
        <v>2023</v>
      </c>
      <c r="B354" s="6">
        <v>2</v>
      </c>
      <c r="C354" s="6" t="s">
        <v>60</v>
      </c>
      <c r="D354" s="6" t="s">
        <v>395</v>
      </c>
      <c r="E354" s="6" t="s">
        <v>396</v>
      </c>
      <c r="F354" s="6" t="str">
        <f>IF($M354="PADD I","PADD 1",IF($M354="PADD II","PADD 2",IF($M354="PADD III","PADD 3",IF($M354="PADD IV","PADD 4",IF($M354="PADD V","PADD 5","")))))</f>
        <v>PADD 3</v>
      </c>
      <c r="G354" s="6" t="str">
        <f>IF(AND($H354="ATMOS DISTILLATION",ISNUMBER(SEARCH("VPS",$I354))=FALSE,LEFT($I354,6)&lt;&gt;"VACUUM"),"CDU",IF($H354="FLUID CAT CRACKING","FCC",IF(OR($H354="HYDROCRACKING",$H354="RESID_HYDROCRACKING"),"Hydrocracker",IF($H354="REFORMING","Reformer",""))))</f>
        <v>CDU</v>
      </c>
      <c r="H354" s="6" t="s">
        <v>38</v>
      </c>
      <c r="I354" s="6" t="s">
        <v>510</v>
      </c>
      <c r="J354" s="6" t="s">
        <v>345</v>
      </c>
      <c r="K354" s="10">
        <v>39.9</v>
      </c>
      <c r="L354" s="10">
        <v>70</v>
      </c>
      <c r="M354" s="6" t="s">
        <v>371</v>
      </c>
    </row>
    <row r="355" spans="1:13">
      <c r="A355" s="6">
        <v>2023</v>
      </c>
      <c r="B355" s="6">
        <v>2</v>
      </c>
      <c r="C355" s="6" t="s">
        <v>60</v>
      </c>
      <c r="D355" s="6" t="s">
        <v>511</v>
      </c>
      <c r="E355" s="6" t="s">
        <v>405</v>
      </c>
      <c r="F355" s="6" t="str">
        <f>IF($M355="PADD I","PADD 1",IF($M355="PADD II","PADD 2",IF($M355="PADD III","PADD 3",IF($M355="PADD IV","PADD 4",IF($M355="PADD V","PADD 5","")))))</f>
        <v>PADD 3</v>
      </c>
      <c r="G355" s="6">
        <f>IF(AND($H355="ATMOS DISTILLATION",ISNUMBER(SEARCH("VPS",$I355))=FALSE,LEFT($I355,6)&lt;&gt;"VACUUM"),"CDU",IF($H355="FLUID CAT CRACKING","FCC",IF(OR($H355="HYDROCRACKING",$H355="RESID_HYDROCRACKING"),"Hydrocracker",IF($H355="REFORMING","Reformer",""))))</f>
        <v/>
      </c>
      <c r="H355" s="6" t="s">
        <v>378</v>
      </c>
      <c r="I355" s="6" t="s">
        <v>593</v>
      </c>
      <c r="J355" s="6" t="s">
        <v>349</v>
      </c>
      <c r="K355" s="10">
        <v>39</v>
      </c>
      <c r="L355" s="10">
        <v>39</v>
      </c>
      <c r="M355" s="6" t="s">
        <v>371</v>
      </c>
    </row>
    <row r="356" spans="1:13">
      <c r="A356" s="6">
        <v>2023</v>
      </c>
      <c r="B356" s="6">
        <v>2</v>
      </c>
      <c r="C356" s="6" t="s">
        <v>60</v>
      </c>
      <c r="D356" s="6" t="s">
        <v>437</v>
      </c>
      <c r="E356" s="6" t="s">
        <v>438</v>
      </c>
      <c r="F356" s="6" t="str">
        <f>IF($M356="PADD I","PADD 1",IF($M356="PADD II","PADD 2",IF($M356="PADD III","PADD 3",IF($M356="PADD IV","PADD 4",IF($M356="PADD V","PADD 5","")))))</f>
        <v>PADD 4</v>
      </c>
      <c r="G356" s="6" t="str">
        <f>IF(AND($H356="ATMOS DISTILLATION",ISNUMBER(SEARCH("VPS",$I356))=FALSE,LEFT($I356,6)&lt;&gt;"VACUUM"),"CDU",IF($H356="FLUID CAT CRACKING","FCC",IF(OR($H356="HYDROCRACKING",$H356="RESID_HYDROCRACKING"),"Hydrocracker",IF($H356="REFORMING","Reformer",""))))</f>
        <v>CDU</v>
      </c>
      <c r="H356" s="6" t="s">
        <v>38</v>
      </c>
      <c r="I356" s="6" t="s">
        <v>439</v>
      </c>
      <c r="J356" s="6" t="s">
        <v>345</v>
      </c>
      <c r="K356" s="10">
        <v>39</v>
      </c>
      <c r="L356" s="10">
        <v>39</v>
      </c>
      <c r="M356" s="6" t="s">
        <v>430</v>
      </c>
    </row>
    <row r="357" spans="1:13">
      <c r="A357" s="6">
        <v>2023</v>
      </c>
      <c r="B357" s="6">
        <v>2</v>
      </c>
      <c r="C357" s="6" t="s">
        <v>60</v>
      </c>
      <c r="D357" s="6" t="s">
        <v>437</v>
      </c>
      <c r="E357" s="6" t="s">
        <v>438</v>
      </c>
      <c r="F357" s="6" t="str">
        <f>IF($M357="PADD I","PADD 1",IF($M357="PADD II","PADD 2",IF($M357="PADD III","PADD 3",IF($M357="PADD IV","PADD 4",IF($M357="PADD V","PADD 5","")))))</f>
        <v>PADD 4</v>
      </c>
      <c r="G357" s="6" t="str">
        <f>IF(AND($H357="ATMOS DISTILLATION",ISNUMBER(SEARCH("VPS",$I357))=FALSE,LEFT($I357,6)&lt;&gt;"VACUUM"),"CDU",IF($H357="FLUID CAT CRACKING","FCC",IF(OR($H357="HYDROCRACKING",$H357="RESID_HYDROCRACKING"),"Hydrocracker",IF($H357="REFORMING","Reformer",""))))</f>
        <v>CDU</v>
      </c>
      <c r="H357" s="6" t="s">
        <v>38</v>
      </c>
      <c r="I357" s="6" t="s">
        <v>439</v>
      </c>
      <c r="J357" s="6" t="s">
        <v>345</v>
      </c>
      <c r="K357" s="10">
        <v>38</v>
      </c>
      <c r="L357" s="10">
        <v>38</v>
      </c>
      <c r="M357" s="6" t="s">
        <v>430</v>
      </c>
    </row>
    <row r="358" spans="1:13">
      <c r="A358" s="6">
        <v>2023</v>
      </c>
      <c r="B358" s="6">
        <v>2</v>
      </c>
      <c r="C358" s="6" t="s">
        <v>60</v>
      </c>
      <c r="D358" s="6" t="s">
        <v>615</v>
      </c>
      <c r="E358" s="6" t="s">
        <v>405</v>
      </c>
      <c r="F358" s="6" t="str">
        <f>IF($M358="PADD I","PADD 1",IF($M358="PADD II","PADD 2",IF($M358="PADD III","PADD 3",IF($M358="PADD IV","PADD 4",IF($M358="PADD V","PADD 5","")))))</f>
        <v>PADD 5</v>
      </c>
      <c r="G358" s="6" t="str">
        <f>IF(AND($H358="ATMOS DISTILLATION",ISNUMBER(SEARCH("VPS",$I358))=FALSE,LEFT($I358,6)&lt;&gt;"VACUUM"),"CDU",IF($H358="FLUID CAT CRACKING","FCC",IF(OR($H358="HYDROCRACKING",$H358="RESID_HYDROCRACKING"),"Hydrocracker",IF($H358="REFORMING","Reformer",""))))</f>
        <v>Hydrocracker</v>
      </c>
      <c r="H358" s="6" t="s">
        <v>444</v>
      </c>
      <c r="I358" s="6" t="s">
        <v>14</v>
      </c>
      <c r="J358" s="6" t="s">
        <v>349</v>
      </c>
      <c r="K358" s="10">
        <v>36</v>
      </c>
      <c r="L358" s="10">
        <v>36</v>
      </c>
      <c r="M358" s="6" t="s">
        <v>386</v>
      </c>
    </row>
    <row r="359" spans="1:13">
      <c r="A359" s="6">
        <v>2023</v>
      </c>
      <c r="B359" s="6">
        <v>2</v>
      </c>
      <c r="C359" s="6" t="s">
        <v>60</v>
      </c>
      <c r="D359" s="6" t="s">
        <v>639</v>
      </c>
      <c r="E359" s="6" t="s">
        <v>452</v>
      </c>
      <c r="F359" s="6" t="str">
        <f>IF($M359="PADD I","PADD 1",IF($M359="PADD II","PADD 2",IF($M359="PADD III","PADD 3",IF($M359="PADD IV","PADD 4",IF($M359="PADD V","PADD 5","")))))</f>
        <v>PADD 5</v>
      </c>
      <c r="G359" s="6">
        <f>IF(AND($H359="ATMOS DISTILLATION",ISNUMBER(SEARCH("VPS",$I359))=FALSE,LEFT($I359,6)&lt;&gt;"VACUUM"),"CDU",IF($H359="FLUID CAT CRACKING","FCC",IF(OR($H359="HYDROCRACKING",$H359="RESID_HYDROCRACKING"),"Hydrocracker",IF($H359="REFORMING","Reformer",""))))</f>
        <v/>
      </c>
      <c r="H359" s="6" t="s">
        <v>378</v>
      </c>
      <c r="I359" s="6" t="s">
        <v>379</v>
      </c>
      <c r="J359" s="6" t="s">
        <v>349</v>
      </c>
      <c r="K359" s="10">
        <v>35.532</v>
      </c>
      <c r="L359" s="10">
        <v>65.8</v>
      </c>
      <c r="M359" s="6" t="s">
        <v>386</v>
      </c>
    </row>
    <row r="360" spans="1:13">
      <c r="A360" s="6">
        <v>2023</v>
      </c>
      <c r="B360" s="6">
        <v>2</v>
      </c>
      <c r="C360" s="6" t="s">
        <v>60</v>
      </c>
      <c r="D360" s="6" t="s">
        <v>372</v>
      </c>
      <c r="E360" s="6" t="s">
        <v>373</v>
      </c>
      <c r="F360" s="6" t="str">
        <f>IF($M360="PADD I","PADD 1",IF($M360="PADD II","PADD 2",IF($M360="PADD III","PADD 3",IF($M360="PADD IV","PADD 4",IF($M360="PADD V","PADD 5","")))))</f>
        <v>PADD 2</v>
      </c>
      <c r="G360" s="6" t="str">
        <f>IF(AND($H360="ATMOS DISTILLATION",ISNUMBER(SEARCH("VPS",$I360))=FALSE,LEFT($I360,6)&lt;&gt;"VACUUM"),"CDU",IF($H360="FLUID CAT CRACKING","FCC",IF(OR($H360="HYDROCRACKING",$H360="RESID_HYDROCRACKING"),"Hydrocracker",IF($H360="REFORMING","Reformer",""))))</f>
        <v>Hydrocracker</v>
      </c>
      <c r="H360" s="6" t="s">
        <v>444</v>
      </c>
      <c r="I360" s="6" t="s">
        <v>445</v>
      </c>
      <c r="J360" s="6" t="s">
        <v>345</v>
      </c>
      <c r="K360" s="10">
        <v>35</v>
      </c>
      <c r="L360" s="10">
        <v>35</v>
      </c>
      <c r="M360" s="6" t="s">
        <v>375</v>
      </c>
    </row>
    <row r="361" spans="1:13">
      <c r="A361" s="6">
        <v>2023</v>
      </c>
      <c r="B361" s="6">
        <v>2</v>
      </c>
      <c r="C361" s="6" t="s">
        <v>60</v>
      </c>
      <c r="D361" s="6" t="s">
        <v>326</v>
      </c>
      <c r="E361" s="6" t="s">
        <v>385</v>
      </c>
      <c r="F361" s="6" t="str">
        <f>IF($M361="PADD I","PADD 1",IF($M361="PADD II","PADD 2",IF($M361="PADD III","PADD 3",IF($M361="PADD IV","PADD 4",IF($M361="PADD V","PADD 5","")))))</f>
        <v>PADD 5</v>
      </c>
      <c r="G361" s="6" t="str">
        <f>IF(AND($H361="ATMOS DISTILLATION",ISNUMBER(SEARCH("VPS",$I361))=FALSE,LEFT($I361,6)&lt;&gt;"VACUUM"),"CDU",IF($H361="FLUID CAT CRACKING","FCC",IF(OR($H361="HYDROCRACKING",$H361="RESID_HYDROCRACKING"),"Hydrocracker",IF($H361="REFORMING","Reformer",""))))</f>
        <v>FCC</v>
      </c>
      <c r="H361" s="6" t="s">
        <v>376</v>
      </c>
      <c r="I361" s="6" t="s">
        <v>504</v>
      </c>
      <c r="J361" s="6" t="s">
        <v>349</v>
      </c>
      <c r="K361" s="10">
        <v>35</v>
      </c>
      <c r="L361" s="10">
        <v>35</v>
      </c>
      <c r="M361" s="6" t="s">
        <v>386</v>
      </c>
    </row>
    <row r="362" spans="1:13">
      <c r="A362" s="6">
        <v>2023</v>
      </c>
      <c r="B362" s="6">
        <v>2</v>
      </c>
      <c r="C362" s="6" t="s">
        <v>60</v>
      </c>
      <c r="D362" s="6" t="s">
        <v>446</v>
      </c>
      <c r="E362" s="6" t="s">
        <v>391</v>
      </c>
      <c r="F362" s="6" t="str">
        <f>IF($M362="PADD I","PADD 1",IF($M362="PADD II","PADD 2",IF($M362="PADD III","PADD 3",IF($M362="PADD IV","PADD 4",IF($M362="PADD V","PADD 5","")))))</f>
        <v>PADD 3</v>
      </c>
      <c r="G362" s="6">
        <f>IF(AND($H362="ATMOS DISTILLATION",ISNUMBER(SEARCH("VPS",$I362))=FALSE,LEFT($I362,6)&lt;&gt;"VACUUM"),"CDU",IF($H362="FLUID CAT CRACKING","FCC",IF(OR($H362="HYDROCRACKING",$H362="RESID_HYDROCRACKING"),"Hydrocracker",IF($H362="REFORMING","Reformer",""))))</f>
        <v/>
      </c>
      <c r="H362" s="6" t="s">
        <v>43</v>
      </c>
      <c r="I362" s="6" t="s">
        <v>447</v>
      </c>
      <c r="J362" s="6" t="s">
        <v>349</v>
      </c>
      <c r="K362" s="10">
        <v>35</v>
      </c>
      <c r="L362" s="10">
        <v>35</v>
      </c>
      <c r="M362" s="6" t="s">
        <v>371</v>
      </c>
    </row>
    <row r="363" spans="1:13">
      <c r="A363" s="6">
        <v>2023</v>
      </c>
      <c r="B363" s="6">
        <v>2</v>
      </c>
      <c r="C363" s="6" t="s">
        <v>60</v>
      </c>
      <c r="D363" s="6" t="s">
        <v>448</v>
      </c>
      <c r="E363" s="6" t="s">
        <v>391</v>
      </c>
      <c r="F363" s="6" t="str">
        <f>IF($M363="PADD I","PADD 1",IF($M363="PADD II","PADD 2",IF($M363="PADD III","PADD 3",IF($M363="PADD IV","PADD 4",IF($M363="PADD V","PADD 5","")))))</f>
        <v>PADD 3</v>
      </c>
      <c r="G363" s="6">
        <f>IF(AND($H363="ATMOS DISTILLATION",ISNUMBER(SEARCH("VPS",$I363))=FALSE,LEFT($I363,6)&lt;&gt;"VACUUM"),"CDU",IF($H363="FLUID CAT CRACKING","FCC",IF(OR($H363="HYDROCRACKING",$H363="RESID_HYDROCRACKING"),"Hydrocracker",IF($H363="REFORMING","Reformer",""))))</f>
        <v/>
      </c>
      <c r="H363" s="6" t="s">
        <v>43</v>
      </c>
      <c r="I363" s="6" t="s">
        <v>449</v>
      </c>
      <c r="J363" s="6" t="s">
        <v>345</v>
      </c>
      <c r="K363" s="10">
        <v>35</v>
      </c>
      <c r="L363" s="10">
        <v>35</v>
      </c>
      <c r="M363" s="6" t="s">
        <v>371</v>
      </c>
    </row>
    <row r="364" spans="1:13">
      <c r="A364" s="6">
        <v>2023</v>
      </c>
      <c r="B364" s="6">
        <v>2</v>
      </c>
      <c r="C364" s="6" t="s">
        <v>60</v>
      </c>
      <c r="D364" s="6" t="s">
        <v>450</v>
      </c>
      <c r="E364" s="6" t="s">
        <v>369</v>
      </c>
      <c r="F364" s="6" t="str">
        <f>IF($M364="PADD I","PADD 1",IF($M364="PADD II","PADD 2",IF($M364="PADD III","PADD 3",IF($M364="PADD IV","PADD 4",IF($M364="PADD V","PADD 5","")))))</f>
        <v>PADD 3</v>
      </c>
      <c r="G364" s="6">
        <f>IF(AND($H364="ATMOS DISTILLATION",ISNUMBER(SEARCH("VPS",$I364))=FALSE,LEFT($I364,6)&lt;&gt;"VACUUM"),"CDU",IF($H364="FLUID CAT CRACKING","FCC",IF(OR($H364="HYDROCRACKING",$H364="RESID_HYDROCRACKING"),"Hydrocracker",IF($H364="REFORMING","Reformer",""))))</f>
        <v/>
      </c>
      <c r="H364" s="6" t="s">
        <v>43</v>
      </c>
      <c r="I364" s="6" t="s">
        <v>449</v>
      </c>
      <c r="J364" s="6" t="s">
        <v>349</v>
      </c>
      <c r="K364" s="10">
        <v>35</v>
      </c>
      <c r="L364" s="10">
        <v>35</v>
      </c>
      <c r="M364" s="6" t="s">
        <v>371</v>
      </c>
    </row>
    <row r="365" spans="1:13">
      <c r="A365" s="6">
        <v>2023</v>
      </c>
      <c r="B365" s="6">
        <v>2</v>
      </c>
      <c r="C365" s="6" t="s">
        <v>60</v>
      </c>
      <c r="D365" s="6" t="s">
        <v>415</v>
      </c>
      <c r="E365" s="6" t="s">
        <v>416</v>
      </c>
      <c r="F365" s="6" t="str">
        <f>IF($M365="PADD I","PADD 1",IF($M365="PADD II","PADD 2",IF($M365="PADD III","PADD 3",IF($M365="PADD IV","PADD 4",IF($M365="PADD V","PADD 5","")))))</f>
        <v>PADD 3</v>
      </c>
      <c r="G365" s="6">
        <f>IF(AND($H365="ATMOS DISTILLATION",ISNUMBER(SEARCH("VPS",$I365))=FALSE,LEFT($I365,6)&lt;&gt;"VACUUM"),"CDU",IF($H365="FLUID CAT CRACKING","FCC",IF(OR($H365="HYDROCRACKING",$H365="RESID_HYDROCRACKING"),"Hydrocracker",IF($H365="REFORMING","Reformer",""))))</f>
        <v/>
      </c>
      <c r="H365" s="6" t="s">
        <v>435</v>
      </c>
      <c r="I365" s="6" t="s">
        <v>453</v>
      </c>
      <c r="J365" s="6" t="s">
        <v>345</v>
      </c>
      <c r="K365" s="10">
        <v>34</v>
      </c>
      <c r="L365" s="10">
        <v>34</v>
      </c>
      <c r="M365" s="6" t="s">
        <v>371</v>
      </c>
    </row>
    <row r="366" spans="1:13">
      <c r="A366" s="6">
        <v>2023</v>
      </c>
      <c r="B366" s="6">
        <v>2</v>
      </c>
      <c r="C366" s="6" t="s">
        <v>60</v>
      </c>
      <c r="D366" s="6" t="s">
        <v>415</v>
      </c>
      <c r="E366" s="6" t="s">
        <v>416</v>
      </c>
      <c r="F366" s="6" t="str">
        <f>IF($M366="PADD I","PADD 1",IF($M366="PADD II","PADD 2",IF($M366="PADD III","PADD 3",IF($M366="PADD IV","PADD 4",IF($M366="PADD V","PADD 5","")))))</f>
        <v>PADD 3</v>
      </c>
      <c r="G366" s="6">
        <f>IF(AND($H366="ATMOS DISTILLATION",ISNUMBER(SEARCH("VPS",$I366))=FALSE,LEFT($I366,6)&lt;&gt;"VACUUM"),"CDU",IF($H366="FLUID CAT CRACKING","FCC",IF(OR($H366="HYDROCRACKING",$H366="RESID_HYDROCRACKING"),"Hydrocracker",IF($H366="REFORMING","Reformer",""))))</f>
        <v/>
      </c>
      <c r="H366" s="6" t="s">
        <v>435</v>
      </c>
      <c r="I366" s="6" t="s">
        <v>453</v>
      </c>
      <c r="J366" s="6" t="s">
        <v>345</v>
      </c>
      <c r="K366" s="10">
        <v>34</v>
      </c>
      <c r="L366" s="10">
        <v>34</v>
      </c>
      <c r="M366" s="6" t="s">
        <v>371</v>
      </c>
    </row>
    <row r="367" spans="1:13">
      <c r="A367" s="6">
        <v>2023</v>
      </c>
      <c r="B367" s="6">
        <v>2</v>
      </c>
      <c r="C367" s="6" t="s">
        <v>60</v>
      </c>
      <c r="D367" s="6" t="s">
        <v>51</v>
      </c>
      <c r="E367" s="6" t="s">
        <v>391</v>
      </c>
      <c r="F367" s="6" t="str">
        <f>IF($M367="PADD I","PADD 1",IF($M367="PADD II","PADD 2",IF($M367="PADD III","PADD 3",IF($M367="PADD IV","PADD 4",IF($M367="PADD V","PADD 5","")))))</f>
        <v>PADD 5</v>
      </c>
      <c r="G367" s="6">
        <f>IF(AND($H367="ATMOS DISTILLATION",ISNUMBER(SEARCH("VPS",$I367))=FALSE,LEFT($I367,6)&lt;&gt;"VACUUM"),"CDU",IF($H367="FLUID CAT CRACKING","FCC",IF(OR($H367="HYDROCRACKING",$H367="RESID_HYDROCRACKING"),"Hydrocracker",IF($H367="REFORMING","Reformer",""))))</f>
        <v/>
      </c>
      <c r="H367" s="6" t="s">
        <v>460</v>
      </c>
      <c r="I367" s="6" t="s">
        <v>461</v>
      </c>
      <c r="J367" s="6" t="s">
        <v>345</v>
      </c>
      <c r="K367" s="10">
        <v>33</v>
      </c>
      <c r="L367" s="10">
        <v>33</v>
      </c>
      <c r="M367" s="6" t="s">
        <v>386</v>
      </c>
    </row>
    <row r="368" spans="1:13">
      <c r="A368" s="6">
        <v>2023</v>
      </c>
      <c r="B368" s="6">
        <v>2</v>
      </c>
      <c r="C368" s="6" t="s">
        <v>60</v>
      </c>
      <c r="D368" s="6" t="s">
        <v>387</v>
      </c>
      <c r="E368" s="6" t="s">
        <v>388</v>
      </c>
      <c r="F368" s="6" t="str">
        <f>IF($M368="PADD I","PADD 1",IF($M368="PADD II","PADD 2",IF($M368="PADD III","PADD 3",IF($M368="PADD IV","PADD 4",IF($M368="PADD V","PADD 5","")))))</f>
        <v>PADD 3</v>
      </c>
      <c r="G368" s="6">
        <f>IF(AND($H368="ATMOS DISTILLATION",ISNUMBER(SEARCH("VPS",$I368))=FALSE,LEFT($I368,6)&lt;&gt;"VACUUM"),"CDU",IF($H368="FLUID CAT CRACKING","FCC",IF(OR($H368="HYDROCRACKING",$H368="RESID_HYDROCRACKING"),"Hydrocracker",IF($H368="REFORMING","Reformer",""))))</f>
        <v/>
      </c>
      <c r="H368" s="6" t="s">
        <v>435</v>
      </c>
      <c r="I368" s="6" t="s">
        <v>590</v>
      </c>
      <c r="J368" s="6" t="s">
        <v>345</v>
      </c>
      <c r="K368" s="10">
        <v>33</v>
      </c>
      <c r="L368" s="10">
        <v>33</v>
      </c>
      <c r="M368" s="6" t="s">
        <v>371</v>
      </c>
    </row>
    <row r="369" spans="1:13">
      <c r="A369" s="6">
        <v>2023</v>
      </c>
      <c r="B369" s="6">
        <v>2</v>
      </c>
      <c r="C369" s="6" t="s">
        <v>60</v>
      </c>
      <c r="D369" s="6" t="s">
        <v>462</v>
      </c>
      <c r="E369" s="6" t="s">
        <v>438</v>
      </c>
      <c r="F369" s="6" t="str">
        <f>IF($M369="PADD I","PADD 1",IF($M369="PADD II","PADD 2",IF($M369="PADD III","PADD 3",IF($M369="PADD IV","PADD 4",IF($M369="PADD V","PADD 5","")))))</f>
        <v>PADD 4</v>
      </c>
      <c r="G369" s="6" t="str">
        <f>IF(AND($H369="ATMOS DISTILLATION",ISNUMBER(SEARCH("VPS",$I369))=FALSE,LEFT($I369,6)&lt;&gt;"VACUUM"),"CDU",IF($H369="FLUID CAT CRACKING","FCC",IF(OR($H369="HYDROCRACKING",$H369="RESID_HYDROCRACKING"),"Hydrocracker",IF($H369="REFORMING","Reformer",""))))</f>
        <v>CDU</v>
      </c>
      <c r="H369" s="6" t="s">
        <v>38</v>
      </c>
      <c r="I369" s="6" t="s">
        <v>123</v>
      </c>
      <c r="J369" s="6" t="s">
        <v>345</v>
      </c>
      <c r="K369" s="10">
        <v>32</v>
      </c>
      <c r="L369" s="10">
        <v>32</v>
      </c>
      <c r="M369" s="6" t="s">
        <v>430</v>
      </c>
    </row>
    <row r="370" spans="1:13">
      <c r="A370" s="6">
        <v>2023</v>
      </c>
      <c r="B370" s="6">
        <v>2</v>
      </c>
      <c r="C370" s="6" t="s">
        <v>60</v>
      </c>
      <c r="D370" s="6" t="s">
        <v>518</v>
      </c>
      <c r="E370" s="6" t="s">
        <v>369</v>
      </c>
      <c r="F370" s="6" t="str">
        <f>IF($M370="PADD I","PADD 1",IF($M370="PADD II","PADD 2",IF($M370="PADD III","PADD 3",IF($M370="PADD IV","PADD 4",IF($M370="PADD V","PADD 5","")))))</f>
        <v>PADD 5</v>
      </c>
      <c r="G370" s="6" t="str">
        <f>IF(AND($H370="ATMOS DISTILLATION",ISNUMBER(SEARCH("VPS",$I370))=FALSE,LEFT($I370,6)&lt;&gt;"VACUUM"),"CDU",IF($H370="FLUID CAT CRACKING","FCC",IF(OR($H370="HYDROCRACKING",$H370="RESID_HYDROCRACKING"),"Hydrocracker",IF($H370="REFORMING","Reformer",""))))</f>
        <v>CDU</v>
      </c>
      <c r="H370" s="6" t="s">
        <v>38</v>
      </c>
      <c r="I370" s="6" t="s">
        <v>553</v>
      </c>
      <c r="J370" s="6" t="s">
        <v>345</v>
      </c>
      <c r="K370" s="10">
        <v>32</v>
      </c>
      <c r="L370" s="10">
        <v>32</v>
      </c>
      <c r="M370" s="6" t="s">
        <v>386</v>
      </c>
    </row>
    <row r="371" spans="1:13">
      <c r="A371" s="6">
        <v>2023</v>
      </c>
      <c r="B371" s="6">
        <v>2</v>
      </c>
      <c r="C371" s="6" t="s">
        <v>60</v>
      </c>
      <c r="D371" s="6" t="s">
        <v>346</v>
      </c>
      <c r="E371" s="6" t="s">
        <v>383</v>
      </c>
      <c r="F371" s="6" t="str">
        <f>IF($M371="PADD I","PADD 1",IF($M371="PADD II","PADD 2",IF($M371="PADD III","PADD 3",IF($M371="PADD IV","PADD 4",IF($M371="PADD V","PADD 5","")))))</f>
        <v>PADD 2</v>
      </c>
      <c r="G371" s="6" t="str">
        <f>IF(AND($H371="ATMOS DISTILLATION",ISNUMBER(SEARCH("VPS",$I371))=FALSE,LEFT($I371,6)&lt;&gt;"VACUUM"),"CDU",IF($H371="FLUID CAT CRACKING","FCC",IF(OR($H371="HYDROCRACKING",$H371="RESID_HYDROCRACKING"),"Hydrocracker",IF($H371="REFORMING","Reformer",""))))</f>
        <v>Hydrocracker</v>
      </c>
      <c r="H371" s="6" t="s">
        <v>444</v>
      </c>
      <c r="I371" s="6" t="s">
        <v>463</v>
      </c>
      <c r="J371" s="6" t="s">
        <v>349</v>
      </c>
      <c r="K371" s="10">
        <v>32</v>
      </c>
      <c r="L371" s="10">
        <v>32</v>
      </c>
      <c r="M371" s="6" t="s">
        <v>375</v>
      </c>
    </row>
    <row r="372" spans="1:13">
      <c r="A372" s="6">
        <v>2023</v>
      </c>
      <c r="B372" s="6">
        <v>2</v>
      </c>
      <c r="C372" s="6" t="s">
        <v>60</v>
      </c>
      <c r="D372" s="6" t="s">
        <v>380</v>
      </c>
      <c r="E372" s="6" t="s">
        <v>381</v>
      </c>
      <c r="F372" s="6" t="str">
        <f>IF($M372="PADD I","PADD 1",IF($M372="PADD II","PADD 2",IF($M372="PADD III","PADD 3",IF($M372="PADD IV","PADD 4",IF($M372="PADD V","PADD 5","")))))</f>
        <v>PADD 3</v>
      </c>
      <c r="G372" s="6">
        <f>IF(AND($H372="ATMOS DISTILLATION",ISNUMBER(SEARCH("VPS",$I372))=FALSE,LEFT($I372,6)&lt;&gt;"VACUUM"),"CDU",IF($H372="FLUID CAT CRACKING","FCC",IF(OR($H372="HYDROCRACKING",$H372="RESID_HYDROCRACKING"),"Hydrocracker",IF($H372="REFORMING","Reformer",""))))</f>
        <v/>
      </c>
      <c r="H372" s="6" t="s">
        <v>435</v>
      </c>
      <c r="I372" s="6" t="s">
        <v>515</v>
      </c>
      <c r="J372" s="6" t="s">
        <v>345</v>
      </c>
      <c r="K372" s="10">
        <v>32</v>
      </c>
      <c r="L372" s="10">
        <v>32</v>
      </c>
      <c r="M372" s="6" t="s">
        <v>371</v>
      </c>
    </row>
    <row r="373" spans="1:13">
      <c r="A373" s="6">
        <v>2023</v>
      </c>
      <c r="B373" s="6">
        <v>2</v>
      </c>
      <c r="C373" s="6" t="s">
        <v>60</v>
      </c>
      <c r="D373" s="6" t="s">
        <v>531</v>
      </c>
      <c r="E373" s="6" t="s">
        <v>532</v>
      </c>
      <c r="F373" s="6" t="str">
        <f>IF($M373="PADD I","PADD 1",IF($M373="PADD II","PADD 2",IF($M373="PADD III","PADD 3",IF($M373="PADD IV","PADD 4",IF($M373="PADD V","PADD 5","")))))</f>
        <v>PADD 5</v>
      </c>
      <c r="G373" s="6" t="str">
        <f>IF(AND($H373="ATMOS DISTILLATION",ISNUMBER(SEARCH("VPS",$I373))=FALSE,LEFT($I373,6)&lt;&gt;"VACUUM"),"CDU",IF($H373="FLUID CAT CRACKING","FCC",IF(OR($H373="HYDROCRACKING",$H373="RESID_HYDROCRACKING"),"Hydrocracker",IF($H373="REFORMING","Reformer",""))))</f>
        <v>CDU</v>
      </c>
      <c r="H373" s="6" t="s">
        <v>38</v>
      </c>
      <c r="I373" s="6" t="s">
        <v>81</v>
      </c>
      <c r="J373" s="6" t="s">
        <v>345</v>
      </c>
      <c r="K373" s="10">
        <v>30.225</v>
      </c>
      <c r="L373" s="10">
        <v>77.5</v>
      </c>
      <c r="M373" s="6" t="s">
        <v>386</v>
      </c>
    </row>
    <row r="374" spans="1:13">
      <c r="A374" s="6">
        <v>2023</v>
      </c>
      <c r="B374" s="6">
        <v>2</v>
      </c>
      <c r="C374" s="6" t="s">
        <v>60</v>
      </c>
      <c r="D374" s="6" t="s">
        <v>372</v>
      </c>
      <c r="E374" s="6" t="s">
        <v>373</v>
      </c>
      <c r="F374" s="6" t="str">
        <f>IF($M374="PADD I","PADD 1",IF($M374="PADD II","PADD 2",IF($M374="PADD III","PADD 3",IF($M374="PADD IV","PADD 4",IF($M374="PADD V","PADD 5","")))))</f>
        <v>PADD 2</v>
      </c>
      <c r="G374" s="6">
        <f>IF(AND($H374="ATMOS DISTILLATION",ISNUMBER(SEARCH("VPS",$I374))=FALSE,LEFT($I374,6)&lt;&gt;"VACUUM"),"CDU",IF($H374="FLUID CAT CRACKING","FCC",IF(OR($H374="HYDROCRACKING",$H374="RESID_HYDROCRACKING"),"Hydrocracker",IF($H374="REFORMING","Reformer",""))))</f>
        <v/>
      </c>
      <c r="H374" s="6" t="s">
        <v>435</v>
      </c>
      <c r="I374" s="6" t="s">
        <v>467</v>
      </c>
      <c r="J374" s="6" t="s">
        <v>345</v>
      </c>
      <c r="K374" s="10">
        <v>30</v>
      </c>
      <c r="L374" s="10">
        <v>30</v>
      </c>
      <c r="M374" s="6" t="s">
        <v>375</v>
      </c>
    </row>
    <row r="375" spans="1:13">
      <c r="A375" s="6">
        <v>2023</v>
      </c>
      <c r="B375" s="6">
        <v>2</v>
      </c>
      <c r="C375" s="6" t="s">
        <v>60</v>
      </c>
      <c r="D375" s="6" t="s">
        <v>468</v>
      </c>
      <c r="E375" s="6" t="s">
        <v>369</v>
      </c>
      <c r="F375" s="6" t="str">
        <f>IF($M375="PADD I","PADD 1",IF($M375="PADD II","PADD 2",IF($M375="PADD III","PADD 3",IF($M375="PADD IV","PADD 4",IF($M375="PADD V","PADD 5","")))))</f>
        <v>PADD 3</v>
      </c>
      <c r="G375" s="6" t="str">
        <f>IF(AND($H375="ATMOS DISTILLATION",ISNUMBER(SEARCH("VPS",$I375))=FALSE,LEFT($I375,6)&lt;&gt;"VACUUM"),"CDU",IF($H375="FLUID CAT CRACKING","FCC",IF(OR($H375="HYDROCRACKING",$H375="RESID_HYDROCRACKING"),"Hydrocracker",IF($H375="REFORMING","Reformer",""))))</f>
        <v>FCC</v>
      </c>
      <c r="H375" s="6" t="s">
        <v>376</v>
      </c>
      <c r="I375" s="6" t="s">
        <v>469</v>
      </c>
      <c r="J375" s="6" t="s">
        <v>349</v>
      </c>
      <c r="K375" s="10">
        <v>30</v>
      </c>
      <c r="L375" s="10">
        <v>30</v>
      </c>
      <c r="M375" s="6" t="s">
        <v>371</v>
      </c>
    </row>
    <row r="376" spans="1:13">
      <c r="A376" s="6">
        <v>2023</v>
      </c>
      <c r="B376" s="6">
        <v>2</v>
      </c>
      <c r="C376" s="6" t="s">
        <v>60</v>
      </c>
      <c r="D376" s="6" t="s">
        <v>462</v>
      </c>
      <c r="E376" s="6" t="s">
        <v>438</v>
      </c>
      <c r="F376" s="6" t="str">
        <f>IF($M376="PADD I","PADD 1",IF($M376="PADD II","PADD 2",IF($M376="PADD III","PADD 3",IF($M376="PADD IV","PADD 4",IF($M376="PADD V","PADD 5","")))))</f>
        <v>PADD 4</v>
      </c>
      <c r="G376" s="6">
        <f>IF(AND($H376="ATMOS DISTILLATION",ISNUMBER(SEARCH("VPS",$I376))=FALSE,LEFT($I376,6)&lt;&gt;"VACUUM"),"CDU",IF($H376="FLUID CAT CRACKING","FCC",IF(OR($H376="HYDROCRACKING",$H376="RESID_HYDROCRACKING"),"Hydrocracker",IF($H376="REFORMING","Reformer",""))))</f>
        <v/>
      </c>
      <c r="H376" s="6" t="s">
        <v>43</v>
      </c>
      <c r="I376" s="6" t="s">
        <v>470</v>
      </c>
      <c r="J376" s="6" t="s">
        <v>345</v>
      </c>
      <c r="K376" s="10">
        <v>30</v>
      </c>
      <c r="L376" s="10">
        <v>30</v>
      </c>
      <c r="M376" s="6" t="s">
        <v>430</v>
      </c>
    </row>
    <row r="377" spans="1:13">
      <c r="A377" s="6">
        <v>2023</v>
      </c>
      <c r="B377" s="6">
        <v>2</v>
      </c>
      <c r="C377" s="6" t="s">
        <v>60</v>
      </c>
      <c r="D377" s="6" t="s">
        <v>346</v>
      </c>
      <c r="E377" s="6" t="s">
        <v>383</v>
      </c>
      <c r="F377" s="6" t="str">
        <f>IF($M377="PADD I","PADD 1",IF($M377="PADD II","PADD 2",IF($M377="PADD III","PADD 3",IF($M377="PADD IV","PADD 4",IF($M377="PADD V","PADD 5","")))))</f>
        <v>PADD 2</v>
      </c>
      <c r="G377" s="6" t="str">
        <f>IF(AND($H377="ATMOS DISTILLATION",ISNUMBER(SEARCH("VPS",$I377))=FALSE,LEFT($I377,6)&lt;&gt;"VACUUM"),"CDU",IF($H377="FLUID CAT CRACKING","FCC",IF(OR($H377="HYDROCRACKING",$H377="RESID_HYDROCRACKING"),"Hydrocracker",IF($H377="REFORMING","Reformer",""))))</f>
        <v>Reformer</v>
      </c>
      <c r="H377" s="6" t="s">
        <v>421</v>
      </c>
      <c r="I377" s="6" t="s">
        <v>471</v>
      </c>
      <c r="J377" s="6" t="s">
        <v>349</v>
      </c>
      <c r="K377" s="10">
        <v>30</v>
      </c>
      <c r="L377" s="10">
        <v>30</v>
      </c>
      <c r="M377" s="6" t="s">
        <v>375</v>
      </c>
    </row>
    <row r="378" spans="1:13">
      <c r="A378" s="6">
        <v>2023</v>
      </c>
      <c r="B378" s="6">
        <v>2</v>
      </c>
      <c r="C378" s="6" t="s">
        <v>60</v>
      </c>
      <c r="D378" s="6" t="s">
        <v>518</v>
      </c>
      <c r="E378" s="6" t="s">
        <v>369</v>
      </c>
      <c r="F378" s="6" t="str">
        <f>IF($M378="PADD I","PADD 1",IF($M378="PADD II","PADD 2",IF($M378="PADD III","PADD 3",IF($M378="PADD IV","PADD 4",IF($M378="PADD V","PADD 5","")))))</f>
        <v>PADD 5</v>
      </c>
      <c r="G378" s="6">
        <f>IF(AND($H378="ATMOS DISTILLATION",ISNUMBER(SEARCH("VPS",$I378))=FALSE,LEFT($I378,6)&lt;&gt;"VACUUM"),"CDU",IF($H378="FLUID CAT CRACKING","FCC",IF(OR($H378="HYDROCRACKING",$H378="RESID_HYDROCRACKING"),"Hydrocracker",IF($H378="REFORMING","Reformer",""))))</f>
        <v/>
      </c>
      <c r="H378" s="6" t="s">
        <v>378</v>
      </c>
      <c r="I378" s="6" t="s">
        <v>431</v>
      </c>
      <c r="J378" s="6" t="s">
        <v>345</v>
      </c>
      <c r="K378" s="10">
        <v>30</v>
      </c>
      <c r="L378" s="10">
        <v>30</v>
      </c>
      <c r="M378" s="6" t="s">
        <v>386</v>
      </c>
    </row>
    <row r="379" spans="1:13">
      <c r="A379" s="6">
        <v>2023</v>
      </c>
      <c r="B379" s="6">
        <v>2</v>
      </c>
      <c r="C379" s="6" t="s">
        <v>60</v>
      </c>
      <c r="D379" s="6" t="s">
        <v>415</v>
      </c>
      <c r="E379" s="6" t="s">
        <v>416</v>
      </c>
      <c r="F379" s="6" t="str">
        <f>IF($M379="PADD I","PADD 1",IF($M379="PADD II","PADD 2",IF($M379="PADD III","PADD 3",IF($M379="PADD IV","PADD 4",IF($M379="PADD V","PADD 5","")))))</f>
        <v>PADD 3</v>
      </c>
      <c r="G379" s="6" t="str">
        <f>IF(AND($H379="ATMOS DISTILLATION",ISNUMBER(SEARCH("VPS",$I379))=FALSE,LEFT($I379,6)&lt;&gt;"VACUUM"),"CDU",IF($H379="FLUID CAT CRACKING","FCC",IF(OR($H379="HYDROCRACKING",$H379="RESID_HYDROCRACKING"),"Hydrocracker",IF($H379="REFORMING","Reformer",""))))</f>
        <v>Reformer</v>
      </c>
      <c r="H379" s="6" t="s">
        <v>421</v>
      </c>
      <c r="I379" s="6" t="s">
        <v>648</v>
      </c>
      <c r="J379" s="6" t="s">
        <v>349</v>
      </c>
      <c r="K379" s="10">
        <v>30</v>
      </c>
      <c r="L379" s="10">
        <v>30</v>
      </c>
      <c r="M379" s="6" t="s">
        <v>371</v>
      </c>
    </row>
    <row r="380" spans="1:13">
      <c r="A380" s="6">
        <v>2023</v>
      </c>
      <c r="B380" s="6">
        <v>2</v>
      </c>
      <c r="C380" s="6" t="s">
        <v>60</v>
      </c>
      <c r="D380" s="6" t="s">
        <v>335</v>
      </c>
      <c r="E380" s="6" t="s">
        <v>369</v>
      </c>
      <c r="F380" s="6" t="str">
        <f>IF($M380="PADD I","PADD 1",IF($M380="PADD II","PADD 2",IF($M380="PADD III","PADD 3",IF($M380="PADD IV","PADD 4",IF($M380="PADD V","PADD 5","")))))</f>
        <v>PADD 3</v>
      </c>
      <c r="G380" s="6" t="str">
        <f>IF(AND($H380="ATMOS DISTILLATION",ISNUMBER(SEARCH("VPS",$I380))=FALSE,LEFT($I380,6)&lt;&gt;"VACUUM"),"CDU",IF($H380="FLUID CAT CRACKING","FCC",IF(OR($H380="HYDROCRACKING",$H380="RESID_HYDROCRACKING"),"Hydrocracker",IF($H380="REFORMING","Reformer",""))))</f>
        <v>FCC</v>
      </c>
      <c r="H380" s="6" t="s">
        <v>376</v>
      </c>
      <c r="I380" s="6" t="s">
        <v>472</v>
      </c>
      <c r="J380" s="6" t="s">
        <v>349</v>
      </c>
      <c r="K380" s="10">
        <v>30</v>
      </c>
      <c r="L380" s="10">
        <v>30</v>
      </c>
      <c r="M380" s="6" t="s">
        <v>371</v>
      </c>
    </row>
    <row r="381" spans="1:13">
      <c r="A381" s="6">
        <v>2023</v>
      </c>
      <c r="B381" s="6">
        <v>2</v>
      </c>
      <c r="C381" s="6" t="s">
        <v>60</v>
      </c>
      <c r="D381" s="6" t="s">
        <v>335</v>
      </c>
      <c r="E381" s="6" t="s">
        <v>369</v>
      </c>
      <c r="F381" s="6" t="str">
        <f>IF($M381="PADD I","PADD 1",IF($M381="PADD II","PADD 2",IF($M381="PADD III","PADD 3",IF($M381="PADD IV","PADD 4",IF($M381="PADD V","PADD 5","")))))</f>
        <v>PADD 3</v>
      </c>
      <c r="G381" s="6" t="str">
        <f>IF(AND($H381="ATMOS DISTILLATION",ISNUMBER(SEARCH("VPS",$I381))=FALSE,LEFT($I381,6)&lt;&gt;"VACUUM"),"CDU",IF($H381="FLUID CAT CRACKING","FCC",IF(OR($H381="HYDROCRACKING",$H381="RESID_HYDROCRACKING"),"Hydrocracker",IF($H381="REFORMING","Reformer",""))))</f>
        <v>FCC</v>
      </c>
      <c r="H381" s="6" t="s">
        <v>376</v>
      </c>
      <c r="I381" s="6" t="s">
        <v>472</v>
      </c>
      <c r="J381" s="6" t="s">
        <v>345</v>
      </c>
      <c r="K381" s="10">
        <v>30</v>
      </c>
      <c r="L381" s="10">
        <v>30</v>
      </c>
      <c r="M381" s="6" t="s">
        <v>371</v>
      </c>
    </row>
    <row r="382" spans="1:13">
      <c r="A382" s="6">
        <v>2023</v>
      </c>
      <c r="B382" s="6">
        <v>2</v>
      </c>
      <c r="C382" s="6" t="s">
        <v>60</v>
      </c>
      <c r="D382" s="6" t="s">
        <v>468</v>
      </c>
      <c r="E382" s="6" t="s">
        <v>369</v>
      </c>
      <c r="F382" s="6" t="str">
        <f>IF($M382="PADD I","PADD 1",IF($M382="PADD II","PADD 2",IF($M382="PADD III","PADD 3",IF($M382="PADD IV","PADD 4",IF($M382="PADD V","PADD 5","")))))</f>
        <v>PADD 3</v>
      </c>
      <c r="G382" s="6" t="str">
        <f>IF(AND($H382="ATMOS DISTILLATION",ISNUMBER(SEARCH("VPS",$I382))=FALSE,LEFT($I382,6)&lt;&gt;"VACUUM"),"CDU",IF($H382="FLUID CAT CRACKING","FCC",IF(OR($H382="HYDROCRACKING",$H382="RESID_HYDROCRACKING"),"Hydrocracker",IF($H382="REFORMING","Reformer",""))))</f>
        <v>FCC</v>
      </c>
      <c r="H382" s="6" t="s">
        <v>376</v>
      </c>
      <c r="I382" s="6" t="s">
        <v>473</v>
      </c>
      <c r="J382" s="6" t="s">
        <v>345</v>
      </c>
      <c r="K382" s="10">
        <v>30</v>
      </c>
      <c r="L382" s="10">
        <v>30</v>
      </c>
      <c r="M382" s="6" t="s">
        <v>371</v>
      </c>
    </row>
    <row r="383" spans="1:13">
      <c r="A383" s="6">
        <v>2023</v>
      </c>
      <c r="B383" s="6">
        <v>2</v>
      </c>
      <c r="C383" s="6" t="s">
        <v>60</v>
      </c>
      <c r="D383" s="6" t="s">
        <v>462</v>
      </c>
      <c r="E383" s="6" t="s">
        <v>438</v>
      </c>
      <c r="F383" s="6" t="str">
        <f>IF($M383="PADD I","PADD 1",IF($M383="PADD II","PADD 2",IF($M383="PADD III","PADD 3",IF($M383="PADD IV","PADD 4",IF($M383="PADD V","PADD 5","")))))</f>
        <v>PADD 4</v>
      </c>
      <c r="G383" s="6" t="str">
        <f>IF(AND($H383="ATMOS DISTILLATION",ISNUMBER(SEARCH("VPS",$I383))=FALSE,LEFT($I383,6)&lt;&gt;"VACUUM"),"CDU",IF($H383="FLUID CAT CRACKING","FCC",IF(OR($H383="HYDROCRACKING",$H383="RESID_HYDROCRACKING"),"Hydrocracker",IF($H383="REFORMING","Reformer",""))))</f>
        <v>FCC</v>
      </c>
      <c r="H383" s="6" t="s">
        <v>376</v>
      </c>
      <c r="I383" s="6" t="s">
        <v>105</v>
      </c>
      <c r="J383" s="6" t="s">
        <v>345</v>
      </c>
      <c r="K383" s="10">
        <v>28.3</v>
      </c>
      <c r="L383" s="10">
        <v>28.3</v>
      </c>
      <c r="M383" s="6" t="s">
        <v>430</v>
      </c>
    </row>
    <row r="384" spans="1:13">
      <c r="A384" s="6">
        <v>2023</v>
      </c>
      <c r="B384" s="6">
        <v>2</v>
      </c>
      <c r="C384" s="6" t="s">
        <v>60</v>
      </c>
      <c r="D384" s="6" t="s">
        <v>437</v>
      </c>
      <c r="E384" s="6" t="s">
        <v>438</v>
      </c>
      <c r="F384" s="6" t="str">
        <f>IF($M384="PADD I","PADD 1",IF($M384="PADD II","PADD 2",IF($M384="PADD III","PADD 3",IF($M384="PADD IV","PADD 4",IF($M384="PADD V","PADD 5","")))))</f>
        <v>PADD 4</v>
      </c>
      <c r="G384" s="6" t="str">
        <f>IF(AND($H384="ATMOS DISTILLATION",ISNUMBER(SEARCH("VPS",$I384))=FALSE,LEFT($I384,6)&lt;&gt;"VACUUM"),"CDU",IF($H384="FLUID CAT CRACKING","FCC",IF(OR($H384="HYDROCRACKING",$H384="RESID_HYDROCRACKING"),"Hydrocracker",IF($H384="REFORMING","Reformer",""))))</f>
        <v>CDU</v>
      </c>
      <c r="H384" s="6" t="s">
        <v>38</v>
      </c>
      <c r="I384" s="6" t="s">
        <v>330</v>
      </c>
      <c r="J384" s="6" t="s">
        <v>345</v>
      </c>
      <c r="K384" s="10">
        <v>28</v>
      </c>
      <c r="L384" s="10">
        <v>28</v>
      </c>
      <c r="M384" s="6" t="s">
        <v>430</v>
      </c>
    </row>
    <row r="385" spans="1:13">
      <c r="A385" s="6">
        <v>2023</v>
      </c>
      <c r="B385" s="6">
        <v>2</v>
      </c>
      <c r="C385" s="6" t="s">
        <v>60</v>
      </c>
      <c r="D385" s="6" t="s">
        <v>518</v>
      </c>
      <c r="E385" s="6" t="s">
        <v>369</v>
      </c>
      <c r="F385" s="6" t="str">
        <f>IF($M385="PADD I","PADD 1",IF($M385="PADD II","PADD 2",IF($M385="PADD III","PADD 3",IF($M385="PADD IV","PADD 4",IF($M385="PADD V","PADD 5","")))))</f>
        <v>PADD 5</v>
      </c>
      <c r="G385" s="6">
        <f>IF(AND($H385="ATMOS DISTILLATION",ISNUMBER(SEARCH("VPS",$I385))=FALSE,LEFT($I385,6)&lt;&gt;"VACUUM"),"CDU",IF($H385="FLUID CAT CRACKING","FCC",IF(OR($H385="HYDROCRACKING",$H385="RESID_HYDROCRACKING"),"Hydrocracker",IF($H385="REFORMING","Reformer",""))))</f>
        <v/>
      </c>
      <c r="H385" s="6" t="s">
        <v>43</v>
      </c>
      <c r="I385" s="6" t="s">
        <v>570</v>
      </c>
      <c r="J385" s="6" t="s">
        <v>345</v>
      </c>
      <c r="K385" s="10">
        <v>28</v>
      </c>
      <c r="L385" s="10">
        <v>28</v>
      </c>
      <c r="M385" s="6" t="s">
        <v>386</v>
      </c>
    </row>
    <row r="386" spans="1:13">
      <c r="A386" s="6">
        <v>2023</v>
      </c>
      <c r="B386" s="6">
        <v>2</v>
      </c>
      <c r="C386" s="6" t="s">
        <v>60</v>
      </c>
      <c r="D386" s="6" t="s">
        <v>457</v>
      </c>
      <c r="E386" s="6" t="s">
        <v>388</v>
      </c>
      <c r="F386" s="6" t="str">
        <f>IF($M386="PADD I","PADD 1",IF($M386="PADD II","PADD 2",IF($M386="PADD III","PADD 3",IF($M386="PADD IV","PADD 4",IF($M386="PADD V","PADD 5","")))))</f>
        <v>PADD 5</v>
      </c>
      <c r="G386" s="6" t="str">
        <f>IF(AND($H386="ATMOS DISTILLATION",ISNUMBER(SEARCH("VPS",$I386))=FALSE,LEFT($I386,6)&lt;&gt;"VACUUM"),"CDU",IF($H386="FLUID CAT CRACKING","FCC",IF(OR($H386="HYDROCRACKING",$H386="RESID_HYDROCRACKING"),"Hydrocracker",IF($H386="REFORMING","Reformer",""))))</f>
        <v>Hydrocracker</v>
      </c>
      <c r="H386" s="6" t="s">
        <v>444</v>
      </c>
      <c r="I386" s="6" t="s">
        <v>14</v>
      </c>
      <c r="J386" s="6" t="s">
        <v>345</v>
      </c>
      <c r="K386" s="10">
        <v>27.5</v>
      </c>
      <c r="L386" s="10">
        <v>55</v>
      </c>
      <c r="M386" s="6" t="s">
        <v>386</v>
      </c>
    </row>
    <row r="387" spans="1:13">
      <c r="A387" s="6">
        <v>2023</v>
      </c>
      <c r="B387" s="6">
        <v>2</v>
      </c>
      <c r="C387" s="6" t="s">
        <v>60</v>
      </c>
      <c r="D387" s="6" t="s">
        <v>526</v>
      </c>
      <c r="E387" s="6" t="s">
        <v>405</v>
      </c>
      <c r="F387" s="6" t="str">
        <f>IF($M387="PADD I","PADD 1",IF($M387="PADD II","PADD 2",IF($M387="PADD III","PADD 3",IF($M387="PADD IV","PADD 4",IF($M387="PADD V","PADD 5","")))))</f>
        <v>PADD 3</v>
      </c>
      <c r="G387" s="6">
        <f>IF(AND($H387="ATMOS DISTILLATION",ISNUMBER(SEARCH("VPS",$I387))=FALSE,LEFT($I387,6)&lt;&gt;"VACUUM"),"CDU",IF($H387="FLUID CAT CRACKING","FCC",IF(OR($H387="HYDROCRACKING",$H387="RESID_HYDROCRACKING"),"Hydrocracker",IF($H387="REFORMING","Reformer",""))))</f>
        <v/>
      </c>
      <c r="H387" s="6" t="s">
        <v>378</v>
      </c>
      <c r="I387" s="6" t="s">
        <v>649</v>
      </c>
      <c r="J387" s="6" t="s">
        <v>345</v>
      </c>
      <c r="K387" s="10">
        <v>27.36</v>
      </c>
      <c r="L387" s="10">
        <v>48</v>
      </c>
      <c r="M387" s="6" t="s">
        <v>371</v>
      </c>
    </row>
    <row r="388" spans="1:13">
      <c r="A388" s="6">
        <v>2023</v>
      </c>
      <c r="B388" s="6">
        <v>2</v>
      </c>
      <c r="C388" s="6" t="s">
        <v>60</v>
      </c>
      <c r="D388" s="6" t="s">
        <v>329</v>
      </c>
      <c r="E388" s="6" t="s">
        <v>427</v>
      </c>
      <c r="F388" s="6" t="str">
        <f>IF($M388="PADD I","PADD 1",IF($M388="PADD II","PADD 2",IF($M388="PADD III","PADD 3",IF($M388="PADD IV","PADD 4",IF($M388="PADD V","PADD 5","")))))</f>
        <v>PADD 3</v>
      </c>
      <c r="G388" s="6">
        <f>IF(AND($H388="ATMOS DISTILLATION",ISNUMBER(SEARCH("VPS",$I388))=FALSE,LEFT($I388,6)&lt;&gt;"VACUUM"),"CDU",IF($H388="FLUID CAT CRACKING","FCC",IF(OR($H388="HYDROCRACKING",$H388="RESID_HYDROCRACKING"),"Hydrocracker",IF($H388="REFORMING","Reformer",""))))</f>
        <v/>
      </c>
      <c r="H388" s="6" t="s">
        <v>43</v>
      </c>
      <c r="I388" s="6" t="s">
        <v>562</v>
      </c>
      <c r="J388" s="6" t="s">
        <v>345</v>
      </c>
      <c r="K388" s="10">
        <v>27</v>
      </c>
      <c r="L388" s="10">
        <v>27</v>
      </c>
      <c r="M388" s="6" t="s">
        <v>371</v>
      </c>
    </row>
    <row r="389" spans="1:13">
      <c r="A389" s="6">
        <v>2023</v>
      </c>
      <c r="B389" s="6">
        <v>2</v>
      </c>
      <c r="C389" s="6" t="s">
        <v>60</v>
      </c>
      <c r="D389" s="6" t="s">
        <v>518</v>
      </c>
      <c r="E389" s="6" t="s">
        <v>369</v>
      </c>
      <c r="F389" s="6" t="str">
        <f>IF($M389="PADD I","PADD 1",IF($M389="PADD II","PADD 2",IF($M389="PADD III","PADD 3",IF($M389="PADD IV","PADD 4",IF($M389="PADD V","PADD 5","")))))</f>
        <v>PADD 5</v>
      </c>
      <c r="G389" s="6">
        <f>IF(AND($H389="ATMOS DISTILLATION",ISNUMBER(SEARCH("VPS",$I389))=FALSE,LEFT($I389,6)&lt;&gt;"VACUUM"),"CDU",IF($H389="FLUID CAT CRACKING","FCC",IF(OR($H389="HYDROCRACKING",$H389="RESID_HYDROCRACKING"),"Hydrocracker",IF($H389="REFORMING","Reformer",""))))</f>
        <v/>
      </c>
      <c r="H389" s="6" t="s">
        <v>435</v>
      </c>
      <c r="I389" s="6" t="s">
        <v>578</v>
      </c>
      <c r="J389" s="6" t="s">
        <v>345</v>
      </c>
      <c r="K389" s="10">
        <v>26</v>
      </c>
      <c r="L389" s="10">
        <v>26</v>
      </c>
      <c r="M389" s="6" t="s">
        <v>386</v>
      </c>
    </row>
    <row r="390" spans="1:13">
      <c r="A390" s="6">
        <v>2023</v>
      </c>
      <c r="B390" s="6">
        <v>2</v>
      </c>
      <c r="C390" s="6" t="s">
        <v>60</v>
      </c>
      <c r="D390" s="6" t="s">
        <v>511</v>
      </c>
      <c r="E390" s="6" t="s">
        <v>405</v>
      </c>
      <c r="F390" s="6" t="str">
        <f>IF($M390="PADD I","PADD 1",IF($M390="PADD II","PADD 2",IF($M390="PADD III","PADD 3",IF($M390="PADD IV","PADD 4",IF($M390="PADD V","PADD 5","")))))</f>
        <v>PADD 3</v>
      </c>
      <c r="G390" s="6">
        <f>IF(AND($H390="ATMOS DISTILLATION",ISNUMBER(SEARCH("VPS",$I390))=FALSE,LEFT($I390,6)&lt;&gt;"VACUUM"),"CDU",IF($H390="FLUID CAT CRACKING","FCC",IF(OR($H390="HYDROCRACKING",$H390="RESID_HYDROCRACKING"),"Hydrocracker",IF($H390="REFORMING","Reformer",""))))</f>
        <v/>
      </c>
      <c r="H390" s="6" t="s">
        <v>43</v>
      </c>
      <c r="I390" s="6" t="s">
        <v>605</v>
      </c>
      <c r="J390" s="6" t="s">
        <v>349</v>
      </c>
      <c r="K390" s="10">
        <v>25</v>
      </c>
      <c r="L390" s="10">
        <v>25</v>
      </c>
      <c r="M390" s="6" t="s">
        <v>371</v>
      </c>
    </row>
    <row r="391" spans="1:13">
      <c r="A391" s="6">
        <v>2023</v>
      </c>
      <c r="B391" s="6">
        <v>2</v>
      </c>
      <c r="C391" s="6" t="s">
        <v>60</v>
      </c>
      <c r="D391" s="6" t="s">
        <v>372</v>
      </c>
      <c r="E391" s="6" t="s">
        <v>373</v>
      </c>
      <c r="F391" s="6" t="str">
        <f>IF($M391="PADD I","PADD 1",IF($M391="PADD II","PADD 2",IF($M391="PADD III","PADD 3",IF($M391="PADD IV","PADD 4",IF($M391="PADD V","PADD 5","")))))</f>
        <v>PADD 2</v>
      </c>
      <c r="G391" s="6">
        <f>IF(AND($H391="ATMOS DISTILLATION",ISNUMBER(SEARCH("VPS",$I391))=FALSE,LEFT($I391,6)&lt;&gt;"VACUUM"),"CDU",IF($H391="FLUID CAT CRACKING","FCC",IF(OR($H391="HYDROCRACKING",$H391="RESID_HYDROCRACKING"),"Hydrocracker",IF($H391="REFORMING","Reformer",""))))</f>
        <v/>
      </c>
      <c r="H391" s="6" t="s">
        <v>43</v>
      </c>
      <c r="I391" s="6" t="s">
        <v>479</v>
      </c>
      <c r="J391" s="6" t="s">
        <v>345</v>
      </c>
      <c r="K391" s="10">
        <v>25</v>
      </c>
      <c r="L391" s="10">
        <v>25</v>
      </c>
      <c r="M391" s="6" t="s">
        <v>375</v>
      </c>
    </row>
    <row r="392" spans="1:13">
      <c r="A392" s="6">
        <v>2023</v>
      </c>
      <c r="B392" s="6">
        <v>2</v>
      </c>
      <c r="C392" s="6" t="s">
        <v>60</v>
      </c>
      <c r="D392" s="6" t="s">
        <v>372</v>
      </c>
      <c r="E392" s="6" t="s">
        <v>373</v>
      </c>
      <c r="F392" s="6" t="str">
        <f>IF($M392="PADD I","PADD 1",IF($M392="PADD II","PADD 2",IF($M392="PADD III","PADD 3",IF($M392="PADD IV","PADD 4",IF($M392="PADD V","PADD 5","")))))</f>
        <v>PADD 2</v>
      </c>
      <c r="G392" s="6">
        <f>IF(AND($H392="ATMOS DISTILLATION",ISNUMBER(SEARCH("VPS",$I392))=FALSE,LEFT($I392,6)&lt;&gt;"VACUUM"),"CDU",IF($H392="FLUID CAT CRACKING","FCC",IF(OR($H392="HYDROCRACKING",$H392="RESID_HYDROCRACKING"),"Hydrocracker",IF($H392="REFORMING","Reformer",""))))</f>
        <v/>
      </c>
      <c r="H392" s="6" t="s">
        <v>43</v>
      </c>
      <c r="I392" s="6" t="s">
        <v>480</v>
      </c>
      <c r="J392" s="6" t="s">
        <v>345</v>
      </c>
      <c r="K392" s="10">
        <v>25</v>
      </c>
      <c r="L392" s="10">
        <v>25</v>
      </c>
      <c r="M392" s="6" t="s">
        <v>375</v>
      </c>
    </row>
    <row r="393" spans="1:13">
      <c r="A393" s="6">
        <v>2023</v>
      </c>
      <c r="B393" s="6">
        <v>2</v>
      </c>
      <c r="C393" s="6" t="s">
        <v>60</v>
      </c>
      <c r="D393" s="6" t="s">
        <v>518</v>
      </c>
      <c r="E393" s="6" t="s">
        <v>369</v>
      </c>
      <c r="F393" s="6" t="str">
        <f>IF($M393="PADD I","PADD 1",IF($M393="PADD II","PADD 2",IF($M393="PADD III","PADD 3",IF($M393="PADD IV","PADD 4",IF($M393="PADD V","PADD 5","")))))</f>
        <v>PADD 5</v>
      </c>
      <c r="G393" s="6">
        <f>IF(AND($H393="ATMOS DISTILLATION",ISNUMBER(SEARCH("VPS",$I393))=FALSE,LEFT($I393,6)&lt;&gt;"VACUUM"),"CDU",IF($H393="FLUID CAT CRACKING","FCC",IF(OR($H393="HYDROCRACKING",$H393="RESID_HYDROCRACKING"),"Hydrocracker",IF($H393="REFORMING","Reformer",""))))</f>
        <v/>
      </c>
      <c r="H393" s="6" t="s">
        <v>43</v>
      </c>
      <c r="I393" s="6" t="s">
        <v>579</v>
      </c>
      <c r="J393" s="6" t="s">
        <v>345</v>
      </c>
      <c r="K393" s="10">
        <v>25</v>
      </c>
      <c r="L393" s="10">
        <v>25</v>
      </c>
      <c r="M393" s="6" t="s">
        <v>386</v>
      </c>
    </row>
    <row r="394" spans="1:13">
      <c r="A394" s="6">
        <v>2023</v>
      </c>
      <c r="B394" s="6">
        <v>2</v>
      </c>
      <c r="C394" s="6" t="s">
        <v>60</v>
      </c>
      <c r="D394" s="6" t="s">
        <v>526</v>
      </c>
      <c r="E394" s="6" t="s">
        <v>405</v>
      </c>
      <c r="F394" s="6" t="str">
        <f>IF($M394="PADD I","PADD 1",IF($M394="PADD II","PADD 2",IF($M394="PADD III","PADD 3",IF($M394="PADD IV","PADD 4",IF($M394="PADD V","PADD 5","")))))</f>
        <v>PADD 3</v>
      </c>
      <c r="G394" s="6" t="str">
        <f>IF(AND($H394="ATMOS DISTILLATION",ISNUMBER(SEARCH("VPS",$I394))=FALSE,LEFT($I394,6)&lt;&gt;"VACUUM"),"CDU",IF($H394="FLUID CAT CRACKING","FCC",IF(OR($H394="HYDROCRACKING",$H394="RESID_HYDROCRACKING"),"Hydrocracker",IF($H394="REFORMING","Reformer",""))))</f>
        <v>Hydrocracker</v>
      </c>
      <c r="H394" s="6" t="s">
        <v>444</v>
      </c>
      <c r="I394" s="6" t="s">
        <v>351</v>
      </c>
      <c r="J394" s="6" t="s">
        <v>349</v>
      </c>
      <c r="K394" s="10">
        <v>24.3</v>
      </c>
      <c r="L394" s="10">
        <v>45</v>
      </c>
      <c r="M394" s="6" t="s">
        <v>371</v>
      </c>
    </row>
    <row r="395" spans="1:13">
      <c r="A395" s="6">
        <v>2023</v>
      </c>
      <c r="B395" s="6">
        <v>2</v>
      </c>
      <c r="C395" s="6" t="s">
        <v>60</v>
      </c>
      <c r="D395" s="6" t="s">
        <v>420</v>
      </c>
      <c r="E395" s="6" t="s">
        <v>373</v>
      </c>
      <c r="F395" s="6" t="str">
        <f>IF($M395="PADD I","PADD 1",IF($M395="PADD II","PADD 2",IF($M395="PADD III","PADD 3",IF($M395="PADD IV","PADD 4",IF($M395="PADD V","PADD 5","")))))</f>
        <v>PADD 2</v>
      </c>
      <c r="G395" s="6" t="str">
        <f>IF(AND($H395="ATMOS DISTILLATION",ISNUMBER(SEARCH("VPS",$I395))=FALSE,LEFT($I395,6)&lt;&gt;"VACUUM"),"CDU",IF($H395="FLUID CAT CRACKING","FCC",IF(OR($H395="HYDROCRACKING",$H395="RESID_HYDROCRACKING"),"Hydrocracker",IF($H395="REFORMING","Reformer",""))))</f>
        <v>CDU</v>
      </c>
      <c r="H395" s="6" t="s">
        <v>38</v>
      </c>
      <c r="I395" s="6" t="s">
        <v>81</v>
      </c>
      <c r="J395" s="6" t="s">
        <v>345</v>
      </c>
      <c r="K395" s="10">
        <v>24.3</v>
      </c>
      <c r="L395" s="10">
        <v>45</v>
      </c>
      <c r="M395" s="6" t="s">
        <v>375</v>
      </c>
    </row>
    <row r="396" spans="1:13">
      <c r="A396" s="6">
        <v>2023</v>
      </c>
      <c r="B396" s="6">
        <v>2</v>
      </c>
      <c r="C396" s="6" t="s">
        <v>60</v>
      </c>
      <c r="D396" s="6" t="s">
        <v>526</v>
      </c>
      <c r="E396" s="6" t="s">
        <v>405</v>
      </c>
      <c r="F396" s="6" t="str">
        <f>IF($M396="PADD I","PADD 1",IF($M396="PADD II","PADD 2",IF($M396="PADD III","PADD 3",IF($M396="PADD IV","PADD 4",IF($M396="PADD V","PADD 5","")))))</f>
        <v>PADD 3</v>
      </c>
      <c r="G396" s="6" t="str">
        <f>IF(AND($H396="ATMOS DISTILLATION",ISNUMBER(SEARCH("VPS",$I396))=FALSE,LEFT($I396,6)&lt;&gt;"VACUUM"),"CDU",IF($H396="FLUID CAT CRACKING","FCC",IF(OR($H396="HYDROCRACKING",$H396="RESID_HYDROCRACKING"),"Hydrocracker",IF($H396="REFORMING","Reformer",""))))</f>
        <v>Hydrocracker</v>
      </c>
      <c r="H396" s="6" t="s">
        <v>444</v>
      </c>
      <c r="I396" s="6" t="s">
        <v>527</v>
      </c>
      <c r="J396" s="6" t="s">
        <v>345</v>
      </c>
      <c r="K396" s="10">
        <v>24.3</v>
      </c>
      <c r="L396" s="10">
        <v>45</v>
      </c>
      <c r="M396" s="6" t="s">
        <v>371</v>
      </c>
    </row>
    <row r="397" spans="1:13">
      <c r="A397" s="6">
        <v>2023</v>
      </c>
      <c r="B397" s="6">
        <v>2</v>
      </c>
      <c r="C397" s="6" t="s">
        <v>60</v>
      </c>
      <c r="D397" s="6" t="s">
        <v>518</v>
      </c>
      <c r="E397" s="6" t="s">
        <v>369</v>
      </c>
      <c r="F397" s="6" t="str">
        <f>IF($M397="PADD I","PADD 1",IF($M397="PADD II","PADD 2",IF($M397="PADD III","PADD 3",IF($M397="PADD IV","PADD 4",IF($M397="PADD V","PADD 5","")))))</f>
        <v>PADD 5</v>
      </c>
      <c r="G397" s="6" t="str">
        <f>IF(AND($H397="ATMOS DISTILLATION",ISNUMBER(SEARCH("VPS",$I397))=FALSE,LEFT($I397,6)&lt;&gt;"VACUUM"),"CDU",IF($H397="FLUID CAT CRACKING","FCC",IF(OR($H397="HYDROCRACKING",$H397="RESID_HYDROCRACKING"),"Hydrocracker",IF($H397="REFORMING","Reformer",""))))</f>
        <v>Hydrocracker</v>
      </c>
      <c r="H397" s="6" t="s">
        <v>581</v>
      </c>
      <c r="I397" s="6" t="s">
        <v>582</v>
      </c>
      <c r="J397" s="6" t="s">
        <v>345</v>
      </c>
      <c r="K397" s="10">
        <v>23</v>
      </c>
      <c r="L397" s="10">
        <v>23</v>
      </c>
      <c r="M397" s="6" t="s">
        <v>386</v>
      </c>
    </row>
    <row r="398" spans="1:13">
      <c r="A398" s="6">
        <v>2023</v>
      </c>
      <c r="B398" s="6">
        <v>2</v>
      </c>
      <c r="C398" s="6" t="s">
        <v>60</v>
      </c>
      <c r="D398" s="6" t="s">
        <v>446</v>
      </c>
      <c r="E398" s="6" t="s">
        <v>391</v>
      </c>
      <c r="F398" s="6" t="str">
        <f>IF($M398="PADD I","PADD 1",IF($M398="PADD II","PADD 2",IF($M398="PADD III","PADD 3",IF($M398="PADD IV","PADD 4",IF($M398="PADD V","PADD 5","")))))</f>
        <v>PADD 3</v>
      </c>
      <c r="G398" s="6" t="str">
        <f>IF(AND($H398="ATMOS DISTILLATION",ISNUMBER(SEARCH("VPS",$I398))=FALSE,LEFT($I398,6)&lt;&gt;"VACUUM"),"CDU",IF($H398="FLUID CAT CRACKING","FCC",IF(OR($H398="HYDROCRACKING",$H398="RESID_HYDROCRACKING"),"Hydrocracker",IF($H398="REFORMING","Reformer",""))))</f>
        <v>Reformer</v>
      </c>
      <c r="H398" s="6" t="s">
        <v>421</v>
      </c>
      <c r="I398" s="6" t="s">
        <v>483</v>
      </c>
      <c r="J398" s="6" t="s">
        <v>345</v>
      </c>
      <c r="K398" s="10">
        <v>23</v>
      </c>
      <c r="L398" s="10">
        <v>23</v>
      </c>
      <c r="M398" s="6" t="s">
        <v>371</v>
      </c>
    </row>
    <row r="399" spans="1:13">
      <c r="A399" s="6">
        <v>2023</v>
      </c>
      <c r="B399" s="6">
        <v>2</v>
      </c>
      <c r="C399" s="6" t="s">
        <v>60</v>
      </c>
      <c r="D399" s="6" t="s">
        <v>333</v>
      </c>
      <c r="E399" s="6" t="s">
        <v>381</v>
      </c>
      <c r="F399" s="6" t="str">
        <f>IF($M399="PADD I","PADD 1",IF($M399="PADD II","PADD 2",IF($M399="PADD III","PADD 3",IF($M399="PADD IV","PADD 4",IF($M399="PADD V","PADD 5","")))))</f>
        <v>PADD 3</v>
      </c>
      <c r="G399" s="6" t="str">
        <f>IF(AND($H399="ATMOS DISTILLATION",ISNUMBER(SEARCH("VPS",$I399))=FALSE,LEFT($I399,6)&lt;&gt;"VACUUM"),"CDU",IF($H399="FLUID CAT CRACKING","FCC",IF(OR($H399="HYDROCRACKING",$H399="RESID_HYDROCRACKING"),"Hydrocracker",IF($H399="REFORMING","Reformer",""))))</f>
        <v>CDU</v>
      </c>
      <c r="H399" s="6" t="s">
        <v>38</v>
      </c>
      <c r="I399" s="6" t="s">
        <v>650</v>
      </c>
      <c r="J399" s="6" t="s">
        <v>345</v>
      </c>
      <c r="K399" s="10">
        <v>22.5</v>
      </c>
      <c r="L399" s="10">
        <v>45</v>
      </c>
      <c r="M399" s="6" t="s">
        <v>371</v>
      </c>
    </row>
    <row r="400" spans="1:13">
      <c r="A400" s="6">
        <v>2023</v>
      </c>
      <c r="B400" s="6">
        <v>2</v>
      </c>
      <c r="C400" s="6" t="s">
        <v>60</v>
      </c>
      <c r="D400" s="6" t="s">
        <v>326</v>
      </c>
      <c r="E400" s="6" t="s">
        <v>385</v>
      </c>
      <c r="F400" s="6" t="str">
        <f>IF($M400="PADD I","PADD 1",IF($M400="PADD II","PADD 2",IF($M400="PADD III","PADD 3",IF($M400="PADD IV","PADD 4",IF($M400="PADD V","PADD 5","")))))</f>
        <v>PADD 5</v>
      </c>
      <c r="G400" s="6">
        <f>IF(AND($H400="ATMOS DISTILLATION",ISNUMBER(SEARCH("VPS",$I400))=FALSE,LEFT($I400,6)&lt;&gt;"VACUUM"),"CDU",IF($H400="FLUID CAT CRACKING","FCC",IF(OR($H400="HYDROCRACKING",$H400="RESID_HYDROCRACKING"),"Hydrocracker",IF($H400="REFORMING","Reformer",""))))</f>
        <v/>
      </c>
      <c r="H400" s="6" t="s">
        <v>435</v>
      </c>
      <c r="I400" s="6" t="s">
        <v>441</v>
      </c>
      <c r="J400" s="6" t="s">
        <v>345</v>
      </c>
      <c r="K400" s="10">
        <v>22.5</v>
      </c>
      <c r="L400" s="10">
        <v>22.5</v>
      </c>
      <c r="M400" s="6" t="s">
        <v>386</v>
      </c>
    </row>
    <row r="401" spans="1:13">
      <c r="A401" s="6">
        <v>2023</v>
      </c>
      <c r="B401" s="6">
        <v>2</v>
      </c>
      <c r="C401" s="6" t="s">
        <v>60</v>
      </c>
      <c r="D401" s="6" t="s">
        <v>434</v>
      </c>
      <c r="E401" s="6" t="s">
        <v>388</v>
      </c>
      <c r="F401" s="6" t="str">
        <f>IF($M401="PADD I","PADD 1",IF($M401="PADD II","PADD 2",IF($M401="PADD III","PADD 3",IF($M401="PADD IV","PADD 4",IF($M401="PADD V","PADD 5","")))))</f>
        <v>PADD 5</v>
      </c>
      <c r="G401" s="6">
        <f>IF(AND($H401="ATMOS DISTILLATION",ISNUMBER(SEARCH("VPS",$I401))=FALSE,LEFT($I401,6)&lt;&gt;"VACUUM"),"CDU",IF($H401="FLUID CAT CRACKING","FCC",IF(OR($H401="HYDROCRACKING",$H401="RESID_HYDROCRACKING"),"Hydrocracker",IF($H401="REFORMING","Reformer",""))))</f>
        <v/>
      </c>
      <c r="H401" s="6" t="s">
        <v>435</v>
      </c>
      <c r="I401" s="6" t="s">
        <v>436</v>
      </c>
      <c r="J401" s="6" t="s">
        <v>349</v>
      </c>
      <c r="K401" s="10">
        <v>22.14</v>
      </c>
      <c r="L401" s="10">
        <v>41</v>
      </c>
      <c r="M401" s="6" t="s">
        <v>386</v>
      </c>
    </row>
    <row r="402" spans="1:13">
      <c r="A402" s="6">
        <v>2023</v>
      </c>
      <c r="B402" s="6">
        <v>2</v>
      </c>
      <c r="C402" s="6" t="s">
        <v>60</v>
      </c>
      <c r="D402" s="6" t="s">
        <v>411</v>
      </c>
      <c r="E402" s="6" t="s">
        <v>369</v>
      </c>
      <c r="F402" s="6" t="str">
        <f>IF($M402="PADD I","PADD 1",IF($M402="PADD II","PADD 2",IF($M402="PADD III","PADD 3",IF($M402="PADD IV","PADD 4",IF($M402="PADD V","PADD 5","")))))</f>
        <v>PADD 1</v>
      </c>
      <c r="G402" s="6">
        <f>IF(AND($H402="ATMOS DISTILLATION",ISNUMBER(SEARCH("VPS",$I402))=FALSE,LEFT($I402,6)&lt;&gt;"VACUUM"),"CDU",IF($H402="FLUID CAT CRACKING","FCC",IF(OR($H402="HYDROCRACKING",$H402="RESID_HYDROCRACKING"),"Hydrocracker",IF($H402="REFORMING","Reformer",""))))</f>
        <v/>
      </c>
      <c r="H402" s="6" t="s">
        <v>460</v>
      </c>
      <c r="I402" s="6" t="s">
        <v>566</v>
      </c>
      <c r="J402" s="6" t="s">
        <v>349</v>
      </c>
      <c r="K402" s="10">
        <v>22</v>
      </c>
      <c r="L402" s="10">
        <v>22</v>
      </c>
      <c r="M402" s="6" t="s">
        <v>413</v>
      </c>
    </row>
    <row r="403" spans="1:13">
      <c r="A403" s="6">
        <v>2023</v>
      </c>
      <c r="B403" s="6">
        <v>2</v>
      </c>
      <c r="C403" s="6" t="s">
        <v>60</v>
      </c>
      <c r="D403" s="6" t="s">
        <v>402</v>
      </c>
      <c r="E403" s="6" t="s">
        <v>403</v>
      </c>
      <c r="F403" s="6" t="str">
        <f>IF($M403="PADD I","PADD 1",IF($M403="PADD II","PADD 2",IF($M403="PADD III","PADD 3",IF($M403="PADD IV","PADD 4",IF($M403="PADD V","PADD 5","")))))</f>
        <v>PADD 3</v>
      </c>
      <c r="G403" s="6">
        <f>IF(AND($H403="ATMOS DISTILLATION",ISNUMBER(SEARCH("VPS",$I403))=FALSE,LEFT($I403,6)&lt;&gt;"VACUUM"),"CDU",IF($H403="FLUID CAT CRACKING","FCC",IF(OR($H403="HYDROCRACKING",$H403="RESID_HYDROCRACKING"),"Hydrocracker",IF($H403="REFORMING","Reformer",""))))</f>
        <v/>
      </c>
      <c r="H403" s="6" t="s">
        <v>43</v>
      </c>
      <c r="I403" s="6" t="s">
        <v>507</v>
      </c>
      <c r="J403" s="6" t="s">
        <v>349</v>
      </c>
      <c r="K403" s="10">
        <v>22</v>
      </c>
      <c r="L403" s="10">
        <v>22</v>
      </c>
      <c r="M403" s="6" t="s">
        <v>371</v>
      </c>
    </row>
    <row r="404" spans="1:13">
      <c r="A404" s="6">
        <v>2023</v>
      </c>
      <c r="B404" s="6">
        <v>2</v>
      </c>
      <c r="C404" s="6" t="s">
        <v>60</v>
      </c>
      <c r="D404" s="6" t="s">
        <v>402</v>
      </c>
      <c r="E404" s="6" t="s">
        <v>403</v>
      </c>
      <c r="F404" s="6" t="str">
        <f>IF($M404="PADD I","PADD 1",IF($M404="PADD II","PADD 2",IF($M404="PADD III","PADD 3",IF($M404="PADD IV","PADD 4",IF($M404="PADD V","PADD 5","")))))</f>
        <v>PADD 3</v>
      </c>
      <c r="G404" s="6">
        <f>IF(AND($H404="ATMOS DISTILLATION",ISNUMBER(SEARCH("VPS",$I404))=FALSE,LEFT($I404,6)&lt;&gt;"VACUUM"),"CDU",IF($H404="FLUID CAT CRACKING","FCC",IF(OR($H404="HYDROCRACKING",$H404="RESID_HYDROCRACKING"),"Hydrocracker",IF($H404="REFORMING","Reformer",""))))</f>
        <v/>
      </c>
      <c r="H404" s="6" t="s">
        <v>43</v>
      </c>
      <c r="I404" s="6" t="s">
        <v>508</v>
      </c>
      <c r="J404" s="6" t="s">
        <v>349</v>
      </c>
      <c r="K404" s="10">
        <v>22</v>
      </c>
      <c r="L404" s="10">
        <v>22</v>
      </c>
      <c r="M404" s="6" t="s">
        <v>371</v>
      </c>
    </row>
    <row r="405" spans="1:13">
      <c r="A405" s="6">
        <v>2023</v>
      </c>
      <c r="B405" s="6">
        <v>2</v>
      </c>
      <c r="C405" s="6" t="s">
        <v>60</v>
      </c>
      <c r="D405" s="6" t="s">
        <v>437</v>
      </c>
      <c r="E405" s="6" t="s">
        <v>438</v>
      </c>
      <c r="F405" s="6" t="str">
        <f>IF($M405="PADD I","PADD 1",IF($M405="PADD II","PADD 2",IF($M405="PADD III","PADD 3",IF($M405="PADD IV","PADD 4",IF($M405="PADD V","PADD 5","")))))</f>
        <v>PADD 4</v>
      </c>
      <c r="G405" s="6" t="str">
        <f>IF(AND($H405="ATMOS DISTILLATION",ISNUMBER(SEARCH("VPS",$I405))=FALSE,LEFT($I405,6)&lt;&gt;"VACUUM"),"CDU",IF($H405="FLUID CAT CRACKING","FCC",IF(OR($H405="HYDROCRACKING",$H405="RESID_HYDROCRACKING"),"Hydrocracker",IF($H405="REFORMING","Reformer",""))))</f>
        <v>CDU</v>
      </c>
      <c r="H405" s="6" t="s">
        <v>38</v>
      </c>
      <c r="I405" s="6" t="s">
        <v>330</v>
      </c>
      <c r="J405" s="6" t="s">
        <v>345</v>
      </c>
      <c r="K405" s="10">
        <v>21.06</v>
      </c>
      <c r="L405" s="10">
        <v>39</v>
      </c>
      <c r="M405" s="6" t="s">
        <v>430</v>
      </c>
    </row>
    <row r="406" spans="1:13">
      <c r="A406" s="6">
        <v>2023</v>
      </c>
      <c r="B406" s="6">
        <v>2</v>
      </c>
      <c r="C406" s="6" t="s">
        <v>60</v>
      </c>
      <c r="D406" s="6" t="s">
        <v>402</v>
      </c>
      <c r="E406" s="6" t="s">
        <v>403</v>
      </c>
      <c r="F406" s="6" t="str">
        <f>IF($M406="PADD I","PADD 1",IF($M406="PADD II","PADD 2",IF($M406="PADD III","PADD 3",IF($M406="PADD IV","PADD 4",IF($M406="PADD V","PADD 5","")))))</f>
        <v>PADD 3</v>
      </c>
      <c r="G406" s="6">
        <f>IF(AND($H406="ATMOS DISTILLATION",ISNUMBER(SEARCH("VPS",$I406))=FALSE,LEFT($I406,6)&lt;&gt;"VACUUM"),"CDU",IF($H406="FLUID CAT CRACKING","FCC",IF(OR($H406="HYDROCRACKING",$H406="RESID_HYDROCRACKING"),"Hydrocracker",IF($H406="REFORMING","Reformer",""))))</f>
        <v/>
      </c>
      <c r="H406" s="6" t="s">
        <v>43</v>
      </c>
      <c r="I406" s="6" t="s">
        <v>493</v>
      </c>
      <c r="J406" s="6" t="s">
        <v>349</v>
      </c>
      <c r="K406" s="10">
        <v>21</v>
      </c>
      <c r="L406" s="10">
        <v>21</v>
      </c>
      <c r="M406" s="6" t="s">
        <v>371</v>
      </c>
    </row>
    <row r="407" spans="1:13">
      <c r="A407" s="6">
        <v>2023</v>
      </c>
      <c r="B407" s="6">
        <v>2</v>
      </c>
      <c r="C407" s="6" t="s">
        <v>60</v>
      </c>
      <c r="D407" s="6" t="s">
        <v>50</v>
      </c>
      <c r="E407" s="6" t="s">
        <v>381</v>
      </c>
      <c r="F407" s="6" t="str">
        <f>IF($M407="PADD I","PADD 1",IF($M407="PADD II","PADD 2",IF($M407="PADD III","PADD 3",IF($M407="PADD IV","PADD 4",IF($M407="PADD V","PADD 5","")))))</f>
        <v>PADD 3</v>
      </c>
      <c r="G407" s="6">
        <f>IF(AND($H407="ATMOS DISTILLATION",ISNUMBER(SEARCH("VPS",$I407))=FALSE,LEFT($I407,6)&lt;&gt;"VACUUM"),"CDU",IF($H407="FLUID CAT CRACKING","FCC",IF(OR($H407="HYDROCRACKING",$H407="RESID_HYDROCRACKING"),"Hydrocracker",IF($H407="REFORMING","Reformer",""))))</f>
        <v/>
      </c>
      <c r="H407" s="6" t="s">
        <v>460</v>
      </c>
      <c r="I407" s="6" t="s">
        <v>620</v>
      </c>
      <c r="J407" s="6" t="s">
        <v>349</v>
      </c>
      <c r="K407" s="10">
        <v>21</v>
      </c>
      <c r="L407" s="10">
        <v>21</v>
      </c>
      <c r="M407" s="6" t="s">
        <v>371</v>
      </c>
    </row>
    <row r="408" spans="1:13">
      <c r="A408" s="6">
        <v>2023</v>
      </c>
      <c r="B408" s="6">
        <v>2</v>
      </c>
      <c r="C408" s="6" t="s">
        <v>60</v>
      </c>
      <c r="D408" s="6" t="s">
        <v>437</v>
      </c>
      <c r="E408" s="6" t="s">
        <v>438</v>
      </c>
      <c r="F408" s="6" t="str">
        <f>IF($M408="PADD I","PADD 1",IF($M408="PADD II","PADD 2",IF($M408="PADD III","PADD 3",IF($M408="PADD IV","PADD 4",IF($M408="PADD V","PADD 5","")))))</f>
        <v>PADD 4</v>
      </c>
      <c r="G408" s="6">
        <f>IF(AND($H408="ATMOS DISTILLATION",ISNUMBER(SEARCH("VPS",$I408))=FALSE,LEFT($I408,6)&lt;&gt;"VACUUM"),"CDU",IF($H408="FLUID CAT CRACKING","FCC",IF(OR($H408="HYDROCRACKING",$H408="RESID_HYDROCRACKING"),"Hydrocracker",IF($H408="REFORMING","Reformer",""))))</f>
        <v/>
      </c>
      <c r="H408" s="6" t="s">
        <v>43</v>
      </c>
      <c r="I408" s="6" t="s">
        <v>493</v>
      </c>
      <c r="J408" s="6" t="s">
        <v>345</v>
      </c>
      <c r="K408" s="10">
        <v>21</v>
      </c>
      <c r="L408" s="10">
        <v>21</v>
      </c>
      <c r="M408" s="6" t="s">
        <v>430</v>
      </c>
    </row>
    <row r="409" spans="1:13">
      <c r="A409" s="6">
        <v>2023</v>
      </c>
      <c r="B409" s="6">
        <v>2</v>
      </c>
      <c r="C409" s="6" t="s">
        <v>60</v>
      </c>
      <c r="D409" s="6" t="s">
        <v>420</v>
      </c>
      <c r="E409" s="6" t="s">
        <v>373</v>
      </c>
      <c r="F409" s="6" t="str">
        <f>IF($M409="PADD I","PADD 1",IF($M409="PADD II","PADD 2",IF($M409="PADD III","PADD 3",IF($M409="PADD IV","PADD 4",IF($M409="PADD V","PADD 5","")))))</f>
        <v>PADD 2</v>
      </c>
      <c r="G409" s="6">
        <f>IF(AND($H409="ATMOS DISTILLATION",ISNUMBER(SEARCH("VPS",$I409))=FALSE,LEFT($I409,6)&lt;&gt;"VACUUM"),"CDU",IF($H409="FLUID CAT CRACKING","FCC",IF(OR($H409="HYDROCRACKING",$H409="RESID_HYDROCRACKING"),"Hydrocracker",IF($H409="REFORMING","Reformer",""))))</f>
        <v/>
      </c>
      <c r="H409" s="6" t="s">
        <v>378</v>
      </c>
      <c r="I409" s="6" t="s">
        <v>431</v>
      </c>
      <c r="J409" s="6" t="s">
        <v>345</v>
      </c>
      <c r="K409" s="10">
        <v>20.5</v>
      </c>
      <c r="L409" s="10">
        <v>20.5</v>
      </c>
      <c r="M409" s="6" t="s">
        <v>375</v>
      </c>
    </row>
    <row r="410" spans="1:13">
      <c r="A410" s="6">
        <v>2023</v>
      </c>
      <c r="B410" s="6">
        <v>2</v>
      </c>
      <c r="C410" s="6" t="s">
        <v>60</v>
      </c>
      <c r="D410" s="6" t="s">
        <v>531</v>
      </c>
      <c r="E410" s="6" t="s">
        <v>532</v>
      </c>
      <c r="F410" s="6" t="str">
        <f>IF($M410="PADD I","PADD 1",IF($M410="PADD II","PADD 2",IF($M410="PADD III","PADD 3",IF($M410="PADD IV","PADD 4",IF($M410="PADD V","PADD 5","")))))</f>
        <v>PADD 5</v>
      </c>
      <c r="G410" s="6">
        <f>IF(AND($H410="ATMOS DISTILLATION",ISNUMBER(SEARCH("VPS",$I410))=FALSE,LEFT($I410,6)&lt;&gt;"VACUUM"),"CDU",IF($H410="FLUID CAT CRACKING","FCC",IF(OR($H410="HYDROCRACKING",$H410="RESID_HYDROCRACKING"),"Hydrocracker",IF($H410="REFORMING","Reformer",""))))</f>
        <v/>
      </c>
      <c r="H410" s="6" t="s">
        <v>43</v>
      </c>
      <c r="I410" s="6" t="s">
        <v>567</v>
      </c>
      <c r="J410" s="6" t="s">
        <v>345</v>
      </c>
      <c r="K410" s="10">
        <v>20.475</v>
      </c>
      <c r="L410" s="10">
        <v>52.5</v>
      </c>
      <c r="M410" s="6" t="s">
        <v>386</v>
      </c>
    </row>
    <row r="411" spans="1:13">
      <c r="A411" s="6">
        <v>2023</v>
      </c>
      <c r="B411" s="6">
        <v>2</v>
      </c>
      <c r="C411" s="6" t="s">
        <v>60</v>
      </c>
      <c r="D411" s="6" t="s">
        <v>395</v>
      </c>
      <c r="E411" s="6" t="s">
        <v>396</v>
      </c>
      <c r="F411" s="6" t="str">
        <f>IF($M411="PADD I","PADD 1",IF($M411="PADD II","PADD 2",IF($M411="PADD III","PADD 3",IF($M411="PADD IV","PADD 4",IF($M411="PADD V","PADD 5","")))))</f>
        <v>PADD 3</v>
      </c>
      <c r="G411" s="6" t="str">
        <f>IF(AND($H411="ATMOS DISTILLATION",ISNUMBER(SEARCH("VPS",$I411))=FALSE,LEFT($I411,6)&lt;&gt;"VACUUM"),"CDU",IF($H411="FLUID CAT CRACKING","FCC",IF(OR($H411="HYDROCRACKING",$H411="RESID_HYDROCRACKING"),"Hydrocracker",IF($H411="REFORMING","Reformer",""))))</f>
        <v>CDU</v>
      </c>
      <c r="H411" s="6" t="s">
        <v>38</v>
      </c>
      <c r="I411" s="6" t="s">
        <v>510</v>
      </c>
      <c r="J411" s="6" t="s">
        <v>349</v>
      </c>
      <c r="K411" s="10">
        <v>20.3</v>
      </c>
      <c r="L411" s="10">
        <v>70</v>
      </c>
      <c r="M411" s="6" t="s">
        <v>371</v>
      </c>
    </row>
    <row r="412" spans="1:13">
      <c r="A412" s="6">
        <v>2023</v>
      </c>
      <c r="B412" s="6">
        <v>2</v>
      </c>
      <c r="C412" s="6" t="s">
        <v>60</v>
      </c>
      <c r="D412" s="6" t="s">
        <v>402</v>
      </c>
      <c r="E412" s="6" t="s">
        <v>403</v>
      </c>
      <c r="F412" s="6" t="str">
        <f>IF($M412="PADD I","PADD 1",IF($M412="PADD II","PADD 2",IF($M412="PADD III","PADD 3",IF($M412="PADD IV","PADD 4",IF($M412="PADD V","PADD 5","")))))</f>
        <v>PADD 3</v>
      </c>
      <c r="G412" s="6" t="str">
        <f>IF(AND($H412="ATMOS DISTILLATION",ISNUMBER(SEARCH("VPS",$I412))=FALSE,LEFT($I412,6)&lt;&gt;"VACUUM"),"CDU",IF($H412="FLUID CAT CRACKING","FCC",IF(OR($H412="HYDROCRACKING",$H412="RESID_HYDROCRACKING"),"Hydrocracker",IF($H412="REFORMING","Reformer",""))))</f>
        <v>FCC</v>
      </c>
      <c r="H412" s="6" t="s">
        <v>376</v>
      </c>
      <c r="I412" s="6" t="s">
        <v>105</v>
      </c>
      <c r="J412" s="6" t="s">
        <v>349</v>
      </c>
      <c r="K412" s="10">
        <v>20.2</v>
      </c>
      <c r="L412" s="10">
        <v>20.2</v>
      </c>
      <c r="M412" s="6" t="s">
        <v>371</v>
      </c>
    </row>
    <row r="413" spans="1:13">
      <c r="A413" s="6">
        <v>2023</v>
      </c>
      <c r="B413" s="6">
        <v>2</v>
      </c>
      <c r="C413" s="6" t="s">
        <v>60</v>
      </c>
      <c r="D413" s="6" t="s">
        <v>437</v>
      </c>
      <c r="E413" s="6" t="s">
        <v>438</v>
      </c>
      <c r="F413" s="6" t="str">
        <f>IF($M413="PADD I","PADD 1",IF($M413="PADD II","PADD 2",IF($M413="PADD III","PADD 3",IF($M413="PADD IV","PADD 4",IF($M413="PADD V","PADD 5","")))))</f>
        <v>PADD 4</v>
      </c>
      <c r="G413" s="6">
        <f>IF(AND($H413="ATMOS DISTILLATION",ISNUMBER(SEARCH("VPS",$I413))=FALSE,LEFT($I413,6)&lt;&gt;"VACUUM"),"CDU",IF($H413="FLUID CAT CRACKING","FCC",IF(OR($H413="HYDROCRACKING",$H413="RESID_HYDROCRACKING"),"Hydrocracker",IF($H413="REFORMING","Reformer",""))))</f>
        <v/>
      </c>
      <c r="H413" s="6" t="s">
        <v>378</v>
      </c>
      <c r="I413" s="6" t="s">
        <v>494</v>
      </c>
      <c r="J413" s="6" t="s">
        <v>345</v>
      </c>
      <c r="K413" s="10">
        <v>20</v>
      </c>
      <c r="L413" s="10">
        <v>20</v>
      </c>
      <c r="M413" s="6" t="s">
        <v>430</v>
      </c>
    </row>
    <row r="414" spans="1:13">
      <c r="A414" s="6">
        <v>2023</v>
      </c>
      <c r="B414" s="6">
        <v>2</v>
      </c>
      <c r="C414" s="6" t="s">
        <v>60</v>
      </c>
      <c r="D414" s="6" t="s">
        <v>462</v>
      </c>
      <c r="E414" s="6" t="s">
        <v>438</v>
      </c>
      <c r="F414" s="6" t="str">
        <f>IF($M414="PADD I","PADD 1",IF($M414="PADD II","PADD 2",IF($M414="PADD III","PADD 3",IF($M414="PADD IV","PADD 4",IF($M414="PADD V","PADD 5","")))))</f>
        <v>PADD 4</v>
      </c>
      <c r="G414" s="6">
        <f>IF(AND($H414="ATMOS DISTILLATION",ISNUMBER(SEARCH("VPS",$I414))=FALSE,LEFT($I414,6)&lt;&gt;"VACUUM"),"CDU",IF($H414="FLUID CAT CRACKING","FCC",IF(OR($H414="HYDROCRACKING",$H414="RESID_HYDROCRACKING"),"Hydrocracker",IF($H414="REFORMING","Reformer",""))))</f>
        <v/>
      </c>
      <c r="H414" s="6" t="s">
        <v>43</v>
      </c>
      <c r="I414" s="6" t="s">
        <v>495</v>
      </c>
      <c r="J414" s="6" t="s">
        <v>345</v>
      </c>
      <c r="K414" s="10">
        <v>20</v>
      </c>
      <c r="L414" s="10">
        <v>20</v>
      </c>
      <c r="M414" s="6" t="s">
        <v>430</v>
      </c>
    </row>
    <row r="415" spans="1:13">
      <c r="A415" s="6">
        <v>2023</v>
      </c>
      <c r="B415" s="6">
        <v>2</v>
      </c>
      <c r="C415" s="6" t="s">
        <v>60</v>
      </c>
      <c r="D415" s="6" t="s">
        <v>390</v>
      </c>
      <c r="E415" s="6" t="s">
        <v>391</v>
      </c>
      <c r="F415" s="6" t="str">
        <f>IF($M415="PADD I","PADD 1",IF($M415="PADD II","PADD 2",IF($M415="PADD III","PADD 3",IF($M415="PADD IV","PADD 4",IF($M415="PADD V","PADD 5","")))))</f>
        <v>PADD 3</v>
      </c>
      <c r="G415" s="6">
        <f>IF(AND($H415="ATMOS DISTILLATION",ISNUMBER(SEARCH("VPS",$I415))=FALSE,LEFT($I415,6)&lt;&gt;"VACUUM"),"CDU",IF($H415="FLUID CAT CRACKING","FCC",IF(OR($H415="HYDROCRACKING",$H415="RESID_HYDROCRACKING"),"Hydrocracker",IF($H415="REFORMING","Reformer",""))))</f>
        <v/>
      </c>
      <c r="H415" s="6" t="s">
        <v>43</v>
      </c>
      <c r="I415" s="6" t="s">
        <v>651</v>
      </c>
      <c r="J415" s="6" t="s">
        <v>349</v>
      </c>
      <c r="K415" s="10">
        <v>20</v>
      </c>
      <c r="L415" s="10">
        <v>40</v>
      </c>
      <c r="M415" s="6" t="s">
        <v>371</v>
      </c>
    </row>
    <row r="416" spans="1:13">
      <c r="A416" s="6">
        <v>2023</v>
      </c>
      <c r="B416" s="6">
        <v>2</v>
      </c>
      <c r="C416" s="6" t="s">
        <v>60</v>
      </c>
      <c r="D416" s="6" t="s">
        <v>518</v>
      </c>
      <c r="E416" s="6" t="s">
        <v>369</v>
      </c>
      <c r="F416" s="6" t="str">
        <f>IF($M416="PADD I","PADD 1",IF($M416="PADD II","PADD 2",IF($M416="PADD III","PADD 3",IF($M416="PADD IV","PADD 4",IF($M416="PADD V","PADD 5","")))))</f>
        <v>PADD 5</v>
      </c>
      <c r="G416" s="6">
        <f>IF(AND($H416="ATMOS DISTILLATION",ISNUMBER(SEARCH("VPS",$I416))=FALSE,LEFT($I416,6)&lt;&gt;"VACUUM"),"CDU",IF($H416="FLUID CAT CRACKING","FCC",IF(OR($H416="HYDROCRACKING",$H416="RESID_HYDROCRACKING"),"Hydrocracker",IF($H416="REFORMING","Reformer",""))))</f>
        <v/>
      </c>
      <c r="H416" s="6" t="s">
        <v>43</v>
      </c>
      <c r="I416" s="6" t="s">
        <v>587</v>
      </c>
      <c r="J416" s="6" t="s">
        <v>345</v>
      </c>
      <c r="K416" s="10">
        <v>20</v>
      </c>
      <c r="L416" s="10">
        <v>20</v>
      </c>
      <c r="M416" s="6" t="s">
        <v>386</v>
      </c>
    </row>
    <row r="417" spans="1:13">
      <c r="A417" s="6">
        <v>2023</v>
      </c>
      <c r="B417" s="6">
        <v>2</v>
      </c>
      <c r="C417" s="6" t="s">
        <v>60</v>
      </c>
      <c r="D417" s="6" t="s">
        <v>496</v>
      </c>
      <c r="E417" s="6" t="s">
        <v>388</v>
      </c>
      <c r="F417" s="6" t="str">
        <f>IF($M417="PADD I","PADD 1",IF($M417="PADD II","PADD 2",IF($M417="PADD III","PADD 3",IF($M417="PADD IV","PADD 4",IF($M417="PADD V","PADD 5","")))))</f>
        <v>PADD 2</v>
      </c>
      <c r="G417" s="6" t="str">
        <f>IF(AND($H417="ATMOS DISTILLATION",ISNUMBER(SEARCH("VPS",$I417))=FALSE,LEFT($I417,6)&lt;&gt;"VACUUM"),"CDU",IF($H417="FLUID CAT CRACKING","FCC",IF(OR($H417="HYDROCRACKING",$H417="RESID_HYDROCRACKING"),"Hydrocracker",IF($H417="REFORMING","Reformer",""))))</f>
        <v>CDU</v>
      </c>
      <c r="H417" s="6" t="s">
        <v>38</v>
      </c>
      <c r="I417" s="6" t="s">
        <v>81</v>
      </c>
      <c r="J417" s="6" t="s">
        <v>349</v>
      </c>
      <c r="K417" s="10">
        <v>20</v>
      </c>
      <c r="L417" s="10">
        <v>20</v>
      </c>
      <c r="M417" s="6" t="s">
        <v>375</v>
      </c>
    </row>
    <row r="418" spans="1:13">
      <c r="A418" s="6">
        <v>2023</v>
      </c>
      <c r="B418" s="6">
        <v>2</v>
      </c>
      <c r="C418" s="6" t="s">
        <v>60</v>
      </c>
      <c r="D418" s="6" t="s">
        <v>402</v>
      </c>
      <c r="E418" s="6" t="s">
        <v>403</v>
      </c>
      <c r="F418" s="6" t="str">
        <f>IF($M418="PADD I","PADD 1",IF($M418="PADD II","PADD 2",IF($M418="PADD III","PADD 3",IF($M418="PADD IV","PADD 4",IF($M418="PADD V","PADD 5","")))))</f>
        <v>PADD 3</v>
      </c>
      <c r="G418" s="6">
        <f>IF(AND($H418="ATMOS DISTILLATION",ISNUMBER(SEARCH("VPS",$I418))=FALSE,LEFT($I418,6)&lt;&gt;"VACUUM"),"CDU",IF($H418="FLUID CAT CRACKING","FCC",IF(OR($H418="HYDROCRACKING",$H418="RESID_HYDROCRACKING"),"Hydrocracker",IF($H418="REFORMING","Reformer",""))))</f>
        <v/>
      </c>
      <c r="H418" s="6" t="s">
        <v>378</v>
      </c>
      <c r="I418" s="6" t="s">
        <v>513</v>
      </c>
      <c r="J418" s="6" t="s">
        <v>349</v>
      </c>
      <c r="K418" s="10">
        <v>20</v>
      </c>
      <c r="L418" s="10">
        <v>20</v>
      </c>
      <c r="M418" s="6" t="s">
        <v>371</v>
      </c>
    </row>
    <row r="419" spans="1:13">
      <c r="A419" s="6">
        <v>2023</v>
      </c>
      <c r="B419" s="6">
        <v>2</v>
      </c>
      <c r="C419" s="6" t="s">
        <v>60</v>
      </c>
      <c r="D419" s="6" t="s">
        <v>380</v>
      </c>
      <c r="E419" s="6" t="s">
        <v>381</v>
      </c>
      <c r="F419" s="6" t="str">
        <f>IF($M419="PADD I","PADD 1",IF($M419="PADD II","PADD 2",IF($M419="PADD III","PADD 3",IF($M419="PADD IV","PADD 4",IF($M419="PADD V","PADD 5","")))))</f>
        <v>PADD 3</v>
      </c>
      <c r="G419" s="6" t="str">
        <f>IF(AND($H419="ATMOS DISTILLATION",ISNUMBER(SEARCH("VPS",$I419))=FALSE,LEFT($I419,6)&lt;&gt;"VACUUM"),"CDU",IF($H419="FLUID CAT CRACKING","FCC",IF(OR($H419="HYDROCRACKING",$H419="RESID_HYDROCRACKING"),"Hydrocracker",IF($H419="REFORMING","Reformer",""))))</f>
        <v>FCC</v>
      </c>
      <c r="H419" s="6" t="s">
        <v>376</v>
      </c>
      <c r="I419" s="6" t="s">
        <v>652</v>
      </c>
      <c r="J419" s="6" t="s">
        <v>345</v>
      </c>
      <c r="K419" s="10">
        <v>19.8</v>
      </c>
      <c r="L419" s="10">
        <v>110</v>
      </c>
      <c r="M419" s="6" t="s">
        <v>371</v>
      </c>
    </row>
    <row r="420" spans="1:13">
      <c r="A420" s="6">
        <v>2023</v>
      </c>
      <c r="B420" s="6">
        <v>2</v>
      </c>
      <c r="C420" s="6" t="s">
        <v>60</v>
      </c>
      <c r="D420" s="6" t="s">
        <v>531</v>
      </c>
      <c r="E420" s="6" t="s">
        <v>532</v>
      </c>
      <c r="F420" s="6" t="str">
        <f>IF($M420="PADD I","PADD 1",IF($M420="PADD II","PADD 2",IF($M420="PADD III","PADD 3",IF($M420="PADD IV","PADD 4",IF($M420="PADD V","PADD 5","")))))</f>
        <v>PADD 5</v>
      </c>
      <c r="G420" s="6" t="str">
        <f>IF(AND($H420="ATMOS DISTILLATION",ISNUMBER(SEARCH("VPS",$I420))=FALSE,LEFT($I420,6)&lt;&gt;"VACUUM"),"CDU",IF($H420="FLUID CAT CRACKING","FCC",IF(OR($H420="HYDROCRACKING",$H420="RESID_HYDROCRACKING"),"Hydrocracker",IF($H420="REFORMING","Reformer",""))))</f>
        <v>FCC</v>
      </c>
      <c r="H420" s="6" t="s">
        <v>376</v>
      </c>
      <c r="I420" s="6" t="s">
        <v>105</v>
      </c>
      <c r="J420" s="6" t="s">
        <v>345</v>
      </c>
      <c r="K420" s="10">
        <v>19.5</v>
      </c>
      <c r="L420" s="10">
        <v>50</v>
      </c>
      <c r="M420" s="6" t="s">
        <v>386</v>
      </c>
    </row>
    <row r="421" spans="1:13">
      <c r="A421" s="6">
        <v>2023</v>
      </c>
      <c r="B421" s="6">
        <v>2</v>
      </c>
      <c r="C421" s="6" t="s">
        <v>60</v>
      </c>
      <c r="D421" s="6" t="s">
        <v>531</v>
      </c>
      <c r="E421" s="6" t="s">
        <v>532</v>
      </c>
      <c r="F421" s="6" t="str">
        <f>IF($M421="PADD I","PADD 1",IF($M421="PADD II","PADD 2",IF($M421="PADD III","PADD 3",IF($M421="PADD IV","PADD 4",IF($M421="PADD V","PADD 5","")))))</f>
        <v>PADD 5</v>
      </c>
      <c r="G421" s="6">
        <f>IF(AND($H421="ATMOS DISTILLATION",ISNUMBER(SEARCH("VPS",$I421))=FALSE,LEFT($I421,6)&lt;&gt;"VACUUM"),"CDU",IF($H421="FLUID CAT CRACKING","FCC",IF(OR($H421="HYDROCRACKING",$H421="RESID_HYDROCRACKING"),"Hydrocracker",IF($H421="REFORMING","Reformer",""))))</f>
        <v/>
      </c>
      <c r="H421" s="6" t="s">
        <v>378</v>
      </c>
      <c r="I421" s="6" t="s">
        <v>379</v>
      </c>
      <c r="J421" s="6" t="s">
        <v>345</v>
      </c>
      <c r="K421" s="10">
        <v>19.11</v>
      </c>
      <c r="L421" s="10">
        <v>49</v>
      </c>
      <c r="M421" s="6" t="s">
        <v>386</v>
      </c>
    </row>
    <row r="422" spans="1:13">
      <c r="A422" s="6">
        <v>2023</v>
      </c>
      <c r="B422" s="6">
        <v>2</v>
      </c>
      <c r="C422" s="6" t="s">
        <v>60</v>
      </c>
      <c r="D422" s="6" t="s">
        <v>372</v>
      </c>
      <c r="E422" s="6" t="s">
        <v>373</v>
      </c>
      <c r="F422" s="6" t="str">
        <f>IF($M422="PADD I","PADD 1",IF($M422="PADD II","PADD 2",IF($M422="PADD III","PADD 3",IF($M422="PADD IV","PADD 4",IF($M422="PADD V","PADD 5","")))))</f>
        <v>PADD 2</v>
      </c>
      <c r="G422" s="6">
        <f>IF(AND($H422="ATMOS DISTILLATION",ISNUMBER(SEARCH("VPS",$I422))=FALSE,LEFT($I422,6)&lt;&gt;"VACUUM"),"CDU",IF($H422="FLUID CAT CRACKING","FCC",IF(OR($H422="HYDROCRACKING",$H422="RESID_HYDROCRACKING"),"Hydrocracker",IF($H422="REFORMING","Reformer",""))))</f>
        <v/>
      </c>
      <c r="H422" s="6" t="s">
        <v>460</v>
      </c>
      <c r="I422" s="6" t="s">
        <v>505</v>
      </c>
      <c r="J422" s="6" t="s">
        <v>345</v>
      </c>
      <c r="K422" s="10">
        <v>18</v>
      </c>
      <c r="L422" s="10">
        <v>18</v>
      </c>
      <c r="M422" s="6" t="s">
        <v>375</v>
      </c>
    </row>
    <row r="423" spans="1:13">
      <c r="A423" s="6">
        <v>2023</v>
      </c>
      <c r="B423" s="6">
        <v>2</v>
      </c>
      <c r="C423" s="6" t="s">
        <v>60</v>
      </c>
      <c r="D423" s="6" t="s">
        <v>518</v>
      </c>
      <c r="E423" s="6" t="s">
        <v>369</v>
      </c>
      <c r="F423" s="6" t="str">
        <f>IF($M423="PADD I","PADD 1",IF($M423="PADD II","PADD 2",IF($M423="PADD III","PADD 3",IF($M423="PADD IV","PADD 4",IF($M423="PADD V","PADD 5","")))))</f>
        <v>PADD 5</v>
      </c>
      <c r="G423" s="6" t="str">
        <f>IF(AND($H423="ATMOS DISTILLATION",ISNUMBER(SEARCH("VPS",$I423))=FALSE,LEFT($I423,6)&lt;&gt;"VACUUM"),"CDU",IF($H423="FLUID CAT CRACKING","FCC",IF(OR($H423="HYDROCRACKING",$H423="RESID_HYDROCRACKING"),"Hydrocracker",IF($H423="REFORMING","Reformer",""))))</f>
        <v>Reformer</v>
      </c>
      <c r="H423" s="6" t="s">
        <v>421</v>
      </c>
      <c r="I423" s="6" t="s">
        <v>591</v>
      </c>
      <c r="J423" s="6" t="s">
        <v>345</v>
      </c>
      <c r="K423" s="10">
        <v>18</v>
      </c>
      <c r="L423" s="10">
        <v>18</v>
      </c>
      <c r="M423" s="6" t="s">
        <v>386</v>
      </c>
    </row>
    <row r="424" spans="1:13">
      <c r="A424" s="6">
        <v>2023</v>
      </c>
      <c r="B424" s="6">
        <v>2</v>
      </c>
      <c r="C424" s="6" t="s">
        <v>60</v>
      </c>
      <c r="D424" s="6" t="s">
        <v>572</v>
      </c>
      <c r="E424" s="6" t="s">
        <v>573</v>
      </c>
      <c r="F424" s="6" t="str">
        <f>IF($M424="PADD I","PADD 1",IF($M424="PADD II","PADD 2",IF($M424="PADD III","PADD 3",IF($M424="PADD IV","PADD 4",IF($M424="PADD V","PADD 5","")))))</f>
        <v>PADD 3</v>
      </c>
      <c r="G424" s="6" t="str">
        <f>IF(AND($H424="ATMOS DISTILLATION",ISNUMBER(SEARCH("VPS",$I424))=FALSE,LEFT($I424,6)&lt;&gt;"VACUUM"),"CDU",IF($H424="FLUID CAT CRACKING","FCC",IF(OR($H424="HYDROCRACKING",$H424="RESID_HYDROCRACKING"),"Hydrocracker",IF($H424="REFORMING","Reformer",""))))</f>
        <v>CDU</v>
      </c>
      <c r="H424" s="6" t="s">
        <v>38</v>
      </c>
      <c r="I424" s="6" t="s">
        <v>574</v>
      </c>
      <c r="J424" s="6" t="s">
        <v>345</v>
      </c>
      <c r="K424" s="10">
        <v>18</v>
      </c>
      <c r="L424" s="10">
        <v>50</v>
      </c>
      <c r="M424" s="6" t="s">
        <v>371</v>
      </c>
    </row>
    <row r="425" spans="1:13">
      <c r="A425" s="6">
        <v>2023</v>
      </c>
      <c r="B425" s="6">
        <v>2</v>
      </c>
      <c r="C425" s="6" t="s">
        <v>60</v>
      </c>
      <c r="D425" s="6" t="s">
        <v>402</v>
      </c>
      <c r="E425" s="6" t="s">
        <v>403</v>
      </c>
      <c r="F425" s="6" t="str">
        <f>IF($M425="PADD I","PADD 1",IF($M425="PADD II","PADD 2",IF($M425="PADD III","PADD 3",IF($M425="PADD IV","PADD 4",IF($M425="PADD V","PADD 5","")))))</f>
        <v>PADD 3</v>
      </c>
      <c r="G425" s="6" t="str">
        <f>IF(AND($H425="ATMOS DISTILLATION",ISNUMBER(SEARCH("VPS",$I425))=FALSE,LEFT($I425,6)&lt;&gt;"VACUUM"),"CDU",IF($H425="FLUID CAT CRACKING","FCC",IF(OR($H425="HYDROCRACKING",$H425="RESID_HYDROCRACKING"),"Hydrocracker",IF($H425="REFORMING","Reformer",""))))</f>
        <v>Reformer</v>
      </c>
      <c r="H425" s="6" t="s">
        <v>421</v>
      </c>
      <c r="I425" s="6" t="s">
        <v>525</v>
      </c>
      <c r="J425" s="6" t="s">
        <v>349</v>
      </c>
      <c r="K425" s="10">
        <v>17.5</v>
      </c>
      <c r="L425" s="10">
        <v>17.5</v>
      </c>
      <c r="M425" s="6" t="s">
        <v>371</v>
      </c>
    </row>
    <row r="426" spans="1:13">
      <c r="A426" s="6">
        <v>2023</v>
      </c>
      <c r="B426" s="6">
        <v>2</v>
      </c>
      <c r="C426" s="6" t="s">
        <v>60</v>
      </c>
      <c r="D426" s="6" t="s">
        <v>395</v>
      </c>
      <c r="E426" s="6" t="s">
        <v>396</v>
      </c>
      <c r="F426" s="6" t="str">
        <f>IF($M426="PADD I","PADD 1",IF($M426="PADD II","PADD 2",IF($M426="PADD III","PADD 3",IF($M426="PADD IV","PADD 4",IF($M426="PADD V","PADD 5","")))))</f>
        <v>PADD 3</v>
      </c>
      <c r="G426" s="6">
        <f>IF(AND($H426="ATMOS DISTILLATION",ISNUMBER(SEARCH("VPS",$I426))=FALSE,LEFT($I426,6)&lt;&gt;"VACUUM"),"CDU",IF($H426="FLUID CAT CRACKING","FCC",IF(OR($H426="HYDROCRACKING",$H426="RESID_HYDROCRACKING"),"Hydrocracker",IF($H426="REFORMING","Reformer",""))))</f>
        <v/>
      </c>
      <c r="H426" s="6" t="s">
        <v>378</v>
      </c>
      <c r="I426" s="6" t="s">
        <v>575</v>
      </c>
      <c r="J426" s="6" t="s">
        <v>345</v>
      </c>
      <c r="K426" s="10">
        <v>17.5</v>
      </c>
      <c r="L426" s="10">
        <v>35</v>
      </c>
      <c r="M426" s="6" t="s">
        <v>371</v>
      </c>
    </row>
    <row r="427" spans="1:13">
      <c r="A427" s="6">
        <v>2023</v>
      </c>
      <c r="B427" s="6">
        <v>2</v>
      </c>
      <c r="C427" s="6" t="s">
        <v>60</v>
      </c>
      <c r="D427" s="6" t="s">
        <v>346</v>
      </c>
      <c r="E427" s="6" t="s">
        <v>383</v>
      </c>
      <c r="F427" s="6" t="str">
        <f>IF($M427="PADD I","PADD 1",IF($M427="PADD II","PADD 2",IF($M427="PADD III","PADD 3",IF($M427="PADD IV","PADD 4",IF($M427="PADD V","PADD 5","")))))</f>
        <v>PADD 2</v>
      </c>
      <c r="G427" s="6" t="str">
        <f>IF(AND($H427="ATMOS DISTILLATION",ISNUMBER(SEARCH("VPS",$I427))=FALSE,LEFT($I427,6)&lt;&gt;"VACUUM"),"CDU",IF($H427="FLUID CAT CRACKING","FCC",IF(OR($H427="HYDROCRACKING",$H427="RESID_HYDROCRACKING"),"Hydrocracker",IF($H427="REFORMING","Reformer",""))))</f>
        <v>Reformer</v>
      </c>
      <c r="H427" s="6" t="s">
        <v>421</v>
      </c>
      <c r="I427" s="6" t="s">
        <v>516</v>
      </c>
      <c r="J427" s="6" t="s">
        <v>349</v>
      </c>
      <c r="K427" s="10">
        <v>15</v>
      </c>
      <c r="L427" s="10">
        <v>15</v>
      </c>
      <c r="M427" s="6" t="s">
        <v>375</v>
      </c>
    </row>
    <row r="428" spans="1:13">
      <c r="A428" s="6">
        <v>2023</v>
      </c>
      <c r="B428" s="6">
        <v>2</v>
      </c>
      <c r="C428" s="6" t="s">
        <v>60</v>
      </c>
      <c r="D428" s="6" t="s">
        <v>326</v>
      </c>
      <c r="E428" s="6" t="s">
        <v>385</v>
      </c>
      <c r="F428" s="6" t="str">
        <f>IF($M428="PADD I","PADD 1",IF($M428="PADD II","PADD 2",IF($M428="PADD III","PADD 3",IF($M428="PADD IV","PADD 4",IF($M428="PADD V","PADD 5","")))))</f>
        <v>PADD 5</v>
      </c>
      <c r="G428" s="6" t="str">
        <f>IF(AND($H428="ATMOS DISTILLATION",ISNUMBER(SEARCH("VPS",$I428))=FALSE,LEFT($I428,6)&lt;&gt;"VACUUM"),"CDU",IF($H428="FLUID CAT CRACKING","FCC",IF(OR($H428="HYDROCRACKING",$H428="RESID_HYDROCRACKING"),"Hydrocracker",IF($H428="REFORMING","Reformer",""))))</f>
        <v>Reformer</v>
      </c>
      <c r="H428" s="6" t="s">
        <v>421</v>
      </c>
      <c r="I428" s="6" t="s">
        <v>15</v>
      </c>
      <c r="J428" s="6" t="s">
        <v>349</v>
      </c>
      <c r="K428" s="10">
        <v>14.75</v>
      </c>
      <c r="L428" s="10">
        <v>14.75</v>
      </c>
      <c r="M428" s="6" t="s">
        <v>386</v>
      </c>
    </row>
    <row r="429" spans="1:13">
      <c r="A429" s="6">
        <v>2023</v>
      </c>
      <c r="B429" s="6">
        <v>2</v>
      </c>
      <c r="C429" s="6" t="s">
        <v>60</v>
      </c>
      <c r="D429" s="6" t="s">
        <v>387</v>
      </c>
      <c r="E429" s="6" t="s">
        <v>388</v>
      </c>
      <c r="F429" s="6" t="str">
        <f>IF($M429="PADD I","PADD 1",IF($M429="PADD II","PADD 2",IF($M429="PADD III","PADD 3",IF($M429="PADD IV","PADD 4",IF($M429="PADD V","PADD 5","")))))</f>
        <v>PADD 3</v>
      </c>
      <c r="G429" s="6">
        <f>IF(AND($H429="ATMOS DISTILLATION",ISNUMBER(SEARCH("VPS",$I429))=FALSE,LEFT($I429,6)&lt;&gt;"VACUUM"),"CDU",IF($H429="FLUID CAT CRACKING","FCC",IF(OR($H429="HYDROCRACKING",$H429="RESID_HYDROCRACKING"),"Hydrocracker",IF($H429="REFORMING","Reformer",""))))</f>
        <v/>
      </c>
      <c r="H429" s="6" t="s">
        <v>435</v>
      </c>
      <c r="I429" s="6" t="s">
        <v>595</v>
      </c>
      <c r="J429" s="6" t="s">
        <v>349</v>
      </c>
      <c r="K429" s="10">
        <v>13.5</v>
      </c>
      <c r="L429" s="10">
        <v>13.5</v>
      </c>
      <c r="M429" s="6" t="s">
        <v>371</v>
      </c>
    </row>
    <row r="430" spans="1:13">
      <c r="A430" s="6">
        <v>2023</v>
      </c>
      <c r="B430" s="6">
        <v>2</v>
      </c>
      <c r="C430" s="6" t="s">
        <v>60</v>
      </c>
      <c r="D430" s="6" t="s">
        <v>420</v>
      </c>
      <c r="E430" s="6" t="s">
        <v>373</v>
      </c>
      <c r="F430" s="6" t="str">
        <f>IF($M430="PADD I","PADD 1",IF($M430="PADD II","PADD 2",IF($M430="PADD III","PADD 3",IF($M430="PADD IV","PADD 4",IF($M430="PADD V","PADD 5","")))))</f>
        <v>PADD 2</v>
      </c>
      <c r="G430" s="6">
        <f>IF(AND($H430="ATMOS DISTILLATION",ISNUMBER(SEARCH("VPS",$I430))=FALSE,LEFT($I430,6)&lt;&gt;"VACUUM"),"CDU",IF($H430="FLUID CAT CRACKING","FCC",IF(OR($H430="HYDROCRACKING",$H430="RESID_HYDROCRACKING"),"Hydrocracker",IF($H430="REFORMING","Reformer",""))))</f>
        <v/>
      </c>
      <c r="H430" s="6" t="s">
        <v>523</v>
      </c>
      <c r="I430" s="6" t="s">
        <v>524</v>
      </c>
      <c r="J430" s="6" t="s">
        <v>345</v>
      </c>
      <c r="K430" s="10">
        <v>13.5</v>
      </c>
      <c r="L430" s="10">
        <v>13.5</v>
      </c>
      <c r="M430" s="6" t="s">
        <v>375</v>
      </c>
    </row>
    <row r="431" spans="1:13">
      <c r="A431" s="6">
        <v>2023</v>
      </c>
      <c r="B431" s="6">
        <v>2</v>
      </c>
      <c r="C431" s="6" t="s">
        <v>60</v>
      </c>
      <c r="D431" s="6" t="s">
        <v>415</v>
      </c>
      <c r="E431" s="6" t="s">
        <v>416</v>
      </c>
      <c r="F431" s="6" t="str">
        <f>IF($M431="PADD I","PADD 1",IF($M431="PADD II","PADD 2",IF($M431="PADD III","PADD 3",IF($M431="PADD IV","PADD 4",IF($M431="PADD V","PADD 5","")))))</f>
        <v>PADD 3</v>
      </c>
      <c r="G431" s="6">
        <f>IF(AND($H431="ATMOS DISTILLATION",ISNUMBER(SEARCH("VPS",$I431))=FALSE,LEFT($I431,6)&lt;&gt;"VACUUM"),"CDU",IF($H431="FLUID CAT CRACKING","FCC",IF(OR($H431="HYDROCRACKING",$H431="RESID_HYDROCRACKING"),"Hydrocracker",IF($H431="REFORMING","Reformer",""))))</f>
        <v/>
      </c>
      <c r="H431" s="6" t="s">
        <v>43</v>
      </c>
      <c r="I431" s="6" t="s">
        <v>653</v>
      </c>
      <c r="J431" s="6" t="s">
        <v>349</v>
      </c>
      <c r="K431" s="10">
        <v>13</v>
      </c>
      <c r="L431" s="10">
        <v>13</v>
      </c>
      <c r="M431" s="6" t="s">
        <v>371</v>
      </c>
    </row>
    <row r="432" spans="1:13">
      <c r="A432" s="6">
        <v>2023</v>
      </c>
      <c r="B432" s="6">
        <v>2</v>
      </c>
      <c r="C432" s="6" t="s">
        <v>60</v>
      </c>
      <c r="D432" s="6" t="s">
        <v>420</v>
      </c>
      <c r="E432" s="6" t="s">
        <v>373</v>
      </c>
      <c r="F432" s="6" t="str">
        <f>IF($M432="PADD I","PADD 1",IF($M432="PADD II","PADD 2",IF($M432="PADD III","PADD 3",IF($M432="PADD IV","PADD 4",IF($M432="PADD V","PADD 5","")))))</f>
        <v>PADD 2</v>
      </c>
      <c r="G432" s="6" t="str">
        <f>IF(AND($H432="ATMOS DISTILLATION",ISNUMBER(SEARCH("VPS",$I432))=FALSE,LEFT($I432,6)&lt;&gt;"VACUUM"),"CDU",IF($H432="FLUID CAT CRACKING","FCC",IF(OR($H432="HYDROCRACKING",$H432="RESID_HYDROCRACKING"),"Hydrocracker",IF($H432="REFORMING","Reformer",""))))</f>
        <v>FCC</v>
      </c>
      <c r="H432" s="6" t="s">
        <v>376</v>
      </c>
      <c r="I432" s="6" t="s">
        <v>105</v>
      </c>
      <c r="J432" s="6" t="s">
        <v>345</v>
      </c>
      <c r="K432" s="10">
        <v>13</v>
      </c>
      <c r="L432" s="10">
        <v>13</v>
      </c>
      <c r="M432" s="6" t="s">
        <v>375</v>
      </c>
    </row>
    <row r="433" spans="1:13">
      <c r="A433" s="6">
        <v>2023</v>
      </c>
      <c r="B433" s="6">
        <v>2</v>
      </c>
      <c r="C433" s="6" t="s">
        <v>60</v>
      </c>
      <c r="D433" s="6" t="s">
        <v>602</v>
      </c>
      <c r="E433" s="6" t="s">
        <v>369</v>
      </c>
      <c r="F433" s="6" t="str">
        <f>IF($M433="PADD I","PADD 1",IF($M433="PADD II","PADD 2",IF($M433="PADD III","PADD 3",IF($M433="PADD IV","PADD 4",IF($M433="PADD V","PADD 5","")))))</f>
        <v>PADD 2</v>
      </c>
      <c r="G433" s="6" t="str">
        <f>IF(AND($H433="ATMOS DISTILLATION",ISNUMBER(SEARCH("VPS",$I433))=FALSE,LEFT($I433,6)&lt;&gt;"VACUUM"),"CDU",IF($H433="FLUID CAT CRACKING","FCC",IF(OR($H433="HYDROCRACKING",$H433="RESID_HYDROCRACKING"),"Hydrocracker",IF($H433="REFORMING","Reformer",""))))</f>
        <v>FCC</v>
      </c>
      <c r="H433" s="6" t="s">
        <v>376</v>
      </c>
      <c r="I433" s="6" t="s">
        <v>654</v>
      </c>
      <c r="J433" s="6" t="s">
        <v>345</v>
      </c>
      <c r="K433" s="10">
        <v>13</v>
      </c>
      <c r="L433" s="10">
        <v>26</v>
      </c>
      <c r="M433" s="6" t="s">
        <v>375</v>
      </c>
    </row>
    <row r="434" spans="1:13">
      <c r="A434" s="6">
        <v>2023</v>
      </c>
      <c r="B434" s="6">
        <v>2</v>
      </c>
      <c r="C434" s="6" t="s">
        <v>60</v>
      </c>
      <c r="D434" s="6" t="s">
        <v>511</v>
      </c>
      <c r="E434" s="6" t="s">
        <v>405</v>
      </c>
      <c r="F434" s="6" t="str">
        <f>IF($M434="PADD I","PADD 1",IF($M434="PADD II","PADD 2",IF($M434="PADD III","PADD 3",IF($M434="PADD IV","PADD 4",IF($M434="PADD V","PADD 5","")))))</f>
        <v>PADD 3</v>
      </c>
      <c r="G434" s="6">
        <f>IF(AND($H434="ATMOS DISTILLATION",ISNUMBER(SEARCH("VPS",$I434))=FALSE,LEFT($I434,6)&lt;&gt;"VACUUM"),"CDU",IF($H434="FLUID CAT CRACKING","FCC",IF(OR($H434="HYDROCRACKING",$H434="RESID_HYDROCRACKING"),"Hydrocracker",IF($H434="REFORMING","Reformer",""))))</f>
        <v/>
      </c>
      <c r="H434" s="6" t="s">
        <v>43</v>
      </c>
      <c r="I434" s="6" t="s">
        <v>655</v>
      </c>
      <c r="J434" s="6" t="s">
        <v>345</v>
      </c>
      <c r="K434" s="10">
        <v>12.46</v>
      </c>
      <c r="L434" s="10">
        <v>14</v>
      </c>
      <c r="M434" s="6" t="s">
        <v>371</v>
      </c>
    </row>
    <row r="435" spans="1:13">
      <c r="A435" s="6">
        <v>2023</v>
      </c>
      <c r="B435" s="6">
        <v>2</v>
      </c>
      <c r="C435" s="6" t="s">
        <v>60</v>
      </c>
      <c r="D435" s="6" t="s">
        <v>462</v>
      </c>
      <c r="E435" s="6" t="s">
        <v>438</v>
      </c>
      <c r="F435" s="6" t="str">
        <f>IF($M435="PADD I","PADD 1",IF($M435="PADD II","PADD 2",IF($M435="PADD III","PADD 3",IF($M435="PADD IV","PADD 4",IF($M435="PADD V","PADD 5","")))))</f>
        <v>PADD 4</v>
      </c>
      <c r="G435" s="6">
        <f>IF(AND($H435="ATMOS DISTILLATION",ISNUMBER(SEARCH("VPS",$I435))=FALSE,LEFT($I435,6)&lt;&gt;"VACUUM"),"CDU",IF($H435="FLUID CAT CRACKING","FCC",IF(OR($H435="HYDROCRACKING",$H435="RESID_HYDROCRACKING"),"Hydrocracker",IF($H435="REFORMING","Reformer",""))))</f>
        <v/>
      </c>
      <c r="H435" s="6" t="s">
        <v>43</v>
      </c>
      <c r="I435" s="6" t="s">
        <v>535</v>
      </c>
      <c r="J435" s="6" t="s">
        <v>345</v>
      </c>
      <c r="K435" s="10">
        <v>12</v>
      </c>
      <c r="L435" s="10">
        <v>12</v>
      </c>
      <c r="M435" s="6" t="s">
        <v>430</v>
      </c>
    </row>
    <row r="436" spans="1:13">
      <c r="A436" s="6">
        <v>2023</v>
      </c>
      <c r="B436" s="6">
        <v>2</v>
      </c>
      <c r="C436" s="6" t="s">
        <v>60</v>
      </c>
      <c r="D436" s="6" t="s">
        <v>496</v>
      </c>
      <c r="E436" s="6" t="s">
        <v>388</v>
      </c>
      <c r="F436" s="6" t="str">
        <f>IF($M436="PADD I","PADD 1",IF($M436="PADD II","PADD 2",IF($M436="PADD III","PADD 3",IF($M436="PADD IV","PADD 4",IF($M436="PADD V","PADD 5","")))))</f>
        <v>PADD 2</v>
      </c>
      <c r="G436" s="6">
        <f>IF(AND($H436="ATMOS DISTILLATION",ISNUMBER(SEARCH("VPS",$I436))=FALSE,LEFT($I436,6)&lt;&gt;"VACUUM"),"CDU",IF($H436="FLUID CAT CRACKING","FCC",IF(OR($H436="HYDROCRACKING",$H436="RESID_HYDROCRACKING"),"Hydrocracker",IF($H436="REFORMING","Reformer",""))))</f>
        <v/>
      </c>
      <c r="H436" s="6" t="s">
        <v>378</v>
      </c>
      <c r="I436" s="6" t="s">
        <v>536</v>
      </c>
      <c r="J436" s="6" t="s">
        <v>349</v>
      </c>
      <c r="K436" s="10">
        <v>12</v>
      </c>
      <c r="L436" s="10">
        <v>12</v>
      </c>
      <c r="M436" s="6" t="s">
        <v>375</v>
      </c>
    </row>
    <row r="437" spans="1:13">
      <c r="A437" s="6">
        <v>2023</v>
      </c>
      <c r="B437" s="6">
        <v>2</v>
      </c>
      <c r="C437" s="6" t="s">
        <v>60</v>
      </c>
      <c r="D437" s="6" t="s">
        <v>395</v>
      </c>
      <c r="E437" s="6" t="s">
        <v>396</v>
      </c>
      <c r="F437" s="6" t="str">
        <f>IF($M437="PADD I","PADD 1",IF($M437="PADD II","PADD 2",IF($M437="PADD III","PADD 3",IF($M437="PADD IV","PADD 4",IF($M437="PADD V","PADD 5","")))))</f>
        <v>PADD 3</v>
      </c>
      <c r="G437" s="6">
        <f>IF(AND($H437="ATMOS DISTILLATION",ISNUMBER(SEARCH("VPS",$I437))=FALSE,LEFT($I437,6)&lt;&gt;"VACUUM"),"CDU",IF($H437="FLUID CAT CRACKING","FCC",IF(OR($H437="HYDROCRACKING",$H437="RESID_HYDROCRACKING"),"Hydrocracker",IF($H437="REFORMING","Reformer",""))))</f>
        <v/>
      </c>
      <c r="H437" s="6" t="s">
        <v>43</v>
      </c>
      <c r="I437" s="6" t="s">
        <v>550</v>
      </c>
      <c r="J437" s="6" t="s">
        <v>345</v>
      </c>
      <c r="K437" s="10">
        <v>11.919</v>
      </c>
      <c r="L437" s="10">
        <v>41.1</v>
      </c>
      <c r="M437" s="6" t="s">
        <v>371</v>
      </c>
    </row>
    <row r="438" spans="1:13">
      <c r="A438" s="6">
        <v>2023</v>
      </c>
      <c r="B438" s="6">
        <v>2</v>
      </c>
      <c r="C438" s="6" t="s">
        <v>60</v>
      </c>
      <c r="D438" s="6" t="s">
        <v>576</v>
      </c>
      <c r="E438" s="6" t="s">
        <v>369</v>
      </c>
      <c r="F438" s="6" t="str">
        <f>IF($M438="PADD I","PADD 1",IF($M438="PADD II","PADD 2",IF($M438="PADD III","PADD 3",IF($M438="PADD IV","PADD 4",IF($M438="PADD V","PADD 5","")))))</f>
        <v>PADD 3</v>
      </c>
      <c r="G438" s="6">
        <f>IF(AND($H438="ATMOS DISTILLATION",ISNUMBER(SEARCH("VPS",$I438))=FALSE,LEFT($I438,6)&lt;&gt;"VACUUM"),"CDU",IF($H438="FLUID CAT CRACKING","FCC",IF(OR($H438="HYDROCRACKING",$H438="RESID_HYDROCRACKING"),"Hydrocracker",IF($H438="REFORMING","Reformer",""))))</f>
        <v/>
      </c>
      <c r="H438" s="6" t="s">
        <v>43</v>
      </c>
      <c r="I438" s="6" t="s">
        <v>656</v>
      </c>
      <c r="J438" s="6" t="s">
        <v>349</v>
      </c>
      <c r="K438" s="10">
        <v>11.57</v>
      </c>
      <c r="L438" s="10">
        <v>13</v>
      </c>
      <c r="M438" s="6" t="s">
        <v>371</v>
      </c>
    </row>
    <row r="439" spans="1:13">
      <c r="A439" s="6">
        <v>2023</v>
      </c>
      <c r="B439" s="6">
        <v>2</v>
      </c>
      <c r="C439" s="6" t="s">
        <v>60</v>
      </c>
      <c r="D439" s="6" t="s">
        <v>576</v>
      </c>
      <c r="E439" s="6" t="s">
        <v>369</v>
      </c>
      <c r="F439" s="6" t="str">
        <f>IF($M439="PADD I","PADD 1",IF($M439="PADD II","PADD 2",IF($M439="PADD III","PADD 3",IF($M439="PADD IV","PADD 4",IF($M439="PADD V","PADD 5","")))))</f>
        <v>PADD 3</v>
      </c>
      <c r="G439" s="6">
        <f>IF(AND($H439="ATMOS DISTILLATION",ISNUMBER(SEARCH("VPS",$I439))=FALSE,LEFT($I439,6)&lt;&gt;"VACUUM"),"CDU",IF($H439="FLUID CAT CRACKING","FCC",IF(OR($H439="HYDROCRACKING",$H439="RESID_HYDROCRACKING"),"Hydrocracker",IF($H439="REFORMING","Reformer",""))))</f>
        <v/>
      </c>
      <c r="H439" s="6" t="s">
        <v>568</v>
      </c>
      <c r="I439" s="6" t="s">
        <v>604</v>
      </c>
      <c r="J439" s="6" t="s">
        <v>345</v>
      </c>
      <c r="K439" s="10">
        <v>11.5</v>
      </c>
      <c r="L439" s="10">
        <v>25</v>
      </c>
      <c r="M439" s="6" t="s">
        <v>371</v>
      </c>
    </row>
    <row r="440" spans="1:13">
      <c r="A440" s="6">
        <v>2023</v>
      </c>
      <c r="B440" s="6">
        <v>2</v>
      </c>
      <c r="C440" s="6" t="s">
        <v>60</v>
      </c>
      <c r="D440" s="6" t="s">
        <v>429</v>
      </c>
      <c r="E440" s="6" t="s">
        <v>388</v>
      </c>
      <c r="F440" s="6" t="str">
        <f>IF($M440="PADD I","PADD 1",IF($M440="PADD II","PADD 2",IF($M440="PADD III","PADD 3",IF($M440="PADD IV","PADD 4",IF($M440="PADD V","PADD 5","")))))</f>
        <v>PADD 4</v>
      </c>
      <c r="G440" s="6" t="str">
        <f>IF(AND($H440="ATMOS DISTILLATION",ISNUMBER(SEARCH("VPS",$I440))=FALSE,LEFT($I440,6)&lt;&gt;"VACUUM"),"CDU",IF($H440="FLUID CAT CRACKING","FCC",IF(OR($H440="HYDROCRACKING",$H440="RESID_HYDROCRACKING"),"Hydrocracker",IF($H440="REFORMING","Reformer",""))))</f>
        <v>FCC</v>
      </c>
      <c r="H440" s="6" t="s">
        <v>376</v>
      </c>
      <c r="I440" s="6" t="s">
        <v>105</v>
      </c>
      <c r="J440" s="6" t="s">
        <v>349</v>
      </c>
      <c r="K440" s="10">
        <v>11.352</v>
      </c>
      <c r="L440" s="10">
        <v>26.4</v>
      </c>
      <c r="M440" s="6" t="s">
        <v>430</v>
      </c>
    </row>
    <row r="441" spans="1:13">
      <c r="A441" s="6">
        <v>2023</v>
      </c>
      <c r="B441" s="6">
        <v>2</v>
      </c>
      <c r="C441" s="6" t="s">
        <v>60</v>
      </c>
      <c r="D441" s="6" t="s">
        <v>420</v>
      </c>
      <c r="E441" s="6" t="s">
        <v>373</v>
      </c>
      <c r="F441" s="6" t="str">
        <f>IF($M441="PADD I","PADD 1",IF($M441="PADD II","PADD 2",IF($M441="PADD III","PADD 3",IF($M441="PADD IV","PADD 4",IF($M441="PADD V","PADD 5","")))))</f>
        <v>PADD 2</v>
      </c>
      <c r="G441" s="6" t="str">
        <f>IF(AND($H441="ATMOS DISTILLATION",ISNUMBER(SEARCH("VPS",$I441))=FALSE,LEFT($I441,6)&lt;&gt;"VACUUM"),"CDU",IF($H441="FLUID CAT CRACKING","FCC",IF(OR($H441="HYDROCRACKING",$H441="RESID_HYDROCRACKING"),"Hydrocracker",IF($H441="REFORMING","Reformer",""))))</f>
        <v>CDU</v>
      </c>
      <c r="H441" s="6" t="s">
        <v>38</v>
      </c>
      <c r="I441" s="6" t="s">
        <v>81</v>
      </c>
      <c r="J441" s="6" t="s">
        <v>345</v>
      </c>
      <c r="K441" s="10">
        <v>11.27</v>
      </c>
      <c r="L441" s="10">
        <v>24.5</v>
      </c>
      <c r="M441" s="6" t="s">
        <v>375</v>
      </c>
    </row>
    <row r="442" spans="1:13">
      <c r="A442" s="6">
        <v>2023</v>
      </c>
      <c r="B442" s="6">
        <v>2</v>
      </c>
      <c r="C442" s="6" t="s">
        <v>60</v>
      </c>
      <c r="D442" s="6" t="s">
        <v>395</v>
      </c>
      <c r="E442" s="6" t="s">
        <v>396</v>
      </c>
      <c r="F442" s="6" t="str">
        <f>IF($M442="PADD I","PADD 1",IF($M442="PADD II","PADD 2",IF($M442="PADD III","PADD 3",IF($M442="PADD IV","PADD 4",IF($M442="PADD V","PADD 5","")))))</f>
        <v>PADD 3</v>
      </c>
      <c r="G442" s="6" t="str">
        <f>IF(AND($H442="ATMOS DISTILLATION",ISNUMBER(SEARCH("VPS",$I442))=FALSE,LEFT($I442,6)&lt;&gt;"VACUUM"),"CDU",IF($H442="FLUID CAT CRACKING","FCC",IF(OR($H442="HYDROCRACKING",$H442="RESID_HYDROCRACKING"),"Hydrocracker",IF($H442="REFORMING","Reformer",""))))</f>
        <v>Reformer</v>
      </c>
      <c r="H442" s="6" t="s">
        <v>421</v>
      </c>
      <c r="I442" s="6" t="s">
        <v>540</v>
      </c>
      <c r="J442" s="6" t="s">
        <v>345</v>
      </c>
      <c r="K442" s="10">
        <v>11.25</v>
      </c>
      <c r="L442" s="10">
        <v>45</v>
      </c>
      <c r="M442" s="6" t="s">
        <v>371</v>
      </c>
    </row>
    <row r="443" spans="1:13">
      <c r="A443" s="6">
        <v>2023</v>
      </c>
      <c r="B443" s="6">
        <v>2</v>
      </c>
      <c r="C443" s="6" t="s">
        <v>60</v>
      </c>
      <c r="D443" s="6" t="s">
        <v>420</v>
      </c>
      <c r="E443" s="6" t="s">
        <v>373</v>
      </c>
      <c r="F443" s="6" t="str">
        <f>IF($M443="PADD I","PADD 1",IF($M443="PADD II","PADD 2",IF($M443="PADD III","PADD 3",IF($M443="PADD IV","PADD 4",IF($M443="PADD V","PADD 5","")))))</f>
        <v>PADD 2</v>
      </c>
      <c r="G443" s="6">
        <f>IF(AND($H443="ATMOS DISTILLATION",ISNUMBER(SEARCH("VPS",$I443))=FALSE,LEFT($I443,6)&lt;&gt;"VACUUM"),"CDU",IF($H443="FLUID CAT CRACKING","FCC",IF(OR($H443="HYDROCRACKING",$H443="RESID_HYDROCRACKING"),"Hydrocracker",IF($H443="REFORMING","Reformer",""))))</f>
        <v/>
      </c>
      <c r="H443" s="6" t="s">
        <v>43</v>
      </c>
      <c r="I443" s="6" t="s">
        <v>546</v>
      </c>
      <c r="J443" s="6" t="s">
        <v>345</v>
      </c>
      <c r="K443" s="10">
        <v>11</v>
      </c>
      <c r="L443" s="10">
        <v>11</v>
      </c>
      <c r="M443" s="6" t="s">
        <v>375</v>
      </c>
    </row>
    <row r="444" spans="1:13">
      <c r="A444" s="6">
        <v>2023</v>
      </c>
      <c r="B444" s="6">
        <v>2</v>
      </c>
      <c r="C444" s="6" t="s">
        <v>60</v>
      </c>
      <c r="D444" s="6" t="s">
        <v>395</v>
      </c>
      <c r="E444" s="6" t="s">
        <v>396</v>
      </c>
      <c r="F444" s="6" t="str">
        <f>IF($M444="PADD I","PADD 1",IF($M444="PADD II","PADD 2",IF($M444="PADD III","PADD 3",IF($M444="PADD IV","PADD 4",IF($M444="PADD V","PADD 5","")))))</f>
        <v>PADD 3</v>
      </c>
      <c r="G444" s="6" t="str">
        <f>IF(AND($H444="ATMOS DISTILLATION",ISNUMBER(SEARCH("VPS",$I444))=FALSE,LEFT($I444,6)&lt;&gt;"VACUUM"),"CDU",IF($H444="FLUID CAT CRACKING","FCC",IF(OR($H444="HYDROCRACKING",$H444="RESID_HYDROCRACKING"),"Hydrocracker",IF($H444="REFORMING","Reformer",""))))</f>
        <v>Reformer</v>
      </c>
      <c r="H444" s="6" t="s">
        <v>421</v>
      </c>
      <c r="I444" s="6" t="s">
        <v>540</v>
      </c>
      <c r="J444" s="6" t="s">
        <v>345</v>
      </c>
      <c r="K444" s="10">
        <v>10.8</v>
      </c>
      <c r="L444" s="10">
        <v>30</v>
      </c>
      <c r="M444" s="6" t="s">
        <v>371</v>
      </c>
    </row>
    <row r="445" spans="1:13">
      <c r="A445" s="6">
        <v>2023</v>
      </c>
      <c r="B445" s="6">
        <v>2</v>
      </c>
      <c r="C445" s="6" t="s">
        <v>60</v>
      </c>
      <c r="D445" s="6" t="s">
        <v>402</v>
      </c>
      <c r="E445" s="6" t="s">
        <v>403</v>
      </c>
      <c r="F445" s="6" t="str">
        <f>IF($M445="PADD I","PADD 1",IF($M445="PADD II","PADD 2",IF($M445="PADD III","PADD 3",IF($M445="PADD IV","PADD 4",IF($M445="PADD V","PADD 5","")))))</f>
        <v>PADD 3</v>
      </c>
      <c r="G445" s="6">
        <f>IF(AND($H445="ATMOS DISTILLATION",ISNUMBER(SEARCH("VPS",$I445))=FALSE,LEFT($I445,6)&lt;&gt;"VACUUM"),"CDU",IF($H445="FLUID CAT CRACKING","FCC",IF(OR($H445="HYDROCRACKING",$H445="RESID_HYDROCRACKING"),"Hydrocracker",IF($H445="REFORMING","Reformer",""))))</f>
        <v/>
      </c>
      <c r="H445" s="6" t="s">
        <v>435</v>
      </c>
      <c r="I445" s="6" t="s">
        <v>441</v>
      </c>
      <c r="J445" s="6" t="s">
        <v>349</v>
      </c>
      <c r="K445" s="10">
        <v>10</v>
      </c>
      <c r="L445" s="10">
        <v>10</v>
      </c>
      <c r="M445" s="6" t="s">
        <v>371</v>
      </c>
    </row>
    <row r="446" spans="1:13">
      <c r="A446" s="6">
        <v>2023</v>
      </c>
      <c r="B446" s="6">
        <v>2</v>
      </c>
      <c r="C446" s="6" t="s">
        <v>60</v>
      </c>
      <c r="D446" s="6" t="s">
        <v>462</v>
      </c>
      <c r="E446" s="6" t="s">
        <v>438</v>
      </c>
      <c r="F446" s="6" t="str">
        <f>IF($M446="PADD I","PADD 1",IF($M446="PADD II","PADD 2",IF($M446="PADD III","PADD 3",IF($M446="PADD IV","PADD 4",IF($M446="PADD V","PADD 5","")))))</f>
        <v>PADD 4</v>
      </c>
      <c r="G446" s="6">
        <f>IF(AND($H446="ATMOS DISTILLATION",ISNUMBER(SEARCH("VPS",$I446))=FALSE,LEFT($I446,6)&lt;&gt;"VACUUM"),"CDU",IF($H446="FLUID CAT CRACKING","FCC",IF(OR($H446="HYDROCRACKING",$H446="RESID_HYDROCRACKING"),"Hydrocracker",IF($H446="REFORMING","Reformer",""))))</f>
        <v/>
      </c>
      <c r="H446" s="6" t="s">
        <v>378</v>
      </c>
      <c r="I446" s="6" t="s">
        <v>555</v>
      </c>
      <c r="J446" s="6" t="s">
        <v>345</v>
      </c>
      <c r="K446" s="10">
        <v>10</v>
      </c>
      <c r="L446" s="10">
        <v>10</v>
      </c>
      <c r="M446" s="6" t="s">
        <v>430</v>
      </c>
    </row>
    <row r="447" spans="1:13">
      <c r="A447" s="6">
        <v>2023</v>
      </c>
      <c r="B447" s="6">
        <v>2</v>
      </c>
      <c r="C447" s="6" t="s">
        <v>60</v>
      </c>
      <c r="D447" s="6" t="s">
        <v>437</v>
      </c>
      <c r="E447" s="6" t="s">
        <v>438</v>
      </c>
      <c r="F447" s="6" t="str">
        <f>IF($M447="PADD I","PADD 1",IF($M447="PADD II","PADD 2",IF($M447="PADD III","PADD 3",IF($M447="PADD IV","PADD 4",IF($M447="PADD V","PADD 5","")))))</f>
        <v>PADD 4</v>
      </c>
      <c r="G447" s="6">
        <f>IF(AND($H447="ATMOS DISTILLATION",ISNUMBER(SEARCH("VPS",$I447))=FALSE,LEFT($I447,6)&lt;&gt;"VACUUM"),"CDU",IF($H447="FLUID CAT CRACKING","FCC",IF(OR($H447="HYDROCRACKING",$H447="RESID_HYDROCRACKING"),"Hydrocracker",IF($H447="REFORMING","Reformer",""))))</f>
        <v/>
      </c>
      <c r="H447" s="6" t="s">
        <v>378</v>
      </c>
      <c r="I447" s="6" t="s">
        <v>556</v>
      </c>
      <c r="J447" s="6" t="s">
        <v>345</v>
      </c>
      <c r="K447" s="10">
        <v>10</v>
      </c>
      <c r="L447" s="10">
        <v>10</v>
      </c>
      <c r="M447" s="6" t="s">
        <v>430</v>
      </c>
    </row>
    <row r="448" spans="1:13">
      <c r="A448" s="6">
        <v>2023</v>
      </c>
      <c r="B448" s="6">
        <v>2</v>
      </c>
      <c r="C448" s="6" t="s">
        <v>60</v>
      </c>
      <c r="D448" s="6" t="s">
        <v>437</v>
      </c>
      <c r="E448" s="6" t="s">
        <v>438</v>
      </c>
      <c r="F448" s="6" t="str">
        <f>IF($M448="PADD I","PADD 1",IF($M448="PADD II","PADD 2",IF($M448="PADD III","PADD 3",IF($M448="PADD IV","PADD 4",IF($M448="PADD V","PADD 5","")))))</f>
        <v>PADD 4</v>
      </c>
      <c r="G448" s="6" t="str">
        <f>IF(AND($H448="ATMOS DISTILLATION",ISNUMBER(SEARCH("VPS",$I448))=FALSE,LEFT($I448,6)&lt;&gt;"VACUUM"),"CDU",IF($H448="FLUID CAT CRACKING","FCC",IF(OR($H448="HYDROCRACKING",$H448="RESID_HYDROCRACKING"),"Hydrocracker",IF($H448="REFORMING","Reformer",""))))</f>
        <v>Reformer</v>
      </c>
      <c r="H448" s="6" t="s">
        <v>421</v>
      </c>
      <c r="I448" s="6" t="s">
        <v>557</v>
      </c>
      <c r="J448" s="6" t="s">
        <v>345</v>
      </c>
      <c r="K448" s="10">
        <v>10</v>
      </c>
      <c r="L448" s="10">
        <v>10</v>
      </c>
      <c r="M448" s="6" t="s">
        <v>430</v>
      </c>
    </row>
    <row r="449" spans="1:13">
      <c r="A449" s="6">
        <v>2023</v>
      </c>
      <c r="B449" s="6">
        <v>2</v>
      </c>
      <c r="C449" s="6" t="s">
        <v>60</v>
      </c>
      <c r="D449" s="6" t="s">
        <v>462</v>
      </c>
      <c r="E449" s="6" t="s">
        <v>438</v>
      </c>
      <c r="F449" s="6" t="str">
        <f>IF($M449="PADD I","PADD 1",IF($M449="PADD II","PADD 2",IF($M449="PADD III","PADD 3",IF($M449="PADD IV","PADD 4",IF($M449="PADD V","PADD 5","")))))</f>
        <v>PADD 4</v>
      </c>
      <c r="G449" s="6">
        <f>IF(AND($H449="ATMOS DISTILLATION",ISNUMBER(SEARCH("VPS",$I449))=FALSE,LEFT($I449,6)&lt;&gt;"VACUUM"),"CDU",IF($H449="FLUID CAT CRACKING","FCC",IF(OR($H449="HYDROCRACKING",$H449="RESID_HYDROCRACKING"),"Hydrocracker",IF($H449="REFORMING","Reformer",""))))</f>
        <v/>
      </c>
      <c r="H449" s="6" t="s">
        <v>43</v>
      </c>
      <c r="I449" s="6" t="s">
        <v>493</v>
      </c>
      <c r="J449" s="6" t="s">
        <v>345</v>
      </c>
      <c r="K449" s="10">
        <v>10</v>
      </c>
      <c r="L449" s="10">
        <v>10</v>
      </c>
      <c r="M449" s="6" t="s">
        <v>430</v>
      </c>
    </row>
    <row r="450" spans="1:13">
      <c r="A450" s="6">
        <v>2023</v>
      </c>
      <c r="B450" s="6">
        <v>2</v>
      </c>
      <c r="C450" s="6" t="s">
        <v>60</v>
      </c>
      <c r="D450" s="6" t="s">
        <v>462</v>
      </c>
      <c r="E450" s="6" t="s">
        <v>438</v>
      </c>
      <c r="F450" s="6" t="str">
        <f>IF($M450="PADD I","PADD 1",IF($M450="PADD II","PADD 2",IF($M450="PADD III","PADD 3",IF($M450="PADD IV","PADD 4",IF($M450="PADD V","PADD 5","")))))</f>
        <v>PADD 4</v>
      </c>
      <c r="G450" s="6">
        <f>IF(AND($H450="ATMOS DISTILLATION",ISNUMBER(SEARCH("VPS",$I450))=FALSE,LEFT($I450,6)&lt;&gt;"VACUUM"),"CDU",IF($H450="FLUID CAT CRACKING","FCC",IF(OR($H450="HYDROCRACKING",$H450="RESID_HYDROCRACKING"),"Hydrocracker",IF($H450="REFORMING","Reformer",""))))</f>
        <v/>
      </c>
      <c r="H450" s="6" t="s">
        <v>43</v>
      </c>
      <c r="I450" s="6" t="s">
        <v>558</v>
      </c>
      <c r="J450" s="6" t="s">
        <v>345</v>
      </c>
      <c r="K450" s="10">
        <v>10</v>
      </c>
      <c r="L450" s="10">
        <v>10</v>
      </c>
      <c r="M450" s="6" t="s">
        <v>430</v>
      </c>
    </row>
    <row r="451" spans="1:13">
      <c r="A451" s="6">
        <v>2023</v>
      </c>
      <c r="B451" s="6">
        <v>2</v>
      </c>
      <c r="C451" s="6" t="s">
        <v>60</v>
      </c>
      <c r="D451" s="6" t="s">
        <v>462</v>
      </c>
      <c r="E451" s="6" t="s">
        <v>438</v>
      </c>
      <c r="F451" s="6" t="str">
        <f>IF($M451="PADD I","PADD 1",IF($M451="PADD II","PADD 2",IF($M451="PADD III","PADD 3",IF($M451="PADD IV","PADD 4",IF($M451="PADD V","PADD 5","")))))</f>
        <v>PADD 4</v>
      </c>
      <c r="G451" s="6" t="str">
        <f>IF(AND($H451="ATMOS DISTILLATION",ISNUMBER(SEARCH("VPS",$I451))=FALSE,LEFT($I451,6)&lt;&gt;"VACUUM"),"CDU",IF($H451="FLUID CAT CRACKING","FCC",IF(OR($H451="HYDROCRACKING",$H451="RESID_HYDROCRACKING"),"Hydrocracker",IF($H451="REFORMING","Reformer",""))))</f>
        <v>Reformer</v>
      </c>
      <c r="H451" s="6" t="s">
        <v>421</v>
      </c>
      <c r="I451" s="6" t="s">
        <v>559</v>
      </c>
      <c r="J451" s="6" t="s">
        <v>345</v>
      </c>
      <c r="K451" s="10">
        <v>10</v>
      </c>
      <c r="L451" s="10">
        <v>10</v>
      </c>
      <c r="M451" s="6" t="s">
        <v>430</v>
      </c>
    </row>
    <row r="452" spans="1:13">
      <c r="A452" s="6">
        <v>2023</v>
      </c>
      <c r="B452" s="6">
        <v>2</v>
      </c>
      <c r="C452" s="6" t="s">
        <v>60</v>
      </c>
      <c r="D452" s="6" t="s">
        <v>576</v>
      </c>
      <c r="E452" s="6" t="s">
        <v>369</v>
      </c>
      <c r="F452" s="6" t="str">
        <f>IF($M452="PADD I","PADD 1",IF($M452="PADD II","PADD 2",IF($M452="PADD III","PADD 3",IF($M452="PADD IV","PADD 4",IF($M452="PADD V","PADD 5","")))))</f>
        <v>PADD 3</v>
      </c>
      <c r="G452" s="6" t="str">
        <f>IF(AND($H452="ATMOS DISTILLATION",ISNUMBER(SEARCH("VPS",$I452))=FALSE,LEFT($I452,6)&lt;&gt;"VACUUM"),"CDU",IF($H452="FLUID CAT CRACKING","FCC",IF(OR($H452="HYDROCRACKING",$H452="RESID_HYDROCRACKING"),"Hydrocracker",IF($H452="REFORMING","Reformer",""))))</f>
        <v>Reformer</v>
      </c>
      <c r="H452" s="6" t="s">
        <v>421</v>
      </c>
      <c r="I452" s="6" t="s">
        <v>483</v>
      </c>
      <c r="J452" s="6" t="s">
        <v>349</v>
      </c>
      <c r="K452" s="10">
        <v>9.84</v>
      </c>
      <c r="L452" s="10">
        <v>12</v>
      </c>
      <c r="M452" s="6" t="s">
        <v>371</v>
      </c>
    </row>
    <row r="453" spans="1:13">
      <c r="A453" s="6">
        <v>2023</v>
      </c>
      <c r="B453" s="6">
        <v>2</v>
      </c>
      <c r="C453" s="6" t="s">
        <v>60</v>
      </c>
      <c r="D453" s="6" t="s">
        <v>531</v>
      </c>
      <c r="E453" s="6" t="s">
        <v>532</v>
      </c>
      <c r="F453" s="6" t="str">
        <f>IF($M453="PADD I","PADD 1",IF($M453="PADD II","PADD 2",IF($M453="PADD III","PADD 3",IF($M453="PADD IV","PADD 4",IF($M453="PADD V","PADD 5","")))))</f>
        <v>PADD 5</v>
      </c>
      <c r="G453" s="6">
        <f>IF(AND($H453="ATMOS DISTILLATION",ISNUMBER(SEARCH("VPS",$I453))=FALSE,LEFT($I453,6)&lt;&gt;"VACUUM"),"CDU",IF($H453="FLUID CAT CRACKING","FCC",IF(OR($H453="HYDROCRACKING",$H453="RESID_HYDROCRACKING"),"Hydrocracker",IF($H453="REFORMING","Reformer",""))))</f>
        <v/>
      </c>
      <c r="H453" s="6" t="s">
        <v>435</v>
      </c>
      <c r="I453" s="6" t="s">
        <v>599</v>
      </c>
      <c r="J453" s="6" t="s">
        <v>345</v>
      </c>
      <c r="K453" s="10">
        <v>9.75</v>
      </c>
      <c r="L453" s="10">
        <v>25</v>
      </c>
      <c r="M453" s="6" t="s">
        <v>386</v>
      </c>
    </row>
    <row r="454" spans="1:13">
      <c r="A454" s="6">
        <v>2023</v>
      </c>
      <c r="B454" s="6">
        <v>2</v>
      </c>
      <c r="C454" s="6" t="s">
        <v>60</v>
      </c>
      <c r="D454" s="6" t="s">
        <v>465</v>
      </c>
      <c r="E454" s="6" t="s">
        <v>369</v>
      </c>
      <c r="F454" s="6" t="str">
        <f>IF($M454="PADD I","PADD 1",IF($M454="PADD II","PADD 2",IF($M454="PADD III","PADD 3",IF($M454="PADD IV","PADD 4",IF($M454="PADD V","PADD 5","")))))</f>
        <v>PADD 5</v>
      </c>
      <c r="G454" s="6">
        <f>IF(AND($H454="ATMOS DISTILLATION",ISNUMBER(SEARCH("VPS",$I454))=FALSE,LEFT($I454,6)&lt;&gt;"VACUUM"),"CDU",IF($H454="FLUID CAT CRACKING","FCC",IF(OR($H454="HYDROCRACKING",$H454="RESID_HYDROCRACKING"),"Hydrocracker",IF($H454="REFORMING","Reformer",""))))</f>
        <v/>
      </c>
      <c r="H454" s="6" t="s">
        <v>43</v>
      </c>
      <c r="I454" s="6" t="s">
        <v>466</v>
      </c>
      <c r="J454" s="6" t="s">
        <v>345</v>
      </c>
      <c r="K454" s="10">
        <v>9.2988</v>
      </c>
      <c r="L454" s="10">
        <v>66.42</v>
      </c>
      <c r="M454" s="6" t="s">
        <v>386</v>
      </c>
    </row>
    <row r="455" spans="1:13">
      <c r="A455" s="6">
        <v>2023</v>
      </c>
      <c r="B455" s="6">
        <v>2</v>
      </c>
      <c r="C455" s="6" t="s">
        <v>60</v>
      </c>
      <c r="D455" s="6" t="s">
        <v>333</v>
      </c>
      <c r="E455" s="6" t="s">
        <v>381</v>
      </c>
      <c r="F455" s="6" t="str">
        <f>IF($M455="PADD I","PADD 1",IF($M455="PADD II","PADD 2",IF($M455="PADD III","PADD 3",IF($M455="PADD IV","PADD 4",IF($M455="PADD V","PADD 5","")))))</f>
        <v>PADD 3</v>
      </c>
      <c r="G455" s="6">
        <f>IF(AND($H455="ATMOS DISTILLATION",ISNUMBER(SEARCH("VPS",$I455))=FALSE,LEFT($I455,6)&lt;&gt;"VACUUM"),"CDU",IF($H455="FLUID CAT CRACKING","FCC",IF(OR($H455="HYDROCRACKING",$H455="RESID_HYDROCRACKING"),"Hydrocracker",IF($H455="REFORMING","Reformer",""))))</f>
        <v/>
      </c>
      <c r="H455" s="6" t="s">
        <v>460</v>
      </c>
      <c r="I455" s="6" t="s">
        <v>541</v>
      </c>
      <c r="J455" s="6" t="s">
        <v>349</v>
      </c>
      <c r="K455" s="10">
        <v>9.119999999999999</v>
      </c>
      <c r="L455" s="10">
        <v>16</v>
      </c>
      <c r="M455" s="6" t="s">
        <v>371</v>
      </c>
    </row>
    <row r="456" spans="1:13">
      <c r="A456" s="6">
        <v>2023</v>
      </c>
      <c r="B456" s="6">
        <v>2</v>
      </c>
      <c r="C456" s="6" t="s">
        <v>60</v>
      </c>
      <c r="D456" s="6" t="s">
        <v>437</v>
      </c>
      <c r="E456" s="6" t="s">
        <v>438</v>
      </c>
      <c r="F456" s="6" t="str">
        <f>IF($M456="PADD I","PADD 1",IF($M456="PADD II","PADD 2",IF($M456="PADD III","PADD 3",IF($M456="PADD IV","PADD 4",IF($M456="PADD V","PADD 5","")))))</f>
        <v>PADD 4</v>
      </c>
      <c r="G456" s="6">
        <f>IF(AND($H456="ATMOS DISTILLATION",ISNUMBER(SEARCH("VPS",$I456))=FALSE,LEFT($I456,6)&lt;&gt;"VACUUM"),"CDU",IF($H456="FLUID CAT CRACKING","FCC",IF(OR($H456="HYDROCRACKING",$H456="RESID_HYDROCRACKING"),"Hydrocracker",IF($H456="REFORMING","Reformer",""))))</f>
        <v/>
      </c>
      <c r="H456" s="6" t="s">
        <v>378</v>
      </c>
      <c r="I456" s="6" t="s">
        <v>494</v>
      </c>
      <c r="J456" s="6" t="s">
        <v>345</v>
      </c>
      <c r="K456" s="10">
        <v>9.045</v>
      </c>
      <c r="L456" s="10">
        <v>16.75</v>
      </c>
      <c r="M456" s="6" t="s">
        <v>430</v>
      </c>
    </row>
    <row r="457" spans="1:13">
      <c r="A457" s="6">
        <v>2023</v>
      </c>
      <c r="B457" s="6">
        <v>2</v>
      </c>
      <c r="C457" s="6" t="s">
        <v>60</v>
      </c>
      <c r="D457" s="6" t="s">
        <v>531</v>
      </c>
      <c r="E457" s="6" t="s">
        <v>532</v>
      </c>
      <c r="F457" s="6" t="str">
        <f>IF($M457="PADD I","PADD 1",IF($M457="PADD II","PADD 2",IF($M457="PADD III","PADD 3",IF($M457="PADD IV","PADD 4",IF($M457="PADD V","PADD 5","")))))</f>
        <v>PADD 5</v>
      </c>
      <c r="G457" s="6" t="str">
        <f>IF(AND($H457="ATMOS DISTILLATION",ISNUMBER(SEARCH("VPS",$I457))=FALSE,LEFT($I457,6)&lt;&gt;"VACUUM"),"CDU",IF($H457="FLUID CAT CRACKING","FCC",IF(OR($H457="HYDROCRACKING",$H457="RESID_HYDROCRACKING"),"Hydrocracker",IF($H457="REFORMING","Reformer",""))))</f>
        <v>Reformer</v>
      </c>
      <c r="H457" s="6" t="s">
        <v>421</v>
      </c>
      <c r="I457" s="6" t="s">
        <v>557</v>
      </c>
      <c r="J457" s="6" t="s">
        <v>345</v>
      </c>
      <c r="K457" s="10">
        <v>8.775</v>
      </c>
      <c r="L457" s="10">
        <v>22.5</v>
      </c>
      <c r="M457" s="6" t="s">
        <v>386</v>
      </c>
    </row>
    <row r="458" spans="1:13">
      <c r="A458" s="6">
        <v>2023</v>
      </c>
      <c r="B458" s="6">
        <v>2</v>
      </c>
      <c r="C458" s="6" t="s">
        <v>60</v>
      </c>
      <c r="D458" s="6" t="s">
        <v>437</v>
      </c>
      <c r="E458" s="6" t="s">
        <v>438</v>
      </c>
      <c r="F458" s="6" t="str">
        <f>IF($M458="PADD I","PADD 1",IF($M458="PADD II","PADD 2",IF($M458="PADD III","PADD 3",IF($M458="PADD IV","PADD 4",IF($M458="PADD V","PADD 5","")))))</f>
        <v>PADD 4</v>
      </c>
      <c r="G458" s="6" t="str">
        <f>IF(AND($H458="ATMOS DISTILLATION",ISNUMBER(SEARCH("VPS",$I458))=FALSE,LEFT($I458,6)&lt;&gt;"VACUUM"),"CDU",IF($H458="FLUID CAT CRACKING","FCC",IF(OR($H458="HYDROCRACKING",$H458="RESID_HYDROCRACKING"),"Hydrocracker",IF($H458="REFORMING","Reformer",""))))</f>
        <v>FCC</v>
      </c>
      <c r="H458" s="6" t="s">
        <v>376</v>
      </c>
      <c r="I458" s="6" t="s">
        <v>428</v>
      </c>
      <c r="J458" s="6" t="s">
        <v>345</v>
      </c>
      <c r="K458" s="10">
        <v>8.5</v>
      </c>
      <c r="L458" s="10">
        <v>8.5</v>
      </c>
      <c r="M458" s="6" t="s">
        <v>430</v>
      </c>
    </row>
    <row r="459" spans="1:13">
      <c r="A459" s="6">
        <v>2023</v>
      </c>
      <c r="B459" s="6">
        <v>2</v>
      </c>
      <c r="C459" s="6" t="s">
        <v>60</v>
      </c>
      <c r="D459" s="6" t="s">
        <v>437</v>
      </c>
      <c r="E459" s="6" t="s">
        <v>438</v>
      </c>
      <c r="F459" s="6" t="str">
        <f>IF($M459="PADD I","PADD 1",IF($M459="PADD II","PADD 2",IF($M459="PADD III","PADD 3",IF($M459="PADD IV","PADD 4",IF($M459="PADD V","PADD 5","")))))</f>
        <v>PADD 4</v>
      </c>
      <c r="G459" s="6">
        <f>IF(AND($H459="ATMOS DISTILLATION",ISNUMBER(SEARCH("VPS",$I459))=FALSE,LEFT($I459,6)&lt;&gt;"VACUUM"),"CDU",IF($H459="FLUID CAT CRACKING","FCC",IF(OR($H459="HYDROCRACKING",$H459="RESID_HYDROCRACKING"),"Hydrocracker",IF($H459="REFORMING","Reformer",""))))</f>
        <v/>
      </c>
      <c r="H459" s="6" t="s">
        <v>378</v>
      </c>
      <c r="I459" s="6" t="s">
        <v>556</v>
      </c>
      <c r="J459" s="6" t="s">
        <v>345</v>
      </c>
      <c r="K459" s="10">
        <v>8.380000000000001</v>
      </c>
      <c r="L459" s="10">
        <v>8.380000000000001</v>
      </c>
      <c r="M459" s="6" t="s">
        <v>430</v>
      </c>
    </row>
    <row r="460" spans="1:13">
      <c r="A460" s="6">
        <v>2023</v>
      </c>
      <c r="B460" s="6">
        <v>2</v>
      </c>
      <c r="C460" s="6" t="s">
        <v>60</v>
      </c>
      <c r="D460" s="6" t="s">
        <v>420</v>
      </c>
      <c r="E460" s="6" t="s">
        <v>373</v>
      </c>
      <c r="F460" s="6" t="str">
        <f>IF($M460="PADD I","PADD 1",IF($M460="PADD II","PADD 2",IF($M460="PADD III","PADD 3",IF($M460="PADD IV","PADD 4",IF($M460="PADD V","PADD 5","")))))</f>
        <v>PADD 2</v>
      </c>
      <c r="G460" s="6" t="str">
        <f>IF(AND($H460="ATMOS DISTILLATION",ISNUMBER(SEARCH("VPS",$I460))=FALSE,LEFT($I460,6)&lt;&gt;"VACUUM"),"CDU",IF($H460="FLUID CAT CRACKING","FCC",IF(OR($H460="HYDROCRACKING",$H460="RESID_HYDROCRACKING"),"Hydrocracker",IF($H460="REFORMING","Reformer",""))))</f>
        <v>Reformer</v>
      </c>
      <c r="H460" s="6" t="s">
        <v>421</v>
      </c>
      <c r="I460" s="6" t="s">
        <v>571</v>
      </c>
      <c r="J460" s="6" t="s">
        <v>345</v>
      </c>
      <c r="K460" s="10">
        <v>8</v>
      </c>
      <c r="L460" s="10">
        <v>8</v>
      </c>
      <c r="M460" s="6" t="s">
        <v>375</v>
      </c>
    </row>
    <row r="461" spans="1:13">
      <c r="A461" s="6">
        <v>2023</v>
      </c>
      <c r="B461" s="6">
        <v>2</v>
      </c>
      <c r="C461" s="6" t="s">
        <v>60</v>
      </c>
      <c r="D461" s="6" t="s">
        <v>518</v>
      </c>
      <c r="E461" s="6" t="s">
        <v>369</v>
      </c>
      <c r="F461" s="6" t="str">
        <f>IF($M461="PADD I","PADD 1",IF($M461="PADD II","PADD 2",IF($M461="PADD III","PADD 3",IF($M461="PADD IV","PADD 4",IF($M461="PADD V","PADD 5","")))))</f>
        <v>PADD 5</v>
      </c>
      <c r="G461" s="6" t="str">
        <f>IF(AND($H461="ATMOS DISTILLATION",ISNUMBER(SEARCH("VPS",$I461))=FALSE,LEFT($I461,6)&lt;&gt;"VACUUM"),"CDU",IF($H461="FLUID CAT CRACKING","FCC",IF(OR($H461="HYDROCRACKING",$H461="RESID_HYDROCRACKING"),"Hydrocracker",IF($H461="REFORMING","Reformer",""))))</f>
        <v>CDU</v>
      </c>
      <c r="H461" s="6" t="s">
        <v>38</v>
      </c>
      <c r="I461" s="6" t="s">
        <v>553</v>
      </c>
      <c r="J461" s="6" t="s">
        <v>345</v>
      </c>
      <c r="K461" s="10">
        <v>8</v>
      </c>
      <c r="L461" s="10">
        <v>32</v>
      </c>
      <c r="M461" s="6" t="s">
        <v>386</v>
      </c>
    </row>
    <row r="462" spans="1:13">
      <c r="A462" s="6">
        <v>2023</v>
      </c>
      <c r="B462" s="6">
        <v>2</v>
      </c>
      <c r="C462" s="6" t="s">
        <v>60</v>
      </c>
      <c r="D462" s="6" t="s">
        <v>420</v>
      </c>
      <c r="E462" s="6" t="s">
        <v>373</v>
      </c>
      <c r="F462" s="6" t="str">
        <f>IF($M462="PADD I","PADD 1",IF($M462="PADD II","PADD 2",IF($M462="PADD III","PADD 3",IF($M462="PADD IV","PADD 4",IF($M462="PADD V","PADD 5","")))))</f>
        <v>PADD 2</v>
      </c>
      <c r="G462" s="6">
        <f>IF(AND($H462="ATMOS DISTILLATION",ISNUMBER(SEARCH("VPS",$I462))=FALSE,LEFT($I462,6)&lt;&gt;"VACUUM"),"CDU",IF($H462="FLUID CAT CRACKING","FCC",IF(OR($H462="HYDROCRACKING",$H462="RESID_HYDROCRACKING"),"Hydrocracker",IF($H462="REFORMING","Reformer",""))))</f>
        <v/>
      </c>
      <c r="H462" s="6" t="s">
        <v>43</v>
      </c>
      <c r="I462" s="6" t="s">
        <v>577</v>
      </c>
      <c r="J462" s="6" t="s">
        <v>345</v>
      </c>
      <c r="K462" s="10">
        <v>7.7</v>
      </c>
      <c r="L462" s="10">
        <v>7.7</v>
      </c>
      <c r="M462" s="6" t="s">
        <v>375</v>
      </c>
    </row>
    <row r="463" spans="1:13">
      <c r="A463" s="6">
        <v>2023</v>
      </c>
      <c r="B463" s="6">
        <v>2</v>
      </c>
      <c r="C463" s="6" t="s">
        <v>60</v>
      </c>
      <c r="D463" s="6" t="s">
        <v>322</v>
      </c>
      <c r="E463" s="6" t="s">
        <v>369</v>
      </c>
      <c r="F463" s="6" t="str">
        <f>IF($M463="PADD I","PADD 1",IF($M463="PADD II","PADD 2",IF($M463="PADD III","PADD 3",IF($M463="PADD IV","PADD 4",IF($M463="PADD V","PADD 5","")))))</f>
        <v>PADD 2</v>
      </c>
      <c r="G463" s="6" t="str">
        <f>IF(AND($H463="ATMOS DISTILLATION",ISNUMBER(SEARCH("VPS",$I463))=FALSE,LEFT($I463,6)&lt;&gt;"VACUUM"),"CDU",IF($H463="FLUID CAT CRACKING","FCC",IF(OR($H463="HYDROCRACKING",$H463="RESID_HYDROCRACKING"),"Hydrocracker",IF($H463="REFORMING","Reformer",""))))</f>
        <v>FCC</v>
      </c>
      <c r="H463" s="6" t="s">
        <v>376</v>
      </c>
      <c r="I463" s="6" t="s">
        <v>657</v>
      </c>
      <c r="J463" s="6" t="s">
        <v>345</v>
      </c>
      <c r="K463" s="10">
        <v>7.56</v>
      </c>
      <c r="L463" s="10">
        <v>42</v>
      </c>
      <c r="M463" s="6" t="s">
        <v>375</v>
      </c>
    </row>
    <row r="464" spans="1:13">
      <c r="A464" s="6">
        <v>2023</v>
      </c>
      <c r="B464" s="6">
        <v>2</v>
      </c>
      <c r="C464" s="6" t="s">
        <v>60</v>
      </c>
      <c r="D464" s="6" t="s">
        <v>420</v>
      </c>
      <c r="E464" s="6" t="s">
        <v>373</v>
      </c>
      <c r="F464" s="6" t="str">
        <f>IF($M464="PADD I","PADD 1",IF($M464="PADD II","PADD 2",IF($M464="PADD III","PADD 3",IF($M464="PADD IV","PADD 4",IF($M464="PADD V","PADD 5","")))))</f>
        <v>PADD 2</v>
      </c>
      <c r="G464" s="6">
        <f>IF(AND($H464="ATMOS DISTILLATION",ISNUMBER(SEARCH("VPS",$I464))=FALSE,LEFT($I464,6)&lt;&gt;"VACUUM"),"CDU",IF($H464="FLUID CAT CRACKING","FCC",IF(OR($H464="HYDROCRACKING",$H464="RESID_HYDROCRACKING"),"Hydrocracker",IF($H464="REFORMING","Reformer",""))))</f>
        <v/>
      </c>
      <c r="H464" s="6" t="s">
        <v>43</v>
      </c>
      <c r="I464" s="6" t="s">
        <v>458</v>
      </c>
      <c r="J464" s="6" t="s">
        <v>345</v>
      </c>
      <c r="K464" s="10">
        <v>7.5</v>
      </c>
      <c r="L464" s="10">
        <v>7.5</v>
      </c>
      <c r="M464" s="6" t="s">
        <v>375</v>
      </c>
    </row>
    <row r="465" spans="1:13">
      <c r="A465" s="6">
        <v>2023</v>
      </c>
      <c r="B465" s="6">
        <v>2</v>
      </c>
      <c r="C465" s="6" t="s">
        <v>60</v>
      </c>
      <c r="D465" s="6" t="s">
        <v>490</v>
      </c>
      <c r="E465" s="6" t="s">
        <v>491</v>
      </c>
      <c r="F465" s="6" t="str">
        <f>IF($M465="PADD I","PADD 1",IF($M465="PADD II","PADD 2",IF($M465="PADD III","PADD 3",IF($M465="PADD IV","PADD 4",IF($M465="PADD V","PADD 5","")))))</f>
        <v>PADD 3</v>
      </c>
      <c r="G465" s="6" t="str">
        <f>IF(AND($H465="ATMOS DISTILLATION",ISNUMBER(SEARCH("VPS",$I465))=FALSE,LEFT($I465,6)&lt;&gt;"VACUUM"),"CDU",IF($H465="FLUID CAT CRACKING","FCC",IF(OR($H465="HYDROCRACKING",$H465="RESID_HYDROCRACKING"),"Hydrocracker",IF($H465="REFORMING","Reformer",""))))</f>
        <v>Hydrocracker</v>
      </c>
      <c r="H465" s="6" t="s">
        <v>444</v>
      </c>
      <c r="I465" s="6" t="s">
        <v>658</v>
      </c>
      <c r="J465" s="6" t="s">
        <v>345</v>
      </c>
      <c r="K465" s="10">
        <v>7.35</v>
      </c>
      <c r="L465" s="10">
        <v>105</v>
      </c>
      <c r="M465" s="6" t="s">
        <v>371</v>
      </c>
    </row>
    <row r="466" spans="1:13">
      <c r="A466" s="6">
        <v>2023</v>
      </c>
      <c r="B466" s="6">
        <v>2</v>
      </c>
      <c r="C466" s="6" t="s">
        <v>60</v>
      </c>
      <c r="D466" s="6" t="s">
        <v>457</v>
      </c>
      <c r="E466" s="6" t="s">
        <v>388</v>
      </c>
      <c r="F466" s="6" t="str">
        <f>IF($M466="PADD I","PADD 1",IF($M466="PADD II","PADD 2",IF($M466="PADD III","PADD 3",IF($M466="PADD IV","PADD 4",IF($M466="PADD V","PADD 5","")))))</f>
        <v>PADD 5</v>
      </c>
      <c r="G466" s="6" t="str">
        <f>IF(AND($H466="ATMOS DISTILLATION",ISNUMBER(SEARCH("VPS",$I466))=FALSE,LEFT($I466,6)&lt;&gt;"VACUUM"),"CDU",IF($H466="FLUID CAT CRACKING","FCC",IF(OR($H466="HYDROCRACKING",$H466="RESID_HYDROCRACKING"),"Hydrocracker",IF($H466="REFORMING","Reformer",""))))</f>
        <v>FCC</v>
      </c>
      <c r="H466" s="6" t="s">
        <v>376</v>
      </c>
      <c r="I466" s="6" t="s">
        <v>105</v>
      </c>
      <c r="J466" s="6" t="s">
        <v>345</v>
      </c>
      <c r="K466" s="10">
        <v>7.28</v>
      </c>
      <c r="L466" s="10">
        <v>104</v>
      </c>
      <c r="M466" s="6" t="s">
        <v>386</v>
      </c>
    </row>
    <row r="467" spans="1:13">
      <c r="A467" s="6">
        <v>2023</v>
      </c>
      <c r="B467" s="6">
        <v>2</v>
      </c>
      <c r="C467" s="6" t="s">
        <v>60</v>
      </c>
      <c r="D467" s="6" t="s">
        <v>446</v>
      </c>
      <c r="E467" s="6" t="s">
        <v>391</v>
      </c>
      <c r="F467" s="6" t="str">
        <f>IF($M467="PADD I","PADD 1",IF($M467="PADD II","PADD 2",IF($M467="PADD III","PADD 3",IF($M467="PADD IV","PADD 4",IF($M467="PADD V","PADD 5","")))))</f>
        <v>PADD 3</v>
      </c>
      <c r="G467" s="6">
        <f>IF(AND($H467="ATMOS DISTILLATION",ISNUMBER(SEARCH("VPS",$I467))=FALSE,LEFT($I467,6)&lt;&gt;"VACUUM"),"CDU",IF($H467="FLUID CAT CRACKING","FCC",IF(OR($H467="HYDROCRACKING",$H467="RESID_HYDROCRACKING"),"Hydrocracker",IF($H467="REFORMING","Reformer",""))))</f>
        <v/>
      </c>
      <c r="H467" s="6" t="s">
        <v>460</v>
      </c>
      <c r="I467" s="6" t="s">
        <v>580</v>
      </c>
      <c r="J467" s="6" t="s">
        <v>345</v>
      </c>
      <c r="K467" s="10">
        <v>7.2</v>
      </c>
      <c r="L467" s="10">
        <v>7.2</v>
      </c>
      <c r="M467" s="6" t="s">
        <v>371</v>
      </c>
    </row>
    <row r="468" spans="1:13">
      <c r="A468" s="6">
        <v>2023</v>
      </c>
      <c r="B468" s="6">
        <v>2</v>
      </c>
      <c r="C468" s="6" t="s">
        <v>60</v>
      </c>
      <c r="D468" s="6" t="s">
        <v>465</v>
      </c>
      <c r="E468" s="6" t="s">
        <v>369</v>
      </c>
      <c r="F468" s="6" t="str">
        <f>IF($M468="PADD I","PADD 1",IF($M468="PADD II","PADD 2",IF($M468="PADD III","PADD 3",IF($M468="PADD IV","PADD 4",IF($M468="PADD V","PADD 5","")))))</f>
        <v>PADD 5</v>
      </c>
      <c r="G468" s="6" t="str">
        <f>IF(AND($H468="ATMOS DISTILLATION",ISNUMBER(SEARCH("VPS",$I468))=FALSE,LEFT($I468,6)&lt;&gt;"VACUUM"),"CDU",IF($H468="FLUID CAT CRACKING","FCC",IF(OR($H468="HYDROCRACKING",$H468="RESID_HYDROCRACKING"),"Hydrocracker",IF($H468="REFORMING","Reformer",""))))</f>
        <v>FCC</v>
      </c>
      <c r="H468" s="6" t="s">
        <v>376</v>
      </c>
      <c r="I468" s="6" t="s">
        <v>105</v>
      </c>
      <c r="J468" s="6" t="s">
        <v>349</v>
      </c>
      <c r="K468" s="10">
        <v>7</v>
      </c>
      <c r="L468" s="10">
        <v>50</v>
      </c>
      <c r="M468" s="6" t="s">
        <v>386</v>
      </c>
    </row>
    <row r="469" spans="1:13">
      <c r="A469" s="6">
        <v>2023</v>
      </c>
      <c r="B469" s="6">
        <v>2</v>
      </c>
      <c r="C469" s="6" t="s">
        <v>60</v>
      </c>
      <c r="D469" s="6" t="s">
        <v>659</v>
      </c>
      <c r="E469" s="6" t="s">
        <v>660</v>
      </c>
      <c r="F469" s="6" t="str">
        <f>IF($M469="PADD I","PADD 1",IF($M469="PADD II","PADD 2",IF($M469="PADD III","PADD 3",IF($M469="PADD IV","PADD 4",IF($M469="PADD V","PADD 5","")))))</f>
        <v>PADD 3</v>
      </c>
      <c r="G469" s="6" t="str">
        <f>IF(AND($H469="ATMOS DISTILLATION",ISNUMBER(SEARCH("VPS",$I469))=FALSE,LEFT($I469,6)&lt;&gt;"VACUUM"),"CDU",IF($H469="FLUID CAT CRACKING","FCC",IF(OR($H469="HYDROCRACKING",$H469="RESID_HYDROCRACKING"),"Hydrocracker",IF($H469="REFORMING","Reformer",""))))</f>
        <v>CDU</v>
      </c>
      <c r="H469" s="6" t="s">
        <v>38</v>
      </c>
      <c r="I469" s="6" t="s">
        <v>81</v>
      </c>
      <c r="J469" s="6" t="s">
        <v>349</v>
      </c>
      <c r="K469" s="10">
        <v>6.8</v>
      </c>
      <c r="L469" s="10">
        <v>10</v>
      </c>
      <c r="M469" s="6" t="s">
        <v>371</v>
      </c>
    </row>
    <row r="470" spans="1:13">
      <c r="A470" s="6">
        <v>2023</v>
      </c>
      <c r="B470" s="6">
        <v>2</v>
      </c>
      <c r="C470" s="6" t="s">
        <v>60</v>
      </c>
      <c r="D470" s="6" t="s">
        <v>429</v>
      </c>
      <c r="E470" s="6" t="s">
        <v>388</v>
      </c>
      <c r="F470" s="6" t="str">
        <f>IF($M470="PADD I","PADD 1",IF($M470="PADD II","PADD 2",IF($M470="PADD III","PADD 3",IF($M470="PADD IV","PADD 4",IF($M470="PADD V","PADD 5","")))))</f>
        <v>PADD 4</v>
      </c>
      <c r="G470" s="6">
        <f>IF(AND($H470="ATMOS DISTILLATION",ISNUMBER(SEARCH("VPS",$I470))=FALSE,LEFT($I470,6)&lt;&gt;"VACUUM"),"CDU",IF($H470="FLUID CAT CRACKING","FCC",IF(OR($H470="HYDROCRACKING",$H470="RESID_HYDROCRACKING"),"Hydrocracker",IF($H470="REFORMING","Reformer",""))))</f>
        <v/>
      </c>
      <c r="H470" s="6" t="s">
        <v>43</v>
      </c>
      <c r="I470" s="6" t="s">
        <v>514</v>
      </c>
      <c r="J470" s="6" t="s">
        <v>345</v>
      </c>
      <c r="K470" s="10">
        <v>6.669</v>
      </c>
      <c r="L470" s="10">
        <v>17.1</v>
      </c>
      <c r="M470" s="6" t="s">
        <v>430</v>
      </c>
    </row>
    <row r="471" spans="1:13">
      <c r="A471" s="6">
        <v>2023</v>
      </c>
      <c r="B471" s="6">
        <v>2</v>
      </c>
      <c r="C471" s="6" t="s">
        <v>60</v>
      </c>
      <c r="D471" s="6" t="s">
        <v>490</v>
      </c>
      <c r="E471" s="6" t="s">
        <v>491</v>
      </c>
      <c r="F471" s="6" t="str">
        <f>IF($M471="PADD I","PADD 1",IF($M471="PADD II","PADD 2",IF($M471="PADD III","PADD 3",IF($M471="PADD IV","PADD 4",IF($M471="PADD V","PADD 5","")))))</f>
        <v>PADD 3</v>
      </c>
      <c r="G471" s="6">
        <f>IF(AND($H471="ATMOS DISTILLATION",ISNUMBER(SEARCH("VPS",$I471))=FALSE,LEFT($I471,6)&lt;&gt;"VACUUM"),"CDU",IF($H471="FLUID CAT CRACKING","FCC",IF(OR($H471="HYDROCRACKING",$H471="RESID_HYDROCRACKING"),"Hydrocracker",IF($H471="REFORMING","Reformer",""))))</f>
        <v/>
      </c>
      <c r="H471" s="6" t="s">
        <v>435</v>
      </c>
      <c r="I471" s="6" t="s">
        <v>643</v>
      </c>
      <c r="J471" s="6" t="s">
        <v>345</v>
      </c>
      <c r="K471" s="10">
        <v>6.65</v>
      </c>
      <c r="L471" s="10">
        <v>95</v>
      </c>
      <c r="M471" s="6" t="s">
        <v>371</v>
      </c>
    </row>
    <row r="472" spans="1:13">
      <c r="A472" s="6">
        <v>2023</v>
      </c>
      <c r="B472" s="6">
        <v>2</v>
      </c>
      <c r="C472" s="6" t="s">
        <v>60</v>
      </c>
      <c r="D472" s="6" t="s">
        <v>372</v>
      </c>
      <c r="E472" s="6" t="s">
        <v>373</v>
      </c>
      <c r="F472" s="6" t="str">
        <f>IF($M472="PADD I","PADD 1",IF($M472="PADD II","PADD 2",IF($M472="PADD III","PADD 3",IF($M472="PADD IV","PADD 4",IF($M472="PADD V","PADD 5","")))))</f>
        <v>PADD 2</v>
      </c>
      <c r="G472" s="6">
        <f>IF(AND($H472="ATMOS DISTILLATION",ISNUMBER(SEARCH("VPS",$I472))=FALSE,LEFT($I472,6)&lt;&gt;"VACUUM"),"CDU",IF($H472="FLUID CAT CRACKING","FCC",IF(OR($H472="HYDROCRACKING",$H472="RESID_HYDROCRACKING"),"Hydrocracker",IF($H472="REFORMING","Reformer",""))))</f>
        <v/>
      </c>
      <c r="H472" s="6" t="s">
        <v>435</v>
      </c>
      <c r="I472" s="6" t="s">
        <v>584</v>
      </c>
      <c r="J472" s="6" t="s">
        <v>345</v>
      </c>
      <c r="K472" s="10">
        <v>6.5</v>
      </c>
      <c r="L472" s="10">
        <v>6.5</v>
      </c>
      <c r="M472" s="6" t="s">
        <v>375</v>
      </c>
    </row>
    <row r="473" spans="1:13">
      <c r="A473" s="6">
        <v>2023</v>
      </c>
      <c r="B473" s="6">
        <v>2</v>
      </c>
      <c r="C473" s="6" t="s">
        <v>60</v>
      </c>
      <c r="D473" s="6" t="s">
        <v>518</v>
      </c>
      <c r="E473" s="6" t="s">
        <v>369</v>
      </c>
      <c r="F473" s="6" t="str">
        <f>IF($M473="PADD I","PADD 1",IF($M473="PADD II","PADD 2",IF($M473="PADD III","PADD 3",IF($M473="PADD IV","PADD 4",IF($M473="PADD V","PADD 5","")))))</f>
        <v>PADD 5</v>
      </c>
      <c r="G473" s="6">
        <f>IF(AND($H473="ATMOS DISTILLATION",ISNUMBER(SEARCH("VPS",$I473))=FALSE,LEFT($I473,6)&lt;&gt;"VACUUM"),"CDU",IF($H473="FLUID CAT CRACKING","FCC",IF(OR($H473="HYDROCRACKING",$H473="RESID_HYDROCRACKING"),"Hydrocracker",IF($H473="REFORMING","Reformer",""))))</f>
        <v/>
      </c>
      <c r="H473" s="6" t="s">
        <v>568</v>
      </c>
      <c r="I473" s="6" t="s">
        <v>617</v>
      </c>
      <c r="J473" s="6" t="s">
        <v>345</v>
      </c>
      <c r="K473" s="10">
        <v>6.5</v>
      </c>
      <c r="L473" s="10">
        <v>6.5</v>
      </c>
      <c r="M473" s="6" t="s">
        <v>386</v>
      </c>
    </row>
    <row r="474" spans="1:13">
      <c r="A474" s="6">
        <v>2023</v>
      </c>
      <c r="B474" s="6">
        <v>2</v>
      </c>
      <c r="C474" s="6" t="s">
        <v>60</v>
      </c>
      <c r="D474" s="6" t="s">
        <v>547</v>
      </c>
      <c r="E474" s="6" t="s">
        <v>391</v>
      </c>
      <c r="F474" s="6" t="str">
        <f>IF($M474="PADD I","PADD 1",IF($M474="PADD II","PADD 2",IF($M474="PADD III","PADD 3",IF($M474="PADD IV","PADD 4",IF($M474="PADD V","PADD 5","")))))</f>
        <v>PADD 5</v>
      </c>
      <c r="G474" s="6" t="str">
        <f>IF(AND($H474="ATMOS DISTILLATION",ISNUMBER(SEARCH("VPS",$I474))=FALSE,LEFT($I474,6)&lt;&gt;"VACUUM"),"CDU",IF($H474="FLUID CAT CRACKING","FCC",IF(OR($H474="HYDROCRACKING",$H474="RESID_HYDROCRACKING"),"Hydrocracker",IF($H474="REFORMING","Reformer",""))))</f>
        <v>Reformer</v>
      </c>
      <c r="H474" s="6" t="s">
        <v>421</v>
      </c>
      <c r="I474" s="6" t="s">
        <v>548</v>
      </c>
      <c r="J474" s="6" t="s">
        <v>345</v>
      </c>
      <c r="K474" s="10">
        <v>5.88</v>
      </c>
      <c r="L474" s="10">
        <v>28</v>
      </c>
      <c r="M474" s="6" t="s">
        <v>386</v>
      </c>
    </row>
    <row r="475" spans="1:13">
      <c r="A475" s="6">
        <v>2023</v>
      </c>
      <c r="B475" s="6">
        <v>2</v>
      </c>
      <c r="C475" s="6" t="s">
        <v>60</v>
      </c>
      <c r="D475" s="6" t="s">
        <v>331</v>
      </c>
      <c r="E475" s="6" t="s">
        <v>373</v>
      </c>
      <c r="F475" s="6" t="str">
        <f>IF($M475="PADD I","PADD 1",IF($M475="PADD II","PADD 2",IF($M475="PADD III","PADD 3",IF($M475="PADD IV","PADD 4",IF($M475="PADD V","PADD 5","")))))</f>
        <v>PADD 2</v>
      </c>
      <c r="G475" s="6">
        <f>IF(AND($H475="ATMOS DISTILLATION",ISNUMBER(SEARCH("VPS",$I475))=FALSE,LEFT($I475,6)&lt;&gt;"VACUUM"),"CDU",IF($H475="FLUID CAT CRACKING","FCC",IF(OR($H475="HYDROCRACKING",$H475="RESID_HYDROCRACKING"),"Hydrocracker",IF($H475="REFORMING","Reformer",""))))</f>
        <v/>
      </c>
      <c r="H475" s="6" t="s">
        <v>435</v>
      </c>
      <c r="I475" s="6" t="s">
        <v>441</v>
      </c>
      <c r="J475" s="6" t="s">
        <v>345</v>
      </c>
      <c r="K475" s="10">
        <v>5.75</v>
      </c>
      <c r="L475" s="10">
        <v>23</v>
      </c>
      <c r="M475" s="6" t="s">
        <v>375</v>
      </c>
    </row>
    <row r="476" spans="1:13">
      <c r="A476" s="6">
        <v>2023</v>
      </c>
      <c r="B476" s="6">
        <v>2</v>
      </c>
      <c r="C476" s="6" t="s">
        <v>60</v>
      </c>
      <c r="D476" s="6" t="s">
        <v>437</v>
      </c>
      <c r="E476" s="6" t="s">
        <v>438</v>
      </c>
      <c r="F476" s="6" t="str">
        <f>IF($M476="PADD I","PADD 1",IF($M476="PADD II","PADD 2",IF($M476="PADD III","PADD 3",IF($M476="PADD IV","PADD 4",IF($M476="PADD V","PADD 5","")))))</f>
        <v>PADD 4</v>
      </c>
      <c r="G476" s="6" t="str">
        <f>IF(AND($H476="ATMOS DISTILLATION",ISNUMBER(SEARCH("VPS",$I476))=FALSE,LEFT($I476,6)&lt;&gt;"VACUUM"),"CDU",IF($H476="FLUID CAT CRACKING","FCC",IF(OR($H476="HYDROCRACKING",$H476="RESID_HYDROCRACKING"),"Hydrocracker",IF($H476="REFORMING","Reformer",""))))</f>
        <v>FCC</v>
      </c>
      <c r="H476" s="6" t="s">
        <v>376</v>
      </c>
      <c r="I476" s="6" t="s">
        <v>428</v>
      </c>
      <c r="J476" s="6" t="s">
        <v>345</v>
      </c>
      <c r="K476" s="10">
        <v>5.673</v>
      </c>
      <c r="L476" s="10">
        <v>9.300000000000001</v>
      </c>
      <c r="M476" s="6" t="s">
        <v>430</v>
      </c>
    </row>
    <row r="477" spans="1:13">
      <c r="A477" s="6">
        <v>2023</v>
      </c>
      <c r="B477" s="6">
        <v>2</v>
      </c>
      <c r="C477" s="6" t="s">
        <v>60</v>
      </c>
      <c r="D477" s="6" t="s">
        <v>420</v>
      </c>
      <c r="E477" s="6" t="s">
        <v>373</v>
      </c>
      <c r="F477" s="6" t="str">
        <f>IF($M477="PADD I","PADD 1",IF($M477="PADD II","PADD 2",IF($M477="PADD III","PADD 3",IF($M477="PADD IV","PADD 4",IF($M477="PADD V","PADD 5","")))))</f>
        <v>PADD 2</v>
      </c>
      <c r="G477" s="6">
        <f>IF(AND($H477="ATMOS DISTILLATION",ISNUMBER(SEARCH("VPS",$I477))=FALSE,LEFT($I477,6)&lt;&gt;"VACUUM"),"CDU",IF($H477="FLUID CAT CRACKING","FCC",IF(OR($H477="HYDROCRACKING",$H477="RESID_HYDROCRACKING"),"Hydrocracker",IF($H477="REFORMING","Reformer",""))))</f>
        <v/>
      </c>
      <c r="H477" s="6" t="s">
        <v>43</v>
      </c>
      <c r="I477" s="6" t="s">
        <v>588</v>
      </c>
      <c r="J477" s="6" t="s">
        <v>345</v>
      </c>
      <c r="K477" s="10">
        <v>5.5</v>
      </c>
      <c r="L477" s="10">
        <v>5.5</v>
      </c>
      <c r="M477" s="6" t="s">
        <v>375</v>
      </c>
    </row>
    <row r="478" spans="1:13">
      <c r="A478" s="6">
        <v>2023</v>
      </c>
      <c r="B478" s="6">
        <v>2</v>
      </c>
      <c r="C478" s="6" t="s">
        <v>60</v>
      </c>
      <c r="D478" s="6" t="s">
        <v>437</v>
      </c>
      <c r="E478" s="6" t="s">
        <v>438</v>
      </c>
      <c r="F478" s="6" t="str">
        <f>IF($M478="PADD I","PADD 1",IF($M478="PADD II","PADD 2",IF($M478="PADD III","PADD 3",IF($M478="PADD IV","PADD 4",IF($M478="PADD V","PADD 5","")))))</f>
        <v>PADD 4</v>
      </c>
      <c r="G478" s="6" t="str">
        <f>IF(AND($H478="ATMOS DISTILLATION",ISNUMBER(SEARCH("VPS",$I478))=FALSE,LEFT($I478,6)&lt;&gt;"VACUUM"),"CDU",IF($H478="FLUID CAT CRACKING","FCC",IF(OR($H478="HYDROCRACKING",$H478="RESID_HYDROCRACKING"),"Hydrocracker",IF($H478="REFORMING","Reformer",""))))</f>
        <v>Reformer</v>
      </c>
      <c r="H478" s="6" t="s">
        <v>421</v>
      </c>
      <c r="I478" s="6" t="s">
        <v>557</v>
      </c>
      <c r="J478" s="6" t="s">
        <v>345</v>
      </c>
      <c r="K478" s="10">
        <v>5.5</v>
      </c>
      <c r="L478" s="10">
        <v>5.5</v>
      </c>
      <c r="M478" s="6" t="s">
        <v>430</v>
      </c>
    </row>
    <row r="479" spans="1:13">
      <c r="A479" s="6">
        <v>2023</v>
      </c>
      <c r="B479" s="6">
        <v>2</v>
      </c>
      <c r="C479" s="6" t="s">
        <v>60</v>
      </c>
      <c r="D479" s="6" t="s">
        <v>602</v>
      </c>
      <c r="E479" s="6" t="s">
        <v>369</v>
      </c>
      <c r="F479" s="6" t="str">
        <f>IF($M479="PADD I","PADD 1",IF($M479="PADD II","PADD 2",IF($M479="PADD III","PADD 3",IF($M479="PADD IV","PADD 4",IF($M479="PADD V","PADD 5","")))))</f>
        <v>PADD 2</v>
      </c>
      <c r="G479" s="6" t="str">
        <f>IF(AND($H479="ATMOS DISTILLATION",ISNUMBER(SEARCH("VPS",$I479))=FALSE,LEFT($I479,6)&lt;&gt;"VACUUM"),"CDU",IF($H479="FLUID CAT CRACKING","FCC",IF(OR($H479="HYDROCRACKING",$H479="RESID_HYDROCRACKING"),"Hydrocracker",IF($H479="REFORMING","Reformer",""))))</f>
        <v>CDU</v>
      </c>
      <c r="H479" s="6" t="s">
        <v>38</v>
      </c>
      <c r="I479" s="6" t="s">
        <v>661</v>
      </c>
      <c r="J479" s="6" t="s">
        <v>345</v>
      </c>
      <c r="K479" s="10">
        <v>5.32</v>
      </c>
      <c r="L479" s="10">
        <v>38</v>
      </c>
      <c r="M479" s="6" t="s">
        <v>375</v>
      </c>
    </row>
    <row r="480" spans="1:13">
      <c r="A480" s="6">
        <v>2023</v>
      </c>
      <c r="B480" s="6">
        <v>2</v>
      </c>
      <c r="C480" s="6" t="s">
        <v>60</v>
      </c>
      <c r="D480" s="6" t="s">
        <v>531</v>
      </c>
      <c r="E480" s="6" t="s">
        <v>532</v>
      </c>
      <c r="F480" s="6" t="str">
        <f>IF($M480="PADD I","PADD 1",IF($M480="PADD II","PADD 2",IF($M480="PADD III","PADD 3",IF($M480="PADD IV","PADD 4",IF($M480="PADD V","PADD 5","")))))</f>
        <v>PADD 5</v>
      </c>
      <c r="G480" s="6">
        <f>IF(AND($H480="ATMOS DISTILLATION",ISNUMBER(SEARCH("VPS",$I480))=FALSE,LEFT($I480,6)&lt;&gt;"VACUUM"),"CDU",IF($H480="FLUID CAT CRACKING","FCC",IF(OR($H480="HYDROCRACKING",$H480="RESID_HYDROCRACKING"),"Hydrocracker",IF($H480="REFORMING","Reformer",""))))</f>
        <v/>
      </c>
      <c r="H480" s="6" t="s">
        <v>435</v>
      </c>
      <c r="I480" s="6" t="s">
        <v>614</v>
      </c>
      <c r="J480" s="6" t="s">
        <v>345</v>
      </c>
      <c r="K480" s="10">
        <v>5.265</v>
      </c>
      <c r="L480" s="10">
        <v>13.5</v>
      </c>
      <c r="M480" s="6" t="s">
        <v>386</v>
      </c>
    </row>
    <row r="481" spans="1:13">
      <c r="A481" s="6">
        <v>2023</v>
      </c>
      <c r="B481" s="6">
        <v>2</v>
      </c>
      <c r="C481" s="6" t="s">
        <v>60</v>
      </c>
      <c r="D481" s="6" t="s">
        <v>662</v>
      </c>
      <c r="E481" s="6" t="s">
        <v>552</v>
      </c>
      <c r="F481" s="6" t="str">
        <f>IF($M481="PADD I","PADD 1",IF($M481="PADD II","PADD 2",IF($M481="PADD III","PADD 3",IF($M481="PADD IV","PADD 4",IF($M481="PADD V","PADD 5","")))))</f>
        <v>PADD 3</v>
      </c>
      <c r="G481" s="6" t="str">
        <f>IF(AND($H481="ATMOS DISTILLATION",ISNUMBER(SEARCH("VPS",$I481))=FALSE,LEFT($I481,6)&lt;&gt;"VACUUM"),"CDU",IF($H481="FLUID CAT CRACKING","FCC",IF(OR($H481="HYDROCRACKING",$H481="RESID_HYDROCRACKING"),"Hydrocracker",IF($H481="REFORMING","Reformer",""))))</f>
        <v>CDU</v>
      </c>
      <c r="H481" s="6" t="s">
        <v>38</v>
      </c>
      <c r="I481" s="6" t="s">
        <v>663</v>
      </c>
      <c r="J481" s="6" t="s">
        <v>345</v>
      </c>
      <c r="K481" s="10">
        <v>5.11</v>
      </c>
      <c r="L481" s="10">
        <v>73</v>
      </c>
      <c r="M481" s="6" t="s">
        <v>371</v>
      </c>
    </row>
    <row r="482" spans="1:13">
      <c r="A482" s="6">
        <v>2023</v>
      </c>
      <c r="B482" s="6">
        <v>2</v>
      </c>
      <c r="C482" s="6" t="s">
        <v>60</v>
      </c>
      <c r="D482" s="6" t="s">
        <v>402</v>
      </c>
      <c r="E482" s="6" t="s">
        <v>403</v>
      </c>
      <c r="F482" s="6" t="str">
        <f>IF($M482="PADD I","PADD 1",IF($M482="PADD II","PADD 2",IF($M482="PADD III","PADD 3",IF($M482="PADD IV","PADD 4",IF($M482="PADD V","PADD 5","")))))</f>
        <v>PADD 3</v>
      </c>
      <c r="G482" s="6">
        <f>IF(AND($H482="ATMOS DISTILLATION",ISNUMBER(SEARCH("VPS",$I482))=FALSE,LEFT($I482,6)&lt;&gt;"VACUUM"),"CDU",IF($H482="FLUID CAT CRACKING","FCC",IF(OR($H482="HYDROCRACKING",$H482="RESID_HYDROCRACKING"),"Hydrocracker",IF($H482="REFORMING","Reformer",""))))</f>
        <v/>
      </c>
      <c r="H482" s="6" t="s">
        <v>568</v>
      </c>
      <c r="I482" s="6" t="s">
        <v>600</v>
      </c>
      <c r="J482" s="6" t="s">
        <v>349</v>
      </c>
      <c r="K482" s="10">
        <v>5</v>
      </c>
      <c r="L482" s="10">
        <v>5</v>
      </c>
      <c r="M482" s="6" t="s">
        <v>371</v>
      </c>
    </row>
    <row r="483" spans="1:13">
      <c r="A483" s="6">
        <v>2023</v>
      </c>
      <c r="B483" s="6">
        <v>2</v>
      </c>
      <c r="C483" s="6" t="s">
        <v>60</v>
      </c>
      <c r="D483" s="6" t="s">
        <v>531</v>
      </c>
      <c r="E483" s="6" t="s">
        <v>532</v>
      </c>
      <c r="F483" s="6" t="str">
        <f>IF($M483="PADD I","PADD 1",IF($M483="PADD II","PADD 2",IF($M483="PADD III","PADD 3",IF($M483="PADD IV","PADD 4",IF($M483="PADD V","PADD 5","")))))</f>
        <v>PADD 5</v>
      </c>
      <c r="G483" s="6">
        <f>IF(AND($H483="ATMOS DISTILLATION",ISNUMBER(SEARCH("VPS",$I483))=FALSE,LEFT($I483,6)&lt;&gt;"VACUUM"),"CDU",IF($H483="FLUID CAT CRACKING","FCC",IF(OR($H483="HYDROCRACKING",$H483="RESID_HYDROCRACKING"),"Hydrocracker",IF($H483="REFORMING","Reformer",""))))</f>
        <v/>
      </c>
      <c r="H483" s="6" t="s">
        <v>460</v>
      </c>
      <c r="I483" s="6" t="s">
        <v>616</v>
      </c>
      <c r="J483" s="6" t="s">
        <v>345</v>
      </c>
      <c r="K483" s="10">
        <v>4.9725</v>
      </c>
      <c r="L483" s="10">
        <v>12.75</v>
      </c>
      <c r="M483" s="6" t="s">
        <v>386</v>
      </c>
    </row>
    <row r="484" spans="1:13">
      <c r="A484" s="6">
        <v>2023</v>
      </c>
      <c r="B484" s="6">
        <v>2</v>
      </c>
      <c r="C484" s="6" t="s">
        <v>60</v>
      </c>
      <c r="D484" s="6" t="s">
        <v>465</v>
      </c>
      <c r="E484" s="6" t="s">
        <v>369</v>
      </c>
      <c r="F484" s="6" t="str">
        <f>IF($M484="PADD I","PADD 1",IF($M484="PADD II","PADD 2",IF($M484="PADD III","PADD 3",IF($M484="PADD IV","PADD 4",IF($M484="PADD V","PADD 5","")))))</f>
        <v>PADD 5</v>
      </c>
      <c r="G484" s="6">
        <f>IF(AND($H484="ATMOS DISTILLATION",ISNUMBER(SEARCH("VPS",$I484))=FALSE,LEFT($I484,6)&lt;&gt;"VACUUM"),"CDU",IF($H484="FLUID CAT CRACKING","FCC",IF(OR($H484="HYDROCRACKING",$H484="RESID_HYDROCRACKING"),"Hydrocracker",IF($H484="REFORMING","Reformer",""))))</f>
        <v/>
      </c>
      <c r="H484" s="6" t="s">
        <v>43</v>
      </c>
      <c r="I484" s="6" t="s">
        <v>664</v>
      </c>
      <c r="J484" s="6" t="s">
        <v>349</v>
      </c>
      <c r="K484" s="10">
        <v>4.9</v>
      </c>
      <c r="L484" s="10">
        <v>35</v>
      </c>
      <c r="M484" s="6" t="s">
        <v>386</v>
      </c>
    </row>
    <row r="485" spans="1:13">
      <c r="A485" s="6">
        <v>2023</v>
      </c>
      <c r="B485" s="6">
        <v>2</v>
      </c>
      <c r="C485" s="6" t="s">
        <v>60</v>
      </c>
      <c r="D485" s="6" t="s">
        <v>319</v>
      </c>
      <c r="E485" s="6" t="s">
        <v>665</v>
      </c>
      <c r="F485" s="6" t="str">
        <f>IF($M485="PADD I","PADD 1",IF($M485="PADD II","PADD 2",IF($M485="PADD III","PADD 3",IF($M485="PADD IV","PADD 4",IF($M485="PADD V","PADD 5","")))))</f>
        <v>PADD 3</v>
      </c>
      <c r="G485" s="6" t="str">
        <f>IF(AND($H485="ATMOS DISTILLATION",ISNUMBER(SEARCH("VPS",$I485))=FALSE,LEFT($I485,6)&lt;&gt;"VACUUM"),"CDU",IF($H485="FLUID CAT CRACKING","FCC",IF(OR($H485="HYDROCRACKING",$H485="RESID_HYDROCRACKING"),"Hydrocracker",IF($H485="REFORMING","Reformer",""))))</f>
        <v>Hydrocracker</v>
      </c>
      <c r="H485" s="6" t="s">
        <v>444</v>
      </c>
      <c r="I485" s="6" t="s">
        <v>14</v>
      </c>
      <c r="J485" s="6" t="s">
        <v>345</v>
      </c>
      <c r="K485" s="10">
        <v>4.84</v>
      </c>
      <c r="L485" s="10">
        <v>44</v>
      </c>
      <c r="M485" s="6" t="s">
        <v>371</v>
      </c>
    </row>
    <row r="486" spans="1:13">
      <c r="A486" s="6">
        <v>2023</v>
      </c>
      <c r="B486" s="6">
        <v>2</v>
      </c>
      <c r="C486" s="6" t="s">
        <v>60</v>
      </c>
      <c r="D486" s="6" t="s">
        <v>402</v>
      </c>
      <c r="E486" s="6" t="s">
        <v>403</v>
      </c>
      <c r="F486" s="6" t="str">
        <f>IF($M486="PADD I","PADD 1",IF($M486="PADD II","PADD 2",IF($M486="PADD III","PADD 3",IF($M486="PADD IV","PADD 4",IF($M486="PADD V","PADD 5","")))))</f>
        <v>PADD 3</v>
      </c>
      <c r="G486" s="6">
        <f>IF(AND($H486="ATMOS DISTILLATION",ISNUMBER(SEARCH("VPS",$I486))=FALSE,LEFT($I486,6)&lt;&gt;"VACUUM"),"CDU",IF($H486="FLUID CAT CRACKING","FCC",IF(OR($H486="HYDROCRACKING",$H486="RESID_HYDROCRACKING"),"Hydrocracker",IF($H486="REFORMING","Reformer",""))))</f>
        <v/>
      </c>
      <c r="H486" s="6" t="s">
        <v>460</v>
      </c>
      <c r="I486" s="6" t="s">
        <v>603</v>
      </c>
      <c r="J486" s="6" t="s">
        <v>349</v>
      </c>
      <c r="K486" s="10">
        <v>4.8</v>
      </c>
      <c r="L486" s="10">
        <v>4.8</v>
      </c>
      <c r="M486" s="6" t="s">
        <v>371</v>
      </c>
    </row>
    <row r="487" spans="1:13">
      <c r="A487" s="6">
        <v>2023</v>
      </c>
      <c r="B487" s="6">
        <v>2</v>
      </c>
      <c r="C487" s="6" t="s">
        <v>60</v>
      </c>
      <c r="D487" s="6" t="s">
        <v>531</v>
      </c>
      <c r="E487" s="6" t="s">
        <v>532</v>
      </c>
      <c r="F487" s="6" t="str">
        <f>IF($M487="PADD I","PADD 1",IF($M487="PADD II","PADD 2",IF($M487="PADD III","PADD 3",IF($M487="PADD IV","PADD 4",IF($M487="PADD V","PADD 5","")))))</f>
        <v>PADD 5</v>
      </c>
      <c r="G487" s="6" t="str">
        <f>IF(AND($H487="ATMOS DISTILLATION",ISNUMBER(SEARCH("VPS",$I487))=FALSE,LEFT($I487,6)&lt;&gt;"VACUUM"),"CDU",IF($H487="FLUID CAT CRACKING","FCC",IF(OR($H487="HYDROCRACKING",$H487="RESID_HYDROCRACKING"),"Hydrocracker",IF($H487="REFORMING","Reformer",""))))</f>
        <v>Hydrocracker</v>
      </c>
      <c r="H487" s="6" t="s">
        <v>444</v>
      </c>
      <c r="I487" s="6" t="s">
        <v>14</v>
      </c>
      <c r="J487" s="6" t="s">
        <v>345</v>
      </c>
      <c r="K487" s="10">
        <v>4.68</v>
      </c>
      <c r="L487" s="10">
        <v>12</v>
      </c>
      <c r="M487" s="6" t="s">
        <v>386</v>
      </c>
    </row>
    <row r="488" spans="1:13">
      <c r="A488" s="6">
        <v>2023</v>
      </c>
      <c r="B488" s="6">
        <v>2</v>
      </c>
      <c r="C488" s="6" t="s">
        <v>60</v>
      </c>
      <c r="D488" s="6" t="s">
        <v>659</v>
      </c>
      <c r="E488" s="6" t="s">
        <v>660</v>
      </c>
      <c r="F488" s="6" t="str">
        <f>IF($M488="PADD I","PADD 1",IF($M488="PADD II","PADD 2",IF($M488="PADD III","PADD 3",IF($M488="PADD IV","PADD 4",IF($M488="PADD V","PADD 5","")))))</f>
        <v>PADD 3</v>
      </c>
      <c r="G488" s="6">
        <f>IF(AND($H488="ATMOS DISTILLATION",ISNUMBER(SEARCH("VPS",$I488))=FALSE,LEFT($I488,6)&lt;&gt;"VACUUM"),"CDU",IF($H488="FLUID CAT CRACKING","FCC",IF(OR($H488="HYDROCRACKING",$H488="RESID_HYDROCRACKING"),"Hydrocracker",IF($H488="REFORMING","Reformer",""))))</f>
        <v/>
      </c>
      <c r="H488" s="6" t="s">
        <v>378</v>
      </c>
      <c r="I488" s="6" t="s">
        <v>431</v>
      </c>
      <c r="J488" s="6" t="s">
        <v>349</v>
      </c>
      <c r="K488" s="10">
        <v>4.42</v>
      </c>
      <c r="L488" s="10">
        <v>6.5</v>
      </c>
      <c r="M488" s="6" t="s">
        <v>371</v>
      </c>
    </row>
    <row r="489" spans="1:13">
      <c r="A489" s="6">
        <v>2023</v>
      </c>
      <c r="B489" s="6">
        <v>2</v>
      </c>
      <c r="C489" s="6" t="s">
        <v>60</v>
      </c>
      <c r="D489" s="6" t="s">
        <v>615</v>
      </c>
      <c r="E489" s="6" t="s">
        <v>405</v>
      </c>
      <c r="F489" s="6" t="str">
        <f>IF($M489="PADD I","PADD 1",IF($M489="PADD II","PADD 2",IF($M489="PADD III","PADD 3",IF($M489="PADD IV","PADD 4",IF($M489="PADD V","PADD 5","")))))</f>
        <v>PADD 5</v>
      </c>
      <c r="G489" s="6" t="str">
        <f>IF(AND($H489="ATMOS DISTILLATION",ISNUMBER(SEARCH("VPS",$I489))=FALSE,LEFT($I489,6)&lt;&gt;"VACUUM"),"CDU",IF($H489="FLUID CAT CRACKING","FCC",IF(OR($H489="HYDROCRACKING",$H489="RESID_HYDROCRACKING"),"Hydrocracker",IF($H489="REFORMING","Reformer",""))))</f>
        <v>Reformer</v>
      </c>
      <c r="H489" s="6" t="s">
        <v>421</v>
      </c>
      <c r="I489" s="6" t="s">
        <v>666</v>
      </c>
      <c r="J489" s="6" t="s">
        <v>349</v>
      </c>
      <c r="K489" s="10">
        <v>4.4</v>
      </c>
      <c r="L489" s="10">
        <v>40</v>
      </c>
      <c r="M489" s="6" t="s">
        <v>386</v>
      </c>
    </row>
    <row r="490" spans="1:13">
      <c r="A490" s="6">
        <v>2023</v>
      </c>
      <c r="B490" s="6">
        <v>2</v>
      </c>
      <c r="C490" s="6" t="s">
        <v>60</v>
      </c>
      <c r="D490" s="6" t="s">
        <v>440</v>
      </c>
      <c r="E490" s="6" t="s">
        <v>369</v>
      </c>
      <c r="F490" s="6" t="str">
        <f>IF($M490="PADD I","PADD 1",IF($M490="PADD II","PADD 2",IF($M490="PADD III","PADD 3",IF($M490="PADD IV","PADD 4",IF($M490="PADD V","PADD 5","")))))</f>
        <v>PADD 5</v>
      </c>
      <c r="G490" s="6">
        <f>IF(AND($H490="ATMOS DISTILLATION",ISNUMBER(SEARCH("VPS",$I490))=FALSE,LEFT($I490,6)&lt;&gt;"VACUUM"),"CDU",IF($H490="FLUID CAT CRACKING","FCC",IF(OR($H490="HYDROCRACKING",$H490="RESID_HYDROCRACKING"),"Hydrocracker",IF($H490="REFORMING","Reformer",""))))</f>
        <v/>
      </c>
      <c r="H490" s="6" t="s">
        <v>43</v>
      </c>
      <c r="I490" s="6" t="s">
        <v>667</v>
      </c>
      <c r="J490" s="6" t="s">
        <v>345</v>
      </c>
      <c r="K490" s="10">
        <v>4.4</v>
      </c>
      <c r="L490" s="10">
        <v>40</v>
      </c>
      <c r="M490" s="6" t="s">
        <v>386</v>
      </c>
    </row>
    <row r="491" spans="1:13">
      <c r="A491" s="6">
        <v>2023</v>
      </c>
      <c r="B491" s="6">
        <v>2</v>
      </c>
      <c r="C491" s="6" t="s">
        <v>60</v>
      </c>
      <c r="D491" s="6" t="s">
        <v>531</v>
      </c>
      <c r="E491" s="6" t="s">
        <v>532</v>
      </c>
      <c r="F491" s="6" t="str">
        <f>IF($M491="PADD I","PADD 1",IF($M491="PADD II","PADD 2",IF($M491="PADD III","PADD 3",IF($M491="PADD IV","PADD 4",IF($M491="PADD V","PADD 5","")))))</f>
        <v>PADD 5</v>
      </c>
      <c r="G491" s="6">
        <f>IF(AND($H491="ATMOS DISTILLATION",ISNUMBER(SEARCH("VPS",$I491))=FALSE,LEFT($I491,6)&lt;&gt;"VACUUM"),"CDU",IF($H491="FLUID CAT CRACKING","FCC",IF(OR($H491="HYDROCRACKING",$H491="RESID_HYDROCRACKING"),"Hydrocracker",IF($H491="REFORMING","Reformer",""))))</f>
        <v/>
      </c>
      <c r="H491" s="6" t="s">
        <v>43</v>
      </c>
      <c r="I491" s="6" t="s">
        <v>618</v>
      </c>
      <c r="J491" s="6" t="s">
        <v>345</v>
      </c>
      <c r="K491" s="10">
        <v>3.9</v>
      </c>
      <c r="L491" s="10">
        <v>10</v>
      </c>
      <c r="M491" s="6" t="s">
        <v>386</v>
      </c>
    </row>
    <row r="492" spans="1:13">
      <c r="A492" s="6">
        <v>2023</v>
      </c>
      <c r="B492" s="6">
        <v>2</v>
      </c>
      <c r="C492" s="6" t="s">
        <v>60</v>
      </c>
      <c r="D492" s="6" t="s">
        <v>518</v>
      </c>
      <c r="E492" s="6" t="s">
        <v>369</v>
      </c>
      <c r="F492" s="6" t="str">
        <f>IF($M492="PADD I","PADD 1",IF($M492="PADD II","PADD 2",IF($M492="PADD III","PADD 3",IF($M492="PADD IV","PADD 4",IF($M492="PADD V","PADD 5","")))))</f>
        <v>PADD 5</v>
      </c>
      <c r="G492" s="6">
        <f>IF(AND($H492="ATMOS DISTILLATION",ISNUMBER(SEARCH("VPS",$I492))=FALSE,LEFT($I492,6)&lt;&gt;"VACUUM"),"CDU",IF($H492="FLUID CAT CRACKING","FCC",IF(OR($H492="HYDROCRACKING",$H492="RESID_HYDROCRACKING"),"Hydrocracker",IF($H492="REFORMING","Reformer",""))))</f>
        <v/>
      </c>
      <c r="H492" s="6" t="s">
        <v>43</v>
      </c>
      <c r="I492" s="6" t="s">
        <v>579</v>
      </c>
      <c r="J492" s="6" t="s">
        <v>345</v>
      </c>
      <c r="K492" s="10">
        <v>3.5154</v>
      </c>
      <c r="L492" s="10">
        <v>16.74</v>
      </c>
      <c r="M492" s="6" t="s">
        <v>386</v>
      </c>
    </row>
    <row r="493" spans="1:13">
      <c r="A493" s="6">
        <v>2023</v>
      </c>
      <c r="B493" s="6">
        <v>2</v>
      </c>
      <c r="C493" s="6" t="s">
        <v>60</v>
      </c>
      <c r="D493" s="6" t="s">
        <v>468</v>
      </c>
      <c r="E493" s="6" t="s">
        <v>369</v>
      </c>
      <c r="F493" s="6" t="str">
        <f>IF($M493="PADD I","PADD 1",IF($M493="PADD II","PADD 2",IF($M493="PADD III","PADD 3",IF($M493="PADD IV","PADD 4",IF($M493="PADD V","PADD 5","")))))</f>
        <v>PADD 3</v>
      </c>
      <c r="G493" s="6" t="str">
        <f>IF(AND($H493="ATMOS DISTILLATION",ISNUMBER(SEARCH("VPS",$I493))=FALSE,LEFT($I493,6)&lt;&gt;"VACUUM"),"CDU",IF($H493="FLUID CAT CRACKING","FCC",IF(OR($H493="HYDROCRACKING",$H493="RESID_HYDROCRACKING"),"Hydrocracker",IF($H493="REFORMING","Reformer",""))))</f>
        <v>Reformer</v>
      </c>
      <c r="H493" s="6" t="s">
        <v>421</v>
      </c>
      <c r="I493" s="6" t="s">
        <v>635</v>
      </c>
      <c r="J493" s="6" t="s">
        <v>345</v>
      </c>
      <c r="K493" s="10">
        <v>3.22</v>
      </c>
      <c r="L493" s="10">
        <v>7</v>
      </c>
      <c r="M493" s="6" t="s">
        <v>371</v>
      </c>
    </row>
    <row r="494" spans="1:13">
      <c r="A494" s="6">
        <v>2023</v>
      </c>
      <c r="B494" s="6">
        <v>2</v>
      </c>
      <c r="C494" s="6" t="s">
        <v>60</v>
      </c>
      <c r="D494" s="6" t="s">
        <v>465</v>
      </c>
      <c r="E494" s="6" t="s">
        <v>369</v>
      </c>
      <c r="F494" s="6" t="str">
        <f>IF($M494="PADD I","PADD 1",IF($M494="PADD II","PADD 2",IF($M494="PADD III","PADD 3",IF($M494="PADD IV","PADD 4",IF($M494="PADD V","PADD 5","")))))</f>
        <v>PADD 5</v>
      </c>
      <c r="G494" s="6" t="str">
        <f>IF(AND($H494="ATMOS DISTILLATION",ISNUMBER(SEARCH("VPS",$I494))=FALSE,LEFT($I494,6)&lt;&gt;"VACUUM"),"CDU",IF($H494="FLUID CAT CRACKING","FCC",IF(OR($H494="HYDROCRACKING",$H494="RESID_HYDROCRACKING"),"Hydrocracker",IF($H494="REFORMING","Reformer",""))))</f>
        <v>Hydrocracker</v>
      </c>
      <c r="H494" s="6" t="s">
        <v>444</v>
      </c>
      <c r="I494" s="6" t="s">
        <v>668</v>
      </c>
      <c r="J494" s="6" t="s">
        <v>349</v>
      </c>
      <c r="K494" s="10">
        <v>3.025</v>
      </c>
      <c r="L494" s="10">
        <v>27.5</v>
      </c>
      <c r="M494" s="6" t="s">
        <v>386</v>
      </c>
    </row>
    <row r="495" spans="1:13">
      <c r="A495" s="6">
        <v>2023</v>
      </c>
      <c r="B495" s="6">
        <v>2</v>
      </c>
      <c r="C495" s="6" t="s">
        <v>60</v>
      </c>
      <c r="D495" s="6" t="s">
        <v>372</v>
      </c>
      <c r="E495" s="6" t="s">
        <v>373</v>
      </c>
      <c r="F495" s="6" t="str">
        <f>IF($M495="PADD I","PADD 1",IF($M495="PADD II","PADD 2",IF($M495="PADD III","PADD 3",IF($M495="PADD IV","PADD 4",IF($M495="PADD V","PADD 5","")))))</f>
        <v>PADD 2</v>
      </c>
      <c r="G495" s="6">
        <f>IF(AND($H495="ATMOS DISTILLATION",ISNUMBER(SEARCH("VPS",$I495))=FALSE,LEFT($I495,6)&lt;&gt;"VACUUM"),"CDU",IF($H495="FLUID CAT CRACKING","FCC",IF(OR($H495="HYDROCRACKING",$H495="RESID_HYDROCRACKING"),"Hydrocracker",IF($H495="REFORMING","Reformer",""))))</f>
        <v/>
      </c>
      <c r="H495" s="6" t="s">
        <v>460</v>
      </c>
      <c r="I495" s="6" t="s">
        <v>541</v>
      </c>
      <c r="J495" s="6" t="s">
        <v>345</v>
      </c>
      <c r="K495" s="10">
        <v>3</v>
      </c>
      <c r="L495" s="10">
        <v>3</v>
      </c>
      <c r="M495" s="6" t="s">
        <v>375</v>
      </c>
    </row>
    <row r="496" spans="1:13">
      <c r="A496" s="6">
        <v>2023</v>
      </c>
      <c r="B496" s="6">
        <v>2</v>
      </c>
      <c r="C496" s="6" t="s">
        <v>60</v>
      </c>
      <c r="D496" s="6" t="s">
        <v>372</v>
      </c>
      <c r="E496" s="6" t="s">
        <v>373</v>
      </c>
      <c r="F496" s="6" t="str">
        <f>IF($M496="PADD I","PADD 1",IF($M496="PADD II","PADD 2",IF($M496="PADD III","PADD 3",IF($M496="PADD IV","PADD 4",IF($M496="PADD V","PADD 5","")))))</f>
        <v>PADD 2</v>
      </c>
      <c r="G496" s="6">
        <f>IF(AND($H496="ATMOS DISTILLATION",ISNUMBER(SEARCH("VPS",$I496))=FALSE,LEFT($I496,6)&lt;&gt;"VACUUM"),"CDU",IF($H496="FLUID CAT CRACKING","FCC",IF(OR($H496="HYDROCRACKING",$H496="RESID_HYDROCRACKING"),"Hydrocracker",IF($H496="REFORMING","Reformer",""))))</f>
        <v/>
      </c>
      <c r="H496" s="6" t="s">
        <v>460</v>
      </c>
      <c r="I496" s="6" t="s">
        <v>608</v>
      </c>
      <c r="J496" s="6" t="s">
        <v>345</v>
      </c>
      <c r="K496" s="10">
        <v>3</v>
      </c>
      <c r="L496" s="10">
        <v>3</v>
      </c>
      <c r="M496" s="6" t="s">
        <v>375</v>
      </c>
    </row>
    <row r="497" spans="1:13">
      <c r="A497" s="6">
        <v>2023</v>
      </c>
      <c r="B497" s="6">
        <v>2</v>
      </c>
      <c r="C497" s="6" t="s">
        <v>60</v>
      </c>
      <c r="D497" s="6" t="s">
        <v>465</v>
      </c>
      <c r="E497" s="6" t="s">
        <v>369</v>
      </c>
      <c r="F497" s="6" t="str">
        <f>IF($M497="PADD I","PADD 1",IF($M497="PADD II","PADD 2",IF($M497="PADD III","PADD 3",IF($M497="PADD IV","PADD 4",IF($M497="PADD V","PADD 5","")))))</f>
        <v>PADD 5</v>
      </c>
      <c r="G497" s="6">
        <f>IF(AND($H497="ATMOS DISTILLATION",ISNUMBER(SEARCH("VPS",$I497))=FALSE,LEFT($I497,6)&lt;&gt;"VACUUM"),"CDU",IF($H497="FLUID CAT CRACKING","FCC",IF(OR($H497="HYDROCRACKING",$H497="RESID_HYDROCRACKING"),"Hydrocracker",IF($H497="REFORMING","Reformer",""))))</f>
        <v/>
      </c>
      <c r="H497" s="6" t="s">
        <v>43</v>
      </c>
      <c r="I497" s="6" t="s">
        <v>669</v>
      </c>
      <c r="J497" s="6" t="s">
        <v>349</v>
      </c>
      <c r="K497" s="10">
        <v>2.66</v>
      </c>
      <c r="L497" s="10">
        <v>19</v>
      </c>
      <c r="M497" s="6" t="s">
        <v>386</v>
      </c>
    </row>
    <row r="498" spans="1:13">
      <c r="A498" s="6">
        <v>2023</v>
      </c>
      <c r="B498" s="6">
        <v>2</v>
      </c>
      <c r="C498" s="6" t="s">
        <v>60</v>
      </c>
      <c r="D498" s="6" t="s">
        <v>429</v>
      </c>
      <c r="E498" s="6" t="s">
        <v>388</v>
      </c>
      <c r="F498" s="6" t="str">
        <f>IF($M498="PADD I","PADD 1",IF($M498="PADD II","PADD 2",IF($M498="PADD III","PADD 3",IF($M498="PADD IV","PADD 4",IF($M498="PADD V","PADD 5","")))))</f>
        <v>PADD 4</v>
      </c>
      <c r="G498" s="6">
        <f>IF(AND($H498="ATMOS DISTILLATION",ISNUMBER(SEARCH("VPS",$I498))=FALSE,LEFT($I498,6)&lt;&gt;"VACUUM"),"CDU",IF($H498="FLUID CAT CRACKING","FCC",IF(OR($H498="HYDROCRACKING",$H498="RESID_HYDROCRACKING"),"Hydrocracker",IF($H498="REFORMING","Reformer",""))))</f>
        <v/>
      </c>
      <c r="H498" s="6" t="s">
        <v>460</v>
      </c>
      <c r="I498" s="6" t="s">
        <v>461</v>
      </c>
      <c r="J498" s="6" t="s">
        <v>349</v>
      </c>
      <c r="K498" s="10">
        <v>2.58</v>
      </c>
      <c r="L498" s="10">
        <v>6</v>
      </c>
      <c r="M498" s="6" t="s">
        <v>430</v>
      </c>
    </row>
    <row r="499" spans="1:13">
      <c r="A499" s="6">
        <v>2023</v>
      </c>
      <c r="B499" s="6">
        <v>2</v>
      </c>
      <c r="C499" s="6" t="s">
        <v>60</v>
      </c>
      <c r="D499" s="6" t="s">
        <v>670</v>
      </c>
      <c r="E499" s="6" t="s">
        <v>405</v>
      </c>
      <c r="F499" s="6" t="str">
        <f>IF($M499="PADD I","PADD 1",IF($M499="PADD II","PADD 2",IF($M499="PADD III","PADD 3",IF($M499="PADD IV","PADD 4",IF($M499="PADD V","PADD 5","")))))</f>
        <v>PADD 2</v>
      </c>
      <c r="G499" s="6" t="str">
        <f>IF(AND($H499="ATMOS DISTILLATION",ISNUMBER(SEARCH("VPS",$I499))=FALSE,LEFT($I499,6)&lt;&gt;"VACUUM"),"CDU",IF($H499="FLUID CAT CRACKING","FCC",IF(OR($H499="HYDROCRACKING",$H499="RESID_HYDROCRACKING"),"Hydrocracker",IF($H499="REFORMING","Reformer",""))))</f>
        <v>Reformer</v>
      </c>
      <c r="H499" s="6" t="s">
        <v>421</v>
      </c>
      <c r="I499" s="6" t="s">
        <v>228</v>
      </c>
      <c r="J499" s="6" t="s">
        <v>345</v>
      </c>
      <c r="K499" s="10">
        <v>2.52</v>
      </c>
      <c r="L499" s="10">
        <v>36</v>
      </c>
      <c r="M499" s="6" t="s">
        <v>375</v>
      </c>
    </row>
    <row r="500" spans="1:13">
      <c r="A500" s="6">
        <v>2023</v>
      </c>
      <c r="B500" s="6">
        <v>2</v>
      </c>
      <c r="C500" s="6" t="s">
        <v>60</v>
      </c>
      <c r="D500" s="6" t="s">
        <v>610</v>
      </c>
      <c r="E500" s="6" t="s">
        <v>611</v>
      </c>
      <c r="F500" s="6" t="str">
        <f>IF($M500="PADD I","PADD 1",IF($M500="PADD II","PADD 2",IF($M500="PADD III","PADD 3",IF($M500="PADD IV","PADD 4",IF($M500="PADD V","PADD 5","")))))</f>
        <v>PADD 2</v>
      </c>
      <c r="G500" s="6" t="str">
        <f>IF(AND($H500="ATMOS DISTILLATION",ISNUMBER(SEARCH("VPS",$I500))=FALSE,LEFT($I500,6)&lt;&gt;"VACUUM"),"CDU",IF($H500="FLUID CAT CRACKING","FCC",IF(OR($H500="HYDROCRACKING",$H500="RESID_HYDROCRACKING"),"Hydrocracker",IF($H500="REFORMING","Reformer",""))))</f>
        <v>CDU</v>
      </c>
      <c r="H500" s="6" t="s">
        <v>38</v>
      </c>
      <c r="I500" s="6" t="s">
        <v>332</v>
      </c>
      <c r="J500" s="6" t="s">
        <v>345</v>
      </c>
      <c r="K500" s="10">
        <v>2.4</v>
      </c>
      <c r="L500" s="10">
        <v>60</v>
      </c>
      <c r="M500" s="6" t="s">
        <v>375</v>
      </c>
    </row>
    <row r="501" spans="1:13">
      <c r="A501" s="6">
        <v>2023</v>
      </c>
      <c r="B501" s="6">
        <v>2</v>
      </c>
      <c r="C501" s="6" t="s">
        <v>60</v>
      </c>
      <c r="D501" s="6" t="s">
        <v>602</v>
      </c>
      <c r="E501" s="6" t="s">
        <v>369</v>
      </c>
      <c r="F501" s="6" t="str">
        <f>IF($M501="PADD I","PADD 1",IF($M501="PADD II","PADD 2",IF($M501="PADD III","PADD 3",IF($M501="PADD IV","PADD 4",IF($M501="PADD V","PADD 5","")))))</f>
        <v>PADD 2</v>
      </c>
      <c r="G501" s="6">
        <f>IF(AND($H501="ATMOS DISTILLATION",ISNUMBER(SEARCH("VPS",$I501))=FALSE,LEFT($I501,6)&lt;&gt;"VACUUM"),"CDU",IF($H501="FLUID CAT CRACKING","FCC",IF(OR($H501="HYDROCRACKING",$H501="RESID_HYDROCRACKING"),"Hydrocracker",IF($H501="REFORMING","Reformer",""))))</f>
        <v/>
      </c>
      <c r="H501" s="6" t="s">
        <v>378</v>
      </c>
      <c r="I501" s="6" t="s">
        <v>536</v>
      </c>
      <c r="J501" s="6" t="s">
        <v>345</v>
      </c>
      <c r="K501" s="10">
        <v>2.1</v>
      </c>
      <c r="L501" s="10">
        <v>15</v>
      </c>
      <c r="M501" s="6" t="s">
        <v>375</v>
      </c>
    </row>
    <row r="502" spans="1:13">
      <c r="A502" s="6">
        <v>2023</v>
      </c>
      <c r="B502" s="6">
        <v>2</v>
      </c>
      <c r="C502" s="6" t="s">
        <v>60</v>
      </c>
      <c r="D502" s="6" t="s">
        <v>434</v>
      </c>
      <c r="E502" s="6" t="s">
        <v>388</v>
      </c>
      <c r="F502" s="6" t="str">
        <f>IF($M502="PADD I","PADD 1",IF($M502="PADD II","PADD 2",IF($M502="PADD III","PADD 3",IF($M502="PADD IV","PADD 4",IF($M502="PADD V","PADD 5","")))))</f>
        <v>PADD 5</v>
      </c>
      <c r="G502" s="6" t="str">
        <f>IF(AND($H502="ATMOS DISTILLATION",ISNUMBER(SEARCH("VPS",$I502))=FALSE,LEFT($I502,6)&lt;&gt;"VACUUM"),"CDU",IF($H502="FLUID CAT CRACKING","FCC",IF(OR($H502="HYDROCRACKING",$H502="RESID_HYDROCRACKING"),"Hydrocracker",IF($H502="REFORMING","Reformer",""))))</f>
        <v>Reformer</v>
      </c>
      <c r="H502" s="6" t="s">
        <v>421</v>
      </c>
      <c r="I502" s="6" t="s">
        <v>671</v>
      </c>
      <c r="J502" s="6" t="s">
        <v>345</v>
      </c>
      <c r="K502" s="10">
        <v>2.1</v>
      </c>
      <c r="L502" s="10">
        <v>15</v>
      </c>
      <c r="M502" s="6" t="s">
        <v>386</v>
      </c>
    </row>
    <row r="503" spans="1:13">
      <c r="A503" s="6">
        <v>2023</v>
      </c>
      <c r="B503" s="6">
        <v>2</v>
      </c>
      <c r="C503" s="6" t="s">
        <v>60</v>
      </c>
      <c r="D503" s="6" t="s">
        <v>465</v>
      </c>
      <c r="E503" s="6" t="s">
        <v>369</v>
      </c>
      <c r="F503" s="6" t="str">
        <f>IF($M503="PADD I","PADD 1",IF($M503="PADD II","PADD 2",IF($M503="PADD III","PADD 3",IF($M503="PADD IV","PADD 4",IF($M503="PADD V","PADD 5","")))))</f>
        <v>PADD 5</v>
      </c>
      <c r="G503" s="6">
        <f>IF(AND($H503="ATMOS DISTILLATION",ISNUMBER(SEARCH("VPS",$I503))=FALSE,LEFT($I503,6)&lt;&gt;"VACUUM"),"CDU",IF($H503="FLUID CAT CRACKING","FCC",IF(OR($H503="HYDROCRACKING",$H503="RESID_HYDROCRACKING"),"Hydrocracker",IF($H503="REFORMING","Reformer",""))))</f>
        <v/>
      </c>
      <c r="H503" s="6" t="s">
        <v>460</v>
      </c>
      <c r="I503" s="6" t="s">
        <v>672</v>
      </c>
      <c r="J503" s="6" t="s">
        <v>349</v>
      </c>
      <c r="K503" s="10">
        <v>2.1</v>
      </c>
      <c r="L503" s="10">
        <v>15</v>
      </c>
      <c r="M503" s="6" t="s">
        <v>386</v>
      </c>
    </row>
    <row r="504" spans="1:13">
      <c r="A504" s="6">
        <v>2023</v>
      </c>
      <c r="B504" s="6">
        <v>2</v>
      </c>
      <c r="C504" s="6" t="s">
        <v>60</v>
      </c>
      <c r="D504" s="6" t="s">
        <v>420</v>
      </c>
      <c r="E504" s="6" t="s">
        <v>373</v>
      </c>
      <c r="F504" s="6" t="str">
        <f>IF($M504="PADD I","PADD 1",IF($M504="PADD II","PADD 2",IF($M504="PADD III","PADD 3",IF($M504="PADD IV","PADD 4",IF($M504="PADD V","PADD 5","")))))</f>
        <v>PADD 2</v>
      </c>
      <c r="G504" s="6">
        <f>IF(AND($H504="ATMOS DISTILLATION",ISNUMBER(SEARCH("VPS",$I504))=FALSE,LEFT($I504,6)&lt;&gt;"VACUUM"),"CDU",IF($H504="FLUID CAT CRACKING","FCC",IF(OR($H504="HYDROCRACKING",$H504="RESID_HYDROCRACKING"),"Hydrocracker",IF($H504="REFORMING","Reformer",""))))</f>
        <v/>
      </c>
      <c r="H504" s="6" t="s">
        <v>568</v>
      </c>
      <c r="I504" s="6" t="s">
        <v>604</v>
      </c>
      <c r="J504" s="6" t="s">
        <v>345</v>
      </c>
      <c r="K504" s="10">
        <v>2</v>
      </c>
      <c r="L504" s="10">
        <v>2</v>
      </c>
      <c r="M504" s="6" t="s">
        <v>375</v>
      </c>
    </row>
    <row r="505" spans="1:13">
      <c r="A505" s="6">
        <v>2023</v>
      </c>
      <c r="B505" s="6">
        <v>2</v>
      </c>
      <c r="C505" s="6" t="s">
        <v>60</v>
      </c>
      <c r="D505" s="6" t="s">
        <v>500</v>
      </c>
      <c r="E505" s="6" t="s">
        <v>388</v>
      </c>
      <c r="F505" s="6" t="str">
        <f>IF($M505="PADD I","PADD 1",IF($M505="PADD II","PADD 2",IF($M505="PADD III","PADD 3",IF($M505="PADD IV","PADD 4",IF($M505="PADD V","PADD 5","")))))</f>
        <v>PADD 2</v>
      </c>
      <c r="G505" s="6" t="str">
        <f>IF(AND($H505="ATMOS DISTILLATION",ISNUMBER(SEARCH("VPS",$I505))=FALSE,LEFT($I505,6)&lt;&gt;"VACUUM"),"CDU",IF($H505="FLUID CAT CRACKING","FCC",IF(OR($H505="HYDROCRACKING",$H505="RESID_HYDROCRACKING"),"Hydrocracker",IF($H505="REFORMING","Reformer",""))))</f>
        <v>FCC</v>
      </c>
      <c r="H505" s="6" t="s">
        <v>376</v>
      </c>
      <c r="I505" s="6" t="s">
        <v>105</v>
      </c>
      <c r="J505" s="6" t="s">
        <v>345</v>
      </c>
      <c r="K505" s="10">
        <v>1.885</v>
      </c>
      <c r="L505" s="10">
        <v>6.5</v>
      </c>
      <c r="M505" s="6" t="s">
        <v>375</v>
      </c>
    </row>
    <row r="506" spans="1:13">
      <c r="A506" s="6">
        <v>2023</v>
      </c>
      <c r="B506" s="6">
        <v>2</v>
      </c>
      <c r="C506" s="6" t="s">
        <v>60</v>
      </c>
      <c r="D506" s="6" t="s">
        <v>465</v>
      </c>
      <c r="E506" s="6" t="s">
        <v>369</v>
      </c>
      <c r="F506" s="6" t="str">
        <f>IF($M506="PADD I","PADD 1",IF($M506="PADD II","PADD 2",IF($M506="PADD III","PADD 3",IF($M506="PADD IV","PADD 4",IF($M506="PADD V","PADD 5","")))))</f>
        <v>PADD 5</v>
      </c>
      <c r="G506" s="6" t="str">
        <f>IF(AND($H506="ATMOS DISTILLATION",ISNUMBER(SEARCH("VPS",$I506))=FALSE,LEFT($I506,6)&lt;&gt;"VACUUM"),"CDU",IF($H506="FLUID CAT CRACKING","FCC",IF(OR($H506="HYDROCRACKING",$H506="RESID_HYDROCRACKING"),"Hydrocracker",IF($H506="REFORMING","Reformer",""))))</f>
        <v>Reformer</v>
      </c>
      <c r="H506" s="6" t="s">
        <v>421</v>
      </c>
      <c r="I506" s="6" t="s">
        <v>673</v>
      </c>
      <c r="J506" s="6" t="s">
        <v>349</v>
      </c>
      <c r="K506" s="10">
        <v>1.76</v>
      </c>
      <c r="L506" s="10">
        <v>16</v>
      </c>
      <c r="M506" s="6" t="s">
        <v>386</v>
      </c>
    </row>
    <row r="507" spans="1:13">
      <c r="A507" s="6">
        <v>2023</v>
      </c>
      <c r="B507" s="6">
        <v>2</v>
      </c>
      <c r="C507" s="6" t="s">
        <v>60</v>
      </c>
      <c r="D507" s="6" t="s">
        <v>662</v>
      </c>
      <c r="E507" s="6" t="s">
        <v>552</v>
      </c>
      <c r="F507" s="6" t="str">
        <f>IF($M507="PADD I","PADD 1",IF($M507="PADD II","PADD 2",IF($M507="PADD III","PADD 3",IF($M507="PADD IV","PADD 4",IF($M507="PADD V","PADD 5","")))))</f>
        <v>PADD 3</v>
      </c>
      <c r="G507" s="6">
        <f>IF(AND($H507="ATMOS DISTILLATION",ISNUMBER(SEARCH("VPS",$I507))=FALSE,LEFT($I507,6)&lt;&gt;"VACUUM"),"CDU",IF($H507="FLUID CAT CRACKING","FCC",IF(OR($H507="HYDROCRACKING",$H507="RESID_HYDROCRACKING"),"Hydrocracker",IF($H507="REFORMING","Reformer",""))))</f>
        <v/>
      </c>
      <c r="H507" s="6" t="s">
        <v>378</v>
      </c>
      <c r="I507" s="6" t="s">
        <v>431</v>
      </c>
      <c r="J507" s="6" t="s">
        <v>345</v>
      </c>
      <c r="K507" s="10">
        <v>1.68</v>
      </c>
      <c r="L507" s="10">
        <v>24</v>
      </c>
      <c r="M507" s="6" t="s">
        <v>371</v>
      </c>
    </row>
    <row r="508" spans="1:13">
      <c r="A508" s="6">
        <v>2023</v>
      </c>
      <c r="B508" s="6">
        <v>2</v>
      </c>
      <c r="C508" s="6" t="s">
        <v>60</v>
      </c>
      <c r="D508" s="6" t="s">
        <v>518</v>
      </c>
      <c r="E508" s="6" t="s">
        <v>369</v>
      </c>
      <c r="F508" s="6" t="str">
        <f>IF($M508="PADD I","PADD 1",IF($M508="PADD II","PADD 2",IF($M508="PADD III","PADD 3",IF($M508="PADD IV","PADD 4",IF($M508="PADD V","PADD 5","")))))</f>
        <v>PADD 5</v>
      </c>
      <c r="G508" s="6" t="str">
        <f>IF(AND($H508="ATMOS DISTILLATION",ISNUMBER(SEARCH("VPS",$I508))=FALSE,LEFT($I508,6)&lt;&gt;"VACUUM"),"CDU",IF($H508="FLUID CAT CRACKING","FCC",IF(OR($H508="HYDROCRACKING",$H508="RESID_HYDROCRACKING"),"Hydrocracker",IF($H508="REFORMING","Reformer",""))))</f>
        <v>Reformer</v>
      </c>
      <c r="H508" s="6" t="s">
        <v>421</v>
      </c>
      <c r="I508" s="6" t="s">
        <v>586</v>
      </c>
      <c r="J508" s="6" t="s">
        <v>345</v>
      </c>
      <c r="K508" s="10">
        <v>1.295</v>
      </c>
      <c r="L508" s="10">
        <v>18.5</v>
      </c>
      <c r="M508" s="6" t="s">
        <v>386</v>
      </c>
    </row>
    <row r="509" spans="1:13">
      <c r="A509" s="6">
        <v>2023</v>
      </c>
      <c r="B509" s="6">
        <v>2</v>
      </c>
      <c r="C509" s="6" t="s">
        <v>60</v>
      </c>
      <c r="D509" s="6" t="s">
        <v>518</v>
      </c>
      <c r="E509" s="6" t="s">
        <v>369</v>
      </c>
      <c r="F509" s="6" t="str">
        <f>IF($M509="PADD I","PADD 1",IF($M509="PADD II","PADD 2",IF($M509="PADD III","PADD 3",IF($M509="PADD IV","PADD 4",IF($M509="PADD V","PADD 5","")))))</f>
        <v>PADD 5</v>
      </c>
      <c r="G509" s="6">
        <f>IF(AND($H509="ATMOS DISTILLATION",ISNUMBER(SEARCH("VPS",$I509))=FALSE,LEFT($I509,6)&lt;&gt;"VACUUM"),"CDU",IF($H509="FLUID CAT CRACKING","FCC",IF(OR($H509="HYDROCRACKING",$H509="RESID_HYDROCRACKING"),"Hydrocracker",IF($H509="REFORMING","Reformer",""))))</f>
        <v/>
      </c>
      <c r="H509" s="6" t="s">
        <v>435</v>
      </c>
      <c r="I509" s="6" t="s">
        <v>578</v>
      </c>
      <c r="J509" s="6" t="s">
        <v>349</v>
      </c>
      <c r="K509" s="10">
        <v>0.92</v>
      </c>
      <c r="L509" s="10">
        <v>23</v>
      </c>
      <c r="M509" s="6" t="s">
        <v>386</v>
      </c>
    </row>
    <row r="510" spans="1:13">
      <c r="A510" s="6">
        <v>2023</v>
      </c>
      <c r="B510" s="6">
        <v>2</v>
      </c>
      <c r="C510" s="6" t="s">
        <v>60</v>
      </c>
      <c r="D510" s="6" t="s">
        <v>48</v>
      </c>
      <c r="E510" s="6" t="s">
        <v>388</v>
      </c>
      <c r="F510" s="6" t="str">
        <f>IF($M510="PADD I","PADD 1",IF($M510="PADD II","PADD 2",IF($M510="PADD III","PADD 3",IF($M510="PADD IV","PADD 4",IF($M510="PADD V","PADD 5","")))))</f>
        <v>PADD 2</v>
      </c>
      <c r="G510" s="6">
        <f>IF(AND($H510="ATMOS DISTILLATION",ISNUMBER(SEARCH("VPS",$I510))=FALSE,LEFT($I510,6)&lt;&gt;"VACUUM"),"CDU",IF($H510="FLUID CAT CRACKING","FCC",IF(OR($H510="HYDROCRACKING",$H510="RESID_HYDROCRACKING"),"Hydrocracker",IF($H510="REFORMING","Reformer",""))))</f>
        <v/>
      </c>
      <c r="H510" s="6" t="s">
        <v>435</v>
      </c>
      <c r="I510" s="6" t="s">
        <v>631</v>
      </c>
      <c r="J510" s="6" t="s">
        <v>345</v>
      </c>
      <c r="K510" s="10">
        <v>0.84</v>
      </c>
      <c r="L510" s="10">
        <v>12</v>
      </c>
      <c r="M510" s="6" t="s">
        <v>375</v>
      </c>
    </row>
    <row r="511" spans="1:13">
      <c r="A511" s="6">
        <v>2023</v>
      </c>
      <c r="B511" s="6">
        <v>2</v>
      </c>
      <c r="C511" s="6" t="s">
        <v>60</v>
      </c>
      <c r="D511" s="6" t="s">
        <v>610</v>
      </c>
      <c r="E511" s="6" t="s">
        <v>611</v>
      </c>
      <c r="F511" s="6" t="str">
        <f>IF($M511="PADD I","PADD 1",IF($M511="PADD II","PADD 2",IF($M511="PADD III","PADD 3",IF($M511="PADD IV","PADD 4",IF($M511="PADD V","PADD 5","")))))</f>
        <v>PADD 2</v>
      </c>
      <c r="G511" s="6">
        <f>IF(AND($H511="ATMOS DISTILLATION",ISNUMBER(SEARCH("VPS",$I511))=FALSE,LEFT($I511,6)&lt;&gt;"VACUUM"),"CDU",IF($H511="FLUID CAT CRACKING","FCC",IF(OR($H511="HYDROCRACKING",$H511="RESID_HYDROCRACKING"),"Hydrocracker",IF($H511="REFORMING","Reformer",""))))</f>
        <v/>
      </c>
      <c r="H511" s="6" t="s">
        <v>378</v>
      </c>
      <c r="I511" s="6" t="s">
        <v>494</v>
      </c>
      <c r="J511" s="6" t="s">
        <v>345</v>
      </c>
      <c r="K511" s="10">
        <v>0.84</v>
      </c>
      <c r="L511" s="10">
        <v>21</v>
      </c>
      <c r="M511" s="6" t="s">
        <v>375</v>
      </c>
    </row>
    <row r="512" spans="1:13">
      <c r="A512" s="6">
        <v>2023</v>
      </c>
      <c r="B512" s="6">
        <v>2</v>
      </c>
      <c r="C512" s="6" t="s">
        <v>60</v>
      </c>
      <c r="D512" s="6" t="s">
        <v>610</v>
      </c>
      <c r="E512" s="6" t="s">
        <v>611</v>
      </c>
      <c r="F512" s="6" t="str">
        <f>IF($M512="PADD I","PADD 1",IF($M512="PADD II","PADD 2",IF($M512="PADD III","PADD 3",IF($M512="PADD IV","PADD 4",IF($M512="PADD V","PADD 5","")))))</f>
        <v>PADD 2</v>
      </c>
      <c r="G512" s="6">
        <f>IF(AND($H512="ATMOS DISTILLATION",ISNUMBER(SEARCH("VPS",$I512))=FALSE,LEFT($I512,6)&lt;&gt;"VACUUM"),"CDU",IF($H512="FLUID CAT CRACKING","FCC",IF(OR($H512="HYDROCRACKING",$H512="RESID_HYDROCRACKING"),"Hydrocracker",IF($H512="REFORMING","Reformer",""))))</f>
        <v/>
      </c>
      <c r="H512" s="6" t="s">
        <v>435</v>
      </c>
      <c r="I512" s="6" t="s">
        <v>441</v>
      </c>
      <c r="J512" s="6" t="s">
        <v>349</v>
      </c>
      <c r="K512" s="10">
        <v>0.78</v>
      </c>
      <c r="L512" s="10">
        <v>19.5</v>
      </c>
      <c r="M512" s="6" t="s">
        <v>375</v>
      </c>
    </row>
    <row r="513" spans="1:13">
      <c r="A513" s="6">
        <v>2023</v>
      </c>
      <c r="B513" s="6">
        <v>2</v>
      </c>
      <c r="C513" s="6" t="s">
        <v>60</v>
      </c>
      <c r="D513" s="6" t="s">
        <v>632</v>
      </c>
      <c r="E513" s="6" t="s">
        <v>633</v>
      </c>
      <c r="F513" s="6" t="str">
        <f>IF($M513="PADD I","PADD 1",IF($M513="PADD II","PADD 2",IF($M513="PADD III","PADD 3",IF($M513="PADD IV","PADD 4",IF($M513="PADD V","PADD 5","")))))</f>
        <v>PADD 4</v>
      </c>
      <c r="G513" s="6" t="str">
        <f>IF(AND($H513="ATMOS DISTILLATION",ISNUMBER(SEARCH("VPS",$I513))=FALSE,LEFT($I513,6)&lt;&gt;"VACUUM"),"CDU",IF($H513="FLUID CAT CRACKING","FCC",IF(OR($H513="HYDROCRACKING",$H513="RESID_HYDROCRACKING"),"Hydrocracker",IF($H513="REFORMING","Reformer",""))))</f>
        <v>FCC</v>
      </c>
      <c r="H513" s="6" t="s">
        <v>376</v>
      </c>
      <c r="I513" s="6" t="s">
        <v>634</v>
      </c>
      <c r="J513" s="6" t="s">
        <v>345</v>
      </c>
      <c r="K513" s="10">
        <v>0.5</v>
      </c>
      <c r="L513" s="10">
        <v>12.5</v>
      </c>
      <c r="M513" s="6" t="s">
        <v>430</v>
      </c>
    </row>
    <row r="514" spans="1:13">
      <c r="A514" s="6">
        <v>2023</v>
      </c>
      <c r="B514" s="6">
        <v>2</v>
      </c>
      <c r="C514" s="6" t="s">
        <v>60</v>
      </c>
      <c r="D514" s="6" t="s">
        <v>632</v>
      </c>
      <c r="E514" s="6" t="s">
        <v>633</v>
      </c>
      <c r="F514" s="6" t="str">
        <f>IF($M514="PADD I","PADD 1",IF($M514="PADD II","PADD 2",IF($M514="PADD III","PADD 3",IF($M514="PADD IV","PADD 4",IF($M514="PADD V","PADD 5","")))))</f>
        <v>PADD 4</v>
      </c>
      <c r="G514" s="6">
        <f>IF(AND($H514="ATMOS DISTILLATION",ISNUMBER(SEARCH("VPS",$I514))=FALSE,LEFT($I514,6)&lt;&gt;"VACUUM"),"CDU",IF($H514="FLUID CAT CRACKING","FCC",IF(OR($H514="HYDROCRACKING",$H514="RESID_HYDROCRACKING"),"Hydrocracker",IF($H514="REFORMING","Reformer",""))))</f>
        <v/>
      </c>
      <c r="H514" s="6" t="s">
        <v>43</v>
      </c>
      <c r="I514" s="6" t="s">
        <v>674</v>
      </c>
      <c r="J514" s="6" t="s">
        <v>345</v>
      </c>
      <c r="K514" s="10">
        <v>0.46</v>
      </c>
      <c r="L514" s="10">
        <v>11.5</v>
      </c>
      <c r="M514" s="6" t="s">
        <v>430</v>
      </c>
    </row>
    <row r="515" spans="1:13">
      <c r="A515" s="6">
        <v>2023</v>
      </c>
      <c r="B515" s="6">
        <v>2</v>
      </c>
      <c r="C515" s="6" t="s">
        <v>60</v>
      </c>
      <c r="D515" s="6" t="s">
        <v>636</v>
      </c>
      <c r="E515" s="6" t="s">
        <v>369</v>
      </c>
      <c r="F515" s="6" t="str">
        <f>IF($M515="PADD I","PADD 1",IF($M515="PADD II","PADD 2",IF($M515="PADD III","PADD 3",IF($M515="PADD IV","PADD 4",IF($M515="PADD V","PADD 5","")))))</f>
        <v>PADD 5</v>
      </c>
      <c r="G515" s="6">
        <f>IF(AND($H515="ATMOS DISTILLATION",ISNUMBER(SEARCH("VPS",$I515))=FALSE,LEFT($I515,6)&lt;&gt;"VACUUM"),"CDU",IF($H515="FLUID CAT CRACKING","FCC",IF(OR($H515="HYDROCRACKING",$H515="RESID_HYDROCRACKING"),"Hydrocracker",IF($H515="REFORMING","Reformer",""))))</f>
        <v/>
      </c>
      <c r="H515" s="6" t="s">
        <v>637</v>
      </c>
      <c r="I515" s="6" t="s">
        <v>638</v>
      </c>
      <c r="J515" s="6" t="s">
        <v>345</v>
      </c>
      <c r="K515" s="10">
        <v>0.2</v>
      </c>
      <c r="L515" s="10">
        <v>0.2</v>
      </c>
      <c r="M515" s="6" t="s">
        <v>386</v>
      </c>
    </row>
    <row r="516" spans="1:13">
      <c r="A516" s="6">
        <v>2023</v>
      </c>
      <c r="B516" s="6">
        <v>2</v>
      </c>
      <c r="C516" s="6" t="s">
        <v>60</v>
      </c>
      <c r="D516" s="6" t="s">
        <v>632</v>
      </c>
      <c r="E516" s="6" t="s">
        <v>633</v>
      </c>
      <c r="F516" s="6" t="str">
        <f>IF($M516="PADD I","PADD 1",IF($M516="PADD II","PADD 2",IF($M516="PADD III","PADD 3",IF($M516="PADD IV","PADD 4",IF($M516="PADD V","PADD 5","")))))</f>
        <v>PADD 4</v>
      </c>
      <c r="G516" s="6">
        <f>IF(AND($H516="ATMOS DISTILLATION",ISNUMBER(SEARCH("VPS",$I516))=FALSE,LEFT($I516,6)&lt;&gt;"VACUUM"),"CDU",IF($H516="FLUID CAT CRACKING","FCC",IF(OR($H516="HYDROCRACKING",$H516="RESID_HYDROCRACKING"),"Hydrocracker",IF($H516="REFORMING","Reformer",""))))</f>
        <v/>
      </c>
      <c r="H516" s="6" t="s">
        <v>460</v>
      </c>
      <c r="I516" s="6" t="s">
        <v>616</v>
      </c>
      <c r="J516" s="6" t="s">
        <v>345</v>
      </c>
      <c r="K516" s="10">
        <v>0.124</v>
      </c>
      <c r="L516" s="10">
        <v>3.1</v>
      </c>
      <c r="M516" s="6" t="s">
        <v>430</v>
      </c>
    </row>
    <row r="517" spans="1:13">
      <c r="A517" s="6">
        <v>2023</v>
      </c>
      <c r="B517" s="6">
        <v>3</v>
      </c>
      <c r="C517" s="6" t="s">
        <v>61</v>
      </c>
      <c r="D517" s="6" t="s">
        <v>368</v>
      </c>
      <c r="E517" s="6" t="s">
        <v>369</v>
      </c>
      <c r="F517" s="6" t="str">
        <f>IF($M517="PADD I","PADD 1",IF($M517="PADD II","PADD 2",IF($M517="PADD III","PADD 3",IF($M517="PADD IV","PADD 4",IF($M517="PADD V","PADD 5","")))))</f>
        <v>PADD 3</v>
      </c>
      <c r="G517" s="6" t="str">
        <f>IF(AND($H517="ATMOS DISTILLATION",ISNUMBER(SEARCH("VPS",$I517))=FALSE,LEFT($I517,6)&lt;&gt;"VACUUM"),"CDU",IF($H517="FLUID CAT CRACKING","FCC",IF(OR($H517="HYDROCRACKING",$H517="RESID_HYDROCRACKING"),"Hydrocracker",IF($H517="REFORMING","Reformer",""))))</f>
        <v>CDU</v>
      </c>
      <c r="H517" s="6" t="s">
        <v>38</v>
      </c>
      <c r="I517" s="6" t="s">
        <v>370</v>
      </c>
      <c r="J517" s="6" t="s">
        <v>349</v>
      </c>
      <c r="K517" s="10">
        <v>269.14</v>
      </c>
      <c r="L517" s="10">
        <v>269.14</v>
      </c>
      <c r="M517" s="6" t="s">
        <v>371</v>
      </c>
    </row>
    <row r="518" spans="1:13">
      <c r="A518" s="6">
        <v>2023</v>
      </c>
      <c r="B518" s="6">
        <v>3</v>
      </c>
      <c r="C518" s="6" t="s">
        <v>61</v>
      </c>
      <c r="D518" s="6" t="s">
        <v>387</v>
      </c>
      <c r="E518" s="6" t="s">
        <v>388</v>
      </c>
      <c r="F518" s="6" t="str">
        <f>IF($M518="PADD I","PADD 1",IF($M518="PADD II","PADD 2",IF($M518="PADD III","PADD 3",IF($M518="PADD IV","PADD 4",IF($M518="PADD V","PADD 5","")))))</f>
        <v>PADD 3</v>
      </c>
      <c r="G518" s="6" t="str">
        <f>IF(AND($H518="ATMOS DISTILLATION",ISNUMBER(SEARCH("VPS",$I518))=FALSE,LEFT($I518,6)&lt;&gt;"VACUUM"),"CDU",IF($H518="FLUID CAT CRACKING","FCC",IF(OR($H518="HYDROCRACKING",$H518="RESID_HYDROCRACKING"),"Hydrocracker",IF($H518="REFORMING","Reformer",""))))</f>
        <v>CDU</v>
      </c>
      <c r="H518" s="6" t="s">
        <v>38</v>
      </c>
      <c r="I518" s="6" t="s">
        <v>389</v>
      </c>
      <c r="J518" s="6" t="s">
        <v>349</v>
      </c>
      <c r="K518" s="10">
        <v>245</v>
      </c>
      <c r="L518" s="10">
        <v>245</v>
      </c>
      <c r="M518" s="6" t="s">
        <v>371</v>
      </c>
    </row>
    <row r="519" spans="1:13">
      <c r="A519" s="6">
        <v>2023</v>
      </c>
      <c r="B519" s="6">
        <v>3</v>
      </c>
      <c r="C519" s="6" t="s">
        <v>61</v>
      </c>
      <c r="D519" s="6" t="s">
        <v>411</v>
      </c>
      <c r="E519" s="6" t="s">
        <v>369</v>
      </c>
      <c r="F519" s="6" t="str">
        <f>IF($M519="PADD I","PADD 1",IF($M519="PADD II","PADD 2",IF($M519="PADD III","PADD 3",IF($M519="PADD IV","PADD 4",IF($M519="PADD V","PADD 5","")))))</f>
        <v>PADD 1</v>
      </c>
      <c r="G519" s="6" t="str">
        <f>IF(AND($H519="ATMOS DISTILLATION",ISNUMBER(SEARCH("VPS",$I519))=FALSE,LEFT($I519,6)&lt;&gt;"VACUUM"),"CDU",IF($H519="FLUID CAT CRACKING","FCC",IF(OR($H519="HYDROCRACKING",$H519="RESID_HYDROCRACKING"),"Hydrocracker",IF($H519="REFORMING","Reformer",""))))</f>
        <v>FCC</v>
      </c>
      <c r="H519" s="6" t="s">
        <v>376</v>
      </c>
      <c r="I519" s="6" t="s">
        <v>105</v>
      </c>
      <c r="J519" s="6" t="s">
        <v>349</v>
      </c>
      <c r="K519" s="10">
        <v>130.5</v>
      </c>
      <c r="L519" s="10">
        <v>150</v>
      </c>
      <c r="M519" s="6" t="s">
        <v>413</v>
      </c>
    </row>
    <row r="520" spans="1:13">
      <c r="A520" s="6">
        <v>2023</v>
      </c>
      <c r="B520" s="6">
        <v>3</v>
      </c>
      <c r="C520" s="6" t="s">
        <v>61</v>
      </c>
      <c r="D520" s="6" t="s">
        <v>675</v>
      </c>
      <c r="E520" s="6" t="s">
        <v>452</v>
      </c>
      <c r="F520" s="6" t="str">
        <f>IF($M520="PADD I","PADD 1",IF($M520="PADD II","PADD 2",IF($M520="PADD III","PADD 3",IF($M520="PADD IV","PADD 4",IF($M520="PADD V","PADD 5","")))))</f>
        <v>PADD 2</v>
      </c>
      <c r="G520" s="6" t="str">
        <f>IF(AND($H520="ATMOS DISTILLATION",ISNUMBER(SEARCH("VPS",$I520))=FALSE,LEFT($I520,6)&lt;&gt;"VACUUM"),"CDU",IF($H520="FLUID CAT CRACKING","FCC",IF(OR($H520="HYDROCRACKING",$H520="RESID_HYDROCRACKING"),"Hydrocracker",IF($H520="REFORMING","Reformer",""))))</f>
        <v>CDU</v>
      </c>
      <c r="H520" s="6" t="s">
        <v>38</v>
      </c>
      <c r="I520" s="6" t="s">
        <v>81</v>
      </c>
      <c r="J520" s="6" t="s">
        <v>349</v>
      </c>
      <c r="K520" s="10">
        <v>129.6</v>
      </c>
      <c r="L520" s="10">
        <v>160</v>
      </c>
      <c r="M520" s="6" t="s">
        <v>375</v>
      </c>
    </row>
    <row r="521" spans="1:13">
      <c r="A521" s="6">
        <v>2023</v>
      </c>
      <c r="B521" s="6">
        <v>3</v>
      </c>
      <c r="C521" s="6" t="s">
        <v>61</v>
      </c>
      <c r="D521" s="6" t="s">
        <v>526</v>
      </c>
      <c r="E521" s="6" t="s">
        <v>405</v>
      </c>
      <c r="F521" s="6" t="str">
        <f>IF($M521="PADD I","PADD 1",IF($M521="PADD II","PADD 2",IF($M521="PADD III","PADD 3",IF($M521="PADD IV","PADD 4",IF($M521="PADD V","PADD 5","")))))</f>
        <v>PADD 3</v>
      </c>
      <c r="G521" s="6" t="str">
        <f>IF(AND($H521="ATMOS DISTILLATION",ISNUMBER(SEARCH("VPS",$I521))=FALSE,LEFT($I521,6)&lt;&gt;"VACUUM"),"CDU",IF($H521="FLUID CAT CRACKING","FCC",IF(OR($H521="HYDROCRACKING",$H521="RESID_HYDROCRACKING"),"Hydrocracker",IF($H521="REFORMING","Reformer",""))))</f>
        <v>CDU</v>
      </c>
      <c r="H521" s="6" t="s">
        <v>38</v>
      </c>
      <c r="I521" s="6" t="s">
        <v>641</v>
      </c>
      <c r="J521" s="6" t="s">
        <v>349</v>
      </c>
      <c r="K521" s="10">
        <v>115</v>
      </c>
      <c r="L521" s="10">
        <v>115</v>
      </c>
      <c r="M521" s="6" t="s">
        <v>371</v>
      </c>
    </row>
    <row r="522" spans="1:13">
      <c r="A522" s="6">
        <v>2023</v>
      </c>
      <c r="B522" s="6">
        <v>3</v>
      </c>
      <c r="C522" s="6" t="s">
        <v>61</v>
      </c>
      <c r="D522" s="6" t="s">
        <v>372</v>
      </c>
      <c r="E522" s="6" t="s">
        <v>373</v>
      </c>
      <c r="F522" s="6" t="str">
        <f>IF($M522="PADD I","PADD 1",IF($M522="PADD II","PADD 2",IF($M522="PADD III","PADD 3",IF($M522="PADD IV","PADD 4",IF($M522="PADD V","PADD 5","")))))</f>
        <v>PADD 2</v>
      </c>
      <c r="G522" s="6" t="str">
        <f>IF(AND($H522="ATMOS DISTILLATION",ISNUMBER(SEARCH("VPS",$I522))=FALSE,LEFT($I522,6)&lt;&gt;"VACUUM"),"CDU",IF($H522="FLUID CAT CRACKING","FCC",IF(OR($H522="HYDROCRACKING",$H522="RESID_HYDROCRACKING"),"Hydrocracker",IF($H522="REFORMING","Reformer",""))))</f>
        <v>CDU</v>
      </c>
      <c r="H522" s="6" t="s">
        <v>38</v>
      </c>
      <c r="I522" s="6" t="s">
        <v>374</v>
      </c>
      <c r="J522" s="6" t="s">
        <v>345</v>
      </c>
      <c r="K522" s="10">
        <v>112.8</v>
      </c>
      <c r="L522" s="10">
        <v>120</v>
      </c>
      <c r="M522" s="6" t="s">
        <v>375</v>
      </c>
    </row>
    <row r="523" spans="1:13">
      <c r="A523" s="6">
        <v>2023</v>
      </c>
      <c r="B523" s="6">
        <v>3</v>
      </c>
      <c r="C523" s="6" t="s">
        <v>61</v>
      </c>
      <c r="D523" s="6" t="s">
        <v>387</v>
      </c>
      <c r="E523" s="6" t="s">
        <v>388</v>
      </c>
      <c r="F523" s="6" t="str">
        <f>IF($M523="PADD I","PADD 1",IF($M523="PADD II","PADD 2",IF($M523="PADD III","PADD 3",IF($M523="PADD IV","PADD 4",IF($M523="PADD V","PADD 5","")))))</f>
        <v>PADD 3</v>
      </c>
      <c r="G523" s="6">
        <f>IF(AND($H523="ATMOS DISTILLATION",ISNUMBER(SEARCH("VPS",$I523))=FALSE,LEFT($I523,6)&lt;&gt;"VACUUM"),"CDU",IF($H523="FLUID CAT CRACKING","FCC",IF(OR($H523="HYDROCRACKING",$H523="RESID_HYDROCRACKING"),"Hydrocracker",IF($H523="REFORMING","Reformer",""))))</f>
        <v/>
      </c>
      <c r="H523" s="6" t="s">
        <v>378</v>
      </c>
      <c r="I523" s="6" t="s">
        <v>442</v>
      </c>
      <c r="J523" s="6" t="s">
        <v>349</v>
      </c>
      <c r="K523" s="10">
        <v>112.5</v>
      </c>
      <c r="L523" s="10">
        <v>112.5</v>
      </c>
      <c r="M523" s="6" t="s">
        <v>371</v>
      </c>
    </row>
    <row r="524" spans="1:13">
      <c r="A524" s="6">
        <v>2023</v>
      </c>
      <c r="B524" s="6">
        <v>3</v>
      </c>
      <c r="C524" s="6" t="s">
        <v>61</v>
      </c>
      <c r="D524" s="6" t="s">
        <v>411</v>
      </c>
      <c r="E524" s="6" t="s">
        <v>369</v>
      </c>
      <c r="F524" s="6" t="str">
        <f>IF($M524="PADD I","PADD 1",IF($M524="PADD II","PADD 2",IF($M524="PADD III","PADD 3",IF($M524="PADD IV","PADD 4",IF($M524="PADD V","PADD 5","")))))</f>
        <v>PADD 1</v>
      </c>
      <c r="G524" s="6" t="str">
        <f>IF(AND($H524="ATMOS DISTILLATION",ISNUMBER(SEARCH("VPS",$I524))=FALSE,LEFT($I524,6)&lt;&gt;"VACUUM"),"CDU",IF($H524="FLUID CAT CRACKING","FCC",IF(OR($H524="HYDROCRACKING",$H524="RESID_HYDROCRACKING"),"Hydrocracker",IF($H524="REFORMING","Reformer",""))))</f>
        <v>CDU</v>
      </c>
      <c r="H524" s="6" t="s">
        <v>38</v>
      </c>
      <c r="I524" s="6" t="s">
        <v>412</v>
      </c>
      <c r="J524" s="6" t="s">
        <v>349</v>
      </c>
      <c r="K524" s="10">
        <v>112.23</v>
      </c>
      <c r="L524" s="10">
        <v>129</v>
      </c>
      <c r="M524" s="6" t="s">
        <v>413</v>
      </c>
    </row>
    <row r="525" spans="1:13">
      <c r="A525" s="6">
        <v>2023</v>
      </c>
      <c r="B525" s="6">
        <v>3</v>
      </c>
      <c r="C525" s="6" t="s">
        <v>61</v>
      </c>
      <c r="D525" s="6" t="s">
        <v>372</v>
      </c>
      <c r="E525" s="6" t="s">
        <v>373</v>
      </c>
      <c r="F525" s="6" t="str">
        <f>IF($M525="PADD I","PADD 1",IF($M525="PADD II","PADD 2",IF($M525="PADD III","PADD 3",IF($M525="PADD IV","PADD 4",IF($M525="PADD V","PADD 5","")))))</f>
        <v>PADD 2</v>
      </c>
      <c r="G525" s="6" t="str">
        <f>IF(AND($H525="ATMOS DISTILLATION",ISNUMBER(SEARCH("VPS",$I525))=FALSE,LEFT($I525,6)&lt;&gt;"VACUUM"),"CDU",IF($H525="FLUID CAT CRACKING","FCC",IF(OR($H525="HYDROCRACKING",$H525="RESID_HYDROCRACKING"),"Hydrocracker",IF($H525="REFORMING","Reformer",""))))</f>
        <v>CDU</v>
      </c>
      <c r="H525" s="6" t="s">
        <v>38</v>
      </c>
      <c r="I525" s="6" t="s">
        <v>374</v>
      </c>
      <c r="J525" s="6" t="s">
        <v>345</v>
      </c>
      <c r="K525" s="10">
        <v>110</v>
      </c>
      <c r="L525" s="10">
        <v>110</v>
      </c>
      <c r="M525" s="6" t="s">
        <v>375</v>
      </c>
    </row>
    <row r="526" spans="1:13">
      <c r="A526" s="6">
        <v>2023</v>
      </c>
      <c r="B526" s="6">
        <v>3</v>
      </c>
      <c r="C526" s="6" t="s">
        <v>61</v>
      </c>
      <c r="D526" s="6" t="s">
        <v>490</v>
      </c>
      <c r="E526" s="6" t="s">
        <v>491</v>
      </c>
      <c r="F526" s="6" t="str">
        <f>IF($M526="PADD I","PADD 1",IF($M526="PADD II","PADD 2",IF($M526="PADD III","PADD 3",IF($M526="PADD IV","PADD 4",IF($M526="PADD V","PADD 5","")))))</f>
        <v>PADD 3</v>
      </c>
      <c r="G526" s="6" t="str">
        <f>IF(AND($H526="ATMOS DISTILLATION",ISNUMBER(SEARCH("VPS",$I526))=FALSE,LEFT($I526,6)&lt;&gt;"VACUUM"),"CDU",IF($H526="FLUID CAT CRACKING","FCC",IF(OR($H526="HYDROCRACKING",$H526="RESID_HYDROCRACKING"),"Hydrocracker",IF($H526="REFORMING","Reformer",""))))</f>
        <v>Hydrocracker</v>
      </c>
      <c r="H526" s="6" t="s">
        <v>444</v>
      </c>
      <c r="I526" s="6" t="s">
        <v>658</v>
      </c>
      <c r="J526" s="6" t="s">
        <v>345</v>
      </c>
      <c r="K526" s="10">
        <v>105</v>
      </c>
      <c r="L526" s="10">
        <v>105</v>
      </c>
      <c r="M526" s="6" t="s">
        <v>371</v>
      </c>
    </row>
    <row r="527" spans="1:13">
      <c r="A527" s="6">
        <v>2023</v>
      </c>
      <c r="B527" s="6">
        <v>3</v>
      </c>
      <c r="C527" s="6" t="s">
        <v>61</v>
      </c>
      <c r="D527" s="6" t="s">
        <v>368</v>
      </c>
      <c r="E527" s="6" t="s">
        <v>369</v>
      </c>
      <c r="F527" s="6" t="str">
        <f>IF($M527="PADD I","PADD 1",IF($M527="PADD II","PADD 2",IF($M527="PADD III","PADD 3",IF($M527="PADD IV","PADD 4",IF($M527="PADD V","PADD 5","")))))</f>
        <v>PADD 3</v>
      </c>
      <c r="G527" s="6" t="str">
        <f>IF(AND($H527="ATMOS DISTILLATION",ISNUMBER(SEARCH("VPS",$I527))=FALSE,LEFT($I527,6)&lt;&gt;"VACUUM"),"CDU",IF($H527="FLUID CAT CRACKING","FCC",IF(OR($H527="HYDROCRACKING",$H527="RESID_HYDROCRACKING"),"Hydrocracker",IF($H527="REFORMING","Reformer",""))))</f>
        <v>FCC</v>
      </c>
      <c r="H527" s="6" t="s">
        <v>376</v>
      </c>
      <c r="I527" s="6" t="s">
        <v>377</v>
      </c>
      <c r="J527" s="6" t="s">
        <v>349</v>
      </c>
      <c r="K527" s="10">
        <v>104</v>
      </c>
      <c r="L527" s="10">
        <v>104</v>
      </c>
      <c r="M527" s="6" t="s">
        <v>371</v>
      </c>
    </row>
    <row r="528" spans="1:13">
      <c r="A528" s="6">
        <v>2023</v>
      </c>
      <c r="B528" s="6">
        <v>3</v>
      </c>
      <c r="C528" s="6" t="s">
        <v>61</v>
      </c>
      <c r="D528" s="6" t="s">
        <v>368</v>
      </c>
      <c r="E528" s="6" t="s">
        <v>369</v>
      </c>
      <c r="F528" s="6" t="str">
        <f>IF($M528="PADD I","PADD 1",IF($M528="PADD II","PADD 2",IF($M528="PADD III","PADD 3",IF($M528="PADD IV","PADD 4",IF($M528="PADD V","PADD 5","")))))</f>
        <v>PADD 3</v>
      </c>
      <c r="G528" s="6">
        <f>IF(AND($H528="ATMOS DISTILLATION",ISNUMBER(SEARCH("VPS",$I528))=FALSE,LEFT($I528,6)&lt;&gt;"VACUUM"),"CDU",IF($H528="FLUID CAT CRACKING","FCC",IF(OR($H528="HYDROCRACKING",$H528="RESID_HYDROCRACKING"),"Hydrocracker",IF($H528="REFORMING","Reformer",""))))</f>
        <v/>
      </c>
      <c r="H528" s="6" t="s">
        <v>378</v>
      </c>
      <c r="I528" s="6" t="s">
        <v>379</v>
      </c>
      <c r="J528" s="6" t="s">
        <v>349</v>
      </c>
      <c r="K528" s="10">
        <v>103</v>
      </c>
      <c r="L528" s="10">
        <v>103</v>
      </c>
      <c r="M528" s="6" t="s">
        <v>371</v>
      </c>
    </row>
    <row r="529" spans="1:13">
      <c r="A529" s="6">
        <v>2023</v>
      </c>
      <c r="B529" s="6">
        <v>3</v>
      </c>
      <c r="C529" s="6" t="s">
        <v>61</v>
      </c>
      <c r="D529" s="6" t="s">
        <v>639</v>
      </c>
      <c r="E529" s="6" t="s">
        <v>452</v>
      </c>
      <c r="F529" s="6" t="str">
        <f>IF($M529="PADD I","PADD 1",IF($M529="PADD II","PADD 2",IF($M529="PADD III","PADD 3",IF($M529="PADD IV","PADD 4",IF($M529="PADD V","PADD 5","")))))</f>
        <v>PADD 5</v>
      </c>
      <c r="G529" s="6">
        <f>IF(AND($H529="ATMOS DISTILLATION",ISNUMBER(SEARCH("VPS",$I529))=FALSE,LEFT($I529,6)&lt;&gt;"VACUUM"),"CDU",IF($H529="FLUID CAT CRACKING","FCC",IF(OR($H529="HYDROCRACKING",$H529="RESID_HYDROCRACKING"),"Hydrocracker",IF($H529="REFORMING","Reformer",""))))</f>
        <v/>
      </c>
      <c r="H529" s="6" t="s">
        <v>38</v>
      </c>
      <c r="I529" s="6" t="s">
        <v>640</v>
      </c>
      <c r="J529" s="6" t="s">
        <v>349</v>
      </c>
      <c r="K529" s="10">
        <v>79.2</v>
      </c>
      <c r="L529" s="10">
        <v>144</v>
      </c>
      <c r="M529" s="6" t="s">
        <v>386</v>
      </c>
    </row>
    <row r="530" spans="1:13">
      <c r="A530" s="6">
        <v>2023</v>
      </c>
      <c r="B530" s="6">
        <v>3</v>
      </c>
      <c r="C530" s="6" t="s">
        <v>61</v>
      </c>
      <c r="D530" s="6" t="s">
        <v>387</v>
      </c>
      <c r="E530" s="6" t="s">
        <v>388</v>
      </c>
      <c r="F530" s="6" t="str">
        <f>IF($M530="PADD I","PADD 1",IF($M530="PADD II","PADD 2",IF($M530="PADD III","PADD 3",IF($M530="PADD IV","PADD 4",IF($M530="PADD V","PADD 5","")))))</f>
        <v>PADD 3</v>
      </c>
      <c r="G530" s="6" t="str">
        <f>IF(AND($H530="ATMOS DISTILLATION",ISNUMBER(SEARCH("VPS",$I530))=FALSE,LEFT($I530,6)&lt;&gt;"VACUUM"),"CDU",IF($H530="FLUID CAT CRACKING","FCC",IF(OR($H530="HYDROCRACKING",$H530="RESID_HYDROCRACKING"),"Hydrocracker",IF($H530="REFORMING","Reformer",""))))</f>
        <v>Reformer</v>
      </c>
      <c r="H530" s="6" t="s">
        <v>421</v>
      </c>
      <c r="I530" s="6" t="s">
        <v>443</v>
      </c>
      <c r="J530" s="6" t="s">
        <v>349</v>
      </c>
      <c r="K530" s="10">
        <v>75</v>
      </c>
      <c r="L530" s="10">
        <v>75</v>
      </c>
      <c r="M530" s="6" t="s">
        <v>371</v>
      </c>
    </row>
    <row r="531" spans="1:13">
      <c r="A531" s="6">
        <v>2023</v>
      </c>
      <c r="B531" s="6">
        <v>3</v>
      </c>
      <c r="C531" s="6" t="s">
        <v>61</v>
      </c>
      <c r="D531" s="6" t="s">
        <v>411</v>
      </c>
      <c r="E531" s="6" t="s">
        <v>369</v>
      </c>
      <c r="F531" s="6" t="str">
        <f>IF($M531="PADD I","PADD 1",IF($M531="PADD II","PADD 2",IF($M531="PADD III","PADD 3",IF($M531="PADD IV","PADD 4",IF($M531="PADD V","PADD 5","")))))</f>
        <v>PADD 1</v>
      </c>
      <c r="G531" s="6">
        <f>IF(AND($H531="ATMOS DISTILLATION",ISNUMBER(SEARCH("VPS",$I531))=FALSE,LEFT($I531,6)&lt;&gt;"VACUUM"),"CDU",IF($H531="FLUID CAT CRACKING","FCC",IF(OR($H531="HYDROCRACKING",$H531="RESID_HYDROCRACKING"),"Hydrocracker",IF($H531="REFORMING","Reformer",""))))</f>
        <v/>
      </c>
      <c r="H531" s="6" t="s">
        <v>43</v>
      </c>
      <c r="I531" s="6" t="s">
        <v>458</v>
      </c>
      <c r="J531" s="6" t="s">
        <v>349</v>
      </c>
      <c r="K531" s="10">
        <v>73.95</v>
      </c>
      <c r="L531" s="10">
        <v>85</v>
      </c>
      <c r="M531" s="6" t="s">
        <v>413</v>
      </c>
    </row>
    <row r="532" spans="1:13">
      <c r="A532" s="6">
        <v>2023</v>
      </c>
      <c r="B532" s="6">
        <v>3</v>
      </c>
      <c r="C532" s="6" t="s">
        <v>61</v>
      </c>
      <c r="D532" s="6" t="s">
        <v>676</v>
      </c>
      <c r="E532" s="6" t="s">
        <v>677</v>
      </c>
      <c r="F532" s="6" t="str">
        <f>IF($M532="PADD I","PADD 1",IF($M532="PADD II","PADD 2",IF($M532="PADD III","PADD 3",IF($M532="PADD IV","PADD 4",IF($M532="PADD V","PADD 5","")))))</f>
        <v>PADD 1</v>
      </c>
      <c r="G532" s="6" t="str">
        <f>IF(AND($H532="ATMOS DISTILLATION",ISNUMBER(SEARCH("VPS",$I532))=FALSE,LEFT($I532,6)&lt;&gt;"VACUUM"),"CDU",IF($H532="FLUID CAT CRACKING","FCC",IF(OR($H532="HYDROCRACKING",$H532="RESID_HYDROCRACKING"),"Hydrocracker",IF($H532="REFORMING","Reformer",""))))</f>
        <v>CDU</v>
      </c>
      <c r="H532" s="6" t="s">
        <v>38</v>
      </c>
      <c r="I532" s="6" t="s">
        <v>678</v>
      </c>
      <c r="J532" s="6" t="s">
        <v>345</v>
      </c>
      <c r="K532" s="10">
        <v>71.5</v>
      </c>
      <c r="L532" s="10">
        <v>110</v>
      </c>
      <c r="M532" s="6" t="s">
        <v>413</v>
      </c>
    </row>
    <row r="533" spans="1:13">
      <c r="A533" s="6">
        <v>2023</v>
      </c>
      <c r="B533" s="6">
        <v>3</v>
      </c>
      <c r="C533" s="6" t="s">
        <v>61</v>
      </c>
      <c r="D533" s="6" t="s">
        <v>387</v>
      </c>
      <c r="E533" s="6" t="s">
        <v>388</v>
      </c>
      <c r="F533" s="6" t="str">
        <f>IF($M533="PADD I","PADD 1",IF($M533="PADD II","PADD 2",IF($M533="PADD III","PADD 3",IF($M533="PADD IV","PADD 4",IF($M533="PADD V","PADD 5","")))))</f>
        <v>PADD 3</v>
      </c>
      <c r="G533" s="6" t="str">
        <f>IF(AND($H533="ATMOS DISTILLATION",ISNUMBER(SEARCH("VPS",$I533))=FALSE,LEFT($I533,6)&lt;&gt;"VACUUM"),"CDU",IF($H533="FLUID CAT CRACKING","FCC",IF(OR($H533="HYDROCRACKING",$H533="RESID_HYDROCRACKING"),"Hydrocracker",IF($H533="REFORMING","Reformer",""))))</f>
        <v>Hydrocracker</v>
      </c>
      <c r="H533" s="6" t="s">
        <v>444</v>
      </c>
      <c r="I533" s="6" t="s">
        <v>476</v>
      </c>
      <c r="J533" s="6" t="s">
        <v>345</v>
      </c>
      <c r="K533" s="10">
        <v>70</v>
      </c>
      <c r="L533" s="10">
        <v>70</v>
      </c>
      <c r="M533" s="6" t="s">
        <v>371</v>
      </c>
    </row>
    <row r="534" spans="1:13">
      <c r="A534" s="6">
        <v>2023</v>
      </c>
      <c r="B534" s="6">
        <v>3</v>
      </c>
      <c r="C534" s="6" t="s">
        <v>61</v>
      </c>
      <c r="D534" s="6" t="s">
        <v>368</v>
      </c>
      <c r="E534" s="6" t="s">
        <v>369</v>
      </c>
      <c r="F534" s="6" t="str">
        <f>IF($M534="PADD I","PADD 1",IF($M534="PADD II","PADD 2",IF($M534="PADD III","PADD 3",IF($M534="PADD IV","PADD 4",IF($M534="PADD V","PADD 5","")))))</f>
        <v>PADD 3</v>
      </c>
      <c r="G534" s="6">
        <f>IF(AND($H534="ATMOS DISTILLATION",ISNUMBER(SEARCH("VPS",$I534))=FALSE,LEFT($I534,6)&lt;&gt;"VACUUM"),"CDU",IF($H534="FLUID CAT CRACKING","FCC",IF(OR($H534="HYDROCRACKING",$H534="RESID_HYDROCRACKING"),"Hydrocracker",IF($H534="REFORMING","Reformer",""))))</f>
        <v/>
      </c>
      <c r="H534" s="6" t="s">
        <v>43</v>
      </c>
      <c r="I534" s="6" t="s">
        <v>393</v>
      </c>
      <c r="J534" s="6" t="s">
        <v>349</v>
      </c>
      <c r="K534" s="10">
        <v>65.40000000000001</v>
      </c>
      <c r="L534" s="10">
        <v>65.40000000000001</v>
      </c>
      <c r="M534" s="6" t="s">
        <v>371</v>
      </c>
    </row>
    <row r="535" spans="1:13">
      <c r="A535" s="6">
        <v>2023</v>
      </c>
      <c r="B535" s="6">
        <v>3</v>
      </c>
      <c r="C535" s="6" t="s">
        <v>61</v>
      </c>
      <c r="D535" s="6" t="s">
        <v>387</v>
      </c>
      <c r="E535" s="6" t="s">
        <v>388</v>
      </c>
      <c r="F535" s="6" t="str">
        <f>IF($M535="PADD I","PADD 1",IF($M535="PADD II","PADD 2",IF($M535="PADD III","PADD 3",IF($M535="PADD IV","PADD 4",IF($M535="PADD V","PADD 5","")))))</f>
        <v>PADD 3</v>
      </c>
      <c r="G535" s="6">
        <f>IF(AND($H535="ATMOS DISTILLATION",ISNUMBER(SEARCH("VPS",$I535))=FALSE,LEFT($I535,6)&lt;&gt;"VACUUM"),"CDU",IF($H535="FLUID CAT CRACKING","FCC",IF(OR($H535="HYDROCRACKING",$H535="RESID_HYDROCRACKING"),"Hydrocracker",IF($H535="REFORMING","Reformer",""))))</f>
        <v/>
      </c>
      <c r="H535" s="6" t="s">
        <v>43</v>
      </c>
      <c r="I535" s="6" t="s">
        <v>486</v>
      </c>
      <c r="J535" s="6" t="s">
        <v>349</v>
      </c>
      <c r="K535" s="10">
        <v>64</v>
      </c>
      <c r="L535" s="10">
        <v>64</v>
      </c>
      <c r="M535" s="6" t="s">
        <v>371</v>
      </c>
    </row>
    <row r="536" spans="1:13">
      <c r="A536" s="6">
        <v>2023</v>
      </c>
      <c r="B536" s="6">
        <v>3</v>
      </c>
      <c r="C536" s="6" t="s">
        <v>61</v>
      </c>
      <c r="D536" s="6" t="s">
        <v>333</v>
      </c>
      <c r="E536" s="6" t="s">
        <v>381</v>
      </c>
      <c r="F536" s="6" t="str">
        <f>IF($M536="PADD I","PADD 1",IF($M536="PADD II","PADD 2",IF($M536="PADD III","PADD 3",IF($M536="PADD IV","PADD 4",IF($M536="PADD V","PADD 5","")))))</f>
        <v>PADD 3</v>
      </c>
      <c r="G536" s="6" t="str">
        <f>IF(AND($H536="ATMOS DISTILLATION",ISNUMBER(SEARCH("VPS",$I536))=FALSE,LEFT($I536,6)&lt;&gt;"VACUUM"),"CDU",IF($H536="FLUID CAT CRACKING","FCC",IF(OR($H536="HYDROCRACKING",$H536="RESID_HYDROCRACKING"),"Hydrocracker",IF($H536="REFORMING","Reformer",""))))</f>
        <v>CDU</v>
      </c>
      <c r="H536" s="6" t="s">
        <v>38</v>
      </c>
      <c r="I536" s="6" t="s">
        <v>679</v>
      </c>
      <c r="J536" s="6" t="s">
        <v>349</v>
      </c>
      <c r="K536" s="10">
        <v>62.5</v>
      </c>
      <c r="L536" s="10">
        <v>62.5</v>
      </c>
      <c r="M536" s="6" t="s">
        <v>371</v>
      </c>
    </row>
    <row r="537" spans="1:13">
      <c r="A537" s="6">
        <v>2023</v>
      </c>
      <c r="B537" s="6">
        <v>3</v>
      </c>
      <c r="C537" s="6" t="s">
        <v>61</v>
      </c>
      <c r="D537" s="6" t="s">
        <v>680</v>
      </c>
      <c r="E537" s="6" t="s">
        <v>681</v>
      </c>
      <c r="F537" s="6" t="str">
        <f>IF($M537="PADD I","PADD 1",IF($M537="PADD II","PADD 2",IF($M537="PADD III","PADD 3",IF($M537="PADD IV","PADD 4",IF($M537="PADD V","PADD 5","")))))</f>
        <v>PADD 3</v>
      </c>
      <c r="G537" s="6" t="str">
        <f>IF(AND($H537="ATMOS DISTILLATION",ISNUMBER(SEARCH("VPS",$I537))=FALSE,LEFT($I537,6)&lt;&gt;"VACUUM"),"CDU",IF($H537="FLUID CAT CRACKING","FCC",IF(OR($H537="HYDROCRACKING",$H537="RESID_HYDROCRACKING"),"Hydrocracker",IF($H537="REFORMING","Reformer",""))))</f>
        <v>CDU</v>
      </c>
      <c r="H537" s="6" t="s">
        <v>38</v>
      </c>
      <c r="I537" s="6" t="s">
        <v>81</v>
      </c>
      <c r="J537" s="6" t="s">
        <v>349</v>
      </c>
      <c r="K537" s="10">
        <v>61.1</v>
      </c>
      <c r="L537" s="10">
        <v>65</v>
      </c>
      <c r="M537" s="6" t="s">
        <v>371</v>
      </c>
    </row>
    <row r="538" spans="1:13">
      <c r="A538" s="6">
        <v>2023</v>
      </c>
      <c r="B538" s="6">
        <v>3</v>
      </c>
      <c r="C538" s="6" t="s">
        <v>61</v>
      </c>
      <c r="D538" s="6" t="s">
        <v>610</v>
      </c>
      <c r="E538" s="6" t="s">
        <v>611</v>
      </c>
      <c r="F538" s="6" t="str">
        <f>IF($M538="PADD I","PADD 1",IF($M538="PADD II","PADD 2",IF($M538="PADD III","PADD 3",IF($M538="PADD IV","PADD 4",IF($M538="PADD V","PADD 5","")))))</f>
        <v>PADD 2</v>
      </c>
      <c r="G538" s="6" t="str">
        <f>IF(AND($H538="ATMOS DISTILLATION",ISNUMBER(SEARCH("VPS",$I538))=FALSE,LEFT($I538,6)&lt;&gt;"VACUUM"),"CDU",IF($H538="FLUID CAT CRACKING","FCC",IF(OR($H538="HYDROCRACKING",$H538="RESID_HYDROCRACKING"),"Hydrocracker",IF($H538="REFORMING","Reformer",""))))</f>
        <v>CDU</v>
      </c>
      <c r="H538" s="6" t="s">
        <v>38</v>
      </c>
      <c r="I538" s="6" t="s">
        <v>332</v>
      </c>
      <c r="J538" s="6" t="s">
        <v>345</v>
      </c>
      <c r="K538" s="10">
        <v>60</v>
      </c>
      <c r="L538" s="10">
        <v>60</v>
      </c>
      <c r="M538" s="6" t="s">
        <v>375</v>
      </c>
    </row>
    <row r="539" spans="1:13">
      <c r="A539" s="6">
        <v>2023</v>
      </c>
      <c r="B539" s="6">
        <v>3</v>
      </c>
      <c r="C539" s="6" t="s">
        <v>61</v>
      </c>
      <c r="D539" s="6" t="s">
        <v>368</v>
      </c>
      <c r="E539" s="6" t="s">
        <v>369</v>
      </c>
      <c r="F539" s="6" t="str">
        <f>IF($M539="PADD I","PADD 1",IF($M539="PADD II","PADD 2",IF($M539="PADD III","PADD 3",IF($M539="PADD IV","PADD 4",IF($M539="PADD V","PADD 5","")))))</f>
        <v>PADD 3</v>
      </c>
      <c r="G539" s="6">
        <f>IF(AND($H539="ATMOS DISTILLATION",ISNUMBER(SEARCH("VPS",$I539))=FALSE,LEFT($I539,6)&lt;&gt;"VACUUM"),"CDU",IF($H539="FLUID CAT CRACKING","FCC",IF(OR($H539="HYDROCRACKING",$H539="RESID_HYDROCRACKING"),"Hydrocracker",IF($H539="REFORMING","Reformer",""))))</f>
        <v/>
      </c>
      <c r="H539" s="6" t="s">
        <v>43</v>
      </c>
      <c r="I539" s="6" t="s">
        <v>401</v>
      </c>
      <c r="J539" s="6" t="s">
        <v>349</v>
      </c>
      <c r="K539" s="10">
        <v>58.5</v>
      </c>
      <c r="L539" s="10">
        <v>58.5</v>
      </c>
      <c r="M539" s="6" t="s">
        <v>371</v>
      </c>
    </row>
    <row r="540" spans="1:13">
      <c r="A540" s="6">
        <v>2023</v>
      </c>
      <c r="B540" s="6">
        <v>3</v>
      </c>
      <c r="C540" s="6" t="s">
        <v>61</v>
      </c>
      <c r="D540" s="6" t="s">
        <v>324</v>
      </c>
      <c r="E540" s="6" t="s">
        <v>388</v>
      </c>
      <c r="F540" s="6" t="str">
        <f>IF($M540="PADD I","PADD 1",IF($M540="PADD II","PADD 2",IF($M540="PADD III","PADD 3",IF($M540="PADD IV","PADD 4",IF($M540="PADD V","PADD 5","")))))</f>
        <v>PADD 3</v>
      </c>
      <c r="G540" s="6">
        <f>IF(AND($H540="ATMOS DISTILLATION",ISNUMBER(SEARCH("VPS",$I540))=FALSE,LEFT($I540,6)&lt;&gt;"VACUUM"),"CDU",IF($H540="FLUID CAT CRACKING","FCC",IF(OR($H540="HYDROCRACKING",$H540="RESID_HYDROCRACKING"),"Hydrocracker",IF($H540="REFORMING","Reformer",""))))</f>
        <v/>
      </c>
      <c r="H540" s="6" t="s">
        <v>43</v>
      </c>
      <c r="I540" s="6" t="s">
        <v>682</v>
      </c>
      <c r="J540" s="6" t="s">
        <v>345</v>
      </c>
      <c r="K540" s="10">
        <v>58.3</v>
      </c>
      <c r="L540" s="10">
        <v>106</v>
      </c>
      <c r="M540" s="6" t="s">
        <v>371</v>
      </c>
    </row>
    <row r="541" spans="1:13">
      <c r="A541" s="6">
        <v>2023</v>
      </c>
      <c r="B541" s="6">
        <v>3</v>
      </c>
      <c r="C541" s="6" t="s">
        <v>61</v>
      </c>
      <c r="D541" s="6" t="s">
        <v>372</v>
      </c>
      <c r="E541" s="6" t="s">
        <v>373</v>
      </c>
      <c r="F541" s="6" t="str">
        <f>IF($M541="PADD I","PADD 1",IF($M541="PADD II","PADD 2",IF($M541="PADD III","PADD 3",IF($M541="PADD IV","PADD 4",IF($M541="PADD V","PADD 5","")))))</f>
        <v>PADD 2</v>
      </c>
      <c r="G541" s="6" t="str">
        <f>IF(AND($H541="ATMOS DISTILLATION",ISNUMBER(SEARCH("VPS",$I541))=FALSE,LEFT($I541,6)&lt;&gt;"VACUUM"),"CDU",IF($H541="FLUID CAT CRACKING","FCC",IF(OR($H541="HYDROCRACKING",$H541="RESID_HYDROCRACKING"),"Hydrocracker",IF($H541="REFORMING","Reformer",""))))</f>
        <v>FCC</v>
      </c>
      <c r="H541" s="6" t="s">
        <v>376</v>
      </c>
      <c r="I541" s="6" t="s">
        <v>407</v>
      </c>
      <c r="J541" s="6" t="s">
        <v>345</v>
      </c>
      <c r="K541" s="10">
        <v>55</v>
      </c>
      <c r="L541" s="10">
        <v>55</v>
      </c>
      <c r="M541" s="6" t="s">
        <v>375</v>
      </c>
    </row>
    <row r="542" spans="1:13">
      <c r="A542" s="6">
        <v>2023</v>
      </c>
      <c r="B542" s="6">
        <v>3</v>
      </c>
      <c r="C542" s="6" t="s">
        <v>61</v>
      </c>
      <c r="D542" s="6" t="s">
        <v>380</v>
      </c>
      <c r="E542" s="6" t="s">
        <v>381</v>
      </c>
      <c r="F542" s="6" t="str">
        <f>IF($M542="PADD I","PADD 1",IF($M542="PADD II","PADD 2",IF($M542="PADD III","PADD 3",IF($M542="PADD IV","PADD 4",IF($M542="PADD V","PADD 5","")))))</f>
        <v>PADD 3</v>
      </c>
      <c r="G542" s="6" t="str">
        <f>IF(AND($H542="ATMOS DISTILLATION",ISNUMBER(SEARCH("VPS",$I542))=FALSE,LEFT($I542,6)&lt;&gt;"VACUUM"),"CDU",IF($H542="FLUID CAT CRACKING","FCC",IF(OR($H542="HYDROCRACKING",$H542="RESID_HYDROCRACKING"),"Hydrocracker",IF($H542="REFORMING","Reformer",""))))</f>
        <v>CDU</v>
      </c>
      <c r="H542" s="6" t="s">
        <v>38</v>
      </c>
      <c r="I542" s="6" t="s">
        <v>382</v>
      </c>
      <c r="J542" s="6" t="s">
        <v>349</v>
      </c>
      <c r="K542" s="10">
        <v>54.6</v>
      </c>
      <c r="L542" s="10">
        <v>210</v>
      </c>
      <c r="M542" s="6" t="s">
        <v>371</v>
      </c>
    </row>
    <row r="543" spans="1:13">
      <c r="A543" s="6">
        <v>2023</v>
      </c>
      <c r="B543" s="6">
        <v>3</v>
      </c>
      <c r="C543" s="6" t="s">
        <v>61</v>
      </c>
      <c r="D543" s="6" t="s">
        <v>322</v>
      </c>
      <c r="E543" s="6" t="s">
        <v>369</v>
      </c>
      <c r="F543" s="6" t="str">
        <f>IF($M543="PADD I","PADD 1",IF($M543="PADD II","PADD 2",IF($M543="PADD III","PADD 3",IF($M543="PADD IV","PADD 4",IF($M543="PADD V","PADD 5","")))))</f>
        <v>PADD 2</v>
      </c>
      <c r="G543" s="6">
        <f>IF(AND($H543="ATMOS DISTILLATION",ISNUMBER(SEARCH("VPS",$I543))=FALSE,LEFT($I543,6)&lt;&gt;"VACUUM"),"CDU",IF($H543="FLUID CAT CRACKING","FCC",IF(OR($H543="HYDROCRACKING",$H543="RESID_HYDROCRACKING"),"Hydrocracker",IF($H543="REFORMING","Reformer",""))))</f>
        <v/>
      </c>
      <c r="H543" s="6" t="s">
        <v>43</v>
      </c>
      <c r="I543" s="6" t="s">
        <v>683</v>
      </c>
      <c r="J543" s="6" t="s">
        <v>349</v>
      </c>
      <c r="K543" s="10">
        <v>51.7</v>
      </c>
      <c r="L543" s="10">
        <v>55</v>
      </c>
      <c r="M543" s="6" t="s">
        <v>375</v>
      </c>
    </row>
    <row r="544" spans="1:13">
      <c r="A544" s="6">
        <v>2023</v>
      </c>
      <c r="B544" s="6">
        <v>3</v>
      </c>
      <c r="C544" s="6" t="s">
        <v>61</v>
      </c>
      <c r="D544" s="6" t="s">
        <v>372</v>
      </c>
      <c r="E544" s="6" t="s">
        <v>373</v>
      </c>
      <c r="F544" s="6" t="str">
        <f>IF($M544="PADD I","PADD 1",IF($M544="PADD II","PADD 2",IF($M544="PADD III","PADD 3",IF($M544="PADD IV","PADD 4",IF($M544="PADD V","PADD 5","")))))</f>
        <v>PADD 2</v>
      </c>
      <c r="G544" s="6" t="str">
        <f>IF(AND($H544="ATMOS DISTILLATION",ISNUMBER(SEARCH("VPS",$I544))=FALSE,LEFT($I544,6)&lt;&gt;"VACUUM"),"CDU",IF($H544="FLUID CAT CRACKING","FCC",IF(OR($H544="HYDROCRACKING",$H544="RESID_HYDROCRACKING"),"Hydrocracker",IF($H544="REFORMING","Reformer",""))))</f>
        <v>FCC</v>
      </c>
      <c r="H544" s="6" t="s">
        <v>376</v>
      </c>
      <c r="I544" s="6" t="s">
        <v>407</v>
      </c>
      <c r="J544" s="6" t="s">
        <v>345</v>
      </c>
      <c r="K544" s="10">
        <v>51.7</v>
      </c>
      <c r="L544" s="10">
        <v>55</v>
      </c>
      <c r="M544" s="6" t="s">
        <v>375</v>
      </c>
    </row>
    <row r="545" spans="1:13">
      <c r="A545" s="6">
        <v>2023</v>
      </c>
      <c r="B545" s="6">
        <v>3</v>
      </c>
      <c r="C545" s="6" t="s">
        <v>61</v>
      </c>
      <c r="D545" s="6" t="s">
        <v>372</v>
      </c>
      <c r="E545" s="6" t="s">
        <v>373</v>
      </c>
      <c r="F545" s="6" t="str">
        <f>IF($M545="PADD I","PADD 1",IF($M545="PADD II","PADD 2",IF($M545="PADD III","PADD 3",IF($M545="PADD IV","PADD 4",IF($M545="PADD V","PADD 5","")))))</f>
        <v>PADD 2</v>
      </c>
      <c r="G545" s="6" t="str">
        <f>IF(AND($H545="ATMOS DISTILLATION",ISNUMBER(SEARCH("VPS",$I545))=FALSE,LEFT($I545,6)&lt;&gt;"VACUUM"),"CDU",IF($H545="FLUID CAT CRACKING","FCC",IF(OR($H545="HYDROCRACKING",$H545="RESID_HYDROCRACKING"),"Hydrocracker",IF($H545="REFORMING","Reformer",""))))</f>
        <v>CDU</v>
      </c>
      <c r="H545" s="6" t="s">
        <v>38</v>
      </c>
      <c r="I545" s="6" t="s">
        <v>414</v>
      </c>
      <c r="J545" s="6" t="s">
        <v>345</v>
      </c>
      <c r="K545" s="10">
        <v>50</v>
      </c>
      <c r="L545" s="10">
        <v>50</v>
      </c>
      <c r="M545" s="6" t="s">
        <v>375</v>
      </c>
    </row>
    <row r="546" spans="1:13">
      <c r="A546" s="6">
        <v>2023</v>
      </c>
      <c r="B546" s="6">
        <v>3</v>
      </c>
      <c r="C546" s="6" t="s">
        <v>61</v>
      </c>
      <c r="D546" s="6" t="s">
        <v>518</v>
      </c>
      <c r="E546" s="6" t="s">
        <v>369</v>
      </c>
      <c r="F546" s="6" t="str">
        <f>IF($M546="PADD I","PADD 1",IF($M546="PADD II","PADD 2",IF($M546="PADD III","PADD 3",IF($M546="PADD IV","PADD 4",IF($M546="PADD V","PADD 5","")))))</f>
        <v>PADD 5</v>
      </c>
      <c r="G546" s="6" t="str">
        <f>IF(AND($H546="ATMOS DISTILLATION",ISNUMBER(SEARCH("VPS",$I546))=FALSE,LEFT($I546,6)&lt;&gt;"VACUUM"),"CDU",IF($H546="FLUID CAT CRACKING","FCC",IF(OR($H546="HYDROCRACKING",$H546="RESID_HYDROCRACKING"),"Hydrocracker",IF($H546="REFORMING","Reformer",""))))</f>
        <v>CDU</v>
      </c>
      <c r="H546" s="6" t="s">
        <v>38</v>
      </c>
      <c r="I546" s="6" t="s">
        <v>519</v>
      </c>
      <c r="J546" s="6" t="s">
        <v>345</v>
      </c>
      <c r="K546" s="10">
        <v>50</v>
      </c>
      <c r="L546" s="10">
        <v>50</v>
      </c>
      <c r="M546" s="6" t="s">
        <v>386</v>
      </c>
    </row>
    <row r="547" spans="1:13">
      <c r="A547" s="6">
        <v>2023</v>
      </c>
      <c r="B547" s="6">
        <v>3</v>
      </c>
      <c r="C547" s="6" t="s">
        <v>61</v>
      </c>
      <c r="D547" s="6" t="s">
        <v>415</v>
      </c>
      <c r="E547" s="6" t="s">
        <v>416</v>
      </c>
      <c r="F547" s="6" t="str">
        <f>IF($M547="PADD I","PADD 1",IF($M547="PADD II","PADD 2",IF($M547="PADD III","PADD 3",IF($M547="PADD IV","PADD 4",IF($M547="PADD V","PADD 5","")))))</f>
        <v>PADD 3</v>
      </c>
      <c r="G547" s="6">
        <f>IF(AND($H547="ATMOS DISTILLATION",ISNUMBER(SEARCH("VPS",$I547))=FALSE,LEFT($I547,6)&lt;&gt;"VACUUM"),"CDU",IF($H547="FLUID CAT CRACKING","FCC",IF(OR($H547="HYDROCRACKING",$H547="RESID_HYDROCRACKING"),"Hydrocracker",IF($H547="REFORMING","Reformer",""))))</f>
        <v/>
      </c>
      <c r="H547" s="6" t="s">
        <v>378</v>
      </c>
      <c r="I547" s="6" t="s">
        <v>417</v>
      </c>
      <c r="J547" s="6" t="s">
        <v>345</v>
      </c>
      <c r="K547" s="10">
        <v>50</v>
      </c>
      <c r="L547" s="10">
        <v>50</v>
      </c>
      <c r="M547" s="6" t="s">
        <v>371</v>
      </c>
    </row>
    <row r="548" spans="1:13">
      <c r="A548" s="6">
        <v>2023</v>
      </c>
      <c r="B548" s="6">
        <v>3</v>
      </c>
      <c r="C548" s="6" t="s">
        <v>61</v>
      </c>
      <c r="D548" s="6" t="s">
        <v>322</v>
      </c>
      <c r="E548" s="6" t="s">
        <v>369</v>
      </c>
      <c r="F548" s="6" t="str">
        <f>IF($M548="PADD I","PADD 1",IF($M548="PADD II","PADD 2",IF($M548="PADD III","PADD 3",IF($M548="PADD IV","PADD 4",IF($M548="PADD V","PADD 5","")))))</f>
        <v>PADD 2</v>
      </c>
      <c r="G548" s="6">
        <f>IF(AND($H548="ATMOS DISTILLATION",ISNUMBER(SEARCH("VPS",$I548))=FALSE,LEFT($I548,6)&lt;&gt;"VACUUM"),"CDU",IF($H548="FLUID CAT CRACKING","FCC",IF(OR($H548="HYDROCRACKING",$H548="RESID_HYDROCRACKING"),"Hydrocracker",IF($H548="REFORMING","Reformer",""))))</f>
        <v/>
      </c>
      <c r="H548" s="6" t="s">
        <v>43</v>
      </c>
      <c r="I548" s="6" t="s">
        <v>684</v>
      </c>
      <c r="J548" s="6" t="s">
        <v>349</v>
      </c>
      <c r="K548" s="10">
        <v>49.82</v>
      </c>
      <c r="L548" s="10">
        <v>53</v>
      </c>
      <c r="M548" s="6" t="s">
        <v>375</v>
      </c>
    </row>
    <row r="549" spans="1:13">
      <c r="A549" s="6">
        <v>2023</v>
      </c>
      <c r="B549" s="6">
        <v>3</v>
      </c>
      <c r="C549" s="6" t="s">
        <v>61</v>
      </c>
      <c r="D549" s="6" t="s">
        <v>322</v>
      </c>
      <c r="E549" s="6" t="s">
        <v>369</v>
      </c>
      <c r="F549" s="6" t="str">
        <f>IF($M549="PADD I","PADD 1",IF($M549="PADD II","PADD 2",IF($M549="PADD III","PADD 3",IF($M549="PADD IV","PADD 4",IF($M549="PADD V","PADD 5","")))))</f>
        <v>PADD 2</v>
      </c>
      <c r="G549" s="6" t="str">
        <f>IF(AND($H549="ATMOS DISTILLATION",ISNUMBER(SEARCH("VPS",$I549))=FALSE,LEFT($I549,6)&lt;&gt;"VACUUM"),"CDU",IF($H549="FLUID CAT CRACKING","FCC",IF(OR($H549="HYDROCRACKING",$H549="RESID_HYDROCRACKING"),"Hydrocracker",IF($H549="REFORMING","Reformer",""))))</f>
        <v>Reformer</v>
      </c>
      <c r="H549" s="6" t="s">
        <v>421</v>
      </c>
      <c r="I549" s="6" t="s">
        <v>685</v>
      </c>
      <c r="J549" s="6" t="s">
        <v>345</v>
      </c>
      <c r="K549" s="10">
        <v>49.815</v>
      </c>
      <c r="L549" s="10">
        <v>61.5</v>
      </c>
      <c r="M549" s="6" t="s">
        <v>375</v>
      </c>
    </row>
    <row r="550" spans="1:13">
      <c r="A550" s="6">
        <v>2023</v>
      </c>
      <c r="B550" s="6">
        <v>3</v>
      </c>
      <c r="C550" s="6" t="s">
        <v>61</v>
      </c>
      <c r="D550" s="6" t="s">
        <v>526</v>
      </c>
      <c r="E550" s="6" t="s">
        <v>405</v>
      </c>
      <c r="F550" s="6" t="str">
        <f>IF($M550="PADD I","PADD 1",IF($M550="PADD II","PADD 2",IF($M550="PADD III","PADD 3",IF($M550="PADD IV","PADD 4",IF($M550="PADD V","PADD 5","")))))</f>
        <v>PADD 3</v>
      </c>
      <c r="G550" s="6">
        <f>IF(AND($H550="ATMOS DISTILLATION",ISNUMBER(SEARCH("VPS",$I550))=FALSE,LEFT($I550,6)&lt;&gt;"VACUUM"),"CDU",IF($H550="FLUID CAT CRACKING","FCC",IF(OR($H550="HYDROCRACKING",$H550="RESID_HYDROCRACKING"),"Hydrocracker",IF($H550="REFORMING","Reformer",""))))</f>
        <v/>
      </c>
      <c r="H550" s="6" t="s">
        <v>378</v>
      </c>
      <c r="I550" s="6" t="s">
        <v>649</v>
      </c>
      <c r="J550" s="6" t="s">
        <v>345</v>
      </c>
      <c r="K550" s="10">
        <v>48</v>
      </c>
      <c r="L550" s="10">
        <v>48</v>
      </c>
      <c r="M550" s="6" t="s">
        <v>371</v>
      </c>
    </row>
    <row r="551" spans="1:13">
      <c r="A551" s="6">
        <v>2023</v>
      </c>
      <c r="B551" s="6">
        <v>3</v>
      </c>
      <c r="C551" s="6" t="s">
        <v>61</v>
      </c>
      <c r="D551" s="6" t="s">
        <v>526</v>
      </c>
      <c r="E551" s="6" t="s">
        <v>405</v>
      </c>
      <c r="F551" s="6" t="str">
        <f>IF($M551="PADD I","PADD 1",IF($M551="PADD II","PADD 2",IF($M551="PADD III","PADD 3",IF($M551="PADD IV","PADD 4",IF($M551="PADD V","PADD 5","")))))</f>
        <v>PADD 3</v>
      </c>
      <c r="G551" s="6">
        <f>IF(AND($H551="ATMOS DISTILLATION",ISNUMBER(SEARCH("VPS",$I551))=FALSE,LEFT($I551,6)&lt;&gt;"VACUUM"),"CDU",IF($H551="FLUID CAT CRACKING","FCC",IF(OR($H551="HYDROCRACKING",$H551="RESID_HYDROCRACKING"),"Hydrocracker",IF($H551="REFORMING","Reformer",""))))</f>
        <v/>
      </c>
      <c r="H551" s="6" t="s">
        <v>435</v>
      </c>
      <c r="I551" s="6" t="s">
        <v>686</v>
      </c>
      <c r="J551" s="6" t="s">
        <v>349</v>
      </c>
      <c r="K551" s="10">
        <v>47.85</v>
      </c>
      <c r="L551" s="10">
        <v>55</v>
      </c>
      <c r="M551" s="6" t="s">
        <v>371</v>
      </c>
    </row>
    <row r="552" spans="1:13">
      <c r="A552" s="6">
        <v>2023</v>
      </c>
      <c r="B552" s="6">
        <v>3</v>
      </c>
      <c r="C552" s="6" t="s">
        <v>61</v>
      </c>
      <c r="D552" s="6" t="s">
        <v>411</v>
      </c>
      <c r="E552" s="6" t="s">
        <v>369</v>
      </c>
      <c r="F552" s="6" t="str">
        <f>IF($M552="PADD I","PADD 1",IF($M552="PADD II","PADD 2",IF($M552="PADD III","PADD 3",IF($M552="PADD IV","PADD 4",IF($M552="PADD V","PADD 5","")))))</f>
        <v>PADD 1</v>
      </c>
      <c r="G552" s="6">
        <f>IF(AND($H552="ATMOS DISTILLATION",ISNUMBER(SEARCH("VPS",$I552))=FALSE,LEFT($I552,6)&lt;&gt;"VACUUM"),"CDU",IF($H552="FLUID CAT CRACKING","FCC",IF(OR($H552="HYDROCRACKING",$H552="RESID_HYDROCRACKING"),"Hydrocracker",IF($H552="REFORMING","Reformer",""))))</f>
        <v/>
      </c>
      <c r="H552" s="6" t="s">
        <v>43</v>
      </c>
      <c r="I552" s="6" t="s">
        <v>488</v>
      </c>
      <c r="J552" s="6" t="s">
        <v>349</v>
      </c>
      <c r="K552" s="10">
        <v>46.98</v>
      </c>
      <c r="L552" s="10">
        <v>54</v>
      </c>
      <c r="M552" s="6" t="s">
        <v>413</v>
      </c>
    </row>
    <row r="553" spans="1:13">
      <c r="A553" s="6">
        <v>2023</v>
      </c>
      <c r="B553" s="6">
        <v>3</v>
      </c>
      <c r="C553" s="6" t="s">
        <v>61</v>
      </c>
      <c r="D553" s="6" t="s">
        <v>547</v>
      </c>
      <c r="E553" s="6" t="s">
        <v>391</v>
      </c>
      <c r="F553" s="6" t="str">
        <f>IF($M553="PADD I","PADD 1",IF($M553="PADD II","PADD 2",IF($M553="PADD III","PADD 3",IF($M553="PADD IV","PADD 4",IF($M553="PADD V","PADD 5","")))))</f>
        <v>PADD 5</v>
      </c>
      <c r="G553" s="6" t="str">
        <f>IF(AND($H553="ATMOS DISTILLATION",ISNUMBER(SEARCH("VPS",$I553))=FALSE,LEFT($I553,6)&lt;&gt;"VACUUM"),"CDU",IF($H553="FLUID CAT CRACKING","FCC",IF(OR($H553="HYDROCRACKING",$H553="RESID_HYDROCRACKING"),"Hydrocracker",IF($H553="REFORMING","Reformer",""))))</f>
        <v>FCC</v>
      </c>
      <c r="H553" s="6" t="s">
        <v>376</v>
      </c>
      <c r="I553" s="6" t="s">
        <v>105</v>
      </c>
      <c r="J553" s="6" t="s">
        <v>345</v>
      </c>
      <c r="K553" s="10">
        <v>46.4</v>
      </c>
      <c r="L553" s="10">
        <v>80</v>
      </c>
      <c r="M553" s="6" t="s">
        <v>386</v>
      </c>
    </row>
    <row r="554" spans="1:13">
      <c r="A554" s="6">
        <v>2023</v>
      </c>
      <c r="B554" s="6">
        <v>3</v>
      </c>
      <c r="C554" s="6" t="s">
        <v>61</v>
      </c>
      <c r="D554" s="6" t="s">
        <v>490</v>
      </c>
      <c r="E554" s="6" t="s">
        <v>491</v>
      </c>
      <c r="F554" s="6" t="str">
        <f>IF($M554="PADD I","PADD 1",IF($M554="PADD II","PADD 2",IF($M554="PADD III","PADD 3",IF($M554="PADD IV","PADD 4",IF($M554="PADD V","PADD 5","")))))</f>
        <v>PADD 3</v>
      </c>
      <c r="G554" s="6">
        <f>IF(AND($H554="ATMOS DISTILLATION",ISNUMBER(SEARCH("VPS",$I554))=FALSE,LEFT($I554,6)&lt;&gt;"VACUUM"),"CDU",IF($H554="FLUID CAT CRACKING","FCC",IF(OR($H554="HYDROCRACKING",$H554="RESID_HYDROCRACKING"),"Hydrocracker",IF($H554="REFORMING","Reformer",""))))</f>
        <v/>
      </c>
      <c r="H554" s="6" t="s">
        <v>435</v>
      </c>
      <c r="I554" s="6" t="s">
        <v>687</v>
      </c>
      <c r="J554" s="6" t="s">
        <v>349</v>
      </c>
      <c r="K554" s="10">
        <v>45.36</v>
      </c>
      <c r="L554" s="10">
        <v>54</v>
      </c>
      <c r="M554" s="6" t="s">
        <v>371</v>
      </c>
    </row>
    <row r="555" spans="1:13">
      <c r="A555" s="6">
        <v>2023</v>
      </c>
      <c r="B555" s="6">
        <v>3</v>
      </c>
      <c r="C555" s="6" t="s">
        <v>61</v>
      </c>
      <c r="D555" s="6" t="s">
        <v>675</v>
      </c>
      <c r="E555" s="6" t="s">
        <v>452</v>
      </c>
      <c r="F555" s="6" t="str">
        <f>IF($M555="PADD I","PADD 1",IF($M555="PADD II","PADD 2",IF($M555="PADD III","PADD 3",IF($M555="PADD IV","PADD 4",IF($M555="PADD V","PADD 5","")))))</f>
        <v>PADD 2</v>
      </c>
      <c r="G555" s="6">
        <f>IF(AND($H555="ATMOS DISTILLATION",ISNUMBER(SEARCH("VPS",$I555))=FALSE,LEFT($I555,6)&lt;&gt;"VACUUM"),"CDU",IF($H555="FLUID CAT CRACKING","FCC",IF(OR($H555="HYDROCRACKING",$H555="RESID_HYDROCRACKING"),"Hydrocracker",IF($H555="REFORMING","Reformer",""))))</f>
        <v/>
      </c>
      <c r="H555" s="6" t="s">
        <v>378</v>
      </c>
      <c r="I555" s="6" t="s">
        <v>431</v>
      </c>
      <c r="J555" s="6" t="s">
        <v>349</v>
      </c>
      <c r="K555" s="10">
        <v>45.36</v>
      </c>
      <c r="L555" s="10">
        <v>56</v>
      </c>
      <c r="M555" s="6" t="s">
        <v>375</v>
      </c>
    </row>
    <row r="556" spans="1:13">
      <c r="A556" s="6">
        <v>2023</v>
      </c>
      <c r="B556" s="6">
        <v>3</v>
      </c>
      <c r="C556" s="6" t="s">
        <v>61</v>
      </c>
      <c r="D556" s="6" t="s">
        <v>526</v>
      </c>
      <c r="E556" s="6" t="s">
        <v>405</v>
      </c>
      <c r="F556" s="6" t="str">
        <f>IF($M556="PADD I","PADD 1",IF($M556="PADD II","PADD 2",IF($M556="PADD III","PADD 3",IF($M556="PADD IV","PADD 4",IF($M556="PADD V","PADD 5","")))))</f>
        <v>PADD 3</v>
      </c>
      <c r="G556" s="6" t="str">
        <f>IF(AND($H556="ATMOS DISTILLATION",ISNUMBER(SEARCH("VPS",$I556))=FALSE,LEFT($I556,6)&lt;&gt;"VACUUM"),"CDU",IF($H556="FLUID CAT CRACKING","FCC",IF(OR($H556="HYDROCRACKING",$H556="RESID_HYDROCRACKING"),"Hydrocracker",IF($H556="REFORMING","Reformer",""))))</f>
        <v>Hydrocracker</v>
      </c>
      <c r="H556" s="6" t="s">
        <v>444</v>
      </c>
      <c r="I556" s="6" t="s">
        <v>351</v>
      </c>
      <c r="J556" s="6" t="s">
        <v>349</v>
      </c>
      <c r="K556" s="10">
        <v>45</v>
      </c>
      <c r="L556" s="10">
        <v>45</v>
      </c>
      <c r="M556" s="6" t="s">
        <v>371</v>
      </c>
    </row>
    <row r="557" spans="1:13">
      <c r="A557" s="6">
        <v>2023</v>
      </c>
      <c r="B557" s="6">
        <v>3</v>
      </c>
      <c r="C557" s="6" t="s">
        <v>61</v>
      </c>
      <c r="D557" s="6" t="s">
        <v>526</v>
      </c>
      <c r="E557" s="6" t="s">
        <v>405</v>
      </c>
      <c r="F557" s="6" t="str">
        <f>IF($M557="PADD I","PADD 1",IF($M557="PADD II","PADD 2",IF($M557="PADD III","PADD 3",IF($M557="PADD IV","PADD 4",IF($M557="PADD V","PADD 5","")))))</f>
        <v>PADD 3</v>
      </c>
      <c r="G557" s="6" t="str">
        <f>IF(AND($H557="ATMOS DISTILLATION",ISNUMBER(SEARCH("VPS",$I557))=FALSE,LEFT($I557,6)&lt;&gt;"VACUUM"),"CDU",IF($H557="FLUID CAT CRACKING","FCC",IF(OR($H557="HYDROCRACKING",$H557="RESID_HYDROCRACKING"),"Hydrocracker",IF($H557="REFORMING","Reformer",""))))</f>
        <v>Hydrocracker</v>
      </c>
      <c r="H557" s="6" t="s">
        <v>444</v>
      </c>
      <c r="I557" s="6" t="s">
        <v>527</v>
      </c>
      <c r="J557" s="6" t="s">
        <v>345</v>
      </c>
      <c r="K557" s="10">
        <v>45</v>
      </c>
      <c r="L557" s="10">
        <v>45</v>
      </c>
      <c r="M557" s="6" t="s">
        <v>371</v>
      </c>
    </row>
    <row r="558" spans="1:13">
      <c r="A558" s="6">
        <v>2023</v>
      </c>
      <c r="B558" s="6">
        <v>3</v>
      </c>
      <c r="C558" s="6" t="s">
        <v>61</v>
      </c>
      <c r="D558" s="6" t="s">
        <v>368</v>
      </c>
      <c r="E558" s="6" t="s">
        <v>369</v>
      </c>
      <c r="F558" s="6" t="str">
        <f>IF($M558="PADD I","PADD 1",IF($M558="PADD II","PADD 2",IF($M558="PADD III","PADD 3",IF($M558="PADD IV","PADD 4",IF($M558="PADD V","PADD 5","")))))</f>
        <v>PADD 3</v>
      </c>
      <c r="G558" s="6" t="str">
        <f>IF(AND($H558="ATMOS DISTILLATION",ISNUMBER(SEARCH("VPS",$I558))=FALSE,LEFT($I558,6)&lt;&gt;"VACUUM"),"CDU",IF($H558="FLUID CAT CRACKING","FCC",IF(OR($H558="HYDROCRACKING",$H558="RESID_HYDROCRACKING"),"Hydrocracker",IF($H558="REFORMING","Reformer",""))))</f>
        <v>Reformer</v>
      </c>
      <c r="H558" s="6" t="s">
        <v>421</v>
      </c>
      <c r="I558" s="6" t="s">
        <v>422</v>
      </c>
      <c r="J558" s="6" t="s">
        <v>349</v>
      </c>
      <c r="K558" s="10">
        <v>44.6</v>
      </c>
      <c r="L558" s="10">
        <v>44.6</v>
      </c>
      <c r="M558" s="6" t="s">
        <v>371</v>
      </c>
    </row>
    <row r="559" spans="1:13">
      <c r="A559" s="6">
        <v>2023</v>
      </c>
      <c r="B559" s="6">
        <v>3</v>
      </c>
      <c r="C559" s="6" t="s">
        <v>61</v>
      </c>
      <c r="D559" s="6" t="s">
        <v>372</v>
      </c>
      <c r="E559" s="6" t="s">
        <v>373</v>
      </c>
      <c r="F559" s="6" t="str">
        <f>IF($M559="PADD I","PADD 1",IF($M559="PADD II","PADD 2",IF($M559="PADD III","PADD 3",IF($M559="PADD IV","PADD 4",IF($M559="PADD V","PADD 5","")))))</f>
        <v>PADD 2</v>
      </c>
      <c r="G559" s="6" t="str">
        <f>IF(AND($H559="ATMOS DISTILLATION",ISNUMBER(SEARCH("VPS",$I559))=FALSE,LEFT($I559,6)&lt;&gt;"VACUUM"),"CDU",IF($H559="FLUID CAT CRACKING","FCC",IF(OR($H559="HYDROCRACKING",$H559="RESID_HYDROCRACKING"),"Hydrocracker",IF($H559="REFORMING","Reformer",""))))</f>
        <v>Reformer</v>
      </c>
      <c r="H559" s="6" t="s">
        <v>421</v>
      </c>
      <c r="I559" s="6" t="s">
        <v>423</v>
      </c>
      <c r="J559" s="6" t="s">
        <v>345</v>
      </c>
      <c r="K559" s="10">
        <v>42</v>
      </c>
      <c r="L559" s="10">
        <v>42</v>
      </c>
      <c r="M559" s="6" t="s">
        <v>375</v>
      </c>
    </row>
    <row r="560" spans="1:13">
      <c r="A560" s="6">
        <v>2023</v>
      </c>
      <c r="B560" s="6">
        <v>3</v>
      </c>
      <c r="C560" s="6" t="s">
        <v>61</v>
      </c>
      <c r="D560" s="6" t="s">
        <v>518</v>
      </c>
      <c r="E560" s="6" t="s">
        <v>369</v>
      </c>
      <c r="F560" s="6" t="str">
        <f>IF($M560="PADD I","PADD 1",IF($M560="PADD II","PADD 2",IF($M560="PADD III","PADD 3",IF($M560="PADD IV","PADD 4",IF($M560="PADD V","PADD 5","")))))</f>
        <v>PADD 5</v>
      </c>
      <c r="G560" s="6" t="str">
        <f>IF(AND($H560="ATMOS DISTILLATION",ISNUMBER(SEARCH("VPS",$I560))=FALSE,LEFT($I560,6)&lt;&gt;"VACUUM"),"CDU",IF($H560="FLUID CAT CRACKING","FCC",IF(OR($H560="HYDROCRACKING",$H560="RESID_HYDROCRACKING"),"Hydrocracker",IF($H560="REFORMING","Reformer",""))))</f>
        <v>Hydrocracker</v>
      </c>
      <c r="H560" s="6" t="s">
        <v>444</v>
      </c>
      <c r="I560" s="6" t="s">
        <v>534</v>
      </c>
      <c r="J560" s="6" t="s">
        <v>345</v>
      </c>
      <c r="K560" s="10">
        <v>42</v>
      </c>
      <c r="L560" s="10">
        <v>42</v>
      </c>
      <c r="M560" s="6" t="s">
        <v>386</v>
      </c>
    </row>
    <row r="561" spans="1:13">
      <c r="A561" s="6">
        <v>2023</v>
      </c>
      <c r="B561" s="6">
        <v>3</v>
      </c>
      <c r="C561" s="6" t="s">
        <v>61</v>
      </c>
      <c r="D561" s="6" t="s">
        <v>415</v>
      </c>
      <c r="E561" s="6" t="s">
        <v>416</v>
      </c>
      <c r="F561" s="6" t="str">
        <f>IF($M561="PADD I","PADD 1",IF($M561="PADD II","PADD 2",IF($M561="PADD III","PADD 3",IF($M561="PADD IV","PADD 4",IF($M561="PADD V","PADD 5","")))))</f>
        <v>PADD 3</v>
      </c>
      <c r="G561" s="6" t="str">
        <f>IF(AND($H561="ATMOS DISTILLATION",ISNUMBER(SEARCH("VPS",$I561))=FALSE,LEFT($I561,6)&lt;&gt;"VACUUM"),"CDU",IF($H561="FLUID CAT CRACKING","FCC",IF(OR($H561="HYDROCRACKING",$H561="RESID_HYDROCRACKING"),"Hydrocracker",IF($H561="REFORMING","Reformer",""))))</f>
        <v>FCC</v>
      </c>
      <c r="H561" s="6" t="s">
        <v>376</v>
      </c>
      <c r="I561" s="6" t="s">
        <v>425</v>
      </c>
      <c r="J561" s="6" t="s">
        <v>345</v>
      </c>
      <c r="K561" s="10">
        <v>42</v>
      </c>
      <c r="L561" s="10">
        <v>42</v>
      </c>
      <c r="M561" s="6" t="s">
        <v>371</v>
      </c>
    </row>
    <row r="562" spans="1:13">
      <c r="A562" s="6">
        <v>2023</v>
      </c>
      <c r="B562" s="6">
        <v>3</v>
      </c>
      <c r="C562" s="6" t="s">
        <v>61</v>
      </c>
      <c r="D562" s="6" t="s">
        <v>372</v>
      </c>
      <c r="E562" s="6" t="s">
        <v>373</v>
      </c>
      <c r="F562" s="6" t="str">
        <f>IF($M562="PADD I","PADD 1",IF($M562="PADD II","PADD 2",IF($M562="PADD III","PADD 3",IF($M562="PADD IV","PADD 4",IF($M562="PADD V","PADD 5","")))))</f>
        <v>PADD 2</v>
      </c>
      <c r="G562" s="6">
        <f>IF(AND($H562="ATMOS DISTILLATION",ISNUMBER(SEARCH("VPS",$I562))=FALSE,LEFT($I562,6)&lt;&gt;"VACUUM"),"CDU",IF($H562="FLUID CAT CRACKING","FCC",IF(OR($H562="HYDROCRACKING",$H562="RESID_HYDROCRACKING"),"Hydrocracker",IF($H562="REFORMING","Reformer",""))))</f>
        <v/>
      </c>
      <c r="H562" s="6" t="s">
        <v>43</v>
      </c>
      <c r="I562" s="6" t="s">
        <v>432</v>
      </c>
      <c r="J562" s="6" t="s">
        <v>345</v>
      </c>
      <c r="K562" s="10">
        <v>40</v>
      </c>
      <c r="L562" s="10">
        <v>40</v>
      </c>
      <c r="M562" s="6" t="s">
        <v>375</v>
      </c>
    </row>
    <row r="563" spans="1:13">
      <c r="A563" s="6">
        <v>2023</v>
      </c>
      <c r="B563" s="6">
        <v>3</v>
      </c>
      <c r="C563" s="6" t="s">
        <v>61</v>
      </c>
      <c r="D563" s="6" t="s">
        <v>372</v>
      </c>
      <c r="E563" s="6" t="s">
        <v>373</v>
      </c>
      <c r="F563" s="6" t="str">
        <f>IF($M563="PADD I","PADD 1",IF($M563="PADD II","PADD 2",IF($M563="PADD III","PADD 3",IF($M563="PADD IV","PADD 4",IF($M563="PADD V","PADD 5","")))))</f>
        <v>PADD 2</v>
      </c>
      <c r="G563" s="6">
        <f>IF(AND($H563="ATMOS DISTILLATION",ISNUMBER(SEARCH("VPS",$I563))=FALSE,LEFT($I563,6)&lt;&gt;"VACUUM"),"CDU",IF($H563="FLUID CAT CRACKING","FCC",IF(OR($H563="HYDROCRACKING",$H563="RESID_HYDROCRACKING"),"Hydrocracker",IF($H563="REFORMING","Reformer",""))))</f>
        <v/>
      </c>
      <c r="H563" s="6" t="s">
        <v>43</v>
      </c>
      <c r="I563" s="6" t="s">
        <v>433</v>
      </c>
      <c r="J563" s="6" t="s">
        <v>345</v>
      </c>
      <c r="K563" s="10">
        <v>40</v>
      </c>
      <c r="L563" s="10">
        <v>40</v>
      </c>
      <c r="M563" s="6" t="s">
        <v>375</v>
      </c>
    </row>
    <row r="564" spans="1:13">
      <c r="A564" s="6">
        <v>2023</v>
      </c>
      <c r="B564" s="6">
        <v>3</v>
      </c>
      <c r="C564" s="6" t="s">
        <v>61</v>
      </c>
      <c r="D564" s="6" t="s">
        <v>372</v>
      </c>
      <c r="E564" s="6" t="s">
        <v>373</v>
      </c>
      <c r="F564" s="6" t="str">
        <f>IF($M564="PADD I","PADD 1",IF($M564="PADD II","PADD 2",IF($M564="PADD III","PADD 3",IF($M564="PADD IV","PADD 4",IF($M564="PADD V","PADD 5","")))))</f>
        <v>PADD 2</v>
      </c>
      <c r="G564" s="6" t="str">
        <f>IF(AND($H564="ATMOS DISTILLATION",ISNUMBER(SEARCH("VPS",$I564))=FALSE,LEFT($I564,6)&lt;&gt;"VACUUM"),"CDU",IF($H564="FLUID CAT CRACKING","FCC",IF(OR($H564="HYDROCRACKING",$H564="RESID_HYDROCRACKING"),"Hydrocracker",IF($H564="REFORMING","Reformer",""))))</f>
        <v>Reformer</v>
      </c>
      <c r="H564" s="6" t="s">
        <v>421</v>
      </c>
      <c r="I564" s="6" t="s">
        <v>423</v>
      </c>
      <c r="J564" s="6" t="s">
        <v>345</v>
      </c>
      <c r="K564" s="10">
        <v>39.48</v>
      </c>
      <c r="L564" s="10">
        <v>42</v>
      </c>
      <c r="M564" s="6" t="s">
        <v>375</v>
      </c>
    </row>
    <row r="565" spans="1:13">
      <c r="A565" s="6">
        <v>2023</v>
      </c>
      <c r="B565" s="6">
        <v>3</v>
      </c>
      <c r="C565" s="6" t="s">
        <v>61</v>
      </c>
      <c r="D565" s="6" t="s">
        <v>511</v>
      </c>
      <c r="E565" s="6" t="s">
        <v>405</v>
      </c>
      <c r="F565" s="6" t="str">
        <f>IF($M565="PADD I","PADD 1",IF($M565="PADD II","PADD 2",IF($M565="PADD III","PADD 3",IF($M565="PADD IV","PADD 4",IF($M565="PADD V","PADD 5","")))))</f>
        <v>PADD 3</v>
      </c>
      <c r="G565" s="6" t="str">
        <f>IF(AND($H565="ATMOS DISTILLATION",ISNUMBER(SEARCH("VPS",$I565))=FALSE,LEFT($I565,6)&lt;&gt;"VACUUM"),"CDU",IF($H565="FLUID CAT CRACKING","FCC",IF(OR($H565="HYDROCRACKING",$H565="RESID_HYDROCRACKING"),"Hydrocracker",IF($H565="REFORMING","Reformer",""))))</f>
        <v>CDU</v>
      </c>
      <c r="H565" s="6" t="s">
        <v>38</v>
      </c>
      <c r="I565" s="6" t="s">
        <v>112</v>
      </c>
      <c r="J565" s="6" t="s">
        <v>349</v>
      </c>
      <c r="K565" s="10">
        <v>38.5</v>
      </c>
      <c r="L565" s="10">
        <v>110</v>
      </c>
      <c r="M565" s="6" t="s">
        <v>371</v>
      </c>
    </row>
    <row r="566" spans="1:13">
      <c r="A566" s="6">
        <v>2023</v>
      </c>
      <c r="B566" s="6">
        <v>3</v>
      </c>
      <c r="C566" s="6" t="s">
        <v>61</v>
      </c>
      <c r="D566" s="6" t="s">
        <v>437</v>
      </c>
      <c r="E566" s="6" t="s">
        <v>438</v>
      </c>
      <c r="F566" s="6" t="str">
        <f>IF($M566="PADD I","PADD 1",IF($M566="PADD II","PADD 2",IF($M566="PADD III","PADD 3",IF($M566="PADD IV","PADD 4",IF($M566="PADD V","PADD 5","")))))</f>
        <v>PADD 4</v>
      </c>
      <c r="G566" s="6" t="str">
        <f>IF(AND($H566="ATMOS DISTILLATION",ISNUMBER(SEARCH("VPS",$I566))=FALSE,LEFT($I566,6)&lt;&gt;"VACUUM"),"CDU",IF($H566="FLUID CAT CRACKING","FCC",IF(OR($H566="HYDROCRACKING",$H566="RESID_HYDROCRACKING"),"Hydrocracker",IF($H566="REFORMING","Reformer",""))))</f>
        <v>CDU</v>
      </c>
      <c r="H566" s="6" t="s">
        <v>38</v>
      </c>
      <c r="I566" s="6" t="s">
        <v>439</v>
      </c>
      <c r="J566" s="6" t="s">
        <v>345</v>
      </c>
      <c r="K566" s="10">
        <v>38</v>
      </c>
      <c r="L566" s="10">
        <v>38</v>
      </c>
      <c r="M566" s="6" t="s">
        <v>430</v>
      </c>
    </row>
    <row r="567" spans="1:13">
      <c r="A567" s="6">
        <v>2023</v>
      </c>
      <c r="B567" s="6">
        <v>3</v>
      </c>
      <c r="C567" s="6" t="s">
        <v>61</v>
      </c>
      <c r="D567" s="6" t="s">
        <v>50</v>
      </c>
      <c r="E567" s="6" t="s">
        <v>381</v>
      </c>
      <c r="F567" s="6" t="str">
        <f>IF($M567="PADD I","PADD 1",IF($M567="PADD II","PADD 2",IF($M567="PADD III","PADD 3",IF($M567="PADD IV","PADD 4",IF($M567="PADD V","PADD 5","")))))</f>
        <v>PADD 3</v>
      </c>
      <c r="G567" s="6" t="str">
        <f>IF(AND($H567="ATMOS DISTILLATION",ISNUMBER(SEARCH("VPS",$I567))=FALSE,LEFT($I567,6)&lt;&gt;"VACUUM"),"CDU",IF($H567="FLUID CAT CRACKING","FCC",IF(OR($H567="HYDROCRACKING",$H567="RESID_HYDROCRACKING"),"Hydrocracker",IF($H567="REFORMING","Reformer",""))))</f>
        <v>FCC</v>
      </c>
      <c r="H567" s="6" t="s">
        <v>376</v>
      </c>
      <c r="I567" s="6" t="s">
        <v>589</v>
      </c>
      <c r="J567" s="6" t="s">
        <v>349</v>
      </c>
      <c r="K567" s="10">
        <v>37.8</v>
      </c>
      <c r="L567" s="10">
        <v>90</v>
      </c>
      <c r="M567" s="6" t="s">
        <v>371</v>
      </c>
    </row>
    <row r="568" spans="1:13">
      <c r="A568" s="6">
        <v>2023</v>
      </c>
      <c r="B568" s="6">
        <v>3</v>
      </c>
      <c r="C568" s="6" t="s">
        <v>61</v>
      </c>
      <c r="D568" s="6" t="s">
        <v>51</v>
      </c>
      <c r="E568" s="6" t="s">
        <v>391</v>
      </c>
      <c r="F568" s="6" t="str">
        <f>IF($M568="PADD I","PADD 1",IF($M568="PADD II","PADD 2",IF($M568="PADD III","PADD 3",IF($M568="PADD IV","PADD 4",IF($M568="PADD V","PADD 5","")))))</f>
        <v>PADD 5</v>
      </c>
      <c r="G568" s="6" t="str">
        <f>IF(AND($H568="ATMOS DISTILLATION",ISNUMBER(SEARCH("VPS",$I568))=FALSE,LEFT($I568,6)&lt;&gt;"VACUUM"),"CDU",IF($H568="FLUID CAT CRACKING","FCC",IF(OR($H568="HYDROCRACKING",$H568="RESID_HYDROCRACKING"),"Hydrocracker",IF($H568="REFORMING","Reformer",""))))</f>
        <v>FCC</v>
      </c>
      <c r="H568" s="6" t="s">
        <v>376</v>
      </c>
      <c r="I568" s="6" t="s">
        <v>105</v>
      </c>
      <c r="J568" s="6" t="s">
        <v>349</v>
      </c>
      <c r="K568" s="10">
        <v>37.7</v>
      </c>
      <c r="L568" s="10">
        <v>72.5</v>
      </c>
      <c r="M568" s="6" t="s">
        <v>386</v>
      </c>
    </row>
    <row r="569" spans="1:13">
      <c r="A569" s="6">
        <v>2023</v>
      </c>
      <c r="B569" s="6">
        <v>3</v>
      </c>
      <c r="C569" s="6" t="s">
        <v>61</v>
      </c>
      <c r="D569" s="6" t="s">
        <v>372</v>
      </c>
      <c r="E569" s="6" t="s">
        <v>373</v>
      </c>
      <c r="F569" s="6" t="str">
        <f>IF($M569="PADD I","PADD 1",IF($M569="PADD II","PADD 2",IF($M569="PADD III","PADD 3",IF($M569="PADD IV","PADD 4",IF($M569="PADD V","PADD 5","")))))</f>
        <v>PADD 2</v>
      </c>
      <c r="G569" s="6" t="str">
        <f>IF(AND($H569="ATMOS DISTILLATION",ISNUMBER(SEARCH("VPS",$I569))=FALSE,LEFT($I569,6)&lt;&gt;"VACUUM"),"CDU",IF($H569="FLUID CAT CRACKING","FCC",IF(OR($H569="HYDROCRACKING",$H569="RESID_HYDROCRACKING"),"Hydrocracker",IF($H569="REFORMING","Reformer",""))))</f>
        <v>CDU</v>
      </c>
      <c r="H569" s="6" t="s">
        <v>38</v>
      </c>
      <c r="I569" s="6" t="s">
        <v>414</v>
      </c>
      <c r="J569" s="6" t="s">
        <v>345</v>
      </c>
      <c r="K569" s="10">
        <v>37.6</v>
      </c>
      <c r="L569" s="10">
        <v>40</v>
      </c>
      <c r="M569" s="6" t="s">
        <v>375</v>
      </c>
    </row>
    <row r="570" spans="1:13">
      <c r="A570" s="6">
        <v>2023</v>
      </c>
      <c r="B570" s="6">
        <v>3</v>
      </c>
      <c r="C570" s="6" t="s">
        <v>61</v>
      </c>
      <c r="D570" s="6" t="s">
        <v>346</v>
      </c>
      <c r="E570" s="6" t="s">
        <v>383</v>
      </c>
      <c r="F570" s="6" t="str">
        <f>IF($M570="PADD I","PADD 1",IF($M570="PADD II","PADD 2",IF($M570="PADD III","PADD 3",IF($M570="PADD IV","PADD 4",IF($M570="PADD V","PADD 5","")))))</f>
        <v>PADD 2</v>
      </c>
      <c r="G570" s="6" t="str">
        <f>IF(AND($H570="ATMOS DISTILLATION",ISNUMBER(SEARCH("VPS",$I570))=FALSE,LEFT($I570,6)&lt;&gt;"VACUUM"),"CDU",IF($H570="FLUID CAT CRACKING","FCC",IF(OR($H570="HYDROCRACKING",$H570="RESID_HYDROCRACKING"),"Hydrocracker",IF($H570="REFORMING","Reformer",""))))</f>
        <v>CDU</v>
      </c>
      <c r="H570" s="6" t="s">
        <v>38</v>
      </c>
      <c r="I570" s="6" t="s">
        <v>384</v>
      </c>
      <c r="J570" s="6" t="s">
        <v>349</v>
      </c>
      <c r="K570" s="10">
        <v>36.96</v>
      </c>
      <c r="L570" s="10">
        <v>88</v>
      </c>
      <c r="M570" s="6" t="s">
        <v>375</v>
      </c>
    </row>
    <row r="571" spans="1:13">
      <c r="A571" s="6">
        <v>2023</v>
      </c>
      <c r="B571" s="6">
        <v>3</v>
      </c>
      <c r="C571" s="6" t="s">
        <v>61</v>
      </c>
      <c r="D571" s="6" t="s">
        <v>639</v>
      </c>
      <c r="E571" s="6" t="s">
        <v>452</v>
      </c>
      <c r="F571" s="6" t="str">
        <f>IF($M571="PADD I","PADD 1",IF($M571="PADD II","PADD 2",IF($M571="PADD III","PADD 3",IF($M571="PADD IV","PADD 4",IF($M571="PADD V","PADD 5","")))))</f>
        <v>PADD 5</v>
      </c>
      <c r="G571" s="6">
        <f>IF(AND($H571="ATMOS DISTILLATION",ISNUMBER(SEARCH("VPS",$I571))=FALSE,LEFT($I571,6)&lt;&gt;"VACUUM"),"CDU",IF($H571="FLUID CAT CRACKING","FCC",IF(OR($H571="HYDROCRACKING",$H571="RESID_HYDROCRACKING"),"Hydrocracker",IF($H571="REFORMING","Reformer",""))))</f>
        <v/>
      </c>
      <c r="H571" s="6" t="s">
        <v>378</v>
      </c>
      <c r="I571" s="6" t="s">
        <v>379</v>
      </c>
      <c r="J571" s="6" t="s">
        <v>349</v>
      </c>
      <c r="K571" s="10">
        <v>36.19</v>
      </c>
      <c r="L571" s="10">
        <v>65.8</v>
      </c>
      <c r="M571" s="6" t="s">
        <v>386</v>
      </c>
    </row>
    <row r="572" spans="1:13">
      <c r="A572" s="6">
        <v>2023</v>
      </c>
      <c r="B572" s="6">
        <v>3</v>
      </c>
      <c r="C572" s="6" t="s">
        <v>61</v>
      </c>
      <c r="D572" s="6" t="s">
        <v>372</v>
      </c>
      <c r="E572" s="6" t="s">
        <v>373</v>
      </c>
      <c r="F572" s="6" t="str">
        <f>IF($M572="PADD I","PADD 1",IF($M572="PADD II","PADD 2",IF($M572="PADD III","PADD 3",IF($M572="PADD IV","PADD 4",IF($M572="PADD V","PADD 5","")))))</f>
        <v>PADD 2</v>
      </c>
      <c r="G572" s="6" t="str">
        <f>IF(AND($H572="ATMOS DISTILLATION",ISNUMBER(SEARCH("VPS",$I572))=FALSE,LEFT($I572,6)&lt;&gt;"VACUUM"),"CDU",IF($H572="FLUID CAT CRACKING","FCC",IF(OR($H572="HYDROCRACKING",$H572="RESID_HYDROCRACKING"),"Hydrocracker",IF($H572="REFORMING","Reformer",""))))</f>
        <v>Hydrocracker</v>
      </c>
      <c r="H572" s="6" t="s">
        <v>444</v>
      </c>
      <c r="I572" s="6" t="s">
        <v>445</v>
      </c>
      <c r="J572" s="6" t="s">
        <v>345</v>
      </c>
      <c r="K572" s="10">
        <v>35</v>
      </c>
      <c r="L572" s="10">
        <v>35</v>
      </c>
      <c r="M572" s="6" t="s">
        <v>375</v>
      </c>
    </row>
    <row r="573" spans="1:13">
      <c r="A573" s="6">
        <v>2023</v>
      </c>
      <c r="B573" s="6">
        <v>3</v>
      </c>
      <c r="C573" s="6" t="s">
        <v>61</v>
      </c>
      <c r="D573" s="6" t="s">
        <v>446</v>
      </c>
      <c r="E573" s="6" t="s">
        <v>391</v>
      </c>
      <c r="F573" s="6" t="str">
        <f>IF($M573="PADD I","PADD 1",IF($M573="PADD II","PADD 2",IF($M573="PADD III","PADD 3",IF($M573="PADD IV","PADD 4",IF($M573="PADD V","PADD 5","")))))</f>
        <v>PADD 3</v>
      </c>
      <c r="G573" s="6">
        <f>IF(AND($H573="ATMOS DISTILLATION",ISNUMBER(SEARCH("VPS",$I573))=FALSE,LEFT($I573,6)&lt;&gt;"VACUUM"),"CDU",IF($H573="FLUID CAT CRACKING","FCC",IF(OR($H573="HYDROCRACKING",$H573="RESID_HYDROCRACKING"),"Hydrocracker",IF($H573="REFORMING","Reformer",""))))</f>
        <v/>
      </c>
      <c r="H573" s="6" t="s">
        <v>43</v>
      </c>
      <c r="I573" s="6" t="s">
        <v>447</v>
      </c>
      <c r="J573" s="6" t="s">
        <v>349</v>
      </c>
      <c r="K573" s="10">
        <v>35</v>
      </c>
      <c r="L573" s="10">
        <v>35</v>
      </c>
      <c r="M573" s="6" t="s">
        <v>371</v>
      </c>
    </row>
    <row r="574" spans="1:13">
      <c r="A574" s="6">
        <v>2023</v>
      </c>
      <c r="B574" s="6">
        <v>3</v>
      </c>
      <c r="C574" s="6" t="s">
        <v>61</v>
      </c>
      <c r="D574" s="6" t="s">
        <v>448</v>
      </c>
      <c r="E574" s="6" t="s">
        <v>391</v>
      </c>
      <c r="F574" s="6" t="str">
        <f>IF($M574="PADD I","PADD 1",IF($M574="PADD II","PADD 2",IF($M574="PADD III","PADD 3",IF($M574="PADD IV","PADD 4",IF($M574="PADD V","PADD 5","")))))</f>
        <v>PADD 3</v>
      </c>
      <c r="G574" s="6">
        <f>IF(AND($H574="ATMOS DISTILLATION",ISNUMBER(SEARCH("VPS",$I574))=FALSE,LEFT($I574,6)&lt;&gt;"VACUUM"),"CDU",IF($H574="FLUID CAT CRACKING","FCC",IF(OR($H574="HYDROCRACKING",$H574="RESID_HYDROCRACKING"),"Hydrocracker",IF($H574="REFORMING","Reformer",""))))</f>
        <v/>
      </c>
      <c r="H574" s="6" t="s">
        <v>43</v>
      </c>
      <c r="I574" s="6" t="s">
        <v>449</v>
      </c>
      <c r="J574" s="6" t="s">
        <v>345</v>
      </c>
      <c r="K574" s="10">
        <v>35</v>
      </c>
      <c r="L574" s="10">
        <v>35</v>
      </c>
      <c r="M574" s="6" t="s">
        <v>371</v>
      </c>
    </row>
    <row r="575" spans="1:13">
      <c r="A575" s="6">
        <v>2023</v>
      </c>
      <c r="B575" s="6">
        <v>3</v>
      </c>
      <c r="C575" s="6" t="s">
        <v>61</v>
      </c>
      <c r="D575" s="6" t="s">
        <v>450</v>
      </c>
      <c r="E575" s="6" t="s">
        <v>369</v>
      </c>
      <c r="F575" s="6" t="str">
        <f>IF($M575="PADD I","PADD 1",IF($M575="PADD II","PADD 2",IF($M575="PADD III","PADD 3",IF($M575="PADD IV","PADD 4",IF($M575="PADD V","PADD 5","")))))</f>
        <v>PADD 3</v>
      </c>
      <c r="G575" s="6">
        <f>IF(AND($H575="ATMOS DISTILLATION",ISNUMBER(SEARCH("VPS",$I575))=FALSE,LEFT($I575,6)&lt;&gt;"VACUUM"),"CDU",IF($H575="FLUID CAT CRACKING","FCC",IF(OR($H575="HYDROCRACKING",$H575="RESID_HYDROCRACKING"),"Hydrocracker",IF($H575="REFORMING","Reformer",""))))</f>
        <v/>
      </c>
      <c r="H575" s="6" t="s">
        <v>43</v>
      </c>
      <c r="I575" s="6" t="s">
        <v>449</v>
      </c>
      <c r="J575" s="6" t="s">
        <v>349</v>
      </c>
      <c r="K575" s="10">
        <v>35</v>
      </c>
      <c r="L575" s="10">
        <v>35</v>
      </c>
      <c r="M575" s="6" t="s">
        <v>371</v>
      </c>
    </row>
    <row r="576" spans="1:13">
      <c r="A576" s="6">
        <v>2023</v>
      </c>
      <c r="B576" s="6">
        <v>3</v>
      </c>
      <c r="C576" s="6" t="s">
        <v>61</v>
      </c>
      <c r="D576" s="6" t="s">
        <v>415</v>
      </c>
      <c r="E576" s="6" t="s">
        <v>416</v>
      </c>
      <c r="F576" s="6" t="str">
        <f>IF($M576="PADD I","PADD 1",IF($M576="PADD II","PADD 2",IF($M576="PADD III","PADD 3",IF($M576="PADD IV","PADD 4",IF($M576="PADD V","PADD 5","")))))</f>
        <v>PADD 3</v>
      </c>
      <c r="G576" s="6">
        <f>IF(AND($H576="ATMOS DISTILLATION",ISNUMBER(SEARCH("VPS",$I576))=FALSE,LEFT($I576,6)&lt;&gt;"VACUUM"),"CDU",IF($H576="FLUID CAT CRACKING","FCC",IF(OR($H576="HYDROCRACKING",$H576="RESID_HYDROCRACKING"),"Hydrocracker",IF($H576="REFORMING","Reformer",""))))</f>
        <v/>
      </c>
      <c r="H576" s="6" t="s">
        <v>435</v>
      </c>
      <c r="I576" s="6" t="s">
        <v>453</v>
      </c>
      <c r="J576" s="6" t="s">
        <v>345</v>
      </c>
      <c r="K576" s="10">
        <v>34</v>
      </c>
      <c r="L576" s="10">
        <v>34</v>
      </c>
      <c r="M576" s="6" t="s">
        <v>371</v>
      </c>
    </row>
    <row r="577" spans="1:13">
      <c r="A577" s="6">
        <v>2023</v>
      </c>
      <c r="B577" s="6">
        <v>3</v>
      </c>
      <c r="C577" s="6" t="s">
        <v>61</v>
      </c>
      <c r="D577" s="6" t="s">
        <v>415</v>
      </c>
      <c r="E577" s="6" t="s">
        <v>416</v>
      </c>
      <c r="F577" s="6" t="str">
        <f>IF($M577="PADD I","PADD 1",IF($M577="PADD II","PADD 2",IF($M577="PADD III","PADD 3",IF($M577="PADD IV","PADD 4",IF($M577="PADD V","PADD 5","")))))</f>
        <v>PADD 3</v>
      </c>
      <c r="G577" s="6">
        <f>IF(AND($H577="ATMOS DISTILLATION",ISNUMBER(SEARCH("VPS",$I577))=FALSE,LEFT($I577,6)&lt;&gt;"VACUUM"),"CDU",IF($H577="FLUID CAT CRACKING","FCC",IF(OR($H577="HYDROCRACKING",$H577="RESID_HYDROCRACKING"),"Hydrocracker",IF($H577="REFORMING","Reformer",""))))</f>
        <v/>
      </c>
      <c r="H577" s="6" t="s">
        <v>435</v>
      </c>
      <c r="I577" s="6" t="s">
        <v>453</v>
      </c>
      <c r="J577" s="6" t="s">
        <v>345</v>
      </c>
      <c r="K577" s="10">
        <v>34</v>
      </c>
      <c r="L577" s="10">
        <v>34</v>
      </c>
      <c r="M577" s="6" t="s">
        <v>371</v>
      </c>
    </row>
    <row r="578" spans="1:13">
      <c r="A578" s="6">
        <v>2023</v>
      </c>
      <c r="B578" s="6">
        <v>3</v>
      </c>
      <c r="C578" s="6" t="s">
        <v>61</v>
      </c>
      <c r="D578" s="6" t="s">
        <v>402</v>
      </c>
      <c r="E578" s="6" t="s">
        <v>403</v>
      </c>
      <c r="F578" s="6" t="str">
        <f>IF($M578="PADD I","PADD 1",IF($M578="PADD II","PADD 2",IF($M578="PADD III","PADD 3",IF($M578="PADD IV","PADD 4",IF($M578="PADD V","PADD 5","")))))</f>
        <v>PADD 3</v>
      </c>
      <c r="G578" s="6" t="str">
        <f>IF(AND($H578="ATMOS DISTILLATION",ISNUMBER(SEARCH("VPS",$I578))=FALSE,LEFT($I578,6)&lt;&gt;"VACUUM"),"CDU",IF($H578="FLUID CAT CRACKING","FCC",IF(OR($H578="HYDROCRACKING",$H578="RESID_HYDROCRACKING"),"Hydrocracker",IF($H578="REFORMING","Reformer",""))))</f>
        <v>CDU</v>
      </c>
      <c r="H578" s="6" t="s">
        <v>38</v>
      </c>
      <c r="I578" s="6" t="s">
        <v>404</v>
      </c>
      <c r="J578" s="6" t="s">
        <v>349</v>
      </c>
      <c r="K578" s="10">
        <v>33.75</v>
      </c>
      <c r="L578" s="10">
        <v>75</v>
      </c>
      <c r="M578" s="6" t="s">
        <v>371</v>
      </c>
    </row>
    <row r="579" spans="1:13">
      <c r="A579" s="6">
        <v>2023</v>
      </c>
      <c r="B579" s="6">
        <v>3</v>
      </c>
      <c r="C579" s="6" t="s">
        <v>61</v>
      </c>
      <c r="D579" s="6" t="s">
        <v>346</v>
      </c>
      <c r="E579" s="6" t="s">
        <v>383</v>
      </c>
      <c r="F579" s="6" t="str">
        <f>IF($M579="PADD I","PADD 1",IF($M579="PADD II","PADD 2",IF($M579="PADD III","PADD 3",IF($M579="PADD IV","PADD 4",IF($M579="PADD V","PADD 5","")))))</f>
        <v>PADD 2</v>
      </c>
      <c r="G579" s="6" t="str">
        <f>IF(AND($H579="ATMOS DISTILLATION",ISNUMBER(SEARCH("VPS",$I579))=FALSE,LEFT($I579,6)&lt;&gt;"VACUUM"),"CDU",IF($H579="FLUID CAT CRACKING","FCC",IF(OR($H579="HYDROCRACKING",$H579="RESID_HYDROCRACKING"),"Hydrocracker",IF($H579="REFORMING","Reformer",""))))</f>
        <v>FCC</v>
      </c>
      <c r="H579" s="6" t="s">
        <v>376</v>
      </c>
      <c r="I579" s="6" t="s">
        <v>105</v>
      </c>
      <c r="J579" s="6" t="s">
        <v>349</v>
      </c>
      <c r="K579" s="10">
        <v>33.18</v>
      </c>
      <c r="L579" s="10">
        <v>79</v>
      </c>
      <c r="M579" s="6" t="s">
        <v>375</v>
      </c>
    </row>
    <row r="580" spans="1:13">
      <c r="A580" s="6">
        <v>2023</v>
      </c>
      <c r="B580" s="6">
        <v>3</v>
      </c>
      <c r="C580" s="6" t="s">
        <v>61</v>
      </c>
      <c r="D580" s="6" t="s">
        <v>387</v>
      </c>
      <c r="E580" s="6" t="s">
        <v>388</v>
      </c>
      <c r="F580" s="6" t="str">
        <f>IF($M580="PADD I","PADD 1",IF($M580="PADD II","PADD 2",IF($M580="PADD III","PADD 3",IF($M580="PADD IV","PADD 4",IF($M580="PADD V","PADD 5","")))))</f>
        <v>PADD 3</v>
      </c>
      <c r="G580" s="6">
        <f>IF(AND($H580="ATMOS DISTILLATION",ISNUMBER(SEARCH("VPS",$I580))=FALSE,LEFT($I580,6)&lt;&gt;"VACUUM"),"CDU",IF($H580="FLUID CAT CRACKING","FCC",IF(OR($H580="HYDROCRACKING",$H580="RESID_HYDROCRACKING"),"Hydrocracker",IF($H580="REFORMING","Reformer",""))))</f>
        <v/>
      </c>
      <c r="H580" s="6" t="s">
        <v>435</v>
      </c>
      <c r="I580" s="6" t="s">
        <v>590</v>
      </c>
      <c r="J580" s="6" t="s">
        <v>345</v>
      </c>
      <c r="K580" s="10">
        <v>33</v>
      </c>
      <c r="L580" s="10">
        <v>33</v>
      </c>
      <c r="M580" s="6" t="s">
        <v>371</v>
      </c>
    </row>
    <row r="581" spans="1:13">
      <c r="A581" s="6">
        <v>2023</v>
      </c>
      <c r="B581" s="6">
        <v>3</v>
      </c>
      <c r="C581" s="6" t="s">
        <v>61</v>
      </c>
      <c r="D581" s="6" t="s">
        <v>322</v>
      </c>
      <c r="E581" s="6" t="s">
        <v>369</v>
      </c>
      <c r="F581" s="6" t="str">
        <f>IF($M581="PADD I","PADD 1",IF($M581="PADD II","PADD 2",IF($M581="PADD III","PADD 3",IF($M581="PADD IV","PADD 4",IF($M581="PADD V","PADD 5","")))))</f>
        <v>PADD 2</v>
      </c>
      <c r="G581" s="6">
        <f>IF(AND($H581="ATMOS DISTILLATION",ISNUMBER(SEARCH("VPS",$I581))=FALSE,LEFT($I581,6)&lt;&gt;"VACUUM"),"CDU",IF($H581="FLUID CAT CRACKING","FCC",IF(OR($H581="HYDROCRACKING",$H581="RESID_HYDROCRACKING"),"Hydrocracker",IF($H581="REFORMING","Reformer",""))))</f>
        <v/>
      </c>
      <c r="H581" s="6" t="s">
        <v>43</v>
      </c>
      <c r="I581" s="6" t="s">
        <v>688</v>
      </c>
      <c r="J581" s="6" t="s">
        <v>349</v>
      </c>
      <c r="K581" s="10">
        <v>32.9</v>
      </c>
      <c r="L581" s="10">
        <v>35</v>
      </c>
      <c r="M581" s="6" t="s">
        <v>375</v>
      </c>
    </row>
    <row r="582" spans="1:13">
      <c r="A582" s="6">
        <v>2023</v>
      </c>
      <c r="B582" s="6">
        <v>3</v>
      </c>
      <c r="C582" s="6" t="s">
        <v>61</v>
      </c>
      <c r="D582" s="6" t="s">
        <v>518</v>
      </c>
      <c r="E582" s="6" t="s">
        <v>369</v>
      </c>
      <c r="F582" s="6" t="str">
        <f>IF($M582="PADD I","PADD 1",IF($M582="PADD II","PADD 2",IF($M582="PADD III","PADD 3",IF($M582="PADD IV","PADD 4",IF($M582="PADD V","PADD 5","")))))</f>
        <v>PADD 5</v>
      </c>
      <c r="G582" s="6" t="str">
        <f>IF(AND($H582="ATMOS DISTILLATION",ISNUMBER(SEARCH("VPS",$I582))=FALSE,LEFT($I582,6)&lt;&gt;"VACUUM"),"CDU",IF($H582="FLUID CAT CRACKING","FCC",IF(OR($H582="HYDROCRACKING",$H582="RESID_HYDROCRACKING"),"Hydrocracker",IF($H582="REFORMING","Reformer",""))))</f>
        <v>CDU</v>
      </c>
      <c r="H582" s="6" t="s">
        <v>38</v>
      </c>
      <c r="I582" s="6" t="s">
        <v>553</v>
      </c>
      <c r="J582" s="6" t="s">
        <v>345</v>
      </c>
      <c r="K582" s="10">
        <v>32</v>
      </c>
      <c r="L582" s="10">
        <v>32</v>
      </c>
      <c r="M582" s="6" t="s">
        <v>386</v>
      </c>
    </row>
    <row r="583" spans="1:13">
      <c r="A583" s="6">
        <v>2023</v>
      </c>
      <c r="B583" s="6">
        <v>3</v>
      </c>
      <c r="C583" s="6" t="s">
        <v>61</v>
      </c>
      <c r="D583" s="6" t="s">
        <v>380</v>
      </c>
      <c r="E583" s="6" t="s">
        <v>381</v>
      </c>
      <c r="F583" s="6" t="str">
        <f>IF($M583="PADD I","PADD 1",IF($M583="PADD II","PADD 2",IF($M583="PADD III","PADD 3",IF($M583="PADD IV","PADD 4",IF($M583="PADD V","PADD 5","")))))</f>
        <v>PADD 3</v>
      </c>
      <c r="G583" s="6">
        <f>IF(AND($H583="ATMOS DISTILLATION",ISNUMBER(SEARCH("VPS",$I583))=FALSE,LEFT($I583,6)&lt;&gt;"VACUUM"),"CDU",IF($H583="FLUID CAT CRACKING","FCC",IF(OR($H583="HYDROCRACKING",$H583="RESID_HYDROCRACKING"),"Hydrocracker",IF($H583="REFORMING","Reformer",""))))</f>
        <v/>
      </c>
      <c r="H583" s="6" t="s">
        <v>435</v>
      </c>
      <c r="I583" s="6" t="s">
        <v>515</v>
      </c>
      <c r="J583" s="6" t="s">
        <v>345</v>
      </c>
      <c r="K583" s="10">
        <v>32</v>
      </c>
      <c r="L583" s="10">
        <v>32</v>
      </c>
      <c r="M583" s="6" t="s">
        <v>371</v>
      </c>
    </row>
    <row r="584" spans="1:13">
      <c r="A584" s="6">
        <v>2023</v>
      </c>
      <c r="B584" s="6">
        <v>3</v>
      </c>
      <c r="C584" s="6" t="s">
        <v>61</v>
      </c>
      <c r="D584" s="6" t="s">
        <v>324</v>
      </c>
      <c r="E584" s="6" t="s">
        <v>388</v>
      </c>
      <c r="F584" s="6" t="str">
        <f>IF($M584="PADD I","PADD 1",IF($M584="PADD II","PADD 2",IF($M584="PADD III","PADD 3",IF($M584="PADD IV","PADD 4",IF($M584="PADD V","PADD 5","")))))</f>
        <v>PADD 3</v>
      </c>
      <c r="G584" s="6" t="str">
        <f>IF(AND($H584="ATMOS DISTILLATION",ISNUMBER(SEARCH("VPS",$I584))=FALSE,LEFT($I584,6)&lt;&gt;"VACUUM"),"CDU",IF($H584="FLUID CAT CRACKING","FCC",IF(OR($H584="HYDROCRACKING",$H584="RESID_HYDROCRACKING"),"Hydrocracker",IF($H584="REFORMING","Reformer",""))))</f>
        <v>CDU</v>
      </c>
      <c r="H584" s="6" t="s">
        <v>38</v>
      </c>
      <c r="I584" s="6" t="s">
        <v>99</v>
      </c>
      <c r="J584" s="6" t="s">
        <v>349</v>
      </c>
      <c r="K584" s="10">
        <v>31.9</v>
      </c>
      <c r="L584" s="10">
        <v>110</v>
      </c>
      <c r="M584" s="6" t="s">
        <v>371</v>
      </c>
    </row>
    <row r="585" spans="1:13">
      <c r="A585" s="6">
        <v>2023</v>
      </c>
      <c r="B585" s="6">
        <v>3</v>
      </c>
      <c r="C585" s="6" t="s">
        <v>61</v>
      </c>
      <c r="D585" s="6" t="s">
        <v>380</v>
      </c>
      <c r="E585" s="6" t="s">
        <v>381</v>
      </c>
      <c r="F585" s="6" t="str">
        <f>IF($M585="PADD I","PADD 1",IF($M585="PADD II","PADD 2",IF($M585="PADD III","PADD 3",IF($M585="PADD IV","PADD 4",IF($M585="PADD V","PADD 5","")))))</f>
        <v>PADD 3</v>
      </c>
      <c r="G585" s="6">
        <f>IF(AND($H585="ATMOS DISTILLATION",ISNUMBER(SEARCH("VPS",$I585))=FALSE,LEFT($I585,6)&lt;&gt;"VACUUM"),"CDU",IF($H585="FLUID CAT CRACKING","FCC",IF(OR($H585="HYDROCRACKING",$H585="RESID_HYDROCRACKING"),"Hydrocracker",IF($H585="REFORMING","Reformer",""))))</f>
        <v/>
      </c>
      <c r="H585" s="6" t="s">
        <v>435</v>
      </c>
      <c r="I585" s="6" t="s">
        <v>477</v>
      </c>
      <c r="J585" s="6" t="s">
        <v>349</v>
      </c>
      <c r="K585" s="10">
        <v>30.5</v>
      </c>
      <c r="L585" s="10">
        <v>50</v>
      </c>
      <c r="M585" s="6" t="s">
        <v>371</v>
      </c>
    </row>
    <row r="586" spans="1:13">
      <c r="A586" s="6">
        <v>2023</v>
      </c>
      <c r="B586" s="6">
        <v>3</v>
      </c>
      <c r="C586" s="6" t="s">
        <v>61</v>
      </c>
      <c r="D586" s="6" t="s">
        <v>51</v>
      </c>
      <c r="E586" s="6" t="s">
        <v>391</v>
      </c>
      <c r="F586" s="6" t="str">
        <f>IF($M586="PADD I","PADD 1",IF($M586="PADD II","PADD 2",IF($M586="PADD III","PADD 3",IF($M586="PADD IV","PADD 4",IF($M586="PADD V","PADD 5","")))))</f>
        <v>PADD 5</v>
      </c>
      <c r="G586" s="6" t="str">
        <f>IF(AND($H586="ATMOS DISTILLATION",ISNUMBER(SEARCH("VPS",$I586))=FALSE,LEFT($I586,6)&lt;&gt;"VACUUM"),"CDU",IF($H586="FLUID CAT CRACKING","FCC",IF(OR($H586="HYDROCRACKING",$H586="RESID_HYDROCRACKING"),"Hydrocracker",IF($H586="REFORMING","Reformer",""))))</f>
        <v>FCC</v>
      </c>
      <c r="H586" s="6" t="s">
        <v>376</v>
      </c>
      <c r="I586" s="6" t="s">
        <v>105</v>
      </c>
      <c r="J586" s="6" t="s">
        <v>345</v>
      </c>
      <c r="K586" s="10">
        <v>30.45</v>
      </c>
      <c r="L586" s="10">
        <v>72.5</v>
      </c>
      <c r="M586" s="6" t="s">
        <v>386</v>
      </c>
    </row>
    <row r="587" spans="1:13">
      <c r="A587" s="6">
        <v>2023</v>
      </c>
      <c r="B587" s="6">
        <v>3</v>
      </c>
      <c r="C587" s="6" t="s">
        <v>61</v>
      </c>
      <c r="D587" s="6" t="s">
        <v>680</v>
      </c>
      <c r="E587" s="6" t="s">
        <v>681</v>
      </c>
      <c r="F587" s="6" t="str">
        <f>IF($M587="PADD I","PADD 1",IF($M587="PADD II","PADD 2",IF($M587="PADD III","PADD 3",IF($M587="PADD IV","PADD 4",IF($M587="PADD V","PADD 5","")))))</f>
        <v>PADD 3</v>
      </c>
      <c r="G587" s="6">
        <f>IF(AND($H587="ATMOS DISTILLATION",ISNUMBER(SEARCH("VPS",$I587))=FALSE,LEFT($I587,6)&lt;&gt;"VACUUM"),"CDU",IF($H587="FLUID CAT CRACKING","FCC",IF(OR($H587="HYDROCRACKING",$H587="RESID_HYDROCRACKING"),"Hydrocracker",IF($H587="REFORMING","Reformer",""))))</f>
        <v/>
      </c>
      <c r="H587" s="6" t="s">
        <v>43</v>
      </c>
      <c r="I587" s="6" t="s">
        <v>689</v>
      </c>
      <c r="J587" s="6" t="s">
        <v>349</v>
      </c>
      <c r="K587" s="10">
        <v>30.08</v>
      </c>
      <c r="L587" s="10">
        <v>32</v>
      </c>
      <c r="M587" s="6" t="s">
        <v>371</v>
      </c>
    </row>
    <row r="588" spans="1:13">
      <c r="A588" s="6">
        <v>2023</v>
      </c>
      <c r="B588" s="6">
        <v>3</v>
      </c>
      <c r="C588" s="6" t="s">
        <v>61</v>
      </c>
      <c r="D588" s="6" t="s">
        <v>380</v>
      </c>
      <c r="E588" s="6" t="s">
        <v>381</v>
      </c>
      <c r="F588" s="6" t="str">
        <f>IF($M588="PADD I","PADD 1",IF($M588="PADD II","PADD 2",IF($M588="PADD III","PADD 3",IF($M588="PADD IV","PADD 4",IF($M588="PADD V","PADD 5","")))))</f>
        <v>PADD 3</v>
      </c>
      <c r="G588" s="6" t="str">
        <f>IF(AND($H588="ATMOS DISTILLATION",ISNUMBER(SEARCH("VPS",$I588))=FALSE,LEFT($I588,6)&lt;&gt;"VACUUM"),"CDU",IF($H588="FLUID CAT CRACKING","FCC",IF(OR($H588="HYDROCRACKING",$H588="RESID_HYDROCRACKING"),"Hydrocracker",IF($H588="REFORMING","Reformer",""))))</f>
        <v>FCC</v>
      </c>
      <c r="H588" s="6" t="s">
        <v>376</v>
      </c>
      <c r="I588" s="6" t="s">
        <v>652</v>
      </c>
      <c r="J588" s="6" t="s">
        <v>345</v>
      </c>
      <c r="K588" s="10">
        <v>30.03</v>
      </c>
      <c r="L588" s="10">
        <v>115.5</v>
      </c>
      <c r="M588" s="6" t="s">
        <v>371</v>
      </c>
    </row>
    <row r="589" spans="1:13">
      <c r="A589" s="6">
        <v>2023</v>
      </c>
      <c r="B589" s="6">
        <v>3</v>
      </c>
      <c r="C589" s="6" t="s">
        <v>61</v>
      </c>
      <c r="D589" s="6" t="s">
        <v>372</v>
      </c>
      <c r="E589" s="6" t="s">
        <v>373</v>
      </c>
      <c r="F589" s="6" t="str">
        <f>IF($M589="PADD I","PADD 1",IF($M589="PADD II","PADD 2",IF($M589="PADD III","PADD 3",IF($M589="PADD IV","PADD 4",IF($M589="PADD V","PADD 5","")))))</f>
        <v>PADD 2</v>
      </c>
      <c r="G589" s="6">
        <f>IF(AND($H589="ATMOS DISTILLATION",ISNUMBER(SEARCH("VPS",$I589))=FALSE,LEFT($I589,6)&lt;&gt;"VACUUM"),"CDU",IF($H589="FLUID CAT CRACKING","FCC",IF(OR($H589="HYDROCRACKING",$H589="RESID_HYDROCRACKING"),"Hydrocracker",IF($H589="REFORMING","Reformer",""))))</f>
        <v/>
      </c>
      <c r="H589" s="6" t="s">
        <v>435</v>
      </c>
      <c r="I589" s="6" t="s">
        <v>467</v>
      </c>
      <c r="J589" s="6" t="s">
        <v>345</v>
      </c>
      <c r="K589" s="10">
        <v>30</v>
      </c>
      <c r="L589" s="10">
        <v>30</v>
      </c>
      <c r="M589" s="6" t="s">
        <v>375</v>
      </c>
    </row>
    <row r="590" spans="1:13">
      <c r="A590" s="6">
        <v>2023</v>
      </c>
      <c r="B590" s="6">
        <v>3</v>
      </c>
      <c r="C590" s="6" t="s">
        <v>61</v>
      </c>
      <c r="D590" s="6" t="s">
        <v>462</v>
      </c>
      <c r="E590" s="6" t="s">
        <v>438</v>
      </c>
      <c r="F590" s="6" t="str">
        <f>IF($M590="PADD I","PADD 1",IF($M590="PADD II","PADD 2",IF($M590="PADD III","PADD 3",IF($M590="PADD IV","PADD 4",IF($M590="PADD V","PADD 5","")))))</f>
        <v>PADD 4</v>
      </c>
      <c r="G590" s="6">
        <f>IF(AND($H590="ATMOS DISTILLATION",ISNUMBER(SEARCH("VPS",$I590))=FALSE,LEFT($I590,6)&lt;&gt;"VACUUM"),"CDU",IF($H590="FLUID CAT CRACKING","FCC",IF(OR($H590="HYDROCRACKING",$H590="RESID_HYDROCRACKING"),"Hydrocracker",IF($H590="REFORMING","Reformer",""))))</f>
        <v/>
      </c>
      <c r="H590" s="6" t="s">
        <v>43</v>
      </c>
      <c r="I590" s="6" t="s">
        <v>470</v>
      </c>
      <c r="J590" s="6" t="s">
        <v>345</v>
      </c>
      <c r="K590" s="10">
        <v>30</v>
      </c>
      <c r="L590" s="10">
        <v>30</v>
      </c>
      <c r="M590" s="6" t="s">
        <v>430</v>
      </c>
    </row>
    <row r="591" spans="1:13">
      <c r="A591" s="6">
        <v>2023</v>
      </c>
      <c r="B591" s="6">
        <v>3</v>
      </c>
      <c r="C591" s="6" t="s">
        <v>61</v>
      </c>
      <c r="D591" s="6" t="s">
        <v>518</v>
      </c>
      <c r="E591" s="6" t="s">
        <v>369</v>
      </c>
      <c r="F591" s="6" t="str">
        <f>IF($M591="PADD I","PADD 1",IF($M591="PADD II","PADD 2",IF($M591="PADD III","PADD 3",IF($M591="PADD IV","PADD 4",IF($M591="PADD V","PADD 5","")))))</f>
        <v>PADD 5</v>
      </c>
      <c r="G591" s="6">
        <f>IF(AND($H591="ATMOS DISTILLATION",ISNUMBER(SEARCH("VPS",$I591))=FALSE,LEFT($I591,6)&lt;&gt;"VACUUM"),"CDU",IF($H591="FLUID CAT CRACKING","FCC",IF(OR($H591="HYDROCRACKING",$H591="RESID_HYDROCRACKING"),"Hydrocracker",IF($H591="REFORMING","Reformer",""))))</f>
        <v/>
      </c>
      <c r="H591" s="6" t="s">
        <v>378</v>
      </c>
      <c r="I591" s="6" t="s">
        <v>431</v>
      </c>
      <c r="J591" s="6" t="s">
        <v>345</v>
      </c>
      <c r="K591" s="10">
        <v>30</v>
      </c>
      <c r="L591" s="10">
        <v>30</v>
      </c>
      <c r="M591" s="6" t="s">
        <v>386</v>
      </c>
    </row>
    <row r="592" spans="1:13">
      <c r="A592" s="6">
        <v>2023</v>
      </c>
      <c r="B592" s="6">
        <v>3</v>
      </c>
      <c r="C592" s="6" t="s">
        <v>61</v>
      </c>
      <c r="D592" s="6" t="s">
        <v>335</v>
      </c>
      <c r="E592" s="6" t="s">
        <v>369</v>
      </c>
      <c r="F592" s="6" t="str">
        <f>IF($M592="PADD I","PADD 1",IF($M592="PADD II","PADD 2",IF($M592="PADD III","PADD 3",IF($M592="PADD IV","PADD 4",IF($M592="PADD V","PADD 5","")))))</f>
        <v>PADD 3</v>
      </c>
      <c r="G592" s="6" t="str">
        <f>IF(AND($H592="ATMOS DISTILLATION",ISNUMBER(SEARCH("VPS",$I592))=FALSE,LEFT($I592,6)&lt;&gt;"VACUUM"),"CDU",IF($H592="FLUID CAT CRACKING","FCC",IF(OR($H592="HYDROCRACKING",$H592="RESID_HYDROCRACKING"),"Hydrocracker",IF($H592="REFORMING","Reformer",""))))</f>
        <v>FCC</v>
      </c>
      <c r="H592" s="6" t="s">
        <v>376</v>
      </c>
      <c r="I592" s="6" t="s">
        <v>472</v>
      </c>
      <c r="J592" s="6" t="s">
        <v>349</v>
      </c>
      <c r="K592" s="10">
        <v>30</v>
      </c>
      <c r="L592" s="10">
        <v>30</v>
      </c>
      <c r="M592" s="6" t="s">
        <v>371</v>
      </c>
    </row>
    <row r="593" spans="1:13">
      <c r="A593" s="6">
        <v>2023</v>
      </c>
      <c r="B593" s="6">
        <v>3</v>
      </c>
      <c r="C593" s="6" t="s">
        <v>61</v>
      </c>
      <c r="D593" s="6" t="s">
        <v>335</v>
      </c>
      <c r="E593" s="6" t="s">
        <v>369</v>
      </c>
      <c r="F593" s="6" t="str">
        <f>IF($M593="PADD I","PADD 1",IF($M593="PADD II","PADD 2",IF($M593="PADD III","PADD 3",IF($M593="PADD IV","PADD 4",IF($M593="PADD V","PADD 5","")))))</f>
        <v>PADD 3</v>
      </c>
      <c r="G593" s="6" t="str">
        <f>IF(AND($H593="ATMOS DISTILLATION",ISNUMBER(SEARCH("VPS",$I593))=FALSE,LEFT($I593,6)&lt;&gt;"VACUUM"),"CDU",IF($H593="FLUID CAT CRACKING","FCC",IF(OR($H593="HYDROCRACKING",$H593="RESID_HYDROCRACKING"),"Hydrocracker",IF($H593="REFORMING","Reformer",""))))</f>
        <v>FCC</v>
      </c>
      <c r="H593" s="6" t="s">
        <v>376</v>
      </c>
      <c r="I593" s="6" t="s">
        <v>472</v>
      </c>
      <c r="J593" s="6" t="s">
        <v>345</v>
      </c>
      <c r="K593" s="10">
        <v>30</v>
      </c>
      <c r="L593" s="10">
        <v>30</v>
      </c>
      <c r="M593" s="6" t="s">
        <v>371</v>
      </c>
    </row>
    <row r="594" spans="1:13">
      <c r="A594" s="6">
        <v>2023</v>
      </c>
      <c r="B594" s="6">
        <v>3</v>
      </c>
      <c r="C594" s="6" t="s">
        <v>61</v>
      </c>
      <c r="D594" s="6" t="s">
        <v>468</v>
      </c>
      <c r="E594" s="6" t="s">
        <v>369</v>
      </c>
      <c r="F594" s="6" t="str">
        <f>IF($M594="PADD I","PADD 1",IF($M594="PADD II","PADD 2",IF($M594="PADD III","PADD 3",IF($M594="PADD IV","PADD 4",IF($M594="PADD V","PADD 5","")))))</f>
        <v>PADD 3</v>
      </c>
      <c r="G594" s="6" t="str">
        <f>IF(AND($H594="ATMOS DISTILLATION",ISNUMBER(SEARCH("VPS",$I594))=FALSE,LEFT($I594,6)&lt;&gt;"VACUUM"),"CDU",IF($H594="FLUID CAT CRACKING","FCC",IF(OR($H594="HYDROCRACKING",$H594="RESID_HYDROCRACKING"),"Hydrocracker",IF($H594="REFORMING","Reformer",""))))</f>
        <v>FCC</v>
      </c>
      <c r="H594" s="6" t="s">
        <v>376</v>
      </c>
      <c r="I594" s="6" t="s">
        <v>473</v>
      </c>
      <c r="J594" s="6" t="s">
        <v>345</v>
      </c>
      <c r="K594" s="10">
        <v>30</v>
      </c>
      <c r="L594" s="10">
        <v>30</v>
      </c>
      <c r="M594" s="6" t="s">
        <v>371</v>
      </c>
    </row>
    <row r="595" spans="1:13">
      <c r="A595" s="6">
        <v>2023</v>
      </c>
      <c r="B595" s="6">
        <v>3</v>
      </c>
      <c r="C595" s="6" t="s">
        <v>61</v>
      </c>
      <c r="D595" s="6" t="s">
        <v>51</v>
      </c>
      <c r="E595" s="6" t="s">
        <v>391</v>
      </c>
      <c r="F595" s="6" t="str">
        <f>IF($M595="PADD I","PADD 1",IF($M595="PADD II","PADD 2",IF($M595="PADD III","PADD 3",IF($M595="PADD IV","PADD 4",IF($M595="PADD V","PADD 5","")))))</f>
        <v>PADD 5</v>
      </c>
      <c r="G595" s="6">
        <f>IF(AND($H595="ATMOS DISTILLATION",ISNUMBER(SEARCH("VPS",$I595))=FALSE,LEFT($I595,6)&lt;&gt;"VACUUM"),"CDU",IF($H595="FLUID CAT CRACKING","FCC",IF(OR($H595="HYDROCRACKING",$H595="RESID_HYDROCRACKING"),"Hydrocracker",IF($H595="REFORMING","Reformer",""))))</f>
        <v/>
      </c>
      <c r="H595" s="6" t="s">
        <v>460</v>
      </c>
      <c r="I595" s="6" t="s">
        <v>461</v>
      </c>
      <c r="J595" s="6" t="s">
        <v>345</v>
      </c>
      <c r="K595" s="10">
        <v>29.7</v>
      </c>
      <c r="L595" s="10">
        <v>33</v>
      </c>
      <c r="M595" s="6" t="s">
        <v>386</v>
      </c>
    </row>
    <row r="596" spans="1:13">
      <c r="A596" s="6">
        <v>2023</v>
      </c>
      <c r="B596" s="6">
        <v>3</v>
      </c>
      <c r="C596" s="6" t="s">
        <v>61</v>
      </c>
      <c r="D596" s="6" t="s">
        <v>542</v>
      </c>
      <c r="E596" s="6" t="s">
        <v>543</v>
      </c>
      <c r="F596" s="6" t="str">
        <f>IF($M596="PADD I","PADD 1",IF($M596="PADD II","PADD 2",IF($M596="PADD III","PADD 3",IF($M596="PADD IV","PADD 4",IF($M596="PADD V","PADD 5","")))))</f>
        <v>PADD 2</v>
      </c>
      <c r="G596" s="6" t="str">
        <f>IF(AND($H596="ATMOS DISTILLATION",ISNUMBER(SEARCH("VPS",$I596))=FALSE,LEFT($I596,6)&lt;&gt;"VACUUM"),"CDU",IF($H596="FLUID CAT CRACKING","FCC",IF(OR($H596="HYDROCRACKING",$H596="RESID_HYDROCRACKING"),"Hydrocracker",IF($H596="REFORMING","Reformer",""))))</f>
        <v>CDU</v>
      </c>
      <c r="H596" s="6" t="s">
        <v>38</v>
      </c>
      <c r="I596" s="6" t="s">
        <v>690</v>
      </c>
      <c r="J596" s="6" t="s">
        <v>345</v>
      </c>
      <c r="K596" s="10">
        <v>29.25</v>
      </c>
      <c r="L596" s="10">
        <v>75</v>
      </c>
      <c r="M596" s="6" t="s">
        <v>375</v>
      </c>
    </row>
    <row r="597" spans="1:13">
      <c r="A597" s="6">
        <v>2023</v>
      </c>
      <c r="B597" s="6">
        <v>3</v>
      </c>
      <c r="C597" s="6" t="s">
        <v>61</v>
      </c>
      <c r="D597" s="6" t="s">
        <v>372</v>
      </c>
      <c r="E597" s="6" t="s">
        <v>373</v>
      </c>
      <c r="F597" s="6" t="str">
        <f>IF($M597="PADD I","PADD 1",IF($M597="PADD II","PADD 2",IF($M597="PADD III","PADD 3",IF($M597="PADD IV","PADD 4",IF($M597="PADD V","PADD 5","")))))</f>
        <v>PADD 2</v>
      </c>
      <c r="G597" s="6" t="str">
        <f>IF(AND($H597="ATMOS DISTILLATION",ISNUMBER(SEARCH("VPS",$I597))=FALSE,LEFT($I597,6)&lt;&gt;"VACUUM"),"CDU",IF($H597="FLUID CAT CRACKING","FCC",IF(OR($H597="HYDROCRACKING",$H597="RESID_HYDROCRACKING"),"Hydrocracker",IF($H597="REFORMING","Reformer",""))))</f>
        <v>Hydrocracker</v>
      </c>
      <c r="H597" s="6" t="s">
        <v>444</v>
      </c>
      <c r="I597" s="6" t="s">
        <v>445</v>
      </c>
      <c r="J597" s="6" t="s">
        <v>345</v>
      </c>
      <c r="K597" s="10">
        <v>29.14</v>
      </c>
      <c r="L597" s="10">
        <v>31</v>
      </c>
      <c r="M597" s="6" t="s">
        <v>375</v>
      </c>
    </row>
    <row r="598" spans="1:13">
      <c r="A598" s="6">
        <v>2023</v>
      </c>
      <c r="B598" s="6">
        <v>3</v>
      </c>
      <c r="C598" s="6" t="s">
        <v>61</v>
      </c>
      <c r="D598" s="6" t="s">
        <v>462</v>
      </c>
      <c r="E598" s="6" t="s">
        <v>438</v>
      </c>
      <c r="F598" s="6" t="str">
        <f>IF($M598="PADD I","PADD 1",IF($M598="PADD II","PADD 2",IF($M598="PADD III","PADD 3",IF($M598="PADD IV","PADD 4",IF($M598="PADD V","PADD 5","")))))</f>
        <v>PADD 4</v>
      </c>
      <c r="G598" s="6" t="str">
        <f>IF(AND($H598="ATMOS DISTILLATION",ISNUMBER(SEARCH("VPS",$I598))=FALSE,LEFT($I598,6)&lt;&gt;"VACUUM"),"CDU",IF($H598="FLUID CAT CRACKING","FCC",IF(OR($H598="HYDROCRACKING",$H598="RESID_HYDROCRACKING"),"Hydrocracker",IF($H598="REFORMING","Reformer",""))))</f>
        <v>FCC</v>
      </c>
      <c r="H598" s="6" t="s">
        <v>376</v>
      </c>
      <c r="I598" s="6" t="s">
        <v>105</v>
      </c>
      <c r="J598" s="6" t="s">
        <v>345</v>
      </c>
      <c r="K598" s="10">
        <v>28.3</v>
      </c>
      <c r="L598" s="10">
        <v>28.3</v>
      </c>
      <c r="M598" s="6" t="s">
        <v>430</v>
      </c>
    </row>
    <row r="599" spans="1:13">
      <c r="A599" s="6">
        <v>2023</v>
      </c>
      <c r="B599" s="6">
        <v>3</v>
      </c>
      <c r="C599" s="6" t="s">
        <v>61</v>
      </c>
      <c r="D599" s="6" t="s">
        <v>322</v>
      </c>
      <c r="E599" s="6" t="s">
        <v>369</v>
      </c>
      <c r="F599" s="6" t="str">
        <f>IF($M599="PADD I","PADD 1",IF($M599="PADD II","PADD 2",IF($M599="PADD III","PADD 3",IF($M599="PADD IV","PADD 4",IF($M599="PADD V","PADD 5","")))))</f>
        <v>PADD 2</v>
      </c>
      <c r="G599" s="6">
        <f>IF(AND($H599="ATMOS DISTILLATION",ISNUMBER(SEARCH("VPS",$I599))=FALSE,LEFT($I599,6)&lt;&gt;"VACUUM"),"CDU",IF($H599="FLUID CAT CRACKING","FCC",IF(OR($H599="HYDROCRACKING",$H599="RESID_HYDROCRACKING"),"Hydrocracker",IF($H599="REFORMING","Reformer",""))))</f>
        <v/>
      </c>
      <c r="H599" s="6" t="s">
        <v>43</v>
      </c>
      <c r="I599" s="6" t="s">
        <v>691</v>
      </c>
      <c r="J599" s="6" t="s">
        <v>349</v>
      </c>
      <c r="K599" s="10">
        <v>28.2</v>
      </c>
      <c r="L599" s="10">
        <v>30</v>
      </c>
      <c r="M599" s="6" t="s">
        <v>375</v>
      </c>
    </row>
    <row r="600" spans="1:13">
      <c r="A600" s="6">
        <v>2023</v>
      </c>
      <c r="B600" s="6">
        <v>3</v>
      </c>
      <c r="C600" s="6" t="s">
        <v>61</v>
      </c>
      <c r="D600" s="6" t="s">
        <v>437</v>
      </c>
      <c r="E600" s="6" t="s">
        <v>438</v>
      </c>
      <c r="F600" s="6" t="str">
        <f>IF($M600="PADD I","PADD 1",IF($M600="PADD II","PADD 2",IF($M600="PADD III","PADD 3",IF($M600="PADD IV","PADD 4",IF($M600="PADD V","PADD 5","")))))</f>
        <v>PADD 4</v>
      </c>
      <c r="G600" s="6" t="str">
        <f>IF(AND($H600="ATMOS DISTILLATION",ISNUMBER(SEARCH("VPS",$I600))=FALSE,LEFT($I600,6)&lt;&gt;"VACUUM"),"CDU",IF($H600="FLUID CAT CRACKING","FCC",IF(OR($H600="HYDROCRACKING",$H600="RESID_HYDROCRACKING"),"Hydrocracker",IF($H600="REFORMING","Reformer",""))))</f>
        <v>CDU</v>
      </c>
      <c r="H600" s="6" t="s">
        <v>38</v>
      </c>
      <c r="I600" s="6" t="s">
        <v>330</v>
      </c>
      <c r="J600" s="6" t="s">
        <v>345</v>
      </c>
      <c r="K600" s="10">
        <v>28</v>
      </c>
      <c r="L600" s="10">
        <v>28</v>
      </c>
      <c r="M600" s="6" t="s">
        <v>430</v>
      </c>
    </row>
    <row r="601" spans="1:13">
      <c r="A601" s="6">
        <v>2023</v>
      </c>
      <c r="B601" s="6">
        <v>3</v>
      </c>
      <c r="C601" s="6" t="s">
        <v>61</v>
      </c>
      <c r="D601" s="6" t="s">
        <v>518</v>
      </c>
      <c r="E601" s="6" t="s">
        <v>369</v>
      </c>
      <c r="F601" s="6" t="str">
        <f>IF($M601="PADD I","PADD 1",IF($M601="PADD II","PADD 2",IF($M601="PADD III","PADD 3",IF($M601="PADD IV","PADD 4",IF($M601="PADD V","PADD 5","")))))</f>
        <v>PADD 5</v>
      </c>
      <c r="G601" s="6">
        <f>IF(AND($H601="ATMOS DISTILLATION",ISNUMBER(SEARCH("VPS",$I601))=FALSE,LEFT($I601,6)&lt;&gt;"VACUUM"),"CDU",IF($H601="FLUID CAT CRACKING","FCC",IF(OR($H601="HYDROCRACKING",$H601="RESID_HYDROCRACKING"),"Hydrocracker",IF($H601="REFORMING","Reformer",""))))</f>
        <v/>
      </c>
      <c r="H601" s="6" t="s">
        <v>43</v>
      </c>
      <c r="I601" s="6" t="s">
        <v>570</v>
      </c>
      <c r="J601" s="6" t="s">
        <v>345</v>
      </c>
      <c r="K601" s="10">
        <v>28</v>
      </c>
      <c r="L601" s="10">
        <v>28</v>
      </c>
      <c r="M601" s="6" t="s">
        <v>386</v>
      </c>
    </row>
    <row r="602" spans="1:13">
      <c r="A602" s="6">
        <v>2023</v>
      </c>
      <c r="B602" s="6">
        <v>3</v>
      </c>
      <c r="C602" s="6" t="s">
        <v>61</v>
      </c>
      <c r="D602" s="6" t="s">
        <v>346</v>
      </c>
      <c r="E602" s="6" t="s">
        <v>383</v>
      </c>
      <c r="F602" s="6" t="str">
        <f>IF($M602="PADD I","PADD 1",IF($M602="PADD II","PADD 2",IF($M602="PADD III","PADD 3",IF($M602="PADD IV","PADD 4",IF($M602="PADD V","PADD 5","")))))</f>
        <v>PADD 2</v>
      </c>
      <c r="G602" s="6">
        <f>IF(AND($H602="ATMOS DISTILLATION",ISNUMBER(SEARCH("VPS",$I602))=FALSE,LEFT($I602,6)&lt;&gt;"VACUUM"),"CDU",IF($H602="FLUID CAT CRACKING","FCC",IF(OR($H602="HYDROCRACKING",$H602="RESID_HYDROCRACKING"),"Hydrocracker",IF($H602="REFORMING","Reformer",""))))</f>
        <v/>
      </c>
      <c r="H602" s="6" t="s">
        <v>43</v>
      </c>
      <c r="I602" s="6" t="s">
        <v>394</v>
      </c>
      <c r="J602" s="6" t="s">
        <v>349</v>
      </c>
      <c r="K602" s="10">
        <v>27.3</v>
      </c>
      <c r="L602" s="10">
        <v>65</v>
      </c>
      <c r="M602" s="6" t="s">
        <v>375</v>
      </c>
    </row>
    <row r="603" spans="1:13">
      <c r="A603" s="6">
        <v>2023</v>
      </c>
      <c r="B603" s="6">
        <v>3</v>
      </c>
      <c r="C603" s="6" t="s">
        <v>61</v>
      </c>
      <c r="D603" s="6" t="s">
        <v>518</v>
      </c>
      <c r="E603" s="6" t="s">
        <v>369</v>
      </c>
      <c r="F603" s="6" t="str">
        <f>IF($M603="PADD I","PADD 1",IF($M603="PADD II","PADD 2",IF($M603="PADD III","PADD 3",IF($M603="PADD IV","PADD 4",IF($M603="PADD V","PADD 5","")))))</f>
        <v>PADD 5</v>
      </c>
      <c r="G603" s="6">
        <f>IF(AND($H603="ATMOS DISTILLATION",ISNUMBER(SEARCH("VPS",$I603))=FALSE,LEFT($I603,6)&lt;&gt;"VACUUM"),"CDU",IF($H603="FLUID CAT CRACKING","FCC",IF(OR($H603="HYDROCRACKING",$H603="RESID_HYDROCRACKING"),"Hydrocracker",IF($H603="REFORMING","Reformer",""))))</f>
        <v/>
      </c>
      <c r="H603" s="6" t="s">
        <v>435</v>
      </c>
      <c r="I603" s="6" t="s">
        <v>578</v>
      </c>
      <c r="J603" s="6" t="s">
        <v>345</v>
      </c>
      <c r="K603" s="10">
        <v>26</v>
      </c>
      <c r="L603" s="10">
        <v>26</v>
      </c>
      <c r="M603" s="6" t="s">
        <v>386</v>
      </c>
    </row>
    <row r="604" spans="1:13">
      <c r="A604" s="6">
        <v>2023</v>
      </c>
      <c r="B604" s="6">
        <v>3</v>
      </c>
      <c r="C604" s="6" t="s">
        <v>61</v>
      </c>
      <c r="D604" s="6" t="s">
        <v>372</v>
      </c>
      <c r="E604" s="6" t="s">
        <v>373</v>
      </c>
      <c r="F604" s="6" t="str">
        <f>IF($M604="PADD I","PADD 1",IF($M604="PADD II","PADD 2",IF($M604="PADD III","PADD 3",IF($M604="PADD IV","PADD 4",IF($M604="PADD V","PADD 5","")))))</f>
        <v>PADD 2</v>
      </c>
      <c r="G604" s="6">
        <f>IF(AND($H604="ATMOS DISTILLATION",ISNUMBER(SEARCH("VPS",$I604))=FALSE,LEFT($I604,6)&lt;&gt;"VACUUM"),"CDU",IF($H604="FLUID CAT CRACKING","FCC",IF(OR($H604="HYDROCRACKING",$H604="RESID_HYDROCRACKING"),"Hydrocracker",IF($H604="REFORMING","Reformer",""))))</f>
        <v/>
      </c>
      <c r="H604" s="6" t="s">
        <v>435</v>
      </c>
      <c r="I604" s="6" t="s">
        <v>467</v>
      </c>
      <c r="J604" s="6" t="s">
        <v>345</v>
      </c>
      <c r="K604" s="10">
        <v>25.85</v>
      </c>
      <c r="L604" s="10">
        <v>27.5</v>
      </c>
      <c r="M604" s="6" t="s">
        <v>375</v>
      </c>
    </row>
    <row r="605" spans="1:13">
      <c r="A605" s="6">
        <v>2023</v>
      </c>
      <c r="B605" s="6">
        <v>3</v>
      </c>
      <c r="C605" s="6" t="s">
        <v>61</v>
      </c>
      <c r="D605" s="6" t="s">
        <v>380</v>
      </c>
      <c r="E605" s="6" t="s">
        <v>381</v>
      </c>
      <c r="F605" s="6" t="str">
        <f>IF($M605="PADD I","PADD 1",IF($M605="PADD II","PADD 2",IF($M605="PADD III","PADD 3",IF($M605="PADD IV","PADD 4",IF($M605="PADD V","PADD 5","")))))</f>
        <v>PADD 3</v>
      </c>
      <c r="G605" s="6" t="str">
        <f>IF(AND($H605="ATMOS DISTILLATION",ISNUMBER(SEARCH("VPS",$I605))=FALSE,LEFT($I605,6)&lt;&gt;"VACUUM"),"CDU",IF($H605="FLUID CAT CRACKING","FCC",IF(OR($H605="HYDROCRACKING",$H605="RESID_HYDROCRACKING"),"Hydrocracker",IF($H605="REFORMING","Reformer",""))))</f>
        <v>FCC</v>
      </c>
      <c r="H605" s="6" t="s">
        <v>376</v>
      </c>
      <c r="I605" s="6" t="s">
        <v>652</v>
      </c>
      <c r="J605" s="6" t="s">
        <v>345</v>
      </c>
      <c r="K605" s="10">
        <v>25.3</v>
      </c>
      <c r="L605" s="10">
        <v>110</v>
      </c>
      <c r="M605" s="6" t="s">
        <v>371</v>
      </c>
    </row>
    <row r="606" spans="1:13">
      <c r="A606" s="6">
        <v>2023</v>
      </c>
      <c r="B606" s="6">
        <v>3</v>
      </c>
      <c r="C606" s="6" t="s">
        <v>61</v>
      </c>
      <c r="D606" s="6" t="s">
        <v>372</v>
      </c>
      <c r="E606" s="6" t="s">
        <v>373</v>
      </c>
      <c r="F606" s="6" t="str">
        <f>IF($M606="PADD I","PADD 1",IF($M606="PADD II","PADD 2",IF($M606="PADD III","PADD 3",IF($M606="PADD IV","PADD 4",IF($M606="PADD V","PADD 5","")))))</f>
        <v>PADD 2</v>
      </c>
      <c r="G606" s="6">
        <f>IF(AND($H606="ATMOS DISTILLATION",ISNUMBER(SEARCH("VPS",$I606))=FALSE,LEFT($I606,6)&lt;&gt;"VACUUM"),"CDU",IF($H606="FLUID CAT CRACKING","FCC",IF(OR($H606="HYDROCRACKING",$H606="RESID_HYDROCRACKING"),"Hydrocracker",IF($H606="REFORMING","Reformer",""))))</f>
        <v/>
      </c>
      <c r="H606" s="6" t="s">
        <v>43</v>
      </c>
      <c r="I606" s="6" t="s">
        <v>479</v>
      </c>
      <c r="J606" s="6" t="s">
        <v>345</v>
      </c>
      <c r="K606" s="10">
        <v>25</v>
      </c>
      <c r="L606" s="10">
        <v>25</v>
      </c>
      <c r="M606" s="6" t="s">
        <v>375</v>
      </c>
    </row>
    <row r="607" spans="1:13">
      <c r="A607" s="6">
        <v>2023</v>
      </c>
      <c r="B607" s="6">
        <v>3</v>
      </c>
      <c r="C607" s="6" t="s">
        <v>61</v>
      </c>
      <c r="D607" s="6" t="s">
        <v>372</v>
      </c>
      <c r="E607" s="6" t="s">
        <v>373</v>
      </c>
      <c r="F607" s="6" t="str">
        <f>IF($M607="PADD I","PADD 1",IF($M607="PADD II","PADD 2",IF($M607="PADD III","PADD 3",IF($M607="PADD IV","PADD 4",IF($M607="PADD V","PADD 5","")))))</f>
        <v>PADD 2</v>
      </c>
      <c r="G607" s="6">
        <f>IF(AND($H607="ATMOS DISTILLATION",ISNUMBER(SEARCH("VPS",$I607))=FALSE,LEFT($I607,6)&lt;&gt;"VACUUM"),"CDU",IF($H607="FLUID CAT CRACKING","FCC",IF(OR($H607="HYDROCRACKING",$H607="RESID_HYDROCRACKING"),"Hydrocracker",IF($H607="REFORMING","Reformer",""))))</f>
        <v/>
      </c>
      <c r="H607" s="6" t="s">
        <v>43</v>
      </c>
      <c r="I607" s="6" t="s">
        <v>480</v>
      </c>
      <c r="J607" s="6" t="s">
        <v>345</v>
      </c>
      <c r="K607" s="10">
        <v>25</v>
      </c>
      <c r="L607" s="10">
        <v>25</v>
      </c>
      <c r="M607" s="6" t="s">
        <v>375</v>
      </c>
    </row>
    <row r="608" spans="1:13">
      <c r="A608" s="6">
        <v>2023</v>
      </c>
      <c r="B608" s="6">
        <v>3</v>
      </c>
      <c r="C608" s="6" t="s">
        <v>61</v>
      </c>
      <c r="D608" s="6" t="s">
        <v>518</v>
      </c>
      <c r="E608" s="6" t="s">
        <v>369</v>
      </c>
      <c r="F608" s="6" t="str">
        <f>IF($M608="PADD I","PADD 1",IF($M608="PADD II","PADD 2",IF($M608="PADD III","PADD 3",IF($M608="PADD IV","PADD 4",IF($M608="PADD V","PADD 5","")))))</f>
        <v>PADD 5</v>
      </c>
      <c r="G608" s="6">
        <f>IF(AND($H608="ATMOS DISTILLATION",ISNUMBER(SEARCH("VPS",$I608))=FALSE,LEFT($I608,6)&lt;&gt;"VACUUM"),"CDU",IF($H608="FLUID CAT CRACKING","FCC",IF(OR($H608="HYDROCRACKING",$H608="RESID_HYDROCRACKING"),"Hydrocracker",IF($H608="REFORMING","Reformer",""))))</f>
        <v/>
      </c>
      <c r="H608" s="6" t="s">
        <v>43</v>
      </c>
      <c r="I608" s="6" t="s">
        <v>579</v>
      </c>
      <c r="J608" s="6" t="s">
        <v>345</v>
      </c>
      <c r="K608" s="10">
        <v>25</v>
      </c>
      <c r="L608" s="10">
        <v>25</v>
      </c>
      <c r="M608" s="6" t="s">
        <v>386</v>
      </c>
    </row>
    <row r="609" spans="1:13">
      <c r="A609" s="6">
        <v>2023</v>
      </c>
      <c r="B609" s="6">
        <v>3</v>
      </c>
      <c r="C609" s="6" t="s">
        <v>61</v>
      </c>
      <c r="D609" s="6" t="s">
        <v>490</v>
      </c>
      <c r="E609" s="6" t="s">
        <v>491</v>
      </c>
      <c r="F609" s="6" t="str">
        <f>IF($M609="PADD I","PADD 1",IF($M609="PADD II","PADD 2",IF($M609="PADD III","PADD 3",IF($M609="PADD IV","PADD 4",IF($M609="PADD V","PADD 5","")))))</f>
        <v>PADD 3</v>
      </c>
      <c r="G609" s="6">
        <f>IF(AND($H609="ATMOS DISTILLATION",ISNUMBER(SEARCH("VPS",$I609))=FALSE,LEFT($I609,6)&lt;&gt;"VACUUM"),"CDU",IF($H609="FLUID CAT CRACKING","FCC",IF(OR($H609="HYDROCRACKING",$H609="RESID_HYDROCRACKING"),"Hydrocracker",IF($H609="REFORMING","Reformer",""))))</f>
        <v/>
      </c>
      <c r="H609" s="6" t="s">
        <v>435</v>
      </c>
      <c r="I609" s="6" t="s">
        <v>643</v>
      </c>
      <c r="J609" s="6" t="s">
        <v>345</v>
      </c>
      <c r="K609" s="10">
        <v>24.7</v>
      </c>
      <c r="L609" s="10">
        <v>95</v>
      </c>
      <c r="M609" s="6" t="s">
        <v>371</v>
      </c>
    </row>
    <row r="610" spans="1:13">
      <c r="A610" s="6">
        <v>2023</v>
      </c>
      <c r="B610" s="6">
        <v>3</v>
      </c>
      <c r="C610" s="6" t="s">
        <v>61</v>
      </c>
      <c r="D610" s="6" t="s">
        <v>395</v>
      </c>
      <c r="E610" s="6" t="s">
        <v>396</v>
      </c>
      <c r="F610" s="6" t="str">
        <f>IF($M610="PADD I","PADD 1",IF($M610="PADD II","PADD 2",IF($M610="PADD III","PADD 3",IF($M610="PADD IV","PADD 4",IF($M610="PADD V","PADD 5","")))))</f>
        <v>PADD 3</v>
      </c>
      <c r="G610" s="6" t="str">
        <f>IF(AND($H610="ATMOS DISTILLATION",ISNUMBER(SEARCH("VPS",$I610))=FALSE,LEFT($I610,6)&lt;&gt;"VACUUM"),"CDU",IF($H610="FLUID CAT CRACKING","FCC",IF(OR($H610="HYDROCRACKING",$H610="RESID_HYDROCRACKING"),"Hydrocracker",IF($H610="REFORMING","Reformer",""))))</f>
        <v>CDU</v>
      </c>
      <c r="H610" s="6" t="s">
        <v>38</v>
      </c>
      <c r="I610" s="6" t="s">
        <v>510</v>
      </c>
      <c r="J610" s="6" t="s">
        <v>345</v>
      </c>
      <c r="K610" s="10">
        <v>24.5</v>
      </c>
      <c r="L610" s="10">
        <v>70</v>
      </c>
      <c r="M610" s="6" t="s">
        <v>371</v>
      </c>
    </row>
    <row r="611" spans="1:13">
      <c r="A611" s="6">
        <v>2023</v>
      </c>
      <c r="B611" s="6">
        <v>3</v>
      </c>
      <c r="C611" s="6" t="s">
        <v>61</v>
      </c>
      <c r="D611" s="6" t="s">
        <v>420</v>
      </c>
      <c r="E611" s="6" t="s">
        <v>373</v>
      </c>
      <c r="F611" s="6" t="str">
        <f>IF($M611="PADD I","PADD 1",IF($M611="PADD II","PADD 2",IF($M611="PADD III","PADD 3",IF($M611="PADD IV","PADD 4",IF($M611="PADD V","PADD 5","")))))</f>
        <v>PADD 2</v>
      </c>
      <c r="G611" s="6" t="str">
        <f>IF(AND($H611="ATMOS DISTILLATION",ISNUMBER(SEARCH("VPS",$I611))=FALSE,LEFT($I611,6)&lt;&gt;"VACUUM"),"CDU",IF($H611="FLUID CAT CRACKING","FCC",IF(OR($H611="HYDROCRACKING",$H611="RESID_HYDROCRACKING"),"Hydrocracker",IF($H611="REFORMING","Reformer",""))))</f>
        <v>CDU</v>
      </c>
      <c r="H611" s="6" t="s">
        <v>38</v>
      </c>
      <c r="I611" s="6" t="s">
        <v>81</v>
      </c>
      <c r="J611" s="6" t="s">
        <v>345</v>
      </c>
      <c r="K611" s="10">
        <v>24.5</v>
      </c>
      <c r="L611" s="10">
        <v>24.5</v>
      </c>
      <c r="M611" s="6" t="s">
        <v>375</v>
      </c>
    </row>
    <row r="612" spans="1:13">
      <c r="A612" s="6">
        <v>2023</v>
      </c>
      <c r="B612" s="6">
        <v>3</v>
      </c>
      <c r="C612" s="6" t="s">
        <v>61</v>
      </c>
      <c r="D612" s="6" t="s">
        <v>380</v>
      </c>
      <c r="E612" s="6" t="s">
        <v>381</v>
      </c>
      <c r="F612" s="6" t="str">
        <f>IF($M612="PADD I","PADD 1",IF($M612="PADD II","PADD 2",IF($M612="PADD III","PADD 3",IF($M612="PADD IV","PADD 4",IF($M612="PADD V","PADD 5","")))))</f>
        <v>PADD 3</v>
      </c>
      <c r="G612" s="6">
        <f>IF(AND($H612="ATMOS DISTILLATION",ISNUMBER(SEARCH("VPS",$I612))=FALSE,LEFT($I612,6)&lt;&gt;"VACUUM"),"CDU",IF($H612="FLUID CAT CRACKING","FCC",IF(OR($H612="HYDROCRACKING",$H612="RESID_HYDROCRACKING"),"Hydrocracker",IF($H612="REFORMING","Reformer",""))))</f>
        <v/>
      </c>
      <c r="H612" s="6" t="s">
        <v>378</v>
      </c>
      <c r="I612" s="6" t="s">
        <v>418</v>
      </c>
      <c r="J612" s="6" t="s">
        <v>345</v>
      </c>
      <c r="K612" s="10">
        <v>23.69</v>
      </c>
      <c r="L612" s="10">
        <v>103</v>
      </c>
      <c r="M612" s="6" t="s">
        <v>371</v>
      </c>
    </row>
    <row r="613" spans="1:13">
      <c r="A613" s="6">
        <v>2023</v>
      </c>
      <c r="B613" s="6">
        <v>3</v>
      </c>
      <c r="C613" s="6" t="s">
        <v>61</v>
      </c>
      <c r="D613" s="6" t="s">
        <v>680</v>
      </c>
      <c r="E613" s="6" t="s">
        <v>681</v>
      </c>
      <c r="F613" s="6" t="str">
        <f>IF($M613="PADD I","PADD 1",IF($M613="PADD II","PADD 2",IF($M613="PADD III","PADD 3",IF($M613="PADD IV","PADD 4",IF($M613="PADD V","PADD 5","")))))</f>
        <v>PADD 3</v>
      </c>
      <c r="G613" s="6" t="str">
        <f>IF(AND($H613="ATMOS DISTILLATION",ISNUMBER(SEARCH("VPS",$I613))=FALSE,LEFT($I613,6)&lt;&gt;"VACUUM"),"CDU",IF($H613="FLUID CAT CRACKING","FCC",IF(OR($H613="HYDROCRACKING",$H613="RESID_HYDROCRACKING"),"Hydrocracker",IF($H613="REFORMING","Reformer",""))))</f>
        <v>FCC</v>
      </c>
      <c r="H613" s="6" t="s">
        <v>376</v>
      </c>
      <c r="I613" s="6" t="s">
        <v>105</v>
      </c>
      <c r="J613" s="6" t="s">
        <v>349</v>
      </c>
      <c r="K613" s="10">
        <v>23.5</v>
      </c>
      <c r="L613" s="10">
        <v>25</v>
      </c>
      <c r="M613" s="6" t="s">
        <v>371</v>
      </c>
    </row>
    <row r="614" spans="1:13">
      <c r="A614" s="6">
        <v>2023</v>
      </c>
      <c r="B614" s="6">
        <v>3</v>
      </c>
      <c r="C614" s="6" t="s">
        <v>61</v>
      </c>
      <c r="D614" s="6" t="s">
        <v>680</v>
      </c>
      <c r="E614" s="6" t="s">
        <v>681</v>
      </c>
      <c r="F614" s="6" t="str">
        <f>IF($M614="PADD I","PADD 1",IF($M614="PADD II","PADD 2",IF($M614="PADD III","PADD 3",IF($M614="PADD IV","PADD 4",IF($M614="PADD V","PADD 5","")))))</f>
        <v>PADD 3</v>
      </c>
      <c r="G614" s="6">
        <f>IF(AND($H614="ATMOS DISTILLATION",ISNUMBER(SEARCH("VPS",$I614))=FALSE,LEFT($I614,6)&lt;&gt;"VACUUM"),"CDU",IF($H614="FLUID CAT CRACKING","FCC",IF(OR($H614="HYDROCRACKING",$H614="RESID_HYDROCRACKING"),"Hydrocracker",IF($H614="REFORMING","Reformer",""))))</f>
        <v/>
      </c>
      <c r="H614" s="6" t="s">
        <v>378</v>
      </c>
      <c r="I614" s="6" t="s">
        <v>431</v>
      </c>
      <c r="J614" s="6" t="s">
        <v>349</v>
      </c>
      <c r="K614" s="10">
        <v>23.5</v>
      </c>
      <c r="L614" s="10">
        <v>25</v>
      </c>
      <c r="M614" s="6" t="s">
        <v>371</v>
      </c>
    </row>
    <row r="615" spans="1:13">
      <c r="A615" s="6">
        <v>2023</v>
      </c>
      <c r="B615" s="6">
        <v>3</v>
      </c>
      <c r="C615" s="6" t="s">
        <v>61</v>
      </c>
      <c r="D615" s="6" t="s">
        <v>518</v>
      </c>
      <c r="E615" s="6" t="s">
        <v>369</v>
      </c>
      <c r="F615" s="6" t="str">
        <f>IF($M615="PADD I","PADD 1",IF($M615="PADD II","PADD 2",IF($M615="PADD III","PADD 3",IF($M615="PADD IV","PADD 4",IF($M615="PADD V","PADD 5","")))))</f>
        <v>PADD 5</v>
      </c>
      <c r="G615" s="6" t="str">
        <f>IF(AND($H615="ATMOS DISTILLATION",ISNUMBER(SEARCH("VPS",$I615))=FALSE,LEFT($I615,6)&lt;&gt;"VACUUM"),"CDU",IF($H615="FLUID CAT CRACKING","FCC",IF(OR($H615="HYDROCRACKING",$H615="RESID_HYDROCRACKING"),"Hydrocracker",IF($H615="REFORMING","Reformer",""))))</f>
        <v>Hydrocracker</v>
      </c>
      <c r="H615" s="6" t="s">
        <v>581</v>
      </c>
      <c r="I615" s="6" t="s">
        <v>582</v>
      </c>
      <c r="J615" s="6" t="s">
        <v>345</v>
      </c>
      <c r="K615" s="10">
        <v>23</v>
      </c>
      <c r="L615" s="10">
        <v>23</v>
      </c>
      <c r="M615" s="6" t="s">
        <v>386</v>
      </c>
    </row>
    <row r="616" spans="1:13">
      <c r="A616" s="6">
        <v>2023</v>
      </c>
      <c r="B616" s="6">
        <v>3</v>
      </c>
      <c r="C616" s="6" t="s">
        <v>61</v>
      </c>
      <c r="D616" s="6" t="s">
        <v>446</v>
      </c>
      <c r="E616" s="6" t="s">
        <v>391</v>
      </c>
      <c r="F616" s="6" t="str">
        <f>IF($M616="PADD I","PADD 1",IF($M616="PADD II","PADD 2",IF($M616="PADD III","PADD 3",IF($M616="PADD IV","PADD 4",IF($M616="PADD V","PADD 5","")))))</f>
        <v>PADD 3</v>
      </c>
      <c r="G616" s="6" t="str">
        <f>IF(AND($H616="ATMOS DISTILLATION",ISNUMBER(SEARCH("VPS",$I616))=FALSE,LEFT($I616,6)&lt;&gt;"VACUUM"),"CDU",IF($H616="FLUID CAT CRACKING","FCC",IF(OR($H616="HYDROCRACKING",$H616="RESID_HYDROCRACKING"),"Hydrocracker",IF($H616="REFORMING","Reformer",""))))</f>
        <v>Reformer</v>
      </c>
      <c r="H616" s="6" t="s">
        <v>421</v>
      </c>
      <c r="I616" s="6" t="s">
        <v>483</v>
      </c>
      <c r="J616" s="6" t="s">
        <v>345</v>
      </c>
      <c r="K616" s="10">
        <v>23</v>
      </c>
      <c r="L616" s="10">
        <v>23</v>
      </c>
      <c r="M616" s="6" t="s">
        <v>371</v>
      </c>
    </row>
    <row r="617" spans="1:13">
      <c r="A617" s="6">
        <v>2023</v>
      </c>
      <c r="B617" s="6">
        <v>3</v>
      </c>
      <c r="C617" s="6" t="s">
        <v>61</v>
      </c>
      <c r="D617" s="6" t="s">
        <v>602</v>
      </c>
      <c r="E617" s="6" t="s">
        <v>369</v>
      </c>
      <c r="F617" s="6" t="str">
        <f>IF($M617="PADD I","PADD 1",IF($M617="PADD II","PADD 2",IF($M617="PADD III","PADD 3",IF($M617="PADD IV","PADD 4",IF($M617="PADD V","PADD 5","")))))</f>
        <v>PADD 2</v>
      </c>
      <c r="G617" s="6">
        <f>IF(AND($H617="ATMOS DISTILLATION",ISNUMBER(SEARCH("VPS",$I617))=FALSE,LEFT($I617,6)&lt;&gt;"VACUUM"),"CDU",IF($H617="FLUID CAT CRACKING","FCC",IF(OR($H617="HYDROCRACKING",$H617="RESID_HYDROCRACKING"),"Hydrocracker",IF($H617="REFORMING","Reformer",""))))</f>
        <v/>
      </c>
      <c r="H617" s="6" t="s">
        <v>435</v>
      </c>
      <c r="I617" s="6" t="s">
        <v>441</v>
      </c>
      <c r="J617" s="6" t="s">
        <v>349</v>
      </c>
      <c r="K617" s="10">
        <v>22.94</v>
      </c>
      <c r="L617" s="10">
        <v>31</v>
      </c>
      <c r="M617" s="6" t="s">
        <v>375</v>
      </c>
    </row>
    <row r="618" spans="1:13">
      <c r="A618" s="6">
        <v>2023</v>
      </c>
      <c r="B618" s="6">
        <v>3</v>
      </c>
      <c r="C618" s="6" t="s">
        <v>61</v>
      </c>
      <c r="D618" s="6" t="s">
        <v>680</v>
      </c>
      <c r="E618" s="6" t="s">
        <v>681</v>
      </c>
      <c r="F618" s="6" t="str">
        <f>IF($M618="PADD I","PADD 1",IF($M618="PADD II","PADD 2",IF($M618="PADD III","PADD 3",IF($M618="PADD IV","PADD 4",IF($M618="PADD V","PADD 5","")))))</f>
        <v>PADD 3</v>
      </c>
      <c r="G618" s="6">
        <f>IF(AND($H618="ATMOS DISTILLATION",ISNUMBER(SEARCH("VPS",$I618))=FALSE,LEFT($I618,6)&lt;&gt;"VACUUM"),"CDU",IF($H618="FLUID CAT CRACKING","FCC",IF(OR($H618="HYDROCRACKING",$H618="RESID_HYDROCRACKING"),"Hydrocracker",IF($H618="REFORMING","Reformer",""))))</f>
        <v/>
      </c>
      <c r="H618" s="6" t="s">
        <v>43</v>
      </c>
      <c r="I618" s="6" t="s">
        <v>692</v>
      </c>
      <c r="J618" s="6" t="s">
        <v>349</v>
      </c>
      <c r="K618" s="10">
        <v>22.56</v>
      </c>
      <c r="L618" s="10">
        <v>24</v>
      </c>
      <c r="M618" s="6" t="s">
        <v>371</v>
      </c>
    </row>
    <row r="619" spans="1:13">
      <c r="A619" s="6">
        <v>2023</v>
      </c>
      <c r="B619" s="6">
        <v>3</v>
      </c>
      <c r="C619" s="6" t="s">
        <v>61</v>
      </c>
      <c r="D619" s="6" t="s">
        <v>465</v>
      </c>
      <c r="E619" s="6" t="s">
        <v>369</v>
      </c>
      <c r="F619" s="6" t="str">
        <f>IF($M619="PADD I","PADD 1",IF($M619="PADD II","PADD 2",IF($M619="PADD III","PADD 3",IF($M619="PADD IV","PADD 4",IF($M619="PADD V","PADD 5","")))))</f>
        <v>PADD 5</v>
      </c>
      <c r="G619" s="6">
        <f>IF(AND($H619="ATMOS DISTILLATION",ISNUMBER(SEARCH("VPS",$I619))=FALSE,LEFT($I619,6)&lt;&gt;"VACUUM"),"CDU",IF($H619="FLUID CAT CRACKING","FCC",IF(OR($H619="HYDROCRACKING",$H619="RESID_HYDROCRACKING"),"Hydrocracker",IF($H619="REFORMING","Reformer",""))))</f>
        <v/>
      </c>
      <c r="H619" s="6" t="s">
        <v>43</v>
      </c>
      <c r="I619" s="6" t="s">
        <v>466</v>
      </c>
      <c r="J619" s="6" t="s">
        <v>345</v>
      </c>
      <c r="K619" s="10">
        <v>21.2544</v>
      </c>
      <c r="L619" s="10">
        <v>66.42</v>
      </c>
      <c r="M619" s="6" t="s">
        <v>386</v>
      </c>
    </row>
    <row r="620" spans="1:13">
      <c r="A620" s="6">
        <v>2023</v>
      </c>
      <c r="B620" s="6">
        <v>3</v>
      </c>
      <c r="C620" s="6" t="s">
        <v>61</v>
      </c>
      <c r="D620" s="6" t="s">
        <v>324</v>
      </c>
      <c r="E620" s="6" t="s">
        <v>388</v>
      </c>
      <c r="F620" s="6" t="str">
        <f>IF($M620="PADD I","PADD 1",IF($M620="PADD II","PADD 2",IF($M620="PADD III","PADD 3",IF($M620="PADD IV","PADD 4",IF($M620="PADD V","PADD 5","")))))</f>
        <v>PADD 3</v>
      </c>
      <c r="G620" s="6">
        <f>IF(AND($H620="ATMOS DISTILLATION",ISNUMBER(SEARCH("VPS",$I620))=FALSE,LEFT($I620,6)&lt;&gt;"VACUUM"),"CDU",IF($H620="FLUID CAT CRACKING","FCC",IF(OR($H620="HYDROCRACKING",$H620="RESID_HYDROCRACKING"),"Hydrocracker",IF($H620="REFORMING","Reformer",""))))</f>
        <v/>
      </c>
      <c r="H620" s="6" t="s">
        <v>43</v>
      </c>
      <c r="I620" s="6" t="s">
        <v>693</v>
      </c>
      <c r="J620" s="6" t="s">
        <v>345</v>
      </c>
      <c r="K620" s="10">
        <v>21.06</v>
      </c>
      <c r="L620" s="10">
        <v>40.5</v>
      </c>
      <c r="M620" s="6" t="s">
        <v>371</v>
      </c>
    </row>
    <row r="621" spans="1:13">
      <c r="A621" s="6">
        <v>2023</v>
      </c>
      <c r="B621" s="6">
        <v>3</v>
      </c>
      <c r="C621" s="6" t="s">
        <v>61</v>
      </c>
      <c r="D621" s="6" t="s">
        <v>437</v>
      </c>
      <c r="E621" s="6" t="s">
        <v>438</v>
      </c>
      <c r="F621" s="6" t="str">
        <f>IF($M621="PADD I","PADD 1",IF($M621="PADD II","PADD 2",IF($M621="PADD III","PADD 3",IF($M621="PADD IV","PADD 4",IF($M621="PADD V","PADD 5","")))))</f>
        <v>PADD 4</v>
      </c>
      <c r="G621" s="6">
        <f>IF(AND($H621="ATMOS DISTILLATION",ISNUMBER(SEARCH("VPS",$I621))=FALSE,LEFT($I621,6)&lt;&gt;"VACUUM"),"CDU",IF($H621="FLUID CAT CRACKING","FCC",IF(OR($H621="HYDROCRACKING",$H621="RESID_HYDROCRACKING"),"Hydrocracker",IF($H621="REFORMING","Reformer",""))))</f>
        <v/>
      </c>
      <c r="H621" s="6" t="s">
        <v>43</v>
      </c>
      <c r="I621" s="6" t="s">
        <v>493</v>
      </c>
      <c r="J621" s="6" t="s">
        <v>345</v>
      </c>
      <c r="K621" s="10">
        <v>21</v>
      </c>
      <c r="L621" s="10">
        <v>21</v>
      </c>
      <c r="M621" s="6" t="s">
        <v>430</v>
      </c>
    </row>
    <row r="622" spans="1:13">
      <c r="A622" s="6">
        <v>2023</v>
      </c>
      <c r="B622" s="6">
        <v>3</v>
      </c>
      <c r="C622" s="6" t="s">
        <v>61</v>
      </c>
      <c r="D622" s="6" t="s">
        <v>610</v>
      </c>
      <c r="E622" s="6" t="s">
        <v>611</v>
      </c>
      <c r="F622" s="6" t="str">
        <f>IF($M622="PADD I","PADD 1",IF($M622="PADD II","PADD 2",IF($M622="PADD III","PADD 3",IF($M622="PADD IV","PADD 4",IF($M622="PADD V","PADD 5","")))))</f>
        <v>PADD 2</v>
      </c>
      <c r="G622" s="6">
        <f>IF(AND($H622="ATMOS DISTILLATION",ISNUMBER(SEARCH("VPS",$I622))=FALSE,LEFT($I622,6)&lt;&gt;"VACUUM"),"CDU",IF($H622="FLUID CAT CRACKING","FCC",IF(OR($H622="HYDROCRACKING",$H622="RESID_HYDROCRACKING"),"Hydrocracker",IF($H622="REFORMING","Reformer",""))))</f>
        <v/>
      </c>
      <c r="H622" s="6" t="s">
        <v>378</v>
      </c>
      <c r="I622" s="6" t="s">
        <v>494</v>
      </c>
      <c r="J622" s="6" t="s">
        <v>345</v>
      </c>
      <c r="K622" s="10">
        <v>21</v>
      </c>
      <c r="L622" s="10">
        <v>21</v>
      </c>
      <c r="M622" s="6" t="s">
        <v>375</v>
      </c>
    </row>
    <row r="623" spans="1:13">
      <c r="A623" s="6">
        <v>2023</v>
      </c>
      <c r="B623" s="6">
        <v>3</v>
      </c>
      <c r="C623" s="6" t="s">
        <v>61</v>
      </c>
      <c r="D623" s="6" t="s">
        <v>462</v>
      </c>
      <c r="E623" s="6" t="s">
        <v>438</v>
      </c>
      <c r="F623" s="6" t="str">
        <f>IF($M623="PADD I","PADD 1",IF($M623="PADD II","PADD 2",IF($M623="PADD III","PADD 3",IF($M623="PADD IV","PADD 4",IF($M623="PADD V","PADD 5","")))))</f>
        <v>PADD 4</v>
      </c>
      <c r="G623" s="6" t="str">
        <f>IF(AND($H623="ATMOS DISTILLATION",ISNUMBER(SEARCH("VPS",$I623))=FALSE,LEFT($I623,6)&lt;&gt;"VACUUM"),"CDU",IF($H623="FLUID CAT CRACKING","FCC",IF(OR($H623="HYDROCRACKING",$H623="RESID_HYDROCRACKING"),"Hydrocracker",IF($H623="REFORMING","Reformer",""))))</f>
        <v>CDU</v>
      </c>
      <c r="H623" s="6" t="s">
        <v>38</v>
      </c>
      <c r="I623" s="6" t="s">
        <v>123</v>
      </c>
      <c r="J623" s="6" t="s">
        <v>345</v>
      </c>
      <c r="K623" s="10">
        <v>20.8</v>
      </c>
      <c r="L623" s="10">
        <v>32</v>
      </c>
      <c r="M623" s="6" t="s">
        <v>430</v>
      </c>
    </row>
    <row r="624" spans="1:13">
      <c r="A624" s="6">
        <v>2023</v>
      </c>
      <c r="B624" s="6">
        <v>3</v>
      </c>
      <c r="C624" s="6" t="s">
        <v>61</v>
      </c>
      <c r="D624" s="6" t="s">
        <v>680</v>
      </c>
      <c r="E624" s="6" t="s">
        <v>681</v>
      </c>
      <c r="F624" s="6" t="str">
        <f>IF($M624="PADD I","PADD 1",IF($M624="PADD II","PADD 2",IF($M624="PADD III","PADD 3",IF($M624="PADD IV","PADD 4",IF($M624="PADD V","PADD 5","")))))</f>
        <v>PADD 3</v>
      </c>
      <c r="G624" s="6">
        <f>IF(AND($H624="ATMOS DISTILLATION",ISNUMBER(SEARCH("VPS",$I624))=FALSE,LEFT($I624,6)&lt;&gt;"VACUUM"),"CDU",IF($H624="FLUID CAT CRACKING","FCC",IF(OR($H624="HYDROCRACKING",$H624="RESID_HYDROCRACKING"),"Hydrocracker",IF($H624="REFORMING","Reformer",""))))</f>
        <v/>
      </c>
      <c r="H624" s="6" t="s">
        <v>43</v>
      </c>
      <c r="I624" s="6" t="s">
        <v>694</v>
      </c>
      <c r="J624" s="6" t="s">
        <v>349</v>
      </c>
      <c r="K624" s="10">
        <v>20.68</v>
      </c>
      <c r="L624" s="10">
        <v>22</v>
      </c>
      <c r="M624" s="6" t="s">
        <v>371</v>
      </c>
    </row>
    <row r="625" spans="1:13">
      <c r="A625" s="6">
        <v>2023</v>
      </c>
      <c r="B625" s="6">
        <v>3</v>
      </c>
      <c r="C625" s="6" t="s">
        <v>61</v>
      </c>
      <c r="D625" s="6" t="s">
        <v>420</v>
      </c>
      <c r="E625" s="6" t="s">
        <v>373</v>
      </c>
      <c r="F625" s="6" t="str">
        <f>IF($M625="PADD I","PADD 1",IF($M625="PADD II","PADD 2",IF($M625="PADD III","PADD 3",IF($M625="PADD IV","PADD 4",IF($M625="PADD V","PADD 5","")))))</f>
        <v>PADD 2</v>
      </c>
      <c r="G625" s="6">
        <f>IF(AND($H625="ATMOS DISTILLATION",ISNUMBER(SEARCH("VPS",$I625))=FALSE,LEFT($I625,6)&lt;&gt;"VACUUM"),"CDU",IF($H625="FLUID CAT CRACKING","FCC",IF(OR($H625="HYDROCRACKING",$H625="RESID_HYDROCRACKING"),"Hydrocracker",IF($H625="REFORMING","Reformer",""))))</f>
        <v/>
      </c>
      <c r="H625" s="6" t="s">
        <v>378</v>
      </c>
      <c r="I625" s="6" t="s">
        <v>431</v>
      </c>
      <c r="J625" s="6" t="s">
        <v>345</v>
      </c>
      <c r="K625" s="10">
        <v>20.5</v>
      </c>
      <c r="L625" s="10">
        <v>20.5</v>
      </c>
      <c r="M625" s="6" t="s">
        <v>375</v>
      </c>
    </row>
    <row r="626" spans="1:13">
      <c r="A626" s="6">
        <v>2023</v>
      </c>
      <c r="B626" s="6">
        <v>3</v>
      </c>
      <c r="C626" s="6" t="s">
        <v>61</v>
      </c>
      <c r="D626" s="6" t="s">
        <v>395</v>
      </c>
      <c r="E626" s="6" t="s">
        <v>396</v>
      </c>
      <c r="F626" s="6" t="str">
        <f>IF($M626="PADD I","PADD 1",IF($M626="PADD II","PADD 2",IF($M626="PADD III","PADD 3",IF($M626="PADD IV","PADD 4",IF($M626="PADD V","PADD 5","")))))</f>
        <v>PADD 3</v>
      </c>
      <c r="G626" s="6" t="str">
        <f>IF(AND($H626="ATMOS DISTILLATION",ISNUMBER(SEARCH("VPS",$I626))=FALSE,LEFT($I626,6)&lt;&gt;"VACUUM"),"CDU",IF($H626="FLUID CAT CRACKING","FCC",IF(OR($H626="HYDROCRACKING",$H626="RESID_HYDROCRACKING"),"Hydrocracker",IF($H626="REFORMING","Reformer",""))))</f>
        <v>CDU</v>
      </c>
      <c r="H626" s="6" t="s">
        <v>38</v>
      </c>
      <c r="I626" s="6" t="s">
        <v>510</v>
      </c>
      <c r="J626" s="6" t="s">
        <v>345</v>
      </c>
      <c r="K626" s="10">
        <v>20.3</v>
      </c>
      <c r="L626" s="10">
        <v>70</v>
      </c>
      <c r="M626" s="6" t="s">
        <v>371</v>
      </c>
    </row>
    <row r="627" spans="1:13">
      <c r="A627" s="6">
        <v>2023</v>
      </c>
      <c r="B627" s="6">
        <v>3</v>
      </c>
      <c r="C627" s="6" t="s">
        <v>61</v>
      </c>
      <c r="D627" s="6" t="s">
        <v>437</v>
      </c>
      <c r="E627" s="6" t="s">
        <v>438</v>
      </c>
      <c r="F627" s="6" t="str">
        <f>IF($M627="PADD I","PADD 1",IF($M627="PADD II","PADD 2",IF($M627="PADD III","PADD 3",IF($M627="PADD IV","PADD 4",IF($M627="PADD V","PADD 5","")))))</f>
        <v>PADD 4</v>
      </c>
      <c r="G627" s="6">
        <f>IF(AND($H627="ATMOS DISTILLATION",ISNUMBER(SEARCH("VPS",$I627))=FALSE,LEFT($I627,6)&lt;&gt;"VACUUM"),"CDU",IF($H627="FLUID CAT CRACKING","FCC",IF(OR($H627="HYDROCRACKING",$H627="RESID_HYDROCRACKING"),"Hydrocracker",IF($H627="REFORMING","Reformer",""))))</f>
        <v/>
      </c>
      <c r="H627" s="6" t="s">
        <v>378</v>
      </c>
      <c r="I627" s="6" t="s">
        <v>494</v>
      </c>
      <c r="J627" s="6" t="s">
        <v>345</v>
      </c>
      <c r="K627" s="10">
        <v>20</v>
      </c>
      <c r="L627" s="10">
        <v>20</v>
      </c>
      <c r="M627" s="6" t="s">
        <v>430</v>
      </c>
    </row>
    <row r="628" spans="1:13">
      <c r="A628" s="6">
        <v>2023</v>
      </c>
      <c r="B628" s="6">
        <v>3</v>
      </c>
      <c r="C628" s="6" t="s">
        <v>61</v>
      </c>
      <c r="D628" s="6" t="s">
        <v>462</v>
      </c>
      <c r="E628" s="6" t="s">
        <v>438</v>
      </c>
      <c r="F628" s="6" t="str">
        <f>IF($M628="PADD I","PADD 1",IF($M628="PADD II","PADD 2",IF($M628="PADD III","PADD 3",IF($M628="PADD IV","PADD 4",IF($M628="PADD V","PADD 5","")))))</f>
        <v>PADD 4</v>
      </c>
      <c r="G628" s="6">
        <f>IF(AND($H628="ATMOS DISTILLATION",ISNUMBER(SEARCH("VPS",$I628))=FALSE,LEFT($I628,6)&lt;&gt;"VACUUM"),"CDU",IF($H628="FLUID CAT CRACKING","FCC",IF(OR($H628="HYDROCRACKING",$H628="RESID_HYDROCRACKING"),"Hydrocracker",IF($H628="REFORMING","Reformer",""))))</f>
        <v/>
      </c>
      <c r="H628" s="6" t="s">
        <v>43</v>
      </c>
      <c r="I628" s="6" t="s">
        <v>495</v>
      </c>
      <c r="J628" s="6" t="s">
        <v>345</v>
      </c>
      <c r="K628" s="10">
        <v>20</v>
      </c>
      <c r="L628" s="10">
        <v>20</v>
      </c>
      <c r="M628" s="6" t="s">
        <v>430</v>
      </c>
    </row>
    <row r="629" spans="1:13">
      <c r="A629" s="6">
        <v>2023</v>
      </c>
      <c r="B629" s="6">
        <v>3</v>
      </c>
      <c r="C629" s="6" t="s">
        <v>61</v>
      </c>
      <c r="D629" s="6" t="s">
        <v>518</v>
      </c>
      <c r="E629" s="6" t="s">
        <v>369</v>
      </c>
      <c r="F629" s="6" t="str">
        <f>IF($M629="PADD I","PADD 1",IF($M629="PADD II","PADD 2",IF($M629="PADD III","PADD 3",IF($M629="PADD IV","PADD 4",IF($M629="PADD V","PADD 5","")))))</f>
        <v>PADD 5</v>
      </c>
      <c r="G629" s="6">
        <f>IF(AND($H629="ATMOS DISTILLATION",ISNUMBER(SEARCH("VPS",$I629))=FALSE,LEFT($I629,6)&lt;&gt;"VACUUM"),"CDU",IF($H629="FLUID CAT CRACKING","FCC",IF(OR($H629="HYDROCRACKING",$H629="RESID_HYDROCRACKING"),"Hydrocracker",IF($H629="REFORMING","Reformer",""))))</f>
        <v/>
      </c>
      <c r="H629" s="6" t="s">
        <v>43</v>
      </c>
      <c r="I629" s="6" t="s">
        <v>587</v>
      </c>
      <c r="J629" s="6" t="s">
        <v>345</v>
      </c>
      <c r="K629" s="10">
        <v>20</v>
      </c>
      <c r="L629" s="10">
        <v>20</v>
      </c>
      <c r="M629" s="6" t="s">
        <v>386</v>
      </c>
    </row>
    <row r="630" spans="1:13">
      <c r="A630" s="6">
        <v>2023</v>
      </c>
      <c r="B630" s="6">
        <v>3</v>
      </c>
      <c r="C630" s="6" t="s">
        <v>61</v>
      </c>
      <c r="D630" s="6" t="s">
        <v>496</v>
      </c>
      <c r="E630" s="6" t="s">
        <v>388</v>
      </c>
      <c r="F630" s="6" t="str">
        <f>IF($M630="PADD I","PADD 1",IF($M630="PADD II","PADD 2",IF($M630="PADD III","PADD 3",IF($M630="PADD IV","PADD 4",IF($M630="PADD V","PADD 5","")))))</f>
        <v>PADD 2</v>
      </c>
      <c r="G630" s="6" t="str">
        <f>IF(AND($H630="ATMOS DISTILLATION",ISNUMBER(SEARCH("VPS",$I630))=FALSE,LEFT($I630,6)&lt;&gt;"VACUUM"),"CDU",IF($H630="FLUID CAT CRACKING","FCC",IF(OR($H630="HYDROCRACKING",$H630="RESID_HYDROCRACKING"),"Hydrocracker",IF($H630="REFORMING","Reformer",""))))</f>
        <v>CDU</v>
      </c>
      <c r="H630" s="6" t="s">
        <v>38</v>
      </c>
      <c r="I630" s="6" t="s">
        <v>81</v>
      </c>
      <c r="J630" s="6" t="s">
        <v>349</v>
      </c>
      <c r="K630" s="10">
        <v>20</v>
      </c>
      <c r="L630" s="10">
        <v>20</v>
      </c>
      <c r="M630" s="6" t="s">
        <v>375</v>
      </c>
    </row>
    <row r="631" spans="1:13">
      <c r="A631" s="6">
        <v>2023</v>
      </c>
      <c r="B631" s="6">
        <v>3</v>
      </c>
      <c r="C631" s="6" t="s">
        <v>61</v>
      </c>
      <c r="D631" s="6" t="s">
        <v>610</v>
      </c>
      <c r="E631" s="6" t="s">
        <v>611</v>
      </c>
      <c r="F631" s="6" t="str">
        <f>IF($M631="PADD I","PADD 1",IF($M631="PADD II","PADD 2",IF($M631="PADD III","PADD 3",IF($M631="PADD IV","PADD 4",IF($M631="PADD V","PADD 5","")))))</f>
        <v>PADD 2</v>
      </c>
      <c r="G631" s="6">
        <f>IF(AND($H631="ATMOS DISTILLATION",ISNUMBER(SEARCH("VPS",$I631))=FALSE,LEFT($I631,6)&lt;&gt;"VACUUM"),"CDU",IF($H631="FLUID CAT CRACKING","FCC",IF(OR($H631="HYDROCRACKING",$H631="RESID_HYDROCRACKING"),"Hydrocracker",IF($H631="REFORMING","Reformer",""))))</f>
        <v/>
      </c>
      <c r="H631" s="6" t="s">
        <v>435</v>
      </c>
      <c r="I631" s="6" t="s">
        <v>441</v>
      </c>
      <c r="J631" s="6" t="s">
        <v>349</v>
      </c>
      <c r="K631" s="10">
        <v>19.5</v>
      </c>
      <c r="L631" s="10">
        <v>19.5</v>
      </c>
      <c r="M631" s="6" t="s">
        <v>375</v>
      </c>
    </row>
    <row r="632" spans="1:13">
      <c r="A632" s="6">
        <v>2023</v>
      </c>
      <c r="B632" s="6">
        <v>3</v>
      </c>
      <c r="C632" s="6" t="s">
        <v>61</v>
      </c>
      <c r="D632" s="6" t="s">
        <v>675</v>
      </c>
      <c r="E632" s="6" t="s">
        <v>452</v>
      </c>
      <c r="F632" s="6" t="str">
        <f>IF($M632="PADD I","PADD 1",IF($M632="PADD II","PADD 2",IF($M632="PADD III","PADD 3",IF($M632="PADD IV","PADD 4",IF($M632="PADD V","PADD 5","")))))</f>
        <v>PADD 2</v>
      </c>
      <c r="G632" s="6">
        <f>IF(AND($H632="ATMOS DISTILLATION",ISNUMBER(SEARCH("VPS",$I632))=FALSE,LEFT($I632,6)&lt;&gt;"VACUUM"),"CDU",IF($H632="FLUID CAT CRACKING","FCC",IF(OR($H632="HYDROCRACKING",$H632="RESID_HYDROCRACKING"),"Hydrocracker",IF($H632="REFORMING","Reformer",""))))</f>
        <v/>
      </c>
      <c r="H632" s="6" t="s">
        <v>43</v>
      </c>
      <c r="I632" s="6" t="s">
        <v>695</v>
      </c>
      <c r="J632" s="6" t="s">
        <v>349</v>
      </c>
      <c r="K632" s="10">
        <v>19.44</v>
      </c>
      <c r="L632" s="10">
        <v>24</v>
      </c>
      <c r="M632" s="6" t="s">
        <v>375</v>
      </c>
    </row>
    <row r="633" spans="1:13">
      <c r="A633" s="6">
        <v>2023</v>
      </c>
      <c r="B633" s="6">
        <v>3</v>
      </c>
      <c r="C633" s="6" t="s">
        <v>61</v>
      </c>
      <c r="D633" s="6" t="s">
        <v>395</v>
      </c>
      <c r="E633" s="6" t="s">
        <v>396</v>
      </c>
      <c r="F633" s="6" t="str">
        <f>IF($M633="PADD I","PADD 1",IF($M633="PADD II","PADD 2",IF($M633="PADD III","PADD 3",IF($M633="PADD IV","PADD 4",IF($M633="PADD V","PADD 5","")))))</f>
        <v>PADD 3</v>
      </c>
      <c r="G633" s="6">
        <f>IF(AND($H633="ATMOS DISTILLATION",ISNUMBER(SEARCH("VPS",$I633))=FALSE,LEFT($I633,6)&lt;&gt;"VACUUM"),"CDU",IF($H633="FLUID CAT CRACKING","FCC",IF(OR($H633="HYDROCRACKING",$H633="RESID_HYDROCRACKING"),"Hydrocracker",IF($H633="REFORMING","Reformer",""))))</f>
        <v/>
      </c>
      <c r="H633" s="6" t="s">
        <v>378</v>
      </c>
      <c r="I633" s="6" t="s">
        <v>575</v>
      </c>
      <c r="J633" s="6" t="s">
        <v>345</v>
      </c>
      <c r="K633" s="10">
        <v>19.25</v>
      </c>
      <c r="L633" s="10">
        <v>35</v>
      </c>
      <c r="M633" s="6" t="s">
        <v>371</v>
      </c>
    </row>
    <row r="634" spans="1:13">
      <c r="A634" s="6">
        <v>2023</v>
      </c>
      <c r="B634" s="6">
        <v>3</v>
      </c>
      <c r="C634" s="6" t="s">
        <v>61</v>
      </c>
      <c r="D634" s="6" t="s">
        <v>48</v>
      </c>
      <c r="E634" s="6" t="s">
        <v>388</v>
      </c>
      <c r="F634" s="6" t="str">
        <f>IF($M634="PADD I","PADD 1",IF($M634="PADD II","PADD 2",IF($M634="PADD III","PADD 3",IF($M634="PADD IV","PADD 4",IF($M634="PADD V","PADD 5","")))))</f>
        <v>PADD 2</v>
      </c>
      <c r="G634" s="6">
        <f>IF(AND($H634="ATMOS DISTILLATION",ISNUMBER(SEARCH("VPS",$I634))=FALSE,LEFT($I634,6)&lt;&gt;"VACUUM"),"CDU",IF($H634="FLUID CAT CRACKING","FCC",IF(OR($H634="HYDROCRACKING",$H634="RESID_HYDROCRACKING"),"Hydrocracker",IF($H634="REFORMING","Reformer",""))))</f>
        <v/>
      </c>
      <c r="H634" s="6" t="s">
        <v>43</v>
      </c>
      <c r="I634" s="6" t="s">
        <v>696</v>
      </c>
      <c r="J634" s="6" t="s">
        <v>345</v>
      </c>
      <c r="K634" s="10">
        <v>19.205</v>
      </c>
      <c r="L634" s="10">
        <v>83.5</v>
      </c>
      <c r="M634" s="6" t="s">
        <v>375</v>
      </c>
    </row>
    <row r="635" spans="1:13">
      <c r="A635" s="6">
        <v>2023</v>
      </c>
      <c r="B635" s="6">
        <v>3</v>
      </c>
      <c r="C635" s="6" t="s">
        <v>61</v>
      </c>
      <c r="D635" s="6" t="s">
        <v>411</v>
      </c>
      <c r="E635" s="6" t="s">
        <v>369</v>
      </c>
      <c r="F635" s="6" t="str">
        <f>IF($M635="PADD I","PADD 1",IF($M635="PADD II","PADD 2",IF($M635="PADD III","PADD 3",IF($M635="PADD IV","PADD 4",IF($M635="PADD V","PADD 5","")))))</f>
        <v>PADD 1</v>
      </c>
      <c r="G635" s="6">
        <f>IF(AND($H635="ATMOS DISTILLATION",ISNUMBER(SEARCH("VPS",$I635))=FALSE,LEFT($I635,6)&lt;&gt;"VACUUM"),"CDU",IF($H635="FLUID CAT CRACKING","FCC",IF(OR($H635="HYDROCRACKING",$H635="RESID_HYDROCRACKING"),"Hydrocracker",IF($H635="REFORMING","Reformer",""))))</f>
        <v/>
      </c>
      <c r="H635" s="6" t="s">
        <v>460</v>
      </c>
      <c r="I635" s="6" t="s">
        <v>566</v>
      </c>
      <c r="J635" s="6" t="s">
        <v>349</v>
      </c>
      <c r="K635" s="10">
        <v>19.14</v>
      </c>
      <c r="L635" s="10">
        <v>22</v>
      </c>
      <c r="M635" s="6" t="s">
        <v>413</v>
      </c>
    </row>
    <row r="636" spans="1:13">
      <c r="A636" s="6">
        <v>2023</v>
      </c>
      <c r="B636" s="6">
        <v>3</v>
      </c>
      <c r="C636" s="6" t="s">
        <v>61</v>
      </c>
      <c r="D636" s="6" t="s">
        <v>322</v>
      </c>
      <c r="E636" s="6" t="s">
        <v>369</v>
      </c>
      <c r="F636" s="6" t="str">
        <f>IF($M636="PADD I","PADD 1",IF($M636="PADD II","PADD 2",IF($M636="PADD III","PADD 3",IF($M636="PADD IV","PADD 4",IF($M636="PADD V","PADD 5","")))))</f>
        <v>PADD 2</v>
      </c>
      <c r="G636" s="6" t="str">
        <f>IF(AND($H636="ATMOS DISTILLATION",ISNUMBER(SEARCH("VPS",$I636))=FALSE,LEFT($I636,6)&lt;&gt;"VACUUM"),"CDU",IF($H636="FLUID CAT CRACKING","FCC",IF(OR($H636="HYDROCRACKING",$H636="RESID_HYDROCRACKING"),"Hydrocracker",IF($H636="REFORMING","Reformer",""))))</f>
        <v>FCC</v>
      </c>
      <c r="H636" s="6" t="s">
        <v>376</v>
      </c>
      <c r="I636" s="6" t="s">
        <v>657</v>
      </c>
      <c r="J636" s="6" t="s">
        <v>345</v>
      </c>
      <c r="K636" s="10">
        <v>18.9</v>
      </c>
      <c r="L636" s="10">
        <v>42</v>
      </c>
      <c r="M636" s="6" t="s">
        <v>375</v>
      </c>
    </row>
    <row r="637" spans="1:13">
      <c r="A637" s="6">
        <v>2023</v>
      </c>
      <c r="B637" s="6">
        <v>3</v>
      </c>
      <c r="C637" s="6" t="s">
        <v>61</v>
      </c>
      <c r="D637" s="6" t="s">
        <v>372</v>
      </c>
      <c r="E637" s="6" t="s">
        <v>373</v>
      </c>
      <c r="F637" s="6" t="str">
        <f>IF($M637="PADD I","PADD 1",IF($M637="PADD II","PADD 2",IF($M637="PADD III","PADD 3",IF($M637="PADD IV","PADD 4",IF($M637="PADD V","PADD 5","")))))</f>
        <v>PADD 2</v>
      </c>
      <c r="G637" s="6">
        <f>IF(AND($H637="ATMOS DISTILLATION",ISNUMBER(SEARCH("VPS",$I637))=FALSE,LEFT($I637,6)&lt;&gt;"VACUUM"),"CDU",IF($H637="FLUID CAT CRACKING","FCC",IF(OR($H637="HYDROCRACKING",$H637="RESID_HYDROCRACKING"),"Hydrocracker",IF($H637="REFORMING","Reformer",""))))</f>
        <v/>
      </c>
      <c r="H637" s="6" t="s">
        <v>460</v>
      </c>
      <c r="I637" s="6" t="s">
        <v>505</v>
      </c>
      <c r="J637" s="6" t="s">
        <v>345</v>
      </c>
      <c r="K637" s="10">
        <v>18</v>
      </c>
      <c r="L637" s="10">
        <v>18</v>
      </c>
      <c r="M637" s="6" t="s">
        <v>375</v>
      </c>
    </row>
    <row r="638" spans="1:13">
      <c r="A638" s="6">
        <v>2023</v>
      </c>
      <c r="B638" s="6">
        <v>3</v>
      </c>
      <c r="C638" s="6" t="s">
        <v>61</v>
      </c>
      <c r="D638" s="6" t="s">
        <v>518</v>
      </c>
      <c r="E638" s="6" t="s">
        <v>369</v>
      </c>
      <c r="F638" s="6" t="str">
        <f>IF($M638="PADD I","PADD 1",IF($M638="PADD II","PADD 2",IF($M638="PADD III","PADD 3",IF($M638="PADD IV","PADD 4",IF($M638="PADD V","PADD 5","")))))</f>
        <v>PADD 5</v>
      </c>
      <c r="G638" s="6" t="str">
        <f>IF(AND($H638="ATMOS DISTILLATION",ISNUMBER(SEARCH("VPS",$I638))=FALSE,LEFT($I638,6)&lt;&gt;"VACUUM"),"CDU",IF($H638="FLUID CAT CRACKING","FCC",IF(OR($H638="HYDROCRACKING",$H638="RESID_HYDROCRACKING"),"Hydrocracker",IF($H638="REFORMING","Reformer",""))))</f>
        <v>Reformer</v>
      </c>
      <c r="H638" s="6" t="s">
        <v>421</v>
      </c>
      <c r="I638" s="6" t="s">
        <v>591</v>
      </c>
      <c r="J638" s="6" t="s">
        <v>345</v>
      </c>
      <c r="K638" s="10">
        <v>18</v>
      </c>
      <c r="L638" s="10">
        <v>18</v>
      </c>
      <c r="M638" s="6" t="s">
        <v>386</v>
      </c>
    </row>
    <row r="639" spans="1:13">
      <c r="A639" s="6">
        <v>2023</v>
      </c>
      <c r="B639" s="6">
        <v>3</v>
      </c>
      <c r="C639" s="6" t="s">
        <v>61</v>
      </c>
      <c r="D639" s="6" t="s">
        <v>602</v>
      </c>
      <c r="E639" s="6" t="s">
        <v>369</v>
      </c>
      <c r="F639" s="6" t="str">
        <f>IF($M639="PADD I","PADD 1",IF($M639="PADD II","PADD 2",IF($M639="PADD III","PADD 3",IF($M639="PADD IV","PADD 4",IF($M639="PADD V","PADD 5","")))))</f>
        <v>PADD 2</v>
      </c>
      <c r="G639" s="6" t="str">
        <f>IF(AND($H639="ATMOS DISTILLATION",ISNUMBER(SEARCH("VPS",$I639))=FALSE,LEFT($I639,6)&lt;&gt;"VACUUM"),"CDU",IF($H639="FLUID CAT CRACKING","FCC",IF(OR($H639="HYDROCRACKING",$H639="RESID_HYDROCRACKING"),"Hydrocracker",IF($H639="REFORMING","Reformer",""))))</f>
        <v>Reformer</v>
      </c>
      <c r="H639" s="6" t="s">
        <v>421</v>
      </c>
      <c r="I639" s="6" t="s">
        <v>697</v>
      </c>
      <c r="J639" s="6" t="s">
        <v>349</v>
      </c>
      <c r="K639" s="10">
        <v>18</v>
      </c>
      <c r="L639" s="10">
        <v>20</v>
      </c>
      <c r="M639" s="6" t="s">
        <v>375</v>
      </c>
    </row>
    <row r="640" spans="1:13">
      <c r="A640" s="6">
        <v>2023</v>
      </c>
      <c r="B640" s="6">
        <v>3</v>
      </c>
      <c r="C640" s="6" t="s">
        <v>61</v>
      </c>
      <c r="D640" s="6" t="s">
        <v>675</v>
      </c>
      <c r="E640" s="6" t="s">
        <v>452</v>
      </c>
      <c r="F640" s="6" t="str">
        <f>IF($M640="PADD I","PADD 1",IF($M640="PADD II","PADD 2",IF($M640="PADD III","PADD 3",IF($M640="PADD IV","PADD 4",IF($M640="PADD V","PADD 5","")))))</f>
        <v>PADD 2</v>
      </c>
      <c r="G640" s="6" t="str">
        <f>IF(AND($H640="ATMOS DISTILLATION",ISNUMBER(SEARCH("VPS",$I640))=FALSE,LEFT($I640,6)&lt;&gt;"VACUUM"),"CDU",IF($H640="FLUID CAT CRACKING","FCC",IF(OR($H640="HYDROCRACKING",$H640="RESID_HYDROCRACKING"),"Hydrocracker",IF($H640="REFORMING","Reformer",""))))</f>
        <v>Reformer</v>
      </c>
      <c r="H640" s="6" t="s">
        <v>421</v>
      </c>
      <c r="I640" s="6" t="s">
        <v>698</v>
      </c>
      <c r="J640" s="6" t="s">
        <v>349</v>
      </c>
      <c r="K640" s="10">
        <v>17.82</v>
      </c>
      <c r="L640" s="10">
        <v>22</v>
      </c>
      <c r="M640" s="6" t="s">
        <v>375</v>
      </c>
    </row>
    <row r="641" spans="1:13">
      <c r="A641" s="6">
        <v>2023</v>
      </c>
      <c r="B641" s="6">
        <v>3</v>
      </c>
      <c r="C641" s="6" t="s">
        <v>61</v>
      </c>
      <c r="D641" s="6" t="s">
        <v>346</v>
      </c>
      <c r="E641" s="6" t="s">
        <v>383</v>
      </c>
      <c r="F641" s="6" t="str">
        <f>IF($M641="PADD I","PADD 1",IF($M641="PADD II","PADD 2",IF($M641="PADD III","PADD 3",IF($M641="PADD IV","PADD 4",IF($M641="PADD V","PADD 5","")))))</f>
        <v>PADD 2</v>
      </c>
      <c r="G641" s="6">
        <f>IF(AND($H641="ATMOS DISTILLATION",ISNUMBER(SEARCH("VPS",$I641))=FALSE,LEFT($I641,6)&lt;&gt;"VACUUM"),"CDU",IF($H641="FLUID CAT CRACKING","FCC",IF(OR($H641="HYDROCRACKING",$H641="RESID_HYDROCRACKING"),"Hydrocracker",IF($H641="REFORMING","Reformer",""))))</f>
        <v/>
      </c>
      <c r="H641" s="6" t="s">
        <v>43</v>
      </c>
      <c r="I641" s="6" t="s">
        <v>424</v>
      </c>
      <c r="J641" s="6" t="s">
        <v>349</v>
      </c>
      <c r="K641" s="10">
        <v>17.64</v>
      </c>
      <c r="L641" s="10">
        <v>42</v>
      </c>
      <c r="M641" s="6" t="s">
        <v>375</v>
      </c>
    </row>
    <row r="642" spans="1:13">
      <c r="A642" s="6">
        <v>2023</v>
      </c>
      <c r="B642" s="6">
        <v>3</v>
      </c>
      <c r="C642" s="6" t="s">
        <v>61</v>
      </c>
      <c r="D642" s="6" t="s">
        <v>699</v>
      </c>
      <c r="E642" s="6" t="s">
        <v>700</v>
      </c>
      <c r="F642" s="6" t="str">
        <f>IF($M642="PADD I","PADD 1",IF($M642="PADD II","PADD 2",IF($M642="PADD III","PADD 3",IF($M642="PADD IV","PADD 4",IF($M642="PADD V","PADD 5","")))))</f>
        <v>PADD 5</v>
      </c>
      <c r="G642" s="6" t="str">
        <f>IF(AND($H642="ATMOS DISTILLATION",ISNUMBER(SEARCH("VPS",$I642))=FALSE,LEFT($I642,6)&lt;&gt;"VACUUM"),"CDU",IF($H642="FLUID CAT CRACKING","FCC",IF(OR($H642="HYDROCRACKING",$H642="RESID_HYDROCRACKING"),"Hydrocracker",IF($H642="REFORMING","Reformer",""))))</f>
        <v>CDU</v>
      </c>
      <c r="H642" s="6" t="s">
        <v>38</v>
      </c>
      <c r="I642" s="6" t="s">
        <v>81</v>
      </c>
      <c r="J642" s="6" t="s">
        <v>349</v>
      </c>
      <c r="K642" s="10">
        <v>17.55</v>
      </c>
      <c r="L642" s="10">
        <v>27</v>
      </c>
      <c r="M642" s="6" t="s">
        <v>386</v>
      </c>
    </row>
    <row r="643" spans="1:13">
      <c r="A643" s="6">
        <v>2023</v>
      </c>
      <c r="B643" s="6">
        <v>3</v>
      </c>
      <c r="C643" s="6" t="s">
        <v>61</v>
      </c>
      <c r="D643" s="6" t="s">
        <v>372</v>
      </c>
      <c r="E643" s="6" t="s">
        <v>373</v>
      </c>
      <c r="F643" s="6" t="str">
        <f>IF($M643="PADD I","PADD 1",IF($M643="PADD II","PADD 2",IF($M643="PADD III","PADD 3",IF($M643="PADD IV","PADD 4",IF($M643="PADD V","PADD 5","")))))</f>
        <v>PADD 2</v>
      </c>
      <c r="G643" s="6">
        <f>IF(AND($H643="ATMOS DISTILLATION",ISNUMBER(SEARCH("VPS",$I643))=FALSE,LEFT($I643,6)&lt;&gt;"VACUUM"),"CDU",IF($H643="FLUID CAT CRACKING","FCC",IF(OR($H643="HYDROCRACKING",$H643="RESID_HYDROCRACKING"),"Hydrocracker",IF($H643="REFORMING","Reformer",""))))</f>
        <v/>
      </c>
      <c r="H643" s="6" t="s">
        <v>378</v>
      </c>
      <c r="I643" s="6" t="s">
        <v>701</v>
      </c>
      <c r="J643" s="6" t="s">
        <v>345</v>
      </c>
      <c r="K643" s="10">
        <v>16.92</v>
      </c>
      <c r="L643" s="10">
        <v>18</v>
      </c>
      <c r="M643" s="6" t="s">
        <v>375</v>
      </c>
    </row>
    <row r="644" spans="1:13">
      <c r="A644" s="6">
        <v>2023</v>
      </c>
      <c r="B644" s="6">
        <v>3</v>
      </c>
      <c r="C644" s="6" t="s">
        <v>61</v>
      </c>
      <c r="D644" s="6" t="s">
        <v>437</v>
      </c>
      <c r="E644" s="6" t="s">
        <v>438</v>
      </c>
      <c r="F644" s="6" t="str">
        <f>IF($M644="PADD I","PADD 1",IF($M644="PADD II","PADD 2",IF($M644="PADD III","PADD 3",IF($M644="PADD IV","PADD 4",IF($M644="PADD V","PADD 5","")))))</f>
        <v>PADD 4</v>
      </c>
      <c r="G644" s="6" t="str">
        <f>IF(AND($H644="ATMOS DISTILLATION",ISNUMBER(SEARCH("VPS",$I644))=FALSE,LEFT($I644,6)&lt;&gt;"VACUUM"),"CDU",IF($H644="FLUID CAT CRACKING","FCC",IF(OR($H644="HYDROCRACKING",$H644="RESID_HYDROCRACKING"),"Hydrocracker",IF($H644="REFORMING","Reformer",""))))</f>
        <v>CDU</v>
      </c>
      <c r="H644" s="6" t="s">
        <v>38</v>
      </c>
      <c r="I644" s="6" t="s">
        <v>439</v>
      </c>
      <c r="J644" s="6" t="s">
        <v>345</v>
      </c>
      <c r="K644" s="10">
        <v>16.38</v>
      </c>
      <c r="L644" s="10">
        <v>39</v>
      </c>
      <c r="M644" s="6" t="s">
        <v>430</v>
      </c>
    </row>
    <row r="645" spans="1:13">
      <c r="A645" s="6">
        <v>2023</v>
      </c>
      <c r="B645" s="6">
        <v>3</v>
      </c>
      <c r="C645" s="6" t="s">
        <v>61</v>
      </c>
      <c r="D645" s="6" t="s">
        <v>680</v>
      </c>
      <c r="E645" s="6" t="s">
        <v>681</v>
      </c>
      <c r="F645" s="6" t="str">
        <f>IF($M645="PADD I","PADD 1",IF($M645="PADD II","PADD 2",IF($M645="PADD III","PADD 3",IF($M645="PADD IV","PADD 4",IF($M645="PADD V","PADD 5","")))))</f>
        <v>PADD 3</v>
      </c>
      <c r="G645" s="6" t="str">
        <f>IF(AND($H645="ATMOS DISTILLATION",ISNUMBER(SEARCH("VPS",$I645))=FALSE,LEFT($I645,6)&lt;&gt;"VACUUM"),"CDU",IF($H645="FLUID CAT CRACKING","FCC",IF(OR($H645="HYDROCRACKING",$H645="RESID_HYDROCRACKING"),"Hydrocracker",IF($H645="REFORMING","Reformer",""))))</f>
        <v>Reformer</v>
      </c>
      <c r="H645" s="6" t="s">
        <v>421</v>
      </c>
      <c r="I645" s="6" t="s">
        <v>539</v>
      </c>
      <c r="J645" s="6" t="s">
        <v>349</v>
      </c>
      <c r="K645" s="10">
        <v>15.98</v>
      </c>
      <c r="L645" s="10">
        <v>17</v>
      </c>
      <c r="M645" s="6" t="s">
        <v>371</v>
      </c>
    </row>
    <row r="646" spans="1:13">
      <c r="A646" s="6">
        <v>2023</v>
      </c>
      <c r="B646" s="6">
        <v>3</v>
      </c>
      <c r="C646" s="6" t="s">
        <v>61</v>
      </c>
      <c r="D646" s="6" t="s">
        <v>680</v>
      </c>
      <c r="E646" s="6" t="s">
        <v>681</v>
      </c>
      <c r="F646" s="6" t="str">
        <f>IF($M646="PADD I","PADD 1",IF($M646="PADD II","PADD 2",IF($M646="PADD III","PADD 3",IF($M646="PADD IV","PADD 4",IF($M646="PADD V","PADD 5","")))))</f>
        <v>PADD 3</v>
      </c>
      <c r="G646" s="6">
        <f>IF(AND($H646="ATMOS DISTILLATION",ISNUMBER(SEARCH("VPS",$I646))=FALSE,LEFT($I646,6)&lt;&gt;"VACUUM"),"CDU",IF($H646="FLUID CAT CRACKING","FCC",IF(OR($H646="HYDROCRACKING",$H646="RESID_HYDROCRACKING"),"Hydrocracker",IF($H646="REFORMING","Reformer",""))))</f>
        <v/>
      </c>
      <c r="H646" s="6" t="s">
        <v>43</v>
      </c>
      <c r="I646" s="6" t="s">
        <v>702</v>
      </c>
      <c r="J646" s="6" t="s">
        <v>349</v>
      </c>
      <c r="K646" s="10">
        <v>15.98</v>
      </c>
      <c r="L646" s="10">
        <v>17</v>
      </c>
      <c r="M646" s="6" t="s">
        <v>371</v>
      </c>
    </row>
    <row r="647" spans="1:13">
      <c r="A647" s="6">
        <v>2023</v>
      </c>
      <c r="B647" s="6">
        <v>3</v>
      </c>
      <c r="C647" s="6" t="s">
        <v>61</v>
      </c>
      <c r="D647" s="6" t="s">
        <v>576</v>
      </c>
      <c r="E647" s="6" t="s">
        <v>369</v>
      </c>
      <c r="F647" s="6" t="str">
        <f>IF($M647="PADD I","PADD 1",IF($M647="PADD II","PADD 2",IF($M647="PADD III","PADD 3",IF($M647="PADD IV","PADD 4",IF($M647="PADD V","PADD 5","")))))</f>
        <v>PADD 3</v>
      </c>
      <c r="G647" s="6">
        <f>IF(AND($H647="ATMOS DISTILLATION",ISNUMBER(SEARCH("VPS",$I647))=FALSE,LEFT($I647,6)&lt;&gt;"VACUUM"),"CDU",IF($H647="FLUID CAT CRACKING","FCC",IF(OR($H647="HYDROCRACKING",$H647="RESID_HYDROCRACKING"),"Hydrocracker",IF($H647="REFORMING","Reformer",""))))</f>
        <v/>
      </c>
      <c r="H647" s="6" t="s">
        <v>435</v>
      </c>
      <c r="I647" s="6" t="s">
        <v>703</v>
      </c>
      <c r="J647" s="6" t="s">
        <v>349</v>
      </c>
      <c r="K647" s="10">
        <v>15</v>
      </c>
      <c r="L647" s="10">
        <v>15</v>
      </c>
      <c r="M647" s="6" t="s">
        <v>371</v>
      </c>
    </row>
    <row r="648" spans="1:13">
      <c r="A648" s="6">
        <v>2023</v>
      </c>
      <c r="B648" s="6">
        <v>3</v>
      </c>
      <c r="C648" s="6" t="s">
        <v>61</v>
      </c>
      <c r="D648" s="6" t="s">
        <v>324</v>
      </c>
      <c r="E648" s="6" t="s">
        <v>388</v>
      </c>
      <c r="F648" s="6" t="str">
        <f>IF($M648="PADD I","PADD 1",IF($M648="PADD II","PADD 2",IF($M648="PADD III","PADD 3",IF($M648="PADD IV","PADD 4",IF($M648="PADD V","PADD 5","")))))</f>
        <v>PADD 3</v>
      </c>
      <c r="G648" s="6" t="str">
        <f>IF(AND($H648="ATMOS DISTILLATION",ISNUMBER(SEARCH("VPS",$I648))=FALSE,LEFT($I648,6)&lt;&gt;"VACUUM"),"CDU",IF($H648="FLUID CAT CRACKING","FCC",IF(OR($H648="HYDROCRACKING",$H648="RESID_HYDROCRACKING"),"Hydrocracker",IF($H648="REFORMING","Reformer",""))))</f>
        <v>Reformer</v>
      </c>
      <c r="H648" s="6" t="s">
        <v>421</v>
      </c>
      <c r="I648" s="6" t="s">
        <v>642</v>
      </c>
      <c r="J648" s="6" t="s">
        <v>349</v>
      </c>
      <c r="K648" s="10">
        <v>14.95</v>
      </c>
      <c r="L648" s="10">
        <v>65</v>
      </c>
      <c r="M648" s="6" t="s">
        <v>371</v>
      </c>
    </row>
    <row r="649" spans="1:13">
      <c r="A649" s="6">
        <v>2023</v>
      </c>
      <c r="B649" s="6">
        <v>3</v>
      </c>
      <c r="C649" s="6" t="s">
        <v>61</v>
      </c>
      <c r="D649" s="6" t="s">
        <v>329</v>
      </c>
      <c r="E649" s="6" t="s">
        <v>427</v>
      </c>
      <c r="F649" s="6" t="str">
        <f>IF($M649="PADD I","PADD 1",IF($M649="PADD II","PADD 2",IF($M649="PADD III","PADD 3",IF($M649="PADD IV","PADD 4",IF($M649="PADD V","PADD 5","")))))</f>
        <v>PADD 3</v>
      </c>
      <c r="G649" s="6">
        <f>IF(AND($H649="ATMOS DISTILLATION",ISNUMBER(SEARCH("VPS",$I649))=FALSE,LEFT($I649,6)&lt;&gt;"VACUUM"),"CDU",IF($H649="FLUID CAT CRACKING","FCC",IF(OR($H649="HYDROCRACKING",$H649="RESID_HYDROCRACKING"),"Hydrocracker",IF($H649="REFORMING","Reformer",""))))</f>
        <v/>
      </c>
      <c r="H649" s="6" t="s">
        <v>43</v>
      </c>
      <c r="I649" s="6" t="s">
        <v>562</v>
      </c>
      <c r="J649" s="6" t="s">
        <v>345</v>
      </c>
      <c r="K649" s="10">
        <v>14.85</v>
      </c>
      <c r="L649" s="10">
        <v>27</v>
      </c>
      <c r="M649" s="6" t="s">
        <v>371</v>
      </c>
    </row>
    <row r="650" spans="1:13">
      <c r="A650" s="6">
        <v>2023</v>
      </c>
      <c r="B650" s="6">
        <v>3</v>
      </c>
      <c r="C650" s="6" t="s">
        <v>61</v>
      </c>
      <c r="D650" s="6" t="s">
        <v>395</v>
      </c>
      <c r="E650" s="6" t="s">
        <v>396</v>
      </c>
      <c r="F650" s="6" t="str">
        <f>IF($M650="PADD I","PADD 1",IF($M650="PADD II","PADD 2",IF($M650="PADD III","PADD 3",IF($M650="PADD IV","PADD 4",IF($M650="PADD V","PADD 5","")))))</f>
        <v>PADD 3</v>
      </c>
      <c r="G650" s="6">
        <f>IF(AND($H650="ATMOS DISTILLATION",ISNUMBER(SEARCH("VPS",$I650))=FALSE,LEFT($I650,6)&lt;&gt;"VACUUM"),"CDU",IF($H650="FLUID CAT CRACKING","FCC",IF(OR($H650="HYDROCRACKING",$H650="RESID_HYDROCRACKING"),"Hydrocracker",IF($H650="REFORMING","Reformer",""))))</f>
        <v/>
      </c>
      <c r="H650" s="6" t="s">
        <v>378</v>
      </c>
      <c r="I650" s="6" t="s">
        <v>575</v>
      </c>
      <c r="J650" s="6" t="s">
        <v>345</v>
      </c>
      <c r="K650" s="10">
        <v>14.7</v>
      </c>
      <c r="L650" s="10">
        <v>35</v>
      </c>
      <c r="M650" s="6" t="s">
        <v>371</v>
      </c>
    </row>
    <row r="651" spans="1:13">
      <c r="A651" s="6">
        <v>2023</v>
      </c>
      <c r="B651" s="6">
        <v>3</v>
      </c>
      <c r="C651" s="6" t="s">
        <v>61</v>
      </c>
      <c r="D651" s="6" t="s">
        <v>675</v>
      </c>
      <c r="E651" s="6" t="s">
        <v>452</v>
      </c>
      <c r="F651" s="6" t="str">
        <f>IF($M651="PADD I","PADD 1",IF($M651="PADD II","PADD 2",IF($M651="PADD III","PADD 3",IF($M651="PADD IV","PADD 4",IF($M651="PADD V","PADD 5","")))))</f>
        <v>PADD 2</v>
      </c>
      <c r="G651" s="6">
        <f>IF(AND($H651="ATMOS DISTILLATION",ISNUMBER(SEARCH("VPS",$I651))=FALSE,LEFT($I651,6)&lt;&gt;"VACUUM"),"CDU",IF($H651="FLUID CAT CRACKING","FCC",IF(OR($H651="HYDROCRACKING",$H651="RESID_HYDROCRACKING"),"Hydrocracker",IF($H651="REFORMING","Reformer",""))))</f>
        <v/>
      </c>
      <c r="H651" s="6" t="s">
        <v>43</v>
      </c>
      <c r="I651" s="6" t="s">
        <v>704</v>
      </c>
      <c r="J651" s="6" t="s">
        <v>349</v>
      </c>
      <c r="K651" s="10">
        <v>14.58</v>
      </c>
      <c r="L651" s="10">
        <v>18</v>
      </c>
      <c r="M651" s="6" t="s">
        <v>375</v>
      </c>
    </row>
    <row r="652" spans="1:13">
      <c r="A652" s="6">
        <v>2023</v>
      </c>
      <c r="B652" s="6">
        <v>3</v>
      </c>
      <c r="C652" s="6" t="s">
        <v>61</v>
      </c>
      <c r="D652" s="6" t="s">
        <v>675</v>
      </c>
      <c r="E652" s="6" t="s">
        <v>452</v>
      </c>
      <c r="F652" s="6" t="str">
        <f>IF($M652="PADD I","PADD 1",IF($M652="PADD II","PADD 2",IF($M652="PADD III","PADD 3",IF($M652="PADD IV","PADD 4",IF($M652="PADD V","PADD 5","")))))</f>
        <v>PADD 2</v>
      </c>
      <c r="G652" s="6">
        <f>IF(AND($H652="ATMOS DISTILLATION",ISNUMBER(SEARCH("VPS",$I652))=FALSE,LEFT($I652,6)&lt;&gt;"VACUUM"),"CDU",IF($H652="FLUID CAT CRACKING","FCC",IF(OR($H652="HYDROCRACKING",$H652="RESID_HYDROCRACKING"),"Hydrocracker",IF($H652="REFORMING","Reformer",""))))</f>
        <v/>
      </c>
      <c r="H652" s="6" t="s">
        <v>43</v>
      </c>
      <c r="I652" s="6" t="s">
        <v>705</v>
      </c>
      <c r="J652" s="6" t="s">
        <v>349</v>
      </c>
      <c r="K652" s="10">
        <v>14.58</v>
      </c>
      <c r="L652" s="10">
        <v>18</v>
      </c>
      <c r="M652" s="6" t="s">
        <v>375</v>
      </c>
    </row>
    <row r="653" spans="1:13">
      <c r="A653" s="6">
        <v>2023</v>
      </c>
      <c r="B653" s="6">
        <v>3</v>
      </c>
      <c r="C653" s="6" t="s">
        <v>61</v>
      </c>
      <c r="D653" s="6" t="s">
        <v>468</v>
      </c>
      <c r="E653" s="6" t="s">
        <v>369</v>
      </c>
      <c r="F653" s="6" t="str">
        <f>IF($M653="PADD I","PADD 1",IF($M653="PADD II","PADD 2",IF($M653="PADD III","PADD 3",IF($M653="PADD IV","PADD 4",IF($M653="PADD V","PADD 5","")))))</f>
        <v>PADD 3</v>
      </c>
      <c r="G653" s="6" t="str">
        <f>IF(AND($H653="ATMOS DISTILLATION",ISNUMBER(SEARCH("VPS",$I653))=FALSE,LEFT($I653,6)&lt;&gt;"VACUUM"),"CDU",IF($H653="FLUID CAT CRACKING","FCC",IF(OR($H653="HYDROCRACKING",$H653="RESID_HYDROCRACKING"),"Hydrocracker",IF($H653="REFORMING","Reformer",""))))</f>
        <v>FCC</v>
      </c>
      <c r="H653" s="6" t="s">
        <v>376</v>
      </c>
      <c r="I653" s="6" t="s">
        <v>469</v>
      </c>
      <c r="J653" s="6" t="s">
        <v>345</v>
      </c>
      <c r="K653" s="10">
        <v>14.4</v>
      </c>
      <c r="L653" s="10">
        <v>30</v>
      </c>
      <c r="M653" s="6" t="s">
        <v>371</v>
      </c>
    </row>
    <row r="654" spans="1:13">
      <c r="A654" s="6">
        <v>2023</v>
      </c>
      <c r="B654" s="6">
        <v>3</v>
      </c>
      <c r="C654" s="6" t="s">
        <v>61</v>
      </c>
      <c r="D654" s="6" t="s">
        <v>322</v>
      </c>
      <c r="E654" s="6" t="s">
        <v>369</v>
      </c>
      <c r="F654" s="6" t="str">
        <f>IF($M654="PADD I","PADD 1",IF($M654="PADD II","PADD 2",IF($M654="PADD III","PADD 3",IF($M654="PADD IV","PADD 4",IF($M654="PADD V","PADD 5","")))))</f>
        <v>PADD 2</v>
      </c>
      <c r="G654" s="6" t="str">
        <f>IF(AND($H654="ATMOS DISTILLATION",ISNUMBER(SEARCH("VPS",$I654))=FALSE,LEFT($I654,6)&lt;&gt;"VACUUM"),"CDU",IF($H654="FLUID CAT CRACKING","FCC",IF(OR($H654="HYDROCRACKING",$H654="RESID_HYDROCRACKING"),"Hydrocracker",IF($H654="REFORMING","Reformer",""))))</f>
        <v>Reformer</v>
      </c>
      <c r="H654" s="6" t="s">
        <v>421</v>
      </c>
      <c r="I654" s="6" t="s">
        <v>706</v>
      </c>
      <c r="J654" s="6" t="s">
        <v>349</v>
      </c>
      <c r="K654" s="10">
        <v>14.1</v>
      </c>
      <c r="L654" s="10">
        <v>15</v>
      </c>
      <c r="M654" s="6" t="s">
        <v>375</v>
      </c>
    </row>
    <row r="655" spans="1:13">
      <c r="A655" s="6">
        <v>2023</v>
      </c>
      <c r="B655" s="6">
        <v>3</v>
      </c>
      <c r="C655" s="6" t="s">
        <v>61</v>
      </c>
      <c r="D655" s="6" t="s">
        <v>680</v>
      </c>
      <c r="E655" s="6" t="s">
        <v>681</v>
      </c>
      <c r="F655" s="6" t="str">
        <f>IF($M655="PADD I","PADD 1",IF($M655="PADD II","PADD 2",IF($M655="PADD III","PADD 3",IF($M655="PADD IV","PADD 4",IF($M655="PADD V","PADD 5","")))))</f>
        <v>PADD 3</v>
      </c>
      <c r="G655" s="6" t="str">
        <f>IF(AND($H655="ATMOS DISTILLATION",ISNUMBER(SEARCH("VPS",$I655))=FALSE,LEFT($I655,6)&lt;&gt;"VACUUM"),"CDU",IF($H655="FLUID CAT CRACKING","FCC",IF(OR($H655="HYDROCRACKING",$H655="RESID_HYDROCRACKING"),"Hydrocracker",IF($H655="REFORMING","Reformer",""))))</f>
        <v>Hydrocracker</v>
      </c>
      <c r="H655" s="6" t="s">
        <v>444</v>
      </c>
      <c r="I655" s="6" t="s">
        <v>707</v>
      </c>
      <c r="J655" s="6" t="s">
        <v>349</v>
      </c>
      <c r="K655" s="10">
        <v>14.1</v>
      </c>
      <c r="L655" s="10">
        <v>15</v>
      </c>
      <c r="M655" s="6" t="s">
        <v>371</v>
      </c>
    </row>
    <row r="656" spans="1:13">
      <c r="A656" s="6">
        <v>2023</v>
      </c>
      <c r="B656" s="6">
        <v>3</v>
      </c>
      <c r="C656" s="6" t="s">
        <v>61</v>
      </c>
      <c r="D656" s="6" t="s">
        <v>51</v>
      </c>
      <c r="E656" s="6" t="s">
        <v>391</v>
      </c>
      <c r="F656" s="6" t="str">
        <f>IF($M656="PADD I","PADD 1",IF($M656="PADD II","PADD 2",IF($M656="PADD III","PADD 3",IF($M656="PADD IV","PADD 4",IF($M656="PADD V","PADD 5","")))))</f>
        <v>PADD 5</v>
      </c>
      <c r="G656" s="6">
        <f>IF(AND($H656="ATMOS DISTILLATION",ISNUMBER(SEARCH("VPS",$I656))=FALSE,LEFT($I656,6)&lt;&gt;"VACUUM"),"CDU",IF($H656="FLUID CAT CRACKING","FCC",IF(OR($H656="HYDROCRACKING",$H656="RESID_HYDROCRACKING"),"Hydrocracker",IF($H656="REFORMING","Reformer",""))))</f>
        <v/>
      </c>
      <c r="H656" s="6" t="s">
        <v>460</v>
      </c>
      <c r="I656" s="6" t="s">
        <v>461</v>
      </c>
      <c r="J656" s="6" t="s">
        <v>345</v>
      </c>
      <c r="K656" s="10">
        <v>13.86</v>
      </c>
      <c r="L656" s="10">
        <v>33</v>
      </c>
      <c r="M656" s="6" t="s">
        <v>386</v>
      </c>
    </row>
    <row r="657" spans="1:13">
      <c r="A657" s="6">
        <v>2023</v>
      </c>
      <c r="B657" s="6">
        <v>3</v>
      </c>
      <c r="C657" s="6" t="s">
        <v>61</v>
      </c>
      <c r="D657" s="6" t="s">
        <v>324</v>
      </c>
      <c r="E657" s="6" t="s">
        <v>388</v>
      </c>
      <c r="F657" s="6" t="str">
        <f>IF($M657="PADD I","PADD 1",IF($M657="PADD II","PADD 2",IF($M657="PADD III","PADD 3",IF($M657="PADD IV","PADD 4",IF($M657="PADD V","PADD 5","")))))</f>
        <v>PADD 3</v>
      </c>
      <c r="G657" s="6">
        <f>IF(AND($H657="ATMOS DISTILLATION",ISNUMBER(SEARCH("VPS",$I657))=FALSE,LEFT($I657,6)&lt;&gt;"VACUUM"),"CDU",IF($H657="FLUID CAT CRACKING","FCC",IF(OR($H657="HYDROCRACKING",$H657="RESID_HYDROCRACKING"),"Hydrocracker",IF($H657="REFORMING","Reformer",""))))</f>
        <v/>
      </c>
      <c r="H657" s="6" t="s">
        <v>43</v>
      </c>
      <c r="I657" s="6" t="s">
        <v>644</v>
      </c>
      <c r="J657" s="6" t="s">
        <v>349</v>
      </c>
      <c r="K657" s="10">
        <v>13.8</v>
      </c>
      <c r="L657" s="10">
        <v>60</v>
      </c>
      <c r="M657" s="6" t="s">
        <v>371</v>
      </c>
    </row>
    <row r="658" spans="1:13">
      <c r="A658" s="6">
        <v>2023</v>
      </c>
      <c r="B658" s="6">
        <v>3</v>
      </c>
      <c r="C658" s="6" t="s">
        <v>61</v>
      </c>
      <c r="D658" s="6" t="s">
        <v>511</v>
      </c>
      <c r="E658" s="6" t="s">
        <v>405</v>
      </c>
      <c r="F658" s="6" t="str">
        <f>IF($M658="PADD I","PADD 1",IF($M658="PADD II","PADD 2",IF($M658="PADD III","PADD 3",IF($M658="PADD IV","PADD 4",IF($M658="PADD V","PADD 5","")))))</f>
        <v>PADD 3</v>
      </c>
      <c r="G658" s="6">
        <f>IF(AND($H658="ATMOS DISTILLATION",ISNUMBER(SEARCH("VPS",$I658))=FALSE,LEFT($I658,6)&lt;&gt;"VACUUM"),"CDU",IF($H658="FLUID CAT CRACKING","FCC",IF(OR($H658="HYDROCRACKING",$H658="RESID_HYDROCRACKING"),"Hydrocracker",IF($H658="REFORMING","Reformer",""))))</f>
        <v/>
      </c>
      <c r="H658" s="6" t="s">
        <v>378</v>
      </c>
      <c r="I658" s="6" t="s">
        <v>593</v>
      </c>
      <c r="J658" s="6" t="s">
        <v>349</v>
      </c>
      <c r="K658" s="10">
        <v>13.65</v>
      </c>
      <c r="L658" s="10">
        <v>39</v>
      </c>
      <c r="M658" s="6" t="s">
        <v>371</v>
      </c>
    </row>
    <row r="659" spans="1:13">
      <c r="A659" s="6">
        <v>2023</v>
      </c>
      <c r="B659" s="6">
        <v>3</v>
      </c>
      <c r="C659" s="6" t="s">
        <v>61</v>
      </c>
      <c r="D659" s="6" t="s">
        <v>387</v>
      </c>
      <c r="E659" s="6" t="s">
        <v>388</v>
      </c>
      <c r="F659" s="6" t="str">
        <f>IF($M659="PADD I","PADD 1",IF($M659="PADD II","PADD 2",IF($M659="PADD III","PADD 3",IF($M659="PADD IV","PADD 4",IF($M659="PADD V","PADD 5","")))))</f>
        <v>PADD 3</v>
      </c>
      <c r="G659" s="6">
        <f>IF(AND($H659="ATMOS DISTILLATION",ISNUMBER(SEARCH("VPS",$I659))=FALSE,LEFT($I659,6)&lt;&gt;"VACUUM"),"CDU",IF($H659="FLUID CAT CRACKING","FCC",IF(OR($H659="HYDROCRACKING",$H659="RESID_HYDROCRACKING"),"Hydrocracker",IF($H659="REFORMING","Reformer",""))))</f>
        <v/>
      </c>
      <c r="H659" s="6" t="s">
        <v>435</v>
      </c>
      <c r="I659" s="6" t="s">
        <v>595</v>
      </c>
      <c r="J659" s="6" t="s">
        <v>349</v>
      </c>
      <c r="K659" s="10">
        <v>13.5</v>
      </c>
      <c r="L659" s="10">
        <v>13.5</v>
      </c>
      <c r="M659" s="6" t="s">
        <v>371</v>
      </c>
    </row>
    <row r="660" spans="1:13">
      <c r="A660" s="6">
        <v>2023</v>
      </c>
      <c r="B660" s="6">
        <v>3</v>
      </c>
      <c r="C660" s="6" t="s">
        <v>61</v>
      </c>
      <c r="D660" s="6" t="s">
        <v>346</v>
      </c>
      <c r="E660" s="6" t="s">
        <v>383</v>
      </c>
      <c r="F660" s="6" t="str">
        <f>IF($M660="PADD I","PADD 1",IF($M660="PADD II","PADD 2",IF($M660="PADD III","PADD 3",IF($M660="PADD IV","PADD 4",IF($M660="PADD V","PADD 5","")))))</f>
        <v>PADD 2</v>
      </c>
      <c r="G660" s="6" t="str">
        <f>IF(AND($H660="ATMOS DISTILLATION",ISNUMBER(SEARCH("VPS",$I660))=FALSE,LEFT($I660,6)&lt;&gt;"VACUUM"),"CDU",IF($H660="FLUID CAT CRACKING","FCC",IF(OR($H660="HYDROCRACKING",$H660="RESID_HYDROCRACKING"),"Hydrocracker",IF($H660="REFORMING","Reformer",""))))</f>
        <v>Hydrocracker</v>
      </c>
      <c r="H660" s="6" t="s">
        <v>444</v>
      </c>
      <c r="I660" s="6" t="s">
        <v>463</v>
      </c>
      <c r="J660" s="6" t="s">
        <v>349</v>
      </c>
      <c r="K660" s="10">
        <v>13.44</v>
      </c>
      <c r="L660" s="10">
        <v>32</v>
      </c>
      <c r="M660" s="6" t="s">
        <v>375</v>
      </c>
    </row>
    <row r="661" spans="1:13">
      <c r="A661" s="6">
        <v>2023</v>
      </c>
      <c r="B661" s="6">
        <v>3</v>
      </c>
      <c r="C661" s="6" t="s">
        <v>61</v>
      </c>
      <c r="D661" s="6" t="s">
        <v>576</v>
      </c>
      <c r="E661" s="6" t="s">
        <v>369</v>
      </c>
      <c r="F661" s="6" t="str">
        <f>IF($M661="PADD I","PADD 1",IF($M661="PADD II","PADD 2",IF($M661="PADD III","PADD 3",IF($M661="PADD IV","PADD 4",IF($M661="PADD V","PADD 5","")))))</f>
        <v>PADD 3</v>
      </c>
      <c r="G661" s="6">
        <f>IF(AND($H661="ATMOS DISTILLATION",ISNUMBER(SEARCH("VPS",$I661))=FALSE,LEFT($I661,6)&lt;&gt;"VACUUM"),"CDU",IF($H661="FLUID CAT CRACKING","FCC",IF(OR($H661="HYDROCRACKING",$H661="RESID_HYDROCRACKING"),"Hydrocracker",IF($H661="REFORMING","Reformer",""))))</f>
        <v/>
      </c>
      <c r="H661" s="6" t="s">
        <v>43</v>
      </c>
      <c r="I661" s="6" t="s">
        <v>656</v>
      </c>
      <c r="J661" s="6" t="s">
        <v>349</v>
      </c>
      <c r="K661" s="10">
        <v>13</v>
      </c>
      <c r="L661" s="10">
        <v>13</v>
      </c>
      <c r="M661" s="6" t="s">
        <v>371</v>
      </c>
    </row>
    <row r="662" spans="1:13">
      <c r="A662" s="6">
        <v>2023</v>
      </c>
      <c r="B662" s="6">
        <v>3</v>
      </c>
      <c r="C662" s="6" t="s">
        <v>61</v>
      </c>
      <c r="D662" s="6" t="s">
        <v>420</v>
      </c>
      <c r="E662" s="6" t="s">
        <v>373</v>
      </c>
      <c r="F662" s="6" t="str">
        <f>IF($M662="PADD I","PADD 1",IF($M662="PADD II","PADD 2",IF($M662="PADD III","PADD 3",IF($M662="PADD IV","PADD 4",IF($M662="PADD V","PADD 5","")))))</f>
        <v>PADD 2</v>
      </c>
      <c r="G662" s="6" t="str">
        <f>IF(AND($H662="ATMOS DISTILLATION",ISNUMBER(SEARCH("VPS",$I662))=FALSE,LEFT($I662,6)&lt;&gt;"VACUUM"),"CDU",IF($H662="FLUID CAT CRACKING","FCC",IF(OR($H662="HYDROCRACKING",$H662="RESID_HYDROCRACKING"),"Hydrocracker",IF($H662="REFORMING","Reformer",""))))</f>
        <v>FCC</v>
      </c>
      <c r="H662" s="6" t="s">
        <v>376</v>
      </c>
      <c r="I662" s="6" t="s">
        <v>105</v>
      </c>
      <c r="J662" s="6" t="s">
        <v>345</v>
      </c>
      <c r="K662" s="10">
        <v>13</v>
      </c>
      <c r="L662" s="10">
        <v>13</v>
      </c>
      <c r="M662" s="6" t="s">
        <v>375</v>
      </c>
    </row>
    <row r="663" spans="1:13">
      <c r="A663" s="6">
        <v>2023</v>
      </c>
      <c r="B663" s="6">
        <v>3</v>
      </c>
      <c r="C663" s="6" t="s">
        <v>61</v>
      </c>
      <c r="D663" s="6" t="s">
        <v>465</v>
      </c>
      <c r="E663" s="6" t="s">
        <v>369</v>
      </c>
      <c r="F663" s="6" t="str">
        <f>IF($M663="PADD I","PADD 1",IF($M663="PADD II","PADD 2",IF($M663="PADD III","PADD 3",IF($M663="PADD IV","PADD 4",IF($M663="PADD V","PADD 5","")))))</f>
        <v>PADD 5</v>
      </c>
      <c r="G663" s="6">
        <f>IF(AND($H663="ATMOS DISTILLATION",ISNUMBER(SEARCH("VPS",$I663))=FALSE,LEFT($I663,6)&lt;&gt;"VACUUM"),"CDU",IF($H663="FLUID CAT CRACKING","FCC",IF(OR($H663="HYDROCRACKING",$H663="RESID_HYDROCRACKING"),"Hydrocracker",IF($H663="REFORMING","Reformer",""))))</f>
        <v/>
      </c>
      <c r="H663" s="6" t="s">
        <v>43</v>
      </c>
      <c r="I663" s="6" t="s">
        <v>466</v>
      </c>
      <c r="J663" s="6" t="s">
        <v>349</v>
      </c>
      <c r="K663" s="10">
        <v>13</v>
      </c>
      <c r="L663" s="10">
        <v>50</v>
      </c>
      <c r="M663" s="6" t="s">
        <v>386</v>
      </c>
    </row>
    <row r="664" spans="1:13">
      <c r="A664" s="6">
        <v>2023</v>
      </c>
      <c r="B664" s="6">
        <v>3</v>
      </c>
      <c r="C664" s="6" t="s">
        <v>61</v>
      </c>
      <c r="D664" s="6" t="s">
        <v>576</v>
      </c>
      <c r="E664" s="6" t="s">
        <v>369</v>
      </c>
      <c r="F664" s="6" t="str">
        <f>IF($M664="PADD I","PADD 1",IF($M664="PADD II","PADD 2",IF($M664="PADD III","PADD 3",IF($M664="PADD IV","PADD 4",IF($M664="PADD V","PADD 5","")))))</f>
        <v>PADD 3</v>
      </c>
      <c r="G664" s="6">
        <f>IF(AND($H664="ATMOS DISTILLATION",ISNUMBER(SEARCH("VPS",$I664))=FALSE,LEFT($I664,6)&lt;&gt;"VACUUM"),"CDU",IF($H664="FLUID CAT CRACKING","FCC",IF(OR($H664="HYDROCRACKING",$H664="RESID_HYDROCRACKING"),"Hydrocracker",IF($H664="REFORMING","Reformer",""))))</f>
        <v/>
      </c>
      <c r="H664" s="6" t="s">
        <v>568</v>
      </c>
      <c r="I664" s="6" t="s">
        <v>604</v>
      </c>
      <c r="J664" s="6" t="s">
        <v>345</v>
      </c>
      <c r="K664" s="10">
        <v>13</v>
      </c>
      <c r="L664" s="10">
        <v>25</v>
      </c>
      <c r="M664" s="6" t="s">
        <v>371</v>
      </c>
    </row>
    <row r="665" spans="1:13">
      <c r="A665" s="6">
        <v>2023</v>
      </c>
      <c r="B665" s="6">
        <v>3</v>
      </c>
      <c r="C665" s="6" t="s">
        <v>61</v>
      </c>
      <c r="D665" s="6" t="s">
        <v>468</v>
      </c>
      <c r="E665" s="6" t="s">
        <v>369</v>
      </c>
      <c r="F665" s="6" t="str">
        <f>IF($M665="PADD I","PADD 1",IF($M665="PADD II","PADD 2",IF($M665="PADD III","PADD 3",IF($M665="PADD IV","PADD 4",IF($M665="PADD V","PADD 5","")))))</f>
        <v>PADD 3</v>
      </c>
      <c r="G665" s="6" t="str">
        <f>IF(AND($H665="ATMOS DISTILLATION",ISNUMBER(SEARCH("VPS",$I665))=FALSE,LEFT($I665,6)&lt;&gt;"VACUUM"),"CDU",IF($H665="FLUID CAT CRACKING","FCC",IF(OR($H665="HYDROCRACKING",$H665="RESID_HYDROCRACKING"),"Hydrocracker",IF($H665="REFORMING","Reformer",""))))</f>
        <v>FCC</v>
      </c>
      <c r="H665" s="6" t="s">
        <v>376</v>
      </c>
      <c r="I665" s="6" t="s">
        <v>469</v>
      </c>
      <c r="J665" s="6" t="s">
        <v>349</v>
      </c>
      <c r="K665" s="10">
        <v>12.6</v>
      </c>
      <c r="L665" s="10">
        <v>30</v>
      </c>
      <c r="M665" s="6" t="s">
        <v>371</v>
      </c>
    </row>
    <row r="666" spans="1:13">
      <c r="A666" s="6">
        <v>2023</v>
      </c>
      <c r="B666" s="6">
        <v>3</v>
      </c>
      <c r="C666" s="6" t="s">
        <v>61</v>
      </c>
      <c r="D666" s="6" t="s">
        <v>346</v>
      </c>
      <c r="E666" s="6" t="s">
        <v>383</v>
      </c>
      <c r="F666" s="6" t="str">
        <f>IF($M666="PADD I","PADD 1",IF($M666="PADD II","PADD 2",IF($M666="PADD III","PADD 3",IF($M666="PADD IV","PADD 4",IF($M666="PADD V","PADD 5","")))))</f>
        <v>PADD 2</v>
      </c>
      <c r="G666" s="6" t="str">
        <f>IF(AND($H666="ATMOS DISTILLATION",ISNUMBER(SEARCH("VPS",$I666))=FALSE,LEFT($I666,6)&lt;&gt;"VACUUM"),"CDU",IF($H666="FLUID CAT CRACKING","FCC",IF(OR($H666="HYDROCRACKING",$H666="RESID_HYDROCRACKING"),"Hydrocracker",IF($H666="REFORMING","Reformer",""))))</f>
        <v>Reformer</v>
      </c>
      <c r="H666" s="6" t="s">
        <v>421</v>
      </c>
      <c r="I666" s="6" t="s">
        <v>471</v>
      </c>
      <c r="J666" s="6" t="s">
        <v>349</v>
      </c>
      <c r="K666" s="10">
        <v>12.6</v>
      </c>
      <c r="L666" s="10">
        <v>30</v>
      </c>
      <c r="M666" s="6" t="s">
        <v>375</v>
      </c>
    </row>
    <row r="667" spans="1:13">
      <c r="A667" s="6">
        <v>2023</v>
      </c>
      <c r="B667" s="6">
        <v>3</v>
      </c>
      <c r="C667" s="6" t="s">
        <v>61</v>
      </c>
      <c r="D667" s="6" t="s">
        <v>615</v>
      </c>
      <c r="E667" s="6" t="s">
        <v>405</v>
      </c>
      <c r="F667" s="6" t="str">
        <f>IF($M667="PADD I","PADD 1",IF($M667="PADD II","PADD 2",IF($M667="PADD III","PADD 3",IF($M667="PADD IV","PADD 4",IF($M667="PADD V","PADD 5","")))))</f>
        <v>PADD 5</v>
      </c>
      <c r="G667" s="6" t="str">
        <f>IF(AND($H667="ATMOS DISTILLATION",ISNUMBER(SEARCH("VPS",$I667))=FALSE,LEFT($I667,6)&lt;&gt;"VACUUM"),"CDU",IF($H667="FLUID CAT CRACKING","FCC",IF(OR($H667="HYDROCRACKING",$H667="RESID_HYDROCRACKING"),"Hydrocracker",IF($H667="REFORMING","Reformer",""))))</f>
        <v>Hydrocracker</v>
      </c>
      <c r="H667" s="6" t="s">
        <v>444</v>
      </c>
      <c r="I667" s="6" t="s">
        <v>14</v>
      </c>
      <c r="J667" s="6" t="s">
        <v>349</v>
      </c>
      <c r="K667" s="10">
        <v>12.6</v>
      </c>
      <c r="L667" s="10">
        <v>36</v>
      </c>
      <c r="M667" s="6" t="s">
        <v>386</v>
      </c>
    </row>
    <row r="668" spans="1:13">
      <c r="A668" s="6">
        <v>2023</v>
      </c>
      <c r="B668" s="6">
        <v>3</v>
      </c>
      <c r="C668" s="6" t="s">
        <v>61</v>
      </c>
      <c r="D668" s="6" t="s">
        <v>484</v>
      </c>
      <c r="E668" s="6" t="s">
        <v>409</v>
      </c>
      <c r="F668" s="6" t="str">
        <f>IF($M668="PADD I","PADD 1",IF($M668="PADD II","PADD 2",IF($M668="PADD III","PADD 3",IF($M668="PADD IV","PADD 4",IF($M668="PADD V","PADD 5","")))))</f>
        <v>PADD 3</v>
      </c>
      <c r="G668" s="6">
        <f>IF(AND($H668="ATMOS DISTILLATION",ISNUMBER(SEARCH("VPS",$I668))=FALSE,LEFT($I668,6)&lt;&gt;"VACUUM"),"CDU",IF($H668="FLUID CAT CRACKING","FCC",IF(OR($H668="HYDROCRACKING",$H668="RESID_HYDROCRACKING"),"Hydrocracker",IF($H668="REFORMING","Reformer",""))))</f>
        <v/>
      </c>
      <c r="H668" s="6" t="s">
        <v>43</v>
      </c>
      <c r="I668" s="6" t="s">
        <v>485</v>
      </c>
      <c r="J668" s="6" t="s">
        <v>345</v>
      </c>
      <c r="K668" s="10">
        <v>12.54</v>
      </c>
      <c r="L668" s="10">
        <v>66</v>
      </c>
      <c r="M668" s="6" t="s">
        <v>371</v>
      </c>
    </row>
    <row r="669" spans="1:13">
      <c r="A669" s="6">
        <v>2023</v>
      </c>
      <c r="B669" s="6">
        <v>3</v>
      </c>
      <c r="C669" s="6" t="s">
        <v>61</v>
      </c>
      <c r="D669" s="6" t="s">
        <v>675</v>
      </c>
      <c r="E669" s="6" t="s">
        <v>452</v>
      </c>
      <c r="F669" s="6" t="str">
        <f>IF($M669="PADD I","PADD 1",IF($M669="PADD II","PADD 2",IF($M669="PADD III","PADD 3",IF($M669="PADD IV","PADD 4",IF($M669="PADD V","PADD 5","")))))</f>
        <v>PADD 2</v>
      </c>
      <c r="G669" s="6">
        <f>IF(AND($H669="ATMOS DISTILLATION",ISNUMBER(SEARCH("VPS",$I669))=FALSE,LEFT($I669,6)&lt;&gt;"VACUUM"),"CDU",IF($H669="FLUID CAT CRACKING","FCC",IF(OR($H669="HYDROCRACKING",$H669="RESID_HYDROCRACKING"),"Hydrocracker",IF($H669="REFORMING","Reformer",""))))</f>
        <v/>
      </c>
      <c r="H669" s="6" t="s">
        <v>568</v>
      </c>
      <c r="I669" s="6" t="s">
        <v>604</v>
      </c>
      <c r="J669" s="6" t="s">
        <v>349</v>
      </c>
      <c r="K669" s="10">
        <v>12.15</v>
      </c>
      <c r="L669" s="10">
        <v>15</v>
      </c>
      <c r="M669" s="6" t="s">
        <v>375</v>
      </c>
    </row>
    <row r="670" spans="1:13">
      <c r="A670" s="6">
        <v>2023</v>
      </c>
      <c r="B670" s="6">
        <v>3</v>
      </c>
      <c r="C670" s="6" t="s">
        <v>61</v>
      </c>
      <c r="D670" s="6" t="s">
        <v>576</v>
      </c>
      <c r="E670" s="6" t="s">
        <v>369</v>
      </c>
      <c r="F670" s="6" t="str">
        <f>IF($M670="PADD I","PADD 1",IF($M670="PADD II","PADD 2",IF($M670="PADD III","PADD 3",IF($M670="PADD IV","PADD 4",IF($M670="PADD V","PADD 5","")))))</f>
        <v>PADD 3</v>
      </c>
      <c r="G670" s="6" t="str">
        <f>IF(AND($H670="ATMOS DISTILLATION",ISNUMBER(SEARCH("VPS",$I670))=FALSE,LEFT($I670,6)&lt;&gt;"VACUUM"),"CDU",IF($H670="FLUID CAT CRACKING","FCC",IF(OR($H670="HYDROCRACKING",$H670="RESID_HYDROCRACKING"),"Hydrocracker",IF($H670="REFORMING","Reformer",""))))</f>
        <v>Reformer</v>
      </c>
      <c r="H670" s="6" t="s">
        <v>421</v>
      </c>
      <c r="I670" s="6" t="s">
        <v>483</v>
      </c>
      <c r="J670" s="6" t="s">
        <v>349</v>
      </c>
      <c r="K670" s="10">
        <v>12</v>
      </c>
      <c r="L670" s="10">
        <v>12</v>
      </c>
      <c r="M670" s="6" t="s">
        <v>371</v>
      </c>
    </row>
    <row r="671" spans="1:13">
      <c r="A671" s="6">
        <v>2023</v>
      </c>
      <c r="B671" s="6">
        <v>3</v>
      </c>
      <c r="C671" s="6" t="s">
        <v>61</v>
      </c>
      <c r="D671" s="6" t="s">
        <v>462</v>
      </c>
      <c r="E671" s="6" t="s">
        <v>438</v>
      </c>
      <c r="F671" s="6" t="str">
        <f>IF($M671="PADD I","PADD 1",IF($M671="PADD II","PADD 2",IF($M671="PADD III","PADD 3",IF($M671="PADD IV","PADD 4",IF($M671="PADD V","PADD 5","")))))</f>
        <v>PADD 4</v>
      </c>
      <c r="G671" s="6">
        <f>IF(AND($H671="ATMOS DISTILLATION",ISNUMBER(SEARCH("VPS",$I671))=FALSE,LEFT($I671,6)&lt;&gt;"VACUUM"),"CDU",IF($H671="FLUID CAT CRACKING","FCC",IF(OR($H671="HYDROCRACKING",$H671="RESID_HYDROCRACKING"),"Hydrocracker",IF($H671="REFORMING","Reformer",""))))</f>
        <v/>
      </c>
      <c r="H671" s="6" t="s">
        <v>43</v>
      </c>
      <c r="I671" s="6" t="s">
        <v>535</v>
      </c>
      <c r="J671" s="6" t="s">
        <v>345</v>
      </c>
      <c r="K671" s="10">
        <v>12</v>
      </c>
      <c r="L671" s="10">
        <v>12</v>
      </c>
      <c r="M671" s="6" t="s">
        <v>430</v>
      </c>
    </row>
    <row r="672" spans="1:13">
      <c r="A672" s="6">
        <v>2023</v>
      </c>
      <c r="B672" s="6">
        <v>3</v>
      </c>
      <c r="C672" s="6" t="s">
        <v>61</v>
      </c>
      <c r="D672" s="6" t="s">
        <v>496</v>
      </c>
      <c r="E672" s="6" t="s">
        <v>388</v>
      </c>
      <c r="F672" s="6" t="str">
        <f>IF($M672="PADD I","PADD 1",IF($M672="PADD II","PADD 2",IF($M672="PADD III","PADD 3",IF($M672="PADD IV","PADD 4",IF($M672="PADD V","PADD 5","")))))</f>
        <v>PADD 2</v>
      </c>
      <c r="G672" s="6">
        <f>IF(AND($H672="ATMOS DISTILLATION",ISNUMBER(SEARCH("VPS",$I672))=FALSE,LEFT($I672,6)&lt;&gt;"VACUUM"),"CDU",IF($H672="FLUID CAT CRACKING","FCC",IF(OR($H672="HYDROCRACKING",$H672="RESID_HYDROCRACKING"),"Hydrocracker",IF($H672="REFORMING","Reformer",""))))</f>
        <v/>
      </c>
      <c r="H672" s="6" t="s">
        <v>378</v>
      </c>
      <c r="I672" s="6" t="s">
        <v>536</v>
      </c>
      <c r="J672" s="6" t="s">
        <v>349</v>
      </c>
      <c r="K672" s="10">
        <v>12</v>
      </c>
      <c r="L672" s="10">
        <v>12</v>
      </c>
      <c r="M672" s="6" t="s">
        <v>375</v>
      </c>
    </row>
    <row r="673" spans="1:13">
      <c r="A673" s="6">
        <v>2023</v>
      </c>
      <c r="B673" s="6">
        <v>3</v>
      </c>
      <c r="C673" s="6" t="s">
        <v>61</v>
      </c>
      <c r="D673" s="6" t="s">
        <v>602</v>
      </c>
      <c r="E673" s="6" t="s">
        <v>369</v>
      </c>
      <c r="F673" s="6" t="str">
        <f>IF($M673="PADD I","PADD 1",IF($M673="PADD II","PADD 2",IF($M673="PADD III","PADD 3",IF($M673="PADD IV","PADD 4",IF($M673="PADD V","PADD 5","")))))</f>
        <v>PADD 2</v>
      </c>
      <c r="G673" s="6">
        <f>IF(AND($H673="ATMOS DISTILLATION",ISNUMBER(SEARCH("VPS",$I673))=FALSE,LEFT($I673,6)&lt;&gt;"VACUUM"),"CDU",IF($H673="FLUID CAT CRACKING","FCC",IF(OR($H673="HYDROCRACKING",$H673="RESID_HYDROCRACKING"),"Hydrocracker",IF($H673="REFORMING","Reformer",""))))</f>
        <v/>
      </c>
      <c r="H673" s="6" t="s">
        <v>43</v>
      </c>
      <c r="I673" s="6" t="s">
        <v>708</v>
      </c>
      <c r="J673" s="6" t="s">
        <v>349</v>
      </c>
      <c r="K673" s="10">
        <v>11.84</v>
      </c>
      <c r="L673" s="10">
        <v>16</v>
      </c>
      <c r="M673" s="6" t="s">
        <v>375</v>
      </c>
    </row>
    <row r="674" spans="1:13">
      <c r="A674" s="6">
        <v>2023</v>
      </c>
      <c r="B674" s="6">
        <v>3</v>
      </c>
      <c r="C674" s="6" t="s">
        <v>61</v>
      </c>
      <c r="D674" s="6" t="s">
        <v>511</v>
      </c>
      <c r="E674" s="6" t="s">
        <v>405</v>
      </c>
      <c r="F674" s="6" t="str">
        <f>IF($M674="PADD I","PADD 1",IF($M674="PADD II","PADD 2",IF($M674="PADD III","PADD 3",IF($M674="PADD IV","PADD 4",IF($M674="PADD V","PADD 5","")))))</f>
        <v>PADD 3</v>
      </c>
      <c r="G674" s="6" t="str">
        <f>IF(AND($H674="ATMOS DISTILLATION",ISNUMBER(SEARCH("VPS",$I674))=FALSE,LEFT($I674,6)&lt;&gt;"VACUUM"),"CDU",IF($H674="FLUID CAT CRACKING","FCC",IF(OR($H674="HYDROCRACKING",$H674="RESID_HYDROCRACKING"),"Hydrocracker",IF($H674="REFORMING","Reformer",""))))</f>
        <v>Hydrocracker</v>
      </c>
      <c r="H674" s="6" t="s">
        <v>444</v>
      </c>
      <c r="I674" s="6" t="s">
        <v>14</v>
      </c>
      <c r="J674" s="6" t="s">
        <v>345</v>
      </c>
      <c r="K674" s="10">
        <v>11.5</v>
      </c>
      <c r="L674" s="10">
        <v>50</v>
      </c>
      <c r="M674" s="6" t="s">
        <v>371</v>
      </c>
    </row>
    <row r="675" spans="1:13">
      <c r="A675" s="6">
        <v>2023</v>
      </c>
      <c r="B675" s="6">
        <v>3</v>
      </c>
      <c r="C675" s="6" t="s">
        <v>61</v>
      </c>
      <c r="D675" s="6" t="s">
        <v>319</v>
      </c>
      <c r="E675" s="6" t="s">
        <v>665</v>
      </c>
      <c r="F675" s="6" t="str">
        <f>IF($M675="PADD I","PADD 1",IF($M675="PADD II","PADD 2",IF($M675="PADD III","PADD 3",IF($M675="PADD IV","PADD 4",IF($M675="PADD V","PADD 5","")))))</f>
        <v>PADD 3</v>
      </c>
      <c r="G675" s="6" t="str">
        <f>IF(AND($H675="ATMOS DISTILLATION",ISNUMBER(SEARCH("VPS",$I675))=FALSE,LEFT($I675,6)&lt;&gt;"VACUUM"),"CDU",IF($H675="FLUID CAT CRACKING","FCC",IF(OR($H675="HYDROCRACKING",$H675="RESID_HYDROCRACKING"),"Hydrocracker",IF($H675="REFORMING","Reformer",""))))</f>
        <v>Hydrocracker</v>
      </c>
      <c r="H675" s="6" t="s">
        <v>444</v>
      </c>
      <c r="I675" s="6" t="s">
        <v>14</v>
      </c>
      <c r="J675" s="6" t="s">
        <v>345</v>
      </c>
      <c r="K675" s="10">
        <v>11.44</v>
      </c>
      <c r="L675" s="10">
        <v>44</v>
      </c>
      <c r="M675" s="6" t="s">
        <v>371</v>
      </c>
    </row>
    <row r="676" spans="1:13">
      <c r="A676" s="6">
        <v>2023</v>
      </c>
      <c r="B676" s="6">
        <v>3</v>
      </c>
      <c r="C676" s="6" t="s">
        <v>61</v>
      </c>
      <c r="D676" s="6" t="s">
        <v>680</v>
      </c>
      <c r="E676" s="6" t="s">
        <v>681</v>
      </c>
      <c r="F676" s="6" t="str">
        <f>IF($M676="PADD I","PADD 1",IF($M676="PADD II","PADD 2",IF($M676="PADD III","PADD 3",IF($M676="PADD IV","PADD 4",IF($M676="PADD V","PADD 5","")))))</f>
        <v>PADD 3</v>
      </c>
      <c r="G676" s="6">
        <f>IF(AND($H676="ATMOS DISTILLATION",ISNUMBER(SEARCH("VPS",$I676))=FALSE,LEFT($I676,6)&lt;&gt;"VACUUM"),"CDU",IF($H676="FLUID CAT CRACKING","FCC",IF(OR($H676="HYDROCRACKING",$H676="RESID_HYDROCRACKING"),"Hydrocracker",IF($H676="REFORMING","Reformer",""))))</f>
        <v/>
      </c>
      <c r="H676" s="6" t="s">
        <v>43</v>
      </c>
      <c r="I676" s="6" t="s">
        <v>709</v>
      </c>
      <c r="J676" s="6" t="s">
        <v>349</v>
      </c>
      <c r="K676" s="10">
        <v>11.28</v>
      </c>
      <c r="L676" s="10">
        <v>12</v>
      </c>
      <c r="M676" s="6" t="s">
        <v>371</v>
      </c>
    </row>
    <row r="677" spans="1:13">
      <c r="A677" s="6">
        <v>2023</v>
      </c>
      <c r="B677" s="6">
        <v>3</v>
      </c>
      <c r="C677" s="6" t="s">
        <v>61</v>
      </c>
      <c r="D677" s="6" t="s">
        <v>710</v>
      </c>
      <c r="E677" s="6" t="s">
        <v>711</v>
      </c>
      <c r="F677" s="6" t="str">
        <f>IF($M677="PADD I","PADD 1",IF($M677="PADD II","PADD 2",IF($M677="PADD III","PADD 3",IF($M677="PADD IV","PADD 4",IF($M677="PADD V","PADD 5","")))))</f>
        <v>PADD 3</v>
      </c>
      <c r="G677" s="6" t="str">
        <f>IF(AND($H677="ATMOS DISTILLATION",ISNUMBER(SEARCH("VPS",$I677))=FALSE,LEFT($I677,6)&lt;&gt;"VACUUM"),"CDU",IF($H677="FLUID CAT CRACKING","FCC",IF(OR($H677="HYDROCRACKING",$H677="RESID_HYDROCRACKING"),"Hydrocracker",IF($H677="REFORMING","Reformer",""))))</f>
        <v>CDU</v>
      </c>
      <c r="H677" s="6" t="s">
        <v>38</v>
      </c>
      <c r="I677" s="6" t="s">
        <v>712</v>
      </c>
      <c r="J677" s="6" t="s">
        <v>349</v>
      </c>
      <c r="K677" s="10">
        <v>11.25</v>
      </c>
      <c r="L677" s="10">
        <v>25</v>
      </c>
      <c r="M677" s="6" t="s">
        <v>371</v>
      </c>
    </row>
    <row r="678" spans="1:13">
      <c r="A678" s="6">
        <v>2023</v>
      </c>
      <c r="B678" s="6">
        <v>3</v>
      </c>
      <c r="C678" s="6" t="s">
        <v>61</v>
      </c>
      <c r="D678" s="6" t="s">
        <v>420</v>
      </c>
      <c r="E678" s="6" t="s">
        <v>373</v>
      </c>
      <c r="F678" s="6" t="str">
        <f>IF($M678="PADD I","PADD 1",IF($M678="PADD II","PADD 2",IF($M678="PADD III","PADD 3",IF($M678="PADD IV","PADD 4",IF($M678="PADD V","PADD 5","")))))</f>
        <v>PADD 2</v>
      </c>
      <c r="G678" s="6">
        <f>IF(AND($H678="ATMOS DISTILLATION",ISNUMBER(SEARCH("VPS",$I678))=FALSE,LEFT($I678,6)&lt;&gt;"VACUUM"),"CDU",IF($H678="FLUID CAT CRACKING","FCC",IF(OR($H678="HYDROCRACKING",$H678="RESID_HYDROCRACKING"),"Hydrocracker",IF($H678="REFORMING","Reformer",""))))</f>
        <v/>
      </c>
      <c r="H678" s="6" t="s">
        <v>43</v>
      </c>
      <c r="I678" s="6" t="s">
        <v>546</v>
      </c>
      <c r="J678" s="6" t="s">
        <v>345</v>
      </c>
      <c r="K678" s="10">
        <v>11</v>
      </c>
      <c r="L678" s="10">
        <v>11</v>
      </c>
      <c r="M678" s="6" t="s">
        <v>375</v>
      </c>
    </row>
    <row r="679" spans="1:13">
      <c r="A679" s="6">
        <v>2023</v>
      </c>
      <c r="B679" s="6">
        <v>3</v>
      </c>
      <c r="C679" s="6" t="s">
        <v>61</v>
      </c>
      <c r="D679" s="6" t="s">
        <v>434</v>
      </c>
      <c r="E679" s="6" t="s">
        <v>388</v>
      </c>
      <c r="F679" s="6" t="str">
        <f>IF($M679="PADD I","PADD 1",IF($M679="PADD II","PADD 2",IF($M679="PADD III","PADD 3",IF($M679="PADD IV","PADD 4",IF($M679="PADD V","PADD 5","")))))</f>
        <v>PADD 5</v>
      </c>
      <c r="G679" s="6" t="str">
        <f>IF(AND($H679="ATMOS DISTILLATION",ISNUMBER(SEARCH("VPS",$I679))=FALSE,LEFT($I679,6)&lt;&gt;"VACUUM"),"CDU",IF($H679="FLUID CAT CRACKING","FCC",IF(OR($H679="HYDROCRACKING",$H679="RESID_HYDROCRACKING"),"Hydrocracker",IF($H679="REFORMING","Reformer",""))))</f>
        <v>CDU</v>
      </c>
      <c r="H679" s="6" t="s">
        <v>38</v>
      </c>
      <c r="I679" s="6" t="s">
        <v>663</v>
      </c>
      <c r="J679" s="6" t="s">
        <v>345</v>
      </c>
      <c r="K679" s="10">
        <v>10.5</v>
      </c>
      <c r="L679" s="10">
        <v>105</v>
      </c>
      <c r="M679" s="6" t="s">
        <v>386</v>
      </c>
    </row>
    <row r="680" spans="1:13">
      <c r="A680" s="6">
        <v>2023</v>
      </c>
      <c r="B680" s="6">
        <v>3</v>
      </c>
      <c r="C680" s="6" t="s">
        <v>61</v>
      </c>
      <c r="D680" s="6" t="s">
        <v>680</v>
      </c>
      <c r="E680" s="6" t="s">
        <v>681</v>
      </c>
      <c r="F680" s="6" t="str">
        <f>IF($M680="PADD I","PADD 1",IF($M680="PADD II","PADD 2",IF($M680="PADD III","PADD 3",IF($M680="PADD IV","PADD 4",IF($M680="PADD V","PADD 5","")))))</f>
        <v>PADD 3</v>
      </c>
      <c r="G680" s="6">
        <f>IF(AND($H680="ATMOS DISTILLATION",ISNUMBER(SEARCH("VPS",$I680))=FALSE,LEFT($I680,6)&lt;&gt;"VACUUM"),"CDU",IF($H680="FLUID CAT CRACKING","FCC",IF(OR($H680="HYDROCRACKING",$H680="RESID_HYDROCRACKING"),"Hydrocracker",IF($H680="REFORMING","Reformer",""))))</f>
        <v/>
      </c>
      <c r="H680" s="6" t="s">
        <v>568</v>
      </c>
      <c r="I680" s="6" t="s">
        <v>713</v>
      </c>
      <c r="J680" s="6" t="s">
        <v>349</v>
      </c>
      <c r="K680" s="10">
        <v>10.34</v>
      </c>
      <c r="L680" s="10">
        <v>11</v>
      </c>
      <c r="M680" s="6" t="s">
        <v>371</v>
      </c>
    </row>
    <row r="681" spans="1:13">
      <c r="A681" s="6">
        <v>2023</v>
      </c>
      <c r="B681" s="6">
        <v>3</v>
      </c>
      <c r="C681" s="6" t="s">
        <v>61</v>
      </c>
      <c r="D681" s="6" t="s">
        <v>714</v>
      </c>
      <c r="E681" s="6" t="s">
        <v>405</v>
      </c>
      <c r="F681" s="6" t="str">
        <f>IF($M681="PADD I","PADD 1",IF($M681="PADD II","PADD 2",IF($M681="PADD III","PADD 3",IF($M681="PADD IV","PADD 4",IF($M681="PADD V","PADD 5","")))))</f>
        <v>PADD 3</v>
      </c>
      <c r="G681" s="6" t="str">
        <f>IF(AND($H681="ATMOS DISTILLATION",ISNUMBER(SEARCH("VPS",$I681))=FALSE,LEFT($I681,6)&lt;&gt;"VACUUM"),"CDU",IF($H681="FLUID CAT CRACKING","FCC",IF(OR($H681="HYDROCRACKING",$H681="RESID_HYDROCRACKING"),"Hydrocracker",IF($H681="REFORMING","Reformer",""))))</f>
        <v>Hydrocracker</v>
      </c>
      <c r="H681" s="6" t="s">
        <v>444</v>
      </c>
      <c r="I681" s="6" t="s">
        <v>14</v>
      </c>
      <c r="J681" s="6" t="s">
        <v>345</v>
      </c>
      <c r="K681" s="10">
        <v>10.325</v>
      </c>
      <c r="L681" s="10">
        <v>29.5</v>
      </c>
      <c r="M681" s="6" t="s">
        <v>371</v>
      </c>
    </row>
    <row r="682" spans="1:13">
      <c r="A682" s="6">
        <v>2023</v>
      </c>
      <c r="B682" s="6">
        <v>3</v>
      </c>
      <c r="C682" s="6" t="s">
        <v>61</v>
      </c>
      <c r="D682" s="6" t="s">
        <v>465</v>
      </c>
      <c r="E682" s="6" t="s">
        <v>369</v>
      </c>
      <c r="F682" s="6" t="str">
        <f>IF($M682="PADD I","PADD 1",IF($M682="PADD II","PADD 2",IF($M682="PADD III","PADD 3",IF($M682="PADD IV","PADD 4",IF($M682="PADD V","PADD 5","")))))</f>
        <v>PADD 5</v>
      </c>
      <c r="G682" s="6">
        <f>IF(AND($H682="ATMOS DISTILLATION",ISNUMBER(SEARCH("VPS",$I682))=FALSE,LEFT($I682,6)&lt;&gt;"VACUUM"),"CDU",IF($H682="FLUID CAT CRACKING","FCC",IF(OR($H682="HYDROCRACKING",$H682="RESID_HYDROCRACKING"),"Hydrocracker",IF($H682="REFORMING","Reformer",""))))</f>
        <v/>
      </c>
      <c r="H682" s="6" t="s">
        <v>43</v>
      </c>
      <c r="I682" s="6" t="s">
        <v>664</v>
      </c>
      <c r="J682" s="6" t="s">
        <v>349</v>
      </c>
      <c r="K682" s="10">
        <v>10.15</v>
      </c>
      <c r="L682" s="10">
        <v>35</v>
      </c>
      <c r="M682" s="6" t="s">
        <v>386</v>
      </c>
    </row>
    <row r="683" spans="1:13">
      <c r="A683" s="6">
        <v>2023</v>
      </c>
      <c r="B683" s="6">
        <v>3</v>
      </c>
      <c r="C683" s="6" t="s">
        <v>61</v>
      </c>
      <c r="D683" s="6" t="s">
        <v>437</v>
      </c>
      <c r="E683" s="6" t="s">
        <v>438</v>
      </c>
      <c r="F683" s="6" t="str">
        <f>IF($M683="PADD I","PADD 1",IF($M683="PADD II","PADD 2",IF($M683="PADD III","PADD 3",IF($M683="PADD IV","PADD 4",IF($M683="PADD V","PADD 5","")))))</f>
        <v>PADD 4</v>
      </c>
      <c r="G683" s="6">
        <f>IF(AND($H683="ATMOS DISTILLATION",ISNUMBER(SEARCH("VPS",$I683))=FALSE,LEFT($I683,6)&lt;&gt;"VACUUM"),"CDU",IF($H683="FLUID CAT CRACKING","FCC",IF(OR($H683="HYDROCRACKING",$H683="RESID_HYDROCRACKING"),"Hydrocracker",IF($H683="REFORMING","Reformer",""))))</f>
        <v/>
      </c>
      <c r="H683" s="6" t="s">
        <v>378</v>
      </c>
      <c r="I683" s="6" t="s">
        <v>556</v>
      </c>
      <c r="J683" s="6" t="s">
        <v>345</v>
      </c>
      <c r="K683" s="10">
        <v>10</v>
      </c>
      <c r="L683" s="10">
        <v>10</v>
      </c>
      <c r="M683" s="6" t="s">
        <v>430</v>
      </c>
    </row>
    <row r="684" spans="1:13">
      <c r="A684" s="6">
        <v>2023</v>
      </c>
      <c r="B684" s="6">
        <v>3</v>
      </c>
      <c r="C684" s="6" t="s">
        <v>61</v>
      </c>
      <c r="D684" s="6" t="s">
        <v>437</v>
      </c>
      <c r="E684" s="6" t="s">
        <v>438</v>
      </c>
      <c r="F684" s="6" t="str">
        <f>IF($M684="PADD I","PADD 1",IF($M684="PADD II","PADD 2",IF($M684="PADD III","PADD 3",IF($M684="PADD IV","PADD 4",IF($M684="PADD V","PADD 5","")))))</f>
        <v>PADD 4</v>
      </c>
      <c r="G684" s="6" t="str">
        <f>IF(AND($H684="ATMOS DISTILLATION",ISNUMBER(SEARCH("VPS",$I684))=FALSE,LEFT($I684,6)&lt;&gt;"VACUUM"),"CDU",IF($H684="FLUID CAT CRACKING","FCC",IF(OR($H684="HYDROCRACKING",$H684="RESID_HYDROCRACKING"),"Hydrocracker",IF($H684="REFORMING","Reformer",""))))</f>
        <v>Reformer</v>
      </c>
      <c r="H684" s="6" t="s">
        <v>421</v>
      </c>
      <c r="I684" s="6" t="s">
        <v>557</v>
      </c>
      <c r="J684" s="6" t="s">
        <v>345</v>
      </c>
      <c r="K684" s="10">
        <v>10</v>
      </c>
      <c r="L684" s="10">
        <v>10</v>
      </c>
      <c r="M684" s="6" t="s">
        <v>430</v>
      </c>
    </row>
    <row r="685" spans="1:13">
      <c r="A685" s="6">
        <v>2023</v>
      </c>
      <c r="B685" s="6">
        <v>3</v>
      </c>
      <c r="C685" s="6" t="s">
        <v>61</v>
      </c>
      <c r="D685" s="6" t="s">
        <v>462</v>
      </c>
      <c r="E685" s="6" t="s">
        <v>438</v>
      </c>
      <c r="F685" s="6" t="str">
        <f>IF($M685="PADD I","PADD 1",IF($M685="PADD II","PADD 2",IF($M685="PADD III","PADD 3",IF($M685="PADD IV","PADD 4",IF($M685="PADD V","PADD 5","")))))</f>
        <v>PADD 4</v>
      </c>
      <c r="G685" s="6">
        <f>IF(AND($H685="ATMOS DISTILLATION",ISNUMBER(SEARCH("VPS",$I685))=FALSE,LEFT($I685,6)&lt;&gt;"VACUUM"),"CDU",IF($H685="FLUID CAT CRACKING","FCC",IF(OR($H685="HYDROCRACKING",$H685="RESID_HYDROCRACKING"),"Hydrocracker",IF($H685="REFORMING","Reformer",""))))</f>
        <v/>
      </c>
      <c r="H685" s="6" t="s">
        <v>43</v>
      </c>
      <c r="I685" s="6" t="s">
        <v>493</v>
      </c>
      <c r="J685" s="6" t="s">
        <v>345</v>
      </c>
      <c r="K685" s="10">
        <v>10</v>
      </c>
      <c r="L685" s="10">
        <v>10</v>
      </c>
      <c r="M685" s="6" t="s">
        <v>430</v>
      </c>
    </row>
    <row r="686" spans="1:13">
      <c r="A686" s="6">
        <v>2023</v>
      </c>
      <c r="B686" s="6">
        <v>3</v>
      </c>
      <c r="C686" s="6" t="s">
        <v>61</v>
      </c>
      <c r="D686" s="6" t="s">
        <v>462</v>
      </c>
      <c r="E686" s="6" t="s">
        <v>438</v>
      </c>
      <c r="F686" s="6" t="str">
        <f>IF($M686="PADD I","PADD 1",IF($M686="PADD II","PADD 2",IF($M686="PADD III","PADD 3",IF($M686="PADD IV","PADD 4",IF($M686="PADD V","PADD 5","")))))</f>
        <v>PADD 4</v>
      </c>
      <c r="G686" s="6">
        <f>IF(AND($H686="ATMOS DISTILLATION",ISNUMBER(SEARCH("VPS",$I686))=FALSE,LEFT($I686,6)&lt;&gt;"VACUUM"),"CDU",IF($H686="FLUID CAT CRACKING","FCC",IF(OR($H686="HYDROCRACKING",$H686="RESID_HYDROCRACKING"),"Hydrocracker",IF($H686="REFORMING","Reformer",""))))</f>
        <v/>
      </c>
      <c r="H686" s="6" t="s">
        <v>43</v>
      </c>
      <c r="I686" s="6" t="s">
        <v>558</v>
      </c>
      <c r="J686" s="6" t="s">
        <v>345</v>
      </c>
      <c r="K686" s="10">
        <v>10</v>
      </c>
      <c r="L686" s="10">
        <v>10</v>
      </c>
      <c r="M686" s="6" t="s">
        <v>430</v>
      </c>
    </row>
    <row r="687" spans="1:13">
      <c r="A687" s="6">
        <v>2023</v>
      </c>
      <c r="B687" s="6">
        <v>3</v>
      </c>
      <c r="C687" s="6" t="s">
        <v>61</v>
      </c>
      <c r="D687" s="6" t="s">
        <v>462</v>
      </c>
      <c r="E687" s="6" t="s">
        <v>438</v>
      </c>
      <c r="F687" s="6" t="str">
        <f>IF($M687="PADD I","PADD 1",IF($M687="PADD II","PADD 2",IF($M687="PADD III","PADD 3",IF($M687="PADD IV","PADD 4",IF($M687="PADD V","PADD 5","")))))</f>
        <v>PADD 4</v>
      </c>
      <c r="G687" s="6" t="str">
        <f>IF(AND($H687="ATMOS DISTILLATION",ISNUMBER(SEARCH("VPS",$I687))=FALSE,LEFT($I687,6)&lt;&gt;"VACUUM"),"CDU",IF($H687="FLUID CAT CRACKING","FCC",IF(OR($H687="HYDROCRACKING",$H687="RESID_HYDROCRACKING"),"Hydrocracker",IF($H687="REFORMING","Reformer",""))))</f>
        <v>Reformer</v>
      </c>
      <c r="H687" s="6" t="s">
        <v>421</v>
      </c>
      <c r="I687" s="6" t="s">
        <v>559</v>
      </c>
      <c r="J687" s="6" t="s">
        <v>345</v>
      </c>
      <c r="K687" s="10">
        <v>10</v>
      </c>
      <c r="L687" s="10">
        <v>10</v>
      </c>
      <c r="M687" s="6" t="s">
        <v>430</v>
      </c>
    </row>
    <row r="688" spans="1:13">
      <c r="A688" s="6">
        <v>2023</v>
      </c>
      <c r="B688" s="6">
        <v>3</v>
      </c>
      <c r="C688" s="6" t="s">
        <v>61</v>
      </c>
      <c r="D688" s="6" t="s">
        <v>402</v>
      </c>
      <c r="E688" s="6" t="s">
        <v>403</v>
      </c>
      <c r="F688" s="6" t="str">
        <f>IF($M688="PADD I","PADD 1",IF($M688="PADD II","PADD 2",IF($M688="PADD III","PADD 3",IF($M688="PADD IV","PADD 4",IF($M688="PADD V","PADD 5","")))))</f>
        <v>PADD 3</v>
      </c>
      <c r="G688" s="6">
        <f>IF(AND($H688="ATMOS DISTILLATION",ISNUMBER(SEARCH("VPS",$I688))=FALSE,LEFT($I688,6)&lt;&gt;"VACUUM"),"CDU",IF($H688="FLUID CAT CRACKING","FCC",IF(OR($H688="HYDROCRACKING",$H688="RESID_HYDROCRACKING"),"Hydrocracker",IF($H688="REFORMING","Reformer",""))))</f>
        <v/>
      </c>
      <c r="H688" s="6" t="s">
        <v>43</v>
      </c>
      <c r="I688" s="6" t="s">
        <v>507</v>
      </c>
      <c r="J688" s="6" t="s">
        <v>349</v>
      </c>
      <c r="K688" s="10">
        <v>9.9</v>
      </c>
      <c r="L688" s="10">
        <v>22</v>
      </c>
      <c r="M688" s="6" t="s">
        <v>371</v>
      </c>
    </row>
    <row r="689" spans="1:13">
      <c r="A689" s="6">
        <v>2023</v>
      </c>
      <c r="B689" s="6">
        <v>3</v>
      </c>
      <c r="C689" s="6" t="s">
        <v>61</v>
      </c>
      <c r="D689" s="6" t="s">
        <v>402</v>
      </c>
      <c r="E689" s="6" t="s">
        <v>403</v>
      </c>
      <c r="F689" s="6" t="str">
        <f>IF($M689="PADD I","PADD 1",IF($M689="PADD II","PADD 2",IF($M689="PADD III","PADD 3",IF($M689="PADD IV","PADD 4",IF($M689="PADD V","PADD 5","")))))</f>
        <v>PADD 3</v>
      </c>
      <c r="G689" s="6">
        <f>IF(AND($H689="ATMOS DISTILLATION",ISNUMBER(SEARCH("VPS",$I689))=FALSE,LEFT($I689,6)&lt;&gt;"VACUUM"),"CDU",IF($H689="FLUID CAT CRACKING","FCC",IF(OR($H689="HYDROCRACKING",$H689="RESID_HYDROCRACKING"),"Hydrocracker",IF($H689="REFORMING","Reformer",""))))</f>
        <v/>
      </c>
      <c r="H689" s="6" t="s">
        <v>43</v>
      </c>
      <c r="I689" s="6" t="s">
        <v>508</v>
      </c>
      <c r="J689" s="6" t="s">
        <v>349</v>
      </c>
      <c r="K689" s="10">
        <v>9.9</v>
      </c>
      <c r="L689" s="10">
        <v>22</v>
      </c>
      <c r="M689" s="6" t="s">
        <v>371</v>
      </c>
    </row>
    <row r="690" spans="1:13">
      <c r="A690" s="6">
        <v>2023</v>
      </c>
      <c r="B690" s="6">
        <v>3</v>
      </c>
      <c r="C690" s="6" t="s">
        <v>61</v>
      </c>
      <c r="D690" s="6" t="s">
        <v>602</v>
      </c>
      <c r="E690" s="6" t="s">
        <v>369</v>
      </c>
      <c r="F690" s="6" t="str">
        <f>IF($M690="PADD I","PADD 1",IF($M690="PADD II","PADD 2",IF($M690="PADD III","PADD 3",IF($M690="PADD IV","PADD 4",IF($M690="PADD V","PADD 5","")))))</f>
        <v>PADD 2</v>
      </c>
      <c r="G690" s="6" t="str">
        <f>IF(AND($H690="ATMOS DISTILLATION",ISNUMBER(SEARCH("VPS",$I690))=FALSE,LEFT($I690,6)&lt;&gt;"VACUUM"),"CDU",IF($H690="FLUID CAT CRACKING","FCC",IF(OR($H690="HYDROCRACKING",$H690="RESID_HYDROCRACKING"),"Hydrocracker",IF($H690="REFORMING","Reformer",""))))</f>
        <v>CDU</v>
      </c>
      <c r="H690" s="6" t="s">
        <v>38</v>
      </c>
      <c r="I690" s="6" t="s">
        <v>661</v>
      </c>
      <c r="J690" s="6" t="s">
        <v>345</v>
      </c>
      <c r="K690" s="10">
        <v>9.880000000000001</v>
      </c>
      <c r="L690" s="10">
        <v>38</v>
      </c>
      <c r="M690" s="6" t="s">
        <v>375</v>
      </c>
    </row>
    <row r="691" spans="1:13">
      <c r="A691" s="6">
        <v>2023</v>
      </c>
      <c r="B691" s="6">
        <v>3</v>
      </c>
      <c r="C691" s="6" t="s">
        <v>61</v>
      </c>
      <c r="D691" s="6" t="s">
        <v>395</v>
      </c>
      <c r="E691" s="6" t="s">
        <v>396</v>
      </c>
      <c r="F691" s="6" t="str">
        <f>IF($M691="PADD I","PADD 1",IF($M691="PADD II","PADD 2",IF($M691="PADD III","PADD 3",IF($M691="PADD IV","PADD 4",IF($M691="PADD V","PADD 5","")))))</f>
        <v>PADD 3</v>
      </c>
      <c r="G691" s="6" t="str">
        <f>IF(AND($H691="ATMOS DISTILLATION",ISNUMBER(SEARCH("VPS",$I691))=FALSE,LEFT($I691,6)&lt;&gt;"VACUUM"),"CDU",IF($H691="FLUID CAT CRACKING","FCC",IF(OR($H691="HYDROCRACKING",$H691="RESID_HYDROCRACKING"),"Hydrocracker",IF($H691="REFORMING","Reformer",""))))</f>
        <v>Reformer</v>
      </c>
      <c r="H691" s="6" t="s">
        <v>421</v>
      </c>
      <c r="I691" s="6" t="s">
        <v>540</v>
      </c>
      <c r="J691" s="6" t="s">
        <v>345</v>
      </c>
      <c r="K691" s="10">
        <v>9.6</v>
      </c>
      <c r="L691" s="10">
        <v>30</v>
      </c>
      <c r="M691" s="6" t="s">
        <v>371</v>
      </c>
    </row>
    <row r="692" spans="1:13">
      <c r="A692" s="6">
        <v>2023</v>
      </c>
      <c r="B692" s="6">
        <v>3</v>
      </c>
      <c r="C692" s="6" t="s">
        <v>61</v>
      </c>
      <c r="D692" s="6" t="s">
        <v>402</v>
      </c>
      <c r="E692" s="6" t="s">
        <v>403</v>
      </c>
      <c r="F692" s="6" t="str">
        <f>IF($M692="PADD I","PADD 1",IF($M692="PADD II","PADD 2",IF($M692="PADD III","PADD 3",IF($M692="PADD IV","PADD 4",IF($M692="PADD V","PADD 5","")))))</f>
        <v>PADD 3</v>
      </c>
      <c r="G692" s="6">
        <f>IF(AND($H692="ATMOS DISTILLATION",ISNUMBER(SEARCH("VPS",$I692))=FALSE,LEFT($I692,6)&lt;&gt;"VACUUM"),"CDU",IF($H692="FLUID CAT CRACKING","FCC",IF(OR($H692="HYDROCRACKING",$H692="RESID_HYDROCRACKING"),"Hydrocracker",IF($H692="REFORMING","Reformer",""))))</f>
        <v/>
      </c>
      <c r="H692" s="6" t="s">
        <v>43</v>
      </c>
      <c r="I692" s="6" t="s">
        <v>493</v>
      </c>
      <c r="J692" s="6" t="s">
        <v>349</v>
      </c>
      <c r="K692" s="10">
        <v>9.449999999999999</v>
      </c>
      <c r="L692" s="10">
        <v>21</v>
      </c>
      <c r="M692" s="6" t="s">
        <v>371</v>
      </c>
    </row>
    <row r="693" spans="1:13">
      <c r="A693" s="6">
        <v>2023</v>
      </c>
      <c r="B693" s="6">
        <v>3</v>
      </c>
      <c r="C693" s="6" t="s">
        <v>61</v>
      </c>
      <c r="D693" s="6" t="s">
        <v>326</v>
      </c>
      <c r="E693" s="6" t="s">
        <v>385</v>
      </c>
      <c r="F693" s="6" t="str">
        <f>IF($M693="PADD I","PADD 1",IF($M693="PADD II","PADD 2",IF($M693="PADD III","PADD 3",IF($M693="PADD IV","PADD 4",IF($M693="PADD V","PADD 5","")))))</f>
        <v>PADD 5</v>
      </c>
      <c r="G693" s="6" t="str">
        <f>IF(AND($H693="ATMOS DISTILLATION",ISNUMBER(SEARCH("VPS",$I693))=FALSE,LEFT($I693,6)&lt;&gt;"VACUUM"),"CDU",IF($H693="FLUID CAT CRACKING","FCC",IF(OR($H693="HYDROCRACKING",$H693="RESID_HYDROCRACKING"),"Hydrocracker",IF($H693="REFORMING","Reformer",""))))</f>
        <v>CDU</v>
      </c>
      <c r="H693" s="6" t="s">
        <v>38</v>
      </c>
      <c r="I693" s="6" t="s">
        <v>93</v>
      </c>
      <c r="J693" s="6" t="s">
        <v>349</v>
      </c>
      <c r="K693" s="10">
        <v>9.300000000000001</v>
      </c>
      <c r="L693" s="10">
        <v>155</v>
      </c>
      <c r="M693" s="6" t="s">
        <v>386</v>
      </c>
    </row>
    <row r="694" spans="1:13">
      <c r="A694" s="6">
        <v>2023</v>
      </c>
      <c r="B694" s="6">
        <v>3</v>
      </c>
      <c r="C694" s="6" t="s">
        <v>61</v>
      </c>
      <c r="D694" s="6" t="s">
        <v>420</v>
      </c>
      <c r="E694" s="6" t="s">
        <v>373</v>
      </c>
      <c r="F694" s="6" t="str">
        <f>IF($M694="PADD I","PADD 1",IF($M694="PADD II","PADD 2",IF($M694="PADD III","PADD 3",IF($M694="PADD IV","PADD 4",IF($M694="PADD V","PADD 5","")))))</f>
        <v>PADD 2</v>
      </c>
      <c r="G694" s="6">
        <f>IF(AND($H694="ATMOS DISTILLATION",ISNUMBER(SEARCH("VPS",$I694))=FALSE,LEFT($I694,6)&lt;&gt;"VACUUM"),"CDU",IF($H694="FLUID CAT CRACKING","FCC",IF(OR($H694="HYDROCRACKING",$H694="RESID_HYDROCRACKING"),"Hydrocracker",IF($H694="REFORMING","Reformer",""))))</f>
        <v/>
      </c>
      <c r="H694" s="6" t="s">
        <v>523</v>
      </c>
      <c r="I694" s="6" t="s">
        <v>524</v>
      </c>
      <c r="J694" s="6" t="s">
        <v>345</v>
      </c>
      <c r="K694" s="10">
        <v>9.18</v>
      </c>
      <c r="L694" s="10">
        <v>13.5</v>
      </c>
      <c r="M694" s="6" t="s">
        <v>375</v>
      </c>
    </row>
    <row r="695" spans="1:13">
      <c r="A695" s="6">
        <v>2023</v>
      </c>
      <c r="B695" s="6">
        <v>3</v>
      </c>
      <c r="C695" s="6" t="s">
        <v>61</v>
      </c>
      <c r="D695" s="6" t="s">
        <v>402</v>
      </c>
      <c r="E695" s="6" t="s">
        <v>403</v>
      </c>
      <c r="F695" s="6" t="str">
        <f>IF($M695="PADD I","PADD 1",IF($M695="PADD II","PADD 2",IF($M695="PADD III","PADD 3",IF($M695="PADD IV","PADD 4",IF($M695="PADD V","PADD 5","")))))</f>
        <v>PADD 3</v>
      </c>
      <c r="G695" s="6" t="str">
        <f>IF(AND($H695="ATMOS DISTILLATION",ISNUMBER(SEARCH("VPS",$I695))=FALSE,LEFT($I695,6)&lt;&gt;"VACUUM"),"CDU",IF($H695="FLUID CAT CRACKING","FCC",IF(OR($H695="HYDROCRACKING",$H695="RESID_HYDROCRACKING"),"Hydrocracker",IF($H695="REFORMING","Reformer",""))))</f>
        <v>FCC</v>
      </c>
      <c r="H695" s="6" t="s">
        <v>376</v>
      </c>
      <c r="I695" s="6" t="s">
        <v>105</v>
      </c>
      <c r="J695" s="6" t="s">
        <v>349</v>
      </c>
      <c r="K695" s="10">
        <v>9.09</v>
      </c>
      <c r="L695" s="10">
        <v>20.2</v>
      </c>
      <c r="M695" s="6" t="s">
        <v>371</v>
      </c>
    </row>
    <row r="696" spans="1:13">
      <c r="A696" s="6">
        <v>2023</v>
      </c>
      <c r="B696" s="6">
        <v>3</v>
      </c>
      <c r="C696" s="6" t="s">
        <v>61</v>
      </c>
      <c r="D696" s="6" t="s">
        <v>402</v>
      </c>
      <c r="E696" s="6" t="s">
        <v>403</v>
      </c>
      <c r="F696" s="6" t="str">
        <f>IF($M696="PADD I","PADD 1",IF($M696="PADD II","PADD 2",IF($M696="PADD III","PADD 3",IF($M696="PADD IV","PADD 4",IF($M696="PADD V","PADD 5","")))))</f>
        <v>PADD 3</v>
      </c>
      <c r="G696" s="6">
        <f>IF(AND($H696="ATMOS DISTILLATION",ISNUMBER(SEARCH("VPS",$I696))=FALSE,LEFT($I696,6)&lt;&gt;"VACUUM"),"CDU",IF($H696="FLUID CAT CRACKING","FCC",IF(OR($H696="HYDROCRACKING",$H696="RESID_HYDROCRACKING"),"Hydrocracker",IF($H696="REFORMING","Reformer",""))))</f>
        <v/>
      </c>
      <c r="H696" s="6" t="s">
        <v>378</v>
      </c>
      <c r="I696" s="6" t="s">
        <v>513</v>
      </c>
      <c r="J696" s="6" t="s">
        <v>349</v>
      </c>
      <c r="K696" s="10">
        <v>9</v>
      </c>
      <c r="L696" s="10">
        <v>20</v>
      </c>
      <c r="M696" s="6" t="s">
        <v>371</v>
      </c>
    </row>
    <row r="697" spans="1:13">
      <c r="A697" s="6">
        <v>2023</v>
      </c>
      <c r="B697" s="6">
        <v>3</v>
      </c>
      <c r="C697" s="6" t="s">
        <v>61</v>
      </c>
      <c r="D697" s="6" t="s">
        <v>50</v>
      </c>
      <c r="E697" s="6" t="s">
        <v>381</v>
      </c>
      <c r="F697" s="6" t="str">
        <f>IF($M697="PADD I","PADD 1",IF($M697="PADD II","PADD 2",IF($M697="PADD III","PADD 3",IF($M697="PADD IV","PADD 4",IF($M697="PADD V","PADD 5","")))))</f>
        <v>PADD 3</v>
      </c>
      <c r="G697" s="6">
        <f>IF(AND($H697="ATMOS DISTILLATION",ISNUMBER(SEARCH("VPS",$I697))=FALSE,LEFT($I697,6)&lt;&gt;"VACUUM"),"CDU",IF($H697="FLUID CAT CRACKING","FCC",IF(OR($H697="HYDROCRACKING",$H697="RESID_HYDROCRACKING"),"Hydrocracker",IF($H697="REFORMING","Reformer",""))))</f>
        <v/>
      </c>
      <c r="H697" s="6" t="s">
        <v>460</v>
      </c>
      <c r="I697" s="6" t="s">
        <v>620</v>
      </c>
      <c r="J697" s="6" t="s">
        <v>349</v>
      </c>
      <c r="K697" s="10">
        <v>8.82</v>
      </c>
      <c r="L697" s="10">
        <v>21</v>
      </c>
      <c r="M697" s="6" t="s">
        <v>371</v>
      </c>
    </row>
    <row r="698" spans="1:13">
      <c r="A698" s="6">
        <v>2023</v>
      </c>
      <c r="B698" s="6">
        <v>3</v>
      </c>
      <c r="C698" s="6" t="s">
        <v>61</v>
      </c>
      <c r="D698" s="6" t="s">
        <v>511</v>
      </c>
      <c r="E698" s="6" t="s">
        <v>405</v>
      </c>
      <c r="F698" s="6" t="str">
        <f>IF($M698="PADD I","PADD 1",IF($M698="PADD II","PADD 2",IF($M698="PADD III","PADD 3",IF($M698="PADD IV","PADD 4",IF($M698="PADD V","PADD 5","")))))</f>
        <v>PADD 3</v>
      </c>
      <c r="G698" s="6">
        <f>IF(AND($H698="ATMOS DISTILLATION",ISNUMBER(SEARCH("VPS",$I698))=FALSE,LEFT($I698,6)&lt;&gt;"VACUUM"),"CDU",IF($H698="FLUID CAT CRACKING","FCC",IF(OR($H698="HYDROCRACKING",$H698="RESID_HYDROCRACKING"),"Hydrocracker",IF($H698="REFORMING","Reformer",""))))</f>
        <v/>
      </c>
      <c r="H698" s="6" t="s">
        <v>43</v>
      </c>
      <c r="I698" s="6" t="s">
        <v>605</v>
      </c>
      <c r="J698" s="6" t="s">
        <v>349</v>
      </c>
      <c r="K698" s="10">
        <v>8.75</v>
      </c>
      <c r="L698" s="10">
        <v>25</v>
      </c>
      <c r="M698" s="6" t="s">
        <v>371</v>
      </c>
    </row>
    <row r="699" spans="1:13">
      <c r="A699" s="6">
        <v>2023</v>
      </c>
      <c r="B699" s="6">
        <v>3</v>
      </c>
      <c r="C699" s="6" t="s">
        <v>61</v>
      </c>
      <c r="D699" s="6" t="s">
        <v>437</v>
      </c>
      <c r="E699" s="6" t="s">
        <v>438</v>
      </c>
      <c r="F699" s="6" t="str">
        <f>IF($M699="PADD I","PADD 1",IF($M699="PADD II","PADD 2",IF($M699="PADD III","PADD 3",IF($M699="PADD IV","PADD 4",IF($M699="PADD V","PADD 5","")))))</f>
        <v>PADD 4</v>
      </c>
      <c r="G699" s="6" t="str">
        <f>IF(AND($H699="ATMOS DISTILLATION",ISNUMBER(SEARCH("VPS",$I699))=FALSE,LEFT($I699,6)&lt;&gt;"VACUUM"),"CDU",IF($H699="FLUID CAT CRACKING","FCC",IF(OR($H699="HYDROCRACKING",$H699="RESID_HYDROCRACKING"),"Hydrocracker",IF($H699="REFORMING","Reformer",""))))</f>
        <v>FCC</v>
      </c>
      <c r="H699" s="6" t="s">
        <v>376</v>
      </c>
      <c r="I699" s="6" t="s">
        <v>428</v>
      </c>
      <c r="J699" s="6" t="s">
        <v>345</v>
      </c>
      <c r="K699" s="10">
        <v>8.5</v>
      </c>
      <c r="L699" s="10">
        <v>8.5</v>
      </c>
      <c r="M699" s="6" t="s">
        <v>430</v>
      </c>
    </row>
    <row r="700" spans="1:13">
      <c r="A700" s="6">
        <v>2023</v>
      </c>
      <c r="B700" s="6">
        <v>3</v>
      </c>
      <c r="C700" s="6" t="s">
        <v>61</v>
      </c>
      <c r="D700" s="6" t="s">
        <v>715</v>
      </c>
      <c r="E700" s="6" t="s">
        <v>716</v>
      </c>
      <c r="F700" s="6" t="str">
        <f>IF($M700="PADD I","PADD 1",IF($M700="PADD II","PADD 2",IF($M700="PADD III","PADD 3",IF($M700="PADD IV","PADD 4",IF($M700="PADD V","PADD 5","")))))</f>
        <v>PADD 2</v>
      </c>
      <c r="G700" s="6">
        <f>IF(AND($H700="ATMOS DISTILLATION",ISNUMBER(SEARCH("VPS",$I700))=FALSE,LEFT($I700,6)&lt;&gt;"VACUUM"),"CDU",IF($H700="FLUID CAT CRACKING","FCC",IF(OR($H700="HYDROCRACKING",$H700="RESID_HYDROCRACKING"),"Hydrocracker",IF($H700="REFORMING","Reformer",""))))</f>
        <v/>
      </c>
      <c r="H700" s="6" t="s">
        <v>43</v>
      </c>
      <c r="I700" s="6" t="s">
        <v>717</v>
      </c>
      <c r="J700" s="6" t="s">
        <v>349</v>
      </c>
      <c r="K700" s="10">
        <v>8.25</v>
      </c>
      <c r="L700" s="10">
        <v>15</v>
      </c>
      <c r="M700" s="6" t="s">
        <v>375</v>
      </c>
    </row>
    <row r="701" spans="1:13">
      <c r="A701" s="6">
        <v>2023</v>
      </c>
      <c r="B701" s="6">
        <v>3</v>
      </c>
      <c r="C701" s="6" t="s">
        <v>61</v>
      </c>
      <c r="D701" s="6" t="s">
        <v>718</v>
      </c>
      <c r="E701" s="6" t="s">
        <v>405</v>
      </c>
      <c r="F701" s="6" t="str">
        <f>IF($M701="PADD I","PADD 1",IF($M701="PADD II","PADD 2",IF($M701="PADD III","PADD 3",IF($M701="PADD IV","PADD 4",IF($M701="PADD V","PADD 5","")))))</f>
        <v>PADD 5</v>
      </c>
      <c r="G701" s="6">
        <f>IF(AND($H701="ATMOS DISTILLATION",ISNUMBER(SEARCH("VPS",$I701))=FALSE,LEFT($I701,6)&lt;&gt;"VACUUM"),"CDU",IF($H701="FLUID CAT CRACKING","FCC",IF(OR($H701="HYDROCRACKING",$H701="RESID_HYDROCRACKING"),"Hydrocracker",IF($H701="REFORMING","Reformer",""))))</f>
        <v/>
      </c>
      <c r="H701" s="6" t="s">
        <v>378</v>
      </c>
      <c r="I701" s="6" t="s">
        <v>431</v>
      </c>
      <c r="J701" s="6" t="s">
        <v>345</v>
      </c>
      <c r="K701" s="10">
        <v>8.199999999999999</v>
      </c>
      <c r="L701" s="10">
        <v>82</v>
      </c>
      <c r="M701" s="6" t="s">
        <v>386</v>
      </c>
    </row>
    <row r="702" spans="1:13">
      <c r="A702" s="6">
        <v>2023</v>
      </c>
      <c r="B702" s="6">
        <v>3</v>
      </c>
      <c r="C702" s="6" t="s">
        <v>61</v>
      </c>
      <c r="D702" s="6" t="s">
        <v>675</v>
      </c>
      <c r="E702" s="6" t="s">
        <v>452</v>
      </c>
      <c r="F702" s="6" t="str">
        <f>IF($M702="PADD I","PADD 1",IF($M702="PADD II","PADD 2",IF($M702="PADD III","PADD 3",IF($M702="PADD IV","PADD 4",IF($M702="PADD V","PADD 5","")))))</f>
        <v>PADD 2</v>
      </c>
      <c r="G702" s="6">
        <f>IF(AND($H702="ATMOS DISTILLATION",ISNUMBER(SEARCH("VPS",$I702))=FALSE,LEFT($I702,6)&lt;&gt;"VACUUM"),"CDU",IF($H702="FLUID CAT CRACKING","FCC",IF(OR($H702="HYDROCRACKING",$H702="RESID_HYDROCRACKING"),"Hydrocracker",IF($H702="REFORMING","Reformer",""))))</f>
        <v/>
      </c>
      <c r="H702" s="6" t="s">
        <v>43</v>
      </c>
      <c r="I702" s="6" t="s">
        <v>719</v>
      </c>
      <c r="J702" s="6" t="s">
        <v>349</v>
      </c>
      <c r="K702" s="10">
        <v>8.1</v>
      </c>
      <c r="L702" s="10">
        <v>10</v>
      </c>
      <c r="M702" s="6" t="s">
        <v>375</v>
      </c>
    </row>
    <row r="703" spans="1:13">
      <c r="A703" s="6">
        <v>2023</v>
      </c>
      <c r="B703" s="6">
        <v>3</v>
      </c>
      <c r="C703" s="6" t="s">
        <v>61</v>
      </c>
      <c r="D703" s="6" t="s">
        <v>420</v>
      </c>
      <c r="E703" s="6" t="s">
        <v>373</v>
      </c>
      <c r="F703" s="6" t="str">
        <f>IF($M703="PADD I","PADD 1",IF($M703="PADD II","PADD 2",IF($M703="PADD III","PADD 3",IF($M703="PADD IV","PADD 4",IF($M703="PADD V","PADD 5","")))))</f>
        <v>PADD 2</v>
      </c>
      <c r="G703" s="6" t="str">
        <f>IF(AND($H703="ATMOS DISTILLATION",ISNUMBER(SEARCH("VPS",$I703))=FALSE,LEFT($I703,6)&lt;&gt;"VACUUM"),"CDU",IF($H703="FLUID CAT CRACKING","FCC",IF(OR($H703="HYDROCRACKING",$H703="RESID_HYDROCRACKING"),"Hydrocracker",IF($H703="REFORMING","Reformer",""))))</f>
        <v>Reformer</v>
      </c>
      <c r="H703" s="6" t="s">
        <v>421</v>
      </c>
      <c r="I703" s="6" t="s">
        <v>571</v>
      </c>
      <c r="J703" s="6" t="s">
        <v>345</v>
      </c>
      <c r="K703" s="10">
        <v>8</v>
      </c>
      <c r="L703" s="10">
        <v>8</v>
      </c>
      <c r="M703" s="6" t="s">
        <v>375</v>
      </c>
    </row>
    <row r="704" spans="1:13">
      <c r="A704" s="6">
        <v>2023</v>
      </c>
      <c r="B704" s="6">
        <v>3</v>
      </c>
      <c r="C704" s="6" t="s">
        <v>61</v>
      </c>
      <c r="D704" s="6" t="s">
        <v>402</v>
      </c>
      <c r="E704" s="6" t="s">
        <v>403</v>
      </c>
      <c r="F704" s="6" t="str">
        <f>IF($M704="PADD I","PADD 1",IF($M704="PADD II","PADD 2",IF($M704="PADD III","PADD 3",IF($M704="PADD IV","PADD 4",IF($M704="PADD V","PADD 5","")))))</f>
        <v>PADD 3</v>
      </c>
      <c r="G704" s="6" t="str">
        <f>IF(AND($H704="ATMOS DISTILLATION",ISNUMBER(SEARCH("VPS",$I704))=FALSE,LEFT($I704,6)&lt;&gt;"VACUUM"),"CDU",IF($H704="FLUID CAT CRACKING","FCC",IF(OR($H704="HYDROCRACKING",$H704="RESID_HYDROCRACKING"),"Hydrocracker",IF($H704="REFORMING","Reformer",""))))</f>
        <v>Reformer</v>
      </c>
      <c r="H704" s="6" t="s">
        <v>421</v>
      </c>
      <c r="I704" s="6" t="s">
        <v>525</v>
      </c>
      <c r="J704" s="6" t="s">
        <v>349</v>
      </c>
      <c r="K704" s="10">
        <v>7.875</v>
      </c>
      <c r="L704" s="10">
        <v>17.5</v>
      </c>
      <c r="M704" s="6" t="s">
        <v>371</v>
      </c>
    </row>
    <row r="705" spans="1:13">
      <c r="A705" s="6">
        <v>2023</v>
      </c>
      <c r="B705" s="6">
        <v>3</v>
      </c>
      <c r="C705" s="6" t="s">
        <v>61</v>
      </c>
      <c r="D705" s="6" t="s">
        <v>420</v>
      </c>
      <c r="E705" s="6" t="s">
        <v>373</v>
      </c>
      <c r="F705" s="6" t="str">
        <f>IF($M705="PADD I","PADD 1",IF($M705="PADD II","PADD 2",IF($M705="PADD III","PADD 3",IF($M705="PADD IV","PADD 4",IF($M705="PADD V","PADD 5","")))))</f>
        <v>PADD 2</v>
      </c>
      <c r="G705" s="6">
        <f>IF(AND($H705="ATMOS DISTILLATION",ISNUMBER(SEARCH("VPS",$I705))=FALSE,LEFT($I705,6)&lt;&gt;"VACUUM"),"CDU",IF($H705="FLUID CAT CRACKING","FCC",IF(OR($H705="HYDROCRACKING",$H705="RESID_HYDROCRACKING"),"Hydrocracker",IF($H705="REFORMING","Reformer",""))))</f>
        <v/>
      </c>
      <c r="H705" s="6" t="s">
        <v>43</v>
      </c>
      <c r="I705" s="6" t="s">
        <v>577</v>
      </c>
      <c r="J705" s="6" t="s">
        <v>345</v>
      </c>
      <c r="K705" s="10">
        <v>7.7</v>
      </c>
      <c r="L705" s="10">
        <v>7.7</v>
      </c>
      <c r="M705" s="6" t="s">
        <v>375</v>
      </c>
    </row>
    <row r="706" spans="1:13">
      <c r="A706" s="6">
        <v>2023</v>
      </c>
      <c r="B706" s="6">
        <v>3</v>
      </c>
      <c r="C706" s="6" t="s">
        <v>61</v>
      </c>
      <c r="D706" s="6" t="s">
        <v>48</v>
      </c>
      <c r="E706" s="6" t="s">
        <v>388</v>
      </c>
      <c r="F706" s="6" t="str">
        <f>IF($M706="PADD I","PADD 1",IF($M706="PADD II","PADD 2",IF($M706="PADD III","PADD 3",IF($M706="PADD IV","PADD 4",IF($M706="PADD V","PADD 5","")))))</f>
        <v>PADD 2</v>
      </c>
      <c r="G706" s="6" t="str">
        <f>IF(AND($H706="ATMOS DISTILLATION",ISNUMBER(SEARCH("VPS",$I706))=FALSE,LEFT($I706,6)&lt;&gt;"VACUUM"),"CDU",IF($H706="FLUID CAT CRACKING","FCC",IF(OR($H706="HYDROCRACKING",$H706="RESID_HYDROCRACKING"),"Hydrocracker",IF($H706="REFORMING","Reformer",""))))</f>
        <v>CDU</v>
      </c>
      <c r="H706" s="6" t="s">
        <v>38</v>
      </c>
      <c r="I706" s="6" t="s">
        <v>720</v>
      </c>
      <c r="J706" s="6" t="s">
        <v>345</v>
      </c>
      <c r="K706" s="10">
        <v>7.65</v>
      </c>
      <c r="L706" s="10">
        <v>255</v>
      </c>
      <c r="M706" s="6" t="s">
        <v>375</v>
      </c>
    </row>
    <row r="707" spans="1:13">
      <c r="A707" s="6">
        <v>2023</v>
      </c>
      <c r="B707" s="6">
        <v>3</v>
      </c>
      <c r="C707" s="6" t="s">
        <v>61</v>
      </c>
      <c r="D707" s="6" t="s">
        <v>420</v>
      </c>
      <c r="E707" s="6" t="s">
        <v>373</v>
      </c>
      <c r="F707" s="6" t="str">
        <f>IF($M707="PADD I","PADD 1",IF($M707="PADD II","PADD 2",IF($M707="PADD III","PADD 3",IF($M707="PADD IV","PADD 4",IF($M707="PADD V","PADD 5","")))))</f>
        <v>PADD 2</v>
      </c>
      <c r="G707" s="6">
        <f>IF(AND($H707="ATMOS DISTILLATION",ISNUMBER(SEARCH("VPS",$I707))=FALSE,LEFT($I707,6)&lt;&gt;"VACUUM"),"CDU",IF($H707="FLUID CAT CRACKING","FCC",IF(OR($H707="HYDROCRACKING",$H707="RESID_HYDROCRACKING"),"Hydrocracker",IF($H707="REFORMING","Reformer",""))))</f>
        <v/>
      </c>
      <c r="H707" s="6" t="s">
        <v>43</v>
      </c>
      <c r="I707" s="6" t="s">
        <v>458</v>
      </c>
      <c r="J707" s="6" t="s">
        <v>345</v>
      </c>
      <c r="K707" s="10">
        <v>7.5</v>
      </c>
      <c r="L707" s="10">
        <v>7.5</v>
      </c>
      <c r="M707" s="6" t="s">
        <v>375</v>
      </c>
    </row>
    <row r="708" spans="1:13">
      <c r="A708" s="6">
        <v>2023</v>
      </c>
      <c r="B708" s="6">
        <v>3</v>
      </c>
      <c r="C708" s="6" t="s">
        <v>61</v>
      </c>
      <c r="D708" s="6" t="s">
        <v>437</v>
      </c>
      <c r="E708" s="6" t="s">
        <v>438</v>
      </c>
      <c r="F708" s="6" t="str">
        <f>IF($M708="PADD I","PADD 1",IF($M708="PADD II","PADD 2",IF($M708="PADD III","PADD 3",IF($M708="PADD IV","PADD 4",IF($M708="PADD V","PADD 5","")))))</f>
        <v>PADD 4</v>
      </c>
      <c r="G708" s="6" t="str">
        <f>IF(AND($H708="ATMOS DISTILLATION",ISNUMBER(SEARCH("VPS",$I708))=FALSE,LEFT($I708,6)&lt;&gt;"VACUUM"),"CDU",IF($H708="FLUID CAT CRACKING","FCC",IF(OR($H708="HYDROCRACKING",$H708="RESID_HYDROCRACKING"),"Hydrocracker",IF($H708="REFORMING","Reformer",""))))</f>
        <v>CDU</v>
      </c>
      <c r="H708" s="6" t="s">
        <v>38</v>
      </c>
      <c r="I708" s="6" t="s">
        <v>439</v>
      </c>
      <c r="J708" s="6" t="s">
        <v>345</v>
      </c>
      <c r="K708" s="10">
        <v>7.41</v>
      </c>
      <c r="L708" s="10">
        <v>39</v>
      </c>
      <c r="M708" s="6" t="s">
        <v>430</v>
      </c>
    </row>
    <row r="709" spans="1:13">
      <c r="A709" s="6">
        <v>2023</v>
      </c>
      <c r="B709" s="6">
        <v>3</v>
      </c>
      <c r="C709" s="6" t="s">
        <v>61</v>
      </c>
      <c r="D709" s="6" t="s">
        <v>48</v>
      </c>
      <c r="E709" s="6" t="s">
        <v>388</v>
      </c>
      <c r="F709" s="6" t="str">
        <f>IF($M709="PADD I","PADD 1",IF($M709="PADD II","PADD 2",IF($M709="PADD III","PADD 3",IF($M709="PADD IV","PADD 4",IF($M709="PADD V","PADD 5","")))))</f>
        <v>PADD 2</v>
      </c>
      <c r="G709" s="6" t="str">
        <f>IF(AND($H709="ATMOS DISTILLATION",ISNUMBER(SEARCH("VPS",$I709))=FALSE,LEFT($I709,6)&lt;&gt;"VACUUM"),"CDU",IF($H709="FLUID CAT CRACKING","FCC",IF(OR($H709="HYDROCRACKING",$H709="RESID_HYDROCRACKING"),"Hydrocracker",IF($H709="REFORMING","Reformer",""))))</f>
        <v>Reformer</v>
      </c>
      <c r="H709" s="6" t="s">
        <v>421</v>
      </c>
      <c r="I709" s="6" t="s">
        <v>721</v>
      </c>
      <c r="J709" s="6" t="s">
        <v>349</v>
      </c>
      <c r="K709" s="10">
        <v>7.315</v>
      </c>
      <c r="L709" s="10">
        <v>38.5</v>
      </c>
      <c r="M709" s="6" t="s">
        <v>375</v>
      </c>
    </row>
    <row r="710" spans="1:13">
      <c r="A710" s="6">
        <v>2023</v>
      </c>
      <c r="B710" s="6">
        <v>3</v>
      </c>
      <c r="C710" s="6" t="s">
        <v>61</v>
      </c>
      <c r="D710" s="6" t="s">
        <v>722</v>
      </c>
      <c r="E710" s="6" t="s">
        <v>452</v>
      </c>
      <c r="F710" s="6" t="str">
        <f>IF($M710="PADD I","PADD 1",IF($M710="PADD II","PADD 2",IF($M710="PADD III","PADD 3",IF($M710="PADD IV","PADD 4",IF($M710="PADD V","PADD 5","")))))</f>
        <v>PADD 4</v>
      </c>
      <c r="G710" s="6" t="str">
        <f>IF(AND($H710="ATMOS DISTILLATION",ISNUMBER(SEARCH("VPS",$I710))=FALSE,LEFT($I710,6)&lt;&gt;"VACUUM"),"CDU",IF($H710="FLUID CAT CRACKING","FCC",IF(OR($H710="HYDROCRACKING",$H710="RESID_HYDROCRACKING"),"Hydrocracker",IF($H710="REFORMING","Reformer",""))))</f>
        <v>CDU</v>
      </c>
      <c r="H710" s="6" t="s">
        <v>38</v>
      </c>
      <c r="I710" s="6" t="s">
        <v>81</v>
      </c>
      <c r="J710" s="6" t="s">
        <v>349</v>
      </c>
      <c r="K710" s="10">
        <v>7.2</v>
      </c>
      <c r="L710" s="10">
        <v>15</v>
      </c>
      <c r="M710" s="6" t="s">
        <v>430</v>
      </c>
    </row>
    <row r="711" spans="1:13">
      <c r="A711" s="6">
        <v>2023</v>
      </c>
      <c r="B711" s="6">
        <v>3</v>
      </c>
      <c r="C711" s="6" t="s">
        <v>61</v>
      </c>
      <c r="D711" s="6" t="s">
        <v>446</v>
      </c>
      <c r="E711" s="6" t="s">
        <v>391</v>
      </c>
      <c r="F711" s="6" t="str">
        <f>IF($M711="PADD I","PADD 1",IF($M711="PADD II","PADD 2",IF($M711="PADD III","PADD 3",IF($M711="PADD IV","PADD 4",IF($M711="PADD V","PADD 5","")))))</f>
        <v>PADD 3</v>
      </c>
      <c r="G711" s="6">
        <f>IF(AND($H711="ATMOS DISTILLATION",ISNUMBER(SEARCH("VPS",$I711))=FALSE,LEFT($I711,6)&lt;&gt;"VACUUM"),"CDU",IF($H711="FLUID CAT CRACKING","FCC",IF(OR($H711="HYDROCRACKING",$H711="RESID_HYDROCRACKING"),"Hydrocracker",IF($H711="REFORMING","Reformer",""))))</f>
        <v/>
      </c>
      <c r="H711" s="6" t="s">
        <v>460</v>
      </c>
      <c r="I711" s="6" t="s">
        <v>580</v>
      </c>
      <c r="J711" s="6" t="s">
        <v>345</v>
      </c>
      <c r="K711" s="10">
        <v>7.2</v>
      </c>
      <c r="L711" s="10">
        <v>7.2</v>
      </c>
      <c r="M711" s="6" t="s">
        <v>371</v>
      </c>
    </row>
    <row r="712" spans="1:13">
      <c r="A712" s="6">
        <v>2023</v>
      </c>
      <c r="B712" s="6">
        <v>3</v>
      </c>
      <c r="C712" s="6" t="s">
        <v>61</v>
      </c>
      <c r="D712" s="6" t="s">
        <v>723</v>
      </c>
      <c r="E712" s="6" t="s">
        <v>724</v>
      </c>
      <c r="F712" s="6" t="str">
        <f>IF($M712="PADD I","PADD 1",IF($M712="PADD II","PADD 2",IF($M712="PADD III","PADD 3",IF($M712="PADD IV","PADD 4",IF($M712="PADD V","PADD 5","")))))</f>
        <v>PADD 4</v>
      </c>
      <c r="G712" s="6" t="str">
        <f>IF(AND($H712="ATMOS DISTILLATION",ISNUMBER(SEARCH("VPS",$I712))=FALSE,LEFT($I712,6)&lt;&gt;"VACUUM"),"CDU",IF($H712="FLUID CAT CRACKING","FCC",IF(OR($H712="HYDROCRACKING",$H712="RESID_HYDROCRACKING"),"Hydrocracker",IF($H712="REFORMING","Reformer",""))))</f>
        <v>Reformer</v>
      </c>
      <c r="H712" s="6" t="s">
        <v>421</v>
      </c>
      <c r="I712" s="6" t="s">
        <v>725</v>
      </c>
      <c r="J712" s="6" t="s">
        <v>349</v>
      </c>
      <c r="K712" s="10">
        <v>7.1</v>
      </c>
      <c r="L712" s="10">
        <v>10</v>
      </c>
      <c r="M712" s="6" t="s">
        <v>430</v>
      </c>
    </row>
    <row r="713" spans="1:13">
      <c r="A713" s="6">
        <v>2023</v>
      </c>
      <c r="B713" s="6">
        <v>3</v>
      </c>
      <c r="C713" s="6" t="s">
        <v>61</v>
      </c>
      <c r="D713" s="6" t="s">
        <v>372</v>
      </c>
      <c r="E713" s="6" t="s">
        <v>373</v>
      </c>
      <c r="F713" s="6" t="str">
        <f>IF($M713="PADD I","PADD 1",IF($M713="PADD II","PADD 2",IF($M713="PADD III","PADD 3",IF($M713="PADD IV","PADD 4",IF($M713="PADD V","PADD 5","")))))</f>
        <v>PADD 2</v>
      </c>
      <c r="G713" s="6">
        <f>IF(AND($H713="ATMOS DISTILLATION",ISNUMBER(SEARCH("VPS",$I713))=FALSE,LEFT($I713,6)&lt;&gt;"VACUUM"),"CDU",IF($H713="FLUID CAT CRACKING","FCC",IF(OR($H713="HYDROCRACKING",$H713="RESID_HYDROCRACKING"),"Hydrocracker",IF($H713="REFORMING","Reformer",""))))</f>
        <v/>
      </c>
      <c r="H713" s="6" t="s">
        <v>435</v>
      </c>
      <c r="I713" s="6" t="s">
        <v>584</v>
      </c>
      <c r="J713" s="6" t="s">
        <v>345</v>
      </c>
      <c r="K713" s="10">
        <v>7.05</v>
      </c>
      <c r="L713" s="10">
        <v>7.5</v>
      </c>
      <c r="M713" s="6" t="s">
        <v>375</v>
      </c>
    </row>
    <row r="714" spans="1:13">
      <c r="A714" s="6">
        <v>2023</v>
      </c>
      <c r="B714" s="6">
        <v>3</v>
      </c>
      <c r="C714" s="6" t="s">
        <v>61</v>
      </c>
      <c r="D714" s="6" t="s">
        <v>714</v>
      </c>
      <c r="E714" s="6" t="s">
        <v>405</v>
      </c>
      <c r="F714" s="6" t="str">
        <f>IF($M714="PADD I","PADD 1",IF($M714="PADD II","PADD 2",IF($M714="PADD III","PADD 3",IF($M714="PADD IV","PADD 4",IF($M714="PADD V","PADD 5","")))))</f>
        <v>PADD 3</v>
      </c>
      <c r="G714" s="6" t="str">
        <f>IF(AND($H714="ATMOS DISTILLATION",ISNUMBER(SEARCH("VPS",$I714))=FALSE,LEFT($I714,6)&lt;&gt;"VACUUM"),"CDU",IF($H714="FLUID CAT CRACKING","FCC",IF(OR($H714="HYDROCRACKING",$H714="RESID_HYDROCRACKING"),"Hydrocracker",IF($H714="REFORMING","Reformer",""))))</f>
        <v>CDU</v>
      </c>
      <c r="H714" s="6" t="s">
        <v>38</v>
      </c>
      <c r="I714" s="6" t="s">
        <v>135</v>
      </c>
      <c r="J714" s="6" t="s">
        <v>345</v>
      </c>
      <c r="K714" s="10">
        <v>6.9</v>
      </c>
      <c r="L714" s="10">
        <v>115</v>
      </c>
      <c r="M714" s="6" t="s">
        <v>371</v>
      </c>
    </row>
    <row r="715" spans="1:13">
      <c r="A715" s="6">
        <v>2023</v>
      </c>
      <c r="B715" s="6">
        <v>3</v>
      </c>
      <c r="C715" s="6" t="s">
        <v>61</v>
      </c>
      <c r="D715" s="6" t="s">
        <v>434</v>
      </c>
      <c r="E715" s="6" t="s">
        <v>388</v>
      </c>
      <c r="F715" s="6" t="str">
        <f>IF($M715="PADD I","PADD 1",IF($M715="PADD II","PADD 2",IF($M715="PADD III","PADD 3",IF($M715="PADD IV","PADD 4",IF($M715="PADD V","PADD 5","")))))</f>
        <v>PADD 5</v>
      </c>
      <c r="G715" s="6">
        <f>IF(AND($H715="ATMOS DISTILLATION",ISNUMBER(SEARCH("VPS",$I715))=FALSE,LEFT($I715,6)&lt;&gt;"VACUUM"),"CDU",IF($H715="FLUID CAT CRACKING","FCC",IF(OR($H715="HYDROCRACKING",$H715="RESID_HYDROCRACKING"),"Hydrocracker",IF($H715="REFORMING","Reformer",""))))</f>
        <v/>
      </c>
      <c r="H715" s="6" t="s">
        <v>435</v>
      </c>
      <c r="I715" s="6" t="s">
        <v>436</v>
      </c>
      <c r="J715" s="6" t="s">
        <v>345</v>
      </c>
      <c r="K715" s="10">
        <v>6.72</v>
      </c>
      <c r="L715" s="10">
        <v>42</v>
      </c>
      <c r="M715" s="6" t="s">
        <v>386</v>
      </c>
    </row>
    <row r="716" spans="1:13">
      <c r="A716" s="6">
        <v>2023</v>
      </c>
      <c r="B716" s="6">
        <v>3</v>
      </c>
      <c r="C716" s="6" t="s">
        <v>61</v>
      </c>
      <c r="D716" s="6" t="s">
        <v>372</v>
      </c>
      <c r="E716" s="6" t="s">
        <v>373</v>
      </c>
      <c r="F716" s="6" t="str">
        <f>IF($M716="PADD I","PADD 1",IF($M716="PADD II","PADD 2",IF($M716="PADD III","PADD 3",IF($M716="PADD IV","PADD 4",IF($M716="PADD V","PADD 5","")))))</f>
        <v>PADD 2</v>
      </c>
      <c r="G716" s="6">
        <f>IF(AND($H716="ATMOS DISTILLATION",ISNUMBER(SEARCH("VPS",$I716))=FALSE,LEFT($I716,6)&lt;&gt;"VACUUM"),"CDU",IF($H716="FLUID CAT CRACKING","FCC",IF(OR($H716="HYDROCRACKING",$H716="RESID_HYDROCRACKING"),"Hydrocracker",IF($H716="REFORMING","Reformer",""))))</f>
        <v/>
      </c>
      <c r="H716" s="6" t="s">
        <v>435</v>
      </c>
      <c r="I716" s="6" t="s">
        <v>584</v>
      </c>
      <c r="J716" s="6" t="s">
        <v>345</v>
      </c>
      <c r="K716" s="10">
        <v>6.5</v>
      </c>
      <c r="L716" s="10">
        <v>6.5</v>
      </c>
      <c r="M716" s="6" t="s">
        <v>375</v>
      </c>
    </row>
    <row r="717" spans="1:13">
      <c r="A717" s="6">
        <v>2023</v>
      </c>
      <c r="B717" s="6">
        <v>3</v>
      </c>
      <c r="C717" s="6" t="s">
        <v>61</v>
      </c>
      <c r="D717" s="6" t="s">
        <v>462</v>
      </c>
      <c r="E717" s="6" t="s">
        <v>438</v>
      </c>
      <c r="F717" s="6" t="str">
        <f>IF($M717="PADD I","PADD 1",IF($M717="PADD II","PADD 2",IF($M717="PADD III","PADD 3",IF($M717="PADD IV","PADD 4",IF($M717="PADD V","PADD 5","")))))</f>
        <v>PADD 4</v>
      </c>
      <c r="G717" s="6">
        <f>IF(AND($H717="ATMOS DISTILLATION",ISNUMBER(SEARCH("VPS",$I717))=FALSE,LEFT($I717,6)&lt;&gt;"VACUUM"),"CDU",IF($H717="FLUID CAT CRACKING","FCC",IF(OR($H717="HYDROCRACKING",$H717="RESID_HYDROCRACKING"),"Hydrocracker",IF($H717="REFORMING","Reformer",""))))</f>
        <v/>
      </c>
      <c r="H717" s="6" t="s">
        <v>378</v>
      </c>
      <c r="I717" s="6" t="s">
        <v>555</v>
      </c>
      <c r="J717" s="6" t="s">
        <v>345</v>
      </c>
      <c r="K717" s="10">
        <v>6.5</v>
      </c>
      <c r="L717" s="10">
        <v>10</v>
      </c>
      <c r="M717" s="6" t="s">
        <v>430</v>
      </c>
    </row>
    <row r="718" spans="1:13">
      <c r="A718" s="6">
        <v>2023</v>
      </c>
      <c r="B718" s="6">
        <v>3</v>
      </c>
      <c r="C718" s="6" t="s">
        <v>61</v>
      </c>
      <c r="D718" s="6" t="s">
        <v>518</v>
      </c>
      <c r="E718" s="6" t="s">
        <v>369</v>
      </c>
      <c r="F718" s="6" t="str">
        <f>IF($M718="PADD I","PADD 1",IF($M718="PADD II","PADD 2",IF($M718="PADD III","PADD 3",IF($M718="PADD IV","PADD 4",IF($M718="PADD V","PADD 5","")))))</f>
        <v>PADD 5</v>
      </c>
      <c r="G718" s="6">
        <f>IF(AND($H718="ATMOS DISTILLATION",ISNUMBER(SEARCH("VPS",$I718))=FALSE,LEFT($I718,6)&lt;&gt;"VACUUM"),"CDU",IF($H718="FLUID CAT CRACKING","FCC",IF(OR($H718="HYDROCRACKING",$H718="RESID_HYDROCRACKING"),"Hydrocracker",IF($H718="REFORMING","Reformer",""))))</f>
        <v/>
      </c>
      <c r="H718" s="6" t="s">
        <v>568</v>
      </c>
      <c r="I718" s="6" t="s">
        <v>617</v>
      </c>
      <c r="J718" s="6" t="s">
        <v>345</v>
      </c>
      <c r="K718" s="10">
        <v>6.5</v>
      </c>
      <c r="L718" s="10">
        <v>6.5</v>
      </c>
      <c r="M718" s="6" t="s">
        <v>386</v>
      </c>
    </row>
    <row r="719" spans="1:13">
      <c r="A719" s="6">
        <v>2023</v>
      </c>
      <c r="B719" s="6">
        <v>3</v>
      </c>
      <c r="C719" s="6" t="s">
        <v>61</v>
      </c>
      <c r="D719" s="6" t="s">
        <v>333</v>
      </c>
      <c r="E719" s="6" t="s">
        <v>381</v>
      </c>
      <c r="F719" s="6" t="str">
        <f>IF($M719="PADD I","PADD 1",IF($M719="PADD II","PADD 2",IF($M719="PADD III","PADD 3",IF($M719="PADD IV","PADD 4",IF($M719="PADD V","PADD 5","")))))</f>
        <v>PADD 3</v>
      </c>
      <c r="G719" s="6" t="str">
        <f>IF(AND($H719="ATMOS DISTILLATION",ISNUMBER(SEARCH("VPS",$I719))=FALSE,LEFT($I719,6)&lt;&gt;"VACUUM"),"CDU",IF($H719="FLUID CAT CRACKING","FCC",IF(OR($H719="HYDROCRACKING",$H719="RESID_HYDROCRACKING"),"Hydrocracker",IF($H719="REFORMING","Reformer",""))))</f>
        <v>Hydrocracker</v>
      </c>
      <c r="H719" s="6" t="s">
        <v>444</v>
      </c>
      <c r="I719" s="6" t="s">
        <v>14</v>
      </c>
      <c r="J719" s="6" t="s">
        <v>345</v>
      </c>
      <c r="K719" s="10">
        <v>6.5</v>
      </c>
      <c r="L719" s="10">
        <v>65</v>
      </c>
      <c r="M719" s="6" t="s">
        <v>371</v>
      </c>
    </row>
    <row r="720" spans="1:13">
      <c r="A720" s="6">
        <v>2023</v>
      </c>
      <c r="B720" s="6">
        <v>3</v>
      </c>
      <c r="C720" s="6" t="s">
        <v>61</v>
      </c>
      <c r="D720" s="6" t="s">
        <v>465</v>
      </c>
      <c r="E720" s="6" t="s">
        <v>369</v>
      </c>
      <c r="F720" s="6" t="str">
        <f>IF($M720="PADD I","PADD 1",IF($M720="PADD II","PADD 2",IF($M720="PADD III","PADD 3",IF($M720="PADD IV","PADD 4",IF($M720="PADD V","PADD 5","")))))</f>
        <v>PADD 5</v>
      </c>
      <c r="G720" s="6" t="str">
        <f>IF(AND($H720="ATMOS DISTILLATION",ISNUMBER(SEARCH("VPS",$I720))=FALSE,LEFT($I720,6)&lt;&gt;"VACUUM"),"CDU",IF($H720="FLUID CAT CRACKING","FCC",IF(OR($H720="HYDROCRACKING",$H720="RESID_HYDROCRACKING"),"Hydrocracker",IF($H720="REFORMING","Reformer",""))))</f>
        <v>FCC</v>
      </c>
      <c r="H720" s="6" t="s">
        <v>376</v>
      </c>
      <c r="I720" s="6" t="s">
        <v>105</v>
      </c>
      <c r="J720" s="6" t="s">
        <v>345</v>
      </c>
      <c r="K720" s="10">
        <v>6.5</v>
      </c>
      <c r="L720" s="10">
        <v>50</v>
      </c>
      <c r="M720" s="6" t="s">
        <v>386</v>
      </c>
    </row>
    <row r="721" spans="1:13">
      <c r="A721" s="6">
        <v>2023</v>
      </c>
      <c r="B721" s="6">
        <v>3</v>
      </c>
      <c r="C721" s="6" t="s">
        <v>61</v>
      </c>
      <c r="D721" s="6" t="s">
        <v>415</v>
      </c>
      <c r="E721" s="6" t="s">
        <v>416</v>
      </c>
      <c r="F721" s="6" t="str">
        <f>IF($M721="PADD I","PADD 1",IF($M721="PADD II","PADD 2",IF($M721="PADD III","PADD 3",IF($M721="PADD IV","PADD 4",IF($M721="PADD V","PADD 5","")))))</f>
        <v>PADD 3</v>
      </c>
      <c r="G721" s="6" t="str">
        <f>IF(AND($H721="ATMOS DISTILLATION",ISNUMBER(SEARCH("VPS",$I721))=FALSE,LEFT($I721,6)&lt;&gt;"VACUUM"),"CDU",IF($H721="FLUID CAT CRACKING","FCC",IF(OR($H721="HYDROCRACKING",$H721="RESID_HYDROCRACKING"),"Hydrocracker",IF($H721="REFORMING","Reformer",""))))</f>
        <v>FCC</v>
      </c>
      <c r="H721" s="6" t="s">
        <v>376</v>
      </c>
      <c r="I721" s="6" t="s">
        <v>425</v>
      </c>
      <c r="J721" s="6" t="s">
        <v>345</v>
      </c>
      <c r="K721" s="10">
        <v>6.5</v>
      </c>
      <c r="L721" s="10">
        <v>50</v>
      </c>
      <c r="M721" s="6" t="s">
        <v>371</v>
      </c>
    </row>
    <row r="722" spans="1:13">
      <c r="A722" s="6">
        <v>2023</v>
      </c>
      <c r="B722" s="6">
        <v>3</v>
      </c>
      <c r="C722" s="6" t="s">
        <v>61</v>
      </c>
      <c r="D722" s="6" t="s">
        <v>346</v>
      </c>
      <c r="E722" s="6" t="s">
        <v>383</v>
      </c>
      <c r="F722" s="6" t="str">
        <f>IF($M722="PADD I","PADD 1",IF($M722="PADD II","PADD 2",IF($M722="PADD III","PADD 3",IF($M722="PADD IV","PADD 4",IF($M722="PADD V","PADD 5","")))))</f>
        <v>PADD 2</v>
      </c>
      <c r="G722" s="6" t="str">
        <f>IF(AND($H722="ATMOS DISTILLATION",ISNUMBER(SEARCH("VPS",$I722))=FALSE,LEFT($I722,6)&lt;&gt;"VACUUM"),"CDU",IF($H722="FLUID CAT CRACKING","FCC",IF(OR($H722="HYDROCRACKING",$H722="RESID_HYDROCRACKING"),"Hydrocracker",IF($H722="REFORMING","Reformer",""))))</f>
        <v>Reformer</v>
      </c>
      <c r="H722" s="6" t="s">
        <v>421</v>
      </c>
      <c r="I722" s="6" t="s">
        <v>516</v>
      </c>
      <c r="J722" s="6" t="s">
        <v>349</v>
      </c>
      <c r="K722" s="10">
        <v>6.3</v>
      </c>
      <c r="L722" s="10">
        <v>15</v>
      </c>
      <c r="M722" s="6" t="s">
        <v>375</v>
      </c>
    </row>
    <row r="723" spans="1:13">
      <c r="A723" s="6">
        <v>2023</v>
      </c>
      <c r="B723" s="6">
        <v>3</v>
      </c>
      <c r="C723" s="6" t="s">
        <v>61</v>
      </c>
      <c r="D723" s="6" t="s">
        <v>48</v>
      </c>
      <c r="E723" s="6" t="s">
        <v>388</v>
      </c>
      <c r="F723" s="6" t="str">
        <f>IF($M723="PADD I","PADD 1",IF($M723="PADD II","PADD 2",IF($M723="PADD III","PADD 3",IF($M723="PADD IV","PADD 4",IF($M723="PADD V","PADD 5","")))))</f>
        <v>PADD 2</v>
      </c>
      <c r="G723" s="6">
        <f>IF(AND($H723="ATMOS DISTILLATION",ISNUMBER(SEARCH("VPS",$I723))=FALSE,LEFT($I723,6)&lt;&gt;"VACUUM"),"CDU",IF($H723="FLUID CAT CRACKING","FCC",IF(OR($H723="HYDROCRACKING",$H723="RESID_HYDROCRACKING"),"Hydrocracker",IF($H723="REFORMING","Reformer",""))))</f>
        <v/>
      </c>
      <c r="H723" s="6" t="s">
        <v>43</v>
      </c>
      <c r="I723" s="6" t="s">
        <v>726</v>
      </c>
      <c r="J723" s="6" t="s">
        <v>349</v>
      </c>
      <c r="K723" s="10">
        <v>6.08</v>
      </c>
      <c r="L723" s="10">
        <v>38</v>
      </c>
      <c r="M723" s="6" t="s">
        <v>375</v>
      </c>
    </row>
    <row r="724" spans="1:13">
      <c r="A724" s="6">
        <v>2023</v>
      </c>
      <c r="B724" s="6">
        <v>3</v>
      </c>
      <c r="C724" s="6" t="s">
        <v>61</v>
      </c>
      <c r="D724" s="6" t="s">
        <v>675</v>
      </c>
      <c r="E724" s="6" t="s">
        <v>452</v>
      </c>
      <c r="F724" s="6" t="str">
        <f>IF($M724="PADD I","PADD 1",IF($M724="PADD II","PADD 2",IF($M724="PADD III","PADD 3",IF($M724="PADD IV","PADD 4",IF($M724="PADD V","PADD 5","")))))</f>
        <v>PADD 2</v>
      </c>
      <c r="G724" s="6" t="str">
        <f>IF(AND($H724="ATMOS DISTILLATION",ISNUMBER(SEARCH("VPS",$I724))=FALSE,LEFT($I724,6)&lt;&gt;"VACUUM"),"CDU",IF($H724="FLUID CAT CRACKING","FCC",IF(OR($H724="HYDROCRACKING",$H724="RESID_HYDROCRACKING"),"Hydrocracker",IF($H724="REFORMING","Reformer",""))))</f>
        <v>Reformer</v>
      </c>
      <c r="H724" s="6" t="s">
        <v>421</v>
      </c>
      <c r="I724" s="6" t="s">
        <v>348</v>
      </c>
      <c r="J724" s="6" t="s">
        <v>349</v>
      </c>
      <c r="K724" s="10">
        <v>6.075</v>
      </c>
      <c r="L724" s="10">
        <v>7.5</v>
      </c>
      <c r="M724" s="6" t="s">
        <v>375</v>
      </c>
    </row>
    <row r="725" spans="1:13">
      <c r="A725" s="6">
        <v>2023</v>
      </c>
      <c r="B725" s="6">
        <v>3</v>
      </c>
      <c r="C725" s="6" t="s">
        <v>61</v>
      </c>
      <c r="D725" s="6" t="s">
        <v>455</v>
      </c>
      <c r="E725" s="6" t="s">
        <v>405</v>
      </c>
      <c r="F725" s="6" t="str">
        <f>IF($M725="PADD I","PADD 1",IF($M725="PADD II","PADD 2",IF($M725="PADD III","PADD 3",IF($M725="PADD IV","PADD 4",IF($M725="PADD V","PADD 5","")))))</f>
        <v>PADD 3</v>
      </c>
      <c r="G725" s="6" t="str">
        <f>IF(AND($H725="ATMOS DISTILLATION",ISNUMBER(SEARCH("VPS",$I725))=FALSE,LEFT($I725,6)&lt;&gt;"VACUUM"),"CDU",IF($H725="FLUID CAT CRACKING","FCC",IF(OR($H725="HYDROCRACKING",$H725="RESID_HYDROCRACKING"),"Hydrocracker",IF($H725="REFORMING","Reformer",""))))</f>
        <v>Hydrocracker</v>
      </c>
      <c r="H725" s="6" t="s">
        <v>444</v>
      </c>
      <c r="I725" s="6" t="s">
        <v>456</v>
      </c>
      <c r="J725" s="6" t="s">
        <v>345</v>
      </c>
      <c r="K725" s="10">
        <v>6</v>
      </c>
      <c r="L725" s="10">
        <v>60</v>
      </c>
      <c r="M725" s="6" t="s">
        <v>371</v>
      </c>
    </row>
    <row r="726" spans="1:13">
      <c r="A726" s="6">
        <v>2023</v>
      </c>
      <c r="B726" s="6">
        <v>3</v>
      </c>
      <c r="C726" s="6" t="s">
        <v>61</v>
      </c>
      <c r="D726" s="6" t="s">
        <v>408</v>
      </c>
      <c r="E726" s="6" t="s">
        <v>409</v>
      </c>
      <c r="F726" s="6" t="str">
        <f>IF($M726="PADD I","PADD 1",IF($M726="PADD II","PADD 2",IF($M726="PADD III","PADD 3",IF($M726="PADD IV","PADD 4",IF($M726="PADD V","PADD 5","")))))</f>
        <v>PADD 3</v>
      </c>
      <c r="G726" s="6">
        <f>IF(AND($H726="ATMOS DISTILLATION",ISNUMBER(SEARCH("VPS",$I726))=FALSE,LEFT($I726,6)&lt;&gt;"VACUUM"),"CDU",IF($H726="FLUID CAT CRACKING","FCC",IF(OR($H726="HYDROCRACKING",$H726="RESID_HYDROCRACKING"),"Hydrocracker",IF($H726="REFORMING","Reformer",""))))</f>
        <v/>
      </c>
      <c r="H726" s="6" t="s">
        <v>435</v>
      </c>
      <c r="I726" s="6" t="s">
        <v>459</v>
      </c>
      <c r="J726" s="6" t="s">
        <v>345</v>
      </c>
      <c r="K726" s="10">
        <v>6</v>
      </c>
      <c r="L726" s="10">
        <v>60</v>
      </c>
      <c r="M726" s="6" t="s">
        <v>371</v>
      </c>
    </row>
    <row r="727" spans="1:13">
      <c r="A727" s="6">
        <v>2023</v>
      </c>
      <c r="B727" s="6">
        <v>3</v>
      </c>
      <c r="C727" s="6" t="s">
        <v>61</v>
      </c>
      <c r="D727" s="6" t="s">
        <v>727</v>
      </c>
      <c r="E727" s="6" t="s">
        <v>728</v>
      </c>
      <c r="F727" s="6" t="str">
        <f>IF($M727="PADD I","PADD 1",IF($M727="PADD II","PADD 2",IF($M727="PADD III","PADD 3",IF($M727="PADD IV","PADD 4",IF($M727="PADD V","PADD 5","")))))</f>
        <v>PADD 1</v>
      </c>
      <c r="G727" s="6" t="str">
        <f>IF(AND($H727="ATMOS DISTILLATION",ISNUMBER(SEARCH("VPS",$I727))=FALSE,LEFT($I727,6)&lt;&gt;"VACUUM"),"CDU",IF($H727="FLUID CAT CRACKING","FCC",IF(OR($H727="HYDROCRACKING",$H727="RESID_HYDROCRACKING"),"Hydrocracker",IF($H727="REFORMING","Reformer",""))))</f>
        <v>CDU</v>
      </c>
      <c r="H727" s="6" t="s">
        <v>38</v>
      </c>
      <c r="I727" s="6" t="s">
        <v>81</v>
      </c>
      <c r="J727" s="6" t="s">
        <v>349</v>
      </c>
      <c r="K727" s="10">
        <v>5.98</v>
      </c>
      <c r="L727" s="10">
        <v>23</v>
      </c>
      <c r="M727" s="6" t="s">
        <v>413</v>
      </c>
    </row>
    <row r="728" spans="1:13">
      <c r="A728" s="6">
        <v>2023</v>
      </c>
      <c r="B728" s="6">
        <v>3</v>
      </c>
      <c r="C728" s="6" t="s">
        <v>61</v>
      </c>
      <c r="D728" s="6" t="s">
        <v>335</v>
      </c>
      <c r="E728" s="6" t="s">
        <v>369</v>
      </c>
      <c r="F728" s="6" t="str">
        <f>IF($M728="PADD I","PADD 1",IF($M728="PADD II","PADD 2",IF($M728="PADD III","PADD 3",IF($M728="PADD IV","PADD 4",IF($M728="PADD V","PADD 5","")))))</f>
        <v>PADD 3</v>
      </c>
      <c r="G728" s="6" t="str">
        <f>IF(AND($H728="ATMOS DISTILLATION",ISNUMBER(SEARCH("VPS",$I728))=FALSE,LEFT($I728,6)&lt;&gt;"VACUUM"),"CDU",IF($H728="FLUID CAT CRACKING","FCC",IF(OR($H728="HYDROCRACKING",$H728="RESID_HYDROCRACKING"),"Hydrocracker",IF($H728="REFORMING","Reformer",""))))</f>
        <v>CDU</v>
      </c>
      <c r="H728" s="6" t="s">
        <v>38</v>
      </c>
      <c r="I728" s="6" t="s">
        <v>729</v>
      </c>
      <c r="J728" s="6" t="s">
        <v>345</v>
      </c>
      <c r="K728" s="10">
        <v>5.55</v>
      </c>
      <c r="L728" s="10">
        <v>185</v>
      </c>
      <c r="M728" s="6" t="s">
        <v>371</v>
      </c>
    </row>
    <row r="729" spans="1:13">
      <c r="A729" s="6">
        <v>2023</v>
      </c>
      <c r="B729" s="6">
        <v>3</v>
      </c>
      <c r="C729" s="6" t="s">
        <v>61</v>
      </c>
      <c r="D729" s="6" t="s">
        <v>420</v>
      </c>
      <c r="E729" s="6" t="s">
        <v>373</v>
      </c>
      <c r="F729" s="6" t="str">
        <f>IF($M729="PADD I","PADD 1",IF($M729="PADD II","PADD 2",IF($M729="PADD III","PADD 3",IF($M729="PADD IV","PADD 4",IF($M729="PADD V","PADD 5","")))))</f>
        <v>PADD 2</v>
      </c>
      <c r="G729" s="6">
        <f>IF(AND($H729="ATMOS DISTILLATION",ISNUMBER(SEARCH("VPS",$I729))=FALSE,LEFT($I729,6)&lt;&gt;"VACUUM"),"CDU",IF($H729="FLUID CAT CRACKING","FCC",IF(OR($H729="HYDROCRACKING",$H729="RESID_HYDROCRACKING"),"Hydrocracker",IF($H729="REFORMING","Reformer",""))))</f>
        <v/>
      </c>
      <c r="H729" s="6" t="s">
        <v>43</v>
      </c>
      <c r="I729" s="6" t="s">
        <v>588</v>
      </c>
      <c r="J729" s="6" t="s">
        <v>345</v>
      </c>
      <c r="K729" s="10">
        <v>5.5</v>
      </c>
      <c r="L729" s="10">
        <v>5.5</v>
      </c>
      <c r="M729" s="6" t="s">
        <v>375</v>
      </c>
    </row>
    <row r="730" spans="1:13">
      <c r="A730" s="6">
        <v>2023</v>
      </c>
      <c r="B730" s="6">
        <v>3</v>
      </c>
      <c r="C730" s="6" t="s">
        <v>61</v>
      </c>
      <c r="D730" s="6" t="s">
        <v>326</v>
      </c>
      <c r="E730" s="6" t="s">
        <v>385</v>
      </c>
      <c r="F730" s="6" t="str">
        <f>IF($M730="PADD I","PADD 1",IF($M730="PADD II","PADD 2",IF($M730="PADD III","PADD 3",IF($M730="PADD IV","PADD 4",IF($M730="PADD V","PADD 5","")))))</f>
        <v>PADD 5</v>
      </c>
      <c r="G730" s="6">
        <f>IF(AND($H730="ATMOS DISTILLATION",ISNUMBER(SEARCH("VPS",$I730))=FALSE,LEFT($I730,6)&lt;&gt;"VACUUM"),"CDU",IF($H730="FLUID CAT CRACKING","FCC",IF(OR($H730="HYDROCRACKING",$H730="RESID_HYDROCRACKING"),"Hydrocracker",IF($H730="REFORMING","Reformer",""))))</f>
        <v/>
      </c>
      <c r="H730" s="6" t="s">
        <v>378</v>
      </c>
      <c r="I730" s="6" t="s">
        <v>431</v>
      </c>
      <c r="J730" s="6" t="s">
        <v>349</v>
      </c>
      <c r="K730" s="10">
        <v>5.4</v>
      </c>
      <c r="L730" s="10">
        <v>90</v>
      </c>
      <c r="M730" s="6" t="s">
        <v>386</v>
      </c>
    </row>
    <row r="731" spans="1:13">
      <c r="A731" s="6">
        <v>2023</v>
      </c>
      <c r="B731" s="6">
        <v>3</v>
      </c>
      <c r="C731" s="6" t="s">
        <v>61</v>
      </c>
      <c r="D731" s="6" t="s">
        <v>680</v>
      </c>
      <c r="E731" s="6" t="s">
        <v>681</v>
      </c>
      <c r="F731" s="6" t="str">
        <f>IF($M731="PADD I","PADD 1",IF($M731="PADD II","PADD 2",IF($M731="PADD III","PADD 3",IF($M731="PADD IV","PADD 4",IF($M731="PADD V","PADD 5","")))))</f>
        <v>PADD 3</v>
      </c>
      <c r="G731" s="6">
        <f>IF(AND($H731="ATMOS DISTILLATION",ISNUMBER(SEARCH("VPS",$I731))=FALSE,LEFT($I731,6)&lt;&gt;"VACUUM"),"CDU",IF($H731="FLUID CAT CRACKING","FCC",IF(OR($H731="HYDROCRACKING",$H731="RESID_HYDROCRACKING"),"Hydrocracker",IF($H731="REFORMING","Reformer",""))))</f>
        <v/>
      </c>
      <c r="H731" s="6" t="s">
        <v>460</v>
      </c>
      <c r="I731" s="6" t="s">
        <v>616</v>
      </c>
      <c r="J731" s="6" t="s">
        <v>349</v>
      </c>
      <c r="K731" s="10">
        <v>5.358</v>
      </c>
      <c r="L731" s="10">
        <v>5.7</v>
      </c>
      <c r="M731" s="6" t="s">
        <v>371</v>
      </c>
    </row>
    <row r="732" spans="1:13">
      <c r="A732" s="6">
        <v>2023</v>
      </c>
      <c r="B732" s="6">
        <v>3</v>
      </c>
      <c r="C732" s="6" t="s">
        <v>61</v>
      </c>
      <c r="D732" s="6" t="s">
        <v>465</v>
      </c>
      <c r="E732" s="6" t="s">
        <v>369</v>
      </c>
      <c r="F732" s="6" t="str">
        <f>IF($M732="PADD I","PADD 1",IF($M732="PADD II","PADD 2",IF($M732="PADD III","PADD 3",IF($M732="PADD IV","PADD 4",IF($M732="PADD V","PADD 5","")))))</f>
        <v>PADD 5</v>
      </c>
      <c r="G732" s="6" t="str">
        <f>IF(AND($H732="ATMOS DISTILLATION",ISNUMBER(SEARCH("VPS",$I732))=FALSE,LEFT($I732,6)&lt;&gt;"VACUUM"),"CDU",IF($H732="FLUID CAT CRACKING","FCC",IF(OR($H732="HYDROCRACKING",$H732="RESID_HYDROCRACKING"),"Hydrocracker",IF($H732="REFORMING","Reformer",""))))</f>
        <v>FCC</v>
      </c>
      <c r="H732" s="6" t="s">
        <v>376</v>
      </c>
      <c r="I732" s="6" t="s">
        <v>105</v>
      </c>
      <c r="J732" s="6" t="s">
        <v>349</v>
      </c>
      <c r="K732" s="10">
        <v>5</v>
      </c>
      <c r="L732" s="10">
        <v>50</v>
      </c>
      <c r="M732" s="6" t="s">
        <v>386</v>
      </c>
    </row>
    <row r="733" spans="1:13">
      <c r="A733" s="6">
        <v>2023</v>
      </c>
      <c r="B733" s="6">
        <v>3</v>
      </c>
      <c r="C733" s="6" t="s">
        <v>61</v>
      </c>
      <c r="D733" s="6" t="s">
        <v>730</v>
      </c>
      <c r="E733" s="6" t="s">
        <v>731</v>
      </c>
      <c r="F733" s="6" t="str">
        <f>IF($M733="PADD I","PADD 1",IF($M733="PADD II","PADD 2",IF($M733="PADD III","PADD 3",IF($M733="PADD IV","PADD 4",IF($M733="PADD V","PADD 5","")))))</f>
        <v>PADD 3</v>
      </c>
      <c r="G733" s="6" t="str">
        <f>IF(AND($H733="ATMOS DISTILLATION",ISNUMBER(SEARCH("VPS",$I733))=FALSE,LEFT($I733,6)&lt;&gt;"VACUUM"),"CDU",IF($H733="FLUID CAT CRACKING","FCC",IF(OR($H733="HYDROCRACKING",$H733="RESID_HYDROCRACKING"),"Hydrocracker",IF($H733="REFORMING","Reformer",""))))</f>
        <v>Reformer</v>
      </c>
      <c r="H733" s="6" t="s">
        <v>421</v>
      </c>
      <c r="I733" s="6" t="s">
        <v>15</v>
      </c>
      <c r="J733" s="6" t="s">
        <v>345</v>
      </c>
      <c r="K733" s="10">
        <v>4.95</v>
      </c>
      <c r="L733" s="10">
        <v>11</v>
      </c>
      <c r="M733" s="6" t="s">
        <v>371</v>
      </c>
    </row>
    <row r="734" spans="1:13">
      <c r="A734" s="6">
        <v>2023</v>
      </c>
      <c r="B734" s="6">
        <v>3</v>
      </c>
      <c r="C734" s="6" t="s">
        <v>61</v>
      </c>
      <c r="D734" s="6" t="s">
        <v>402</v>
      </c>
      <c r="E734" s="6" t="s">
        <v>403</v>
      </c>
      <c r="F734" s="6" t="str">
        <f>IF($M734="PADD I","PADD 1",IF($M734="PADD II","PADD 2",IF($M734="PADD III","PADD 3",IF($M734="PADD IV","PADD 4",IF($M734="PADD V","PADD 5","")))))</f>
        <v>PADD 3</v>
      </c>
      <c r="G734" s="6">
        <f>IF(AND($H734="ATMOS DISTILLATION",ISNUMBER(SEARCH("VPS",$I734))=FALSE,LEFT($I734,6)&lt;&gt;"VACUUM"),"CDU",IF($H734="FLUID CAT CRACKING","FCC",IF(OR($H734="HYDROCRACKING",$H734="RESID_HYDROCRACKING"),"Hydrocracker",IF($H734="REFORMING","Reformer",""))))</f>
        <v/>
      </c>
      <c r="H734" s="6" t="s">
        <v>435</v>
      </c>
      <c r="I734" s="6" t="s">
        <v>441</v>
      </c>
      <c r="J734" s="6" t="s">
        <v>349</v>
      </c>
      <c r="K734" s="10">
        <v>4.5</v>
      </c>
      <c r="L734" s="10">
        <v>10</v>
      </c>
      <c r="M734" s="6" t="s">
        <v>371</v>
      </c>
    </row>
    <row r="735" spans="1:13">
      <c r="A735" s="6">
        <v>2023</v>
      </c>
      <c r="B735" s="6">
        <v>3</v>
      </c>
      <c r="C735" s="6" t="s">
        <v>61</v>
      </c>
      <c r="D735" s="6" t="s">
        <v>526</v>
      </c>
      <c r="E735" s="6" t="s">
        <v>405</v>
      </c>
      <c r="F735" s="6" t="str">
        <f>IF($M735="PADD I","PADD 1",IF($M735="PADD II","PADD 2",IF($M735="PADD III","PADD 3",IF($M735="PADD IV","PADD 4",IF($M735="PADD V","PADD 5","")))))</f>
        <v>PADD 3</v>
      </c>
      <c r="G735" s="6" t="str">
        <f>IF(AND($H735="ATMOS DISTILLATION",ISNUMBER(SEARCH("VPS",$I735))=FALSE,LEFT($I735,6)&lt;&gt;"VACUUM"),"CDU",IF($H735="FLUID CAT CRACKING","FCC",IF(OR($H735="HYDROCRACKING",$H735="RESID_HYDROCRACKING"),"Hydrocracker",IF($H735="REFORMING","Reformer",""))))</f>
        <v>FCC</v>
      </c>
      <c r="H735" s="6" t="s">
        <v>376</v>
      </c>
      <c r="I735" s="6" t="s">
        <v>344</v>
      </c>
      <c r="J735" s="6" t="s">
        <v>345</v>
      </c>
      <c r="K735" s="10">
        <v>4.5</v>
      </c>
      <c r="L735" s="10">
        <v>75</v>
      </c>
      <c r="M735" s="6" t="s">
        <v>371</v>
      </c>
    </row>
    <row r="736" spans="1:13">
      <c r="A736" s="6">
        <v>2023</v>
      </c>
      <c r="B736" s="6">
        <v>3</v>
      </c>
      <c r="C736" s="6" t="s">
        <v>61</v>
      </c>
      <c r="D736" s="6" t="s">
        <v>646</v>
      </c>
      <c r="E736" s="6" t="s">
        <v>405</v>
      </c>
      <c r="F736" s="6" t="str">
        <f>IF($M736="PADD I","PADD 1",IF($M736="PADD II","PADD 2",IF($M736="PADD III","PADD 3",IF($M736="PADD IV","PADD 4",IF($M736="PADD V","PADD 5","")))))</f>
        <v>PADD 3</v>
      </c>
      <c r="G736" s="6">
        <f>IF(AND($H736="ATMOS DISTILLATION",ISNUMBER(SEARCH("VPS",$I736))=FALSE,LEFT($I736,6)&lt;&gt;"VACUUM"),"CDU",IF($H736="FLUID CAT CRACKING","FCC",IF(OR($H736="HYDROCRACKING",$H736="RESID_HYDROCRACKING"),"Hydrocracker",IF($H736="REFORMING","Reformer",""))))</f>
        <v/>
      </c>
      <c r="H736" s="6" t="s">
        <v>43</v>
      </c>
      <c r="I736" s="6" t="s">
        <v>647</v>
      </c>
      <c r="J736" s="6" t="s">
        <v>345</v>
      </c>
      <c r="K736" s="10">
        <v>4.5</v>
      </c>
      <c r="L736" s="10">
        <v>45</v>
      </c>
      <c r="M736" s="6" t="s">
        <v>371</v>
      </c>
    </row>
    <row r="737" spans="1:13">
      <c r="A737" s="6">
        <v>2023</v>
      </c>
      <c r="B737" s="6">
        <v>3</v>
      </c>
      <c r="C737" s="6" t="s">
        <v>61</v>
      </c>
      <c r="D737" s="6" t="s">
        <v>732</v>
      </c>
      <c r="E737" s="6" t="s">
        <v>733</v>
      </c>
      <c r="F737" s="6" t="str">
        <f>IF($M737="PADD I","PADD 1",IF($M737="PADD II","PADD 2",IF($M737="PADD III","PADD 3",IF($M737="PADD IV","PADD 4",IF($M737="PADD V","PADD 5","")))))</f>
        <v>PADD 4</v>
      </c>
      <c r="G737" s="6" t="str">
        <f>IF(AND($H737="ATMOS DISTILLATION",ISNUMBER(SEARCH("VPS",$I737))=FALSE,LEFT($I737,6)&lt;&gt;"VACUUM"),"CDU",IF($H737="FLUID CAT CRACKING","FCC",IF(OR($H737="HYDROCRACKING",$H737="RESID_HYDROCRACKING"),"Hydrocracker",IF($H737="REFORMING","Reformer",""))))</f>
        <v>CDU</v>
      </c>
      <c r="H737" s="6" t="s">
        <v>38</v>
      </c>
      <c r="I737" s="6" t="s">
        <v>131</v>
      </c>
      <c r="J737" s="6" t="s">
        <v>349</v>
      </c>
      <c r="K737" s="10">
        <v>4.42</v>
      </c>
      <c r="L737" s="10">
        <v>34</v>
      </c>
      <c r="M737" s="6" t="s">
        <v>430</v>
      </c>
    </row>
    <row r="738" spans="1:13">
      <c r="A738" s="6">
        <v>2023</v>
      </c>
      <c r="B738" s="6">
        <v>3</v>
      </c>
      <c r="C738" s="6" t="s">
        <v>61</v>
      </c>
      <c r="D738" s="6" t="s">
        <v>547</v>
      </c>
      <c r="E738" s="6" t="s">
        <v>391</v>
      </c>
      <c r="F738" s="6" t="str">
        <f>IF($M738="PADD I","PADD 1",IF($M738="PADD II","PADD 2",IF($M738="PADD III","PADD 3",IF($M738="PADD IV","PADD 4",IF($M738="PADD V","PADD 5","")))))</f>
        <v>PADD 5</v>
      </c>
      <c r="G738" s="6" t="str">
        <f>IF(AND($H738="ATMOS DISTILLATION",ISNUMBER(SEARCH("VPS",$I738))=FALSE,LEFT($I738,6)&lt;&gt;"VACUUM"),"CDU",IF($H738="FLUID CAT CRACKING","FCC",IF(OR($H738="HYDROCRACKING",$H738="RESID_HYDROCRACKING"),"Hydrocracker",IF($H738="REFORMING","Reformer",""))))</f>
        <v>Hydrocracker</v>
      </c>
      <c r="H738" s="6" t="s">
        <v>444</v>
      </c>
      <c r="I738" s="6" t="s">
        <v>734</v>
      </c>
      <c r="J738" s="6" t="s">
        <v>345</v>
      </c>
      <c r="K738" s="10">
        <v>4.4</v>
      </c>
      <c r="L738" s="10">
        <v>44</v>
      </c>
      <c r="M738" s="6" t="s">
        <v>386</v>
      </c>
    </row>
    <row r="739" spans="1:13">
      <c r="A739" s="6">
        <v>2023</v>
      </c>
      <c r="B739" s="6">
        <v>3</v>
      </c>
      <c r="C739" s="6" t="s">
        <v>61</v>
      </c>
      <c r="D739" s="6" t="s">
        <v>662</v>
      </c>
      <c r="E739" s="6" t="s">
        <v>552</v>
      </c>
      <c r="F739" s="6" t="str">
        <f>IF($M739="PADD I","PADD 1",IF($M739="PADD II","PADD 2",IF($M739="PADD III","PADD 3",IF($M739="PADD IV","PADD 4",IF($M739="PADD V","PADD 5","")))))</f>
        <v>PADD 3</v>
      </c>
      <c r="G739" s="6">
        <f>IF(AND($H739="ATMOS DISTILLATION",ISNUMBER(SEARCH("VPS",$I739))=FALSE,LEFT($I739,6)&lt;&gt;"VACUUM"),"CDU",IF($H739="FLUID CAT CRACKING","FCC",IF(OR($H739="HYDROCRACKING",$H739="RESID_HYDROCRACKING"),"Hydrocracker",IF($H739="REFORMING","Reformer",""))))</f>
        <v/>
      </c>
      <c r="H739" s="6" t="s">
        <v>43</v>
      </c>
      <c r="I739" s="6" t="s">
        <v>735</v>
      </c>
      <c r="J739" s="6" t="s">
        <v>349</v>
      </c>
      <c r="K739" s="10">
        <v>4.37</v>
      </c>
      <c r="L739" s="10">
        <v>23</v>
      </c>
      <c r="M739" s="6" t="s">
        <v>371</v>
      </c>
    </row>
    <row r="740" spans="1:13">
      <c r="A740" s="6">
        <v>2023</v>
      </c>
      <c r="B740" s="6">
        <v>3</v>
      </c>
      <c r="C740" s="6" t="s">
        <v>61</v>
      </c>
      <c r="D740" s="6" t="s">
        <v>40</v>
      </c>
      <c r="E740" s="6" t="s">
        <v>736</v>
      </c>
      <c r="F740" s="6" t="str">
        <f>IF($M740="PADD I","PADD 1",IF($M740="PADD II","PADD 2",IF($M740="PADD III","PADD 3",IF($M740="PADD IV","PADD 4",IF($M740="PADD V","PADD 5","")))))</f>
        <v>PADD 1</v>
      </c>
      <c r="G740" s="6" t="str">
        <f>IF(AND($H740="ATMOS DISTILLATION",ISNUMBER(SEARCH("VPS",$I740))=FALSE,LEFT($I740,6)&lt;&gt;"VACUUM"),"CDU",IF($H740="FLUID CAT CRACKING","FCC",IF(OR($H740="HYDROCRACKING",$H740="RESID_HYDROCRACKING"),"Hydrocracker",IF($H740="REFORMING","Reformer",""))))</f>
        <v>FCC</v>
      </c>
      <c r="H740" s="6" t="s">
        <v>376</v>
      </c>
      <c r="I740" s="6" t="s">
        <v>737</v>
      </c>
      <c r="J740" s="6" t="s">
        <v>345</v>
      </c>
      <c r="K740" s="10">
        <v>4.08</v>
      </c>
      <c r="L740" s="10">
        <v>68</v>
      </c>
      <c r="M740" s="6" t="s">
        <v>413</v>
      </c>
    </row>
    <row r="741" spans="1:13">
      <c r="A741" s="6">
        <v>2023</v>
      </c>
      <c r="B741" s="6">
        <v>3</v>
      </c>
      <c r="C741" s="6" t="s">
        <v>61</v>
      </c>
      <c r="D741" s="6" t="s">
        <v>738</v>
      </c>
      <c r="E741" s="6" t="s">
        <v>552</v>
      </c>
      <c r="F741" s="6" t="str">
        <f>IF($M741="PADD I","PADD 1",IF($M741="PADD II","PADD 2",IF($M741="PADD III","PADD 3",IF($M741="PADD IV","PADD 4",IF($M741="PADD V","PADD 5","")))))</f>
        <v>PADD 3</v>
      </c>
      <c r="G741" s="6">
        <f>IF(AND($H741="ATMOS DISTILLATION",ISNUMBER(SEARCH("VPS",$I741))=FALSE,LEFT($I741,6)&lt;&gt;"VACUUM"),"CDU",IF($H741="FLUID CAT CRACKING","FCC",IF(OR($H741="HYDROCRACKING",$H741="RESID_HYDROCRACKING"),"Hydrocracker",IF($H741="REFORMING","Reformer",""))))</f>
        <v/>
      </c>
      <c r="H741" s="6" t="s">
        <v>460</v>
      </c>
      <c r="I741" s="6" t="s">
        <v>461</v>
      </c>
      <c r="J741" s="6" t="s">
        <v>349</v>
      </c>
      <c r="K741" s="10">
        <v>3.9</v>
      </c>
      <c r="L741" s="10">
        <v>6</v>
      </c>
      <c r="M741" s="6" t="s">
        <v>371</v>
      </c>
    </row>
    <row r="742" spans="1:13">
      <c r="A742" s="6">
        <v>2023</v>
      </c>
      <c r="B742" s="6">
        <v>3</v>
      </c>
      <c r="C742" s="6" t="s">
        <v>61</v>
      </c>
      <c r="D742" s="6" t="s">
        <v>602</v>
      </c>
      <c r="E742" s="6" t="s">
        <v>369</v>
      </c>
      <c r="F742" s="6" t="str">
        <f>IF($M742="PADD I","PADD 1",IF($M742="PADD II","PADD 2",IF($M742="PADD III","PADD 3",IF($M742="PADD IV","PADD 4",IF($M742="PADD V","PADD 5","")))))</f>
        <v>PADD 2</v>
      </c>
      <c r="G742" s="6">
        <f>IF(AND($H742="ATMOS DISTILLATION",ISNUMBER(SEARCH("VPS",$I742))=FALSE,LEFT($I742,6)&lt;&gt;"VACUUM"),"CDU",IF($H742="FLUID CAT CRACKING","FCC",IF(OR($H742="HYDROCRACKING",$H742="RESID_HYDROCRACKING"),"Hydrocracker",IF($H742="REFORMING","Reformer",""))))</f>
        <v/>
      </c>
      <c r="H742" s="6" t="s">
        <v>378</v>
      </c>
      <c r="I742" s="6" t="s">
        <v>536</v>
      </c>
      <c r="J742" s="6" t="s">
        <v>345</v>
      </c>
      <c r="K742" s="10">
        <v>3.9</v>
      </c>
      <c r="L742" s="10">
        <v>15</v>
      </c>
      <c r="M742" s="6" t="s">
        <v>375</v>
      </c>
    </row>
    <row r="743" spans="1:13">
      <c r="A743" s="6">
        <v>2023</v>
      </c>
      <c r="B743" s="6">
        <v>3</v>
      </c>
      <c r="C743" s="6" t="s">
        <v>61</v>
      </c>
      <c r="D743" s="6" t="s">
        <v>48</v>
      </c>
      <c r="E743" s="6" t="s">
        <v>388</v>
      </c>
      <c r="F743" s="6" t="str">
        <f>IF($M743="PADD I","PADD 1",IF($M743="PADD II","PADD 2",IF($M743="PADD III","PADD 3",IF($M743="PADD IV","PADD 4",IF($M743="PADD V","PADD 5","")))))</f>
        <v>PADD 2</v>
      </c>
      <c r="G743" s="6" t="str">
        <f>IF(AND($H743="ATMOS DISTILLATION",ISNUMBER(SEARCH("VPS",$I743))=FALSE,LEFT($I743,6)&lt;&gt;"VACUUM"),"CDU",IF($H743="FLUID CAT CRACKING","FCC",IF(OR($H743="HYDROCRACKING",$H743="RESID_HYDROCRACKING"),"Hydrocracker",IF($H743="REFORMING","Reformer",""))))</f>
        <v>CDU</v>
      </c>
      <c r="H743" s="6" t="s">
        <v>38</v>
      </c>
      <c r="I743" s="6" t="s">
        <v>720</v>
      </c>
      <c r="J743" s="6" t="s">
        <v>349</v>
      </c>
      <c r="K743" s="10">
        <v>3.825</v>
      </c>
      <c r="L743" s="10">
        <v>127.5</v>
      </c>
      <c r="M743" s="6" t="s">
        <v>375</v>
      </c>
    </row>
    <row r="744" spans="1:13">
      <c r="A744" s="6">
        <v>2023</v>
      </c>
      <c r="B744" s="6">
        <v>3</v>
      </c>
      <c r="C744" s="6" t="s">
        <v>61</v>
      </c>
      <c r="D744" s="6" t="s">
        <v>437</v>
      </c>
      <c r="E744" s="6" t="s">
        <v>438</v>
      </c>
      <c r="F744" s="6" t="str">
        <f>IF($M744="PADD I","PADD 1",IF($M744="PADD II","PADD 2",IF($M744="PADD III","PADD 3",IF($M744="PADD IV","PADD 4",IF($M744="PADD V","PADD 5","")))))</f>
        <v>PADD 4</v>
      </c>
      <c r="G744" s="6">
        <f>IF(AND($H744="ATMOS DISTILLATION",ISNUMBER(SEARCH("VPS",$I744))=FALSE,LEFT($I744,6)&lt;&gt;"VACUUM"),"CDU",IF($H744="FLUID CAT CRACKING","FCC",IF(OR($H744="HYDROCRACKING",$H744="RESID_HYDROCRACKING"),"Hydrocracker",IF($H744="REFORMING","Reformer",""))))</f>
        <v/>
      </c>
      <c r="H744" s="6" t="s">
        <v>378</v>
      </c>
      <c r="I744" s="6" t="s">
        <v>556</v>
      </c>
      <c r="J744" s="6" t="s">
        <v>345</v>
      </c>
      <c r="K744" s="10">
        <v>3.5196</v>
      </c>
      <c r="L744" s="10">
        <v>8.380000000000001</v>
      </c>
      <c r="M744" s="6" t="s">
        <v>430</v>
      </c>
    </row>
    <row r="745" spans="1:13">
      <c r="A745" s="6">
        <v>2023</v>
      </c>
      <c r="B745" s="6">
        <v>3</v>
      </c>
      <c r="C745" s="6" t="s">
        <v>61</v>
      </c>
      <c r="D745" s="6" t="s">
        <v>632</v>
      </c>
      <c r="E745" s="6" t="s">
        <v>633</v>
      </c>
      <c r="F745" s="6" t="str">
        <f>IF($M745="PADD I","PADD 1",IF($M745="PADD II","PADD 2",IF($M745="PADD III","PADD 3",IF($M745="PADD IV","PADD 4",IF($M745="PADD V","PADD 5","")))))</f>
        <v>PADD 4</v>
      </c>
      <c r="G745" s="6" t="str">
        <f>IF(AND($H745="ATMOS DISTILLATION",ISNUMBER(SEARCH("VPS",$I745))=FALSE,LEFT($I745,6)&lt;&gt;"VACUUM"),"CDU",IF($H745="FLUID CAT CRACKING","FCC",IF(OR($H745="HYDROCRACKING",$H745="RESID_HYDROCRACKING"),"Hydrocracker",IF($H745="REFORMING","Reformer",""))))</f>
        <v>CDU</v>
      </c>
      <c r="H745" s="6" t="s">
        <v>38</v>
      </c>
      <c r="I745" s="6" t="s">
        <v>81</v>
      </c>
      <c r="J745" s="6" t="s">
        <v>345</v>
      </c>
      <c r="K745" s="10">
        <v>3.3</v>
      </c>
      <c r="L745" s="10">
        <v>33</v>
      </c>
      <c r="M745" s="6" t="s">
        <v>430</v>
      </c>
    </row>
    <row r="746" spans="1:13">
      <c r="A746" s="6">
        <v>2023</v>
      </c>
      <c r="B746" s="6">
        <v>3</v>
      </c>
      <c r="C746" s="6" t="s">
        <v>61</v>
      </c>
      <c r="D746" s="6" t="s">
        <v>511</v>
      </c>
      <c r="E746" s="6" t="s">
        <v>405</v>
      </c>
      <c r="F746" s="6" t="str">
        <f>IF($M746="PADD I","PADD 1",IF($M746="PADD II","PADD 2",IF($M746="PADD III","PADD 3",IF($M746="PADD IV","PADD 4",IF($M746="PADD V","PADD 5","")))))</f>
        <v>PADD 3</v>
      </c>
      <c r="G746" s="6">
        <f>IF(AND($H746="ATMOS DISTILLATION",ISNUMBER(SEARCH("VPS",$I746))=FALSE,LEFT($I746,6)&lt;&gt;"VACUUM"),"CDU",IF($H746="FLUID CAT CRACKING","FCC",IF(OR($H746="HYDROCRACKING",$H746="RESID_HYDROCRACKING"),"Hydrocracker",IF($H746="REFORMING","Reformer",""))))</f>
        <v/>
      </c>
      <c r="H746" s="6" t="s">
        <v>43</v>
      </c>
      <c r="I746" s="6" t="s">
        <v>655</v>
      </c>
      <c r="J746" s="6" t="s">
        <v>345</v>
      </c>
      <c r="K746" s="10">
        <v>3.22</v>
      </c>
      <c r="L746" s="10">
        <v>14</v>
      </c>
      <c r="M746" s="6" t="s">
        <v>371</v>
      </c>
    </row>
    <row r="747" spans="1:13">
      <c r="A747" s="6">
        <v>2023</v>
      </c>
      <c r="B747" s="6">
        <v>3</v>
      </c>
      <c r="C747" s="6" t="s">
        <v>61</v>
      </c>
      <c r="D747" s="6" t="s">
        <v>739</v>
      </c>
      <c r="E747" s="6" t="s">
        <v>405</v>
      </c>
      <c r="F747" s="6" t="str">
        <f>IF($M747="PADD I","PADD 1",IF($M747="PADD II","PADD 2",IF($M747="PADD III","PADD 3",IF($M747="PADD IV","PADD 4",IF($M747="PADD V","PADD 5","")))))</f>
        <v>PADD 2</v>
      </c>
      <c r="G747" s="6">
        <f>IF(AND($H747="ATMOS DISTILLATION",ISNUMBER(SEARCH("VPS",$I747))=FALSE,LEFT($I747,6)&lt;&gt;"VACUUM"),"CDU",IF($H747="FLUID CAT CRACKING","FCC",IF(OR($H747="HYDROCRACKING",$H747="RESID_HYDROCRACKING"),"Hydrocracker",IF($H747="REFORMING","Reformer",""))))</f>
        <v/>
      </c>
      <c r="H747" s="6" t="s">
        <v>43</v>
      </c>
      <c r="I747" s="6" t="s">
        <v>740</v>
      </c>
      <c r="J747" s="6" t="s">
        <v>345</v>
      </c>
      <c r="K747" s="10">
        <v>3.2</v>
      </c>
      <c r="L747" s="10">
        <v>32</v>
      </c>
      <c r="M747" s="6" t="s">
        <v>375</v>
      </c>
    </row>
    <row r="748" spans="1:13">
      <c r="A748" s="6">
        <v>2023</v>
      </c>
      <c r="B748" s="6">
        <v>3</v>
      </c>
      <c r="C748" s="6" t="s">
        <v>61</v>
      </c>
      <c r="D748" s="6" t="s">
        <v>48</v>
      </c>
      <c r="E748" s="6" t="s">
        <v>388</v>
      </c>
      <c r="F748" s="6" t="str">
        <f>IF($M748="PADD I","PADD 1",IF($M748="PADD II","PADD 2",IF($M748="PADD III","PADD 3",IF($M748="PADD IV","PADD 4",IF($M748="PADD V","PADD 5","")))))</f>
        <v>PADD 2</v>
      </c>
      <c r="G748" s="6">
        <f>IF(AND($H748="ATMOS DISTILLATION",ISNUMBER(SEARCH("VPS",$I748))=FALSE,LEFT($I748,6)&lt;&gt;"VACUUM"),"CDU",IF($H748="FLUID CAT CRACKING","FCC",IF(OR($H748="HYDROCRACKING",$H748="RESID_HYDROCRACKING"),"Hydrocracker",IF($H748="REFORMING","Reformer",""))))</f>
        <v/>
      </c>
      <c r="H748" s="6" t="s">
        <v>43</v>
      </c>
      <c r="I748" s="6" t="s">
        <v>741</v>
      </c>
      <c r="J748" s="6" t="s">
        <v>349</v>
      </c>
      <c r="K748" s="10">
        <v>3.18</v>
      </c>
      <c r="L748" s="10">
        <v>53</v>
      </c>
      <c r="M748" s="6" t="s">
        <v>375</v>
      </c>
    </row>
    <row r="749" spans="1:13">
      <c r="A749" s="6">
        <v>2023</v>
      </c>
      <c r="B749" s="6">
        <v>3</v>
      </c>
      <c r="C749" s="6" t="s">
        <v>61</v>
      </c>
      <c r="D749" s="6" t="s">
        <v>372</v>
      </c>
      <c r="E749" s="6" t="s">
        <v>373</v>
      </c>
      <c r="F749" s="6" t="str">
        <f>IF($M749="PADD I","PADD 1",IF($M749="PADD II","PADD 2",IF($M749="PADD III","PADD 3",IF($M749="PADD IV","PADD 4",IF($M749="PADD V","PADD 5","")))))</f>
        <v>PADD 2</v>
      </c>
      <c r="G749" s="6">
        <f>IF(AND($H749="ATMOS DISTILLATION",ISNUMBER(SEARCH("VPS",$I749))=FALSE,LEFT($I749,6)&lt;&gt;"VACUUM"),"CDU",IF($H749="FLUID CAT CRACKING","FCC",IF(OR($H749="HYDROCRACKING",$H749="RESID_HYDROCRACKING"),"Hydrocracker",IF($H749="REFORMING","Reformer",""))))</f>
        <v/>
      </c>
      <c r="H749" s="6" t="s">
        <v>460</v>
      </c>
      <c r="I749" s="6" t="s">
        <v>541</v>
      </c>
      <c r="J749" s="6" t="s">
        <v>345</v>
      </c>
      <c r="K749" s="10">
        <v>3</v>
      </c>
      <c r="L749" s="10">
        <v>3</v>
      </c>
      <c r="M749" s="6" t="s">
        <v>375</v>
      </c>
    </row>
    <row r="750" spans="1:13">
      <c r="A750" s="6">
        <v>2023</v>
      </c>
      <c r="B750" s="6">
        <v>3</v>
      </c>
      <c r="C750" s="6" t="s">
        <v>61</v>
      </c>
      <c r="D750" s="6" t="s">
        <v>372</v>
      </c>
      <c r="E750" s="6" t="s">
        <v>373</v>
      </c>
      <c r="F750" s="6" t="str">
        <f>IF($M750="PADD I","PADD 1",IF($M750="PADD II","PADD 2",IF($M750="PADD III","PADD 3",IF($M750="PADD IV","PADD 4",IF($M750="PADD V","PADD 5","")))))</f>
        <v>PADD 2</v>
      </c>
      <c r="G750" s="6">
        <f>IF(AND($H750="ATMOS DISTILLATION",ISNUMBER(SEARCH("VPS",$I750))=FALSE,LEFT($I750,6)&lt;&gt;"VACUUM"),"CDU",IF($H750="FLUID CAT CRACKING","FCC",IF(OR($H750="HYDROCRACKING",$H750="RESID_HYDROCRACKING"),"Hydrocracker",IF($H750="REFORMING","Reformer",""))))</f>
        <v/>
      </c>
      <c r="H750" s="6" t="s">
        <v>460</v>
      </c>
      <c r="I750" s="6" t="s">
        <v>608</v>
      </c>
      <c r="J750" s="6" t="s">
        <v>345</v>
      </c>
      <c r="K750" s="10">
        <v>3</v>
      </c>
      <c r="L750" s="10">
        <v>3</v>
      </c>
      <c r="M750" s="6" t="s">
        <v>375</v>
      </c>
    </row>
    <row r="751" spans="1:13">
      <c r="A751" s="6">
        <v>2023</v>
      </c>
      <c r="B751" s="6">
        <v>3</v>
      </c>
      <c r="C751" s="6" t="s">
        <v>61</v>
      </c>
      <c r="D751" s="6" t="s">
        <v>742</v>
      </c>
      <c r="E751" s="6" t="s">
        <v>388</v>
      </c>
      <c r="F751" s="6" t="str">
        <f>IF($M751="PADD I","PADD 1",IF($M751="PADD II","PADD 2",IF($M751="PADD III","PADD 3",IF($M751="PADD IV","PADD 4",IF($M751="PADD V","PADD 5","")))))</f>
        <v>PADD 5</v>
      </c>
      <c r="G751" s="6">
        <f>IF(AND($H751="ATMOS DISTILLATION",ISNUMBER(SEARCH("VPS",$I751))=FALSE,LEFT($I751,6)&lt;&gt;"VACUUM"),"CDU",IF($H751="FLUID CAT CRACKING","FCC",IF(OR($H751="HYDROCRACKING",$H751="RESID_HYDROCRACKING"),"Hydrocracker",IF($H751="REFORMING","Reformer",""))))</f>
        <v/>
      </c>
      <c r="H751" s="6" t="s">
        <v>43</v>
      </c>
      <c r="I751" s="6" t="s">
        <v>743</v>
      </c>
      <c r="J751" s="6" t="s">
        <v>349</v>
      </c>
      <c r="K751" s="10">
        <v>3</v>
      </c>
      <c r="L751" s="10">
        <v>30</v>
      </c>
      <c r="M751" s="6" t="s">
        <v>386</v>
      </c>
    </row>
    <row r="752" spans="1:13">
      <c r="A752" s="6">
        <v>2023</v>
      </c>
      <c r="B752" s="6">
        <v>3</v>
      </c>
      <c r="C752" s="6" t="s">
        <v>61</v>
      </c>
      <c r="D752" s="6" t="s">
        <v>331</v>
      </c>
      <c r="E752" s="6" t="s">
        <v>373</v>
      </c>
      <c r="F752" s="6" t="str">
        <f>IF($M752="PADD I","PADD 1",IF($M752="PADD II","PADD 2",IF($M752="PADD III","PADD 3",IF($M752="PADD IV","PADD 4",IF($M752="PADD V","PADD 5","")))))</f>
        <v>PADD 2</v>
      </c>
      <c r="G752" s="6">
        <f>IF(AND($H752="ATMOS DISTILLATION",ISNUMBER(SEARCH("VPS",$I752))=FALSE,LEFT($I752,6)&lt;&gt;"VACUUM"),"CDU",IF($H752="FLUID CAT CRACKING","FCC",IF(OR($H752="HYDROCRACKING",$H752="RESID_HYDROCRACKING"),"Hydrocracker",IF($H752="REFORMING","Reformer",""))))</f>
        <v/>
      </c>
      <c r="H752" s="6" t="s">
        <v>435</v>
      </c>
      <c r="I752" s="6" t="s">
        <v>441</v>
      </c>
      <c r="J752" s="6" t="s">
        <v>345</v>
      </c>
      <c r="K752" s="10">
        <v>2.99</v>
      </c>
      <c r="L752" s="10">
        <v>23</v>
      </c>
      <c r="M752" s="6" t="s">
        <v>375</v>
      </c>
    </row>
    <row r="753" spans="1:13">
      <c r="A753" s="6">
        <v>2023</v>
      </c>
      <c r="B753" s="6">
        <v>3</v>
      </c>
      <c r="C753" s="6" t="s">
        <v>61</v>
      </c>
      <c r="D753" s="6" t="s">
        <v>326</v>
      </c>
      <c r="E753" s="6" t="s">
        <v>385</v>
      </c>
      <c r="F753" s="6" t="str">
        <f>IF($M753="PADD I","PADD 1",IF($M753="PADD II","PADD 2",IF($M753="PADD III","PADD 3",IF($M753="PADD IV","PADD 4",IF($M753="PADD V","PADD 5","")))))</f>
        <v>PADD 5</v>
      </c>
      <c r="G753" s="6">
        <f>IF(AND($H753="ATMOS DISTILLATION",ISNUMBER(SEARCH("VPS",$I753))=FALSE,LEFT($I753,6)&lt;&gt;"VACUUM"),"CDU",IF($H753="FLUID CAT CRACKING","FCC",IF(OR($H753="HYDROCRACKING",$H753="RESID_HYDROCRACKING"),"Hydrocracker",IF($H753="REFORMING","Reformer",""))))</f>
        <v/>
      </c>
      <c r="H753" s="6" t="s">
        <v>435</v>
      </c>
      <c r="I753" s="6" t="s">
        <v>441</v>
      </c>
      <c r="J753" s="6" t="s">
        <v>345</v>
      </c>
      <c r="K753" s="10">
        <v>2.925</v>
      </c>
      <c r="L753" s="10">
        <v>22.5</v>
      </c>
      <c r="M753" s="6" t="s">
        <v>386</v>
      </c>
    </row>
    <row r="754" spans="1:13">
      <c r="A754" s="6">
        <v>2023</v>
      </c>
      <c r="B754" s="6">
        <v>3</v>
      </c>
      <c r="C754" s="6" t="s">
        <v>61</v>
      </c>
      <c r="D754" s="6" t="s">
        <v>646</v>
      </c>
      <c r="E754" s="6" t="s">
        <v>405</v>
      </c>
      <c r="F754" s="6" t="str">
        <f>IF($M754="PADD I","PADD 1",IF($M754="PADD II","PADD 2",IF($M754="PADD III","PADD 3",IF($M754="PADD IV","PADD 4",IF($M754="PADD V","PADD 5","")))))</f>
        <v>PADD 3</v>
      </c>
      <c r="G754" s="6">
        <f>IF(AND($H754="ATMOS DISTILLATION",ISNUMBER(SEARCH("VPS",$I754))=FALSE,LEFT($I754,6)&lt;&gt;"VACUUM"),"CDU",IF($H754="FLUID CAT CRACKING","FCC",IF(OR($H754="HYDROCRACKING",$H754="RESID_HYDROCRACKING"),"Hydrocracker",IF($H754="REFORMING","Reformer",""))))</f>
        <v/>
      </c>
      <c r="H754" s="6" t="s">
        <v>43</v>
      </c>
      <c r="I754" s="6" t="s">
        <v>647</v>
      </c>
      <c r="J754" s="6" t="s">
        <v>345</v>
      </c>
      <c r="K754" s="10">
        <v>2.7</v>
      </c>
      <c r="L754" s="10">
        <v>45</v>
      </c>
      <c r="M754" s="6" t="s">
        <v>371</v>
      </c>
    </row>
    <row r="755" spans="1:13">
      <c r="A755" s="6">
        <v>2023</v>
      </c>
      <c r="B755" s="6">
        <v>3</v>
      </c>
      <c r="C755" s="6" t="s">
        <v>61</v>
      </c>
      <c r="D755" s="6" t="s">
        <v>468</v>
      </c>
      <c r="E755" s="6" t="s">
        <v>369</v>
      </c>
      <c r="F755" s="6" t="str">
        <f>IF($M755="PADD I","PADD 1",IF($M755="PADD II","PADD 2",IF($M755="PADD III","PADD 3",IF($M755="PADD IV","PADD 4",IF($M755="PADD V","PADD 5","")))))</f>
        <v>PADD 3</v>
      </c>
      <c r="G755" s="6" t="str">
        <f>IF(AND($H755="ATMOS DISTILLATION",ISNUMBER(SEARCH("VPS",$I755))=FALSE,LEFT($I755,6)&lt;&gt;"VACUUM"),"CDU",IF($H755="FLUID CAT CRACKING","FCC",IF(OR($H755="HYDROCRACKING",$H755="RESID_HYDROCRACKING"),"Hydrocracker",IF($H755="REFORMING","Reformer",""))))</f>
        <v>CDU</v>
      </c>
      <c r="H755" s="6" t="s">
        <v>38</v>
      </c>
      <c r="I755" s="6" t="s">
        <v>561</v>
      </c>
      <c r="J755" s="6" t="s">
        <v>349</v>
      </c>
      <c r="K755" s="10">
        <v>2.665</v>
      </c>
      <c r="L755" s="10">
        <v>20.5</v>
      </c>
      <c r="M755" s="6" t="s">
        <v>371</v>
      </c>
    </row>
    <row r="756" spans="1:13">
      <c r="A756" s="6">
        <v>2023</v>
      </c>
      <c r="B756" s="6">
        <v>3</v>
      </c>
      <c r="C756" s="6" t="s">
        <v>61</v>
      </c>
      <c r="D756" s="6" t="s">
        <v>326</v>
      </c>
      <c r="E756" s="6" t="s">
        <v>385</v>
      </c>
      <c r="F756" s="6" t="str">
        <f>IF($M756="PADD I","PADD 1",IF($M756="PADD II","PADD 2",IF($M756="PADD III","PADD 3",IF($M756="PADD IV","PADD 4",IF($M756="PADD V","PADD 5","")))))</f>
        <v>PADD 5</v>
      </c>
      <c r="G756" s="6" t="str">
        <f>IF(AND($H756="ATMOS DISTILLATION",ISNUMBER(SEARCH("VPS",$I756))=FALSE,LEFT($I756,6)&lt;&gt;"VACUUM"),"CDU",IF($H756="FLUID CAT CRACKING","FCC",IF(OR($H756="HYDROCRACKING",$H756="RESID_HYDROCRACKING"),"Hydrocracker",IF($H756="REFORMING","Reformer",""))))</f>
        <v>Hydrocracker</v>
      </c>
      <c r="H756" s="6" t="s">
        <v>444</v>
      </c>
      <c r="I756" s="6" t="s">
        <v>498</v>
      </c>
      <c r="J756" s="6" t="s">
        <v>349</v>
      </c>
      <c r="K756" s="10">
        <v>2.52</v>
      </c>
      <c r="L756" s="10">
        <v>42</v>
      </c>
      <c r="M756" s="6" t="s">
        <v>386</v>
      </c>
    </row>
    <row r="757" spans="1:13">
      <c r="A757" s="6">
        <v>2023</v>
      </c>
      <c r="B757" s="6">
        <v>3</v>
      </c>
      <c r="C757" s="6" t="s">
        <v>61</v>
      </c>
      <c r="D757" s="6" t="s">
        <v>742</v>
      </c>
      <c r="E757" s="6" t="s">
        <v>388</v>
      </c>
      <c r="F757" s="6" t="str">
        <f>IF($M757="PADD I","PADD 1",IF($M757="PADD II","PADD 2",IF($M757="PADD III","PADD 3",IF($M757="PADD IV","PADD 4",IF($M757="PADD V","PADD 5","")))))</f>
        <v>PADD 5</v>
      </c>
      <c r="G757" s="6" t="str">
        <f>IF(AND($H757="ATMOS DISTILLATION",ISNUMBER(SEARCH("VPS",$I757))=FALSE,LEFT($I757,6)&lt;&gt;"VACUUM"),"CDU",IF($H757="FLUID CAT CRACKING","FCC",IF(OR($H757="HYDROCRACKING",$H757="RESID_HYDROCRACKING"),"Hydrocracker",IF($H757="REFORMING","Reformer",""))))</f>
        <v>FCC</v>
      </c>
      <c r="H757" s="6" t="s">
        <v>376</v>
      </c>
      <c r="I757" s="6" t="s">
        <v>105</v>
      </c>
      <c r="J757" s="6" t="s">
        <v>349</v>
      </c>
      <c r="K757" s="10">
        <v>2.52</v>
      </c>
      <c r="L757" s="10">
        <v>42</v>
      </c>
      <c r="M757" s="6" t="s">
        <v>386</v>
      </c>
    </row>
    <row r="758" spans="1:13">
      <c r="A758" s="6">
        <v>2023</v>
      </c>
      <c r="B758" s="6">
        <v>3</v>
      </c>
      <c r="C758" s="6" t="s">
        <v>61</v>
      </c>
      <c r="D758" s="6" t="s">
        <v>742</v>
      </c>
      <c r="E758" s="6" t="s">
        <v>388</v>
      </c>
      <c r="F758" s="6" t="str">
        <f>IF($M758="PADD I","PADD 1",IF($M758="PADD II","PADD 2",IF($M758="PADD III","PADD 3",IF($M758="PADD IV","PADD 4",IF($M758="PADD V","PADD 5","")))))</f>
        <v>PADD 5</v>
      </c>
      <c r="G758" s="6">
        <f>IF(AND($H758="ATMOS DISTILLATION",ISNUMBER(SEARCH("VPS",$I758))=FALSE,LEFT($I758,6)&lt;&gt;"VACUUM"),"CDU",IF($H758="FLUID CAT CRACKING","FCC",IF(OR($H758="HYDROCRACKING",$H758="RESID_HYDROCRACKING"),"Hydrocracker",IF($H758="REFORMING","Reformer",""))))</f>
        <v/>
      </c>
      <c r="H758" s="6" t="s">
        <v>43</v>
      </c>
      <c r="I758" s="6" t="s">
        <v>744</v>
      </c>
      <c r="J758" s="6" t="s">
        <v>349</v>
      </c>
      <c r="K758" s="10">
        <v>2.5</v>
      </c>
      <c r="L758" s="10">
        <v>25</v>
      </c>
      <c r="M758" s="6" t="s">
        <v>386</v>
      </c>
    </row>
    <row r="759" spans="1:13">
      <c r="A759" s="6">
        <v>2023</v>
      </c>
      <c r="B759" s="6">
        <v>3</v>
      </c>
      <c r="C759" s="6" t="s">
        <v>61</v>
      </c>
      <c r="D759" s="6" t="s">
        <v>732</v>
      </c>
      <c r="E759" s="6" t="s">
        <v>733</v>
      </c>
      <c r="F759" s="6" t="str">
        <f>IF($M759="PADD I","PADD 1",IF($M759="PADD II","PADD 2",IF($M759="PADD III","PADD 3",IF($M759="PADD IV","PADD 4",IF($M759="PADD V","PADD 5","")))))</f>
        <v>PADD 4</v>
      </c>
      <c r="G759" s="6">
        <f>IF(AND($H759="ATMOS DISTILLATION",ISNUMBER(SEARCH("VPS",$I759))=FALSE,LEFT($I759,6)&lt;&gt;"VACUUM"),"CDU",IF($H759="FLUID CAT CRACKING","FCC",IF(OR($H759="HYDROCRACKING",$H759="RESID_HYDROCRACKING"),"Hydrocracker",IF($H759="REFORMING","Reformer",""))))</f>
        <v/>
      </c>
      <c r="H759" s="6" t="s">
        <v>43</v>
      </c>
      <c r="I759" s="6" t="s">
        <v>745</v>
      </c>
      <c r="J759" s="6" t="s">
        <v>349</v>
      </c>
      <c r="K759" s="10">
        <v>2.405</v>
      </c>
      <c r="L759" s="10">
        <v>18.5</v>
      </c>
      <c r="M759" s="6" t="s">
        <v>430</v>
      </c>
    </row>
    <row r="760" spans="1:13">
      <c r="A760" s="6">
        <v>2023</v>
      </c>
      <c r="B760" s="6">
        <v>3</v>
      </c>
      <c r="C760" s="6" t="s">
        <v>61</v>
      </c>
      <c r="D760" s="6" t="s">
        <v>402</v>
      </c>
      <c r="E760" s="6" t="s">
        <v>403</v>
      </c>
      <c r="F760" s="6" t="str">
        <f>IF($M760="PADD I","PADD 1",IF($M760="PADD II","PADD 2",IF($M760="PADD III","PADD 3",IF($M760="PADD IV","PADD 4",IF($M760="PADD V","PADD 5","")))))</f>
        <v>PADD 3</v>
      </c>
      <c r="G760" s="6">
        <f>IF(AND($H760="ATMOS DISTILLATION",ISNUMBER(SEARCH("VPS",$I760))=FALSE,LEFT($I760,6)&lt;&gt;"VACUUM"),"CDU",IF($H760="FLUID CAT CRACKING","FCC",IF(OR($H760="HYDROCRACKING",$H760="RESID_HYDROCRACKING"),"Hydrocracker",IF($H760="REFORMING","Reformer",""))))</f>
        <v/>
      </c>
      <c r="H760" s="6" t="s">
        <v>568</v>
      </c>
      <c r="I760" s="6" t="s">
        <v>600</v>
      </c>
      <c r="J760" s="6" t="s">
        <v>349</v>
      </c>
      <c r="K760" s="10">
        <v>2.25</v>
      </c>
      <c r="L760" s="10">
        <v>5</v>
      </c>
      <c r="M760" s="6" t="s">
        <v>371</v>
      </c>
    </row>
    <row r="761" spans="1:13">
      <c r="A761" s="6">
        <v>2023</v>
      </c>
      <c r="B761" s="6">
        <v>3</v>
      </c>
      <c r="C761" s="6" t="s">
        <v>61</v>
      </c>
      <c r="D761" s="6" t="s">
        <v>727</v>
      </c>
      <c r="E761" s="6" t="s">
        <v>728</v>
      </c>
      <c r="F761" s="6" t="str">
        <f>IF($M761="PADD I","PADD 1",IF($M761="PADD II","PADD 2",IF($M761="PADD III","PADD 3",IF($M761="PADD IV","PADD 4",IF($M761="PADD V","PADD 5","")))))</f>
        <v>PADD 1</v>
      </c>
      <c r="G761" s="6">
        <f>IF(AND($H761="ATMOS DISTILLATION",ISNUMBER(SEARCH("VPS",$I761))=FALSE,LEFT($I761,6)&lt;&gt;"VACUUM"),"CDU",IF($H761="FLUID CAT CRACKING","FCC",IF(OR($H761="HYDROCRACKING",$H761="RESID_HYDROCRACKING"),"Hydrocracker",IF($H761="REFORMING","Reformer",""))))</f>
        <v/>
      </c>
      <c r="H761" s="6" t="s">
        <v>378</v>
      </c>
      <c r="I761" s="6" t="s">
        <v>431</v>
      </c>
      <c r="J761" s="6" t="s">
        <v>349</v>
      </c>
      <c r="K761" s="10">
        <v>2.21</v>
      </c>
      <c r="L761" s="10">
        <v>8.5</v>
      </c>
      <c r="M761" s="6" t="s">
        <v>413</v>
      </c>
    </row>
    <row r="762" spans="1:13">
      <c r="A762" s="6">
        <v>2023</v>
      </c>
      <c r="B762" s="6">
        <v>3</v>
      </c>
      <c r="C762" s="6" t="s">
        <v>61</v>
      </c>
      <c r="D762" s="6" t="s">
        <v>402</v>
      </c>
      <c r="E762" s="6" t="s">
        <v>403</v>
      </c>
      <c r="F762" s="6" t="str">
        <f>IF($M762="PADD I","PADD 1",IF($M762="PADD II","PADD 2",IF($M762="PADD III","PADD 3",IF($M762="PADD IV","PADD 4",IF($M762="PADD V","PADD 5","")))))</f>
        <v>PADD 3</v>
      </c>
      <c r="G762" s="6">
        <f>IF(AND($H762="ATMOS DISTILLATION",ISNUMBER(SEARCH("VPS",$I762))=FALSE,LEFT($I762,6)&lt;&gt;"VACUUM"),"CDU",IF($H762="FLUID CAT CRACKING","FCC",IF(OR($H762="HYDROCRACKING",$H762="RESID_HYDROCRACKING"),"Hydrocracker",IF($H762="REFORMING","Reformer",""))))</f>
        <v/>
      </c>
      <c r="H762" s="6" t="s">
        <v>460</v>
      </c>
      <c r="I762" s="6" t="s">
        <v>603</v>
      </c>
      <c r="J762" s="6" t="s">
        <v>349</v>
      </c>
      <c r="K762" s="10">
        <v>2.16</v>
      </c>
      <c r="L762" s="10">
        <v>4.8</v>
      </c>
      <c r="M762" s="6" t="s">
        <v>371</v>
      </c>
    </row>
    <row r="763" spans="1:13">
      <c r="A763" s="6">
        <v>2023</v>
      </c>
      <c r="B763" s="6">
        <v>3</v>
      </c>
      <c r="C763" s="6" t="s">
        <v>61</v>
      </c>
      <c r="D763" s="6" t="s">
        <v>326</v>
      </c>
      <c r="E763" s="6" t="s">
        <v>385</v>
      </c>
      <c r="F763" s="6" t="str">
        <f>IF($M763="PADD I","PADD 1",IF($M763="PADD II","PADD 2",IF($M763="PADD III","PADD 3",IF($M763="PADD IV","PADD 4",IF($M763="PADD V","PADD 5","")))))</f>
        <v>PADD 5</v>
      </c>
      <c r="G763" s="6" t="str">
        <f>IF(AND($H763="ATMOS DISTILLATION",ISNUMBER(SEARCH("VPS",$I763))=FALSE,LEFT($I763,6)&lt;&gt;"VACUUM"),"CDU",IF($H763="FLUID CAT CRACKING","FCC",IF(OR($H763="HYDROCRACKING",$H763="RESID_HYDROCRACKING"),"Hydrocracker",IF($H763="REFORMING","Reformer",""))))</f>
        <v>FCC</v>
      </c>
      <c r="H763" s="6" t="s">
        <v>376</v>
      </c>
      <c r="I763" s="6" t="s">
        <v>504</v>
      </c>
      <c r="J763" s="6" t="s">
        <v>349</v>
      </c>
      <c r="K763" s="10">
        <v>2.1</v>
      </c>
      <c r="L763" s="10">
        <v>35</v>
      </c>
      <c r="M763" s="6" t="s">
        <v>386</v>
      </c>
    </row>
    <row r="764" spans="1:13">
      <c r="A764" s="6">
        <v>2023</v>
      </c>
      <c r="B764" s="6">
        <v>3</v>
      </c>
      <c r="C764" s="6" t="s">
        <v>61</v>
      </c>
      <c r="D764" s="6" t="s">
        <v>732</v>
      </c>
      <c r="E764" s="6" t="s">
        <v>733</v>
      </c>
      <c r="F764" s="6" t="str">
        <f>IF($M764="PADD I","PADD 1",IF($M764="PADD II","PADD 2",IF($M764="PADD III","PADD 3",IF($M764="PADD IV","PADD 4",IF($M764="PADD V","PADD 5","")))))</f>
        <v>PADD 4</v>
      </c>
      <c r="G764" s="6" t="str">
        <f>IF(AND($H764="ATMOS DISTILLATION",ISNUMBER(SEARCH("VPS",$I764))=FALSE,LEFT($I764,6)&lt;&gt;"VACUUM"),"CDU",IF($H764="FLUID CAT CRACKING","FCC",IF(OR($H764="HYDROCRACKING",$H764="RESID_HYDROCRACKING"),"Hydrocracker",IF($H764="REFORMING","Reformer",""))))</f>
        <v>FCC</v>
      </c>
      <c r="H764" s="6" t="s">
        <v>376</v>
      </c>
      <c r="I764" s="6" t="s">
        <v>105</v>
      </c>
      <c r="J764" s="6" t="s">
        <v>349</v>
      </c>
      <c r="K764" s="10">
        <v>2.08</v>
      </c>
      <c r="L764" s="10">
        <v>16</v>
      </c>
      <c r="M764" s="6" t="s">
        <v>430</v>
      </c>
    </row>
    <row r="765" spans="1:13">
      <c r="A765" s="6">
        <v>2023</v>
      </c>
      <c r="B765" s="6">
        <v>3</v>
      </c>
      <c r="C765" s="6" t="s">
        <v>61</v>
      </c>
      <c r="D765" s="6" t="s">
        <v>727</v>
      </c>
      <c r="E765" s="6" t="s">
        <v>728</v>
      </c>
      <c r="F765" s="6" t="str">
        <f>IF($M765="PADD I","PADD 1",IF($M765="PADD II","PADD 2",IF($M765="PADD III","PADD 3",IF($M765="PADD IV","PADD 4",IF($M765="PADD V","PADD 5","")))))</f>
        <v>PADD 1</v>
      </c>
      <c r="G765" s="6">
        <f>IF(AND($H765="ATMOS DISTILLATION",ISNUMBER(SEARCH("VPS",$I765))=FALSE,LEFT($I765,6)&lt;&gt;"VACUUM"),"CDU",IF($H765="FLUID CAT CRACKING","FCC",IF(OR($H765="HYDROCRACKING",$H765="RESID_HYDROCRACKING"),"Hydrocracker",IF($H765="REFORMING","Reformer",""))))</f>
        <v/>
      </c>
      <c r="H765" s="6" t="s">
        <v>43</v>
      </c>
      <c r="I765" s="6" t="s">
        <v>520</v>
      </c>
      <c r="J765" s="6" t="s">
        <v>349</v>
      </c>
      <c r="K765" s="10">
        <v>2.08</v>
      </c>
      <c r="L765" s="10">
        <v>8</v>
      </c>
      <c r="M765" s="6" t="s">
        <v>413</v>
      </c>
    </row>
    <row r="766" spans="1:13">
      <c r="A766" s="6">
        <v>2023</v>
      </c>
      <c r="B766" s="6">
        <v>3</v>
      </c>
      <c r="C766" s="6" t="s">
        <v>61</v>
      </c>
      <c r="D766" s="6" t="s">
        <v>612</v>
      </c>
      <c r="E766" s="6" t="s">
        <v>416</v>
      </c>
      <c r="F766" s="6" t="str">
        <f>IF($M766="PADD I","PADD 1",IF($M766="PADD II","PADD 2",IF($M766="PADD III","PADD 3",IF($M766="PADD IV","PADD 4",IF($M766="PADD V","PADD 5","")))))</f>
        <v>PADD 3</v>
      </c>
      <c r="G766" s="6" t="str">
        <f>IF(AND($H766="ATMOS DISTILLATION",ISNUMBER(SEARCH("VPS",$I766))=FALSE,LEFT($I766,6)&lt;&gt;"VACUUM"),"CDU",IF($H766="FLUID CAT CRACKING","FCC",IF(OR($H766="HYDROCRACKING",$H766="RESID_HYDROCRACKING"),"Hydrocracker",IF($H766="REFORMING","Reformer",""))))</f>
        <v>FCC</v>
      </c>
      <c r="H766" s="6" t="s">
        <v>376</v>
      </c>
      <c r="I766" s="6" t="s">
        <v>428</v>
      </c>
      <c r="J766" s="6" t="s">
        <v>345</v>
      </c>
      <c r="K766" s="10">
        <v>2.07</v>
      </c>
      <c r="L766" s="10">
        <v>69</v>
      </c>
      <c r="M766" s="6" t="s">
        <v>371</v>
      </c>
    </row>
    <row r="767" spans="1:13">
      <c r="A767" s="6">
        <v>2023</v>
      </c>
      <c r="B767" s="6">
        <v>3</v>
      </c>
      <c r="C767" s="6" t="s">
        <v>61</v>
      </c>
      <c r="D767" s="6" t="s">
        <v>468</v>
      </c>
      <c r="E767" s="6" t="s">
        <v>369</v>
      </c>
      <c r="F767" s="6" t="str">
        <f>IF($M767="PADD I","PADD 1",IF($M767="PADD II","PADD 2",IF($M767="PADD III","PADD 3",IF($M767="PADD IV","PADD 4",IF($M767="PADD V","PADD 5","")))))</f>
        <v>PADD 3</v>
      </c>
      <c r="G767" s="6" t="str">
        <f>IF(AND($H767="ATMOS DISTILLATION",ISNUMBER(SEARCH("VPS",$I767))=FALSE,LEFT($I767,6)&lt;&gt;"VACUUM"),"CDU",IF($H767="FLUID CAT CRACKING","FCC",IF(OR($H767="HYDROCRACKING",$H767="RESID_HYDROCRACKING"),"Hydrocracker",IF($H767="REFORMING","Reformer",""))))</f>
        <v>CDU</v>
      </c>
      <c r="H767" s="6" t="s">
        <v>38</v>
      </c>
      <c r="I767" s="6" t="s">
        <v>509</v>
      </c>
      <c r="J767" s="6" t="s">
        <v>349</v>
      </c>
      <c r="K767" s="10">
        <v>2.04</v>
      </c>
      <c r="L767" s="10">
        <v>68</v>
      </c>
      <c r="M767" s="6" t="s">
        <v>371</v>
      </c>
    </row>
    <row r="768" spans="1:13">
      <c r="A768" s="6">
        <v>2023</v>
      </c>
      <c r="B768" s="6">
        <v>3</v>
      </c>
      <c r="C768" s="6" t="s">
        <v>61</v>
      </c>
      <c r="D768" s="6" t="s">
        <v>462</v>
      </c>
      <c r="E768" s="6" t="s">
        <v>438</v>
      </c>
      <c r="F768" s="6" t="str">
        <f>IF($M768="PADD I","PADD 1",IF($M768="PADD II","PADD 2",IF($M768="PADD III","PADD 3",IF($M768="PADD IV","PADD 4",IF($M768="PADD V","PADD 5","")))))</f>
        <v>PADD 4</v>
      </c>
      <c r="G768" s="6" t="str">
        <f>IF(AND($H768="ATMOS DISTILLATION",ISNUMBER(SEARCH("VPS",$I768))=FALSE,LEFT($I768,6)&lt;&gt;"VACUUM"),"CDU",IF($H768="FLUID CAT CRACKING","FCC",IF(OR($H768="HYDROCRACKING",$H768="RESID_HYDROCRACKING"),"Hydrocracker",IF($H768="REFORMING","Reformer",""))))</f>
        <v>CDU</v>
      </c>
      <c r="H768" s="6" t="s">
        <v>38</v>
      </c>
      <c r="I768" s="6" t="s">
        <v>123</v>
      </c>
      <c r="J768" s="6" t="s">
        <v>345</v>
      </c>
      <c r="K768" s="10">
        <v>2.022</v>
      </c>
      <c r="L768" s="10">
        <v>33.7</v>
      </c>
      <c r="M768" s="6" t="s">
        <v>430</v>
      </c>
    </row>
    <row r="769" spans="1:13">
      <c r="A769" s="6">
        <v>2023</v>
      </c>
      <c r="B769" s="6">
        <v>3</v>
      </c>
      <c r="C769" s="6" t="s">
        <v>61</v>
      </c>
      <c r="D769" s="6" t="s">
        <v>420</v>
      </c>
      <c r="E769" s="6" t="s">
        <v>373</v>
      </c>
      <c r="F769" s="6" t="str">
        <f>IF($M769="PADD I","PADD 1",IF($M769="PADD II","PADD 2",IF($M769="PADD III","PADD 3",IF($M769="PADD IV","PADD 4",IF($M769="PADD V","PADD 5","")))))</f>
        <v>PADD 2</v>
      </c>
      <c r="G769" s="6">
        <f>IF(AND($H769="ATMOS DISTILLATION",ISNUMBER(SEARCH("VPS",$I769))=FALSE,LEFT($I769,6)&lt;&gt;"VACUUM"),"CDU",IF($H769="FLUID CAT CRACKING","FCC",IF(OR($H769="HYDROCRACKING",$H769="RESID_HYDROCRACKING"),"Hydrocracker",IF($H769="REFORMING","Reformer",""))))</f>
        <v/>
      </c>
      <c r="H769" s="6" t="s">
        <v>568</v>
      </c>
      <c r="I769" s="6" t="s">
        <v>604</v>
      </c>
      <c r="J769" s="6" t="s">
        <v>345</v>
      </c>
      <c r="K769" s="10">
        <v>2</v>
      </c>
      <c r="L769" s="10">
        <v>2</v>
      </c>
      <c r="M769" s="6" t="s">
        <v>375</v>
      </c>
    </row>
    <row r="770" spans="1:13">
      <c r="A770" s="6">
        <v>2023</v>
      </c>
      <c r="B770" s="6">
        <v>3</v>
      </c>
      <c r="C770" s="6" t="s">
        <v>61</v>
      </c>
      <c r="D770" s="6" t="s">
        <v>732</v>
      </c>
      <c r="E770" s="6" t="s">
        <v>733</v>
      </c>
      <c r="F770" s="6" t="str">
        <f>IF($M770="PADD I","PADD 1",IF($M770="PADD II","PADD 2",IF($M770="PADD III","PADD 3",IF($M770="PADD IV","PADD 4",IF($M770="PADD V","PADD 5","")))))</f>
        <v>PADD 4</v>
      </c>
      <c r="G770" s="6">
        <f>IF(AND($H770="ATMOS DISTILLATION",ISNUMBER(SEARCH("VPS",$I770))=FALSE,LEFT($I770,6)&lt;&gt;"VACUUM"),"CDU",IF($H770="FLUID CAT CRACKING","FCC",IF(OR($H770="HYDROCRACKING",$H770="RESID_HYDROCRACKING"),"Hydrocracker",IF($H770="REFORMING","Reformer",""))))</f>
        <v/>
      </c>
      <c r="H770" s="6" t="s">
        <v>435</v>
      </c>
      <c r="I770" s="6" t="s">
        <v>441</v>
      </c>
      <c r="J770" s="6" t="s">
        <v>349</v>
      </c>
      <c r="K770" s="10">
        <v>1.95</v>
      </c>
      <c r="L770" s="10">
        <v>15</v>
      </c>
      <c r="M770" s="6" t="s">
        <v>430</v>
      </c>
    </row>
    <row r="771" spans="1:13">
      <c r="A771" s="6">
        <v>2023</v>
      </c>
      <c r="B771" s="6">
        <v>3</v>
      </c>
      <c r="C771" s="6" t="s">
        <v>61</v>
      </c>
      <c r="D771" s="6" t="s">
        <v>732</v>
      </c>
      <c r="E771" s="6" t="s">
        <v>733</v>
      </c>
      <c r="F771" s="6" t="str">
        <f>IF($M771="PADD I","PADD 1",IF($M771="PADD II","PADD 2",IF($M771="PADD III","PADD 3",IF($M771="PADD IV","PADD 4",IF($M771="PADD V","PADD 5","")))))</f>
        <v>PADD 4</v>
      </c>
      <c r="G771" s="6">
        <f>IF(AND($H771="ATMOS DISTILLATION",ISNUMBER(SEARCH("VPS",$I771))=FALSE,LEFT($I771,6)&lt;&gt;"VACUUM"),"CDU",IF($H771="FLUID CAT CRACKING","FCC",IF(OR($H771="HYDROCRACKING",$H771="RESID_HYDROCRACKING"),"Hydrocracker",IF($H771="REFORMING","Reformer",""))))</f>
        <v/>
      </c>
      <c r="H771" s="6" t="s">
        <v>43</v>
      </c>
      <c r="I771" s="6" t="s">
        <v>746</v>
      </c>
      <c r="J771" s="6" t="s">
        <v>349</v>
      </c>
      <c r="K771" s="10">
        <v>1.95</v>
      </c>
      <c r="L771" s="10">
        <v>15</v>
      </c>
      <c r="M771" s="6" t="s">
        <v>430</v>
      </c>
    </row>
    <row r="772" spans="1:13">
      <c r="A772" s="6">
        <v>2023</v>
      </c>
      <c r="B772" s="6">
        <v>3</v>
      </c>
      <c r="C772" s="6" t="s">
        <v>61</v>
      </c>
      <c r="D772" s="6" t="s">
        <v>732</v>
      </c>
      <c r="E772" s="6" t="s">
        <v>733</v>
      </c>
      <c r="F772" s="6" t="str">
        <f>IF($M772="PADD I","PADD 1",IF($M772="PADD II","PADD 2",IF($M772="PADD III","PADD 3",IF($M772="PADD IV","PADD 4",IF($M772="PADD V","PADD 5","")))))</f>
        <v>PADD 4</v>
      </c>
      <c r="G772" s="6" t="str">
        <f>IF(AND($H772="ATMOS DISTILLATION",ISNUMBER(SEARCH("VPS",$I772))=FALSE,LEFT($I772,6)&lt;&gt;"VACUUM"),"CDU",IF($H772="FLUID CAT CRACKING","FCC",IF(OR($H772="HYDROCRACKING",$H772="RESID_HYDROCRACKING"),"Hydrocracker",IF($H772="REFORMING","Reformer",""))))</f>
        <v>Hydrocracker</v>
      </c>
      <c r="H772" s="6" t="s">
        <v>444</v>
      </c>
      <c r="I772" s="6" t="s">
        <v>707</v>
      </c>
      <c r="J772" s="6" t="s">
        <v>349</v>
      </c>
      <c r="K772" s="10">
        <v>1.95</v>
      </c>
      <c r="L772" s="10">
        <v>15</v>
      </c>
      <c r="M772" s="6" t="s">
        <v>430</v>
      </c>
    </row>
    <row r="773" spans="1:13">
      <c r="A773" s="6">
        <v>2023</v>
      </c>
      <c r="B773" s="6">
        <v>3</v>
      </c>
      <c r="C773" s="6" t="s">
        <v>61</v>
      </c>
      <c r="D773" s="6" t="s">
        <v>48</v>
      </c>
      <c r="E773" s="6" t="s">
        <v>388</v>
      </c>
      <c r="F773" s="6" t="str">
        <f>IF($M773="PADD I","PADD 1",IF($M773="PADD II","PADD 2",IF($M773="PADD III","PADD 3",IF($M773="PADD IV","PADD 4",IF($M773="PADD V","PADD 5","")))))</f>
        <v>PADD 2</v>
      </c>
      <c r="G773" s="6">
        <f>IF(AND($H773="ATMOS DISTILLATION",ISNUMBER(SEARCH("VPS",$I773))=FALSE,LEFT($I773,6)&lt;&gt;"VACUUM"),"CDU",IF($H773="FLUID CAT CRACKING","FCC",IF(OR($H773="HYDROCRACKING",$H773="RESID_HYDROCRACKING"),"Hydrocracker",IF($H773="REFORMING","Reformer",""))))</f>
        <v/>
      </c>
      <c r="H773" s="6" t="s">
        <v>378</v>
      </c>
      <c r="I773" s="6" t="s">
        <v>431</v>
      </c>
      <c r="J773" s="6" t="s">
        <v>345</v>
      </c>
      <c r="K773" s="10">
        <v>1.95</v>
      </c>
      <c r="L773" s="10">
        <v>65</v>
      </c>
      <c r="M773" s="6" t="s">
        <v>375</v>
      </c>
    </row>
    <row r="774" spans="1:13">
      <c r="A774" s="6">
        <v>2023</v>
      </c>
      <c r="B774" s="6">
        <v>3</v>
      </c>
      <c r="C774" s="6" t="s">
        <v>61</v>
      </c>
      <c r="D774" s="6" t="s">
        <v>484</v>
      </c>
      <c r="E774" s="6" t="s">
        <v>409</v>
      </c>
      <c r="F774" s="6" t="str">
        <f>IF($M774="PADD I","PADD 1",IF($M774="PADD II","PADD 2",IF($M774="PADD III","PADD 3",IF($M774="PADD IV","PADD 4",IF($M774="PADD V","PADD 5","")))))</f>
        <v>PADD 3</v>
      </c>
      <c r="G774" s="6">
        <f>IF(AND($H774="ATMOS DISTILLATION",ISNUMBER(SEARCH("VPS",$I774))=FALSE,LEFT($I774,6)&lt;&gt;"VACUUM"),"CDU",IF($H774="FLUID CAT CRACKING","FCC",IF(OR($H774="HYDROCRACKING",$H774="RESID_HYDROCRACKING"),"Hydrocracker",IF($H774="REFORMING","Reformer",""))))</f>
        <v/>
      </c>
      <c r="H774" s="6" t="s">
        <v>43</v>
      </c>
      <c r="I774" s="6" t="s">
        <v>493</v>
      </c>
      <c r="J774" s="6" t="s">
        <v>345</v>
      </c>
      <c r="K774" s="10">
        <v>1.9</v>
      </c>
      <c r="L774" s="10">
        <v>10</v>
      </c>
      <c r="M774" s="6" t="s">
        <v>371</v>
      </c>
    </row>
    <row r="775" spans="1:13">
      <c r="A775" s="6">
        <v>2023</v>
      </c>
      <c r="B775" s="6">
        <v>3</v>
      </c>
      <c r="C775" s="6" t="s">
        <v>61</v>
      </c>
      <c r="D775" s="6" t="s">
        <v>732</v>
      </c>
      <c r="E775" s="6" t="s">
        <v>733</v>
      </c>
      <c r="F775" s="6" t="str">
        <f>IF($M775="PADD I","PADD 1",IF($M775="PADD II","PADD 2",IF($M775="PADD III","PADD 3",IF($M775="PADD IV","PADD 4",IF($M775="PADD V","PADD 5","")))))</f>
        <v>PADD 4</v>
      </c>
      <c r="G775" s="6">
        <f>IF(AND($H775="ATMOS DISTILLATION",ISNUMBER(SEARCH("VPS",$I775))=FALSE,LEFT($I775,6)&lt;&gt;"VACUUM"),"CDU",IF($H775="FLUID CAT CRACKING","FCC",IF(OR($H775="HYDROCRACKING",$H775="RESID_HYDROCRACKING"),"Hydrocracker",IF($H775="REFORMING","Reformer",""))))</f>
        <v/>
      </c>
      <c r="H775" s="6" t="s">
        <v>43</v>
      </c>
      <c r="I775" s="6" t="s">
        <v>747</v>
      </c>
      <c r="J775" s="6" t="s">
        <v>349</v>
      </c>
      <c r="K775" s="10">
        <v>1.82</v>
      </c>
      <c r="L775" s="10">
        <v>14</v>
      </c>
      <c r="M775" s="6" t="s">
        <v>430</v>
      </c>
    </row>
    <row r="776" spans="1:13">
      <c r="A776" s="6">
        <v>2023</v>
      </c>
      <c r="B776" s="6">
        <v>3</v>
      </c>
      <c r="C776" s="6" t="s">
        <v>61</v>
      </c>
      <c r="D776" s="6" t="s">
        <v>714</v>
      </c>
      <c r="E776" s="6" t="s">
        <v>405</v>
      </c>
      <c r="F776" s="6" t="str">
        <f>IF($M776="PADD I","PADD 1",IF($M776="PADD II","PADD 2",IF($M776="PADD III","PADD 3",IF($M776="PADD IV","PADD 4",IF($M776="PADD V","PADD 5","")))))</f>
        <v>PADD 3</v>
      </c>
      <c r="G776" s="6" t="str">
        <f>IF(AND($H776="ATMOS DISTILLATION",ISNUMBER(SEARCH("VPS",$I776))=FALSE,LEFT($I776,6)&lt;&gt;"VACUUM"),"CDU",IF($H776="FLUID CAT CRACKING","FCC",IF(OR($H776="HYDROCRACKING",$H776="RESID_HYDROCRACKING"),"Hydrocracker",IF($H776="REFORMING","Reformer",""))))</f>
        <v>Hydrocracker</v>
      </c>
      <c r="H776" s="6" t="s">
        <v>444</v>
      </c>
      <c r="I776" s="6" t="s">
        <v>14</v>
      </c>
      <c r="J776" s="6" t="s">
        <v>345</v>
      </c>
      <c r="K776" s="10">
        <v>1.77</v>
      </c>
      <c r="L776" s="10">
        <v>29.5</v>
      </c>
      <c r="M776" s="6" t="s">
        <v>371</v>
      </c>
    </row>
    <row r="777" spans="1:13">
      <c r="A777" s="6">
        <v>2023</v>
      </c>
      <c r="B777" s="6">
        <v>3</v>
      </c>
      <c r="C777" s="6" t="s">
        <v>61</v>
      </c>
      <c r="D777" s="6" t="s">
        <v>732</v>
      </c>
      <c r="E777" s="6" t="s">
        <v>733</v>
      </c>
      <c r="F777" s="6" t="str">
        <f>IF($M777="PADD I","PADD 1",IF($M777="PADD II","PADD 2",IF($M777="PADD III","PADD 3",IF($M777="PADD IV","PADD 4",IF($M777="PADD V","PADD 5","")))))</f>
        <v>PADD 4</v>
      </c>
      <c r="G777" s="6" t="str">
        <f>IF(AND($H777="ATMOS DISTILLATION",ISNUMBER(SEARCH("VPS",$I777))=FALSE,LEFT($I777,6)&lt;&gt;"VACUUM"),"CDU",IF($H777="FLUID CAT CRACKING","FCC",IF(OR($H777="HYDROCRACKING",$H777="RESID_HYDROCRACKING"),"Hydrocracker",IF($H777="REFORMING","Reformer",""))))</f>
        <v>CDU</v>
      </c>
      <c r="H777" s="6" t="s">
        <v>38</v>
      </c>
      <c r="I777" s="6" t="s">
        <v>135</v>
      </c>
      <c r="J777" s="6" t="s">
        <v>349</v>
      </c>
      <c r="K777" s="10">
        <v>1.69</v>
      </c>
      <c r="L777" s="10">
        <v>13</v>
      </c>
      <c r="M777" s="6" t="s">
        <v>430</v>
      </c>
    </row>
    <row r="778" spans="1:13">
      <c r="A778" s="6">
        <v>2023</v>
      </c>
      <c r="B778" s="6">
        <v>3</v>
      </c>
      <c r="C778" s="6" t="s">
        <v>61</v>
      </c>
      <c r="D778" s="6" t="s">
        <v>748</v>
      </c>
      <c r="E778" s="6" t="s">
        <v>388</v>
      </c>
      <c r="F778" s="6" t="str">
        <f>IF($M778="PADD I","PADD 1",IF($M778="PADD II","PADD 2",IF($M778="PADD III","PADD 3",IF($M778="PADD IV","PADD 4",IF($M778="PADD V","PADD 5","")))))</f>
        <v>PADD 3</v>
      </c>
      <c r="G778" s="6" t="str">
        <f>IF(AND($H778="ATMOS DISTILLATION",ISNUMBER(SEARCH("VPS",$I778))=FALSE,LEFT($I778,6)&lt;&gt;"VACUUM"),"CDU",IF($H778="FLUID CAT CRACKING","FCC",IF(OR($H778="HYDROCRACKING",$H778="RESID_HYDROCRACKING"),"Hydrocracker",IF($H778="REFORMING","Reformer",""))))</f>
        <v>CDU</v>
      </c>
      <c r="H778" s="6" t="s">
        <v>38</v>
      </c>
      <c r="I778" s="6" t="s">
        <v>749</v>
      </c>
      <c r="J778" s="6" t="s">
        <v>349</v>
      </c>
      <c r="K778" s="10">
        <v>1.68</v>
      </c>
      <c r="L778" s="10">
        <v>56</v>
      </c>
      <c r="M778" s="6" t="s">
        <v>371</v>
      </c>
    </row>
    <row r="779" spans="1:13">
      <c r="A779" s="6">
        <v>2023</v>
      </c>
      <c r="B779" s="6">
        <v>3</v>
      </c>
      <c r="C779" s="6" t="s">
        <v>61</v>
      </c>
      <c r="D779" s="6" t="s">
        <v>437</v>
      </c>
      <c r="E779" s="6" t="s">
        <v>438</v>
      </c>
      <c r="F779" s="6" t="str">
        <f>IF($M779="PADD I","PADD 1",IF($M779="PADD II","PADD 2",IF($M779="PADD III","PADD 3",IF($M779="PADD IV","PADD 4",IF($M779="PADD V","PADD 5","")))))</f>
        <v>PADD 4</v>
      </c>
      <c r="G779" s="6" t="str">
        <f>IF(AND($H779="ATMOS DISTILLATION",ISNUMBER(SEARCH("VPS",$I779))=FALSE,LEFT($I779,6)&lt;&gt;"VACUUM"),"CDU",IF($H779="FLUID CAT CRACKING","FCC",IF(OR($H779="HYDROCRACKING",$H779="RESID_HYDROCRACKING"),"Hydrocracker",IF($H779="REFORMING","Reformer",""))))</f>
        <v>Reformer</v>
      </c>
      <c r="H779" s="6" t="s">
        <v>421</v>
      </c>
      <c r="I779" s="6" t="s">
        <v>557</v>
      </c>
      <c r="J779" s="6" t="s">
        <v>345</v>
      </c>
      <c r="K779" s="10">
        <v>1.595</v>
      </c>
      <c r="L779" s="10">
        <v>5.5</v>
      </c>
      <c r="M779" s="6" t="s">
        <v>430</v>
      </c>
    </row>
    <row r="780" spans="1:13">
      <c r="A780" s="6">
        <v>2023</v>
      </c>
      <c r="B780" s="6">
        <v>3</v>
      </c>
      <c r="C780" s="6" t="s">
        <v>61</v>
      </c>
      <c r="D780" s="6" t="s">
        <v>437</v>
      </c>
      <c r="E780" s="6" t="s">
        <v>438</v>
      </c>
      <c r="F780" s="6" t="str">
        <f>IF($M780="PADD I","PADD 1",IF($M780="PADD II","PADD 2",IF($M780="PADD III","PADD 3",IF($M780="PADD IV","PADD 4",IF($M780="PADD V","PADD 5","")))))</f>
        <v>PADD 4</v>
      </c>
      <c r="G780" s="6">
        <f>IF(AND($H780="ATMOS DISTILLATION",ISNUMBER(SEARCH("VPS",$I780))=FALSE,LEFT($I780,6)&lt;&gt;"VACUUM"),"CDU",IF($H780="FLUID CAT CRACKING","FCC",IF(OR($H780="HYDROCRACKING",$H780="RESID_HYDROCRACKING"),"Hydrocracker",IF($H780="REFORMING","Reformer",""))))</f>
        <v/>
      </c>
      <c r="H780" s="6" t="s">
        <v>378</v>
      </c>
      <c r="I780" s="6" t="s">
        <v>556</v>
      </c>
      <c r="J780" s="6" t="s">
        <v>345</v>
      </c>
      <c r="K780" s="10">
        <v>1.5922</v>
      </c>
      <c r="L780" s="10">
        <v>8.380000000000001</v>
      </c>
      <c r="M780" s="6" t="s">
        <v>430</v>
      </c>
    </row>
    <row r="781" spans="1:13">
      <c r="A781" s="6">
        <v>2023</v>
      </c>
      <c r="B781" s="6">
        <v>3</v>
      </c>
      <c r="C781" s="6" t="s">
        <v>61</v>
      </c>
      <c r="D781" s="6" t="s">
        <v>48</v>
      </c>
      <c r="E781" s="6" t="s">
        <v>388</v>
      </c>
      <c r="F781" s="6" t="str">
        <f>IF($M781="PADD I","PADD 1",IF($M781="PADD II","PADD 2",IF($M781="PADD III","PADD 3",IF($M781="PADD IV","PADD 4",IF($M781="PADD V","PADD 5","")))))</f>
        <v>PADD 2</v>
      </c>
      <c r="G781" s="6" t="str">
        <f>IF(AND($H781="ATMOS DISTILLATION",ISNUMBER(SEARCH("VPS",$I781))=FALSE,LEFT($I781,6)&lt;&gt;"VACUUM"),"CDU",IF($H781="FLUID CAT CRACKING","FCC",IF(OR($H781="HYDROCRACKING",$H781="RESID_HYDROCRACKING"),"Hydrocracker",IF($H781="REFORMING","Reformer",""))))</f>
        <v>FCC</v>
      </c>
      <c r="H781" s="6" t="s">
        <v>376</v>
      </c>
      <c r="I781" s="6" t="s">
        <v>105</v>
      </c>
      <c r="J781" s="6" t="s">
        <v>345</v>
      </c>
      <c r="K781" s="10">
        <v>1.575</v>
      </c>
      <c r="L781" s="10">
        <v>52.5</v>
      </c>
      <c r="M781" s="6" t="s">
        <v>375</v>
      </c>
    </row>
    <row r="782" spans="1:13">
      <c r="A782" s="6">
        <v>2023</v>
      </c>
      <c r="B782" s="6">
        <v>3</v>
      </c>
      <c r="C782" s="6" t="s">
        <v>61</v>
      </c>
      <c r="D782" s="6" t="s">
        <v>732</v>
      </c>
      <c r="E782" s="6" t="s">
        <v>733</v>
      </c>
      <c r="F782" s="6" t="str">
        <f>IF($M782="PADD I","PADD 1",IF($M782="PADD II","PADD 2",IF($M782="PADD III","PADD 3",IF($M782="PADD IV","PADD 4",IF($M782="PADD V","PADD 5","")))))</f>
        <v>PADD 4</v>
      </c>
      <c r="G782" s="6" t="str">
        <f>IF(AND($H782="ATMOS DISTILLATION",ISNUMBER(SEARCH("VPS",$I782))=FALSE,LEFT($I782,6)&lt;&gt;"VACUUM"),"CDU",IF($H782="FLUID CAT CRACKING","FCC",IF(OR($H782="HYDROCRACKING",$H782="RESID_HYDROCRACKING"),"Hydrocracker",IF($H782="REFORMING","Reformer",""))))</f>
        <v>Reformer</v>
      </c>
      <c r="H782" s="6" t="s">
        <v>421</v>
      </c>
      <c r="I782" s="6" t="s">
        <v>15</v>
      </c>
      <c r="J782" s="6" t="s">
        <v>349</v>
      </c>
      <c r="K782" s="10">
        <v>1.56</v>
      </c>
      <c r="L782" s="10">
        <v>12</v>
      </c>
      <c r="M782" s="6" t="s">
        <v>430</v>
      </c>
    </row>
    <row r="783" spans="1:13">
      <c r="A783" s="6">
        <v>2023</v>
      </c>
      <c r="B783" s="6">
        <v>3</v>
      </c>
      <c r="C783" s="6" t="s">
        <v>61</v>
      </c>
      <c r="D783" s="6" t="s">
        <v>48</v>
      </c>
      <c r="E783" s="6" t="s">
        <v>388</v>
      </c>
      <c r="F783" s="6" t="str">
        <f>IF($M783="PADD I","PADD 1",IF($M783="PADD II","PADD 2",IF($M783="PADD III","PADD 3",IF($M783="PADD IV","PADD 4",IF($M783="PADD V","PADD 5","")))))</f>
        <v>PADD 2</v>
      </c>
      <c r="G783" s="6">
        <f>IF(AND($H783="ATMOS DISTILLATION",ISNUMBER(SEARCH("VPS",$I783))=FALSE,LEFT($I783,6)&lt;&gt;"VACUUM"),"CDU",IF($H783="FLUID CAT CRACKING","FCC",IF(OR($H783="HYDROCRACKING",$H783="RESID_HYDROCRACKING"),"Hydrocracker",IF($H783="REFORMING","Reformer",""))))</f>
        <v/>
      </c>
      <c r="H783" s="6" t="s">
        <v>435</v>
      </c>
      <c r="I783" s="6" t="s">
        <v>631</v>
      </c>
      <c r="J783" s="6" t="s">
        <v>345</v>
      </c>
      <c r="K783" s="10">
        <v>1.56</v>
      </c>
      <c r="L783" s="10">
        <v>12</v>
      </c>
      <c r="M783" s="6" t="s">
        <v>375</v>
      </c>
    </row>
    <row r="784" spans="1:13">
      <c r="A784" s="6">
        <v>2023</v>
      </c>
      <c r="B784" s="6">
        <v>3</v>
      </c>
      <c r="C784" s="6" t="s">
        <v>61</v>
      </c>
      <c r="D784" s="6" t="s">
        <v>742</v>
      </c>
      <c r="E784" s="6" t="s">
        <v>388</v>
      </c>
      <c r="F784" s="6" t="str">
        <f>IF($M784="PADD I","PADD 1",IF($M784="PADD II","PADD 2",IF($M784="PADD III","PADD 3",IF($M784="PADD IV","PADD 4",IF($M784="PADD V","PADD 5","")))))</f>
        <v>PADD 5</v>
      </c>
      <c r="G784" s="6" t="str">
        <f>IF(AND($H784="ATMOS DISTILLATION",ISNUMBER(SEARCH("VPS",$I784))=FALSE,LEFT($I784,6)&lt;&gt;"VACUUM"),"CDU",IF($H784="FLUID CAT CRACKING","FCC",IF(OR($H784="HYDROCRACKING",$H784="RESID_HYDROCRACKING"),"Hydrocracker",IF($H784="REFORMING","Reformer",""))))</f>
        <v>Reformer</v>
      </c>
      <c r="H784" s="6" t="s">
        <v>421</v>
      </c>
      <c r="I784" s="6" t="s">
        <v>15</v>
      </c>
      <c r="J784" s="6" t="s">
        <v>345</v>
      </c>
      <c r="K784" s="10">
        <v>1.56</v>
      </c>
      <c r="L784" s="10">
        <v>26</v>
      </c>
      <c r="M784" s="6" t="s">
        <v>386</v>
      </c>
    </row>
    <row r="785" spans="1:13">
      <c r="A785" s="6">
        <v>2023</v>
      </c>
      <c r="B785" s="6">
        <v>3</v>
      </c>
      <c r="C785" s="6" t="s">
        <v>61</v>
      </c>
      <c r="D785" s="6" t="s">
        <v>465</v>
      </c>
      <c r="E785" s="6" t="s">
        <v>369</v>
      </c>
      <c r="F785" s="6" t="str">
        <f>IF($M785="PADD I","PADD 1",IF($M785="PADD II","PADD 2",IF($M785="PADD III","PADD 3",IF($M785="PADD IV","PADD 4",IF($M785="PADD V","PADD 5","")))))</f>
        <v>PADD 5</v>
      </c>
      <c r="G785" s="6">
        <f>IF(AND($H785="ATMOS DISTILLATION",ISNUMBER(SEARCH("VPS",$I785))=FALSE,LEFT($I785,6)&lt;&gt;"VACUUM"),"CDU",IF($H785="FLUID CAT CRACKING","FCC",IF(OR($H785="HYDROCRACKING",$H785="RESID_HYDROCRACKING"),"Hydrocracker",IF($H785="REFORMING","Reformer",""))))</f>
        <v/>
      </c>
      <c r="H785" s="6" t="s">
        <v>460</v>
      </c>
      <c r="I785" s="6" t="s">
        <v>672</v>
      </c>
      <c r="J785" s="6" t="s">
        <v>349</v>
      </c>
      <c r="K785" s="10">
        <v>1.5</v>
      </c>
      <c r="L785" s="10">
        <v>15</v>
      </c>
      <c r="M785" s="6" t="s">
        <v>386</v>
      </c>
    </row>
    <row r="786" spans="1:13">
      <c r="A786" s="6">
        <v>2023</v>
      </c>
      <c r="B786" s="6">
        <v>3</v>
      </c>
      <c r="C786" s="6" t="s">
        <v>61</v>
      </c>
      <c r="D786" s="6" t="s">
        <v>742</v>
      </c>
      <c r="E786" s="6" t="s">
        <v>388</v>
      </c>
      <c r="F786" s="6" t="str">
        <f>IF($M786="PADD I","PADD 1",IF($M786="PADD II","PADD 2",IF($M786="PADD III","PADD 3",IF($M786="PADD IV","PADD 4",IF($M786="PADD V","PADD 5","")))))</f>
        <v>PADD 5</v>
      </c>
      <c r="G786" s="6" t="str">
        <f>IF(AND($H786="ATMOS DISTILLATION",ISNUMBER(SEARCH("VPS",$I786))=FALSE,LEFT($I786,6)&lt;&gt;"VACUUM"),"CDU",IF($H786="FLUID CAT CRACKING","FCC",IF(OR($H786="HYDROCRACKING",$H786="RESID_HYDROCRACKING"),"Hydrocracker",IF($H786="REFORMING","Reformer",""))))</f>
        <v>CDU</v>
      </c>
      <c r="H786" s="6" t="s">
        <v>38</v>
      </c>
      <c r="I786" s="6" t="s">
        <v>81</v>
      </c>
      <c r="J786" s="6" t="s">
        <v>349</v>
      </c>
      <c r="K786" s="10">
        <v>1.44</v>
      </c>
      <c r="L786" s="10">
        <v>24</v>
      </c>
      <c r="M786" s="6" t="s">
        <v>386</v>
      </c>
    </row>
    <row r="787" spans="1:13">
      <c r="A787" s="6">
        <v>2023</v>
      </c>
      <c r="B787" s="6">
        <v>3</v>
      </c>
      <c r="C787" s="6" t="s">
        <v>61</v>
      </c>
      <c r="D787" s="6" t="s">
        <v>732</v>
      </c>
      <c r="E787" s="6" t="s">
        <v>733</v>
      </c>
      <c r="F787" s="6" t="str">
        <f>IF($M787="PADD I","PADD 1",IF($M787="PADD II","PADD 2",IF($M787="PADD III","PADD 3",IF($M787="PADD IV","PADD 4",IF($M787="PADD V","PADD 5","")))))</f>
        <v>PADD 4</v>
      </c>
      <c r="G787" s="6">
        <f>IF(AND($H787="ATMOS DISTILLATION",ISNUMBER(SEARCH("VPS",$I787))=FALSE,LEFT($I787,6)&lt;&gt;"VACUUM"),"CDU",IF($H787="FLUID CAT CRACKING","FCC",IF(OR($H787="HYDROCRACKING",$H787="RESID_HYDROCRACKING"),"Hydrocracker",IF($H787="REFORMING","Reformer",""))))</f>
        <v/>
      </c>
      <c r="H787" s="6" t="s">
        <v>378</v>
      </c>
      <c r="I787" s="6" t="s">
        <v>431</v>
      </c>
      <c r="J787" s="6" t="s">
        <v>349</v>
      </c>
      <c r="K787" s="10">
        <v>1.43</v>
      </c>
      <c r="L787" s="10">
        <v>11</v>
      </c>
      <c r="M787" s="6" t="s">
        <v>430</v>
      </c>
    </row>
    <row r="788" spans="1:13">
      <c r="A788" s="6">
        <v>2023</v>
      </c>
      <c r="B788" s="6">
        <v>3</v>
      </c>
      <c r="C788" s="6" t="s">
        <v>61</v>
      </c>
      <c r="D788" s="6" t="s">
        <v>48</v>
      </c>
      <c r="E788" s="6" t="s">
        <v>388</v>
      </c>
      <c r="F788" s="6" t="str">
        <f>IF($M788="PADD I","PADD 1",IF($M788="PADD II","PADD 2",IF($M788="PADD III","PADD 3",IF($M788="PADD IV","PADD 4",IF($M788="PADD V","PADD 5","")))))</f>
        <v>PADD 2</v>
      </c>
      <c r="G788" s="6">
        <f>IF(AND($H788="ATMOS DISTILLATION",ISNUMBER(SEARCH("VPS",$I788))=FALSE,LEFT($I788,6)&lt;&gt;"VACUUM"),"CDU",IF($H788="FLUID CAT CRACKING","FCC",IF(OR($H788="HYDROCRACKING",$H788="RESID_HYDROCRACKING"),"Hydrocracker",IF($H788="REFORMING","Reformer",""))))</f>
        <v/>
      </c>
      <c r="H788" s="6" t="s">
        <v>43</v>
      </c>
      <c r="I788" s="6" t="s">
        <v>741</v>
      </c>
      <c r="J788" s="6" t="s">
        <v>345</v>
      </c>
      <c r="K788" s="10">
        <v>1.395</v>
      </c>
      <c r="L788" s="10">
        <v>46.5</v>
      </c>
      <c r="M788" s="6" t="s">
        <v>375</v>
      </c>
    </row>
    <row r="789" spans="1:13">
      <c r="A789" s="6">
        <v>2023</v>
      </c>
      <c r="B789" s="6">
        <v>3</v>
      </c>
      <c r="C789" s="6" t="s">
        <v>61</v>
      </c>
      <c r="D789" s="6" t="s">
        <v>468</v>
      </c>
      <c r="E789" s="6" t="s">
        <v>369</v>
      </c>
      <c r="F789" s="6" t="str">
        <f>IF($M789="PADD I","PADD 1",IF($M789="PADD II","PADD 2",IF($M789="PADD III","PADD 3",IF($M789="PADD IV","PADD 4",IF($M789="PADD V","PADD 5","")))))</f>
        <v>PADD 3</v>
      </c>
      <c r="G789" s="6" t="str">
        <f>IF(AND($H789="ATMOS DISTILLATION",ISNUMBER(SEARCH("VPS",$I789))=FALSE,LEFT($I789,6)&lt;&gt;"VACUUM"),"CDU",IF($H789="FLUID CAT CRACKING","FCC",IF(OR($H789="HYDROCRACKING",$H789="RESID_HYDROCRACKING"),"Hydrocracker",IF($H789="REFORMING","Reformer",""))))</f>
        <v>Reformer</v>
      </c>
      <c r="H789" s="6" t="s">
        <v>421</v>
      </c>
      <c r="I789" s="6" t="s">
        <v>635</v>
      </c>
      <c r="J789" s="6" t="s">
        <v>345</v>
      </c>
      <c r="K789" s="10">
        <v>1.33</v>
      </c>
      <c r="L789" s="10">
        <v>7</v>
      </c>
      <c r="M789" s="6" t="s">
        <v>371</v>
      </c>
    </row>
    <row r="790" spans="1:13">
      <c r="A790" s="6">
        <v>2023</v>
      </c>
      <c r="B790" s="6">
        <v>3</v>
      </c>
      <c r="C790" s="6" t="s">
        <v>61</v>
      </c>
      <c r="D790" s="6" t="s">
        <v>748</v>
      </c>
      <c r="E790" s="6" t="s">
        <v>388</v>
      </c>
      <c r="F790" s="6" t="str">
        <f>IF($M790="PADD I","PADD 1",IF($M790="PADD II","PADD 2",IF($M790="PADD III","PADD 3",IF($M790="PADD IV","PADD 4",IF($M790="PADD V","PADD 5","")))))</f>
        <v>PADD 3</v>
      </c>
      <c r="G790" s="6">
        <f>IF(AND($H790="ATMOS DISTILLATION",ISNUMBER(SEARCH("VPS",$I790))=FALSE,LEFT($I790,6)&lt;&gt;"VACUUM"),"CDU",IF($H790="FLUID CAT CRACKING","FCC",IF(OR($H790="HYDROCRACKING",$H790="RESID_HYDROCRACKING"),"Hydrocracker",IF($H790="REFORMING","Reformer",""))))</f>
        <v/>
      </c>
      <c r="H790" s="6" t="s">
        <v>43</v>
      </c>
      <c r="I790" s="6" t="s">
        <v>750</v>
      </c>
      <c r="J790" s="6" t="s">
        <v>349</v>
      </c>
      <c r="K790" s="10">
        <v>1.32</v>
      </c>
      <c r="L790" s="10">
        <v>44</v>
      </c>
      <c r="M790" s="6" t="s">
        <v>371</v>
      </c>
    </row>
    <row r="791" spans="1:13">
      <c r="A791" s="6">
        <v>2023</v>
      </c>
      <c r="B791" s="6">
        <v>3</v>
      </c>
      <c r="C791" s="6" t="s">
        <v>61</v>
      </c>
      <c r="D791" s="6" t="s">
        <v>732</v>
      </c>
      <c r="E791" s="6" t="s">
        <v>733</v>
      </c>
      <c r="F791" s="6" t="str">
        <f>IF($M791="PADD I","PADD 1",IF($M791="PADD II","PADD 2",IF($M791="PADD III","PADD 3",IF($M791="PADD IV","PADD 4",IF($M791="PADD V","PADD 5","")))))</f>
        <v>PADD 4</v>
      </c>
      <c r="G791" s="6">
        <f>IF(AND($H791="ATMOS DISTILLATION",ISNUMBER(SEARCH("VPS",$I791))=FALSE,LEFT($I791,6)&lt;&gt;"VACUUM"),"CDU",IF($H791="FLUID CAT CRACKING","FCC",IF(OR($H791="HYDROCRACKING",$H791="RESID_HYDROCRACKING"),"Hydrocracker",IF($H791="REFORMING","Reformer",""))))</f>
        <v/>
      </c>
      <c r="H791" s="6" t="s">
        <v>43</v>
      </c>
      <c r="I791" s="6" t="s">
        <v>751</v>
      </c>
      <c r="J791" s="6" t="s">
        <v>349</v>
      </c>
      <c r="K791" s="10">
        <v>1.3</v>
      </c>
      <c r="L791" s="10">
        <v>10</v>
      </c>
      <c r="M791" s="6" t="s">
        <v>430</v>
      </c>
    </row>
    <row r="792" spans="1:13">
      <c r="A792" s="6">
        <v>2023</v>
      </c>
      <c r="B792" s="6">
        <v>3</v>
      </c>
      <c r="C792" s="6" t="s">
        <v>61</v>
      </c>
      <c r="D792" s="6" t="s">
        <v>727</v>
      </c>
      <c r="E792" s="6" t="s">
        <v>728</v>
      </c>
      <c r="F792" s="6" t="str">
        <f>IF($M792="PADD I","PADD 1",IF($M792="PADD II","PADD 2",IF($M792="PADD III","PADD 3",IF($M792="PADD IV","PADD 4",IF($M792="PADD V","PADD 5","")))))</f>
        <v>PADD 1</v>
      </c>
      <c r="G792" s="6">
        <f>IF(AND($H792="ATMOS DISTILLATION",ISNUMBER(SEARCH("VPS",$I792))=FALSE,LEFT($I792,6)&lt;&gt;"VACUUM"),"CDU",IF($H792="FLUID CAT CRACKING","FCC",IF(OR($H792="HYDROCRACKING",$H792="RESID_HYDROCRACKING"),"Hydrocracker",IF($H792="REFORMING","Reformer",""))))</f>
        <v/>
      </c>
      <c r="H792" s="6" t="s">
        <v>568</v>
      </c>
      <c r="I792" s="6" t="s">
        <v>713</v>
      </c>
      <c r="J792" s="6" t="s">
        <v>349</v>
      </c>
      <c r="K792" s="10">
        <v>1.3</v>
      </c>
      <c r="L792" s="10">
        <v>5</v>
      </c>
      <c r="M792" s="6" t="s">
        <v>413</v>
      </c>
    </row>
    <row r="793" spans="1:13">
      <c r="A793" s="6">
        <v>2023</v>
      </c>
      <c r="B793" s="6">
        <v>3</v>
      </c>
      <c r="C793" s="6" t="s">
        <v>61</v>
      </c>
      <c r="D793" s="6" t="s">
        <v>48</v>
      </c>
      <c r="E793" s="6" t="s">
        <v>388</v>
      </c>
      <c r="F793" s="6" t="str">
        <f>IF($M793="PADD I","PADD 1",IF($M793="PADD II","PADD 2",IF($M793="PADD III","PADD 3",IF($M793="PADD IV","PADD 4",IF($M793="PADD V","PADD 5","")))))</f>
        <v>PADD 2</v>
      </c>
      <c r="G793" s="6" t="str">
        <f>IF(AND($H793="ATMOS DISTILLATION",ISNUMBER(SEARCH("VPS",$I793))=FALSE,LEFT($I793,6)&lt;&gt;"VACUUM"),"CDU",IF($H793="FLUID CAT CRACKING","FCC",IF(OR($H793="HYDROCRACKING",$H793="RESID_HYDROCRACKING"),"Hydrocracker",IF($H793="REFORMING","Reformer",""))))</f>
        <v>Reformer</v>
      </c>
      <c r="H793" s="6" t="s">
        <v>421</v>
      </c>
      <c r="I793" s="6" t="s">
        <v>721</v>
      </c>
      <c r="J793" s="6" t="s">
        <v>345</v>
      </c>
      <c r="K793" s="10">
        <v>1.29</v>
      </c>
      <c r="L793" s="10">
        <v>43</v>
      </c>
      <c r="M793" s="6" t="s">
        <v>375</v>
      </c>
    </row>
    <row r="794" spans="1:13">
      <c r="A794" s="6">
        <v>2023</v>
      </c>
      <c r="B794" s="6">
        <v>3</v>
      </c>
      <c r="C794" s="6" t="s">
        <v>61</v>
      </c>
      <c r="D794" s="6" t="s">
        <v>563</v>
      </c>
      <c r="E794" s="6" t="s">
        <v>396</v>
      </c>
      <c r="F794" s="6" t="str">
        <f>IF($M794="PADD I","PADD 1",IF($M794="PADD II","PADD 2",IF($M794="PADD III","PADD 3",IF($M794="PADD IV","PADD 4",IF($M794="PADD V","PADD 5","")))))</f>
        <v>PADD 3</v>
      </c>
      <c r="G794" s="6">
        <f>IF(AND($H794="ATMOS DISTILLATION",ISNUMBER(SEARCH("VPS",$I794))=FALSE,LEFT($I794,6)&lt;&gt;"VACUUM"),"CDU",IF($H794="FLUID CAT CRACKING","FCC",IF(OR($H794="HYDROCRACKING",$H794="RESID_HYDROCRACKING"),"Hydrocracker",IF($H794="REFORMING","Reformer",""))))</f>
        <v/>
      </c>
      <c r="H794" s="6" t="s">
        <v>43</v>
      </c>
      <c r="I794" s="6" t="s">
        <v>564</v>
      </c>
      <c r="J794" s="6" t="s">
        <v>345</v>
      </c>
      <c r="K794" s="10">
        <v>1.227</v>
      </c>
      <c r="L794" s="10">
        <v>40.9</v>
      </c>
      <c r="M794" s="6" t="s">
        <v>371</v>
      </c>
    </row>
    <row r="795" spans="1:13">
      <c r="A795" s="6">
        <v>2023</v>
      </c>
      <c r="B795" s="6">
        <v>3</v>
      </c>
      <c r="C795" s="6" t="s">
        <v>61</v>
      </c>
      <c r="D795" s="6" t="s">
        <v>748</v>
      </c>
      <c r="E795" s="6" t="s">
        <v>388</v>
      </c>
      <c r="F795" s="6" t="str">
        <f>IF($M795="PADD I","PADD 1",IF($M795="PADD II","PADD 2",IF($M795="PADD III","PADD 3",IF($M795="PADD IV","PADD 4",IF($M795="PADD V","PADD 5","")))))</f>
        <v>PADD 3</v>
      </c>
      <c r="G795" s="6">
        <f>IF(AND($H795="ATMOS DISTILLATION",ISNUMBER(SEARCH("VPS",$I795))=FALSE,LEFT($I795,6)&lt;&gt;"VACUUM"),"CDU",IF($H795="FLUID CAT CRACKING","FCC",IF(OR($H795="HYDROCRACKING",$H795="RESID_HYDROCRACKING"),"Hydrocracker",IF($H795="REFORMING","Reformer",""))))</f>
        <v/>
      </c>
      <c r="H795" s="6" t="s">
        <v>378</v>
      </c>
      <c r="I795" s="6" t="s">
        <v>431</v>
      </c>
      <c r="J795" s="6" t="s">
        <v>349</v>
      </c>
      <c r="K795" s="10">
        <v>1.2</v>
      </c>
      <c r="L795" s="10">
        <v>40</v>
      </c>
      <c r="M795" s="6" t="s">
        <v>371</v>
      </c>
    </row>
    <row r="796" spans="1:13">
      <c r="A796" s="6">
        <v>2023</v>
      </c>
      <c r="B796" s="6">
        <v>3</v>
      </c>
      <c r="C796" s="6" t="s">
        <v>61</v>
      </c>
      <c r="D796" s="6" t="s">
        <v>727</v>
      </c>
      <c r="E796" s="6" t="s">
        <v>728</v>
      </c>
      <c r="F796" s="6" t="str">
        <f>IF($M796="PADD I","PADD 1",IF($M796="PADD II","PADD 2",IF($M796="PADD III","PADD 3",IF($M796="PADD IV","PADD 4",IF($M796="PADD V","PADD 5","")))))</f>
        <v>PADD 1</v>
      </c>
      <c r="G796" s="6">
        <f>IF(AND($H796="ATMOS DISTILLATION",ISNUMBER(SEARCH("VPS",$I796))=FALSE,LEFT($I796,6)&lt;&gt;"VACUUM"),"CDU",IF($H796="FLUID CAT CRACKING","FCC",IF(OR($H796="HYDROCRACKING",$H796="RESID_HYDROCRACKING"),"Hydrocracker",IF($H796="REFORMING","Reformer",""))))</f>
        <v/>
      </c>
      <c r="H796" s="6" t="s">
        <v>43</v>
      </c>
      <c r="I796" s="6" t="s">
        <v>752</v>
      </c>
      <c r="J796" s="6" t="s">
        <v>349</v>
      </c>
      <c r="K796" s="10">
        <v>1.196</v>
      </c>
      <c r="L796" s="10">
        <v>4.6</v>
      </c>
      <c r="M796" s="6" t="s">
        <v>413</v>
      </c>
    </row>
    <row r="797" spans="1:13">
      <c r="A797" s="6">
        <v>2023</v>
      </c>
      <c r="B797" s="6">
        <v>3</v>
      </c>
      <c r="C797" s="6" t="s">
        <v>61</v>
      </c>
      <c r="D797" s="6" t="s">
        <v>602</v>
      </c>
      <c r="E797" s="6" t="s">
        <v>369</v>
      </c>
      <c r="F797" s="6" t="str">
        <f>IF($M797="PADD I","PADD 1",IF($M797="PADD II","PADD 2",IF($M797="PADD III","PADD 3",IF($M797="PADD IV","PADD 4",IF($M797="PADD V","PADD 5","")))))</f>
        <v>PADD 2</v>
      </c>
      <c r="G797" s="6" t="str">
        <f>IF(AND($H797="ATMOS DISTILLATION",ISNUMBER(SEARCH("VPS",$I797))=FALSE,LEFT($I797,6)&lt;&gt;"VACUUM"),"CDU",IF($H797="FLUID CAT CRACKING","FCC",IF(OR($H797="HYDROCRACKING",$H797="RESID_HYDROCRACKING"),"Hydrocracker",IF($H797="REFORMING","Reformer",""))))</f>
        <v>CDU</v>
      </c>
      <c r="H797" s="6" t="s">
        <v>38</v>
      </c>
      <c r="I797" s="6" t="s">
        <v>661</v>
      </c>
      <c r="J797" s="6" t="s">
        <v>345</v>
      </c>
      <c r="K797" s="10">
        <v>1.14</v>
      </c>
      <c r="L797" s="10">
        <v>38</v>
      </c>
      <c r="M797" s="6" t="s">
        <v>375</v>
      </c>
    </row>
    <row r="798" spans="1:13">
      <c r="A798" s="6">
        <v>2023</v>
      </c>
      <c r="B798" s="6">
        <v>3</v>
      </c>
      <c r="C798" s="6" t="s">
        <v>61</v>
      </c>
      <c r="D798" s="6" t="s">
        <v>727</v>
      </c>
      <c r="E798" s="6" t="s">
        <v>728</v>
      </c>
      <c r="F798" s="6" t="str">
        <f>IF($M798="PADD I","PADD 1",IF($M798="PADD II","PADD 2",IF($M798="PADD III","PADD 3",IF($M798="PADD IV","PADD 4",IF($M798="PADD V","PADD 5","")))))</f>
        <v>PADD 1</v>
      </c>
      <c r="G798" s="6" t="str">
        <f>IF(AND($H798="ATMOS DISTILLATION",ISNUMBER(SEARCH("VPS",$I798))=FALSE,LEFT($I798,6)&lt;&gt;"VACUUM"),"CDU",IF($H798="FLUID CAT CRACKING","FCC",IF(OR($H798="HYDROCRACKING",$H798="RESID_HYDROCRACKING"),"Hydrocracker",IF($H798="REFORMING","Reformer",""))))</f>
        <v>Hydrocracker</v>
      </c>
      <c r="H798" s="6" t="s">
        <v>444</v>
      </c>
      <c r="I798" s="6" t="s">
        <v>753</v>
      </c>
      <c r="J798" s="6" t="s">
        <v>349</v>
      </c>
      <c r="K798" s="10">
        <v>1.118</v>
      </c>
      <c r="L798" s="10">
        <v>4.3</v>
      </c>
      <c r="M798" s="6" t="s">
        <v>413</v>
      </c>
    </row>
    <row r="799" spans="1:13">
      <c r="A799" s="6">
        <v>2023</v>
      </c>
      <c r="B799" s="6">
        <v>3</v>
      </c>
      <c r="C799" s="6" t="s">
        <v>61</v>
      </c>
      <c r="D799" s="6" t="s">
        <v>742</v>
      </c>
      <c r="E799" s="6" t="s">
        <v>388</v>
      </c>
      <c r="F799" s="6" t="str">
        <f>IF($M799="PADD I","PADD 1",IF($M799="PADD II","PADD 2",IF($M799="PADD III","PADD 3",IF($M799="PADD IV","PADD 4",IF($M799="PADD V","PADD 5","")))))</f>
        <v>PADD 5</v>
      </c>
      <c r="G799" s="6">
        <f>IF(AND($H799="ATMOS DISTILLATION",ISNUMBER(SEARCH("VPS",$I799))=FALSE,LEFT($I799,6)&lt;&gt;"VACUUM"),"CDU",IF($H799="FLUID CAT CRACKING","FCC",IF(OR($H799="HYDROCRACKING",$H799="RESID_HYDROCRACKING"),"Hydrocracker",IF($H799="REFORMING","Reformer",""))))</f>
        <v/>
      </c>
      <c r="H799" s="6" t="s">
        <v>460</v>
      </c>
      <c r="I799" s="6" t="s">
        <v>461</v>
      </c>
      <c r="J799" s="6" t="s">
        <v>349</v>
      </c>
      <c r="K799" s="10">
        <v>1.1</v>
      </c>
      <c r="L799" s="10">
        <v>11</v>
      </c>
      <c r="M799" s="6" t="s">
        <v>386</v>
      </c>
    </row>
    <row r="800" spans="1:13">
      <c r="A800" s="6">
        <v>2023</v>
      </c>
      <c r="B800" s="6">
        <v>3</v>
      </c>
      <c r="C800" s="6" t="s">
        <v>61</v>
      </c>
      <c r="D800" s="6" t="s">
        <v>48</v>
      </c>
      <c r="E800" s="6" t="s">
        <v>388</v>
      </c>
      <c r="F800" s="6" t="str">
        <f>IF($M800="PADD I","PADD 1",IF($M800="PADD II","PADD 2",IF($M800="PADD III","PADD 3",IF($M800="PADD IV","PADD 4",IF($M800="PADD V","PADD 5","")))))</f>
        <v>PADD 2</v>
      </c>
      <c r="G800" s="6">
        <f>IF(AND($H800="ATMOS DISTILLATION",ISNUMBER(SEARCH("VPS",$I800))=FALSE,LEFT($I800,6)&lt;&gt;"VACUUM"),"CDU",IF($H800="FLUID CAT CRACKING","FCC",IF(OR($H800="HYDROCRACKING",$H800="RESID_HYDROCRACKING"),"Hydrocracker",IF($H800="REFORMING","Reformer",""))))</f>
        <v/>
      </c>
      <c r="H800" s="6" t="s">
        <v>637</v>
      </c>
      <c r="I800" s="6" t="s">
        <v>604</v>
      </c>
      <c r="J800" s="6" t="s">
        <v>345</v>
      </c>
      <c r="K800" s="10">
        <v>0.96</v>
      </c>
      <c r="L800" s="10">
        <v>16</v>
      </c>
      <c r="M800" s="6" t="s">
        <v>375</v>
      </c>
    </row>
    <row r="801" spans="1:13">
      <c r="A801" s="6">
        <v>2023</v>
      </c>
      <c r="B801" s="6">
        <v>3</v>
      </c>
      <c r="C801" s="6" t="s">
        <v>61</v>
      </c>
      <c r="D801" s="6" t="s">
        <v>727</v>
      </c>
      <c r="E801" s="6" t="s">
        <v>728</v>
      </c>
      <c r="F801" s="6" t="str">
        <f>IF($M801="PADD I","PADD 1",IF($M801="PADD II","PADD 2",IF($M801="PADD III","PADD 3",IF($M801="PADD IV","PADD 4",IF($M801="PADD V","PADD 5","")))))</f>
        <v>PADD 1</v>
      </c>
      <c r="G801" s="6" t="str">
        <f>IF(AND($H801="ATMOS DISTILLATION",ISNUMBER(SEARCH("VPS",$I801))=FALSE,LEFT($I801,6)&lt;&gt;"VACUUM"),"CDU",IF($H801="FLUID CAT CRACKING","FCC",IF(OR($H801="HYDROCRACKING",$H801="RESID_HYDROCRACKING"),"Hydrocracker",IF($H801="REFORMING","Reformer",""))))</f>
        <v>Reformer</v>
      </c>
      <c r="H801" s="6" t="s">
        <v>421</v>
      </c>
      <c r="I801" s="6" t="s">
        <v>571</v>
      </c>
      <c r="J801" s="6" t="s">
        <v>349</v>
      </c>
      <c r="K801" s="10">
        <v>0.9360000000000001</v>
      </c>
      <c r="L801" s="10">
        <v>3.6</v>
      </c>
      <c r="M801" s="6" t="s">
        <v>413</v>
      </c>
    </row>
    <row r="802" spans="1:13">
      <c r="A802" s="6">
        <v>2023</v>
      </c>
      <c r="B802" s="6">
        <v>3</v>
      </c>
      <c r="C802" s="6" t="s">
        <v>61</v>
      </c>
      <c r="D802" s="6" t="s">
        <v>48</v>
      </c>
      <c r="E802" s="6" t="s">
        <v>388</v>
      </c>
      <c r="F802" s="6" t="str">
        <f>IF($M802="PADD I","PADD 1",IF($M802="PADD II","PADD 2",IF($M802="PADD III","PADD 3",IF($M802="PADD IV","PADD 4",IF($M802="PADD V","PADD 5","")))))</f>
        <v>PADD 2</v>
      </c>
      <c r="G802" s="6">
        <f>IF(AND($H802="ATMOS DISTILLATION",ISNUMBER(SEARCH("VPS",$I802))=FALSE,LEFT($I802,6)&lt;&gt;"VACUUM"),"CDU",IF($H802="FLUID CAT CRACKING","FCC",IF(OR($H802="HYDROCRACKING",$H802="RESID_HYDROCRACKING"),"Hydrocracker",IF($H802="REFORMING","Reformer",""))))</f>
        <v/>
      </c>
      <c r="H802" s="6" t="s">
        <v>435</v>
      </c>
      <c r="I802" s="6" t="s">
        <v>754</v>
      </c>
      <c r="J802" s="6" t="s">
        <v>349</v>
      </c>
      <c r="K802" s="10">
        <v>0.9</v>
      </c>
      <c r="L802" s="10">
        <v>15</v>
      </c>
      <c r="M802" s="6" t="s">
        <v>375</v>
      </c>
    </row>
    <row r="803" spans="1:13">
      <c r="A803" s="6">
        <v>2023</v>
      </c>
      <c r="B803" s="6">
        <v>3</v>
      </c>
      <c r="C803" s="6" t="s">
        <v>61</v>
      </c>
      <c r="D803" s="6" t="s">
        <v>415</v>
      </c>
      <c r="E803" s="6" t="s">
        <v>416</v>
      </c>
      <c r="F803" s="6" t="str">
        <f>IF($M803="PADD I","PADD 1",IF($M803="PADD II","PADD 2",IF($M803="PADD III","PADD 3",IF($M803="PADD IV","PADD 4",IF($M803="PADD V","PADD 5","")))))</f>
        <v>PADD 3</v>
      </c>
      <c r="G803" s="6" t="str">
        <f>IF(AND($H803="ATMOS DISTILLATION",ISNUMBER(SEARCH("VPS",$I803))=FALSE,LEFT($I803,6)&lt;&gt;"VACUUM"),"CDU",IF($H803="FLUID CAT CRACKING","FCC",IF(OR($H803="HYDROCRACKING",$H803="RESID_HYDROCRACKING"),"Hydrocracker",IF($H803="REFORMING","Reformer",""))))</f>
        <v>Reformer</v>
      </c>
      <c r="H803" s="6" t="s">
        <v>421</v>
      </c>
      <c r="I803" s="6" t="s">
        <v>648</v>
      </c>
      <c r="J803" s="6" t="s">
        <v>349</v>
      </c>
      <c r="K803" s="10">
        <v>0.9</v>
      </c>
      <c r="L803" s="10">
        <v>30</v>
      </c>
      <c r="M803" s="6" t="s">
        <v>371</v>
      </c>
    </row>
    <row r="804" spans="1:13">
      <c r="A804" s="6">
        <v>2023</v>
      </c>
      <c r="B804" s="6">
        <v>3</v>
      </c>
      <c r="C804" s="6" t="s">
        <v>61</v>
      </c>
      <c r="D804" s="6" t="s">
        <v>612</v>
      </c>
      <c r="E804" s="6" t="s">
        <v>416</v>
      </c>
      <c r="F804" s="6" t="str">
        <f>IF($M804="PADD I","PADD 1",IF($M804="PADD II","PADD 2",IF($M804="PADD III","PADD 3",IF($M804="PADD IV","PADD 4",IF($M804="PADD V","PADD 5","")))))</f>
        <v>PADD 3</v>
      </c>
      <c r="G804" s="6" t="str">
        <f>IF(AND($H804="ATMOS DISTILLATION",ISNUMBER(SEARCH("VPS",$I804))=FALSE,LEFT($I804,6)&lt;&gt;"VACUUM"),"CDU",IF($H804="FLUID CAT CRACKING","FCC",IF(OR($H804="HYDROCRACKING",$H804="RESID_HYDROCRACKING"),"Hydrocracker",IF($H804="REFORMING","Reformer",""))))</f>
        <v>Reformer</v>
      </c>
      <c r="H804" s="6" t="s">
        <v>421</v>
      </c>
      <c r="I804" s="6" t="s">
        <v>755</v>
      </c>
      <c r="J804" s="6" t="s">
        <v>345</v>
      </c>
      <c r="K804" s="10">
        <v>0.9</v>
      </c>
      <c r="L804" s="10">
        <v>30</v>
      </c>
      <c r="M804" s="6" t="s">
        <v>371</v>
      </c>
    </row>
    <row r="805" spans="1:13">
      <c r="A805" s="6">
        <v>2023</v>
      </c>
      <c r="B805" s="6">
        <v>3</v>
      </c>
      <c r="C805" s="6" t="s">
        <v>61</v>
      </c>
      <c r="D805" s="6" t="s">
        <v>756</v>
      </c>
      <c r="E805" s="6" t="s">
        <v>757</v>
      </c>
      <c r="F805" s="6" t="str">
        <f>IF($M805="PADD I","PADD 1",IF($M805="PADD II","PADD 2",IF($M805="PADD III","PADD 3",IF($M805="PADD IV","PADD 4",IF($M805="PADD V","PADD 5","")))))</f>
        <v>PADD 3</v>
      </c>
      <c r="G805" s="6" t="str">
        <f>IF(AND($H805="ATMOS DISTILLATION",ISNUMBER(SEARCH("VPS",$I805))=FALSE,LEFT($I805,6)&lt;&gt;"VACUUM"),"CDU",IF($H805="FLUID CAT CRACKING","FCC",IF(OR($H805="HYDROCRACKING",$H805="RESID_HYDROCRACKING"),"Hydrocracker",IF($H805="REFORMING","Reformer",""))))</f>
        <v>CDU</v>
      </c>
      <c r="H805" s="6" t="s">
        <v>38</v>
      </c>
      <c r="I805" s="6" t="s">
        <v>81</v>
      </c>
      <c r="J805" s="6" t="s">
        <v>345</v>
      </c>
      <c r="K805" s="10">
        <v>0.9</v>
      </c>
      <c r="L805" s="10">
        <v>15</v>
      </c>
      <c r="M805" s="6" t="s">
        <v>371</v>
      </c>
    </row>
    <row r="806" spans="1:13">
      <c r="A806" s="6">
        <v>2023</v>
      </c>
      <c r="B806" s="6">
        <v>3</v>
      </c>
      <c r="C806" s="6" t="s">
        <v>61</v>
      </c>
      <c r="D806" s="6" t="s">
        <v>326</v>
      </c>
      <c r="E806" s="6" t="s">
        <v>385</v>
      </c>
      <c r="F806" s="6" t="str">
        <f>IF($M806="PADD I","PADD 1",IF($M806="PADD II","PADD 2",IF($M806="PADD III","PADD 3",IF($M806="PADD IV","PADD 4",IF($M806="PADD V","PADD 5","")))))</f>
        <v>PADD 5</v>
      </c>
      <c r="G806" s="6" t="str">
        <f>IF(AND($H806="ATMOS DISTILLATION",ISNUMBER(SEARCH("VPS",$I806))=FALSE,LEFT($I806,6)&lt;&gt;"VACUUM"),"CDU",IF($H806="FLUID CAT CRACKING","FCC",IF(OR($H806="HYDROCRACKING",$H806="RESID_HYDROCRACKING"),"Hydrocracker",IF($H806="REFORMING","Reformer",""))))</f>
        <v>Reformer</v>
      </c>
      <c r="H806" s="6" t="s">
        <v>421</v>
      </c>
      <c r="I806" s="6" t="s">
        <v>15</v>
      </c>
      <c r="J806" s="6" t="s">
        <v>349</v>
      </c>
      <c r="K806" s="10">
        <v>0.885</v>
      </c>
      <c r="L806" s="10">
        <v>14.75</v>
      </c>
      <c r="M806" s="6" t="s">
        <v>386</v>
      </c>
    </row>
    <row r="807" spans="1:13">
      <c r="A807" s="6">
        <v>2023</v>
      </c>
      <c r="B807" s="6">
        <v>3</v>
      </c>
      <c r="C807" s="6" t="s">
        <v>61</v>
      </c>
      <c r="D807" s="6" t="s">
        <v>48</v>
      </c>
      <c r="E807" s="6" t="s">
        <v>388</v>
      </c>
      <c r="F807" s="6" t="str">
        <f>IF($M807="PADD I","PADD 1",IF($M807="PADD II","PADD 2",IF($M807="PADD III","PADD 3",IF($M807="PADD IV","PADD 4",IF($M807="PADD V","PADD 5","")))))</f>
        <v>PADD 2</v>
      </c>
      <c r="G807" s="6" t="str">
        <f>IF(AND($H807="ATMOS DISTILLATION",ISNUMBER(SEARCH("VPS",$I807))=FALSE,LEFT($I807,6)&lt;&gt;"VACUUM"),"CDU",IF($H807="FLUID CAT CRACKING","FCC",IF(OR($H807="HYDROCRACKING",$H807="RESID_HYDROCRACKING"),"Hydrocracker",IF($H807="REFORMING","Reformer",""))))</f>
        <v>Hydrocracker</v>
      </c>
      <c r="H807" s="6" t="s">
        <v>444</v>
      </c>
      <c r="I807" s="6" t="s">
        <v>758</v>
      </c>
      <c r="J807" s="6" t="s">
        <v>345</v>
      </c>
      <c r="K807" s="10">
        <v>0.84</v>
      </c>
      <c r="L807" s="10">
        <v>28</v>
      </c>
      <c r="M807" s="6" t="s">
        <v>375</v>
      </c>
    </row>
    <row r="808" spans="1:13">
      <c r="A808" s="6">
        <v>2023</v>
      </c>
      <c r="B808" s="6">
        <v>3</v>
      </c>
      <c r="C808" s="6" t="s">
        <v>61</v>
      </c>
      <c r="D808" s="6" t="s">
        <v>748</v>
      </c>
      <c r="E808" s="6" t="s">
        <v>388</v>
      </c>
      <c r="F808" s="6" t="str">
        <f>IF($M808="PADD I","PADD 1",IF($M808="PADD II","PADD 2",IF($M808="PADD III","PADD 3",IF($M808="PADD IV","PADD 4",IF($M808="PADD V","PADD 5","")))))</f>
        <v>PADD 3</v>
      </c>
      <c r="G808" s="6">
        <f>IF(AND($H808="ATMOS DISTILLATION",ISNUMBER(SEARCH("VPS",$I808))=FALSE,LEFT($I808,6)&lt;&gt;"VACUUM"),"CDU",IF($H808="FLUID CAT CRACKING","FCC",IF(OR($H808="HYDROCRACKING",$H808="RESID_HYDROCRACKING"),"Hydrocracker",IF($H808="REFORMING","Reformer",""))))</f>
        <v/>
      </c>
      <c r="H808" s="6" t="s">
        <v>43</v>
      </c>
      <c r="I808" s="6" t="s">
        <v>759</v>
      </c>
      <c r="J808" s="6" t="s">
        <v>349</v>
      </c>
      <c r="K808" s="10">
        <v>0.765</v>
      </c>
      <c r="L808" s="10">
        <v>25.5</v>
      </c>
      <c r="M808" s="6" t="s">
        <v>371</v>
      </c>
    </row>
    <row r="809" spans="1:13">
      <c r="A809" s="6">
        <v>2023</v>
      </c>
      <c r="B809" s="6">
        <v>3</v>
      </c>
      <c r="C809" s="6" t="s">
        <v>61</v>
      </c>
      <c r="D809" s="6" t="s">
        <v>40</v>
      </c>
      <c r="E809" s="6" t="s">
        <v>736</v>
      </c>
      <c r="F809" s="6" t="str">
        <f>IF($M809="PADD I","PADD 1",IF($M809="PADD II","PADD 2",IF($M809="PADD III","PADD 3",IF($M809="PADD IV","PADD 4",IF($M809="PADD V","PADD 5","")))))</f>
        <v>PADD 1</v>
      </c>
      <c r="G809" s="6">
        <f>IF(AND($H809="ATMOS DISTILLATION",ISNUMBER(SEARCH("VPS",$I809))=FALSE,LEFT($I809,6)&lt;&gt;"VACUUM"),"CDU",IF($H809="FLUID CAT CRACKING","FCC",IF(OR($H809="HYDROCRACKING",$H809="RESID_HYDROCRACKING"),"Hydrocracker",IF($H809="REFORMING","Reformer",""))))</f>
        <v/>
      </c>
      <c r="H809" s="6" t="s">
        <v>460</v>
      </c>
      <c r="I809" s="6" t="s">
        <v>760</v>
      </c>
      <c r="J809" s="6" t="s">
        <v>345</v>
      </c>
      <c r="K809" s="10">
        <v>0.72</v>
      </c>
      <c r="L809" s="10">
        <v>12</v>
      </c>
      <c r="M809" s="6" t="s">
        <v>413</v>
      </c>
    </row>
    <row r="810" spans="1:13">
      <c r="A810" s="6">
        <v>2023</v>
      </c>
      <c r="B810" s="6">
        <v>3</v>
      </c>
      <c r="C810" s="6" t="s">
        <v>61</v>
      </c>
      <c r="D810" s="6" t="s">
        <v>48</v>
      </c>
      <c r="E810" s="6" t="s">
        <v>388</v>
      </c>
      <c r="F810" s="6" t="str">
        <f>IF($M810="PADD I","PADD 1",IF($M810="PADD II","PADD 2",IF($M810="PADD III","PADD 3",IF($M810="PADD IV","PADD 4",IF($M810="PADD V","PADD 5","")))))</f>
        <v>PADD 2</v>
      </c>
      <c r="G810" s="6">
        <f>IF(AND($H810="ATMOS DISTILLATION",ISNUMBER(SEARCH("VPS",$I810))=FALSE,LEFT($I810,6)&lt;&gt;"VACUUM"),"CDU",IF($H810="FLUID CAT CRACKING","FCC",IF(OR($H810="HYDROCRACKING",$H810="RESID_HYDROCRACKING"),"Hydrocracker",IF($H810="REFORMING","Reformer",""))))</f>
        <v/>
      </c>
      <c r="H810" s="6" t="s">
        <v>43</v>
      </c>
      <c r="I810" s="6" t="s">
        <v>761</v>
      </c>
      <c r="J810" s="6" t="s">
        <v>345</v>
      </c>
      <c r="K810" s="10">
        <v>0.72</v>
      </c>
      <c r="L810" s="10">
        <v>24</v>
      </c>
      <c r="M810" s="6" t="s">
        <v>375</v>
      </c>
    </row>
    <row r="811" spans="1:13">
      <c r="A811" s="6">
        <v>2023</v>
      </c>
      <c r="B811" s="6">
        <v>3</v>
      </c>
      <c r="C811" s="6" t="s">
        <v>61</v>
      </c>
      <c r="D811" s="6" t="s">
        <v>762</v>
      </c>
      <c r="E811" s="6" t="s">
        <v>763</v>
      </c>
      <c r="F811" s="6" t="str">
        <f>IF($M811="PADD I","PADD 1",IF($M811="PADD II","PADD 2",IF($M811="PADD III","PADD 3",IF($M811="PADD IV","PADD 4",IF($M811="PADD V","PADD 5","")))))</f>
        <v>PADD 2</v>
      </c>
      <c r="G811" s="6" t="str">
        <f>IF(AND($H811="ATMOS DISTILLATION",ISNUMBER(SEARCH("VPS",$I811))=FALSE,LEFT($I811,6)&lt;&gt;"VACUUM"),"CDU",IF($H811="FLUID CAT CRACKING","FCC",IF(OR($H811="HYDROCRACKING",$H811="RESID_HYDROCRACKING"),"Hydrocracker",IF($H811="REFORMING","Reformer",""))))</f>
        <v>FCC</v>
      </c>
      <c r="H811" s="6" t="s">
        <v>376</v>
      </c>
      <c r="I811" s="6" t="s">
        <v>105</v>
      </c>
      <c r="J811" s="6" t="s">
        <v>345</v>
      </c>
      <c r="K811" s="10">
        <v>0.615</v>
      </c>
      <c r="L811" s="10">
        <v>20.5</v>
      </c>
      <c r="M811" s="6" t="s">
        <v>375</v>
      </c>
    </row>
    <row r="812" spans="1:13">
      <c r="A812" s="6">
        <v>2023</v>
      </c>
      <c r="B812" s="6">
        <v>3</v>
      </c>
      <c r="C812" s="6" t="s">
        <v>61</v>
      </c>
      <c r="D812" s="6" t="s">
        <v>732</v>
      </c>
      <c r="E812" s="6" t="s">
        <v>733</v>
      </c>
      <c r="F812" s="6" t="str">
        <f>IF($M812="PADD I","PADD 1",IF($M812="PADD II","PADD 2",IF($M812="PADD III","PADD 3",IF($M812="PADD IV","PADD 4",IF($M812="PADD V","PADD 5","")))))</f>
        <v>PADD 4</v>
      </c>
      <c r="G812" s="6">
        <f>IF(AND($H812="ATMOS DISTILLATION",ISNUMBER(SEARCH("VPS",$I812))=FALSE,LEFT($I812,6)&lt;&gt;"VACUUM"),"CDU",IF($H812="FLUID CAT CRACKING","FCC",IF(OR($H812="HYDROCRACKING",$H812="RESID_HYDROCRACKING"),"Hydrocracker",IF($H812="REFORMING","Reformer",""))))</f>
        <v/>
      </c>
      <c r="H812" s="6" t="s">
        <v>460</v>
      </c>
      <c r="I812" s="6" t="s">
        <v>616</v>
      </c>
      <c r="J812" s="6" t="s">
        <v>349</v>
      </c>
      <c r="K812" s="10">
        <v>0.5590000000000001</v>
      </c>
      <c r="L812" s="10">
        <v>4.3</v>
      </c>
      <c r="M812" s="6" t="s">
        <v>430</v>
      </c>
    </row>
    <row r="813" spans="1:13">
      <c r="A813" s="6">
        <v>2023</v>
      </c>
      <c r="B813" s="6">
        <v>3</v>
      </c>
      <c r="C813" s="6" t="s">
        <v>61</v>
      </c>
      <c r="D813" s="6" t="s">
        <v>462</v>
      </c>
      <c r="E813" s="6" t="s">
        <v>438</v>
      </c>
      <c r="F813" s="6" t="str">
        <f>IF($M813="PADD I","PADD 1",IF($M813="PADD II","PADD 2",IF($M813="PADD III","PADD 3",IF($M813="PADD IV","PADD 4",IF($M813="PADD V","PADD 5","")))))</f>
        <v>PADD 4</v>
      </c>
      <c r="G813" s="6">
        <f>IF(AND($H813="ATMOS DISTILLATION",ISNUMBER(SEARCH("VPS",$I813))=FALSE,LEFT($I813,6)&lt;&gt;"VACUUM"),"CDU",IF($H813="FLUID CAT CRACKING","FCC",IF(OR($H813="HYDROCRACKING",$H813="RESID_HYDROCRACKING"),"Hydrocracker",IF($H813="REFORMING","Reformer",""))))</f>
        <v/>
      </c>
      <c r="H813" s="6" t="s">
        <v>378</v>
      </c>
      <c r="I813" s="6" t="s">
        <v>555</v>
      </c>
      <c r="J813" s="6" t="s">
        <v>345</v>
      </c>
      <c r="K813" s="10">
        <v>0.5028</v>
      </c>
      <c r="L813" s="10">
        <v>8.380000000000001</v>
      </c>
      <c r="M813" s="6" t="s">
        <v>430</v>
      </c>
    </row>
    <row r="814" spans="1:13">
      <c r="A814" s="6">
        <v>2023</v>
      </c>
      <c r="B814" s="6">
        <v>3</v>
      </c>
      <c r="C814" s="6" t="s">
        <v>61</v>
      </c>
      <c r="D814" s="6" t="s">
        <v>748</v>
      </c>
      <c r="E814" s="6" t="s">
        <v>388</v>
      </c>
      <c r="F814" s="6" t="str">
        <f>IF($M814="PADD I","PADD 1",IF($M814="PADD II","PADD 2",IF($M814="PADD III","PADD 3",IF($M814="PADD IV","PADD 4",IF($M814="PADD V","PADD 5","")))))</f>
        <v>PADD 3</v>
      </c>
      <c r="G814" s="6" t="str">
        <f>IF(AND($H814="ATMOS DISTILLATION",ISNUMBER(SEARCH("VPS",$I814))=FALSE,LEFT($I814,6)&lt;&gt;"VACUUM"),"CDU",IF($H814="FLUID CAT CRACKING","FCC",IF(OR($H814="HYDROCRACKING",$H814="RESID_HYDROCRACKING"),"Hydrocracker",IF($H814="REFORMING","Reformer",""))))</f>
        <v>Reformer</v>
      </c>
      <c r="H814" s="6" t="s">
        <v>421</v>
      </c>
      <c r="I814" s="6" t="s">
        <v>764</v>
      </c>
      <c r="J814" s="6" t="s">
        <v>349</v>
      </c>
      <c r="K814" s="10">
        <v>0.45</v>
      </c>
      <c r="L814" s="10">
        <v>15</v>
      </c>
      <c r="M814" s="6" t="s">
        <v>371</v>
      </c>
    </row>
    <row r="815" spans="1:13">
      <c r="A815" s="6">
        <v>2023</v>
      </c>
      <c r="B815" s="6">
        <v>3</v>
      </c>
      <c r="C815" s="6" t="s">
        <v>61</v>
      </c>
      <c r="D815" s="6" t="s">
        <v>602</v>
      </c>
      <c r="E815" s="6" t="s">
        <v>369</v>
      </c>
      <c r="F815" s="6" t="str">
        <f>IF($M815="PADD I","PADD 1",IF($M815="PADD II","PADD 2",IF($M815="PADD III","PADD 3",IF($M815="PADD IV","PADD 4",IF($M815="PADD V","PADD 5","")))))</f>
        <v>PADD 2</v>
      </c>
      <c r="G815" s="6">
        <f>IF(AND($H815="ATMOS DISTILLATION",ISNUMBER(SEARCH("VPS",$I815))=FALSE,LEFT($I815,6)&lt;&gt;"VACUUM"),"CDU",IF($H815="FLUID CAT CRACKING","FCC",IF(OR($H815="HYDROCRACKING",$H815="RESID_HYDROCRACKING"),"Hydrocracker",IF($H815="REFORMING","Reformer",""))))</f>
        <v/>
      </c>
      <c r="H815" s="6" t="s">
        <v>378</v>
      </c>
      <c r="I815" s="6" t="s">
        <v>536</v>
      </c>
      <c r="J815" s="6" t="s">
        <v>345</v>
      </c>
      <c r="K815" s="10">
        <v>0.45</v>
      </c>
      <c r="L815" s="10">
        <v>15</v>
      </c>
      <c r="M815" s="6" t="s">
        <v>375</v>
      </c>
    </row>
    <row r="816" spans="1:13">
      <c r="A816" s="6">
        <v>2023</v>
      </c>
      <c r="B816" s="6">
        <v>3</v>
      </c>
      <c r="C816" s="6" t="s">
        <v>61</v>
      </c>
      <c r="D816" s="6" t="s">
        <v>434</v>
      </c>
      <c r="E816" s="6" t="s">
        <v>388</v>
      </c>
      <c r="F816" s="6" t="str">
        <f>IF($M816="PADD I","PADD 1",IF($M816="PADD II","PADD 2",IF($M816="PADD III","PADD 3",IF($M816="PADD IV","PADD 4",IF($M816="PADD V","PADD 5","")))))</f>
        <v>PADD 5</v>
      </c>
      <c r="G816" s="6" t="str">
        <f>IF(AND($H816="ATMOS DISTILLATION",ISNUMBER(SEARCH("VPS",$I816))=FALSE,LEFT($I816,6)&lt;&gt;"VACUUM"),"CDU",IF($H816="FLUID CAT CRACKING","FCC",IF(OR($H816="HYDROCRACKING",$H816="RESID_HYDROCRACKING"),"Hydrocracker",IF($H816="REFORMING","Reformer",""))))</f>
        <v>Reformer</v>
      </c>
      <c r="H816" s="6" t="s">
        <v>421</v>
      </c>
      <c r="I816" s="6" t="s">
        <v>671</v>
      </c>
      <c r="J816" s="6" t="s">
        <v>345</v>
      </c>
      <c r="K816" s="10">
        <v>0.45</v>
      </c>
      <c r="L816" s="10">
        <v>15</v>
      </c>
      <c r="M816" s="6" t="s">
        <v>386</v>
      </c>
    </row>
    <row r="817" spans="1:13">
      <c r="A817" s="6">
        <v>2023</v>
      </c>
      <c r="B817" s="6">
        <v>3</v>
      </c>
      <c r="C817" s="6" t="s">
        <v>61</v>
      </c>
      <c r="D817" s="6" t="s">
        <v>48</v>
      </c>
      <c r="E817" s="6" t="s">
        <v>388</v>
      </c>
      <c r="F817" s="6" t="str">
        <f>IF($M817="PADD I","PADD 1",IF($M817="PADD II","PADD 2",IF($M817="PADD III","PADD 3",IF($M817="PADD IV","PADD 4",IF($M817="PADD V","PADD 5","")))))</f>
        <v>PADD 2</v>
      </c>
      <c r="G817" s="6">
        <f>IF(AND($H817="ATMOS DISTILLATION",ISNUMBER(SEARCH("VPS",$I817))=FALSE,LEFT($I817,6)&lt;&gt;"VACUUM"),"CDU",IF($H817="FLUID CAT CRACKING","FCC",IF(OR($H817="HYDROCRACKING",$H817="RESID_HYDROCRACKING"),"Hydrocracker",IF($H817="REFORMING","Reformer",""))))</f>
        <v/>
      </c>
      <c r="H817" s="6" t="s">
        <v>568</v>
      </c>
      <c r="I817" s="6" t="s">
        <v>765</v>
      </c>
      <c r="J817" s="6" t="s">
        <v>345</v>
      </c>
      <c r="K817" s="10">
        <v>0.42</v>
      </c>
      <c r="L817" s="10">
        <v>14</v>
      </c>
      <c r="M817" s="6" t="s">
        <v>375</v>
      </c>
    </row>
    <row r="818" spans="1:13">
      <c r="A818" s="6">
        <v>2023</v>
      </c>
      <c r="B818" s="6">
        <v>3</v>
      </c>
      <c r="C818" s="6" t="s">
        <v>61</v>
      </c>
      <c r="D818" s="6" t="s">
        <v>415</v>
      </c>
      <c r="E818" s="6" t="s">
        <v>416</v>
      </c>
      <c r="F818" s="6" t="str">
        <f>IF($M818="PADD I","PADD 1",IF($M818="PADD II","PADD 2",IF($M818="PADD III","PADD 3",IF($M818="PADD IV","PADD 4",IF($M818="PADD V","PADD 5","")))))</f>
        <v>PADD 3</v>
      </c>
      <c r="G818" s="6">
        <f>IF(AND($H818="ATMOS DISTILLATION",ISNUMBER(SEARCH("VPS",$I818))=FALSE,LEFT($I818,6)&lt;&gt;"VACUUM"),"CDU",IF($H818="FLUID CAT CRACKING","FCC",IF(OR($H818="HYDROCRACKING",$H818="RESID_HYDROCRACKING"),"Hydrocracker",IF($H818="REFORMING","Reformer",""))))</f>
        <v/>
      </c>
      <c r="H818" s="6" t="s">
        <v>43</v>
      </c>
      <c r="I818" s="6" t="s">
        <v>653</v>
      </c>
      <c r="J818" s="6" t="s">
        <v>349</v>
      </c>
      <c r="K818" s="10">
        <v>0.39</v>
      </c>
      <c r="L818" s="10">
        <v>13</v>
      </c>
      <c r="M818" s="6" t="s">
        <v>371</v>
      </c>
    </row>
    <row r="819" spans="1:13">
      <c r="A819" s="6">
        <v>2023</v>
      </c>
      <c r="B819" s="6">
        <v>3</v>
      </c>
      <c r="C819" s="6" t="s">
        <v>61</v>
      </c>
      <c r="D819" s="6" t="s">
        <v>762</v>
      </c>
      <c r="E819" s="6" t="s">
        <v>763</v>
      </c>
      <c r="F819" s="6" t="str">
        <f>IF($M819="PADD I","PADD 1",IF($M819="PADD II","PADD 2",IF($M819="PADD III","PADD 3",IF($M819="PADD IV","PADD 4",IF($M819="PADD V","PADD 5","")))))</f>
        <v>PADD 2</v>
      </c>
      <c r="G819" s="6">
        <f>IF(AND($H819="ATMOS DISTILLATION",ISNUMBER(SEARCH("VPS",$I819))=FALSE,LEFT($I819,6)&lt;&gt;"VACUUM"),"CDU",IF($H819="FLUID CAT CRACKING","FCC",IF(OR($H819="HYDROCRACKING",$H819="RESID_HYDROCRACKING"),"Hydrocracker",IF($H819="REFORMING","Reformer",""))))</f>
        <v/>
      </c>
      <c r="H819" s="6" t="s">
        <v>43</v>
      </c>
      <c r="I819" s="6" t="s">
        <v>458</v>
      </c>
      <c r="J819" s="6" t="s">
        <v>345</v>
      </c>
      <c r="K819" s="10">
        <v>0.39</v>
      </c>
      <c r="L819" s="10">
        <v>13</v>
      </c>
      <c r="M819" s="6" t="s">
        <v>375</v>
      </c>
    </row>
    <row r="820" spans="1:13">
      <c r="A820" s="6">
        <v>2023</v>
      </c>
      <c r="B820" s="6">
        <v>3</v>
      </c>
      <c r="C820" s="6" t="s">
        <v>61</v>
      </c>
      <c r="D820" s="6" t="s">
        <v>632</v>
      </c>
      <c r="E820" s="6" t="s">
        <v>633</v>
      </c>
      <c r="F820" s="6" t="str">
        <f>IF($M820="PADD I","PADD 1",IF($M820="PADD II","PADD 2",IF($M820="PADD III","PADD 3",IF($M820="PADD IV","PADD 4",IF($M820="PADD V","PADD 5","")))))</f>
        <v>PADD 4</v>
      </c>
      <c r="G820" s="6" t="str">
        <f>IF(AND($H820="ATMOS DISTILLATION",ISNUMBER(SEARCH("VPS",$I820))=FALSE,LEFT($I820,6)&lt;&gt;"VACUUM"),"CDU",IF($H820="FLUID CAT CRACKING","FCC",IF(OR($H820="HYDROCRACKING",$H820="RESID_HYDROCRACKING"),"Hydrocracker",IF($H820="REFORMING","Reformer",""))))</f>
        <v>FCC</v>
      </c>
      <c r="H820" s="6" t="s">
        <v>376</v>
      </c>
      <c r="I820" s="6" t="s">
        <v>634</v>
      </c>
      <c r="J820" s="6" t="s">
        <v>345</v>
      </c>
      <c r="K820" s="10">
        <v>0.375</v>
      </c>
      <c r="L820" s="10">
        <v>12.5</v>
      </c>
      <c r="M820" s="6" t="s">
        <v>430</v>
      </c>
    </row>
    <row r="821" spans="1:13">
      <c r="A821" s="6">
        <v>2023</v>
      </c>
      <c r="B821" s="6">
        <v>3</v>
      </c>
      <c r="C821" s="6" t="s">
        <v>61</v>
      </c>
      <c r="D821" s="6" t="s">
        <v>48</v>
      </c>
      <c r="E821" s="6" t="s">
        <v>388</v>
      </c>
      <c r="F821" s="6" t="str">
        <f>IF($M821="PADD I","PADD 1",IF($M821="PADD II","PADD 2",IF($M821="PADD III","PADD 3",IF($M821="PADD IV","PADD 4",IF($M821="PADD V","PADD 5","")))))</f>
        <v>PADD 2</v>
      </c>
      <c r="G821" s="6">
        <f>IF(AND($H821="ATMOS DISTILLATION",ISNUMBER(SEARCH("VPS",$I821))=FALSE,LEFT($I821,6)&lt;&gt;"VACUUM"),"CDU",IF($H821="FLUID CAT CRACKING","FCC",IF(OR($H821="HYDROCRACKING",$H821="RESID_HYDROCRACKING"),"Hydrocracker",IF($H821="REFORMING","Reformer",""))))</f>
        <v/>
      </c>
      <c r="H821" s="6" t="s">
        <v>460</v>
      </c>
      <c r="I821" s="6" t="s">
        <v>616</v>
      </c>
      <c r="J821" s="6" t="s">
        <v>345</v>
      </c>
      <c r="K821" s="10">
        <v>0.375</v>
      </c>
      <c r="L821" s="10">
        <v>12.5</v>
      </c>
      <c r="M821" s="6" t="s">
        <v>375</v>
      </c>
    </row>
    <row r="822" spans="1:13">
      <c r="A822" s="6">
        <v>2023</v>
      </c>
      <c r="B822" s="6">
        <v>3</v>
      </c>
      <c r="C822" s="6" t="s">
        <v>61</v>
      </c>
      <c r="D822" s="6" t="s">
        <v>748</v>
      </c>
      <c r="E822" s="6" t="s">
        <v>388</v>
      </c>
      <c r="F822" s="6" t="str">
        <f>IF($M822="PADD I","PADD 1",IF($M822="PADD II","PADD 2",IF($M822="PADD III","PADD 3",IF($M822="PADD IV","PADD 4",IF($M822="PADD V","PADD 5","")))))</f>
        <v>PADD 3</v>
      </c>
      <c r="G822" s="6">
        <f>IF(AND($H822="ATMOS DISTILLATION",ISNUMBER(SEARCH("VPS",$I822))=FALSE,LEFT($I822,6)&lt;&gt;"VACUUM"),"CDU",IF($H822="FLUID CAT CRACKING","FCC",IF(OR($H822="HYDROCRACKING",$H822="RESID_HYDROCRACKING"),"Hydrocracker",IF($H822="REFORMING","Reformer",""))))</f>
        <v/>
      </c>
      <c r="H822" s="6" t="s">
        <v>43</v>
      </c>
      <c r="I822" s="6" t="s">
        <v>766</v>
      </c>
      <c r="J822" s="6" t="s">
        <v>349</v>
      </c>
      <c r="K822" s="10">
        <v>0.36</v>
      </c>
      <c r="L822" s="10">
        <v>12</v>
      </c>
      <c r="M822" s="6" t="s">
        <v>371</v>
      </c>
    </row>
    <row r="823" spans="1:13">
      <c r="A823" s="6">
        <v>2023</v>
      </c>
      <c r="B823" s="6">
        <v>3</v>
      </c>
      <c r="C823" s="6" t="s">
        <v>61</v>
      </c>
      <c r="D823" s="6" t="s">
        <v>762</v>
      </c>
      <c r="E823" s="6" t="s">
        <v>763</v>
      </c>
      <c r="F823" s="6" t="str">
        <f>IF($M823="PADD I","PADD 1",IF($M823="PADD II","PADD 2",IF($M823="PADD III","PADD 3",IF($M823="PADD IV","PADD 4",IF($M823="PADD V","PADD 5","")))))</f>
        <v>PADD 2</v>
      </c>
      <c r="G823" s="6">
        <f>IF(AND($H823="ATMOS DISTILLATION",ISNUMBER(SEARCH("VPS",$I823))=FALSE,LEFT($I823,6)&lt;&gt;"VACUUM"),"CDU",IF($H823="FLUID CAT CRACKING","FCC",IF(OR($H823="HYDROCRACKING",$H823="RESID_HYDROCRACKING"),"Hydrocracker",IF($H823="REFORMING","Reformer",""))))</f>
        <v/>
      </c>
      <c r="H823" s="6" t="s">
        <v>460</v>
      </c>
      <c r="I823" s="6" t="s">
        <v>616</v>
      </c>
      <c r="J823" s="6" t="s">
        <v>345</v>
      </c>
      <c r="K823" s="10">
        <v>0.33</v>
      </c>
      <c r="L823" s="10">
        <v>5.5</v>
      </c>
      <c r="M823" s="6" t="s">
        <v>375</v>
      </c>
    </row>
    <row r="824" spans="1:13">
      <c r="A824" s="6">
        <v>2023</v>
      </c>
      <c r="B824" s="6">
        <v>3</v>
      </c>
      <c r="C824" s="6" t="s">
        <v>61</v>
      </c>
      <c r="D824" s="6" t="s">
        <v>748</v>
      </c>
      <c r="E824" s="6" t="s">
        <v>388</v>
      </c>
      <c r="F824" s="6" t="str">
        <f>IF($M824="PADD I","PADD 1",IF($M824="PADD II","PADD 2",IF($M824="PADD III","PADD 3",IF($M824="PADD IV","PADD 4",IF($M824="PADD V","PADD 5","")))))</f>
        <v>PADD 3</v>
      </c>
      <c r="G824" s="6">
        <f>IF(AND($H824="ATMOS DISTILLATION",ISNUMBER(SEARCH("VPS",$I824))=FALSE,LEFT($I824,6)&lt;&gt;"VACUUM"),"CDU",IF($H824="FLUID CAT CRACKING","FCC",IF(OR($H824="HYDROCRACKING",$H824="RESID_HYDROCRACKING"),"Hydrocracker",IF($H824="REFORMING","Reformer",""))))</f>
        <v/>
      </c>
      <c r="H824" s="6" t="s">
        <v>43</v>
      </c>
      <c r="I824" s="6" t="s">
        <v>767</v>
      </c>
      <c r="J824" s="6" t="s">
        <v>349</v>
      </c>
      <c r="K824" s="10">
        <v>0.315</v>
      </c>
      <c r="L824" s="10">
        <v>10.5</v>
      </c>
      <c r="M824" s="6" t="s">
        <v>371</v>
      </c>
    </row>
    <row r="825" spans="1:13">
      <c r="A825" s="6">
        <v>2023</v>
      </c>
      <c r="B825" s="6">
        <v>3</v>
      </c>
      <c r="C825" s="6" t="s">
        <v>61</v>
      </c>
      <c r="D825" s="6" t="s">
        <v>636</v>
      </c>
      <c r="E825" s="6" t="s">
        <v>369</v>
      </c>
      <c r="F825" s="6" t="str">
        <f>IF($M825="PADD I","PADD 1",IF($M825="PADD II","PADD 2",IF($M825="PADD III","PADD 3",IF($M825="PADD IV","PADD 4",IF($M825="PADD V","PADD 5","")))))</f>
        <v>PADD 5</v>
      </c>
      <c r="G825" s="6">
        <f>IF(AND($H825="ATMOS DISTILLATION",ISNUMBER(SEARCH("VPS",$I825))=FALSE,LEFT($I825,6)&lt;&gt;"VACUUM"),"CDU",IF($H825="FLUID CAT CRACKING","FCC",IF(OR($H825="HYDROCRACKING",$H825="RESID_HYDROCRACKING"),"Hydrocracker",IF($H825="REFORMING","Reformer",""))))</f>
        <v/>
      </c>
      <c r="H825" s="6" t="s">
        <v>637</v>
      </c>
      <c r="I825" s="6" t="s">
        <v>638</v>
      </c>
      <c r="J825" s="6" t="s">
        <v>345</v>
      </c>
      <c r="K825" s="10">
        <v>0.2</v>
      </c>
      <c r="L825" s="10">
        <v>0.2</v>
      </c>
      <c r="M825" s="6" t="s">
        <v>386</v>
      </c>
    </row>
    <row r="826" spans="1:13">
      <c r="A826" s="6">
        <v>2023</v>
      </c>
      <c r="B826" s="6">
        <v>3</v>
      </c>
      <c r="C826" s="6" t="s">
        <v>61</v>
      </c>
      <c r="D826" s="6" t="s">
        <v>732</v>
      </c>
      <c r="E826" s="6" t="s">
        <v>733</v>
      </c>
      <c r="F826" s="6" t="str">
        <f>IF($M826="PADD I","PADD 1",IF($M826="PADD II","PADD 2",IF($M826="PADD III","PADD 3",IF($M826="PADD IV","PADD 4",IF($M826="PADD V","PADD 5","")))))</f>
        <v>PADD 4</v>
      </c>
      <c r="G826" s="6">
        <f>IF(AND($H826="ATMOS DISTILLATION",ISNUMBER(SEARCH("VPS",$I826))=FALSE,LEFT($I826,6)&lt;&gt;"VACUUM"),"CDU",IF($H826="FLUID CAT CRACKING","FCC",IF(OR($H826="HYDROCRACKING",$H826="RESID_HYDROCRACKING"),"Hydrocracker",IF($H826="REFORMING","Reformer",""))))</f>
        <v/>
      </c>
      <c r="H826" s="6" t="s">
        <v>568</v>
      </c>
      <c r="I826" s="6" t="s">
        <v>768</v>
      </c>
      <c r="J826" s="6" t="s">
        <v>349</v>
      </c>
      <c r="K826" s="10">
        <v>0.1625</v>
      </c>
      <c r="L826" s="10">
        <v>1.25</v>
      </c>
      <c r="M826" s="6" t="s">
        <v>430</v>
      </c>
    </row>
    <row r="827" spans="1:13">
      <c r="A827" s="6">
        <v>2023</v>
      </c>
      <c r="B827" s="6">
        <v>4</v>
      </c>
      <c r="C827" s="6" t="s">
        <v>62</v>
      </c>
      <c r="D827" s="6" t="s">
        <v>368</v>
      </c>
      <c r="E827" s="6" t="s">
        <v>369</v>
      </c>
      <c r="F827" s="6" t="str">
        <f>IF($M827="PADD I","PADD 1",IF($M827="PADD II","PADD 2",IF($M827="PADD III","PADD 3",IF($M827="PADD IV","PADD 4",IF($M827="PADD V","PADD 5","")))))</f>
        <v>PADD 3</v>
      </c>
      <c r="G827" s="6" t="str">
        <f>IF(AND($H827="ATMOS DISTILLATION",ISNUMBER(SEARCH("VPS",$I827))=FALSE,LEFT($I827,6)&lt;&gt;"VACUUM"),"CDU",IF($H827="FLUID CAT CRACKING","FCC",IF(OR($H827="HYDROCRACKING",$H827="RESID_HYDROCRACKING"),"Hydrocracker",IF($H827="REFORMING","Reformer",""))))</f>
        <v>CDU</v>
      </c>
      <c r="H827" s="6" t="s">
        <v>38</v>
      </c>
      <c r="I827" s="6" t="s">
        <v>370</v>
      </c>
      <c r="J827" s="6" t="s">
        <v>349</v>
      </c>
      <c r="K827" s="10">
        <v>269.14</v>
      </c>
      <c r="L827" s="10">
        <v>269.14</v>
      </c>
      <c r="M827" s="6" t="s">
        <v>371</v>
      </c>
    </row>
    <row r="828" spans="1:13">
      <c r="A828" s="6">
        <v>2023</v>
      </c>
      <c r="B828" s="6">
        <v>4</v>
      </c>
      <c r="C828" s="6" t="s">
        <v>62</v>
      </c>
      <c r="D828" s="6" t="s">
        <v>48</v>
      </c>
      <c r="E828" s="6" t="s">
        <v>388</v>
      </c>
      <c r="F828" s="6" t="str">
        <f>IF($M828="PADD I","PADD 1",IF($M828="PADD II","PADD 2",IF($M828="PADD III","PADD 3",IF($M828="PADD IV","PADD 4",IF($M828="PADD V","PADD 5","")))))</f>
        <v>PADD 2</v>
      </c>
      <c r="G828" s="6" t="str">
        <f>IF(AND($H828="ATMOS DISTILLATION",ISNUMBER(SEARCH("VPS",$I828))=FALSE,LEFT($I828,6)&lt;&gt;"VACUUM"),"CDU",IF($H828="FLUID CAT CRACKING","FCC",IF(OR($H828="HYDROCRACKING",$H828="RESID_HYDROCRACKING"),"Hydrocracker",IF($H828="REFORMING","Reformer",""))))</f>
        <v>CDU</v>
      </c>
      <c r="H828" s="6" t="s">
        <v>38</v>
      </c>
      <c r="I828" s="6" t="s">
        <v>720</v>
      </c>
      <c r="J828" s="6" t="s">
        <v>349</v>
      </c>
      <c r="K828" s="10">
        <v>127.5</v>
      </c>
      <c r="L828" s="10">
        <v>127.5</v>
      </c>
      <c r="M828" s="6" t="s">
        <v>375</v>
      </c>
    </row>
    <row r="829" spans="1:13">
      <c r="A829" s="6">
        <v>2023</v>
      </c>
      <c r="B829" s="6">
        <v>4</v>
      </c>
      <c r="C829" s="6" t="s">
        <v>62</v>
      </c>
      <c r="D829" s="6" t="s">
        <v>53</v>
      </c>
      <c r="E829" s="6" t="s">
        <v>543</v>
      </c>
      <c r="F829" s="6" t="str">
        <f>IF($M829="PADD I","PADD 1",IF($M829="PADD II","PADD 2",IF($M829="PADD III","PADD 3",IF($M829="PADD IV","PADD 4",IF($M829="PADD V","PADD 5","")))))</f>
        <v>PADD 5</v>
      </c>
      <c r="G829" s="6" t="str">
        <f>IF(AND($H829="ATMOS DISTILLATION",ISNUMBER(SEARCH("VPS",$I829))=FALSE,LEFT($I829,6)&lt;&gt;"VACUUM"),"CDU",IF($H829="FLUID CAT CRACKING","FCC",IF(OR($H829="HYDROCRACKING",$H829="RESID_HYDROCRACKING"),"Hydrocracker",IF($H829="REFORMING","Reformer",""))))</f>
        <v>CDU</v>
      </c>
      <c r="H829" s="6" t="s">
        <v>38</v>
      </c>
      <c r="I829" s="6" t="s">
        <v>81</v>
      </c>
      <c r="J829" s="6" t="s">
        <v>349</v>
      </c>
      <c r="K829" s="10">
        <v>125</v>
      </c>
      <c r="L829" s="10">
        <v>250</v>
      </c>
      <c r="M829" s="6" t="s">
        <v>386</v>
      </c>
    </row>
    <row r="830" spans="1:13">
      <c r="A830" s="6">
        <v>2023</v>
      </c>
      <c r="B830" s="6">
        <v>4</v>
      </c>
      <c r="C830" s="6" t="s">
        <v>62</v>
      </c>
      <c r="D830" s="6" t="s">
        <v>372</v>
      </c>
      <c r="E830" s="6" t="s">
        <v>373</v>
      </c>
      <c r="F830" s="6" t="str">
        <f>IF($M830="PADD I","PADD 1",IF($M830="PADD II","PADD 2",IF($M830="PADD III","PADD 3",IF($M830="PADD IV","PADD 4",IF($M830="PADD V","PADD 5","")))))</f>
        <v>PADD 2</v>
      </c>
      <c r="G830" s="6" t="str">
        <f>IF(AND($H830="ATMOS DISTILLATION",ISNUMBER(SEARCH("VPS",$I830))=FALSE,LEFT($I830,6)&lt;&gt;"VACUUM"),"CDU",IF($H830="FLUID CAT CRACKING","FCC",IF(OR($H830="HYDROCRACKING",$H830="RESID_HYDROCRACKING"),"Hydrocracker",IF($H830="REFORMING","Reformer",""))))</f>
        <v>CDU</v>
      </c>
      <c r="H830" s="6" t="s">
        <v>38</v>
      </c>
      <c r="I830" s="6" t="s">
        <v>374</v>
      </c>
      <c r="J830" s="6" t="s">
        <v>345</v>
      </c>
      <c r="K830" s="10">
        <v>120</v>
      </c>
      <c r="L830" s="10">
        <v>120</v>
      </c>
      <c r="M830" s="6" t="s">
        <v>375</v>
      </c>
    </row>
    <row r="831" spans="1:13">
      <c r="A831" s="6">
        <v>2023</v>
      </c>
      <c r="B831" s="6">
        <v>4</v>
      </c>
      <c r="C831" s="6" t="s">
        <v>62</v>
      </c>
      <c r="D831" s="6" t="s">
        <v>372</v>
      </c>
      <c r="E831" s="6" t="s">
        <v>373</v>
      </c>
      <c r="F831" s="6" t="str">
        <f>IF($M831="PADD I","PADD 1",IF($M831="PADD II","PADD 2",IF($M831="PADD III","PADD 3",IF($M831="PADD IV","PADD 4",IF($M831="PADD V","PADD 5","")))))</f>
        <v>PADD 2</v>
      </c>
      <c r="G831" s="6" t="str">
        <f>IF(AND($H831="ATMOS DISTILLATION",ISNUMBER(SEARCH("VPS",$I831))=FALSE,LEFT($I831,6)&lt;&gt;"VACUUM"),"CDU",IF($H831="FLUID CAT CRACKING","FCC",IF(OR($H831="HYDROCRACKING",$H831="RESID_HYDROCRACKING"),"Hydrocracker",IF($H831="REFORMING","Reformer",""))))</f>
        <v>CDU</v>
      </c>
      <c r="H831" s="6" t="s">
        <v>38</v>
      </c>
      <c r="I831" s="6" t="s">
        <v>374</v>
      </c>
      <c r="J831" s="6" t="s">
        <v>345</v>
      </c>
      <c r="K831" s="10">
        <v>110</v>
      </c>
      <c r="L831" s="10">
        <v>110</v>
      </c>
      <c r="M831" s="6" t="s">
        <v>375</v>
      </c>
    </row>
    <row r="832" spans="1:13">
      <c r="A832" s="6">
        <v>2023</v>
      </c>
      <c r="B832" s="6">
        <v>4</v>
      </c>
      <c r="C832" s="6" t="s">
        <v>62</v>
      </c>
      <c r="D832" s="6" t="s">
        <v>675</v>
      </c>
      <c r="E832" s="6" t="s">
        <v>452</v>
      </c>
      <c r="F832" s="6" t="str">
        <f>IF($M832="PADD I","PADD 1",IF($M832="PADD II","PADD 2",IF($M832="PADD III","PADD 3",IF($M832="PADD IV","PADD 4",IF($M832="PADD V","PADD 5","")))))</f>
        <v>PADD 2</v>
      </c>
      <c r="G832" s="6" t="str">
        <f>IF(AND($H832="ATMOS DISTILLATION",ISNUMBER(SEARCH("VPS",$I832))=FALSE,LEFT($I832,6)&lt;&gt;"VACUUM"),"CDU",IF($H832="FLUID CAT CRACKING","FCC",IF(OR($H832="HYDROCRACKING",$H832="RESID_HYDROCRACKING"),"Hydrocracker",IF($H832="REFORMING","Reformer",""))))</f>
        <v>CDU</v>
      </c>
      <c r="H832" s="6" t="s">
        <v>38</v>
      </c>
      <c r="I832" s="6" t="s">
        <v>81</v>
      </c>
      <c r="J832" s="6" t="s">
        <v>349</v>
      </c>
      <c r="K832" s="10">
        <v>107.2</v>
      </c>
      <c r="L832" s="10">
        <v>160</v>
      </c>
      <c r="M832" s="6" t="s">
        <v>375</v>
      </c>
    </row>
    <row r="833" spans="1:13">
      <c r="A833" s="6">
        <v>2023</v>
      </c>
      <c r="B833" s="6">
        <v>4</v>
      </c>
      <c r="C833" s="6" t="s">
        <v>62</v>
      </c>
      <c r="D833" s="6" t="s">
        <v>368</v>
      </c>
      <c r="E833" s="6" t="s">
        <v>369</v>
      </c>
      <c r="F833" s="6" t="str">
        <f>IF($M833="PADD I","PADD 1",IF($M833="PADD II","PADD 2",IF($M833="PADD III","PADD 3",IF($M833="PADD IV","PADD 4",IF($M833="PADD V","PADD 5","")))))</f>
        <v>PADD 3</v>
      </c>
      <c r="G833" s="6" t="str">
        <f>IF(AND($H833="ATMOS DISTILLATION",ISNUMBER(SEARCH("VPS",$I833))=FALSE,LEFT($I833,6)&lt;&gt;"VACUUM"),"CDU",IF($H833="FLUID CAT CRACKING","FCC",IF(OR($H833="HYDROCRACKING",$H833="RESID_HYDROCRACKING"),"Hydrocracker",IF($H833="REFORMING","Reformer",""))))</f>
        <v>FCC</v>
      </c>
      <c r="H833" s="6" t="s">
        <v>376</v>
      </c>
      <c r="I833" s="6" t="s">
        <v>377</v>
      </c>
      <c r="J833" s="6" t="s">
        <v>349</v>
      </c>
      <c r="K833" s="10">
        <v>104</v>
      </c>
      <c r="L833" s="10">
        <v>104</v>
      </c>
      <c r="M833" s="6" t="s">
        <v>371</v>
      </c>
    </row>
    <row r="834" spans="1:13">
      <c r="A834" s="6">
        <v>2023</v>
      </c>
      <c r="B834" s="6">
        <v>4</v>
      </c>
      <c r="C834" s="6" t="s">
        <v>62</v>
      </c>
      <c r="D834" s="6" t="s">
        <v>368</v>
      </c>
      <c r="E834" s="6" t="s">
        <v>369</v>
      </c>
      <c r="F834" s="6" t="str">
        <f>IF($M834="PADD I","PADD 1",IF($M834="PADD II","PADD 2",IF($M834="PADD III","PADD 3",IF($M834="PADD IV","PADD 4",IF($M834="PADD V","PADD 5","")))))</f>
        <v>PADD 3</v>
      </c>
      <c r="G834" s="6">
        <f>IF(AND($H834="ATMOS DISTILLATION",ISNUMBER(SEARCH("VPS",$I834))=FALSE,LEFT($I834,6)&lt;&gt;"VACUUM"),"CDU",IF($H834="FLUID CAT CRACKING","FCC",IF(OR($H834="HYDROCRACKING",$H834="RESID_HYDROCRACKING"),"Hydrocracker",IF($H834="REFORMING","Reformer",""))))</f>
        <v/>
      </c>
      <c r="H834" s="6" t="s">
        <v>378</v>
      </c>
      <c r="I834" s="6" t="s">
        <v>379</v>
      </c>
      <c r="J834" s="6" t="s">
        <v>349</v>
      </c>
      <c r="K834" s="10">
        <v>103</v>
      </c>
      <c r="L834" s="10">
        <v>103</v>
      </c>
      <c r="M834" s="6" t="s">
        <v>371</v>
      </c>
    </row>
    <row r="835" spans="1:13">
      <c r="A835" s="6">
        <v>2023</v>
      </c>
      <c r="B835" s="6">
        <v>4</v>
      </c>
      <c r="C835" s="6" t="s">
        <v>62</v>
      </c>
      <c r="D835" s="6" t="s">
        <v>48</v>
      </c>
      <c r="E835" s="6" t="s">
        <v>388</v>
      </c>
      <c r="F835" s="6" t="str">
        <f>IF($M835="PADD I","PADD 1",IF($M835="PADD II","PADD 2",IF($M835="PADD III","PADD 3",IF($M835="PADD IV","PADD 4",IF($M835="PADD V","PADD 5","")))))</f>
        <v>PADD 2</v>
      </c>
      <c r="G835" s="6">
        <f>IF(AND($H835="ATMOS DISTILLATION",ISNUMBER(SEARCH("VPS",$I835))=FALSE,LEFT($I835,6)&lt;&gt;"VACUUM"),"CDU",IF($H835="FLUID CAT CRACKING","FCC",IF(OR($H835="HYDROCRACKING",$H835="RESID_HYDROCRACKING"),"Hydrocracker",IF($H835="REFORMING","Reformer",""))))</f>
        <v/>
      </c>
      <c r="H835" s="6" t="s">
        <v>43</v>
      </c>
      <c r="I835" s="6" t="s">
        <v>696</v>
      </c>
      <c r="J835" s="6" t="s">
        <v>345</v>
      </c>
      <c r="K835" s="10">
        <v>83.5</v>
      </c>
      <c r="L835" s="10">
        <v>83.5</v>
      </c>
      <c r="M835" s="6" t="s">
        <v>375</v>
      </c>
    </row>
    <row r="836" spans="1:13">
      <c r="A836" s="6">
        <v>2023</v>
      </c>
      <c r="B836" s="6">
        <v>4</v>
      </c>
      <c r="C836" s="6" t="s">
        <v>62</v>
      </c>
      <c r="D836" s="6" t="s">
        <v>542</v>
      </c>
      <c r="E836" s="6" t="s">
        <v>543</v>
      </c>
      <c r="F836" s="6" t="str">
        <f>IF($M836="PADD I","PADD 1",IF($M836="PADD II","PADD 2",IF($M836="PADD III","PADD 3",IF($M836="PADD IV","PADD 4",IF($M836="PADD V","PADD 5","")))))</f>
        <v>PADD 2</v>
      </c>
      <c r="G836" s="6" t="str">
        <f>IF(AND($H836="ATMOS DISTILLATION",ISNUMBER(SEARCH("VPS",$I836))=FALSE,LEFT($I836,6)&lt;&gt;"VACUUM"),"CDU",IF($H836="FLUID CAT CRACKING","FCC",IF(OR($H836="HYDROCRACKING",$H836="RESID_HYDROCRACKING"),"Hydrocracker",IF($H836="REFORMING","Reformer",""))))</f>
        <v>CDU</v>
      </c>
      <c r="H836" s="6" t="s">
        <v>38</v>
      </c>
      <c r="I836" s="6" t="s">
        <v>690</v>
      </c>
      <c r="J836" s="6" t="s">
        <v>345</v>
      </c>
      <c r="K836" s="10">
        <v>75</v>
      </c>
      <c r="L836" s="10">
        <v>75</v>
      </c>
      <c r="M836" s="6" t="s">
        <v>375</v>
      </c>
    </row>
    <row r="837" spans="1:13">
      <c r="A837" s="6">
        <v>2023</v>
      </c>
      <c r="B837" s="6">
        <v>4</v>
      </c>
      <c r="C837" s="6" t="s">
        <v>62</v>
      </c>
      <c r="D837" s="6" t="s">
        <v>50</v>
      </c>
      <c r="E837" s="6" t="s">
        <v>381</v>
      </c>
      <c r="F837" s="6" t="str">
        <f>IF($M837="PADD I","PADD 1",IF($M837="PADD II","PADD 2",IF($M837="PADD III","PADD 3",IF($M837="PADD IV","PADD 4",IF($M837="PADD V","PADD 5","")))))</f>
        <v>PADD 3</v>
      </c>
      <c r="G837" s="6" t="str">
        <f>IF(AND($H837="ATMOS DISTILLATION",ISNUMBER(SEARCH("VPS",$I837))=FALSE,LEFT($I837,6)&lt;&gt;"VACUUM"),"CDU",IF($H837="FLUID CAT CRACKING","FCC",IF(OR($H837="HYDROCRACKING",$H837="RESID_HYDROCRACKING"),"Hydrocracker",IF($H837="REFORMING","Reformer",""))))</f>
        <v>CDU</v>
      </c>
      <c r="H837" s="6" t="s">
        <v>38</v>
      </c>
      <c r="I837" s="6" t="s">
        <v>769</v>
      </c>
      <c r="J837" s="6" t="s">
        <v>345</v>
      </c>
      <c r="K837" s="10">
        <v>73.79000000000001</v>
      </c>
      <c r="L837" s="10">
        <v>157</v>
      </c>
      <c r="M837" s="6" t="s">
        <v>371</v>
      </c>
    </row>
    <row r="838" spans="1:13">
      <c r="A838" s="6">
        <v>2023</v>
      </c>
      <c r="B838" s="6">
        <v>4</v>
      </c>
      <c r="C838" s="6" t="s">
        <v>62</v>
      </c>
      <c r="D838" s="6" t="s">
        <v>324</v>
      </c>
      <c r="E838" s="6" t="s">
        <v>388</v>
      </c>
      <c r="F838" s="6" t="str">
        <f>IF($M838="PADD I","PADD 1",IF($M838="PADD II","PADD 2",IF($M838="PADD III","PADD 3",IF($M838="PADD IV","PADD 4",IF($M838="PADD V","PADD 5","")))))</f>
        <v>PADD 3</v>
      </c>
      <c r="G838" s="6">
        <f>IF(AND($H838="ATMOS DISTILLATION",ISNUMBER(SEARCH("VPS",$I838))=FALSE,LEFT($I838,6)&lt;&gt;"VACUUM"),"CDU",IF($H838="FLUID CAT CRACKING","FCC",IF(OR($H838="HYDROCRACKING",$H838="RESID_HYDROCRACKING"),"Hydrocracker",IF($H838="REFORMING","Reformer",""))))</f>
        <v/>
      </c>
      <c r="H838" s="6" t="s">
        <v>43</v>
      </c>
      <c r="I838" s="6" t="s">
        <v>682</v>
      </c>
      <c r="J838" s="6" t="s">
        <v>345</v>
      </c>
      <c r="K838" s="10">
        <v>66.78</v>
      </c>
      <c r="L838" s="10">
        <v>106</v>
      </c>
      <c r="M838" s="6" t="s">
        <v>371</v>
      </c>
    </row>
    <row r="839" spans="1:13">
      <c r="A839" s="6">
        <v>2023</v>
      </c>
      <c r="B839" s="6">
        <v>4</v>
      </c>
      <c r="C839" s="6" t="s">
        <v>62</v>
      </c>
      <c r="D839" s="6" t="s">
        <v>368</v>
      </c>
      <c r="E839" s="6" t="s">
        <v>369</v>
      </c>
      <c r="F839" s="6" t="str">
        <f>IF($M839="PADD I","PADD 1",IF($M839="PADD II","PADD 2",IF($M839="PADD III","PADD 3",IF($M839="PADD IV","PADD 4",IF($M839="PADD V","PADD 5","")))))</f>
        <v>PADD 3</v>
      </c>
      <c r="G839" s="6">
        <f>IF(AND($H839="ATMOS DISTILLATION",ISNUMBER(SEARCH("VPS",$I839))=FALSE,LEFT($I839,6)&lt;&gt;"VACUUM"),"CDU",IF($H839="FLUID CAT CRACKING","FCC",IF(OR($H839="HYDROCRACKING",$H839="RESID_HYDROCRACKING"),"Hydrocracker",IF($H839="REFORMING","Reformer",""))))</f>
        <v/>
      </c>
      <c r="H839" s="6" t="s">
        <v>43</v>
      </c>
      <c r="I839" s="6" t="s">
        <v>393</v>
      </c>
      <c r="J839" s="6" t="s">
        <v>349</v>
      </c>
      <c r="K839" s="10">
        <v>65.40000000000001</v>
      </c>
      <c r="L839" s="10">
        <v>65.40000000000001</v>
      </c>
      <c r="M839" s="6" t="s">
        <v>371</v>
      </c>
    </row>
    <row r="840" spans="1:13">
      <c r="A840" s="6">
        <v>2023</v>
      </c>
      <c r="B840" s="6">
        <v>4</v>
      </c>
      <c r="C840" s="6" t="s">
        <v>62</v>
      </c>
      <c r="D840" s="6" t="s">
        <v>770</v>
      </c>
      <c r="E840" s="6" t="s">
        <v>660</v>
      </c>
      <c r="F840" s="6" t="str">
        <f>IF($M840="PADD I","PADD 1",IF($M840="PADD II","PADD 2",IF($M840="PADD III","PADD 3",IF($M840="PADD IV","PADD 4",IF($M840="PADD V","PADD 5","")))))</f>
        <v>PADD 3</v>
      </c>
      <c r="G840" s="6" t="str">
        <f>IF(AND($H840="ATMOS DISTILLATION",ISNUMBER(SEARCH("VPS",$I840))=FALSE,LEFT($I840,6)&lt;&gt;"VACUUM"),"CDU",IF($H840="FLUID CAT CRACKING","FCC",IF(OR($H840="HYDROCRACKING",$H840="RESID_HYDROCRACKING"),"Hydrocracker",IF($H840="REFORMING","Reformer",""))))</f>
        <v>CDU</v>
      </c>
      <c r="H840" s="6" t="s">
        <v>38</v>
      </c>
      <c r="I840" s="6" t="s">
        <v>771</v>
      </c>
      <c r="J840" s="6" t="s">
        <v>349</v>
      </c>
      <c r="K840" s="10">
        <v>63</v>
      </c>
      <c r="L840" s="10">
        <v>63</v>
      </c>
      <c r="M840" s="6" t="s">
        <v>371</v>
      </c>
    </row>
    <row r="841" spans="1:13">
      <c r="A841" s="6">
        <v>2023</v>
      </c>
      <c r="B841" s="6">
        <v>4</v>
      </c>
      <c r="C841" s="6" t="s">
        <v>62</v>
      </c>
      <c r="D841" s="6" t="s">
        <v>680</v>
      </c>
      <c r="E841" s="6" t="s">
        <v>681</v>
      </c>
      <c r="F841" s="6" t="str">
        <f>IF($M841="PADD I","PADD 1",IF($M841="PADD II","PADD 2",IF($M841="PADD III","PADD 3",IF($M841="PADD IV","PADD 4",IF($M841="PADD V","PADD 5","")))))</f>
        <v>PADD 3</v>
      </c>
      <c r="G841" s="6" t="str">
        <f>IF(AND($H841="ATMOS DISTILLATION",ISNUMBER(SEARCH("VPS",$I841))=FALSE,LEFT($I841,6)&lt;&gt;"VACUUM"),"CDU",IF($H841="FLUID CAT CRACKING","FCC",IF(OR($H841="HYDROCRACKING",$H841="RESID_HYDROCRACKING"),"Hydrocracker",IF($H841="REFORMING","Reformer",""))))</f>
        <v>CDU</v>
      </c>
      <c r="H841" s="6" t="s">
        <v>38</v>
      </c>
      <c r="I841" s="6" t="s">
        <v>81</v>
      </c>
      <c r="J841" s="6" t="s">
        <v>349</v>
      </c>
      <c r="K841" s="10">
        <v>60.45</v>
      </c>
      <c r="L841" s="10">
        <v>65</v>
      </c>
      <c r="M841" s="6" t="s">
        <v>371</v>
      </c>
    </row>
    <row r="842" spans="1:13">
      <c r="A842" s="6">
        <v>2023</v>
      </c>
      <c r="B842" s="6">
        <v>4</v>
      </c>
      <c r="C842" s="6" t="s">
        <v>62</v>
      </c>
      <c r="D842" s="6" t="s">
        <v>368</v>
      </c>
      <c r="E842" s="6" t="s">
        <v>369</v>
      </c>
      <c r="F842" s="6" t="str">
        <f>IF($M842="PADD I","PADD 1",IF($M842="PADD II","PADD 2",IF($M842="PADD III","PADD 3",IF($M842="PADD IV","PADD 4",IF($M842="PADD V","PADD 5","")))))</f>
        <v>PADD 3</v>
      </c>
      <c r="G842" s="6">
        <f>IF(AND($H842="ATMOS DISTILLATION",ISNUMBER(SEARCH("VPS",$I842))=FALSE,LEFT($I842,6)&lt;&gt;"VACUUM"),"CDU",IF($H842="FLUID CAT CRACKING","FCC",IF(OR($H842="HYDROCRACKING",$H842="RESID_HYDROCRACKING"),"Hydrocracker",IF($H842="REFORMING","Reformer",""))))</f>
        <v/>
      </c>
      <c r="H842" s="6" t="s">
        <v>43</v>
      </c>
      <c r="I842" s="6" t="s">
        <v>401</v>
      </c>
      <c r="J842" s="6" t="s">
        <v>349</v>
      </c>
      <c r="K842" s="10">
        <v>58.5</v>
      </c>
      <c r="L842" s="10">
        <v>58.5</v>
      </c>
      <c r="M842" s="6" t="s">
        <v>371</v>
      </c>
    </row>
    <row r="843" spans="1:13">
      <c r="A843" s="6">
        <v>2023</v>
      </c>
      <c r="B843" s="6">
        <v>4</v>
      </c>
      <c r="C843" s="6" t="s">
        <v>62</v>
      </c>
      <c r="D843" s="6" t="s">
        <v>739</v>
      </c>
      <c r="E843" s="6" t="s">
        <v>405</v>
      </c>
      <c r="F843" s="6" t="str">
        <f>IF($M843="PADD I","PADD 1",IF($M843="PADD II","PADD 2",IF($M843="PADD III","PADD 3",IF($M843="PADD IV","PADD 4",IF($M843="PADD V","PADD 5","")))))</f>
        <v>PADD 2</v>
      </c>
      <c r="G843" s="6" t="str">
        <f>IF(AND($H843="ATMOS DISTILLATION",ISNUMBER(SEARCH("VPS",$I843))=FALSE,LEFT($I843,6)&lt;&gt;"VACUUM"),"CDU",IF($H843="FLUID CAT CRACKING","FCC",IF(OR($H843="HYDROCRACKING",$H843="RESID_HYDROCRACKING"),"Hydrocracker",IF($H843="REFORMING","Reformer",""))))</f>
        <v>CDU</v>
      </c>
      <c r="H843" s="6" t="s">
        <v>38</v>
      </c>
      <c r="I843" s="6" t="s">
        <v>133</v>
      </c>
      <c r="J843" s="6" t="s">
        <v>349</v>
      </c>
      <c r="K843" s="10">
        <v>57.645</v>
      </c>
      <c r="L843" s="10">
        <v>91.5</v>
      </c>
      <c r="M843" s="6" t="s">
        <v>375</v>
      </c>
    </row>
    <row r="844" spans="1:13">
      <c r="A844" s="6">
        <v>2023</v>
      </c>
      <c r="B844" s="6">
        <v>4</v>
      </c>
      <c r="C844" s="6" t="s">
        <v>62</v>
      </c>
      <c r="D844" s="6" t="s">
        <v>387</v>
      </c>
      <c r="E844" s="6" t="s">
        <v>388</v>
      </c>
      <c r="F844" s="6" t="str">
        <f>IF($M844="PADD I","PADD 1",IF($M844="PADD II","PADD 2",IF($M844="PADD III","PADD 3",IF($M844="PADD IV","PADD 4",IF($M844="PADD V","PADD 5","")))))</f>
        <v>PADD 3</v>
      </c>
      <c r="G844" s="6" t="str">
        <f>IF(AND($H844="ATMOS DISTILLATION",ISNUMBER(SEARCH("VPS",$I844))=FALSE,LEFT($I844,6)&lt;&gt;"VACUUM"),"CDU",IF($H844="FLUID CAT CRACKING","FCC",IF(OR($H844="HYDROCRACKING",$H844="RESID_HYDROCRACKING"),"Hydrocracker",IF($H844="REFORMING","Reformer",""))))</f>
        <v>CDU</v>
      </c>
      <c r="H844" s="6" t="s">
        <v>38</v>
      </c>
      <c r="I844" s="6" t="s">
        <v>389</v>
      </c>
      <c r="J844" s="6" t="s">
        <v>349</v>
      </c>
      <c r="K844" s="10">
        <v>56.35</v>
      </c>
      <c r="L844" s="10">
        <v>245</v>
      </c>
      <c r="M844" s="6" t="s">
        <v>371</v>
      </c>
    </row>
    <row r="845" spans="1:13">
      <c r="A845" s="6">
        <v>2023</v>
      </c>
      <c r="B845" s="6">
        <v>4</v>
      </c>
      <c r="C845" s="6" t="s">
        <v>62</v>
      </c>
      <c r="D845" s="6" t="s">
        <v>748</v>
      </c>
      <c r="E845" s="6" t="s">
        <v>388</v>
      </c>
      <c r="F845" s="6" t="str">
        <f>IF($M845="PADD I","PADD 1",IF($M845="PADD II","PADD 2",IF($M845="PADD III","PADD 3",IF($M845="PADD IV","PADD 4",IF($M845="PADD V","PADD 5","")))))</f>
        <v>PADD 3</v>
      </c>
      <c r="G845" s="6" t="str">
        <f>IF(AND($H845="ATMOS DISTILLATION",ISNUMBER(SEARCH("VPS",$I845))=FALSE,LEFT($I845,6)&lt;&gt;"VACUUM"),"CDU",IF($H845="FLUID CAT CRACKING","FCC",IF(OR($H845="HYDROCRACKING",$H845="RESID_HYDROCRACKING"),"Hydrocracker",IF($H845="REFORMING","Reformer",""))))</f>
        <v>CDU</v>
      </c>
      <c r="H845" s="6" t="s">
        <v>38</v>
      </c>
      <c r="I845" s="6" t="s">
        <v>749</v>
      </c>
      <c r="J845" s="6" t="s">
        <v>349</v>
      </c>
      <c r="K845" s="10">
        <v>56</v>
      </c>
      <c r="L845" s="10">
        <v>56</v>
      </c>
      <c r="M845" s="6" t="s">
        <v>371</v>
      </c>
    </row>
    <row r="846" spans="1:13">
      <c r="A846" s="6">
        <v>2023</v>
      </c>
      <c r="B846" s="6">
        <v>4</v>
      </c>
      <c r="C846" s="6" t="s">
        <v>62</v>
      </c>
      <c r="D846" s="6" t="s">
        <v>387</v>
      </c>
      <c r="E846" s="6" t="s">
        <v>388</v>
      </c>
      <c r="F846" s="6" t="str">
        <f>IF($M846="PADD I","PADD 1",IF($M846="PADD II","PADD 2",IF($M846="PADD III","PADD 3",IF($M846="PADD IV","PADD 4",IF($M846="PADD V","PADD 5","")))))</f>
        <v>PADD 3</v>
      </c>
      <c r="G846" s="6" t="str">
        <f>IF(AND($H846="ATMOS DISTILLATION",ISNUMBER(SEARCH("VPS",$I846))=FALSE,LEFT($I846,6)&lt;&gt;"VACUUM"),"CDU",IF($H846="FLUID CAT CRACKING","FCC",IF(OR($H846="HYDROCRACKING",$H846="RESID_HYDROCRACKING"),"Hydrocracker",IF($H846="REFORMING","Reformer",""))))</f>
        <v>Hydrocracker</v>
      </c>
      <c r="H846" s="6" t="s">
        <v>444</v>
      </c>
      <c r="I846" s="6" t="s">
        <v>476</v>
      </c>
      <c r="J846" s="6" t="s">
        <v>345</v>
      </c>
      <c r="K846" s="10">
        <v>56</v>
      </c>
      <c r="L846" s="10">
        <v>70</v>
      </c>
      <c r="M846" s="6" t="s">
        <v>371</v>
      </c>
    </row>
    <row r="847" spans="1:13">
      <c r="A847" s="6">
        <v>2023</v>
      </c>
      <c r="B847" s="6">
        <v>4</v>
      </c>
      <c r="C847" s="6" t="s">
        <v>62</v>
      </c>
      <c r="D847" s="6" t="s">
        <v>372</v>
      </c>
      <c r="E847" s="6" t="s">
        <v>373</v>
      </c>
      <c r="F847" s="6" t="str">
        <f>IF($M847="PADD I","PADD 1",IF($M847="PADD II","PADD 2",IF($M847="PADD III","PADD 3",IF($M847="PADD IV","PADD 4",IF($M847="PADD V","PADD 5","")))))</f>
        <v>PADD 2</v>
      </c>
      <c r="G847" s="6" t="str">
        <f>IF(AND($H847="ATMOS DISTILLATION",ISNUMBER(SEARCH("VPS",$I847))=FALSE,LEFT($I847,6)&lt;&gt;"VACUUM"),"CDU",IF($H847="FLUID CAT CRACKING","FCC",IF(OR($H847="HYDROCRACKING",$H847="RESID_HYDROCRACKING"),"Hydrocracker",IF($H847="REFORMING","Reformer",""))))</f>
        <v>FCC</v>
      </c>
      <c r="H847" s="6" t="s">
        <v>376</v>
      </c>
      <c r="I847" s="6" t="s">
        <v>407</v>
      </c>
      <c r="J847" s="6" t="s">
        <v>345</v>
      </c>
      <c r="K847" s="10">
        <v>55</v>
      </c>
      <c r="L847" s="10">
        <v>55</v>
      </c>
      <c r="M847" s="6" t="s">
        <v>375</v>
      </c>
    </row>
    <row r="848" spans="1:13">
      <c r="A848" s="6">
        <v>2023</v>
      </c>
      <c r="B848" s="6">
        <v>4</v>
      </c>
      <c r="C848" s="6" t="s">
        <v>62</v>
      </c>
      <c r="D848" s="6" t="s">
        <v>526</v>
      </c>
      <c r="E848" s="6" t="s">
        <v>405</v>
      </c>
      <c r="F848" s="6" t="str">
        <f>IF($M848="PADD I","PADD 1",IF($M848="PADD II","PADD 2",IF($M848="PADD III","PADD 3",IF($M848="PADD IV","PADD 4",IF($M848="PADD V","PADD 5","")))))</f>
        <v>PADD 3</v>
      </c>
      <c r="G848" s="6">
        <f>IF(AND($H848="ATMOS DISTILLATION",ISNUMBER(SEARCH("VPS",$I848))=FALSE,LEFT($I848,6)&lt;&gt;"VACUUM"),"CDU",IF($H848="FLUID CAT CRACKING","FCC",IF(OR($H848="HYDROCRACKING",$H848="RESID_HYDROCRACKING"),"Hydrocracker",IF($H848="REFORMING","Reformer",""))))</f>
        <v/>
      </c>
      <c r="H848" s="6" t="s">
        <v>435</v>
      </c>
      <c r="I848" s="6" t="s">
        <v>686</v>
      </c>
      <c r="J848" s="6" t="s">
        <v>349</v>
      </c>
      <c r="K848" s="10">
        <v>55</v>
      </c>
      <c r="L848" s="10">
        <v>55</v>
      </c>
      <c r="M848" s="6" t="s">
        <v>371</v>
      </c>
    </row>
    <row r="849" spans="1:13">
      <c r="A849" s="6">
        <v>2023</v>
      </c>
      <c r="B849" s="6">
        <v>4</v>
      </c>
      <c r="C849" s="6" t="s">
        <v>62</v>
      </c>
      <c r="D849" s="6" t="s">
        <v>372</v>
      </c>
      <c r="E849" s="6" t="s">
        <v>373</v>
      </c>
      <c r="F849" s="6" t="str">
        <f>IF($M849="PADD I","PADD 1",IF($M849="PADD II","PADD 2",IF($M849="PADD III","PADD 3",IF($M849="PADD IV","PADD 4",IF($M849="PADD V","PADD 5","")))))</f>
        <v>PADD 2</v>
      </c>
      <c r="G849" s="6" t="str">
        <f>IF(AND($H849="ATMOS DISTILLATION",ISNUMBER(SEARCH("VPS",$I849))=FALSE,LEFT($I849,6)&lt;&gt;"VACUUM"),"CDU",IF($H849="FLUID CAT CRACKING","FCC",IF(OR($H849="HYDROCRACKING",$H849="RESID_HYDROCRACKING"),"Hydrocracker",IF($H849="REFORMING","Reformer",""))))</f>
        <v>FCC</v>
      </c>
      <c r="H849" s="6" t="s">
        <v>376</v>
      </c>
      <c r="I849" s="6" t="s">
        <v>407</v>
      </c>
      <c r="J849" s="6" t="s">
        <v>345</v>
      </c>
      <c r="K849" s="10">
        <v>55</v>
      </c>
      <c r="L849" s="10">
        <v>55</v>
      </c>
      <c r="M849" s="6" t="s">
        <v>375</v>
      </c>
    </row>
    <row r="850" spans="1:13">
      <c r="A850" s="6">
        <v>2023</v>
      </c>
      <c r="B850" s="6">
        <v>4</v>
      </c>
      <c r="C850" s="6" t="s">
        <v>62</v>
      </c>
      <c r="D850" s="6" t="s">
        <v>772</v>
      </c>
      <c r="E850" s="6" t="s">
        <v>405</v>
      </c>
      <c r="F850" s="6" t="str">
        <f>IF($M850="PADD I","PADD 1",IF($M850="PADD II","PADD 2",IF($M850="PADD III","PADD 3",IF($M850="PADD IV","PADD 4",IF($M850="PADD V","PADD 5","")))))</f>
        <v>PADD 3</v>
      </c>
      <c r="G850" s="6" t="str">
        <f>IF(AND($H850="ATMOS DISTILLATION",ISNUMBER(SEARCH("VPS",$I850))=FALSE,LEFT($I850,6)&lt;&gt;"VACUUM"),"CDU",IF($H850="FLUID CAT CRACKING","FCC",IF(OR($H850="HYDROCRACKING",$H850="RESID_HYDROCRACKING"),"Hydrocracker",IF($H850="REFORMING","Reformer",""))))</f>
        <v>FCC</v>
      </c>
      <c r="H850" s="6" t="s">
        <v>376</v>
      </c>
      <c r="I850" s="6" t="s">
        <v>773</v>
      </c>
      <c r="J850" s="6" t="s">
        <v>349</v>
      </c>
      <c r="K850" s="10">
        <v>54.72</v>
      </c>
      <c r="L850" s="10">
        <v>96</v>
      </c>
      <c r="M850" s="6" t="s">
        <v>371</v>
      </c>
    </row>
    <row r="851" spans="1:13">
      <c r="A851" s="6">
        <v>2023</v>
      </c>
      <c r="B851" s="6">
        <v>4</v>
      </c>
      <c r="C851" s="6" t="s">
        <v>62</v>
      </c>
      <c r="D851" s="6" t="s">
        <v>490</v>
      </c>
      <c r="E851" s="6" t="s">
        <v>491</v>
      </c>
      <c r="F851" s="6" t="str">
        <f>IF($M851="PADD I","PADD 1",IF($M851="PADD II","PADD 2",IF($M851="PADD III","PADD 3",IF($M851="PADD IV","PADD 4",IF($M851="PADD V","PADD 5","")))))</f>
        <v>PADD 3</v>
      </c>
      <c r="G851" s="6">
        <f>IF(AND($H851="ATMOS DISTILLATION",ISNUMBER(SEARCH("VPS",$I851))=FALSE,LEFT($I851,6)&lt;&gt;"VACUUM"),"CDU",IF($H851="FLUID CAT CRACKING","FCC",IF(OR($H851="HYDROCRACKING",$H851="RESID_HYDROCRACKING"),"Hydrocracker",IF($H851="REFORMING","Reformer",""))))</f>
        <v/>
      </c>
      <c r="H851" s="6" t="s">
        <v>435</v>
      </c>
      <c r="I851" s="6" t="s">
        <v>687</v>
      </c>
      <c r="J851" s="6" t="s">
        <v>349</v>
      </c>
      <c r="K851" s="10">
        <v>54</v>
      </c>
      <c r="L851" s="10">
        <v>54</v>
      </c>
      <c r="M851" s="6" t="s">
        <v>371</v>
      </c>
    </row>
    <row r="852" spans="1:13">
      <c r="A852" s="6">
        <v>2023</v>
      </c>
      <c r="B852" s="6">
        <v>4</v>
      </c>
      <c r="C852" s="6" t="s">
        <v>62</v>
      </c>
      <c r="D852" s="6" t="s">
        <v>48</v>
      </c>
      <c r="E852" s="6" t="s">
        <v>388</v>
      </c>
      <c r="F852" s="6" t="str">
        <f>IF($M852="PADD I","PADD 1",IF($M852="PADD II","PADD 2",IF($M852="PADD III","PADD 3",IF($M852="PADD IV","PADD 4",IF($M852="PADD V","PADD 5","")))))</f>
        <v>PADD 2</v>
      </c>
      <c r="G852" s="6">
        <f>IF(AND($H852="ATMOS DISTILLATION",ISNUMBER(SEARCH("VPS",$I852))=FALSE,LEFT($I852,6)&lt;&gt;"VACUUM"),"CDU",IF($H852="FLUID CAT CRACKING","FCC",IF(OR($H852="HYDROCRACKING",$H852="RESID_HYDROCRACKING"),"Hydrocracker",IF($H852="REFORMING","Reformer",""))))</f>
        <v/>
      </c>
      <c r="H852" s="6" t="s">
        <v>43</v>
      </c>
      <c r="I852" s="6" t="s">
        <v>741</v>
      </c>
      <c r="J852" s="6" t="s">
        <v>349</v>
      </c>
      <c r="K852" s="10">
        <v>53</v>
      </c>
      <c r="L852" s="10">
        <v>53</v>
      </c>
      <c r="M852" s="6" t="s">
        <v>375</v>
      </c>
    </row>
    <row r="853" spans="1:13">
      <c r="A853" s="6">
        <v>2023</v>
      </c>
      <c r="B853" s="6">
        <v>4</v>
      </c>
      <c r="C853" s="6" t="s">
        <v>62</v>
      </c>
      <c r="D853" s="6" t="s">
        <v>415</v>
      </c>
      <c r="E853" s="6" t="s">
        <v>416</v>
      </c>
      <c r="F853" s="6" t="str">
        <f>IF($M853="PADD I","PADD 1",IF($M853="PADD II","PADD 2",IF($M853="PADD III","PADD 3",IF($M853="PADD IV","PADD 4",IF($M853="PADD V","PADD 5","")))))</f>
        <v>PADD 3</v>
      </c>
      <c r="G853" s="6">
        <f>IF(AND($H853="ATMOS DISTILLATION",ISNUMBER(SEARCH("VPS",$I853))=FALSE,LEFT($I853,6)&lt;&gt;"VACUUM"),"CDU",IF($H853="FLUID CAT CRACKING","FCC",IF(OR($H853="HYDROCRACKING",$H853="RESID_HYDROCRACKING"),"Hydrocracker",IF($H853="REFORMING","Reformer",""))))</f>
        <v/>
      </c>
      <c r="H853" s="6" t="s">
        <v>378</v>
      </c>
      <c r="I853" s="6" t="s">
        <v>417</v>
      </c>
      <c r="J853" s="6" t="s">
        <v>345</v>
      </c>
      <c r="K853" s="10">
        <v>50</v>
      </c>
      <c r="L853" s="10">
        <v>50</v>
      </c>
      <c r="M853" s="6" t="s">
        <v>371</v>
      </c>
    </row>
    <row r="854" spans="1:13">
      <c r="A854" s="6">
        <v>2023</v>
      </c>
      <c r="B854" s="6">
        <v>4</v>
      </c>
      <c r="C854" s="6" t="s">
        <v>62</v>
      </c>
      <c r="D854" s="6" t="s">
        <v>53</v>
      </c>
      <c r="E854" s="6" t="s">
        <v>543</v>
      </c>
      <c r="F854" s="6" t="str">
        <f>IF($M854="PADD I","PADD 1",IF($M854="PADD II","PADD 2",IF($M854="PADD III","PADD 3",IF($M854="PADD IV","PADD 4",IF($M854="PADD V","PADD 5","")))))</f>
        <v>PADD 5</v>
      </c>
      <c r="G854" s="6" t="str">
        <f>IF(AND($H854="ATMOS DISTILLATION",ISNUMBER(SEARCH("VPS",$I854))=FALSE,LEFT($I854,6)&lt;&gt;"VACUUM"),"CDU",IF($H854="FLUID CAT CRACKING","FCC",IF(OR($H854="HYDROCRACKING",$H854="RESID_HYDROCRACKING"),"Hydrocracker",IF($H854="REFORMING","Reformer",""))))</f>
        <v>Hydrocracker</v>
      </c>
      <c r="H854" s="6" t="s">
        <v>444</v>
      </c>
      <c r="I854" s="6" t="s">
        <v>14</v>
      </c>
      <c r="J854" s="6" t="s">
        <v>349</v>
      </c>
      <c r="K854" s="10">
        <v>47.85</v>
      </c>
      <c r="L854" s="10">
        <v>55</v>
      </c>
      <c r="M854" s="6" t="s">
        <v>386</v>
      </c>
    </row>
    <row r="855" spans="1:13">
      <c r="A855" s="6">
        <v>2023</v>
      </c>
      <c r="B855" s="6">
        <v>4</v>
      </c>
      <c r="C855" s="6" t="s">
        <v>62</v>
      </c>
      <c r="D855" s="6" t="s">
        <v>526</v>
      </c>
      <c r="E855" s="6" t="s">
        <v>405</v>
      </c>
      <c r="F855" s="6" t="str">
        <f>IF($M855="PADD I","PADD 1",IF($M855="PADD II","PADD 2",IF($M855="PADD III","PADD 3",IF($M855="PADD IV","PADD 4",IF($M855="PADD V","PADD 5","")))))</f>
        <v>PADD 3</v>
      </c>
      <c r="G855" s="6" t="str">
        <f>IF(AND($H855="ATMOS DISTILLATION",ISNUMBER(SEARCH("VPS",$I855))=FALSE,LEFT($I855,6)&lt;&gt;"VACUUM"),"CDU",IF($H855="FLUID CAT CRACKING","FCC",IF(OR($H855="HYDROCRACKING",$H855="RESID_HYDROCRACKING"),"Hydrocracker",IF($H855="REFORMING","Reformer",""))))</f>
        <v>Hydrocracker</v>
      </c>
      <c r="H855" s="6" t="s">
        <v>444</v>
      </c>
      <c r="I855" s="6" t="s">
        <v>527</v>
      </c>
      <c r="J855" s="6" t="s">
        <v>345</v>
      </c>
      <c r="K855" s="10">
        <v>45</v>
      </c>
      <c r="L855" s="10">
        <v>45</v>
      </c>
      <c r="M855" s="6" t="s">
        <v>371</v>
      </c>
    </row>
    <row r="856" spans="1:13">
      <c r="A856" s="6">
        <v>2023</v>
      </c>
      <c r="B856" s="6">
        <v>4</v>
      </c>
      <c r="C856" s="6" t="s">
        <v>62</v>
      </c>
      <c r="D856" s="6" t="s">
        <v>368</v>
      </c>
      <c r="E856" s="6" t="s">
        <v>369</v>
      </c>
      <c r="F856" s="6" t="str">
        <f>IF($M856="PADD I","PADD 1",IF($M856="PADD II","PADD 2",IF($M856="PADD III","PADD 3",IF($M856="PADD IV","PADD 4",IF($M856="PADD V","PADD 5","")))))</f>
        <v>PADD 3</v>
      </c>
      <c r="G856" s="6" t="str">
        <f>IF(AND($H856="ATMOS DISTILLATION",ISNUMBER(SEARCH("VPS",$I856))=FALSE,LEFT($I856,6)&lt;&gt;"VACUUM"),"CDU",IF($H856="FLUID CAT CRACKING","FCC",IF(OR($H856="HYDROCRACKING",$H856="RESID_HYDROCRACKING"),"Hydrocracker",IF($H856="REFORMING","Reformer",""))))</f>
        <v>Reformer</v>
      </c>
      <c r="H856" s="6" t="s">
        <v>421</v>
      </c>
      <c r="I856" s="6" t="s">
        <v>422</v>
      </c>
      <c r="J856" s="6" t="s">
        <v>349</v>
      </c>
      <c r="K856" s="10">
        <v>44.6</v>
      </c>
      <c r="L856" s="10">
        <v>44.6</v>
      </c>
      <c r="M856" s="6" t="s">
        <v>371</v>
      </c>
    </row>
    <row r="857" spans="1:13">
      <c r="A857" s="6">
        <v>2023</v>
      </c>
      <c r="B857" s="6">
        <v>4</v>
      </c>
      <c r="C857" s="6" t="s">
        <v>62</v>
      </c>
      <c r="D857" s="6" t="s">
        <v>748</v>
      </c>
      <c r="E857" s="6" t="s">
        <v>388</v>
      </c>
      <c r="F857" s="6" t="str">
        <f>IF($M857="PADD I","PADD 1",IF($M857="PADD II","PADD 2",IF($M857="PADD III","PADD 3",IF($M857="PADD IV","PADD 4",IF($M857="PADD V","PADD 5","")))))</f>
        <v>PADD 3</v>
      </c>
      <c r="G857" s="6">
        <f>IF(AND($H857="ATMOS DISTILLATION",ISNUMBER(SEARCH("VPS",$I857))=FALSE,LEFT($I857,6)&lt;&gt;"VACUUM"),"CDU",IF($H857="FLUID CAT CRACKING","FCC",IF(OR($H857="HYDROCRACKING",$H857="RESID_HYDROCRACKING"),"Hydrocracker",IF($H857="REFORMING","Reformer",""))))</f>
        <v/>
      </c>
      <c r="H857" s="6" t="s">
        <v>43</v>
      </c>
      <c r="I857" s="6" t="s">
        <v>750</v>
      </c>
      <c r="J857" s="6" t="s">
        <v>349</v>
      </c>
      <c r="K857" s="10">
        <v>44</v>
      </c>
      <c r="L857" s="10">
        <v>44</v>
      </c>
      <c r="M857" s="6" t="s">
        <v>371</v>
      </c>
    </row>
    <row r="858" spans="1:13">
      <c r="A858" s="6">
        <v>2023</v>
      </c>
      <c r="B858" s="6">
        <v>4</v>
      </c>
      <c r="C858" s="6" t="s">
        <v>62</v>
      </c>
      <c r="D858" s="6" t="s">
        <v>53</v>
      </c>
      <c r="E858" s="6" t="s">
        <v>543</v>
      </c>
      <c r="F858" s="6" t="str">
        <f>IF($M858="PADD I","PADD 1",IF($M858="PADD II","PADD 2",IF($M858="PADD III","PADD 3",IF($M858="PADD IV","PADD 4",IF($M858="PADD V","PADD 5","")))))</f>
        <v>PADD 5</v>
      </c>
      <c r="G858" s="6" t="str">
        <f>IF(AND($H858="ATMOS DISTILLATION",ISNUMBER(SEARCH("VPS",$I858))=FALSE,LEFT($I858,6)&lt;&gt;"VACUUM"),"CDU",IF($H858="FLUID CAT CRACKING","FCC",IF(OR($H858="HYDROCRACKING",$H858="RESID_HYDROCRACKING"),"Hydrocracker",IF($H858="REFORMING","Reformer",""))))</f>
        <v>Reformer</v>
      </c>
      <c r="H858" s="6" t="s">
        <v>421</v>
      </c>
      <c r="I858" s="6" t="s">
        <v>559</v>
      </c>
      <c r="J858" s="6" t="s">
        <v>349</v>
      </c>
      <c r="K858" s="10">
        <v>43.5</v>
      </c>
      <c r="L858" s="10">
        <v>50</v>
      </c>
      <c r="M858" s="6" t="s">
        <v>386</v>
      </c>
    </row>
    <row r="859" spans="1:13">
      <c r="A859" s="6">
        <v>2023</v>
      </c>
      <c r="B859" s="6">
        <v>4</v>
      </c>
      <c r="C859" s="6" t="s">
        <v>62</v>
      </c>
      <c r="D859" s="6" t="s">
        <v>372</v>
      </c>
      <c r="E859" s="6" t="s">
        <v>373</v>
      </c>
      <c r="F859" s="6" t="str">
        <f>IF($M859="PADD I","PADD 1",IF($M859="PADD II","PADD 2",IF($M859="PADD III","PADD 3",IF($M859="PADD IV","PADD 4",IF($M859="PADD V","PADD 5","")))))</f>
        <v>PADD 2</v>
      </c>
      <c r="G859" s="6" t="str">
        <f>IF(AND($H859="ATMOS DISTILLATION",ISNUMBER(SEARCH("VPS",$I859))=FALSE,LEFT($I859,6)&lt;&gt;"VACUUM"),"CDU",IF($H859="FLUID CAT CRACKING","FCC",IF(OR($H859="HYDROCRACKING",$H859="RESID_HYDROCRACKING"),"Hydrocracker",IF($H859="REFORMING","Reformer",""))))</f>
        <v>Reformer</v>
      </c>
      <c r="H859" s="6" t="s">
        <v>421</v>
      </c>
      <c r="I859" s="6" t="s">
        <v>423</v>
      </c>
      <c r="J859" s="6" t="s">
        <v>345</v>
      </c>
      <c r="K859" s="10">
        <v>42</v>
      </c>
      <c r="L859" s="10">
        <v>42</v>
      </c>
      <c r="M859" s="6" t="s">
        <v>375</v>
      </c>
    </row>
    <row r="860" spans="1:13">
      <c r="A860" s="6">
        <v>2023</v>
      </c>
      <c r="B860" s="6">
        <v>4</v>
      </c>
      <c r="C860" s="6" t="s">
        <v>62</v>
      </c>
      <c r="D860" s="6" t="s">
        <v>742</v>
      </c>
      <c r="E860" s="6" t="s">
        <v>388</v>
      </c>
      <c r="F860" s="6" t="str">
        <f>IF($M860="PADD I","PADD 1",IF($M860="PADD II","PADD 2",IF($M860="PADD III","PADD 3",IF($M860="PADD IV","PADD 4",IF($M860="PADD V","PADD 5","")))))</f>
        <v>PADD 5</v>
      </c>
      <c r="G860" s="6" t="str">
        <f>IF(AND($H860="ATMOS DISTILLATION",ISNUMBER(SEARCH("VPS",$I860))=FALSE,LEFT($I860,6)&lt;&gt;"VACUUM"),"CDU",IF($H860="FLUID CAT CRACKING","FCC",IF(OR($H860="HYDROCRACKING",$H860="RESID_HYDROCRACKING"),"Hydrocracker",IF($H860="REFORMING","Reformer",""))))</f>
        <v>FCC</v>
      </c>
      <c r="H860" s="6" t="s">
        <v>376</v>
      </c>
      <c r="I860" s="6" t="s">
        <v>105</v>
      </c>
      <c r="J860" s="6" t="s">
        <v>349</v>
      </c>
      <c r="K860" s="10">
        <v>42</v>
      </c>
      <c r="L860" s="10">
        <v>42</v>
      </c>
      <c r="M860" s="6" t="s">
        <v>386</v>
      </c>
    </row>
    <row r="861" spans="1:13">
      <c r="A861" s="6">
        <v>2023</v>
      </c>
      <c r="B861" s="6">
        <v>4</v>
      </c>
      <c r="C861" s="6" t="s">
        <v>62</v>
      </c>
      <c r="D861" s="6" t="s">
        <v>52</v>
      </c>
      <c r="E861" s="6" t="s">
        <v>388</v>
      </c>
      <c r="F861" s="6" t="str">
        <f>IF($M861="PADD I","PADD 1",IF($M861="PADD II","PADD 2",IF($M861="PADD III","PADD 3",IF($M861="PADD IV","PADD 4",IF($M861="PADD V","PADD 5","")))))</f>
        <v>PADD 5</v>
      </c>
      <c r="G861" s="6" t="str">
        <f>IF(AND($H861="ATMOS DISTILLATION",ISNUMBER(SEARCH("VPS",$I861))=FALSE,LEFT($I861,6)&lt;&gt;"VACUUM"),"CDU",IF($H861="FLUID CAT CRACKING","FCC",IF(OR($H861="HYDROCRACKING",$H861="RESID_HYDROCRACKING"),"Hydrocracker",IF($H861="REFORMING","Reformer",""))))</f>
        <v>CDU</v>
      </c>
      <c r="H861" s="6" t="s">
        <v>38</v>
      </c>
      <c r="I861" s="6" t="s">
        <v>81</v>
      </c>
      <c r="J861" s="6" t="s">
        <v>349</v>
      </c>
      <c r="K861" s="10">
        <v>41.04</v>
      </c>
      <c r="L861" s="10">
        <v>72</v>
      </c>
      <c r="M861" s="6" t="s">
        <v>386</v>
      </c>
    </row>
    <row r="862" spans="1:13">
      <c r="A862" s="6">
        <v>2023</v>
      </c>
      <c r="B862" s="6">
        <v>4</v>
      </c>
      <c r="C862" s="6" t="s">
        <v>62</v>
      </c>
      <c r="D862" s="6" t="s">
        <v>395</v>
      </c>
      <c r="E862" s="6" t="s">
        <v>396</v>
      </c>
      <c r="F862" s="6" t="str">
        <f>IF($M862="PADD I","PADD 1",IF($M862="PADD II","PADD 2",IF($M862="PADD III","PADD 3",IF($M862="PADD IV","PADD 4",IF($M862="PADD V","PADD 5","")))))</f>
        <v>PADD 3</v>
      </c>
      <c r="G862" s="6">
        <f>IF(AND($H862="ATMOS DISTILLATION",ISNUMBER(SEARCH("VPS",$I862))=FALSE,LEFT($I862,6)&lt;&gt;"VACUUM"),"CDU",IF($H862="FLUID CAT CRACKING","FCC",IF(OR($H862="HYDROCRACKING",$H862="RESID_HYDROCRACKING"),"Hydrocracker",IF($H862="REFORMING","Reformer",""))))</f>
        <v/>
      </c>
      <c r="H862" s="6" t="s">
        <v>43</v>
      </c>
      <c r="I862" s="6" t="s">
        <v>551</v>
      </c>
      <c r="J862" s="6" t="s">
        <v>349</v>
      </c>
      <c r="K862" s="10">
        <v>40.9</v>
      </c>
      <c r="L862" s="10">
        <v>40.9</v>
      </c>
      <c r="M862" s="6" t="s">
        <v>371</v>
      </c>
    </row>
    <row r="863" spans="1:13">
      <c r="A863" s="6">
        <v>2023</v>
      </c>
      <c r="B863" s="6">
        <v>4</v>
      </c>
      <c r="C863" s="6" t="s">
        <v>62</v>
      </c>
      <c r="D863" s="6" t="s">
        <v>563</v>
      </c>
      <c r="E863" s="6" t="s">
        <v>396</v>
      </c>
      <c r="F863" s="6" t="str">
        <f>IF($M863="PADD I","PADD 1",IF($M863="PADD II","PADD 2",IF($M863="PADD III","PADD 3",IF($M863="PADD IV","PADD 4",IF($M863="PADD V","PADD 5","")))))</f>
        <v>PADD 3</v>
      </c>
      <c r="G863" s="6">
        <f>IF(AND($H863="ATMOS DISTILLATION",ISNUMBER(SEARCH("VPS",$I863))=FALSE,LEFT($I863,6)&lt;&gt;"VACUUM"),"CDU",IF($H863="FLUID CAT CRACKING","FCC",IF(OR($H863="HYDROCRACKING",$H863="RESID_HYDROCRACKING"),"Hydrocracker",IF($H863="REFORMING","Reformer",""))))</f>
        <v/>
      </c>
      <c r="H863" s="6" t="s">
        <v>43</v>
      </c>
      <c r="I863" s="6" t="s">
        <v>564</v>
      </c>
      <c r="J863" s="6" t="s">
        <v>345</v>
      </c>
      <c r="K863" s="10">
        <v>40.9</v>
      </c>
      <c r="L863" s="10">
        <v>40.9</v>
      </c>
      <c r="M863" s="6" t="s">
        <v>371</v>
      </c>
    </row>
    <row r="864" spans="1:13">
      <c r="A864" s="6">
        <v>2023</v>
      </c>
      <c r="B864" s="6">
        <v>4</v>
      </c>
      <c r="C864" s="6" t="s">
        <v>62</v>
      </c>
      <c r="D864" s="6" t="s">
        <v>372</v>
      </c>
      <c r="E864" s="6" t="s">
        <v>373</v>
      </c>
      <c r="F864" s="6" t="str">
        <f>IF($M864="PADD I","PADD 1",IF($M864="PADD II","PADD 2",IF($M864="PADD III","PADD 3",IF($M864="PADD IV","PADD 4",IF($M864="PADD V","PADD 5","")))))</f>
        <v>PADD 2</v>
      </c>
      <c r="G864" s="6" t="str">
        <f>IF(AND($H864="ATMOS DISTILLATION",ISNUMBER(SEARCH("VPS",$I864))=FALSE,LEFT($I864,6)&lt;&gt;"VACUUM"),"CDU",IF($H864="FLUID CAT CRACKING","FCC",IF(OR($H864="HYDROCRACKING",$H864="RESID_HYDROCRACKING"),"Hydrocracker",IF($H864="REFORMING","Reformer",""))))</f>
        <v>CDU</v>
      </c>
      <c r="H864" s="6" t="s">
        <v>38</v>
      </c>
      <c r="I864" s="6" t="s">
        <v>414</v>
      </c>
      <c r="J864" s="6" t="s">
        <v>345</v>
      </c>
      <c r="K864" s="10">
        <v>40</v>
      </c>
      <c r="L864" s="10">
        <v>50</v>
      </c>
      <c r="M864" s="6" t="s">
        <v>375</v>
      </c>
    </row>
    <row r="865" spans="1:13">
      <c r="A865" s="6">
        <v>2023</v>
      </c>
      <c r="B865" s="6">
        <v>4</v>
      </c>
      <c r="C865" s="6" t="s">
        <v>62</v>
      </c>
      <c r="D865" s="6" t="s">
        <v>372</v>
      </c>
      <c r="E865" s="6" t="s">
        <v>373</v>
      </c>
      <c r="F865" s="6" t="str">
        <f>IF($M865="PADD I","PADD 1",IF($M865="PADD II","PADD 2",IF($M865="PADD III","PADD 3",IF($M865="PADD IV","PADD 4",IF($M865="PADD V","PADD 5","")))))</f>
        <v>PADD 2</v>
      </c>
      <c r="G865" s="6">
        <f>IF(AND($H865="ATMOS DISTILLATION",ISNUMBER(SEARCH("VPS",$I865))=FALSE,LEFT($I865,6)&lt;&gt;"VACUUM"),"CDU",IF($H865="FLUID CAT CRACKING","FCC",IF(OR($H865="HYDROCRACKING",$H865="RESID_HYDROCRACKING"),"Hydrocracker",IF($H865="REFORMING","Reformer",""))))</f>
        <v/>
      </c>
      <c r="H865" s="6" t="s">
        <v>43</v>
      </c>
      <c r="I865" s="6" t="s">
        <v>433</v>
      </c>
      <c r="J865" s="6" t="s">
        <v>345</v>
      </c>
      <c r="K865" s="10">
        <v>40</v>
      </c>
      <c r="L865" s="10">
        <v>40</v>
      </c>
      <c r="M865" s="6" t="s">
        <v>375</v>
      </c>
    </row>
    <row r="866" spans="1:13">
      <c r="A866" s="6">
        <v>2023</v>
      </c>
      <c r="B866" s="6">
        <v>4</v>
      </c>
      <c r="C866" s="6" t="s">
        <v>62</v>
      </c>
      <c r="D866" s="6" t="s">
        <v>748</v>
      </c>
      <c r="E866" s="6" t="s">
        <v>388</v>
      </c>
      <c r="F866" s="6" t="str">
        <f>IF($M866="PADD I","PADD 1",IF($M866="PADD II","PADD 2",IF($M866="PADD III","PADD 3",IF($M866="PADD IV","PADD 4",IF($M866="PADD V","PADD 5","")))))</f>
        <v>PADD 3</v>
      </c>
      <c r="G866" s="6">
        <f>IF(AND($H866="ATMOS DISTILLATION",ISNUMBER(SEARCH("VPS",$I866))=FALSE,LEFT($I866,6)&lt;&gt;"VACUUM"),"CDU",IF($H866="FLUID CAT CRACKING","FCC",IF(OR($H866="HYDROCRACKING",$H866="RESID_HYDROCRACKING"),"Hydrocracker",IF($H866="REFORMING","Reformer",""))))</f>
        <v/>
      </c>
      <c r="H866" s="6" t="s">
        <v>378</v>
      </c>
      <c r="I866" s="6" t="s">
        <v>431</v>
      </c>
      <c r="J866" s="6" t="s">
        <v>349</v>
      </c>
      <c r="K866" s="10">
        <v>40</v>
      </c>
      <c r="L866" s="10">
        <v>40</v>
      </c>
      <c r="M866" s="6" t="s">
        <v>371</v>
      </c>
    </row>
    <row r="867" spans="1:13">
      <c r="A867" s="6">
        <v>2023</v>
      </c>
      <c r="B867" s="6">
        <v>4</v>
      </c>
      <c r="C867" s="6" t="s">
        <v>62</v>
      </c>
      <c r="D867" s="6" t="s">
        <v>774</v>
      </c>
      <c r="E867" s="6" t="s">
        <v>775</v>
      </c>
      <c r="F867" s="6" t="str">
        <f>IF($M867="PADD I","PADD 1",IF($M867="PADD II","PADD 2",IF($M867="PADD III","PADD 3",IF($M867="PADD IV","PADD 4",IF($M867="PADD V","PADD 5","")))))</f>
        <v>PADD 1</v>
      </c>
      <c r="G867" s="6">
        <f>IF(AND($H867="ATMOS DISTILLATION",ISNUMBER(SEARCH("VPS",$I867))=FALSE,LEFT($I867,6)&lt;&gt;"VACUUM"),"CDU",IF($H867="FLUID CAT CRACKING","FCC",IF(OR($H867="HYDROCRACKING",$H867="RESID_HYDROCRACKING"),"Hydrocracker",IF($H867="REFORMING","Reformer",""))))</f>
        <v/>
      </c>
      <c r="H867" s="6" t="s">
        <v>435</v>
      </c>
      <c r="I867" s="6" t="s">
        <v>776</v>
      </c>
      <c r="J867" s="6" t="s">
        <v>349</v>
      </c>
      <c r="K867" s="10">
        <v>39.2</v>
      </c>
      <c r="L867" s="10">
        <v>49</v>
      </c>
      <c r="M867" s="6" t="s">
        <v>413</v>
      </c>
    </row>
    <row r="868" spans="1:13">
      <c r="A868" s="6">
        <v>2023</v>
      </c>
      <c r="B868" s="6">
        <v>4</v>
      </c>
      <c r="C868" s="6" t="s">
        <v>62</v>
      </c>
      <c r="D868" s="6" t="s">
        <v>490</v>
      </c>
      <c r="E868" s="6" t="s">
        <v>491</v>
      </c>
      <c r="F868" s="6" t="str">
        <f>IF($M868="PADD I","PADD 1",IF($M868="PADD II","PADD 2",IF($M868="PADD III","PADD 3",IF($M868="PADD IV","PADD 4",IF($M868="PADD V","PADD 5","")))))</f>
        <v>PADD 3</v>
      </c>
      <c r="G868" s="6" t="str">
        <f>IF(AND($H868="ATMOS DISTILLATION",ISNUMBER(SEARCH("VPS",$I868))=FALSE,LEFT($I868,6)&lt;&gt;"VACUUM"),"CDU",IF($H868="FLUID CAT CRACKING","FCC",IF(OR($H868="HYDROCRACKING",$H868="RESID_HYDROCRACKING"),"Hydrocracker",IF($H868="REFORMING","Reformer",""))))</f>
        <v>Hydrocracker</v>
      </c>
      <c r="H868" s="6" t="s">
        <v>444</v>
      </c>
      <c r="I868" s="6" t="s">
        <v>658</v>
      </c>
      <c r="J868" s="6" t="s">
        <v>345</v>
      </c>
      <c r="K868" s="10">
        <v>38.85</v>
      </c>
      <c r="L868" s="10">
        <v>105</v>
      </c>
      <c r="M868" s="6" t="s">
        <v>371</v>
      </c>
    </row>
    <row r="869" spans="1:13">
      <c r="A869" s="6">
        <v>2023</v>
      </c>
      <c r="B869" s="6">
        <v>4</v>
      </c>
      <c r="C869" s="6" t="s">
        <v>62</v>
      </c>
      <c r="D869" s="6" t="s">
        <v>48</v>
      </c>
      <c r="E869" s="6" t="s">
        <v>388</v>
      </c>
      <c r="F869" s="6" t="str">
        <f>IF($M869="PADD I","PADD 1",IF($M869="PADD II","PADD 2",IF($M869="PADD III","PADD 3",IF($M869="PADD IV","PADD 4",IF($M869="PADD V","PADD 5","")))))</f>
        <v>PADD 2</v>
      </c>
      <c r="G869" s="6" t="str">
        <f>IF(AND($H869="ATMOS DISTILLATION",ISNUMBER(SEARCH("VPS",$I869))=FALSE,LEFT($I869,6)&lt;&gt;"VACUUM"),"CDU",IF($H869="FLUID CAT CRACKING","FCC",IF(OR($H869="HYDROCRACKING",$H869="RESID_HYDROCRACKING"),"Hydrocracker",IF($H869="REFORMING","Reformer",""))))</f>
        <v>Reformer</v>
      </c>
      <c r="H869" s="6" t="s">
        <v>421</v>
      </c>
      <c r="I869" s="6" t="s">
        <v>721</v>
      </c>
      <c r="J869" s="6" t="s">
        <v>349</v>
      </c>
      <c r="K869" s="10">
        <v>38.5</v>
      </c>
      <c r="L869" s="10">
        <v>38.5</v>
      </c>
      <c r="M869" s="6" t="s">
        <v>375</v>
      </c>
    </row>
    <row r="870" spans="1:13">
      <c r="A870" s="6">
        <v>2023</v>
      </c>
      <c r="B870" s="6">
        <v>4</v>
      </c>
      <c r="C870" s="6" t="s">
        <v>62</v>
      </c>
      <c r="D870" s="6" t="s">
        <v>48</v>
      </c>
      <c r="E870" s="6" t="s">
        <v>388</v>
      </c>
      <c r="F870" s="6" t="str">
        <f>IF($M870="PADD I","PADD 1",IF($M870="PADD II","PADD 2",IF($M870="PADD III","PADD 3",IF($M870="PADD IV","PADD 4",IF($M870="PADD V","PADD 5","")))))</f>
        <v>PADD 2</v>
      </c>
      <c r="G870" s="6">
        <f>IF(AND($H870="ATMOS DISTILLATION",ISNUMBER(SEARCH("VPS",$I870))=FALSE,LEFT($I870,6)&lt;&gt;"VACUUM"),"CDU",IF($H870="FLUID CAT CRACKING","FCC",IF(OR($H870="HYDROCRACKING",$H870="RESID_HYDROCRACKING"),"Hydrocracker",IF($H870="REFORMING","Reformer",""))))</f>
        <v/>
      </c>
      <c r="H870" s="6" t="s">
        <v>43</v>
      </c>
      <c r="I870" s="6" t="s">
        <v>726</v>
      </c>
      <c r="J870" s="6" t="s">
        <v>349</v>
      </c>
      <c r="K870" s="10">
        <v>38</v>
      </c>
      <c r="L870" s="10">
        <v>38</v>
      </c>
      <c r="M870" s="6" t="s">
        <v>375</v>
      </c>
    </row>
    <row r="871" spans="1:13">
      <c r="A871" s="6">
        <v>2023</v>
      </c>
      <c r="B871" s="6">
        <v>4</v>
      </c>
      <c r="C871" s="6" t="s">
        <v>62</v>
      </c>
      <c r="D871" s="6" t="s">
        <v>675</v>
      </c>
      <c r="E871" s="6" t="s">
        <v>452</v>
      </c>
      <c r="F871" s="6" t="str">
        <f>IF($M871="PADD I","PADD 1",IF($M871="PADD II","PADD 2",IF($M871="PADD III","PADD 3",IF($M871="PADD IV","PADD 4",IF($M871="PADD V","PADD 5","")))))</f>
        <v>PADD 2</v>
      </c>
      <c r="G871" s="6">
        <f>IF(AND($H871="ATMOS DISTILLATION",ISNUMBER(SEARCH("VPS",$I871))=FALSE,LEFT($I871,6)&lt;&gt;"VACUUM"),"CDU",IF($H871="FLUID CAT CRACKING","FCC",IF(OR($H871="HYDROCRACKING",$H871="RESID_HYDROCRACKING"),"Hydrocracker",IF($H871="REFORMING","Reformer",""))))</f>
        <v/>
      </c>
      <c r="H871" s="6" t="s">
        <v>378</v>
      </c>
      <c r="I871" s="6" t="s">
        <v>431</v>
      </c>
      <c r="J871" s="6" t="s">
        <v>349</v>
      </c>
      <c r="K871" s="10">
        <v>37.52</v>
      </c>
      <c r="L871" s="10">
        <v>56</v>
      </c>
      <c r="M871" s="6" t="s">
        <v>375</v>
      </c>
    </row>
    <row r="872" spans="1:13">
      <c r="A872" s="6">
        <v>2023</v>
      </c>
      <c r="B872" s="6">
        <v>4</v>
      </c>
      <c r="C872" s="6" t="s">
        <v>62</v>
      </c>
      <c r="D872" s="6" t="s">
        <v>440</v>
      </c>
      <c r="E872" s="6" t="s">
        <v>369</v>
      </c>
      <c r="F872" s="6" t="str">
        <f>IF($M872="PADD I","PADD 1",IF($M872="PADD II","PADD 2",IF($M872="PADD III","PADD 3",IF($M872="PADD IV","PADD 4",IF($M872="PADD V","PADD 5","")))))</f>
        <v>PADD 5</v>
      </c>
      <c r="G872" s="6">
        <f>IF(AND($H872="ATMOS DISTILLATION",ISNUMBER(SEARCH("VPS",$I872))=FALSE,LEFT($I872,6)&lt;&gt;"VACUUM"),"CDU",IF($H872="FLUID CAT CRACKING","FCC",IF(OR($H872="HYDROCRACKING",$H872="RESID_HYDROCRACKING"),"Hydrocracker",IF($H872="REFORMING","Reformer",""))))</f>
        <v/>
      </c>
      <c r="H872" s="6" t="s">
        <v>43</v>
      </c>
      <c r="I872" s="6" t="s">
        <v>667</v>
      </c>
      <c r="J872" s="6" t="s">
        <v>345</v>
      </c>
      <c r="K872" s="10">
        <v>36</v>
      </c>
      <c r="L872" s="10">
        <v>40</v>
      </c>
      <c r="M872" s="6" t="s">
        <v>386</v>
      </c>
    </row>
    <row r="873" spans="1:13">
      <c r="A873" s="6">
        <v>2023</v>
      </c>
      <c r="B873" s="6">
        <v>4</v>
      </c>
      <c r="C873" s="6" t="s">
        <v>62</v>
      </c>
      <c r="D873" s="6" t="s">
        <v>446</v>
      </c>
      <c r="E873" s="6" t="s">
        <v>391</v>
      </c>
      <c r="F873" s="6" t="str">
        <f>IF($M873="PADD I","PADD 1",IF($M873="PADD II","PADD 2",IF($M873="PADD III","PADD 3",IF($M873="PADD IV","PADD 4",IF($M873="PADD V","PADD 5","")))))</f>
        <v>PADD 3</v>
      </c>
      <c r="G873" s="6">
        <f>IF(AND($H873="ATMOS DISTILLATION",ISNUMBER(SEARCH("VPS",$I873))=FALSE,LEFT($I873,6)&lt;&gt;"VACUUM"),"CDU",IF($H873="FLUID CAT CRACKING","FCC",IF(OR($H873="HYDROCRACKING",$H873="RESID_HYDROCRACKING"),"Hydrocracker",IF($H873="REFORMING","Reformer",""))))</f>
        <v/>
      </c>
      <c r="H873" s="6" t="s">
        <v>43</v>
      </c>
      <c r="I873" s="6" t="s">
        <v>447</v>
      </c>
      <c r="J873" s="6" t="s">
        <v>349</v>
      </c>
      <c r="K873" s="10">
        <v>35</v>
      </c>
      <c r="L873" s="10">
        <v>35</v>
      </c>
      <c r="M873" s="6" t="s">
        <v>371</v>
      </c>
    </row>
    <row r="874" spans="1:13">
      <c r="A874" s="6">
        <v>2023</v>
      </c>
      <c r="B874" s="6">
        <v>4</v>
      </c>
      <c r="C874" s="6" t="s">
        <v>62</v>
      </c>
      <c r="D874" s="6" t="s">
        <v>448</v>
      </c>
      <c r="E874" s="6" t="s">
        <v>391</v>
      </c>
      <c r="F874" s="6" t="str">
        <f>IF($M874="PADD I","PADD 1",IF($M874="PADD II","PADD 2",IF($M874="PADD III","PADD 3",IF($M874="PADD IV","PADD 4",IF($M874="PADD V","PADD 5","")))))</f>
        <v>PADD 3</v>
      </c>
      <c r="G874" s="6">
        <f>IF(AND($H874="ATMOS DISTILLATION",ISNUMBER(SEARCH("VPS",$I874))=FALSE,LEFT($I874,6)&lt;&gt;"VACUUM"),"CDU",IF($H874="FLUID CAT CRACKING","FCC",IF(OR($H874="HYDROCRACKING",$H874="RESID_HYDROCRACKING"),"Hydrocracker",IF($H874="REFORMING","Reformer",""))))</f>
        <v/>
      </c>
      <c r="H874" s="6" t="s">
        <v>43</v>
      </c>
      <c r="I874" s="6" t="s">
        <v>449</v>
      </c>
      <c r="J874" s="6" t="s">
        <v>345</v>
      </c>
      <c r="K874" s="10">
        <v>35</v>
      </c>
      <c r="L874" s="10">
        <v>35</v>
      </c>
      <c r="M874" s="6" t="s">
        <v>371</v>
      </c>
    </row>
    <row r="875" spans="1:13">
      <c r="A875" s="6">
        <v>2023</v>
      </c>
      <c r="B875" s="6">
        <v>4</v>
      </c>
      <c r="C875" s="6" t="s">
        <v>62</v>
      </c>
      <c r="D875" s="6" t="s">
        <v>450</v>
      </c>
      <c r="E875" s="6" t="s">
        <v>369</v>
      </c>
      <c r="F875" s="6" t="str">
        <f>IF($M875="PADD I","PADD 1",IF($M875="PADD II","PADD 2",IF($M875="PADD III","PADD 3",IF($M875="PADD IV","PADD 4",IF($M875="PADD V","PADD 5","")))))</f>
        <v>PADD 3</v>
      </c>
      <c r="G875" s="6">
        <f>IF(AND($H875="ATMOS DISTILLATION",ISNUMBER(SEARCH("VPS",$I875))=FALSE,LEFT($I875,6)&lt;&gt;"VACUUM"),"CDU",IF($H875="FLUID CAT CRACKING","FCC",IF(OR($H875="HYDROCRACKING",$H875="RESID_HYDROCRACKING"),"Hydrocracker",IF($H875="REFORMING","Reformer",""))))</f>
        <v/>
      </c>
      <c r="H875" s="6" t="s">
        <v>43</v>
      </c>
      <c r="I875" s="6" t="s">
        <v>449</v>
      </c>
      <c r="J875" s="6" t="s">
        <v>349</v>
      </c>
      <c r="K875" s="10">
        <v>35</v>
      </c>
      <c r="L875" s="10">
        <v>35</v>
      </c>
      <c r="M875" s="6" t="s">
        <v>371</v>
      </c>
    </row>
    <row r="876" spans="1:13">
      <c r="A876" s="6">
        <v>2023</v>
      </c>
      <c r="B876" s="6">
        <v>4</v>
      </c>
      <c r="C876" s="6" t="s">
        <v>62</v>
      </c>
      <c r="D876" s="6" t="s">
        <v>395</v>
      </c>
      <c r="E876" s="6" t="s">
        <v>396</v>
      </c>
      <c r="F876" s="6" t="str">
        <f>IF($M876="PADD I","PADD 1",IF($M876="PADD II","PADD 2",IF($M876="PADD III","PADD 3",IF($M876="PADD IV","PADD 4",IF($M876="PADD V","PADD 5","")))))</f>
        <v>PADD 3</v>
      </c>
      <c r="G876" s="6">
        <f>IF(AND($H876="ATMOS DISTILLATION",ISNUMBER(SEARCH("VPS",$I876))=FALSE,LEFT($I876,6)&lt;&gt;"VACUUM"),"CDU",IF($H876="FLUID CAT CRACKING","FCC",IF(OR($H876="HYDROCRACKING",$H876="RESID_HYDROCRACKING"),"Hydrocracker",IF($H876="REFORMING","Reformer",""))))</f>
        <v/>
      </c>
      <c r="H876" s="6" t="s">
        <v>378</v>
      </c>
      <c r="I876" s="6" t="s">
        <v>575</v>
      </c>
      <c r="J876" s="6" t="s">
        <v>345</v>
      </c>
      <c r="K876" s="10">
        <v>35</v>
      </c>
      <c r="L876" s="10">
        <v>35</v>
      </c>
      <c r="M876" s="6" t="s">
        <v>371</v>
      </c>
    </row>
    <row r="877" spans="1:13">
      <c r="A877" s="6">
        <v>2023</v>
      </c>
      <c r="B877" s="6">
        <v>4</v>
      </c>
      <c r="C877" s="6" t="s">
        <v>62</v>
      </c>
      <c r="D877" s="6" t="s">
        <v>395</v>
      </c>
      <c r="E877" s="6" t="s">
        <v>396</v>
      </c>
      <c r="F877" s="6" t="str">
        <f>IF($M877="PADD I","PADD 1",IF($M877="PADD II","PADD 2",IF($M877="PADD III","PADD 3",IF($M877="PADD IV","PADD 4",IF($M877="PADD V","PADD 5","")))))</f>
        <v>PADD 3</v>
      </c>
      <c r="G877" s="6">
        <f>IF(AND($H877="ATMOS DISTILLATION",ISNUMBER(SEARCH("VPS",$I877))=FALSE,LEFT($I877,6)&lt;&gt;"VACUUM"),"CDU",IF($H877="FLUID CAT CRACKING","FCC",IF(OR($H877="HYDROCRACKING",$H877="RESID_HYDROCRACKING"),"Hydrocracker",IF($H877="REFORMING","Reformer",""))))</f>
        <v/>
      </c>
      <c r="H877" s="6" t="s">
        <v>43</v>
      </c>
      <c r="I877" s="6" t="s">
        <v>554</v>
      </c>
      <c r="J877" s="6" t="s">
        <v>349</v>
      </c>
      <c r="K877" s="10">
        <v>34.65</v>
      </c>
      <c r="L877" s="10">
        <v>38.5</v>
      </c>
      <c r="M877" s="6" t="s">
        <v>371</v>
      </c>
    </row>
    <row r="878" spans="1:13">
      <c r="A878" s="6">
        <v>2023</v>
      </c>
      <c r="B878" s="6">
        <v>4</v>
      </c>
      <c r="C878" s="6" t="s">
        <v>62</v>
      </c>
      <c r="D878" s="6" t="s">
        <v>415</v>
      </c>
      <c r="E878" s="6" t="s">
        <v>416</v>
      </c>
      <c r="F878" s="6" t="str">
        <f>IF($M878="PADD I","PADD 1",IF($M878="PADD II","PADD 2",IF($M878="PADD III","PADD 3",IF($M878="PADD IV","PADD 4",IF($M878="PADD V","PADD 5","")))))</f>
        <v>PADD 3</v>
      </c>
      <c r="G878" s="6">
        <f>IF(AND($H878="ATMOS DISTILLATION",ISNUMBER(SEARCH("VPS",$I878))=FALSE,LEFT($I878,6)&lt;&gt;"VACUUM"),"CDU",IF($H878="FLUID CAT CRACKING","FCC",IF(OR($H878="HYDROCRACKING",$H878="RESID_HYDROCRACKING"),"Hydrocracker",IF($H878="REFORMING","Reformer",""))))</f>
        <v/>
      </c>
      <c r="H878" s="6" t="s">
        <v>435</v>
      </c>
      <c r="I878" s="6" t="s">
        <v>453</v>
      </c>
      <c r="J878" s="6" t="s">
        <v>345</v>
      </c>
      <c r="K878" s="10">
        <v>34</v>
      </c>
      <c r="L878" s="10">
        <v>34</v>
      </c>
      <c r="M878" s="6" t="s">
        <v>371</v>
      </c>
    </row>
    <row r="879" spans="1:13">
      <c r="A879" s="6">
        <v>2023</v>
      </c>
      <c r="B879" s="6">
        <v>4</v>
      </c>
      <c r="C879" s="6" t="s">
        <v>62</v>
      </c>
      <c r="D879" s="6" t="s">
        <v>732</v>
      </c>
      <c r="E879" s="6" t="s">
        <v>733</v>
      </c>
      <c r="F879" s="6" t="str">
        <f>IF($M879="PADD I","PADD 1",IF($M879="PADD II","PADD 2",IF($M879="PADD III","PADD 3",IF($M879="PADD IV","PADD 4",IF($M879="PADD V","PADD 5","")))))</f>
        <v>PADD 4</v>
      </c>
      <c r="G879" s="6" t="str">
        <f>IF(AND($H879="ATMOS DISTILLATION",ISNUMBER(SEARCH("VPS",$I879))=FALSE,LEFT($I879,6)&lt;&gt;"VACUUM"),"CDU",IF($H879="FLUID CAT CRACKING","FCC",IF(OR($H879="HYDROCRACKING",$H879="RESID_HYDROCRACKING"),"Hydrocracker",IF($H879="REFORMING","Reformer",""))))</f>
        <v>CDU</v>
      </c>
      <c r="H879" s="6" t="s">
        <v>38</v>
      </c>
      <c r="I879" s="6" t="s">
        <v>131</v>
      </c>
      <c r="J879" s="6" t="s">
        <v>349</v>
      </c>
      <c r="K879" s="10">
        <v>34</v>
      </c>
      <c r="L879" s="10">
        <v>34</v>
      </c>
      <c r="M879" s="6" t="s">
        <v>430</v>
      </c>
    </row>
    <row r="880" spans="1:13">
      <c r="A880" s="6">
        <v>2023</v>
      </c>
      <c r="B880" s="6">
        <v>4</v>
      </c>
      <c r="C880" s="6" t="s">
        <v>62</v>
      </c>
      <c r="D880" s="6" t="s">
        <v>415</v>
      </c>
      <c r="E880" s="6" t="s">
        <v>416</v>
      </c>
      <c r="F880" s="6" t="str">
        <f>IF($M880="PADD I","PADD 1",IF($M880="PADD II","PADD 2",IF($M880="PADD III","PADD 3",IF($M880="PADD IV","PADD 4",IF($M880="PADD V","PADD 5","")))))</f>
        <v>PADD 3</v>
      </c>
      <c r="G880" s="6">
        <f>IF(AND($H880="ATMOS DISTILLATION",ISNUMBER(SEARCH("VPS",$I880))=FALSE,LEFT($I880,6)&lt;&gt;"VACUUM"),"CDU",IF($H880="FLUID CAT CRACKING","FCC",IF(OR($H880="HYDROCRACKING",$H880="RESID_HYDROCRACKING"),"Hydrocracker",IF($H880="REFORMING","Reformer",""))))</f>
        <v/>
      </c>
      <c r="H880" s="6" t="s">
        <v>435</v>
      </c>
      <c r="I880" s="6" t="s">
        <v>453</v>
      </c>
      <c r="J880" s="6" t="s">
        <v>345</v>
      </c>
      <c r="K880" s="10">
        <v>34</v>
      </c>
      <c r="L880" s="10">
        <v>34</v>
      </c>
      <c r="M880" s="6" t="s">
        <v>371</v>
      </c>
    </row>
    <row r="881" spans="1:13">
      <c r="A881" s="6">
        <v>2023</v>
      </c>
      <c r="B881" s="6">
        <v>4</v>
      </c>
      <c r="C881" s="6" t="s">
        <v>62</v>
      </c>
      <c r="D881" s="6" t="s">
        <v>372</v>
      </c>
      <c r="E881" s="6" t="s">
        <v>373</v>
      </c>
      <c r="F881" s="6" t="str">
        <f>IF($M881="PADD I","PADD 1",IF($M881="PADD II","PADD 2",IF($M881="PADD III","PADD 3",IF($M881="PADD IV","PADD 4",IF($M881="PADD V","PADD 5","")))))</f>
        <v>PADD 2</v>
      </c>
      <c r="G881" s="6" t="str">
        <f>IF(AND($H881="ATMOS DISTILLATION",ISNUMBER(SEARCH("VPS",$I881))=FALSE,LEFT($I881,6)&lt;&gt;"VACUUM"),"CDU",IF($H881="FLUID CAT CRACKING","FCC",IF(OR($H881="HYDROCRACKING",$H881="RESID_HYDROCRACKING"),"Hydrocracker",IF($H881="REFORMING","Reformer",""))))</f>
        <v>Reformer</v>
      </c>
      <c r="H881" s="6" t="s">
        <v>421</v>
      </c>
      <c r="I881" s="6" t="s">
        <v>423</v>
      </c>
      <c r="J881" s="6" t="s">
        <v>345</v>
      </c>
      <c r="K881" s="10">
        <v>33.6</v>
      </c>
      <c r="L881" s="10">
        <v>42</v>
      </c>
      <c r="M881" s="6" t="s">
        <v>375</v>
      </c>
    </row>
    <row r="882" spans="1:13">
      <c r="A882" s="6">
        <v>2023</v>
      </c>
      <c r="B882" s="6">
        <v>4</v>
      </c>
      <c r="C882" s="6" t="s">
        <v>62</v>
      </c>
      <c r="D882" s="6" t="s">
        <v>563</v>
      </c>
      <c r="E882" s="6" t="s">
        <v>396</v>
      </c>
      <c r="F882" s="6" t="str">
        <f>IF($M882="PADD I","PADD 1",IF($M882="PADD II","PADD 2",IF($M882="PADD III","PADD 3",IF($M882="PADD IV","PADD 4",IF($M882="PADD V","PADD 5","")))))</f>
        <v>PADD 3</v>
      </c>
      <c r="G882" s="6">
        <f>IF(AND($H882="ATMOS DISTILLATION",ISNUMBER(SEARCH("VPS",$I882))=FALSE,LEFT($I882,6)&lt;&gt;"VACUUM"),"CDU",IF($H882="FLUID CAT CRACKING","FCC",IF(OR($H882="HYDROCRACKING",$H882="RESID_HYDROCRACKING"),"Hydrocracker",IF($H882="REFORMING","Reformer",""))))</f>
        <v/>
      </c>
      <c r="H882" s="6" t="s">
        <v>43</v>
      </c>
      <c r="I882" s="6" t="s">
        <v>449</v>
      </c>
      <c r="J882" s="6" t="s">
        <v>345</v>
      </c>
      <c r="K882" s="10">
        <v>33.495</v>
      </c>
      <c r="L882" s="10">
        <v>38.5</v>
      </c>
      <c r="M882" s="6" t="s">
        <v>371</v>
      </c>
    </row>
    <row r="883" spans="1:13">
      <c r="A883" s="6">
        <v>2023</v>
      </c>
      <c r="B883" s="6">
        <v>4</v>
      </c>
      <c r="C883" s="6" t="s">
        <v>62</v>
      </c>
      <c r="D883" s="6" t="s">
        <v>772</v>
      </c>
      <c r="E883" s="6" t="s">
        <v>405</v>
      </c>
      <c r="F883" s="6" t="str">
        <f>IF($M883="PADD I","PADD 1",IF($M883="PADD II","PADD 2",IF($M883="PADD III","PADD 3",IF($M883="PADD IV","PADD 4",IF($M883="PADD V","PADD 5","")))))</f>
        <v>PADD 3</v>
      </c>
      <c r="G883" s="6">
        <f>IF(AND($H883="ATMOS DISTILLATION",ISNUMBER(SEARCH("VPS",$I883))=FALSE,LEFT($I883,6)&lt;&gt;"VACUUM"),"CDU",IF($H883="FLUID CAT CRACKING","FCC",IF(OR($H883="HYDROCRACKING",$H883="RESID_HYDROCRACKING"),"Hydrocracker",IF($H883="REFORMING","Reformer",""))))</f>
        <v/>
      </c>
      <c r="H883" s="6" t="s">
        <v>43</v>
      </c>
      <c r="I883" s="6" t="s">
        <v>777</v>
      </c>
      <c r="J883" s="6" t="s">
        <v>349</v>
      </c>
      <c r="K883" s="10">
        <v>33.06</v>
      </c>
      <c r="L883" s="10">
        <v>58</v>
      </c>
      <c r="M883" s="6" t="s">
        <v>371</v>
      </c>
    </row>
    <row r="884" spans="1:13">
      <c r="A884" s="6">
        <v>2023</v>
      </c>
      <c r="B884" s="6">
        <v>4</v>
      </c>
      <c r="C884" s="6" t="s">
        <v>62</v>
      </c>
      <c r="D884" s="6" t="s">
        <v>372</v>
      </c>
      <c r="E884" s="6" t="s">
        <v>373</v>
      </c>
      <c r="F884" s="6" t="str">
        <f>IF($M884="PADD I","PADD 1",IF($M884="PADD II","PADD 2",IF($M884="PADD III","PADD 3",IF($M884="PADD IV","PADD 4",IF($M884="PADD V","PADD 5","")))))</f>
        <v>PADD 2</v>
      </c>
      <c r="G884" s="6">
        <f>IF(AND($H884="ATMOS DISTILLATION",ISNUMBER(SEARCH("VPS",$I884))=FALSE,LEFT($I884,6)&lt;&gt;"VACUUM"),"CDU",IF($H884="FLUID CAT CRACKING","FCC",IF(OR($H884="HYDROCRACKING",$H884="RESID_HYDROCRACKING"),"Hydrocracker",IF($H884="REFORMING","Reformer",""))))</f>
        <v/>
      </c>
      <c r="H884" s="6" t="s">
        <v>43</v>
      </c>
      <c r="I884" s="6" t="s">
        <v>432</v>
      </c>
      <c r="J884" s="6" t="s">
        <v>345</v>
      </c>
      <c r="K884" s="10">
        <v>32</v>
      </c>
      <c r="L884" s="10">
        <v>40</v>
      </c>
      <c r="M884" s="6" t="s">
        <v>375</v>
      </c>
    </row>
    <row r="885" spans="1:13">
      <c r="A885" s="6">
        <v>2023</v>
      </c>
      <c r="B885" s="6">
        <v>4</v>
      </c>
      <c r="C885" s="6" t="s">
        <v>62</v>
      </c>
      <c r="D885" s="6" t="s">
        <v>770</v>
      </c>
      <c r="E885" s="6" t="s">
        <v>660</v>
      </c>
      <c r="F885" s="6" t="str">
        <f>IF($M885="PADD I","PADD 1",IF($M885="PADD II","PADD 2",IF($M885="PADD III","PADD 3",IF($M885="PADD IV","PADD 4",IF($M885="PADD V","PADD 5","")))))</f>
        <v>PADD 3</v>
      </c>
      <c r="G885" s="6">
        <f>IF(AND($H885="ATMOS DISTILLATION",ISNUMBER(SEARCH("VPS",$I885))=FALSE,LEFT($I885,6)&lt;&gt;"VACUUM"),"CDU",IF($H885="FLUID CAT CRACKING","FCC",IF(OR($H885="HYDROCRACKING",$H885="RESID_HYDROCRACKING"),"Hydrocracker",IF($H885="REFORMING","Reformer",""))))</f>
        <v/>
      </c>
      <c r="H885" s="6" t="s">
        <v>435</v>
      </c>
      <c r="I885" s="6" t="s">
        <v>441</v>
      </c>
      <c r="J885" s="6" t="s">
        <v>349</v>
      </c>
      <c r="K885" s="10">
        <v>32</v>
      </c>
      <c r="L885" s="10">
        <v>32</v>
      </c>
      <c r="M885" s="6" t="s">
        <v>371</v>
      </c>
    </row>
    <row r="886" spans="1:13">
      <c r="A886" s="6">
        <v>2023</v>
      </c>
      <c r="B886" s="6">
        <v>4</v>
      </c>
      <c r="C886" s="6" t="s">
        <v>62</v>
      </c>
      <c r="D886" s="6" t="s">
        <v>739</v>
      </c>
      <c r="E886" s="6" t="s">
        <v>405</v>
      </c>
      <c r="F886" s="6" t="str">
        <f>IF($M886="PADD I","PADD 1",IF($M886="PADD II","PADD 2",IF($M886="PADD III","PADD 3",IF($M886="PADD IV","PADD 4",IF($M886="PADD V","PADD 5","")))))</f>
        <v>PADD 2</v>
      </c>
      <c r="G886" s="6">
        <f>IF(AND($H886="ATMOS DISTILLATION",ISNUMBER(SEARCH("VPS",$I886))=FALSE,LEFT($I886,6)&lt;&gt;"VACUUM"),"CDU",IF($H886="FLUID CAT CRACKING","FCC",IF(OR($H886="HYDROCRACKING",$H886="RESID_HYDROCRACKING"),"Hydrocracker",IF($H886="REFORMING","Reformer",""))))</f>
        <v/>
      </c>
      <c r="H886" s="6" t="s">
        <v>43</v>
      </c>
      <c r="I886" s="6" t="s">
        <v>740</v>
      </c>
      <c r="J886" s="6" t="s">
        <v>345</v>
      </c>
      <c r="K886" s="10">
        <v>32</v>
      </c>
      <c r="L886" s="10">
        <v>32</v>
      </c>
      <c r="M886" s="6" t="s">
        <v>375</v>
      </c>
    </row>
    <row r="887" spans="1:13">
      <c r="A887" s="6">
        <v>2023</v>
      </c>
      <c r="B887" s="6">
        <v>4</v>
      </c>
      <c r="C887" s="6" t="s">
        <v>62</v>
      </c>
      <c r="D887" s="6" t="s">
        <v>372</v>
      </c>
      <c r="E887" s="6" t="s">
        <v>373</v>
      </c>
      <c r="F887" s="6" t="str">
        <f>IF($M887="PADD I","PADD 1",IF($M887="PADD II","PADD 2",IF($M887="PADD III","PADD 3",IF($M887="PADD IV","PADD 4",IF($M887="PADD V","PADD 5","")))))</f>
        <v>PADD 2</v>
      </c>
      <c r="G887" s="6">
        <f>IF(AND($H887="ATMOS DISTILLATION",ISNUMBER(SEARCH("VPS",$I887))=FALSE,LEFT($I887,6)&lt;&gt;"VACUUM"),"CDU",IF($H887="FLUID CAT CRACKING","FCC",IF(OR($H887="HYDROCRACKING",$H887="RESID_HYDROCRACKING"),"Hydrocracker",IF($H887="REFORMING","Reformer",""))))</f>
        <v/>
      </c>
      <c r="H887" s="6" t="s">
        <v>435</v>
      </c>
      <c r="I887" s="6" t="s">
        <v>467</v>
      </c>
      <c r="J887" s="6" t="s">
        <v>345</v>
      </c>
      <c r="K887" s="10">
        <v>30</v>
      </c>
      <c r="L887" s="10">
        <v>30</v>
      </c>
      <c r="M887" s="6" t="s">
        <v>375</v>
      </c>
    </row>
    <row r="888" spans="1:13">
      <c r="A888" s="6">
        <v>2023</v>
      </c>
      <c r="B888" s="6">
        <v>4</v>
      </c>
      <c r="C888" s="6" t="s">
        <v>62</v>
      </c>
      <c r="D888" s="6" t="s">
        <v>742</v>
      </c>
      <c r="E888" s="6" t="s">
        <v>388</v>
      </c>
      <c r="F888" s="6" t="str">
        <f>IF($M888="PADD I","PADD 1",IF($M888="PADD II","PADD 2",IF($M888="PADD III","PADD 3",IF($M888="PADD IV","PADD 4",IF($M888="PADD V","PADD 5","")))))</f>
        <v>PADD 5</v>
      </c>
      <c r="G888" s="6">
        <f>IF(AND($H888="ATMOS DISTILLATION",ISNUMBER(SEARCH("VPS",$I888))=FALSE,LEFT($I888,6)&lt;&gt;"VACUUM"),"CDU",IF($H888="FLUID CAT CRACKING","FCC",IF(OR($H888="HYDROCRACKING",$H888="RESID_HYDROCRACKING"),"Hydrocracker",IF($H888="REFORMING","Reformer",""))))</f>
        <v/>
      </c>
      <c r="H888" s="6" t="s">
        <v>43</v>
      </c>
      <c r="I888" s="6" t="s">
        <v>743</v>
      </c>
      <c r="J888" s="6" t="s">
        <v>349</v>
      </c>
      <c r="K888" s="10">
        <v>30</v>
      </c>
      <c r="L888" s="10">
        <v>30</v>
      </c>
      <c r="M888" s="6" t="s">
        <v>386</v>
      </c>
    </row>
    <row r="889" spans="1:13">
      <c r="A889" s="6">
        <v>2023</v>
      </c>
      <c r="B889" s="6">
        <v>4</v>
      </c>
      <c r="C889" s="6" t="s">
        <v>62</v>
      </c>
      <c r="D889" s="6" t="s">
        <v>335</v>
      </c>
      <c r="E889" s="6" t="s">
        <v>369</v>
      </c>
      <c r="F889" s="6" t="str">
        <f>IF($M889="PADD I","PADD 1",IF($M889="PADD II","PADD 2",IF($M889="PADD III","PADD 3",IF($M889="PADD IV","PADD 4",IF($M889="PADD V","PADD 5","")))))</f>
        <v>PADD 3</v>
      </c>
      <c r="G889" s="6" t="str">
        <f>IF(AND($H889="ATMOS DISTILLATION",ISNUMBER(SEARCH("VPS",$I889))=FALSE,LEFT($I889,6)&lt;&gt;"VACUUM"),"CDU",IF($H889="FLUID CAT CRACKING","FCC",IF(OR($H889="HYDROCRACKING",$H889="RESID_HYDROCRACKING"),"Hydrocracker",IF($H889="REFORMING","Reformer",""))))</f>
        <v>FCC</v>
      </c>
      <c r="H889" s="6" t="s">
        <v>376</v>
      </c>
      <c r="I889" s="6" t="s">
        <v>472</v>
      </c>
      <c r="J889" s="6" t="s">
        <v>349</v>
      </c>
      <c r="K889" s="10">
        <v>30</v>
      </c>
      <c r="L889" s="10">
        <v>30</v>
      </c>
      <c r="M889" s="6" t="s">
        <v>371</v>
      </c>
    </row>
    <row r="890" spans="1:13">
      <c r="A890" s="6">
        <v>2023</v>
      </c>
      <c r="B890" s="6">
        <v>4</v>
      </c>
      <c r="C890" s="6" t="s">
        <v>62</v>
      </c>
      <c r="D890" s="6" t="s">
        <v>468</v>
      </c>
      <c r="E890" s="6" t="s">
        <v>369</v>
      </c>
      <c r="F890" s="6" t="str">
        <f>IF($M890="PADD I","PADD 1",IF($M890="PADD II","PADD 2",IF($M890="PADD III","PADD 3",IF($M890="PADD IV","PADD 4",IF($M890="PADD V","PADD 5","")))))</f>
        <v>PADD 3</v>
      </c>
      <c r="G890" s="6" t="str">
        <f>IF(AND($H890="ATMOS DISTILLATION",ISNUMBER(SEARCH("VPS",$I890))=FALSE,LEFT($I890,6)&lt;&gt;"VACUUM"),"CDU",IF($H890="FLUID CAT CRACKING","FCC",IF(OR($H890="HYDROCRACKING",$H890="RESID_HYDROCRACKING"),"Hydrocracker",IF($H890="REFORMING","Reformer",""))))</f>
        <v>FCC</v>
      </c>
      <c r="H890" s="6" t="s">
        <v>376</v>
      </c>
      <c r="I890" s="6" t="s">
        <v>469</v>
      </c>
      <c r="J890" s="6" t="s">
        <v>345</v>
      </c>
      <c r="K890" s="10">
        <v>30</v>
      </c>
      <c r="L890" s="10">
        <v>30</v>
      </c>
      <c r="M890" s="6" t="s">
        <v>371</v>
      </c>
    </row>
    <row r="891" spans="1:13">
      <c r="A891" s="6">
        <v>2023</v>
      </c>
      <c r="B891" s="6">
        <v>4</v>
      </c>
      <c r="C891" s="6" t="s">
        <v>62</v>
      </c>
      <c r="D891" s="6" t="s">
        <v>335</v>
      </c>
      <c r="E891" s="6" t="s">
        <v>369</v>
      </c>
      <c r="F891" s="6" t="str">
        <f>IF($M891="PADD I","PADD 1",IF($M891="PADD II","PADD 2",IF($M891="PADD III","PADD 3",IF($M891="PADD IV","PADD 4",IF($M891="PADD V","PADD 5","")))))</f>
        <v>PADD 3</v>
      </c>
      <c r="G891" s="6" t="str">
        <f>IF(AND($H891="ATMOS DISTILLATION",ISNUMBER(SEARCH("VPS",$I891))=FALSE,LEFT($I891,6)&lt;&gt;"VACUUM"),"CDU",IF($H891="FLUID CAT CRACKING","FCC",IF(OR($H891="HYDROCRACKING",$H891="RESID_HYDROCRACKING"),"Hydrocracker",IF($H891="REFORMING","Reformer",""))))</f>
        <v>FCC</v>
      </c>
      <c r="H891" s="6" t="s">
        <v>376</v>
      </c>
      <c r="I891" s="6" t="s">
        <v>472</v>
      </c>
      <c r="J891" s="6" t="s">
        <v>345</v>
      </c>
      <c r="K891" s="10">
        <v>30</v>
      </c>
      <c r="L891" s="10">
        <v>30</v>
      </c>
      <c r="M891" s="6" t="s">
        <v>371</v>
      </c>
    </row>
    <row r="892" spans="1:13">
      <c r="A892" s="6">
        <v>2023</v>
      </c>
      <c r="B892" s="6">
        <v>4</v>
      </c>
      <c r="C892" s="6" t="s">
        <v>62</v>
      </c>
      <c r="D892" s="6" t="s">
        <v>468</v>
      </c>
      <c r="E892" s="6" t="s">
        <v>369</v>
      </c>
      <c r="F892" s="6" t="str">
        <f>IF($M892="PADD I","PADD 1",IF($M892="PADD II","PADD 2",IF($M892="PADD III","PADD 3",IF($M892="PADD IV","PADD 4",IF($M892="PADD V","PADD 5","")))))</f>
        <v>PADD 3</v>
      </c>
      <c r="G892" s="6" t="str">
        <f>IF(AND($H892="ATMOS DISTILLATION",ISNUMBER(SEARCH("VPS",$I892))=FALSE,LEFT($I892,6)&lt;&gt;"VACUUM"),"CDU",IF($H892="FLUID CAT CRACKING","FCC",IF(OR($H892="HYDROCRACKING",$H892="RESID_HYDROCRACKING"),"Hydrocracker",IF($H892="REFORMING","Reformer",""))))</f>
        <v>FCC</v>
      </c>
      <c r="H892" s="6" t="s">
        <v>376</v>
      </c>
      <c r="I892" s="6" t="s">
        <v>473</v>
      </c>
      <c r="J892" s="6" t="s">
        <v>345</v>
      </c>
      <c r="K892" s="10">
        <v>30</v>
      </c>
      <c r="L892" s="10">
        <v>30</v>
      </c>
      <c r="M892" s="6" t="s">
        <v>371</v>
      </c>
    </row>
    <row r="893" spans="1:13">
      <c r="A893" s="6">
        <v>2023</v>
      </c>
      <c r="B893" s="6">
        <v>4</v>
      </c>
      <c r="C893" s="6" t="s">
        <v>62</v>
      </c>
      <c r="D893" s="6" t="s">
        <v>680</v>
      </c>
      <c r="E893" s="6" t="s">
        <v>681</v>
      </c>
      <c r="F893" s="6" t="str">
        <f>IF($M893="PADD I","PADD 1",IF($M893="PADD II","PADD 2",IF($M893="PADD III","PADD 3",IF($M893="PADD IV","PADD 4",IF($M893="PADD V","PADD 5","")))))</f>
        <v>PADD 3</v>
      </c>
      <c r="G893" s="6">
        <f>IF(AND($H893="ATMOS DISTILLATION",ISNUMBER(SEARCH("VPS",$I893))=FALSE,LEFT($I893,6)&lt;&gt;"VACUUM"),"CDU",IF($H893="FLUID CAT CRACKING","FCC",IF(OR($H893="HYDROCRACKING",$H893="RESID_HYDROCRACKING"),"Hydrocracker",IF($H893="REFORMING","Reformer",""))))</f>
        <v/>
      </c>
      <c r="H893" s="6" t="s">
        <v>43</v>
      </c>
      <c r="I893" s="6" t="s">
        <v>689</v>
      </c>
      <c r="J893" s="6" t="s">
        <v>349</v>
      </c>
      <c r="K893" s="10">
        <v>29.76</v>
      </c>
      <c r="L893" s="10">
        <v>32</v>
      </c>
      <c r="M893" s="6" t="s">
        <v>371</v>
      </c>
    </row>
    <row r="894" spans="1:13">
      <c r="A894" s="6">
        <v>2023</v>
      </c>
      <c r="B894" s="6">
        <v>4</v>
      </c>
      <c r="C894" s="6" t="s">
        <v>62</v>
      </c>
      <c r="D894" s="6" t="s">
        <v>434</v>
      </c>
      <c r="E894" s="6" t="s">
        <v>388</v>
      </c>
      <c r="F894" s="6" t="str">
        <f>IF($M894="PADD I","PADD 1",IF($M894="PADD II","PADD 2",IF($M894="PADD III","PADD 3",IF($M894="PADD IV","PADD 4",IF($M894="PADD V","PADD 5","")))))</f>
        <v>PADD 5</v>
      </c>
      <c r="G894" s="6" t="str">
        <f>IF(AND($H894="ATMOS DISTILLATION",ISNUMBER(SEARCH("VPS",$I894))=FALSE,LEFT($I894,6)&lt;&gt;"VACUUM"),"CDU",IF($H894="FLUID CAT CRACKING","FCC",IF(OR($H894="HYDROCRACKING",$H894="RESID_HYDROCRACKING"),"Hydrocracker",IF($H894="REFORMING","Reformer",""))))</f>
        <v>Hydrocracker</v>
      </c>
      <c r="H894" s="6" t="s">
        <v>444</v>
      </c>
      <c r="I894" s="6" t="s">
        <v>14</v>
      </c>
      <c r="J894" s="6" t="s">
        <v>349</v>
      </c>
      <c r="K894" s="10">
        <v>29.44</v>
      </c>
      <c r="L894" s="10">
        <v>36.8</v>
      </c>
      <c r="M894" s="6" t="s">
        <v>386</v>
      </c>
    </row>
    <row r="895" spans="1:13">
      <c r="A895" s="6">
        <v>2023</v>
      </c>
      <c r="B895" s="6">
        <v>4</v>
      </c>
      <c r="C895" s="6" t="s">
        <v>62</v>
      </c>
      <c r="D895" s="6" t="s">
        <v>322</v>
      </c>
      <c r="E895" s="6" t="s">
        <v>369</v>
      </c>
      <c r="F895" s="6" t="str">
        <f>IF($M895="PADD I","PADD 1",IF($M895="PADD II","PADD 2",IF($M895="PADD III","PADD 3",IF($M895="PADD IV","PADD 4",IF($M895="PADD V","PADD 5","")))))</f>
        <v>PADD 2</v>
      </c>
      <c r="G895" s="6">
        <f>IF(AND($H895="ATMOS DISTILLATION",ISNUMBER(SEARCH("VPS",$I895))=FALSE,LEFT($I895,6)&lt;&gt;"VACUUM"),"CDU",IF($H895="FLUID CAT CRACKING","FCC",IF(OR($H895="HYDROCRACKING",$H895="RESID_HYDROCRACKING"),"Hydrocracker",IF($H895="REFORMING","Reformer",""))))</f>
        <v/>
      </c>
      <c r="H895" s="6" t="s">
        <v>43</v>
      </c>
      <c r="I895" s="6" t="s">
        <v>683</v>
      </c>
      <c r="J895" s="6" t="s">
        <v>349</v>
      </c>
      <c r="K895" s="10">
        <v>29.15</v>
      </c>
      <c r="L895" s="10">
        <v>55</v>
      </c>
      <c r="M895" s="6" t="s">
        <v>375</v>
      </c>
    </row>
    <row r="896" spans="1:13">
      <c r="A896" s="6">
        <v>2023</v>
      </c>
      <c r="B896" s="6">
        <v>4</v>
      </c>
      <c r="C896" s="6" t="s">
        <v>62</v>
      </c>
      <c r="D896" s="6" t="s">
        <v>322</v>
      </c>
      <c r="E896" s="6" t="s">
        <v>369</v>
      </c>
      <c r="F896" s="6" t="str">
        <f>IF($M896="PADD I","PADD 1",IF($M896="PADD II","PADD 2",IF($M896="PADD III","PADD 3",IF($M896="PADD IV","PADD 4",IF($M896="PADD V","PADD 5","")))))</f>
        <v>PADD 2</v>
      </c>
      <c r="G896" s="6">
        <f>IF(AND($H896="ATMOS DISTILLATION",ISNUMBER(SEARCH("VPS",$I896))=FALSE,LEFT($I896,6)&lt;&gt;"VACUUM"),"CDU",IF($H896="FLUID CAT CRACKING","FCC",IF(OR($H896="HYDROCRACKING",$H896="RESID_HYDROCRACKING"),"Hydrocracker",IF($H896="REFORMING","Reformer",""))))</f>
        <v/>
      </c>
      <c r="H896" s="6" t="s">
        <v>43</v>
      </c>
      <c r="I896" s="6" t="s">
        <v>684</v>
      </c>
      <c r="J896" s="6" t="s">
        <v>349</v>
      </c>
      <c r="K896" s="10">
        <v>28.09</v>
      </c>
      <c r="L896" s="10">
        <v>53</v>
      </c>
      <c r="M896" s="6" t="s">
        <v>375</v>
      </c>
    </row>
    <row r="897" spans="1:13">
      <c r="A897" s="6">
        <v>2023</v>
      </c>
      <c r="B897" s="6">
        <v>4</v>
      </c>
      <c r="C897" s="6" t="s">
        <v>62</v>
      </c>
      <c r="D897" s="6" t="s">
        <v>372</v>
      </c>
      <c r="E897" s="6" t="s">
        <v>373</v>
      </c>
      <c r="F897" s="6" t="str">
        <f>IF($M897="PADD I","PADD 1",IF($M897="PADD II","PADD 2",IF($M897="PADD III","PADD 3",IF($M897="PADD IV","PADD 4",IF($M897="PADD V","PADD 5","")))))</f>
        <v>PADD 2</v>
      </c>
      <c r="G897" s="6" t="str">
        <f>IF(AND($H897="ATMOS DISTILLATION",ISNUMBER(SEARCH("VPS",$I897))=FALSE,LEFT($I897,6)&lt;&gt;"VACUUM"),"CDU",IF($H897="FLUID CAT CRACKING","FCC",IF(OR($H897="HYDROCRACKING",$H897="RESID_HYDROCRACKING"),"Hydrocracker",IF($H897="REFORMING","Reformer",""))))</f>
        <v>Hydrocracker</v>
      </c>
      <c r="H897" s="6" t="s">
        <v>444</v>
      </c>
      <c r="I897" s="6" t="s">
        <v>445</v>
      </c>
      <c r="J897" s="6" t="s">
        <v>345</v>
      </c>
      <c r="K897" s="10">
        <v>28</v>
      </c>
      <c r="L897" s="10">
        <v>35</v>
      </c>
      <c r="M897" s="6" t="s">
        <v>375</v>
      </c>
    </row>
    <row r="898" spans="1:13">
      <c r="A898" s="6">
        <v>2023</v>
      </c>
      <c r="B898" s="6">
        <v>4</v>
      </c>
      <c r="C898" s="6" t="s">
        <v>62</v>
      </c>
      <c r="D898" s="6" t="s">
        <v>372</v>
      </c>
      <c r="E898" s="6" t="s">
        <v>373</v>
      </c>
      <c r="F898" s="6" t="str">
        <f>IF($M898="PADD I","PADD 1",IF($M898="PADD II","PADD 2",IF($M898="PADD III","PADD 3",IF($M898="PADD IV","PADD 4",IF($M898="PADD V","PADD 5","")))))</f>
        <v>PADD 2</v>
      </c>
      <c r="G898" s="6">
        <f>IF(AND($H898="ATMOS DISTILLATION",ISNUMBER(SEARCH("VPS",$I898))=FALSE,LEFT($I898,6)&lt;&gt;"VACUUM"),"CDU",IF($H898="FLUID CAT CRACKING","FCC",IF(OR($H898="HYDROCRACKING",$H898="RESID_HYDROCRACKING"),"Hydrocracker",IF($H898="REFORMING","Reformer",""))))</f>
        <v/>
      </c>
      <c r="H898" s="6" t="s">
        <v>435</v>
      </c>
      <c r="I898" s="6" t="s">
        <v>467</v>
      </c>
      <c r="J898" s="6" t="s">
        <v>345</v>
      </c>
      <c r="K898" s="10">
        <v>27.5</v>
      </c>
      <c r="L898" s="10">
        <v>27.5</v>
      </c>
      <c r="M898" s="6" t="s">
        <v>375</v>
      </c>
    </row>
    <row r="899" spans="1:13">
      <c r="A899" s="6">
        <v>2023</v>
      </c>
      <c r="B899" s="6">
        <v>4</v>
      </c>
      <c r="C899" s="6" t="s">
        <v>62</v>
      </c>
      <c r="D899" s="6" t="s">
        <v>742</v>
      </c>
      <c r="E899" s="6" t="s">
        <v>388</v>
      </c>
      <c r="F899" s="6" t="str">
        <f>IF($M899="PADD I","PADD 1",IF($M899="PADD II","PADD 2",IF($M899="PADD III","PADD 3",IF($M899="PADD IV","PADD 4",IF($M899="PADD V","PADD 5","")))))</f>
        <v>PADD 5</v>
      </c>
      <c r="G899" s="6" t="str">
        <f>IF(AND($H899="ATMOS DISTILLATION",ISNUMBER(SEARCH("VPS",$I899))=FALSE,LEFT($I899,6)&lt;&gt;"VACUUM"),"CDU",IF($H899="FLUID CAT CRACKING","FCC",IF(OR($H899="HYDROCRACKING",$H899="RESID_HYDROCRACKING"),"Hydrocracker",IF($H899="REFORMING","Reformer",""))))</f>
        <v>Reformer</v>
      </c>
      <c r="H899" s="6" t="s">
        <v>421</v>
      </c>
      <c r="I899" s="6" t="s">
        <v>15</v>
      </c>
      <c r="J899" s="6" t="s">
        <v>345</v>
      </c>
      <c r="K899" s="10">
        <v>26</v>
      </c>
      <c r="L899" s="10">
        <v>26</v>
      </c>
      <c r="M899" s="6" t="s">
        <v>386</v>
      </c>
    </row>
    <row r="900" spans="1:13">
      <c r="A900" s="6">
        <v>2023</v>
      </c>
      <c r="B900" s="6">
        <v>4</v>
      </c>
      <c r="C900" s="6" t="s">
        <v>62</v>
      </c>
      <c r="D900" s="6" t="s">
        <v>387</v>
      </c>
      <c r="E900" s="6" t="s">
        <v>388</v>
      </c>
      <c r="F900" s="6" t="str">
        <f>IF($M900="PADD I","PADD 1",IF($M900="PADD II","PADD 2",IF($M900="PADD III","PADD 3",IF($M900="PADD IV","PADD 4",IF($M900="PADD V","PADD 5","")))))</f>
        <v>PADD 3</v>
      </c>
      <c r="G900" s="6">
        <f>IF(AND($H900="ATMOS DISTILLATION",ISNUMBER(SEARCH("VPS",$I900))=FALSE,LEFT($I900,6)&lt;&gt;"VACUUM"),"CDU",IF($H900="FLUID CAT CRACKING","FCC",IF(OR($H900="HYDROCRACKING",$H900="RESID_HYDROCRACKING"),"Hydrocracker",IF($H900="REFORMING","Reformer",""))))</f>
        <v/>
      </c>
      <c r="H900" s="6" t="s">
        <v>378</v>
      </c>
      <c r="I900" s="6" t="s">
        <v>442</v>
      </c>
      <c r="J900" s="6" t="s">
        <v>349</v>
      </c>
      <c r="K900" s="10">
        <v>25.875</v>
      </c>
      <c r="L900" s="10">
        <v>112.5</v>
      </c>
      <c r="M900" s="6" t="s">
        <v>371</v>
      </c>
    </row>
    <row r="901" spans="1:13">
      <c r="A901" s="6">
        <v>2023</v>
      </c>
      <c r="B901" s="6">
        <v>4</v>
      </c>
      <c r="C901" s="6" t="s">
        <v>62</v>
      </c>
      <c r="D901" s="6" t="s">
        <v>778</v>
      </c>
      <c r="E901" s="6" t="s">
        <v>779</v>
      </c>
      <c r="F901" s="6" t="str">
        <f>IF($M901="PADD I","PADD 1",IF($M901="PADD II","PADD 2",IF($M901="PADD III","PADD 3",IF($M901="PADD IV","PADD 4",IF($M901="PADD V","PADD 5","")))))</f>
        <v>PADD 3</v>
      </c>
      <c r="G901" s="6" t="str">
        <f>IF(AND($H901="ATMOS DISTILLATION",ISNUMBER(SEARCH("VPS",$I901))=FALSE,LEFT($I901,6)&lt;&gt;"VACUUM"),"CDU",IF($H901="FLUID CAT CRACKING","FCC",IF(OR($H901="HYDROCRACKING",$H901="RESID_HYDROCRACKING"),"Hydrocracker",IF($H901="REFORMING","Reformer",""))))</f>
        <v>CDU</v>
      </c>
      <c r="H901" s="6" t="s">
        <v>38</v>
      </c>
      <c r="I901" s="6" t="s">
        <v>780</v>
      </c>
      <c r="J901" s="6" t="s">
        <v>345</v>
      </c>
      <c r="K901" s="10">
        <v>25.61</v>
      </c>
      <c r="L901" s="10">
        <v>197</v>
      </c>
      <c r="M901" s="6" t="s">
        <v>371</v>
      </c>
    </row>
    <row r="902" spans="1:13">
      <c r="A902" s="6">
        <v>2023</v>
      </c>
      <c r="B902" s="6">
        <v>4</v>
      </c>
      <c r="C902" s="6" t="s">
        <v>62</v>
      </c>
      <c r="D902" s="6" t="s">
        <v>748</v>
      </c>
      <c r="E902" s="6" t="s">
        <v>388</v>
      </c>
      <c r="F902" s="6" t="str">
        <f>IF($M902="PADD I","PADD 1",IF($M902="PADD II","PADD 2",IF($M902="PADD III","PADD 3",IF($M902="PADD IV","PADD 4",IF($M902="PADD V","PADD 5","")))))</f>
        <v>PADD 3</v>
      </c>
      <c r="G902" s="6">
        <f>IF(AND($H902="ATMOS DISTILLATION",ISNUMBER(SEARCH("VPS",$I902))=FALSE,LEFT($I902,6)&lt;&gt;"VACUUM"),"CDU",IF($H902="FLUID CAT CRACKING","FCC",IF(OR($H902="HYDROCRACKING",$H902="RESID_HYDROCRACKING"),"Hydrocracker",IF($H902="REFORMING","Reformer",""))))</f>
        <v/>
      </c>
      <c r="H902" s="6" t="s">
        <v>43</v>
      </c>
      <c r="I902" s="6" t="s">
        <v>759</v>
      </c>
      <c r="J902" s="6" t="s">
        <v>349</v>
      </c>
      <c r="K902" s="10">
        <v>25.5</v>
      </c>
      <c r="L902" s="10">
        <v>25.5</v>
      </c>
      <c r="M902" s="6" t="s">
        <v>371</v>
      </c>
    </row>
    <row r="903" spans="1:13">
      <c r="A903" s="6">
        <v>2023</v>
      </c>
      <c r="B903" s="6">
        <v>4</v>
      </c>
      <c r="C903" s="6" t="s">
        <v>62</v>
      </c>
      <c r="D903" s="6" t="s">
        <v>372</v>
      </c>
      <c r="E903" s="6" t="s">
        <v>373</v>
      </c>
      <c r="F903" s="6" t="str">
        <f>IF($M903="PADD I","PADD 1",IF($M903="PADD II","PADD 2",IF($M903="PADD III","PADD 3",IF($M903="PADD IV","PADD 4",IF($M903="PADD V","PADD 5","")))))</f>
        <v>PADD 2</v>
      </c>
      <c r="G903" s="6" t="str">
        <f>IF(AND($H903="ATMOS DISTILLATION",ISNUMBER(SEARCH("VPS",$I903))=FALSE,LEFT($I903,6)&lt;&gt;"VACUUM"),"CDU",IF($H903="FLUID CAT CRACKING","FCC",IF(OR($H903="HYDROCRACKING",$H903="RESID_HYDROCRACKING"),"Hydrocracker",IF($H903="REFORMING","Reformer",""))))</f>
        <v>CDU</v>
      </c>
      <c r="H903" s="6" t="s">
        <v>38</v>
      </c>
      <c r="I903" s="6" t="s">
        <v>414</v>
      </c>
      <c r="J903" s="6" t="s">
        <v>345</v>
      </c>
      <c r="K903" s="10">
        <v>25.2</v>
      </c>
      <c r="L903" s="10">
        <v>40</v>
      </c>
      <c r="M903" s="6" t="s">
        <v>375</v>
      </c>
    </row>
    <row r="904" spans="1:13">
      <c r="A904" s="6">
        <v>2023</v>
      </c>
      <c r="B904" s="6">
        <v>4</v>
      </c>
      <c r="C904" s="6" t="s">
        <v>62</v>
      </c>
      <c r="D904" s="6" t="s">
        <v>372</v>
      </c>
      <c r="E904" s="6" t="s">
        <v>373</v>
      </c>
      <c r="F904" s="6" t="str">
        <f>IF($M904="PADD I","PADD 1",IF($M904="PADD II","PADD 2",IF($M904="PADD III","PADD 3",IF($M904="PADD IV","PADD 4",IF($M904="PADD V","PADD 5","")))))</f>
        <v>PADD 2</v>
      </c>
      <c r="G904" s="6">
        <f>IF(AND($H904="ATMOS DISTILLATION",ISNUMBER(SEARCH("VPS",$I904))=FALSE,LEFT($I904,6)&lt;&gt;"VACUUM"),"CDU",IF($H904="FLUID CAT CRACKING","FCC",IF(OR($H904="HYDROCRACKING",$H904="RESID_HYDROCRACKING"),"Hydrocracker",IF($H904="REFORMING","Reformer",""))))</f>
        <v/>
      </c>
      <c r="H904" s="6" t="s">
        <v>43</v>
      </c>
      <c r="I904" s="6" t="s">
        <v>479</v>
      </c>
      <c r="J904" s="6" t="s">
        <v>345</v>
      </c>
      <c r="K904" s="10">
        <v>25</v>
      </c>
      <c r="L904" s="10">
        <v>25</v>
      </c>
      <c r="M904" s="6" t="s">
        <v>375</v>
      </c>
    </row>
    <row r="905" spans="1:13">
      <c r="A905" s="6">
        <v>2023</v>
      </c>
      <c r="B905" s="6">
        <v>4</v>
      </c>
      <c r="C905" s="6" t="s">
        <v>62</v>
      </c>
      <c r="D905" s="6" t="s">
        <v>372</v>
      </c>
      <c r="E905" s="6" t="s">
        <v>373</v>
      </c>
      <c r="F905" s="6" t="str">
        <f>IF($M905="PADD I","PADD 1",IF($M905="PADD II","PADD 2",IF($M905="PADD III","PADD 3",IF($M905="PADD IV","PADD 4",IF($M905="PADD V","PADD 5","")))))</f>
        <v>PADD 2</v>
      </c>
      <c r="G905" s="6">
        <f>IF(AND($H905="ATMOS DISTILLATION",ISNUMBER(SEARCH("VPS",$I905))=FALSE,LEFT($I905,6)&lt;&gt;"VACUUM"),"CDU",IF($H905="FLUID CAT CRACKING","FCC",IF(OR($H905="HYDROCRACKING",$H905="RESID_HYDROCRACKING"),"Hydrocracker",IF($H905="REFORMING","Reformer",""))))</f>
        <v/>
      </c>
      <c r="H905" s="6" t="s">
        <v>43</v>
      </c>
      <c r="I905" s="6" t="s">
        <v>480</v>
      </c>
      <c r="J905" s="6" t="s">
        <v>345</v>
      </c>
      <c r="K905" s="10">
        <v>25</v>
      </c>
      <c r="L905" s="10">
        <v>25</v>
      </c>
      <c r="M905" s="6" t="s">
        <v>375</v>
      </c>
    </row>
    <row r="906" spans="1:13">
      <c r="A906" s="6">
        <v>2023</v>
      </c>
      <c r="B906" s="6">
        <v>4</v>
      </c>
      <c r="C906" s="6" t="s">
        <v>62</v>
      </c>
      <c r="D906" s="6" t="s">
        <v>742</v>
      </c>
      <c r="E906" s="6" t="s">
        <v>388</v>
      </c>
      <c r="F906" s="6" t="str">
        <f>IF($M906="PADD I","PADD 1",IF($M906="PADD II","PADD 2",IF($M906="PADD III","PADD 3",IF($M906="PADD IV","PADD 4",IF($M906="PADD V","PADD 5","")))))</f>
        <v>PADD 5</v>
      </c>
      <c r="G906" s="6">
        <f>IF(AND($H906="ATMOS DISTILLATION",ISNUMBER(SEARCH("VPS",$I906))=FALSE,LEFT($I906,6)&lt;&gt;"VACUUM"),"CDU",IF($H906="FLUID CAT CRACKING","FCC",IF(OR($H906="HYDROCRACKING",$H906="RESID_HYDROCRACKING"),"Hydrocracker",IF($H906="REFORMING","Reformer",""))))</f>
        <v/>
      </c>
      <c r="H906" s="6" t="s">
        <v>43</v>
      </c>
      <c r="I906" s="6" t="s">
        <v>744</v>
      </c>
      <c r="J906" s="6" t="s">
        <v>349</v>
      </c>
      <c r="K906" s="10">
        <v>25</v>
      </c>
      <c r="L906" s="10">
        <v>25</v>
      </c>
      <c r="M906" s="6" t="s">
        <v>386</v>
      </c>
    </row>
    <row r="907" spans="1:13">
      <c r="A907" s="6">
        <v>2023</v>
      </c>
      <c r="B907" s="6">
        <v>4</v>
      </c>
      <c r="C907" s="6" t="s">
        <v>62</v>
      </c>
      <c r="D907" s="6" t="s">
        <v>408</v>
      </c>
      <c r="E907" s="6" t="s">
        <v>409</v>
      </c>
      <c r="F907" s="6" t="str">
        <f>IF($M907="PADD I","PADD 1",IF($M907="PADD II","PADD 2",IF($M907="PADD III","PADD 3",IF($M907="PADD IV","PADD 4",IF($M907="PADD V","PADD 5","")))))</f>
        <v>PADD 3</v>
      </c>
      <c r="G907" s="6">
        <f>IF(AND($H907="ATMOS DISTILLATION",ISNUMBER(SEARCH("VPS",$I907))=FALSE,LEFT($I907,6)&lt;&gt;"VACUUM"),"CDU",IF($H907="FLUID CAT CRACKING","FCC",IF(OR($H907="HYDROCRACKING",$H907="RESID_HYDROCRACKING"),"Hydrocracker",IF($H907="REFORMING","Reformer",""))))</f>
        <v/>
      </c>
      <c r="H907" s="6" t="s">
        <v>43</v>
      </c>
      <c r="I907" s="6" t="s">
        <v>497</v>
      </c>
      <c r="J907" s="6" t="s">
        <v>349</v>
      </c>
      <c r="K907" s="10">
        <v>24.8</v>
      </c>
      <c r="L907" s="10">
        <v>31</v>
      </c>
      <c r="M907" s="6" t="s">
        <v>371</v>
      </c>
    </row>
    <row r="908" spans="1:13">
      <c r="A908" s="6">
        <v>2023</v>
      </c>
      <c r="B908" s="6">
        <v>4</v>
      </c>
      <c r="C908" s="6" t="s">
        <v>62</v>
      </c>
      <c r="D908" s="6" t="s">
        <v>420</v>
      </c>
      <c r="E908" s="6" t="s">
        <v>373</v>
      </c>
      <c r="F908" s="6" t="str">
        <f>IF($M908="PADD I","PADD 1",IF($M908="PADD II","PADD 2",IF($M908="PADD III","PADD 3",IF($M908="PADD IV","PADD 4",IF($M908="PADD V","PADD 5","")))))</f>
        <v>PADD 2</v>
      </c>
      <c r="G908" s="6" t="str">
        <f>IF(AND($H908="ATMOS DISTILLATION",ISNUMBER(SEARCH("VPS",$I908))=FALSE,LEFT($I908,6)&lt;&gt;"VACUUM"),"CDU",IF($H908="FLUID CAT CRACKING","FCC",IF(OR($H908="HYDROCRACKING",$H908="RESID_HYDROCRACKING"),"Hydrocracker",IF($H908="REFORMING","Reformer",""))))</f>
        <v>CDU</v>
      </c>
      <c r="H908" s="6" t="s">
        <v>38</v>
      </c>
      <c r="I908" s="6" t="s">
        <v>81</v>
      </c>
      <c r="J908" s="6" t="s">
        <v>345</v>
      </c>
      <c r="K908" s="10">
        <v>24.5</v>
      </c>
      <c r="L908" s="10">
        <v>24.5</v>
      </c>
      <c r="M908" s="6" t="s">
        <v>375</v>
      </c>
    </row>
    <row r="909" spans="1:13">
      <c r="A909" s="6">
        <v>2023</v>
      </c>
      <c r="B909" s="6">
        <v>4</v>
      </c>
      <c r="C909" s="6" t="s">
        <v>62</v>
      </c>
      <c r="D909" s="6" t="s">
        <v>742</v>
      </c>
      <c r="E909" s="6" t="s">
        <v>388</v>
      </c>
      <c r="F909" s="6" t="str">
        <f>IF($M909="PADD I","PADD 1",IF($M909="PADD II","PADD 2",IF($M909="PADD III","PADD 3",IF($M909="PADD IV","PADD 4",IF($M909="PADD V","PADD 5","")))))</f>
        <v>PADD 5</v>
      </c>
      <c r="G909" s="6" t="str">
        <f>IF(AND($H909="ATMOS DISTILLATION",ISNUMBER(SEARCH("VPS",$I909))=FALSE,LEFT($I909,6)&lt;&gt;"VACUUM"),"CDU",IF($H909="FLUID CAT CRACKING","FCC",IF(OR($H909="HYDROCRACKING",$H909="RESID_HYDROCRACKING"),"Hydrocracker",IF($H909="REFORMING","Reformer",""))))</f>
        <v>CDU</v>
      </c>
      <c r="H909" s="6" t="s">
        <v>38</v>
      </c>
      <c r="I909" s="6" t="s">
        <v>81</v>
      </c>
      <c r="J909" s="6" t="s">
        <v>349</v>
      </c>
      <c r="K909" s="10">
        <v>24</v>
      </c>
      <c r="L909" s="10">
        <v>24</v>
      </c>
      <c r="M909" s="6" t="s">
        <v>386</v>
      </c>
    </row>
    <row r="910" spans="1:13">
      <c r="A910" s="6">
        <v>2023</v>
      </c>
      <c r="B910" s="6">
        <v>4</v>
      </c>
      <c r="C910" s="6" t="s">
        <v>62</v>
      </c>
      <c r="D910" s="6" t="s">
        <v>610</v>
      </c>
      <c r="E910" s="6" t="s">
        <v>611</v>
      </c>
      <c r="F910" s="6" t="str">
        <f>IF($M910="PADD I","PADD 1",IF($M910="PADD II","PADD 2",IF($M910="PADD III","PADD 3",IF($M910="PADD IV","PADD 4",IF($M910="PADD V","PADD 5","")))))</f>
        <v>PADD 2</v>
      </c>
      <c r="G910" s="6" t="str">
        <f>IF(AND($H910="ATMOS DISTILLATION",ISNUMBER(SEARCH("VPS",$I910))=FALSE,LEFT($I910,6)&lt;&gt;"VACUUM"),"CDU",IF($H910="FLUID CAT CRACKING","FCC",IF(OR($H910="HYDROCRACKING",$H910="RESID_HYDROCRACKING"),"Hydrocracker",IF($H910="REFORMING","Reformer",""))))</f>
        <v>CDU</v>
      </c>
      <c r="H910" s="6" t="s">
        <v>38</v>
      </c>
      <c r="I910" s="6" t="s">
        <v>332</v>
      </c>
      <c r="J910" s="6" t="s">
        <v>345</v>
      </c>
      <c r="K910" s="10">
        <v>24</v>
      </c>
      <c r="L910" s="10">
        <v>60</v>
      </c>
      <c r="M910" s="6" t="s">
        <v>375</v>
      </c>
    </row>
    <row r="911" spans="1:13">
      <c r="A911" s="6">
        <v>2023</v>
      </c>
      <c r="B911" s="6">
        <v>4</v>
      </c>
      <c r="C911" s="6" t="s">
        <v>62</v>
      </c>
      <c r="D911" s="6" t="s">
        <v>602</v>
      </c>
      <c r="E911" s="6" t="s">
        <v>369</v>
      </c>
      <c r="F911" s="6" t="str">
        <f>IF($M911="PADD I","PADD 1",IF($M911="PADD II","PADD 2",IF($M911="PADD III","PADD 3",IF($M911="PADD IV","PADD 4",IF($M911="PADD V","PADD 5","")))))</f>
        <v>PADD 2</v>
      </c>
      <c r="G911" s="6">
        <f>IF(AND($H911="ATMOS DISTILLATION",ISNUMBER(SEARCH("VPS",$I911))=FALSE,LEFT($I911,6)&lt;&gt;"VACUUM"),"CDU",IF($H911="FLUID CAT CRACKING","FCC",IF(OR($H911="HYDROCRACKING",$H911="RESID_HYDROCRACKING"),"Hydrocracker",IF($H911="REFORMING","Reformer",""))))</f>
        <v/>
      </c>
      <c r="H911" s="6" t="s">
        <v>435</v>
      </c>
      <c r="I911" s="6" t="s">
        <v>441</v>
      </c>
      <c r="J911" s="6" t="s">
        <v>349</v>
      </c>
      <c r="K911" s="10">
        <v>23.87</v>
      </c>
      <c r="L911" s="10">
        <v>31</v>
      </c>
      <c r="M911" s="6" t="s">
        <v>375</v>
      </c>
    </row>
    <row r="912" spans="1:13">
      <c r="A912" s="6">
        <v>2023</v>
      </c>
      <c r="B912" s="6">
        <v>4</v>
      </c>
      <c r="C912" s="6" t="s">
        <v>62</v>
      </c>
      <c r="D912" s="6" t="s">
        <v>680</v>
      </c>
      <c r="E912" s="6" t="s">
        <v>681</v>
      </c>
      <c r="F912" s="6" t="str">
        <f>IF($M912="PADD I","PADD 1",IF($M912="PADD II","PADD 2",IF($M912="PADD III","PADD 3",IF($M912="PADD IV","PADD 4",IF($M912="PADD V","PADD 5","")))))</f>
        <v>PADD 3</v>
      </c>
      <c r="G912" s="6" t="str">
        <f>IF(AND($H912="ATMOS DISTILLATION",ISNUMBER(SEARCH("VPS",$I912))=FALSE,LEFT($I912,6)&lt;&gt;"VACUUM"),"CDU",IF($H912="FLUID CAT CRACKING","FCC",IF(OR($H912="HYDROCRACKING",$H912="RESID_HYDROCRACKING"),"Hydrocracker",IF($H912="REFORMING","Reformer",""))))</f>
        <v>FCC</v>
      </c>
      <c r="H912" s="6" t="s">
        <v>376</v>
      </c>
      <c r="I912" s="6" t="s">
        <v>105</v>
      </c>
      <c r="J912" s="6" t="s">
        <v>349</v>
      </c>
      <c r="K912" s="10">
        <v>23.25</v>
      </c>
      <c r="L912" s="10">
        <v>25</v>
      </c>
      <c r="M912" s="6" t="s">
        <v>371</v>
      </c>
    </row>
    <row r="913" spans="1:13">
      <c r="A913" s="6">
        <v>2023</v>
      </c>
      <c r="B913" s="6">
        <v>4</v>
      </c>
      <c r="C913" s="6" t="s">
        <v>62</v>
      </c>
      <c r="D913" s="6" t="s">
        <v>680</v>
      </c>
      <c r="E913" s="6" t="s">
        <v>681</v>
      </c>
      <c r="F913" s="6" t="str">
        <f>IF($M913="PADD I","PADD 1",IF($M913="PADD II","PADD 2",IF($M913="PADD III","PADD 3",IF($M913="PADD IV","PADD 4",IF($M913="PADD V","PADD 5","")))))</f>
        <v>PADD 3</v>
      </c>
      <c r="G913" s="6">
        <f>IF(AND($H913="ATMOS DISTILLATION",ISNUMBER(SEARCH("VPS",$I913))=FALSE,LEFT($I913,6)&lt;&gt;"VACUUM"),"CDU",IF($H913="FLUID CAT CRACKING","FCC",IF(OR($H913="HYDROCRACKING",$H913="RESID_HYDROCRACKING"),"Hydrocracker",IF($H913="REFORMING","Reformer",""))))</f>
        <v/>
      </c>
      <c r="H913" s="6" t="s">
        <v>378</v>
      </c>
      <c r="I913" s="6" t="s">
        <v>431</v>
      </c>
      <c r="J913" s="6" t="s">
        <v>349</v>
      </c>
      <c r="K913" s="10">
        <v>23.25</v>
      </c>
      <c r="L913" s="10">
        <v>25</v>
      </c>
      <c r="M913" s="6" t="s">
        <v>371</v>
      </c>
    </row>
    <row r="914" spans="1:13">
      <c r="A914" s="6">
        <v>2023</v>
      </c>
      <c r="B914" s="6">
        <v>4</v>
      </c>
      <c r="C914" s="6" t="s">
        <v>62</v>
      </c>
      <c r="D914" s="6" t="s">
        <v>53</v>
      </c>
      <c r="E914" s="6" t="s">
        <v>543</v>
      </c>
      <c r="F914" s="6" t="str">
        <f>IF($M914="PADD I","PADD 1",IF($M914="PADD II","PADD 2",IF($M914="PADD III","PADD 3",IF($M914="PADD IV","PADD 4",IF($M914="PADD V","PADD 5","")))))</f>
        <v>PADD 5</v>
      </c>
      <c r="G914" s="6" t="str">
        <f>IF(AND($H914="ATMOS DISTILLATION",ISNUMBER(SEARCH("VPS",$I914))=FALSE,LEFT($I914,6)&lt;&gt;"VACUUM"),"CDU",IF($H914="FLUID CAT CRACKING","FCC",IF(OR($H914="HYDROCRACKING",$H914="RESID_HYDROCRACKING"),"Hydrocracker",IF($H914="REFORMING","Reformer",""))))</f>
        <v>CDU</v>
      </c>
      <c r="H914" s="6" t="s">
        <v>38</v>
      </c>
      <c r="I914" s="6" t="s">
        <v>81</v>
      </c>
      <c r="J914" s="6" t="s">
        <v>349</v>
      </c>
      <c r="K914" s="10">
        <v>23.125</v>
      </c>
      <c r="L914" s="10">
        <v>62.5</v>
      </c>
      <c r="M914" s="6" t="s">
        <v>386</v>
      </c>
    </row>
    <row r="915" spans="1:13">
      <c r="A915" s="6">
        <v>2023</v>
      </c>
      <c r="B915" s="6">
        <v>4</v>
      </c>
      <c r="C915" s="6" t="s">
        <v>62</v>
      </c>
      <c r="D915" s="6" t="s">
        <v>446</v>
      </c>
      <c r="E915" s="6" t="s">
        <v>391</v>
      </c>
      <c r="F915" s="6" t="str">
        <f>IF($M915="PADD I","PADD 1",IF($M915="PADD II","PADD 2",IF($M915="PADD III","PADD 3",IF($M915="PADD IV","PADD 4",IF($M915="PADD V","PADD 5","")))))</f>
        <v>PADD 3</v>
      </c>
      <c r="G915" s="6" t="str">
        <f>IF(AND($H915="ATMOS DISTILLATION",ISNUMBER(SEARCH("VPS",$I915))=FALSE,LEFT($I915,6)&lt;&gt;"VACUUM"),"CDU",IF($H915="FLUID CAT CRACKING","FCC",IF(OR($H915="HYDROCRACKING",$H915="RESID_HYDROCRACKING"),"Hydrocracker",IF($H915="REFORMING","Reformer",""))))</f>
        <v>Reformer</v>
      </c>
      <c r="H915" s="6" t="s">
        <v>421</v>
      </c>
      <c r="I915" s="6" t="s">
        <v>483</v>
      </c>
      <c r="J915" s="6" t="s">
        <v>345</v>
      </c>
      <c r="K915" s="10">
        <v>23</v>
      </c>
      <c r="L915" s="10">
        <v>23</v>
      </c>
      <c r="M915" s="6" t="s">
        <v>371</v>
      </c>
    </row>
    <row r="916" spans="1:13">
      <c r="A916" s="6">
        <v>2023</v>
      </c>
      <c r="B916" s="6">
        <v>4</v>
      </c>
      <c r="C916" s="6" t="s">
        <v>62</v>
      </c>
      <c r="D916" s="6" t="s">
        <v>680</v>
      </c>
      <c r="E916" s="6" t="s">
        <v>681</v>
      </c>
      <c r="F916" s="6" t="str">
        <f>IF($M916="PADD I","PADD 1",IF($M916="PADD II","PADD 2",IF($M916="PADD III","PADD 3",IF($M916="PADD IV","PADD 4",IF($M916="PADD V","PADD 5","")))))</f>
        <v>PADD 3</v>
      </c>
      <c r="G916" s="6">
        <f>IF(AND($H916="ATMOS DISTILLATION",ISNUMBER(SEARCH("VPS",$I916))=FALSE,LEFT($I916,6)&lt;&gt;"VACUUM"),"CDU",IF($H916="FLUID CAT CRACKING","FCC",IF(OR($H916="HYDROCRACKING",$H916="RESID_HYDROCRACKING"),"Hydrocracker",IF($H916="REFORMING","Reformer",""))))</f>
        <v/>
      </c>
      <c r="H916" s="6" t="s">
        <v>43</v>
      </c>
      <c r="I916" s="6" t="s">
        <v>692</v>
      </c>
      <c r="J916" s="6" t="s">
        <v>349</v>
      </c>
      <c r="K916" s="10">
        <v>22.32</v>
      </c>
      <c r="L916" s="10">
        <v>24</v>
      </c>
      <c r="M916" s="6" t="s">
        <v>371</v>
      </c>
    </row>
    <row r="917" spans="1:13">
      <c r="A917" s="6">
        <v>2023</v>
      </c>
      <c r="B917" s="6">
        <v>4</v>
      </c>
      <c r="C917" s="6" t="s">
        <v>62</v>
      </c>
      <c r="D917" s="6" t="s">
        <v>727</v>
      </c>
      <c r="E917" s="6" t="s">
        <v>728</v>
      </c>
      <c r="F917" s="6" t="str">
        <f>IF($M917="PADD I","PADD 1",IF($M917="PADD II","PADD 2",IF($M917="PADD III","PADD 3",IF($M917="PADD IV","PADD 4",IF($M917="PADD V","PADD 5","")))))</f>
        <v>PADD 1</v>
      </c>
      <c r="G917" s="6" t="str">
        <f>IF(AND($H917="ATMOS DISTILLATION",ISNUMBER(SEARCH("VPS",$I917))=FALSE,LEFT($I917,6)&lt;&gt;"VACUUM"),"CDU",IF($H917="FLUID CAT CRACKING","FCC",IF(OR($H917="HYDROCRACKING",$H917="RESID_HYDROCRACKING"),"Hydrocracker",IF($H917="REFORMING","Reformer",""))))</f>
        <v>CDU</v>
      </c>
      <c r="H917" s="6" t="s">
        <v>38</v>
      </c>
      <c r="I917" s="6" t="s">
        <v>81</v>
      </c>
      <c r="J917" s="6" t="s">
        <v>349</v>
      </c>
      <c r="K917" s="10">
        <v>22.31</v>
      </c>
      <c r="L917" s="10">
        <v>23</v>
      </c>
      <c r="M917" s="6" t="s">
        <v>413</v>
      </c>
    </row>
    <row r="918" spans="1:13">
      <c r="A918" s="6">
        <v>2023</v>
      </c>
      <c r="B918" s="6">
        <v>4</v>
      </c>
      <c r="C918" s="6" t="s">
        <v>62</v>
      </c>
      <c r="D918" s="6" t="s">
        <v>770</v>
      </c>
      <c r="E918" s="6" t="s">
        <v>660</v>
      </c>
      <c r="F918" s="6" t="str">
        <f>IF($M918="PADD I","PADD 1",IF($M918="PADD II","PADD 2",IF($M918="PADD III","PADD 3",IF($M918="PADD IV","PADD 4",IF($M918="PADD V","PADD 5","")))))</f>
        <v>PADD 3</v>
      </c>
      <c r="G918" s="6">
        <f>IF(AND($H918="ATMOS DISTILLATION",ISNUMBER(SEARCH("VPS",$I918))=FALSE,LEFT($I918,6)&lt;&gt;"VACUUM"),"CDU",IF($H918="FLUID CAT CRACKING","FCC",IF(OR($H918="HYDROCRACKING",$H918="RESID_HYDROCRACKING"),"Hydrocracker",IF($H918="REFORMING","Reformer",""))))</f>
        <v/>
      </c>
      <c r="H918" s="6" t="s">
        <v>43</v>
      </c>
      <c r="I918" s="6" t="s">
        <v>626</v>
      </c>
      <c r="J918" s="6" t="s">
        <v>349</v>
      </c>
      <c r="K918" s="10">
        <v>22</v>
      </c>
      <c r="L918" s="10">
        <v>22</v>
      </c>
      <c r="M918" s="6" t="s">
        <v>371</v>
      </c>
    </row>
    <row r="919" spans="1:13">
      <c r="A919" s="6">
        <v>2023</v>
      </c>
      <c r="B919" s="6">
        <v>4</v>
      </c>
      <c r="C919" s="6" t="s">
        <v>62</v>
      </c>
      <c r="D919" s="6" t="s">
        <v>770</v>
      </c>
      <c r="E919" s="6" t="s">
        <v>660</v>
      </c>
      <c r="F919" s="6" t="str">
        <f>IF($M919="PADD I","PADD 1",IF($M919="PADD II","PADD 2",IF($M919="PADD III","PADD 3",IF($M919="PADD IV","PADD 4",IF($M919="PADD V","PADD 5","")))))</f>
        <v>PADD 3</v>
      </c>
      <c r="G919" s="6">
        <f>IF(AND($H919="ATMOS DISTILLATION",ISNUMBER(SEARCH("VPS",$I919))=FALSE,LEFT($I919,6)&lt;&gt;"VACUUM"),"CDU",IF($H919="FLUID CAT CRACKING","FCC",IF(OR($H919="HYDROCRACKING",$H919="RESID_HYDROCRACKING"),"Hydrocracker",IF($H919="REFORMING","Reformer",""))))</f>
        <v/>
      </c>
      <c r="H919" s="6" t="s">
        <v>43</v>
      </c>
      <c r="I919" s="6" t="s">
        <v>781</v>
      </c>
      <c r="J919" s="6" t="s">
        <v>349</v>
      </c>
      <c r="K919" s="10">
        <v>22</v>
      </c>
      <c r="L919" s="10">
        <v>22</v>
      </c>
      <c r="M919" s="6" t="s">
        <v>371</v>
      </c>
    </row>
    <row r="920" spans="1:13">
      <c r="A920" s="6">
        <v>2023</v>
      </c>
      <c r="B920" s="6">
        <v>4</v>
      </c>
      <c r="C920" s="6" t="s">
        <v>62</v>
      </c>
      <c r="D920" s="6" t="s">
        <v>739</v>
      </c>
      <c r="E920" s="6" t="s">
        <v>405</v>
      </c>
      <c r="F920" s="6" t="str">
        <f>IF($M920="PADD I","PADD 1",IF($M920="PADD II","PADD 2",IF($M920="PADD III","PADD 3",IF($M920="PADD IV","PADD 4",IF($M920="PADD V","PADD 5","")))))</f>
        <v>PADD 2</v>
      </c>
      <c r="G920" s="6" t="str">
        <f>IF(AND($H920="ATMOS DISTILLATION",ISNUMBER(SEARCH("VPS",$I920))=FALSE,LEFT($I920,6)&lt;&gt;"VACUUM"),"CDU",IF($H920="FLUID CAT CRACKING","FCC",IF(OR($H920="HYDROCRACKING",$H920="RESID_HYDROCRACKING"),"Hydrocracker",IF($H920="REFORMING","Reformer",""))))</f>
        <v>FCC</v>
      </c>
      <c r="H920" s="6" t="s">
        <v>376</v>
      </c>
      <c r="I920" s="6" t="s">
        <v>105</v>
      </c>
      <c r="J920" s="6" t="s">
        <v>345</v>
      </c>
      <c r="K920" s="10">
        <v>21</v>
      </c>
      <c r="L920" s="10">
        <v>30</v>
      </c>
      <c r="M920" s="6" t="s">
        <v>375</v>
      </c>
    </row>
    <row r="921" spans="1:13">
      <c r="A921" s="6">
        <v>2023</v>
      </c>
      <c r="B921" s="6">
        <v>4</v>
      </c>
      <c r="C921" s="6" t="s">
        <v>62</v>
      </c>
      <c r="D921" s="6" t="s">
        <v>420</v>
      </c>
      <c r="E921" s="6" t="s">
        <v>373</v>
      </c>
      <c r="F921" s="6" t="str">
        <f>IF($M921="PADD I","PADD 1",IF($M921="PADD II","PADD 2",IF($M921="PADD III","PADD 3",IF($M921="PADD IV","PADD 4",IF($M921="PADD V","PADD 5","")))))</f>
        <v>PADD 2</v>
      </c>
      <c r="G921" s="6">
        <f>IF(AND($H921="ATMOS DISTILLATION",ISNUMBER(SEARCH("VPS",$I921))=FALSE,LEFT($I921,6)&lt;&gt;"VACUUM"),"CDU",IF($H921="FLUID CAT CRACKING","FCC",IF(OR($H921="HYDROCRACKING",$H921="RESID_HYDROCRACKING"),"Hydrocracker",IF($H921="REFORMING","Reformer",""))))</f>
        <v/>
      </c>
      <c r="H921" s="6" t="s">
        <v>378</v>
      </c>
      <c r="I921" s="6" t="s">
        <v>431</v>
      </c>
      <c r="J921" s="6" t="s">
        <v>345</v>
      </c>
      <c r="K921" s="10">
        <v>20.5</v>
      </c>
      <c r="L921" s="10">
        <v>20.5</v>
      </c>
      <c r="M921" s="6" t="s">
        <v>375</v>
      </c>
    </row>
    <row r="922" spans="1:13">
      <c r="A922" s="6">
        <v>2023</v>
      </c>
      <c r="B922" s="6">
        <v>4</v>
      </c>
      <c r="C922" s="6" t="s">
        <v>62</v>
      </c>
      <c r="D922" s="6" t="s">
        <v>680</v>
      </c>
      <c r="E922" s="6" t="s">
        <v>681</v>
      </c>
      <c r="F922" s="6" t="str">
        <f>IF($M922="PADD I","PADD 1",IF($M922="PADD II","PADD 2",IF($M922="PADD III","PADD 3",IF($M922="PADD IV","PADD 4",IF($M922="PADD V","PADD 5","")))))</f>
        <v>PADD 3</v>
      </c>
      <c r="G922" s="6">
        <f>IF(AND($H922="ATMOS DISTILLATION",ISNUMBER(SEARCH("VPS",$I922))=FALSE,LEFT($I922,6)&lt;&gt;"VACUUM"),"CDU",IF($H922="FLUID CAT CRACKING","FCC",IF(OR($H922="HYDROCRACKING",$H922="RESID_HYDROCRACKING"),"Hydrocracker",IF($H922="REFORMING","Reformer",""))))</f>
        <v/>
      </c>
      <c r="H922" s="6" t="s">
        <v>43</v>
      </c>
      <c r="I922" s="6" t="s">
        <v>694</v>
      </c>
      <c r="J922" s="6" t="s">
        <v>349</v>
      </c>
      <c r="K922" s="10">
        <v>20.46</v>
      </c>
      <c r="L922" s="10">
        <v>22</v>
      </c>
      <c r="M922" s="6" t="s">
        <v>371</v>
      </c>
    </row>
    <row r="923" spans="1:13">
      <c r="A923" s="6">
        <v>2023</v>
      </c>
      <c r="B923" s="6">
        <v>4</v>
      </c>
      <c r="C923" s="6" t="s">
        <v>62</v>
      </c>
      <c r="D923" s="6" t="s">
        <v>739</v>
      </c>
      <c r="E923" s="6" t="s">
        <v>405</v>
      </c>
      <c r="F923" s="6" t="str">
        <f>IF($M923="PADD I","PADD 1",IF($M923="PADD II","PADD 2",IF($M923="PADD III","PADD 3",IF($M923="PADD IV","PADD 4",IF($M923="PADD V","PADD 5","")))))</f>
        <v>PADD 2</v>
      </c>
      <c r="G923" s="6">
        <f>IF(AND($H923="ATMOS DISTILLATION",ISNUMBER(SEARCH("VPS",$I923))=FALSE,LEFT($I923,6)&lt;&gt;"VACUUM"),"CDU",IF($H923="FLUID CAT CRACKING","FCC",IF(OR($H923="HYDROCRACKING",$H923="RESID_HYDROCRACKING"),"Hydrocracker",IF($H923="REFORMING","Reformer",""))))</f>
        <v/>
      </c>
      <c r="H923" s="6" t="s">
        <v>378</v>
      </c>
      <c r="I923" s="6" t="s">
        <v>431</v>
      </c>
      <c r="J923" s="6" t="s">
        <v>349</v>
      </c>
      <c r="K923" s="10">
        <v>20.16</v>
      </c>
      <c r="L923" s="10">
        <v>32</v>
      </c>
      <c r="M923" s="6" t="s">
        <v>375</v>
      </c>
    </row>
    <row r="924" spans="1:13">
      <c r="A924" s="6">
        <v>2023</v>
      </c>
      <c r="B924" s="6">
        <v>4</v>
      </c>
      <c r="C924" s="6" t="s">
        <v>62</v>
      </c>
      <c r="D924" s="6" t="s">
        <v>496</v>
      </c>
      <c r="E924" s="6" t="s">
        <v>388</v>
      </c>
      <c r="F924" s="6" t="str">
        <f>IF($M924="PADD I","PADD 1",IF($M924="PADD II","PADD 2",IF($M924="PADD III","PADD 3",IF($M924="PADD IV","PADD 4",IF($M924="PADD V","PADD 5","")))))</f>
        <v>PADD 2</v>
      </c>
      <c r="G924" s="6" t="str">
        <f>IF(AND($H924="ATMOS DISTILLATION",ISNUMBER(SEARCH("VPS",$I924))=FALSE,LEFT($I924,6)&lt;&gt;"VACUUM"),"CDU",IF($H924="FLUID CAT CRACKING","FCC",IF(OR($H924="HYDROCRACKING",$H924="RESID_HYDROCRACKING"),"Hydrocracker",IF($H924="REFORMING","Reformer",""))))</f>
        <v>CDU</v>
      </c>
      <c r="H924" s="6" t="s">
        <v>38</v>
      </c>
      <c r="I924" s="6" t="s">
        <v>81</v>
      </c>
      <c r="J924" s="6" t="s">
        <v>349</v>
      </c>
      <c r="K924" s="10">
        <v>20</v>
      </c>
      <c r="L924" s="10">
        <v>20</v>
      </c>
      <c r="M924" s="6" t="s">
        <v>375</v>
      </c>
    </row>
    <row r="925" spans="1:13">
      <c r="A925" s="6">
        <v>2023</v>
      </c>
      <c r="B925" s="6">
        <v>4</v>
      </c>
      <c r="C925" s="6" t="s">
        <v>62</v>
      </c>
      <c r="D925" s="6" t="s">
        <v>372</v>
      </c>
      <c r="E925" s="6" t="s">
        <v>373</v>
      </c>
      <c r="F925" s="6" t="str">
        <f>IF($M925="PADD I","PADD 1",IF($M925="PADD II","PADD 2",IF($M925="PADD III","PADD 3",IF($M925="PADD IV","PADD 4",IF($M925="PADD V","PADD 5","")))))</f>
        <v>PADD 2</v>
      </c>
      <c r="G925" s="6" t="str">
        <f>IF(AND($H925="ATMOS DISTILLATION",ISNUMBER(SEARCH("VPS",$I925))=FALSE,LEFT($I925,6)&lt;&gt;"VACUUM"),"CDU",IF($H925="FLUID CAT CRACKING","FCC",IF(OR($H925="HYDROCRACKING",$H925="RESID_HYDROCRACKING"),"Hydrocracker",IF($H925="REFORMING","Reformer",""))))</f>
        <v>Hydrocracker</v>
      </c>
      <c r="H925" s="6" t="s">
        <v>444</v>
      </c>
      <c r="I925" s="6" t="s">
        <v>445</v>
      </c>
      <c r="J925" s="6" t="s">
        <v>345</v>
      </c>
      <c r="K925" s="10">
        <v>19.53</v>
      </c>
      <c r="L925" s="10">
        <v>31</v>
      </c>
      <c r="M925" s="6" t="s">
        <v>375</v>
      </c>
    </row>
    <row r="926" spans="1:13">
      <c r="A926" s="6">
        <v>2023</v>
      </c>
      <c r="B926" s="6">
        <v>4</v>
      </c>
      <c r="C926" s="6" t="s">
        <v>62</v>
      </c>
      <c r="D926" s="6" t="s">
        <v>322</v>
      </c>
      <c r="E926" s="6" t="s">
        <v>369</v>
      </c>
      <c r="F926" s="6" t="str">
        <f>IF($M926="PADD I","PADD 1",IF($M926="PADD II","PADD 2",IF($M926="PADD III","PADD 3",IF($M926="PADD IV","PADD 4",IF($M926="PADD V","PADD 5","")))))</f>
        <v>PADD 2</v>
      </c>
      <c r="G926" s="6">
        <f>IF(AND($H926="ATMOS DISTILLATION",ISNUMBER(SEARCH("VPS",$I926))=FALSE,LEFT($I926,6)&lt;&gt;"VACUUM"),"CDU",IF($H926="FLUID CAT CRACKING","FCC",IF(OR($H926="HYDROCRACKING",$H926="RESID_HYDROCRACKING"),"Hydrocracker",IF($H926="REFORMING","Reformer",""))))</f>
        <v/>
      </c>
      <c r="H926" s="6" t="s">
        <v>43</v>
      </c>
      <c r="I926" s="6" t="s">
        <v>688</v>
      </c>
      <c r="J926" s="6" t="s">
        <v>349</v>
      </c>
      <c r="K926" s="10">
        <v>18.55</v>
      </c>
      <c r="L926" s="10">
        <v>35</v>
      </c>
      <c r="M926" s="6" t="s">
        <v>375</v>
      </c>
    </row>
    <row r="927" spans="1:13">
      <c r="A927" s="6">
        <v>2023</v>
      </c>
      <c r="B927" s="6">
        <v>4</v>
      </c>
      <c r="C927" s="6" t="s">
        <v>62</v>
      </c>
      <c r="D927" s="6" t="s">
        <v>770</v>
      </c>
      <c r="E927" s="6" t="s">
        <v>660</v>
      </c>
      <c r="F927" s="6" t="str">
        <f>IF($M927="PADD I","PADD 1",IF($M927="PADD II","PADD 2",IF($M927="PADD III","PADD 3",IF($M927="PADD IV","PADD 4",IF($M927="PADD V","PADD 5","")))))</f>
        <v>PADD 3</v>
      </c>
      <c r="G927" s="6" t="str">
        <f>IF(AND($H927="ATMOS DISTILLATION",ISNUMBER(SEARCH("VPS",$I927))=FALSE,LEFT($I927,6)&lt;&gt;"VACUUM"),"CDU",IF($H927="FLUID CAT CRACKING","FCC",IF(OR($H927="HYDROCRACKING",$H927="RESID_HYDROCRACKING"),"Hydrocracker",IF($H927="REFORMING","Reformer",""))))</f>
        <v>Hydrocracker</v>
      </c>
      <c r="H927" s="6" t="s">
        <v>444</v>
      </c>
      <c r="I927" s="6" t="s">
        <v>14</v>
      </c>
      <c r="J927" s="6" t="s">
        <v>349</v>
      </c>
      <c r="K927" s="10">
        <v>18.5</v>
      </c>
      <c r="L927" s="10">
        <v>18.5</v>
      </c>
      <c r="M927" s="6" t="s">
        <v>371</v>
      </c>
    </row>
    <row r="928" spans="1:13">
      <c r="A928" s="6">
        <v>2023</v>
      </c>
      <c r="B928" s="6">
        <v>4</v>
      </c>
      <c r="C928" s="6" t="s">
        <v>62</v>
      </c>
      <c r="D928" s="6" t="s">
        <v>732</v>
      </c>
      <c r="E928" s="6" t="s">
        <v>733</v>
      </c>
      <c r="F928" s="6" t="str">
        <f>IF($M928="PADD I","PADD 1",IF($M928="PADD II","PADD 2",IF($M928="PADD III","PADD 3",IF($M928="PADD IV","PADD 4",IF($M928="PADD V","PADD 5","")))))</f>
        <v>PADD 4</v>
      </c>
      <c r="G928" s="6">
        <f>IF(AND($H928="ATMOS DISTILLATION",ISNUMBER(SEARCH("VPS",$I928))=FALSE,LEFT($I928,6)&lt;&gt;"VACUUM"),"CDU",IF($H928="FLUID CAT CRACKING","FCC",IF(OR($H928="HYDROCRACKING",$H928="RESID_HYDROCRACKING"),"Hydrocracker",IF($H928="REFORMING","Reformer",""))))</f>
        <v/>
      </c>
      <c r="H928" s="6" t="s">
        <v>43</v>
      </c>
      <c r="I928" s="6" t="s">
        <v>745</v>
      </c>
      <c r="J928" s="6" t="s">
        <v>349</v>
      </c>
      <c r="K928" s="10">
        <v>18.5</v>
      </c>
      <c r="L928" s="10">
        <v>18.5</v>
      </c>
      <c r="M928" s="6" t="s">
        <v>430</v>
      </c>
    </row>
    <row r="929" spans="1:13">
      <c r="A929" s="6">
        <v>2023</v>
      </c>
      <c r="B929" s="6">
        <v>4</v>
      </c>
      <c r="C929" s="6" t="s">
        <v>62</v>
      </c>
      <c r="D929" s="6" t="s">
        <v>675</v>
      </c>
      <c r="E929" s="6" t="s">
        <v>452</v>
      </c>
      <c r="F929" s="6" t="str">
        <f>IF($M929="PADD I","PADD 1",IF($M929="PADD II","PADD 2",IF($M929="PADD III","PADD 3",IF($M929="PADD IV","PADD 4",IF($M929="PADD V","PADD 5","")))))</f>
        <v>PADD 2</v>
      </c>
      <c r="G929" s="6" t="str">
        <f>IF(AND($H929="ATMOS DISTILLATION",ISNUMBER(SEARCH("VPS",$I929))=FALSE,LEFT($I929,6)&lt;&gt;"VACUUM"),"CDU",IF($H929="FLUID CAT CRACKING","FCC",IF(OR($H929="HYDROCRACKING",$H929="RESID_HYDROCRACKING"),"Hydrocracker",IF($H929="REFORMING","Reformer",""))))</f>
        <v>FCC</v>
      </c>
      <c r="H929" s="6" t="s">
        <v>376</v>
      </c>
      <c r="I929" s="6" t="s">
        <v>105</v>
      </c>
      <c r="J929" s="6" t="s">
        <v>345</v>
      </c>
      <c r="K929" s="10">
        <v>18.33</v>
      </c>
      <c r="L929" s="10">
        <v>39</v>
      </c>
      <c r="M929" s="6" t="s">
        <v>375</v>
      </c>
    </row>
    <row r="930" spans="1:13">
      <c r="A930" s="6">
        <v>2023</v>
      </c>
      <c r="B930" s="6">
        <v>4</v>
      </c>
      <c r="C930" s="6" t="s">
        <v>62</v>
      </c>
      <c r="D930" s="6" t="s">
        <v>372</v>
      </c>
      <c r="E930" s="6" t="s">
        <v>373</v>
      </c>
      <c r="F930" s="6" t="str">
        <f>IF($M930="PADD I","PADD 1",IF($M930="PADD II","PADD 2",IF($M930="PADD III","PADD 3",IF($M930="PADD IV","PADD 4",IF($M930="PADD V","PADD 5","")))))</f>
        <v>PADD 2</v>
      </c>
      <c r="G930" s="6">
        <f>IF(AND($H930="ATMOS DISTILLATION",ISNUMBER(SEARCH("VPS",$I930))=FALSE,LEFT($I930,6)&lt;&gt;"VACUUM"),"CDU",IF($H930="FLUID CAT CRACKING","FCC",IF(OR($H930="HYDROCRACKING",$H930="RESID_HYDROCRACKING"),"Hydrocracker",IF($H930="REFORMING","Reformer",""))))</f>
        <v/>
      </c>
      <c r="H930" s="6" t="s">
        <v>460</v>
      </c>
      <c r="I930" s="6" t="s">
        <v>505</v>
      </c>
      <c r="J930" s="6" t="s">
        <v>345</v>
      </c>
      <c r="K930" s="10">
        <v>18</v>
      </c>
      <c r="L930" s="10">
        <v>18</v>
      </c>
      <c r="M930" s="6" t="s">
        <v>375</v>
      </c>
    </row>
    <row r="931" spans="1:13">
      <c r="A931" s="6">
        <v>2023</v>
      </c>
      <c r="B931" s="6">
        <v>4</v>
      </c>
      <c r="C931" s="6" t="s">
        <v>62</v>
      </c>
      <c r="D931" s="6" t="s">
        <v>526</v>
      </c>
      <c r="E931" s="6" t="s">
        <v>405</v>
      </c>
      <c r="F931" s="6" t="str">
        <f>IF($M931="PADD I","PADD 1",IF($M931="PADD II","PADD 2",IF($M931="PADD III","PADD 3",IF($M931="PADD IV","PADD 4",IF($M931="PADD V","PADD 5","")))))</f>
        <v>PADD 3</v>
      </c>
      <c r="G931" s="6" t="str">
        <f>IF(AND($H931="ATMOS DISTILLATION",ISNUMBER(SEARCH("VPS",$I931))=FALSE,LEFT($I931,6)&lt;&gt;"VACUUM"),"CDU",IF($H931="FLUID CAT CRACKING","FCC",IF(OR($H931="HYDROCRACKING",$H931="RESID_HYDROCRACKING"),"Hydrocracker",IF($H931="REFORMING","Reformer",""))))</f>
        <v>Hydrocracker</v>
      </c>
      <c r="H931" s="6" t="s">
        <v>444</v>
      </c>
      <c r="I931" s="6" t="s">
        <v>351</v>
      </c>
      <c r="J931" s="6" t="s">
        <v>345</v>
      </c>
      <c r="K931" s="10">
        <v>18</v>
      </c>
      <c r="L931" s="10">
        <v>45</v>
      </c>
      <c r="M931" s="6" t="s">
        <v>371</v>
      </c>
    </row>
    <row r="932" spans="1:13">
      <c r="A932" s="6">
        <v>2023</v>
      </c>
      <c r="B932" s="6">
        <v>4</v>
      </c>
      <c r="C932" s="6" t="s">
        <v>62</v>
      </c>
      <c r="D932" s="6" t="s">
        <v>387</v>
      </c>
      <c r="E932" s="6" t="s">
        <v>388</v>
      </c>
      <c r="F932" s="6" t="str">
        <f>IF($M932="PADD I","PADD 1",IF($M932="PADD II","PADD 2",IF($M932="PADD III","PADD 3",IF($M932="PADD IV","PADD 4",IF($M932="PADD V","PADD 5","")))))</f>
        <v>PADD 3</v>
      </c>
      <c r="G932" s="6" t="str">
        <f>IF(AND($H932="ATMOS DISTILLATION",ISNUMBER(SEARCH("VPS",$I932))=FALSE,LEFT($I932,6)&lt;&gt;"VACUUM"),"CDU",IF($H932="FLUID CAT CRACKING","FCC",IF(OR($H932="HYDROCRACKING",$H932="RESID_HYDROCRACKING"),"Hydrocracker",IF($H932="REFORMING","Reformer",""))))</f>
        <v>Reformer</v>
      </c>
      <c r="H932" s="6" t="s">
        <v>421</v>
      </c>
      <c r="I932" s="6" t="s">
        <v>443</v>
      </c>
      <c r="J932" s="6" t="s">
        <v>349</v>
      </c>
      <c r="K932" s="10">
        <v>17.25</v>
      </c>
      <c r="L932" s="10">
        <v>75</v>
      </c>
      <c r="M932" s="6" t="s">
        <v>371</v>
      </c>
    </row>
    <row r="933" spans="1:13">
      <c r="A933" s="6">
        <v>2023</v>
      </c>
      <c r="B933" s="6">
        <v>4</v>
      </c>
      <c r="C933" s="6" t="s">
        <v>62</v>
      </c>
      <c r="D933" s="6" t="s">
        <v>739</v>
      </c>
      <c r="E933" s="6" t="s">
        <v>405</v>
      </c>
      <c r="F933" s="6" t="str">
        <f>IF($M933="PADD I","PADD 1",IF($M933="PADD II","PADD 2",IF($M933="PADD III","PADD 3",IF($M933="PADD IV","PADD 4",IF($M933="PADD V","PADD 5","")))))</f>
        <v>PADD 2</v>
      </c>
      <c r="G933" s="6" t="str">
        <f>IF(AND($H933="ATMOS DISTILLATION",ISNUMBER(SEARCH("VPS",$I933))=FALSE,LEFT($I933,6)&lt;&gt;"VACUUM"),"CDU",IF($H933="FLUID CAT CRACKING","FCC",IF(OR($H933="HYDROCRACKING",$H933="RESID_HYDROCRACKING"),"Hydrocracker",IF($H933="REFORMING","Reformer",""))))</f>
        <v>Reformer</v>
      </c>
      <c r="H933" s="6" t="s">
        <v>421</v>
      </c>
      <c r="I933" s="6" t="s">
        <v>782</v>
      </c>
      <c r="J933" s="6" t="s">
        <v>349</v>
      </c>
      <c r="K933" s="10">
        <v>17.1</v>
      </c>
      <c r="L933" s="10">
        <v>30</v>
      </c>
      <c r="M933" s="6" t="s">
        <v>375</v>
      </c>
    </row>
    <row r="934" spans="1:13">
      <c r="A934" s="6">
        <v>2023</v>
      </c>
      <c r="B934" s="6">
        <v>4</v>
      </c>
      <c r="C934" s="6" t="s">
        <v>62</v>
      </c>
      <c r="D934" s="6" t="s">
        <v>739</v>
      </c>
      <c r="E934" s="6" t="s">
        <v>405</v>
      </c>
      <c r="F934" s="6" t="str">
        <f>IF($M934="PADD I","PADD 1",IF($M934="PADD II","PADD 2",IF($M934="PADD III","PADD 3",IF($M934="PADD IV","PADD 4",IF($M934="PADD V","PADD 5","")))))</f>
        <v>PADD 2</v>
      </c>
      <c r="G934" s="6">
        <f>IF(AND($H934="ATMOS DISTILLATION",ISNUMBER(SEARCH("VPS",$I934))=FALSE,LEFT($I934,6)&lt;&gt;"VACUUM"),"CDU",IF($H934="FLUID CAT CRACKING","FCC",IF(OR($H934="HYDROCRACKING",$H934="RESID_HYDROCRACKING"),"Hydrocracker",IF($H934="REFORMING","Reformer",""))))</f>
        <v/>
      </c>
      <c r="H934" s="6" t="s">
        <v>43</v>
      </c>
      <c r="I934" s="6" t="s">
        <v>493</v>
      </c>
      <c r="J934" s="6" t="s">
        <v>349</v>
      </c>
      <c r="K934" s="10">
        <v>16.695</v>
      </c>
      <c r="L934" s="10">
        <v>26.5</v>
      </c>
      <c r="M934" s="6" t="s">
        <v>375</v>
      </c>
    </row>
    <row r="935" spans="1:13">
      <c r="A935" s="6">
        <v>2023</v>
      </c>
      <c r="B935" s="6">
        <v>4</v>
      </c>
      <c r="C935" s="6" t="s">
        <v>62</v>
      </c>
      <c r="D935" s="6" t="s">
        <v>465</v>
      </c>
      <c r="E935" s="6" t="s">
        <v>369</v>
      </c>
      <c r="F935" s="6" t="str">
        <f>IF($M935="PADD I","PADD 1",IF($M935="PADD II","PADD 2",IF($M935="PADD III","PADD 3",IF($M935="PADD IV","PADD 4",IF($M935="PADD V","PADD 5","")))))</f>
        <v>PADD 5</v>
      </c>
      <c r="G935" s="6" t="str">
        <f>IF(AND($H935="ATMOS DISTILLATION",ISNUMBER(SEARCH("VPS",$I935))=FALSE,LEFT($I935,6)&lt;&gt;"VACUUM"),"CDU",IF($H935="FLUID CAT CRACKING","FCC",IF(OR($H935="HYDROCRACKING",$H935="RESID_HYDROCRACKING"),"Hydrocracker",IF($H935="REFORMING","Reformer",""))))</f>
        <v>FCC</v>
      </c>
      <c r="H935" s="6" t="s">
        <v>376</v>
      </c>
      <c r="I935" s="6" t="s">
        <v>105</v>
      </c>
      <c r="J935" s="6" t="s">
        <v>349</v>
      </c>
      <c r="K935" s="10">
        <v>16.5</v>
      </c>
      <c r="L935" s="10">
        <v>50</v>
      </c>
      <c r="M935" s="6" t="s">
        <v>386</v>
      </c>
    </row>
    <row r="936" spans="1:13">
      <c r="A936" s="6">
        <v>2023</v>
      </c>
      <c r="B936" s="6">
        <v>4</v>
      </c>
      <c r="C936" s="6" t="s">
        <v>62</v>
      </c>
      <c r="D936" s="6" t="s">
        <v>408</v>
      </c>
      <c r="E936" s="6" t="s">
        <v>409</v>
      </c>
      <c r="F936" s="6" t="str">
        <f>IF($M936="PADD I","PADD 1",IF($M936="PADD II","PADD 2",IF($M936="PADD III","PADD 3",IF($M936="PADD IV","PADD 4",IF($M936="PADD V","PADD 5","")))))</f>
        <v>PADD 3</v>
      </c>
      <c r="G936" s="6">
        <f>IF(AND($H936="ATMOS DISTILLATION",ISNUMBER(SEARCH("VPS",$I936))=FALSE,LEFT($I936,6)&lt;&gt;"VACUUM"),"CDU",IF($H936="FLUID CAT CRACKING","FCC",IF(OR($H936="HYDROCRACKING",$H936="RESID_HYDROCRACKING"),"Hydrocracker",IF($H936="REFORMING","Reformer",""))))</f>
        <v/>
      </c>
      <c r="H936" s="6" t="s">
        <v>435</v>
      </c>
      <c r="I936" s="6" t="s">
        <v>459</v>
      </c>
      <c r="J936" s="6" t="s">
        <v>345</v>
      </c>
      <c r="K936" s="10">
        <v>16.2</v>
      </c>
      <c r="L936" s="10">
        <v>60</v>
      </c>
      <c r="M936" s="6" t="s">
        <v>371</v>
      </c>
    </row>
    <row r="937" spans="1:13">
      <c r="A937" s="6">
        <v>2023</v>
      </c>
      <c r="B937" s="6">
        <v>4</v>
      </c>
      <c r="C937" s="6" t="s">
        <v>62</v>
      </c>
      <c r="D937" s="6" t="s">
        <v>675</v>
      </c>
      <c r="E937" s="6" t="s">
        <v>452</v>
      </c>
      <c r="F937" s="6" t="str">
        <f>IF($M937="PADD I","PADD 1",IF($M937="PADD II","PADD 2",IF($M937="PADD III","PADD 3",IF($M937="PADD IV","PADD 4",IF($M937="PADD V","PADD 5","")))))</f>
        <v>PADD 2</v>
      </c>
      <c r="G937" s="6">
        <f>IF(AND($H937="ATMOS DISTILLATION",ISNUMBER(SEARCH("VPS",$I937))=FALSE,LEFT($I937,6)&lt;&gt;"VACUUM"),"CDU",IF($H937="FLUID CAT CRACKING","FCC",IF(OR($H937="HYDROCRACKING",$H937="RESID_HYDROCRACKING"),"Hydrocracker",IF($H937="REFORMING","Reformer",""))))</f>
        <v/>
      </c>
      <c r="H937" s="6" t="s">
        <v>43</v>
      </c>
      <c r="I937" s="6" t="s">
        <v>695</v>
      </c>
      <c r="J937" s="6" t="s">
        <v>349</v>
      </c>
      <c r="K937" s="10">
        <v>16.08</v>
      </c>
      <c r="L937" s="10">
        <v>24</v>
      </c>
      <c r="M937" s="6" t="s">
        <v>375</v>
      </c>
    </row>
    <row r="938" spans="1:13">
      <c r="A938" s="6">
        <v>2023</v>
      </c>
      <c r="B938" s="6">
        <v>4</v>
      </c>
      <c r="C938" s="6" t="s">
        <v>62</v>
      </c>
      <c r="D938" s="6" t="s">
        <v>770</v>
      </c>
      <c r="E938" s="6" t="s">
        <v>660</v>
      </c>
      <c r="F938" s="6" t="str">
        <f>IF($M938="PADD I","PADD 1",IF($M938="PADD II","PADD 2",IF($M938="PADD III","PADD 3",IF($M938="PADD IV","PADD 4",IF($M938="PADD V","PADD 5","")))))</f>
        <v>PADD 3</v>
      </c>
      <c r="G938" s="6" t="str">
        <f>IF(AND($H938="ATMOS DISTILLATION",ISNUMBER(SEARCH("VPS",$I938))=FALSE,LEFT($I938,6)&lt;&gt;"VACUUM"),"CDU",IF($H938="FLUID CAT CRACKING","FCC",IF(OR($H938="HYDROCRACKING",$H938="RESID_HYDROCRACKING"),"Hydrocracker",IF($H938="REFORMING","Reformer",""))))</f>
        <v>Reformer</v>
      </c>
      <c r="H938" s="6" t="s">
        <v>421</v>
      </c>
      <c r="I938" s="6" t="s">
        <v>783</v>
      </c>
      <c r="J938" s="6" t="s">
        <v>349</v>
      </c>
      <c r="K938" s="10">
        <v>16</v>
      </c>
      <c r="L938" s="10">
        <v>16</v>
      </c>
      <c r="M938" s="6" t="s">
        <v>371</v>
      </c>
    </row>
    <row r="939" spans="1:13">
      <c r="A939" s="6">
        <v>2023</v>
      </c>
      <c r="B939" s="6">
        <v>4</v>
      </c>
      <c r="C939" s="6" t="s">
        <v>62</v>
      </c>
      <c r="D939" s="6" t="s">
        <v>732</v>
      </c>
      <c r="E939" s="6" t="s">
        <v>733</v>
      </c>
      <c r="F939" s="6" t="str">
        <f>IF($M939="PADD I","PADD 1",IF($M939="PADD II","PADD 2",IF($M939="PADD III","PADD 3",IF($M939="PADD IV","PADD 4",IF($M939="PADD V","PADD 5","")))))</f>
        <v>PADD 4</v>
      </c>
      <c r="G939" s="6" t="str">
        <f>IF(AND($H939="ATMOS DISTILLATION",ISNUMBER(SEARCH("VPS",$I939))=FALSE,LEFT($I939,6)&lt;&gt;"VACUUM"),"CDU",IF($H939="FLUID CAT CRACKING","FCC",IF(OR($H939="HYDROCRACKING",$H939="RESID_HYDROCRACKING"),"Hydrocracker",IF($H939="REFORMING","Reformer",""))))</f>
        <v>FCC</v>
      </c>
      <c r="H939" s="6" t="s">
        <v>376</v>
      </c>
      <c r="I939" s="6" t="s">
        <v>105</v>
      </c>
      <c r="J939" s="6" t="s">
        <v>349</v>
      </c>
      <c r="K939" s="10">
        <v>16</v>
      </c>
      <c r="L939" s="10">
        <v>16</v>
      </c>
      <c r="M939" s="6" t="s">
        <v>430</v>
      </c>
    </row>
    <row r="940" spans="1:13">
      <c r="A940" s="6">
        <v>2023</v>
      </c>
      <c r="B940" s="6">
        <v>4</v>
      </c>
      <c r="C940" s="6" t="s">
        <v>62</v>
      </c>
      <c r="D940" s="6" t="s">
        <v>322</v>
      </c>
      <c r="E940" s="6" t="s">
        <v>369</v>
      </c>
      <c r="F940" s="6" t="str">
        <f>IF($M940="PADD I","PADD 1",IF($M940="PADD II","PADD 2",IF($M940="PADD III","PADD 3",IF($M940="PADD IV","PADD 4",IF($M940="PADD V","PADD 5","")))))</f>
        <v>PADD 2</v>
      </c>
      <c r="G940" s="6">
        <f>IF(AND($H940="ATMOS DISTILLATION",ISNUMBER(SEARCH("VPS",$I940))=FALSE,LEFT($I940,6)&lt;&gt;"VACUUM"),"CDU",IF($H940="FLUID CAT CRACKING","FCC",IF(OR($H940="HYDROCRACKING",$H940="RESID_HYDROCRACKING"),"Hydrocracker",IF($H940="REFORMING","Reformer",""))))</f>
        <v/>
      </c>
      <c r="H940" s="6" t="s">
        <v>43</v>
      </c>
      <c r="I940" s="6" t="s">
        <v>691</v>
      </c>
      <c r="J940" s="6" t="s">
        <v>349</v>
      </c>
      <c r="K940" s="10">
        <v>15.9</v>
      </c>
      <c r="L940" s="10">
        <v>30</v>
      </c>
      <c r="M940" s="6" t="s">
        <v>375</v>
      </c>
    </row>
    <row r="941" spans="1:13">
      <c r="A941" s="6">
        <v>2023</v>
      </c>
      <c r="B941" s="6">
        <v>4</v>
      </c>
      <c r="C941" s="6" t="s">
        <v>62</v>
      </c>
      <c r="D941" s="6" t="s">
        <v>680</v>
      </c>
      <c r="E941" s="6" t="s">
        <v>681</v>
      </c>
      <c r="F941" s="6" t="str">
        <f>IF($M941="PADD I","PADD 1",IF($M941="PADD II","PADD 2",IF($M941="PADD III","PADD 3",IF($M941="PADD IV","PADD 4",IF($M941="PADD V","PADD 5","")))))</f>
        <v>PADD 3</v>
      </c>
      <c r="G941" s="6" t="str">
        <f>IF(AND($H941="ATMOS DISTILLATION",ISNUMBER(SEARCH("VPS",$I941))=FALSE,LEFT($I941,6)&lt;&gt;"VACUUM"),"CDU",IF($H941="FLUID CAT CRACKING","FCC",IF(OR($H941="HYDROCRACKING",$H941="RESID_HYDROCRACKING"),"Hydrocracker",IF($H941="REFORMING","Reformer",""))))</f>
        <v>Reformer</v>
      </c>
      <c r="H941" s="6" t="s">
        <v>421</v>
      </c>
      <c r="I941" s="6" t="s">
        <v>539</v>
      </c>
      <c r="J941" s="6" t="s">
        <v>349</v>
      </c>
      <c r="K941" s="10">
        <v>15.81</v>
      </c>
      <c r="L941" s="10">
        <v>17</v>
      </c>
      <c r="M941" s="6" t="s">
        <v>371</v>
      </c>
    </row>
    <row r="942" spans="1:13">
      <c r="A942" s="6">
        <v>2023</v>
      </c>
      <c r="B942" s="6">
        <v>4</v>
      </c>
      <c r="C942" s="6" t="s">
        <v>62</v>
      </c>
      <c r="D942" s="6" t="s">
        <v>680</v>
      </c>
      <c r="E942" s="6" t="s">
        <v>681</v>
      </c>
      <c r="F942" s="6" t="str">
        <f>IF($M942="PADD I","PADD 1",IF($M942="PADD II","PADD 2",IF($M942="PADD III","PADD 3",IF($M942="PADD IV","PADD 4",IF($M942="PADD V","PADD 5","")))))</f>
        <v>PADD 3</v>
      </c>
      <c r="G942" s="6">
        <f>IF(AND($H942="ATMOS DISTILLATION",ISNUMBER(SEARCH("VPS",$I942))=FALSE,LEFT($I942,6)&lt;&gt;"VACUUM"),"CDU",IF($H942="FLUID CAT CRACKING","FCC",IF(OR($H942="HYDROCRACKING",$H942="RESID_HYDROCRACKING"),"Hydrocracker",IF($H942="REFORMING","Reformer",""))))</f>
        <v/>
      </c>
      <c r="H942" s="6" t="s">
        <v>43</v>
      </c>
      <c r="I942" s="6" t="s">
        <v>702</v>
      </c>
      <c r="J942" s="6" t="s">
        <v>349</v>
      </c>
      <c r="K942" s="10">
        <v>15.81</v>
      </c>
      <c r="L942" s="10">
        <v>17</v>
      </c>
      <c r="M942" s="6" t="s">
        <v>371</v>
      </c>
    </row>
    <row r="943" spans="1:13">
      <c r="A943" s="6">
        <v>2023</v>
      </c>
      <c r="B943" s="6">
        <v>4</v>
      </c>
      <c r="C943" s="6" t="s">
        <v>62</v>
      </c>
      <c r="D943" s="6" t="s">
        <v>602</v>
      </c>
      <c r="E943" s="6" t="s">
        <v>369</v>
      </c>
      <c r="F943" s="6" t="str">
        <f>IF($M943="PADD I","PADD 1",IF($M943="PADD II","PADD 2",IF($M943="PADD III","PADD 3",IF($M943="PADD IV","PADD 4",IF($M943="PADD V","PADD 5","")))))</f>
        <v>PADD 2</v>
      </c>
      <c r="G943" s="6" t="str">
        <f>IF(AND($H943="ATMOS DISTILLATION",ISNUMBER(SEARCH("VPS",$I943))=FALSE,LEFT($I943,6)&lt;&gt;"VACUUM"),"CDU",IF($H943="FLUID CAT CRACKING","FCC",IF(OR($H943="HYDROCRACKING",$H943="RESID_HYDROCRACKING"),"Hydrocracker",IF($H943="REFORMING","Reformer",""))))</f>
        <v>Reformer</v>
      </c>
      <c r="H943" s="6" t="s">
        <v>421</v>
      </c>
      <c r="I943" s="6" t="s">
        <v>697</v>
      </c>
      <c r="J943" s="6" t="s">
        <v>349</v>
      </c>
      <c r="K943" s="10">
        <v>15.4</v>
      </c>
      <c r="L943" s="10">
        <v>20</v>
      </c>
      <c r="M943" s="6" t="s">
        <v>375</v>
      </c>
    </row>
    <row r="944" spans="1:13">
      <c r="A944" s="6">
        <v>2023</v>
      </c>
      <c r="B944" s="6">
        <v>4</v>
      </c>
      <c r="C944" s="6" t="s">
        <v>62</v>
      </c>
      <c r="D944" s="6" t="s">
        <v>48</v>
      </c>
      <c r="E944" s="6" t="s">
        <v>388</v>
      </c>
      <c r="F944" s="6" t="str">
        <f>IF($M944="PADD I","PADD 1",IF($M944="PADD II","PADD 2",IF($M944="PADD III","PADD 3",IF($M944="PADD IV","PADD 4",IF($M944="PADD V","PADD 5","")))))</f>
        <v>PADD 2</v>
      </c>
      <c r="G944" s="6">
        <f>IF(AND($H944="ATMOS DISTILLATION",ISNUMBER(SEARCH("VPS",$I944))=FALSE,LEFT($I944,6)&lt;&gt;"VACUUM"),"CDU",IF($H944="FLUID CAT CRACKING","FCC",IF(OR($H944="HYDROCRACKING",$H944="RESID_HYDROCRACKING"),"Hydrocracker",IF($H944="REFORMING","Reformer",""))))</f>
        <v/>
      </c>
      <c r="H944" s="6" t="s">
        <v>435</v>
      </c>
      <c r="I944" s="6" t="s">
        <v>754</v>
      </c>
      <c r="J944" s="6" t="s">
        <v>349</v>
      </c>
      <c r="K944" s="10">
        <v>15</v>
      </c>
      <c r="L944" s="10">
        <v>15</v>
      </c>
      <c r="M944" s="6" t="s">
        <v>375</v>
      </c>
    </row>
    <row r="945" spans="1:13">
      <c r="A945" s="6">
        <v>2023</v>
      </c>
      <c r="B945" s="6">
        <v>4</v>
      </c>
      <c r="C945" s="6" t="s">
        <v>62</v>
      </c>
      <c r="D945" s="6" t="s">
        <v>748</v>
      </c>
      <c r="E945" s="6" t="s">
        <v>388</v>
      </c>
      <c r="F945" s="6" t="str">
        <f>IF($M945="PADD I","PADD 1",IF($M945="PADD II","PADD 2",IF($M945="PADD III","PADD 3",IF($M945="PADD IV","PADD 4",IF($M945="PADD V","PADD 5","")))))</f>
        <v>PADD 3</v>
      </c>
      <c r="G945" s="6" t="str">
        <f>IF(AND($H945="ATMOS DISTILLATION",ISNUMBER(SEARCH("VPS",$I945))=FALSE,LEFT($I945,6)&lt;&gt;"VACUUM"),"CDU",IF($H945="FLUID CAT CRACKING","FCC",IF(OR($H945="HYDROCRACKING",$H945="RESID_HYDROCRACKING"),"Hydrocracker",IF($H945="REFORMING","Reformer",""))))</f>
        <v>Reformer</v>
      </c>
      <c r="H945" s="6" t="s">
        <v>421</v>
      </c>
      <c r="I945" s="6" t="s">
        <v>764</v>
      </c>
      <c r="J945" s="6" t="s">
        <v>349</v>
      </c>
      <c r="K945" s="10">
        <v>15</v>
      </c>
      <c r="L945" s="10">
        <v>15</v>
      </c>
      <c r="M945" s="6" t="s">
        <v>371</v>
      </c>
    </row>
    <row r="946" spans="1:13">
      <c r="A946" s="6">
        <v>2023</v>
      </c>
      <c r="B946" s="6">
        <v>4</v>
      </c>
      <c r="C946" s="6" t="s">
        <v>62</v>
      </c>
      <c r="D946" s="6" t="s">
        <v>770</v>
      </c>
      <c r="E946" s="6" t="s">
        <v>660</v>
      </c>
      <c r="F946" s="6" t="str">
        <f>IF($M946="PADD I","PADD 1",IF($M946="PADD II","PADD 2",IF($M946="PADD III","PADD 3",IF($M946="PADD IV","PADD 4",IF($M946="PADD V","PADD 5","")))))</f>
        <v>PADD 3</v>
      </c>
      <c r="G946" s="6">
        <f>IF(AND($H946="ATMOS DISTILLATION",ISNUMBER(SEARCH("VPS",$I946))=FALSE,LEFT($I946,6)&lt;&gt;"VACUUM"),"CDU",IF($H946="FLUID CAT CRACKING","FCC",IF(OR($H946="HYDROCRACKING",$H946="RESID_HYDROCRACKING"),"Hydrocracker",IF($H946="REFORMING","Reformer",""))))</f>
        <v/>
      </c>
      <c r="H946" s="6" t="s">
        <v>43</v>
      </c>
      <c r="I946" s="6" t="s">
        <v>784</v>
      </c>
      <c r="J946" s="6" t="s">
        <v>349</v>
      </c>
      <c r="K946" s="10">
        <v>15</v>
      </c>
      <c r="L946" s="10">
        <v>15</v>
      </c>
      <c r="M946" s="6" t="s">
        <v>371</v>
      </c>
    </row>
    <row r="947" spans="1:13">
      <c r="A947" s="6">
        <v>2023</v>
      </c>
      <c r="B947" s="6">
        <v>4</v>
      </c>
      <c r="C947" s="6" t="s">
        <v>62</v>
      </c>
      <c r="D947" s="6" t="s">
        <v>732</v>
      </c>
      <c r="E947" s="6" t="s">
        <v>733</v>
      </c>
      <c r="F947" s="6" t="str">
        <f>IF($M947="PADD I","PADD 1",IF($M947="PADD II","PADD 2",IF($M947="PADD III","PADD 3",IF($M947="PADD IV","PADD 4",IF($M947="PADD V","PADD 5","")))))</f>
        <v>PADD 4</v>
      </c>
      <c r="G947" s="6">
        <f>IF(AND($H947="ATMOS DISTILLATION",ISNUMBER(SEARCH("VPS",$I947))=FALSE,LEFT($I947,6)&lt;&gt;"VACUUM"),"CDU",IF($H947="FLUID CAT CRACKING","FCC",IF(OR($H947="HYDROCRACKING",$H947="RESID_HYDROCRACKING"),"Hydrocracker",IF($H947="REFORMING","Reformer",""))))</f>
        <v/>
      </c>
      <c r="H947" s="6" t="s">
        <v>435</v>
      </c>
      <c r="I947" s="6" t="s">
        <v>441</v>
      </c>
      <c r="J947" s="6" t="s">
        <v>349</v>
      </c>
      <c r="K947" s="10">
        <v>15</v>
      </c>
      <c r="L947" s="10">
        <v>15</v>
      </c>
      <c r="M947" s="6" t="s">
        <v>430</v>
      </c>
    </row>
    <row r="948" spans="1:13">
      <c r="A948" s="6">
        <v>2023</v>
      </c>
      <c r="B948" s="6">
        <v>4</v>
      </c>
      <c r="C948" s="6" t="s">
        <v>62</v>
      </c>
      <c r="D948" s="6" t="s">
        <v>732</v>
      </c>
      <c r="E948" s="6" t="s">
        <v>733</v>
      </c>
      <c r="F948" s="6" t="str">
        <f>IF($M948="PADD I","PADD 1",IF($M948="PADD II","PADD 2",IF($M948="PADD III","PADD 3",IF($M948="PADD IV","PADD 4",IF($M948="PADD V","PADD 5","")))))</f>
        <v>PADD 4</v>
      </c>
      <c r="G948" s="6">
        <f>IF(AND($H948="ATMOS DISTILLATION",ISNUMBER(SEARCH("VPS",$I948))=FALSE,LEFT($I948,6)&lt;&gt;"VACUUM"),"CDU",IF($H948="FLUID CAT CRACKING","FCC",IF(OR($H948="HYDROCRACKING",$H948="RESID_HYDROCRACKING"),"Hydrocracker",IF($H948="REFORMING","Reformer",""))))</f>
        <v/>
      </c>
      <c r="H948" s="6" t="s">
        <v>43</v>
      </c>
      <c r="I948" s="6" t="s">
        <v>746</v>
      </c>
      <c r="J948" s="6" t="s">
        <v>349</v>
      </c>
      <c r="K948" s="10">
        <v>15</v>
      </c>
      <c r="L948" s="10">
        <v>15</v>
      </c>
      <c r="M948" s="6" t="s">
        <v>430</v>
      </c>
    </row>
    <row r="949" spans="1:13">
      <c r="A949" s="6">
        <v>2023</v>
      </c>
      <c r="B949" s="6">
        <v>4</v>
      </c>
      <c r="C949" s="6" t="s">
        <v>62</v>
      </c>
      <c r="D949" s="6" t="s">
        <v>732</v>
      </c>
      <c r="E949" s="6" t="s">
        <v>733</v>
      </c>
      <c r="F949" s="6" t="str">
        <f>IF($M949="PADD I","PADD 1",IF($M949="PADD II","PADD 2",IF($M949="PADD III","PADD 3",IF($M949="PADD IV","PADD 4",IF($M949="PADD V","PADD 5","")))))</f>
        <v>PADD 4</v>
      </c>
      <c r="G949" s="6" t="str">
        <f>IF(AND($H949="ATMOS DISTILLATION",ISNUMBER(SEARCH("VPS",$I949))=FALSE,LEFT($I949,6)&lt;&gt;"VACUUM"),"CDU",IF($H949="FLUID CAT CRACKING","FCC",IF(OR($H949="HYDROCRACKING",$H949="RESID_HYDROCRACKING"),"Hydrocracker",IF($H949="REFORMING","Reformer",""))))</f>
        <v>Hydrocracker</v>
      </c>
      <c r="H949" s="6" t="s">
        <v>444</v>
      </c>
      <c r="I949" s="6" t="s">
        <v>707</v>
      </c>
      <c r="J949" s="6" t="s">
        <v>349</v>
      </c>
      <c r="K949" s="10">
        <v>15</v>
      </c>
      <c r="L949" s="10">
        <v>15</v>
      </c>
      <c r="M949" s="6" t="s">
        <v>430</v>
      </c>
    </row>
    <row r="950" spans="1:13">
      <c r="A950" s="6">
        <v>2023</v>
      </c>
      <c r="B950" s="6">
        <v>4</v>
      </c>
      <c r="C950" s="6" t="s">
        <v>62</v>
      </c>
      <c r="D950" s="6" t="s">
        <v>415</v>
      </c>
      <c r="E950" s="6" t="s">
        <v>416</v>
      </c>
      <c r="F950" s="6" t="str">
        <f>IF($M950="PADD I","PADD 1",IF($M950="PADD II","PADD 2",IF($M950="PADD III","PADD 3",IF($M950="PADD IV","PADD 4",IF($M950="PADD V","PADD 5","")))))</f>
        <v>PADD 3</v>
      </c>
      <c r="G950" s="6" t="str">
        <f>IF(AND($H950="ATMOS DISTILLATION",ISNUMBER(SEARCH("VPS",$I950))=FALSE,LEFT($I950,6)&lt;&gt;"VACUUM"),"CDU",IF($H950="FLUID CAT CRACKING","FCC",IF(OR($H950="HYDROCRACKING",$H950="RESID_HYDROCRACKING"),"Hydrocracker",IF($H950="REFORMING","Reformer",""))))</f>
        <v>FCC</v>
      </c>
      <c r="H950" s="6" t="s">
        <v>376</v>
      </c>
      <c r="I950" s="6" t="s">
        <v>425</v>
      </c>
      <c r="J950" s="6" t="s">
        <v>345</v>
      </c>
      <c r="K950" s="10">
        <v>15</v>
      </c>
      <c r="L950" s="10">
        <v>50</v>
      </c>
      <c r="M950" s="6" t="s">
        <v>371</v>
      </c>
    </row>
    <row r="951" spans="1:13">
      <c r="A951" s="6">
        <v>2023</v>
      </c>
      <c r="B951" s="6">
        <v>4</v>
      </c>
      <c r="C951" s="6" t="s">
        <v>62</v>
      </c>
      <c r="D951" s="6" t="s">
        <v>770</v>
      </c>
      <c r="E951" s="6" t="s">
        <v>660</v>
      </c>
      <c r="F951" s="6" t="str">
        <f>IF($M951="PADD I","PADD 1",IF($M951="PADD II","PADD 2",IF($M951="PADD III","PADD 3",IF($M951="PADD IV","PADD 4",IF($M951="PADD V","PADD 5","")))))</f>
        <v>PADD 3</v>
      </c>
      <c r="G951" s="6">
        <f>IF(AND($H951="ATMOS DISTILLATION",ISNUMBER(SEARCH("VPS",$I951))=FALSE,LEFT($I951,6)&lt;&gt;"VACUUM"),"CDU",IF($H951="FLUID CAT CRACKING","FCC",IF(OR($H951="HYDROCRACKING",$H951="RESID_HYDROCRACKING"),"Hydrocracker",IF($H951="REFORMING","Reformer",""))))</f>
        <v/>
      </c>
      <c r="H951" s="6" t="s">
        <v>378</v>
      </c>
      <c r="I951" s="6" t="s">
        <v>431</v>
      </c>
      <c r="J951" s="6" t="s">
        <v>349</v>
      </c>
      <c r="K951" s="10">
        <v>15</v>
      </c>
      <c r="L951" s="10">
        <v>15</v>
      </c>
      <c r="M951" s="6" t="s">
        <v>371</v>
      </c>
    </row>
    <row r="952" spans="1:13">
      <c r="A952" s="6">
        <v>2023</v>
      </c>
      <c r="B952" s="6">
        <v>4</v>
      </c>
      <c r="C952" s="6" t="s">
        <v>62</v>
      </c>
      <c r="D952" s="6" t="s">
        <v>675</v>
      </c>
      <c r="E952" s="6" t="s">
        <v>452</v>
      </c>
      <c r="F952" s="6" t="str">
        <f>IF($M952="PADD I","PADD 1",IF($M952="PADD II","PADD 2",IF($M952="PADD III","PADD 3",IF($M952="PADD IV","PADD 4",IF($M952="PADD V","PADD 5","")))))</f>
        <v>PADD 2</v>
      </c>
      <c r="G952" s="6" t="str">
        <f>IF(AND($H952="ATMOS DISTILLATION",ISNUMBER(SEARCH("VPS",$I952))=FALSE,LEFT($I952,6)&lt;&gt;"VACUUM"),"CDU",IF($H952="FLUID CAT CRACKING","FCC",IF(OR($H952="HYDROCRACKING",$H952="RESID_HYDROCRACKING"),"Hydrocracker",IF($H952="REFORMING","Reformer",""))))</f>
        <v>Reformer</v>
      </c>
      <c r="H952" s="6" t="s">
        <v>421</v>
      </c>
      <c r="I952" s="6" t="s">
        <v>698</v>
      </c>
      <c r="J952" s="6" t="s">
        <v>349</v>
      </c>
      <c r="K952" s="10">
        <v>14.74</v>
      </c>
      <c r="L952" s="10">
        <v>22</v>
      </c>
      <c r="M952" s="6" t="s">
        <v>375</v>
      </c>
    </row>
    <row r="953" spans="1:13">
      <c r="A953" s="6">
        <v>2023</v>
      </c>
      <c r="B953" s="6">
        <v>4</v>
      </c>
      <c r="C953" s="6" t="s">
        <v>62</v>
      </c>
      <c r="D953" s="6" t="s">
        <v>387</v>
      </c>
      <c r="E953" s="6" t="s">
        <v>388</v>
      </c>
      <c r="F953" s="6" t="str">
        <f>IF($M953="PADD I","PADD 1",IF($M953="PADD II","PADD 2",IF($M953="PADD III","PADD 3",IF($M953="PADD IV","PADD 4",IF($M953="PADD V","PADD 5","")))))</f>
        <v>PADD 3</v>
      </c>
      <c r="G953" s="6">
        <f>IF(AND($H953="ATMOS DISTILLATION",ISNUMBER(SEARCH("VPS",$I953))=FALSE,LEFT($I953,6)&lt;&gt;"VACUUM"),"CDU",IF($H953="FLUID CAT CRACKING","FCC",IF(OR($H953="HYDROCRACKING",$H953="RESID_HYDROCRACKING"),"Hydrocracker",IF($H953="REFORMING","Reformer",""))))</f>
        <v/>
      </c>
      <c r="H953" s="6" t="s">
        <v>43</v>
      </c>
      <c r="I953" s="6" t="s">
        <v>486</v>
      </c>
      <c r="J953" s="6" t="s">
        <v>349</v>
      </c>
      <c r="K953" s="10">
        <v>14.72</v>
      </c>
      <c r="L953" s="10">
        <v>64</v>
      </c>
      <c r="M953" s="6" t="s">
        <v>371</v>
      </c>
    </row>
    <row r="954" spans="1:13">
      <c r="A954" s="6">
        <v>2023</v>
      </c>
      <c r="B954" s="6">
        <v>4</v>
      </c>
      <c r="C954" s="6" t="s">
        <v>62</v>
      </c>
      <c r="D954" s="6" t="s">
        <v>785</v>
      </c>
      <c r="E954" s="6" t="s">
        <v>779</v>
      </c>
      <c r="F954" s="6" t="str">
        <f>IF($M954="PADD I","PADD 1",IF($M954="PADD II","PADD 2",IF($M954="PADD III","PADD 3",IF($M954="PADD IV","PADD 4",IF($M954="PADD V","PADD 5","")))))</f>
        <v>PADD 2</v>
      </c>
      <c r="G954" s="6">
        <f>IF(AND($H954="ATMOS DISTILLATION",ISNUMBER(SEARCH("VPS",$I954))=FALSE,LEFT($I954,6)&lt;&gt;"VACUUM"),"CDU",IF($H954="FLUID CAT CRACKING","FCC",IF(OR($H954="HYDROCRACKING",$H954="RESID_HYDROCRACKING"),"Hydrocracker",IF($H954="REFORMING","Reformer",""))))</f>
        <v/>
      </c>
      <c r="H954" s="6" t="s">
        <v>378</v>
      </c>
      <c r="I954" s="6" t="s">
        <v>786</v>
      </c>
      <c r="J954" s="6" t="s">
        <v>345</v>
      </c>
      <c r="K954" s="10">
        <v>14.4874</v>
      </c>
      <c r="L954" s="10">
        <v>85.22</v>
      </c>
      <c r="M954" s="6" t="s">
        <v>375</v>
      </c>
    </row>
    <row r="955" spans="1:13">
      <c r="A955" s="6">
        <v>2023</v>
      </c>
      <c r="B955" s="6">
        <v>4</v>
      </c>
      <c r="C955" s="6" t="s">
        <v>62</v>
      </c>
      <c r="D955" s="6" t="s">
        <v>774</v>
      </c>
      <c r="E955" s="6" t="s">
        <v>775</v>
      </c>
      <c r="F955" s="6" t="str">
        <f>IF($M955="PADD I","PADD 1",IF($M955="PADD II","PADD 2",IF($M955="PADD III","PADD 3",IF($M955="PADD IV","PADD 4",IF($M955="PADD V","PADD 5","")))))</f>
        <v>PADD 1</v>
      </c>
      <c r="G955" s="6" t="str">
        <f>IF(AND($H955="ATMOS DISTILLATION",ISNUMBER(SEARCH("VPS",$I955))=FALSE,LEFT($I955,6)&lt;&gt;"VACUUM"),"CDU",IF($H955="FLUID CAT CRACKING","FCC",IF(OR($H955="HYDROCRACKING",$H955="RESID_HYDROCRACKING"),"Hydrocracker",IF($H955="REFORMING","Reformer",""))))</f>
        <v>Hydrocracker</v>
      </c>
      <c r="H955" s="6" t="s">
        <v>444</v>
      </c>
      <c r="I955" s="6" t="s">
        <v>14</v>
      </c>
      <c r="J955" s="6" t="s">
        <v>349</v>
      </c>
      <c r="K955" s="10">
        <v>14.4</v>
      </c>
      <c r="L955" s="10">
        <v>18</v>
      </c>
      <c r="M955" s="6" t="s">
        <v>413</v>
      </c>
    </row>
    <row r="956" spans="1:13">
      <c r="A956" s="6">
        <v>2023</v>
      </c>
      <c r="B956" s="6">
        <v>4</v>
      </c>
      <c r="C956" s="6" t="s">
        <v>62</v>
      </c>
      <c r="D956" s="6" t="s">
        <v>610</v>
      </c>
      <c r="E956" s="6" t="s">
        <v>611</v>
      </c>
      <c r="F956" s="6" t="str">
        <f>IF($M956="PADD I","PADD 1",IF($M956="PADD II","PADD 2",IF($M956="PADD III","PADD 3",IF($M956="PADD IV","PADD 4",IF($M956="PADD V","PADD 5","")))))</f>
        <v>PADD 2</v>
      </c>
      <c r="G956" s="6">
        <f>IF(AND($H956="ATMOS DISTILLATION",ISNUMBER(SEARCH("VPS",$I956))=FALSE,LEFT($I956,6)&lt;&gt;"VACUUM"),"CDU",IF($H956="FLUID CAT CRACKING","FCC",IF(OR($H956="HYDROCRACKING",$H956="RESID_HYDROCRACKING"),"Hydrocracker",IF($H956="REFORMING","Reformer",""))))</f>
        <v/>
      </c>
      <c r="H956" s="6" t="s">
        <v>435</v>
      </c>
      <c r="I956" s="6" t="s">
        <v>441</v>
      </c>
      <c r="J956" s="6" t="s">
        <v>349</v>
      </c>
      <c r="K956" s="10">
        <v>14.235</v>
      </c>
      <c r="L956" s="10">
        <v>19.5</v>
      </c>
      <c r="M956" s="6" t="s">
        <v>375</v>
      </c>
    </row>
    <row r="957" spans="1:13">
      <c r="A957" s="6">
        <v>2023</v>
      </c>
      <c r="B957" s="6">
        <v>4</v>
      </c>
      <c r="C957" s="6" t="s">
        <v>62</v>
      </c>
      <c r="D957" s="6" t="s">
        <v>732</v>
      </c>
      <c r="E957" s="6" t="s">
        <v>733</v>
      </c>
      <c r="F957" s="6" t="str">
        <f>IF($M957="PADD I","PADD 1",IF($M957="PADD II","PADD 2",IF($M957="PADD III","PADD 3",IF($M957="PADD IV","PADD 4",IF($M957="PADD V","PADD 5","")))))</f>
        <v>PADD 4</v>
      </c>
      <c r="G957" s="6">
        <f>IF(AND($H957="ATMOS DISTILLATION",ISNUMBER(SEARCH("VPS",$I957))=FALSE,LEFT($I957,6)&lt;&gt;"VACUUM"),"CDU",IF($H957="FLUID CAT CRACKING","FCC",IF(OR($H957="HYDROCRACKING",$H957="RESID_HYDROCRACKING"),"Hydrocracker",IF($H957="REFORMING","Reformer",""))))</f>
        <v/>
      </c>
      <c r="H957" s="6" t="s">
        <v>43</v>
      </c>
      <c r="I957" s="6" t="s">
        <v>747</v>
      </c>
      <c r="J957" s="6" t="s">
        <v>349</v>
      </c>
      <c r="K957" s="10">
        <v>14</v>
      </c>
      <c r="L957" s="10">
        <v>14</v>
      </c>
      <c r="M957" s="6" t="s">
        <v>430</v>
      </c>
    </row>
    <row r="958" spans="1:13">
      <c r="A958" s="6">
        <v>2023</v>
      </c>
      <c r="B958" s="6">
        <v>4</v>
      </c>
      <c r="C958" s="6" t="s">
        <v>62</v>
      </c>
      <c r="D958" s="6" t="s">
        <v>680</v>
      </c>
      <c r="E958" s="6" t="s">
        <v>681</v>
      </c>
      <c r="F958" s="6" t="str">
        <f>IF($M958="PADD I","PADD 1",IF($M958="PADD II","PADD 2",IF($M958="PADD III","PADD 3",IF($M958="PADD IV","PADD 4",IF($M958="PADD V","PADD 5","")))))</f>
        <v>PADD 3</v>
      </c>
      <c r="G958" s="6" t="str">
        <f>IF(AND($H958="ATMOS DISTILLATION",ISNUMBER(SEARCH("VPS",$I958))=FALSE,LEFT($I958,6)&lt;&gt;"VACUUM"),"CDU",IF($H958="FLUID CAT CRACKING","FCC",IF(OR($H958="HYDROCRACKING",$H958="RESID_HYDROCRACKING"),"Hydrocracker",IF($H958="REFORMING","Reformer",""))))</f>
        <v>Hydrocracker</v>
      </c>
      <c r="H958" s="6" t="s">
        <v>444</v>
      </c>
      <c r="I958" s="6" t="s">
        <v>707</v>
      </c>
      <c r="J958" s="6" t="s">
        <v>349</v>
      </c>
      <c r="K958" s="10">
        <v>13.95</v>
      </c>
      <c r="L958" s="10">
        <v>15</v>
      </c>
      <c r="M958" s="6" t="s">
        <v>371</v>
      </c>
    </row>
    <row r="959" spans="1:13">
      <c r="A959" s="6">
        <v>2023</v>
      </c>
      <c r="B959" s="6">
        <v>4</v>
      </c>
      <c r="C959" s="6" t="s">
        <v>62</v>
      </c>
      <c r="D959" s="6" t="s">
        <v>52</v>
      </c>
      <c r="E959" s="6" t="s">
        <v>388</v>
      </c>
      <c r="F959" s="6" t="str">
        <f>IF($M959="PADD I","PADD 1",IF($M959="PADD II","PADD 2",IF($M959="PADD III","PADD 3",IF($M959="PADD IV","PADD 4",IF($M959="PADD V","PADD 5","")))))</f>
        <v>PADD 5</v>
      </c>
      <c r="G959" s="6">
        <f>IF(AND($H959="ATMOS DISTILLATION",ISNUMBER(SEARCH("VPS",$I959))=FALSE,LEFT($I959,6)&lt;&gt;"VACUUM"),"CDU",IF($H959="FLUID CAT CRACKING","FCC",IF(OR($H959="HYDROCRACKING",$H959="RESID_HYDROCRACKING"),"Hydrocracker",IF($H959="REFORMING","Reformer",""))))</f>
        <v/>
      </c>
      <c r="H959" s="6" t="s">
        <v>43</v>
      </c>
      <c r="I959" s="6" t="s">
        <v>787</v>
      </c>
      <c r="J959" s="6" t="s">
        <v>349</v>
      </c>
      <c r="K959" s="10">
        <v>13.68</v>
      </c>
      <c r="L959" s="10">
        <v>24</v>
      </c>
      <c r="M959" s="6" t="s">
        <v>386</v>
      </c>
    </row>
    <row r="960" spans="1:13">
      <c r="A960" s="6">
        <v>2023</v>
      </c>
      <c r="B960" s="6">
        <v>4</v>
      </c>
      <c r="C960" s="6" t="s">
        <v>62</v>
      </c>
      <c r="D960" s="6" t="s">
        <v>518</v>
      </c>
      <c r="E960" s="6" t="s">
        <v>369</v>
      </c>
      <c r="F960" s="6" t="str">
        <f>IF($M960="PADD I","PADD 1",IF($M960="PADD II","PADD 2",IF($M960="PADD III","PADD 3",IF($M960="PADD IV","PADD 4",IF($M960="PADD V","PADD 5","")))))</f>
        <v>PADD 5</v>
      </c>
      <c r="G960" s="6" t="str">
        <f>IF(AND($H960="ATMOS DISTILLATION",ISNUMBER(SEARCH("VPS",$I960))=FALSE,LEFT($I960,6)&lt;&gt;"VACUUM"),"CDU",IF($H960="FLUID CAT CRACKING","FCC",IF(OR($H960="HYDROCRACKING",$H960="RESID_HYDROCRACKING"),"Hydrocracker",IF($H960="REFORMING","Reformer",""))))</f>
        <v>CDU</v>
      </c>
      <c r="H960" s="6" t="s">
        <v>38</v>
      </c>
      <c r="I960" s="6" t="s">
        <v>519</v>
      </c>
      <c r="J960" s="6" t="s">
        <v>345</v>
      </c>
      <c r="K960" s="10">
        <v>13.5</v>
      </c>
      <c r="L960" s="10">
        <v>50</v>
      </c>
      <c r="M960" s="6" t="s">
        <v>386</v>
      </c>
    </row>
    <row r="961" spans="1:13">
      <c r="A961" s="6">
        <v>2023</v>
      </c>
      <c r="B961" s="6">
        <v>4</v>
      </c>
      <c r="C961" s="6" t="s">
        <v>62</v>
      </c>
      <c r="D961" s="6" t="s">
        <v>788</v>
      </c>
      <c r="E961" s="6" t="s">
        <v>405</v>
      </c>
      <c r="F961" s="6" t="str">
        <f>IF($M961="PADD I","PADD 1",IF($M961="PADD II","PADD 2",IF($M961="PADD III","PADD 3",IF($M961="PADD IV","PADD 4",IF($M961="PADD V","PADD 5","")))))</f>
        <v>PADD 3</v>
      </c>
      <c r="G961" s="6" t="str">
        <f>IF(AND($H961="ATMOS DISTILLATION",ISNUMBER(SEARCH("VPS",$I961))=FALSE,LEFT($I961,6)&lt;&gt;"VACUUM"),"CDU",IF($H961="FLUID CAT CRACKING","FCC",IF(OR($H961="HYDROCRACKING",$H961="RESID_HYDROCRACKING"),"Hydrocracker",IF($H961="REFORMING","Reformer",""))))</f>
        <v>CDU</v>
      </c>
      <c r="H961" s="6" t="s">
        <v>38</v>
      </c>
      <c r="I961" s="6" t="s">
        <v>135</v>
      </c>
      <c r="J961" s="6" t="s">
        <v>345</v>
      </c>
      <c r="K961" s="10">
        <v>13.5</v>
      </c>
      <c r="L961" s="10">
        <v>135</v>
      </c>
      <c r="M961" s="6" t="s">
        <v>371</v>
      </c>
    </row>
    <row r="962" spans="1:13">
      <c r="A962" s="6">
        <v>2023</v>
      </c>
      <c r="B962" s="6">
        <v>4</v>
      </c>
      <c r="C962" s="6" t="s">
        <v>62</v>
      </c>
      <c r="D962" s="6" t="s">
        <v>732</v>
      </c>
      <c r="E962" s="6" t="s">
        <v>733</v>
      </c>
      <c r="F962" s="6" t="str">
        <f>IF($M962="PADD I","PADD 1",IF($M962="PADD II","PADD 2",IF($M962="PADD III","PADD 3",IF($M962="PADD IV","PADD 4",IF($M962="PADD V","PADD 5","")))))</f>
        <v>PADD 4</v>
      </c>
      <c r="G962" s="6" t="str">
        <f>IF(AND($H962="ATMOS DISTILLATION",ISNUMBER(SEARCH("VPS",$I962))=FALSE,LEFT($I962,6)&lt;&gt;"VACUUM"),"CDU",IF($H962="FLUID CAT CRACKING","FCC",IF(OR($H962="HYDROCRACKING",$H962="RESID_HYDROCRACKING"),"Hydrocracker",IF($H962="REFORMING","Reformer",""))))</f>
        <v>CDU</v>
      </c>
      <c r="H962" s="6" t="s">
        <v>38</v>
      </c>
      <c r="I962" s="6" t="s">
        <v>135</v>
      </c>
      <c r="J962" s="6" t="s">
        <v>349</v>
      </c>
      <c r="K962" s="10">
        <v>13</v>
      </c>
      <c r="L962" s="10">
        <v>13</v>
      </c>
      <c r="M962" s="6" t="s">
        <v>430</v>
      </c>
    </row>
    <row r="963" spans="1:13">
      <c r="A963" s="6">
        <v>2023</v>
      </c>
      <c r="B963" s="6">
        <v>4</v>
      </c>
      <c r="C963" s="6" t="s">
        <v>62</v>
      </c>
      <c r="D963" s="6" t="s">
        <v>420</v>
      </c>
      <c r="E963" s="6" t="s">
        <v>373</v>
      </c>
      <c r="F963" s="6" t="str">
        <f>IF($M963="PADD I","PADD 1",IF($M963="PADD II","PADD 2",IF($M963="PADD III","PADD 3",IF($M963="PADD IV","PADD 4",IF($M963="PADD V","PADD 5","")))))</f>
        <v>PADD 2</v>
      </c>
      <c r="G963" s="6" t="str">
        <f>IF(AND($H963="ATMOS DISTILLATION",ISNUMBER(SEARCH("VPS",$I963))=FALSE,LEFT($I963,6)&lt;&gt;"VACUUM"),"CDU",IF($H963="FLUID CAT CRACKING","FCC",IF(OR($H963="HYDROCRACKING",$H963="RESID_HYDROCRACKING"),"Hydrocracker",IF($H963="REFORMING","Reformer",""))))</f>
        <v>FCC</v>
      </c>
      <c r="H963" s="6" t="s">
        <v>376</v>
      </c>
      <c r="I963" s="6" t="s">
        <v>105</v>
      </c>
      <c r="J963" s="6" t="s">
        <v>345</v>
      </c>
      <c r="K963" s="10">
        <v>13</v>
      </c>
      <c r="L963" s="10">
        <v>13</v>
      </c>
      <c r="M963" s="6" t="s">
        <v>375</v>
      </c>
    </row>
    <row r="964" spans="1:13">
      <c r="A964" s="6">
        <v>2023</v>
      </c>
      <c r="B964" s="6">
        <v>4</v>
      </c>
      <c r="C964" s="6" t="s">
        <v>62</v>
      </c>
      <c r="D964" s="6" t="s">
        <v>789</v>
      </c>
      <c r="E964" s="6" t="s">
        <v>790</v>
      </c>
      <c r="F964" s="6" t="str">
        <f>IF($M964="PADD I","PADD 1",IF($M964="PADD II","PADD 2",IF($M964="PADD III","PADD 3",IF($M964="PADD IV","PADD 4",IF($M964="PADD V","PADD 5","")))))</f>
        <v>PADD 3</v>
      </c>
      <c r="G964" s="6" t="str">
        <f>IF(AND($H964="ATMOS DISTILLATION",ISNUMBER(SEARCH("VPS",$I964))=FALSE,LEFT($I964,6)&lt;&gt;"VACUUM"),"CDU",IF($H964="FLUID CAT CRACKING","FCC",IF(OR($H964="HYDROCRACKING",$H964="RESID_HYDROCRACKING"),"Hydrocracker",IF($H964="REFORMING","Reformer",""))))</f>
        <v>CDU</v>
      </c>
      <c r="H964" s="6" t="s">
        <v>38</v>
      </c>
      <c r="I964" s="6" t="s">
        <v>791</v>
      </c>
      <c r="J964" s="6" t="s">
        <v>349</v>
      </c>
      <c r="K964" s="10">
        <v>12.765</v>
      </c>
      <c r="L964" s="10">
        <v>34.5</v>
      </c>
      <c r="M964" s="6" t="s">
        <v>371</v>
      </c>
    </row>
    <row r="965" spans="1:13">
      <c r="A965" s="6">
        <v>2023</v>
      </c>
      <c r="B965" s="6">
        <v>4</v>
      </c>
      <c r="C965" s="6" t="s">
        <v>62</v>
      </c>
      <c r="D965" s="6" t="s">
        <v>772</v>
      </c>
      <c r="E965" s="6" t="s">
        <v>405</v>
      </c>
      <c r="F965" s="6" t="str">
        <f>IF($M965="PADD I","PADD 1",IF($M965="PADD II","PADD 2",IF($M965="PADD III","PADD 3",IF($M965="PADD IV","PADD 4",IF($M965="PADD V","PADD 5","")))))</f>
        <v>PADD 3</v>
      </c>
      <c r="G965" s="6">
        <f>IF(AND($H965="ATMOS DISTILLATION",ISNUMBER(SEARCH("VPS",$I965))=FALSE,LEFT($I965,6)&lt;&gt;"VACUUM"),"CDU",IF($H965="FLUID CAT CRACKING","FCC",IF(OR($H965="HYDROCRACKING",$H965="RESID_HYDROCRACKING"),"Hydrocracker",IF($H965="REFORMING","Reformer",""))))</f>
        <v/>
      </c>
      <c r="H965" s="6" t="s">
        <v>460</v>
      </c>
      <c r="I965" s="6" t="s">
        <v>792</v>
      </c>
      <c r="J965" s="6" t="s">
        <v>349</v>
      </c>
      <c r="K965" s="10">
        <v>12.54</v>
      </c>
      <c r="L965" s="10">
        <v>22</v>
      </c>
      <c r="M965" s="6" t="s">
        <v>371</v>
      </c>
    </row>
    <row r="966" spans="1:13">
      <c r="A966" s="6">
        <v>2023</v>
      </c>
      <c r="B966" s="6">
        <v>4</v>
      </c>
      <c r="C966" s="6" t="s">
        <v>62</v>
      </c>
      <c r="D966" s="6" t="s">
        <v>662</v>
      </c>
      <c r="E966" s="6" t="s">
        <v>552</v>
      </c>
      <c r="F966" s="6" t="str">
        <f>IF($M966="PADD I","PADD 1",IF($M966="PADD II","PADD 2",IF($M966="PADD III","PADD 3",IF($M966="PADD IV","PADD 4",IF($M966="PADD V","PADD 5","")))))</f>
        <v>PADD 3</v>
      </c>
      <c r="G966" s="6" t="str">
        <f>IF(AND($H966="ATMOS DISTILLATION",ISNUMBER(SEARCH("VPS",$I966))=FALSE,LEFT($I966,6)&lt;&gt;"VACUUM"),"CDU",IF($H966="FLUID CAT CRACKING","FCC",IF(OR($H966="HYDROCRACKING",$H966="RESID_HYDROCRACKING"),"Hydrocracker",IF($H966="REFORMING","Reformer",""))))</f>
        <v>CDU</v>
      </c>
      <c r="H966" s="6" t="s">
        <v>38</v>
      </c>
      <c r="I966" s="6" t="s">
        <v>663</v>
      </c>
      <c r="J966" s="6" t="s">
        <v>345</v>
      </c>
      <c r="K966" s="10">
        <v>12.41</v>
      </c>
      <c r="L966" s="10">
        <v>73</v>
      </c>
      <c r="M966" s="6" t="s">
        <v>371</v>
      </c>
    </row>
    <row r="967" spans="1:13">
      <c r="A967" s="6">
        <v>2023</v>
      </c>
      <c r="B967" s="6">
        <v>4</v>
      </c>
      <c r="C967" s="6" t="s">
        <v>62</v>
      </c>
      <c r="D967" s="6" t="s">
        <v>602</v>
      </c>
      <c r="E967" s="6" t="s">
        <v>369</v>
      </c>
      <c r="F967" s="6" t="str">
        <f>IF($M967="PADD I","PADD 1",IF($M967="PADD II","PADD 2",IF($M967="PADD III","PADD 3",IF($M967="PADD IV","PADD 4",IF($M967="PADD V","PADD 5","")))))</f>
        <v>PADD 2</v>
      </c>
      <c r="G967" s="6">
        <f>IF(AND($H967="ATMOS DISTILLATION",ISNUMBER(SEARCH("VPS",$I967))=FALSE,LEFT($I967,6)&lt;&gt;"VACUUM"),"CDU",IF($H967="FLUID CAT CRACKING","FCC",IF(OR($H967="HYDROCRACKING",$H967="RESID_HYDROCRACKING"),"Hydrocracker",IF($H967="REFORMING","Reformer",""))))</f>
        <v/>
      </c>
      <c r="H967" s="6" t="s">
        <v>43</v>
      </c>
      <c r="I967" s="6" t="s">
        <v>708</v>
      </c>
      <c r="J967" s="6" t="s">
        <v>349</v>
      </c>
      <c r="K967" s="10">
        <v>12.32</v>
      </c>
      <c r="L967" s="10">
        <v>16</v>
      </c>
      <c r="M967" s="6" t="s">
        <v>375</v>
      </c>
    </row>
    <row r="968" spans="1:13">
      <c r="A968" s="6">
        <v>2023</v>
      </c>
      <c r="B968" s="6">
        <v>4</v>
      </c>
      <c r="C968" s="6" t="s">
        <v>62</v>
      </c>
      <c r="D968" s="6" t="s">
        <v>675</v>
      </c>
      <c r="E968" s="6" t="s">
        <v>452</v>
      </c>
      <c r="F968" s="6" t="str">
        <f>IF($M968="PADD I","PADD 1",IF($M968="PADD II","PADD 2",IF($M968="PADD III","PADD 3",IF($M968="PADD IV","PADD 4",IF($M968="PADD V","PADD 5","")))))</f>
        <v>PADD 2</v>
      </c>
      <c r="G968" s="6">
        <f>IF(AND($H968="ATMOS DISTILLATION",ISNUMBER(SEARCH("VPS",$I968))=FALSE,LEFT($I968,6)&lt;&gt;"VACUUM"),"CDU",IF($H968="FLUID CAT CRACKING","FCC",IF(OR($H968="HYDROCRACKING",$H968="RESID_HYDROCRACKING"),"Hydrocracker",IF($H968="REFORMING","Reformer",""))))</f>
        <v/>
      </c>
      <c r="H968" s="6" t="s">
        <v>43</v>
      </c>
      <c r="I968" s="6" t="s">
        <v>704</v>
      </c>
      <c r="J968" s="6" t="s">
        <v>349</v>
      </c>
      <c r="K968" s="10">
        <v>12.06</v>
      </c>
      <c r="L968" s="10">
        <v>18</v>
      </c>
      <c r="M968" s="6" t="s">
        <v>375</v>
      </c>
    </row>
    <row r="969" spans="1:13">
      <c r="A969" s="6">
        <v>2023</v>
      </c>
      <c r="B969" s="6">
        <v>4</v>
      </c>
      <c r="C969" s="6" t="s">
        <v>62</v>
      </c>
      <c r="D969" s="6" t="s">
        <v>675</v>
      </c>
      <c r="E969" s="6" t="s">
        <v>452</v>
      </c>
      <c r="F969" s="6" t="str">
        <f>IF($M969="PADD I","PADD 1",IF($M969="PADD II","PADD 2",IF($M969="PADD III","PADD 3",IF($M969="PADD IV","PADD 4",IF($M969="PADD V","PADD 5","")))))</f>
        <v>PADD 2</v>
      </c>
      <c r="G969" s="6">
        <f>IF(AND($H969="ATMOS DISTILLATION",ISNUMBER(SEARCH("VPS",$I969))=FALSE,LEFT($I969,6)&lt;&gt;"VACUUM"),"CDU",IF($H969="FLUID CAT CRACKING","FCC",IF(OR($H969="HYDROCRACKING",$H969="RESID_HYDROCRACKING"),"Hydrocracker",IF($H969="REFORMING","Reformer",""))))</f>
        <v/>
      </c>
      <c r="H969" s="6" t="s">
        <v>43</v>
      </c>
      <c r="I969" s="6" t="s">
        <v>705</v>
      </c>
      <c r="J969" s="6" t="s">
        <v>349</v>
      </c>
      <c r="K969" s="10">
        <v>12.06</v>
      </c>
      <c r="L969" s="10">
        <v>18</v>
      </c>
      <c r="M969" s="6" t="s">
        <v>375</v>
      </c>
    </row>
    <row r="970" spans="1:13">
      <c r="A970" s="6">
        <v>2023</v>
      </c>
      <c r="B970" s="6">
        <v>4</v>
      </c>
      <c r="C970" s="6" t="s">
        <v>62</v>
      </c>
      <c r="D970" s="6" t="s">
        <v>748</v>
      </c>
      <c r="E970" s="6" t="s">
        <v>388</v>
      </c>
      <c r="F970" s="6" t="str">
        <f>IF($M970="PADD I","PADD 1",IF($M970="PADD II","PADD 2",IF($M970="PADD III","PADD 3",IF($M970="PADD IV","PADD 4",IF($M970="PADD V","PADD 5","")))))</f>
        <v>PADD 3</v>
      </c>
      <c r="G970" s="6">
        <f>IF(AND($H970="ATMOS DISTILLATION",ISNUMBER(SEARCH("VPS",$I970))=FALSE,LEFT($I970,6)&lt;&gt;"VACUUM"),"CDU",IF($H970="FLUID CAT CRACKING","FCC",IF(OR($H970="HYDROCRACKING",$H970="RESID_HYDROCRACKING"),"Hydrocracker",IF($H970="REFORMING","Reformer",""))))</f>
        <v/>
      </c>
      <c r="H970" s="6" t="s">
        <v>43</v>
      </c>
      <c r="I970" s="6" t="s">
        <v>766</v>
      </c>
      <c r="J970" s="6" t="s">
        <v>349</v>
      </c>
      <c r="K970" s="10">
        <v>12</v>
      </c>
      <c r="L970" s="10">
        <v>12</v>
      </c>
      <c r="M970" s="6" t="s">
        <v>371</v>
      </c>
    </row>
    <row r="971" spans="1:13">
      <c r="A971" s="6">
        <v>2023</v>
      </c>
      <c r="B971" s="6">
        <v>4</v>
      </c>
      <c r="C971" s="6" t="s">
        <v>62</v>
      </c>
      <c r="D971" s="6" t="s">
        <v>732</v>
      </c>
      <c r="E971" s="6" t="s">
        <v>733</v>
      </c>
      <c r="F971" s="6" t="str">
        <f>IF($M971="PADD I","PADD 1",IF($M971="PADD II","PADD 2",IF($M971="PADD III","PADD 3",IF($M971="PADD IV","PADD 4",IF($M971="PADD V","PADD 5","")))))</f>
        <v>PADD 4</v>
      </c>
      <c r="G971" s="6" t="str">
        <f>IF(AND($H971="ATMOS DISTILLATION",ISNUMBER(SEARCH("VPS",$I971))=FALSE,LEFT($I971,6)&lt;&gt;"VACUUM"),"CDU",IF($H971="FLUID CAT CRACKING","FCC",IF(OR($H971="HYDROCRACKING",$H971="RESID_HYDROCRACKING"),"Hydrocracker",IF($H971="REFORMING","Reformer",""))))</f>
        <v>Reformer</v>
      </c>
      <c r="H971" s="6" t="s">
        <v>421</v>
      </c>
      <c r="I971" s="6" t="s">
        <v>15</v>
      </c>
      <c r="J971" s="6" t="s">
        <v>349</v>
      </c>
      <c r="K971" s="10">
        <v>12</v>
      </c>
      <c r="L971" s="10">
        <v>12</v>
      </c>
      <c r="M971" s="6" t="s">
        <v>430</v>
      </c>
    </row>
    <row r="972" spans="1:13">
      <c r="A972" s="6">
        <v>2023</v>
      </c>
      <c r="B972" s="6">
        <v>4</v>
      </c>
      <c r="C972" s="6" t="s">
        <v>62</v>
      </c>
      <c r="D972" s="6" t="s">
        <v>770</v>
      </c>
      <c r="E972" s="6" t="s">
        <v>660</v>
      </c>
      <c r="F972" s="6" t="str">
        <f>IF($M972="PADD I","PADD 1",IF($M972="PADD II","PADD 2",IF($M972="PADD III","PADD 3",IF($M972="PADD IV","PADD 4",IF($M972="PADD V","PADD 5","")))))</f>
        <v>PADD 3</v>
      </c>
      <c r="G972" s="6">
        <f>IF(AND($H972="ATMOS DISTILLATION",ISNUMBER(SEARCH("VPS",$I972))=FALSE,LEFT($I972,6)&lt;&gt;"VACUUM"),"CDU",IF($H972="FLUID CAT CRACKING","FCC",IF(OR($H972="HYDROCRACKING",$H972="RESID_HYDROCRACKING"),"Hydrocracker",IF($H972="REFORMING","Reformer",""))))</f>
        <v/>
      </c>
      <c r="H972" s="6" t="s">
        <v>43</v>
      </c>
      <c r="I972" s="6" t="s">
        <v>793</v>
      </c>
      <c r="J972" s="6" t="s">
        <v>349</v>
      </c>
      <c r="K972" s="10">
        <v>12</v>
      </c>
      <c r="L972" s="10">
        <v>12</v>
      </c>
      <c r="M972" s="6" t="s">
        <v>371</v>
      </c>
    </row>
    <row r="973" spans="1:13">
      <c r="A973" s="6">
        <v>2023</v>
      </c>
      <c r="B973" s="6">
        <v>4</v>
      </c>
      <c r="C973" s="6" t="s">
        <v>62</v>
      </c>
      <c r="D973" s="6" t="s">
        <v>770</v>
      </c>
      <c r="E973" s="6" t="s">
        <v>660</v>
      </c>
      <c r="F973" s="6" t="str">
        <f>IF($M973="PADD I","PADD 1",IF($M973="PADD II","PADD 2",IF($M973="PADD III","PADD 3",IF($M973="PADD IV","PADD 4",IF($M973="PADD V","PADD 5","")))))</f>
        <v>PADD 3</v>
      </c>
      <c r="G973" s="6">
        <f>IF(AND($H973="ATMOS DISTILLATION",ISNUMBER(SEARCH("VPS",$I973))=FALSE,LEFT($I973,6)&lt;&gt;"VACUUM"),"CDU",IF($H973="FLUID CAT CRACKING","FCC",IF(OR($H973="HYDROCRACKING",$H973="RESID_HYDROCRACKING"),"Hydrocracker",IF($H973="REFORMING","Reformer",""))))</f>
        <v/>
      </c>
      <c r="H973" s="6" t="s">
        <v>43</v>
      </c>
      <c r="I973" s="6" t="s">
        <v>794</v>
      </c>
      <c r="J973" s="6" t="s">
        <v>349</v>
      </c>
      <c r="K973" s="10">
        <v>12</v>
      </c>
      <c r="L973" s="10">
        <v>12</v>
      </c>
      <c r="M973" s="6" t="s">
        <v>371</v>
      </c>
    </row>
    <row r="974" spans="1:13">
      <c r="A974" s="6">
        <v>2023</v>
      </c>
      <c r="B974" s="6">
        <v>4</v>
      </c>
      <c r="C974" s="6" t="s">
        <v>62</v>
      </c>
      <c r="D974" s="6" t="s">
        <v>496</v>
      </c>
      <c r="E974" s="6" t="s">
        <v>388</v>
      </c>
      <c r="F974" s="6" t="str">
        <f>IF($M974="PADD I","PADD 1",IF($M974="PADD II","PADD 2",IF($M974="PADD III","PADD 3",IF($M974="PADD IV","PADD 4",IF($M974="PADD V","PADD 5","")))))</f>
        <v>PADD 2</v>
      </c>
      <c r="G974" s="6">
        <f>IF(AND($H974="ATMOS DISTILLATION",ISNUMBER(SEARCH("VPS",$I974))=FALSE,LEFT($I974,6)&lt;&gt;"VACUUM"),"CDU",IF($H974="FLUID CAT CRACKING","FCC",IF(OR($H974="HYDROCRACKING",$H974="RESID_HYDROCRACKING"),"Hydrocracker",IF($H974="REFORMING","Reformer",""))))</f>
        <v/>
      </c>
      <c r="H974" s="6" t="s">
        <v>378</v>
      </c>
      <c r="I974" s="6" t="s">
        <v>536</v>
      </c>
      <c r="J974" s="6" t="s">
        <v>349</v>
      </c>
      <c r="K974" s="10">
        <v>12</v>
      </c>
      <c r="L974" s="10">
        <v>12</v>
      </c>
      <c r="M974" s="6" t="s">
        <v>375</v>
      </c>
    </row>
    <row r="975" spans="1:13">
      <c r="A975" s="6">
        <v>2023</v>
      </c>
      <c r="B975" s="6">
        <v>4</v>
      </c>
      <c r="C975" s="6" t="s">
        <v>62</v>
      </c>
      <c r="D975" s="6" t="s">
        <v>739</v>
      </c>
      <c r="E975" s="6" t="s">
        <v>405</v>
      </c>
      <c r="F975" s="6" t="str">
        <f>IF($M975="PADD I","PADD 1",IF($M975="PADD II","PADD 2",IF($M975="PADD III","PADD 3",IF($M975="PADD IV","PADD 4",IF($M975="PADD V","PADD 5","")))))</f>
        <v>PADD 2</v>
      </c>
      <c r="G975" s="6" t="str">
        <f>IF(AND($H975="ATMOS DISTILLATION",ISNUMBER(SEARCH("VPS",$I975))=FALSE,LEFT($I975,6)&lt;&gt;"VACUUM"),"CDU",IF($H975="FLUID CAT CRACKING","FCC",IF(OR($H975="HYDROCRACKING",$H975="RESID_HYDROCRACKING"),"Hydrocracker",IF($H975="REFORMING","Reformer",""))))</f>
        <v>Hydrocracker</v>
      </c>
      <c r="H975" s="6" t="s">
        <v>444</v>
      </c>
      <c r="I975" s="6" t="s">
        <v>795</v>
      </c>
      <c r="J975" s="6" t="s">
        <v>345</v>
      </c>
      <c r="K975" s="10">
        <v>11.62</v>
      </c>
      <c r="L975" s="10">
        <v>14</v>
      </c>
      <c r="M975" s="6" t="s">
        <v>375</v>
      </c>
    </row>
    <row r="976" spans="1:13">
      <c r="A976" s="6">
        <v>2023</v>
      </c>
      <c r="B976" s="6">
        <v>4</v>
      </c>
      <c r="C976" s="6" t="s">
        <v>62</v>
      </c>
      <c r="D976" s="6" t="s">
        <v>518</v>
      </c>
      <c r="E976" s="6" t="s">
        <v>369</v>
      </c>
      <c r="F976" s="6" t="str">
        <f>IF($M976="PADD I","PADD 1",IF($M976="PADD II","PADD 2",IF($M976="PADD III","PADD 3",IF($M976="PADD IV","PADD 4",IF($M976="PADD V","PADD 5","")))))</f>
        <v>PADD 5</v>
      </c>
      <c r="G976" s="6" t="str">
        <f>IF(AND($H976="ATMOS DISTILLATION",ISNUMBER(SEARCH("VPS",$I976))=FALSE,LEFT($I976,6)&lt;&gt;"VACUUM"),"CDU",IF($H976="FLUID CAT CRACKING","FCC",IF(OR($H976="HYDROCRACKING",$H976="RESID_HYDROCRACKING"),"Hydrocracker",IF($H976="REFORMING","Reformer",""))))</f>
        <v>CDU</v>
      </c>
      <c r="H976" s="6" t="s">
        <v>38</v>
      </c>
      <c r="I976" s="6" t="s">
        <v>519</v>
      </c>
      <c r="J976" s="6" t="s">
        <v>345</v>
      </c>
      <c r="K976" s="10">
        <v>11.5</v>
      </c>
      <c r="L976" s="10">
        <v>50</v>
      </c>
      <c r="M976" s="6" t="s">
        <v>386</v>
      </c>
    </row>
    <row r="977" spans="1:13">
      <c r="A977" s="6">
        <v>2023</v>
      </c>
      <c r="B977" s="6">
        <v>4</v>
      </c>
      <c r="C977" s="6" t="s">
        <v>62</v>
      </c>
      <c r="D977" s="6" t="s">
        <v>526</v>
      </c>
      <c r="E977" s="6" t="s">
        <v>405</v>
      </c>
      <c r="F977" s="6" t="str">
        <f>IF($M977="PADD I","PADD 1",IF($M977="PADD II","PADD 2",IF($M977="PADD III","PADD 3",IF($M977="PADD IV","PADD 4",IF($M977="PADD V","PADD 5","")))))</f>
        <v>PADD 3</v>
      </c>
      <c r="G977" s="6" t="str">
        <f>IF(AND($H977="ATMOS DISTILLATION",ISNUMBER(SEARCH("VPS",$I977))=FALSE,LEFT($I977,6)&lt;&gt;"VACUUM"),"CDU",IF($H977="FLUID CAT CRACKING","FCC",IF(OR($H977="HYDROCRACKING",$H977="RESID_HYDROCRACKING"),"Hydrocracker",IF($H977="REFORMING","Reformer",""))))</f>
        <v>CDU</v>
      </c>
      <c r="H977" s="6" t="s">
        <v>38</v>
      </c>
      <c r="I977" s="6" t="s">
        <v>641</v>
      </c>
      <c r="J977" s="6" t="s">
        <v>349</v>
      </c>
      <c r="K977" s="10">
        <v>11.5</v>
      </c>
      <c r="L977" s="10">
        <v>115</v>
      </c>
      <c r="M977" s="6" t="s">
        <v>371</v>
      </c>
    </row>
    <row r="978" spans="1:13">
      <c r="A978" s="6">
        <v>2023</v>
      </c>
      <c r="B978" s="6">
        <v>4</v>
      </c>
      <c r="C978" s="6" t="s">
        <v>62</v>
      </c>
      <c r="D978" s="6" t="s">
        <v>437</v>
      </c>
      <c r="E978" s="6" t="s">
        <v>438</v>
      </c>
      <c r="F978" s="6" t="str">
        <f>IF($M978="PADD I","PADD 1",IF($M978="PADD II","PADD 2",IF($M978="PADD III","PADD 3",IF($M978="PADD IV","PADD 4",IF($M978="PADD V","PADD 5","")))))</f>
        <v>PADD 4</v>
      </c>
      <c r="G978" s="6" t="str">
        <f>IF(AND($H978="ATMOS DISTILLATION",ISNUMBER(SEARCH("VPS",$I978))=FALSE,LEFT($I978,6)&lt;&gt;"VACUUM"),"CDU",IF($H978="FLUID CAT CRACKING","FCC",IF(OR($H978="HYDROCRACKING",$H978="RESID_HYDROCRACKING"),"Hydrocracker",IF($H978="REFORMING","Reformer",""))))</f>
        <v>CDU</v>
      </c>
      <c r="H978" s="6" t="s">
        <v>38</v>
      </c>
      <c r="I978" s="6" t="s">
        <v>439</v>
      </c>
      <c r="J978" s="6" t="s">
        <v>345</v>
      </c>
      <c r="K978" s="10">
        <v>11.4</v>
      </c>
      <c r="L978" s="10">
        <v>38</v>
      </c>
      <c r="M978" s="6" t="s">
        <v>430</v>
      </c>
    </row>
    <row r="979" spans="1:13">
      <c r="A979" s="6">
        <v>2023</v>
      </c>
      <c r="B979" s="6">
        <v>4</v>
      </c>
      <c r="C979" s="6" t="s">
        <v>62</v>
      </c>
      <c r="D979" s="6" t="s">
        <v>518</v>
      </c>
      <c r="E979" s="6" t="s">
        <v>369</v>
      </c>
      <c r="F979" s="6" t="str">
        <f>IF($M979="PADD I","PADD 1",IF($M979="PADD II","PADD 2",IF($M979="PADD III","PADD 3",IF($M979="PADD IV","PADD 4",IF($M979="PADD V","PADD 5","")))))</f>
        <v>PADD 5</v>
      </c>
      <c r="G979" s="6" t="str">
        <f>IF(AND($H979="ATMOS DISTILLATION",ISNUMBER(SEARCH("VPS",$I979))=FALSE,LEFT($I979,6)&lt;&gt;"VACUUM"),"CDU",IF($H979="FLUID CAT CRACKING","FCC",IF(OR($H979="HYDROCRACKING",$H979="RESID_HYDROCRACKING"),"Hydrocracker",IF($H979="REFORMING","Reformer",""))))</f>
        <v>Hydrocracker</v>
      </c>
      <c r="H979" s="6" t="s">
        <v>444</v>
      </c>
      <c r="I979" s="6" t="s">
        <v>534</v>
      </c>
      <c r="J979" s="6" t="s">
        <v>345</v>
      </c>
      <c r="K979" s="10">
        <v>11.34</v>
      </c>
      <c r="L979" s="10">
        <v>42</v>
      </c>
      <c r="M979" s="6" t="s">
        <v>386</v>
      </c>
    </row>
    <row r="980" spans="1:13">
      <c r="A980" s="6">
        <v>2023</v>
      </c>
      <c r="B980" s="6">
        <v>4</v>
      </c>
      <c r="C980" s="6" t="s">
        <v>62</v>
      </c>
      <c r="D980" s="6" t="s">
        <v>415</v>
      </c>
      <c r="E980" s="6" t="s">
        <v>416</v>
      </c>
      <c r="F980" s="6" t="str">
        <f>IF($M980="PADD I","PADD 1",IF($M980="PADD II","PADD 2",IF($M980="PADD III","PADD 3",IF($M980="PADD IV","PADD 4",IF($M980="PADD V","PADD 5","")))))</f>
        <v>PADD 3</v>
      </c>
      <c r="G980" s="6" t="str">
        <f>IF(AND($H980="ATMOS DISTILLATION",ISNUMBER(SEARCH("VPS",$I980))=FALSE,LEFT($I980,6)&lt;&gt;"VACUUM"),"CDU",IF($H980="FLUID CAT CRACKING","FCC",IF(OR($H980="HYDROCRACKING",$H980="RESID_HYDROCRACKING"),"Hydrocracker",IF($H980="REFORMING","Reformer",""))))</f>
        <v>FCC</v>
      </c>
      <c r="H980" s="6" t="s">
        <v>376</v>
      </c>
      <c r="I980" s="6" t="s">
        <v>425</v>
      </c>
      <c r="J980" s="6" t="s">
        <v>345</v>
      </c>
      <c r="K980" s="10">
        <v>11.34</v>
      </c>
      <c r="L980" s="10">
        <v>42</v>
      </c>
      <c r="M980" s="6" t="s">
        <v>371</v>
      </c>
    </row>
    <row r="981" spans="1:13">
      <c r="A981" s="6">
        <v>2023</v>
      </c>
      <c r="B981" s="6">
        <v>4</v>
      </c>
      <c r="C981" s="6" t="s">
        <v>62</v>
      </c>
      <c r="D981" s="6" t="s">
        <v>372</v>
      </c>
      <c r="E981" s="6" t="s">
        <v>373</v>
      </c>
      <c r="F981" s="6" t="str">
        <f>IF($M981="PADD I","PADD 1",IF($M981="PADD II","PADD 2",IF($M981="PADD III","PADD 3",IF($M981="PADD IV","PADD 4",IF($M981="PADD V","PADD 5","")))))</f>
        <v>PADD 2</v>
      </c>
      <c r="G981" s="6">
        <f>IF(AND($H981="ATMOS DISTILLATION",ISNUMBER(SEARCH("VPS",$I981))=FALSE,LEFT($I981,6)&lt;&gt;"VACUUM"),"CDU",IF($H981="FLUID CAT CRACKING","FCC",IF(OR($H981="HYDROCRACKING",$H981="RESID_HYDROCRACKING"),"Hydrocracker",IF($H981="REFORMING","Reformer",""))))</f>
        <v/>
      </c>
      <c r="H981" s="6" t="s">
        <v>378</v>
      </c>
      <c r="I981" s="6" t="s">
        <v>701</v>
      </c>
      <c r="J981" s="6" t="s">
        <v>345</v>
      </c>
      <c r="K981" s="10">
        <v>11.34</v>
      </c>
      <c r="L981" s="10">
        <v>18</v>
      </c>
      <c r="M981" s="6" t="s">
        <v>375</v>
      </c>
    </row>
    <row r="982" spans="1:13">
      <c r="A982" s="6">
        <v>2023</v>
      </c>
      <c r="B982" s="6">
        <v>4</v>
      </c>
      <c r="C982" s="6" t="s">
        <v>62</v>
      </c>
      <c r="D982" s="6" t="s">
        <v>437</v>
      </c>
      <c r="E982" s="6" t="s">
        <v>438</v>
      </c>
      <c r="F982" s="6" t="str">
        <f>IF($M982="PADD I","PADD 1",IF($M982="PADD II","PADD 2",IF($M982="PADD III","PADD 3",IF($M982="PADD IV","PADD 4",IF($M982="PADD V","PADD 5","")))))</f>
        <v>PADD 4</v>
      </c>
      <c r="G982" s="6" t="str">
        <f>IF(AND($H982="ATMOS DISTILLATION",ISNUMBER(SEARCH("VPS",$I982))=FALSE,LEFT($I982,6)&lt;&gt;"VACUUM"),"CDU",IF($H982="FLUID CAT CRACKING","FCC",IF(OR($H982="HYDROCRACKING",$H982="RESID_HYDROCRACKING"),"Hydrocracker",IF($H982="REFORMING","Reformer",""))))</f>
        <v>CDU</v>
      </c>
      <c r="H982" s="6" t="s">
        <v>38</v>
      </c>
      <c r="I982" s="6" t="s">
        <v>330</v>
      </c>
      <c r="J982" s="6" t="s">
        <v>349</v>
      </c>
      <c r="K982" s="10">
        <v>11.2</v>
      </c>
      <c r="L982" s="10">
        <v>28</v>
      </c>
      <c r="M982" s="6" t="s">
        <v>430</v>
      </c>
    </row>
    <row r="983" spans="1:13">
      <c r="A983" s="6">
        <v>2023</v>
      </c>
      <c r="B983" s="6">
        <v>4</v>
      </c>
      <c r="C983" s="6" t="s">
        <v>62</v>
      </c>
      <c r="D983" s="6" t="s">
        <v>680</v>
      </c>
      <c r="E983" s="6" t="s">
        <v>681</v>
      </c>
      <c r="F983" s="6" t="str">
        <f>IF($M983="PADD I","PADD 1",IF($M983="PADD II","PADD 2",IF($M983="PADD III","PADD 3",IF($M983="PADD IV","PADD 4",IF($M983="PADD V","PADD 5","")))))</f>
        <v>PADD 3</v>
      </c>
      <c r="G983" s="6">
        <f>IF(AND($H983="ATMOS DISTILLATION",ISNUMBER(SEARCH("VPS",$I983))=FALSE,LEFT($I983,6)&lt;&gt;"VACUUM"),"CDU",IF($H983="FLUID CAT CRACKING","FCC",IF(OR($H983="HYDROCRACKING",$H983="RESID_HYDROCRACKING"),"Hydrocracker",IF($H983="REFORMING","Reformer",""))))</f>
        <v/>
      </c>
      <c r="H983" s="6" t="s">
        <v>43</v>
      </c>
      <c r="I983" s="6" t="s">
        <v>709</v>
      </c>
      <c r="J983" s="6" t="s">
        <v>349</v>
      </c>
      <c r="K983" s="10">
        <v>11.16</v>
      </c>
      <c r="L983" s="10">
        <v>12</v>
      </c>
      <c r="M983" s="6" t="s">
        <v>371</v>
      </c>
    </row>
    <row r="984" spans="1:13">
      <c r="A984" s="6">
        <v>2023</v>
      </c>
      <c r="B984" s="6">
        <v>4</v>
      </c>
      <c r="C984" s="6" t="s">
        <v>62</v>
      </c>
      <c r="D984" s="6" t="s">
        <v>770</v>
      </c>
      <c r="E984" s="6" t="s">
        <v>660</v>
      </c>
      <c r="F984" s="6" t="str">
        <f>IF($M984="PADD I","PADD 1",IF($M984="PADD II","PADD 2",IF($M984="PADD III","PADD 3",IF($M984="PADD IV","PADD 4",IF($M984="PADD V","PADD 5","")))))</f>
        <v>PADD 3</v>
      </c>
      <c r="G984" s="6">
        <f>IF(AND($H984="ATMOS DISTILLATION",ISNUMBER(SEARCH("VPS",$I984))=FALSE,LEFT($I984,6)&lt;&gt;"VACUUM"),"CDU",IF($H984="FLUID CAT CRACKING","FCC",IF(OR($H984="HYDROCRACKING",$H984="RESID_HYDROCRACKING"),"Hydrocracker",IF($H984="REFORMING","Reformer",""))))</f>
        <v/>
      </c>
      <c r="H984" s="6" t="s">
        <v>43</v>
      </c>
      <c r="I984" s="6" t="s">
        <v>796</v>
      </c>
      <c r="J984" s="6" t="s">
        <v>349</v>
      </c>
      <c r="K984" s="10">
        <v>11</v>
      </c>
      <c r="L984" s="10">
        <v>11</v>
      </c>
      <c r="M984" s="6" t="s">
        <v>371</v>
      </c>
    </row>
    <row r="985" spans="1:13">
      <c r="A985" s="6">
        <v>2023</v>
      </c>
      <c r="B985" s="6">
        <v>4</v>
      </c>
      <c r="C985" s="6" t="s">
        <v>62</v>
      </c>
      <c r="D985" s="6" t="s">
        <v>732</v>
      </c>
      <c r="E985" s="6" t="s">
        <v>733</v>
      </c>
      <c r="F985" s="6" t="str">
        <f>IF($M985="PADD I","PADD 1",IF($M985="PADD II","PADD 2",IF($M985="PADD III","PADD 3",IF($M985="PADD IV","PADD 4",IF($M985="PADD V","PADD 5","")))))</f>
        <v>PADD 4</v>
      </c>
      <c r="G985" s="6">
        <f>IF(AND($H985="ATMOS DISTILLATION",ISNUMBER(SEARCH("VPS",$I985))=FALSE,LEFT($I985,6)&lt;&gt;"VACUUM"),"CDU",IF($H985="FLUID CAT CRACKING","FCC",IF(OR($H985="HYDROCRACKING",$H985="RESID_HYDROCRACKING"),"Hydrocracker",IF($H985="REFORMING","Reformer",""))))</f>
        <v/>
      </c>
      <c r="H985" s="6" t="s">
        <v>378</v>
      </c>
      <c r="I985" s="6" t="s">
        <v>431</v>
      </c>
      <c r="J985" s="6" t="s">
        <v>349</v>
      </c>
      <c r="K985" s="10">
        <v>11</v>
      </c>
      <c r="L985" s="10">
        <v>11</v>
      </c>
      <c r="M985" s="6" t="s">
        <v>430</v>
      </c>
    </row>
    <row r="986" spans="1:13">
      <c r="A986" s="6">
        <v>2023</v>
      </c>
      <c r="B986" s="6">
        <v>4</v>
      </c>
      <c r="C986" s="6" t="s">
        <v>62</v>
      </c>
      <c r="D986" s="6" t="s">
        <v>420</v>
      </c>
      <c r="E986" s="6" t="s">
        <v>373</v>
      </c>
      <c r="F986" s="6" t="str">
        <f>IF($M986="PADD I","PADD 1",IF($M986="PADD II","PADD 2",IF($M986="PADD III","PADD 3",IF($M986="PADD IV","PADD 4",IF($M986="PADD V","PADD 5","")))))</f>
        <v>PADD 2</v>
      </c>
      <c r="G986" s="6">
        <f>IF(AND($H986="ATMOS DISTILLATION",ISNUMBER(SEARCH("VPS",$I986))=FALSE,LEFT($I986,6)&lt;&gt;"VACUUM"),"CDU",IF($H986="FLUID CAT CRACKING","FCC",IF(OR($H986="HYDROCRACKING",$H986="RESID_HYDROCRACKING"),"Hydrocracker",IF($H986="REFORMING","Reformer",""))))</f>
        <v/>
      </c>
      <c r="H986" s="6" t="s">
        <v>43</v>
      </c>
      <c r="I986" s="6" t="s">
        <v>546</v>
      </c>
      <c r="J986" s="6" t="s">
        <v>345</v>
      </c>
      <c r="K986" s="10">
        <v>11</v>
      </c>
      <c r="L986" s="10">
        <v>11</v>
      </c>
      <c r="M986" s="6" t="s">
        <v>375</v>
      </c>
    </row>
    <row r="987" spans="1:13">
      <c r="A987" s="6">
        <v>2023</v>
      </c>
      <c r="B987" s="6">
        <v>4</v>
      </c>
      <c r="C987" s="6" t="s">
        <v>62</v>
      </c>
      <c r="D987" s="6" t="s">
        <v>742</v>
      </c>
      <c r="E987" s="6" t="s">
        <v>388</v>
      </c>
      <c r="F987" s="6" t="str">
        <f>IF($M987="PADD I","PADD 1",IF($M987="PADD II","PADD 2",IF($M987="PADD III","PADD 3",IF($M987="PADD IV","PADD 4",IF($M987="PADD V","PADD 5","")))))</f>
        <v>PADD 5</v>
      </c>
      <c r="G987" s="6">
        <f>IF(AND($H987="ATMOS DISTILLATION",ISNUMBER(SEARCH("VPS",$I987))=FALSE,LEFT($I987,6)&lt;&gt;"VACUUM"),"CDU",IF($H987="FLUID CAT CRACKING","FCC",IF(OR($H987="HYDROCRACKING",$H987="RESID_HYDROCRACKING"),"Hydrocracker",IF($H987="REFORMING","Reformer",""))))</f>
        <v/>
      </c>
      <c r="H987" s="6" t="s">
        <v>460</v>
      </c>
      <c r="I987" s="6" t="s">
        <v>461</v>
      </c>
      <c r="J987" s="6" t="s">
        <v>349</v>
      </c>
      <c r="K987" s="10">
        <v>11</v>
      </c>
      <c r="L987" s="10">
        <v>11</v>
      </c>
      <c r="M987" s="6" t="s">
        <v>386</v>
      </c>
    </row>
    <row r="988" spans="1:13">
      <c r="A988" s="6">
        <v>2023</v>
      </c>
      <c r="B988" s="6">
        <v>4</v>
      </c>
      <c r="C988" s="6" t="s">
        <v>62</v>
      </c>
      <c r="D988" s="6" t="s">
        <v>778</v>
      </c>
      <c r="E988" s="6" t="s">
        <v>779</v>
      </c>
      <c r="F988" s="6" t="str">
        <f>IF($M988="PADD I","PADD 1",IF($M988="PADD II","PADD 2",IF($M988="PADD III","PADD 3",IF($M988="PADD IV","PADD 4",IF($M988="PADD V","PADD 5","")))))</f>
        <v>PADD 3</v>
      </c>
      <c r="G988" s="6">
        <f>IF(AND($H988="ATMOS DISTILLATION",ISNUMBER(SEARCH("VPS",$I988))=FALSE,LEFT($I988,6)&lt;&gt;"VACUUM"),"CDU",IF($H988="FLUID CAT CRACKING","FCC",IF(OR($H988="HYDROCRACKING",$H988="RESID_HYDROCRACKING"),"Hydrocracker",IF($H988="REFORMING","Reformer",""))))</f>
        <v/>
      </c>
      <c r="H988" s="6" t="s">
        <v>378</v>
      </c>
      <c r="I988" s="6" t="s">
        <v>797</v>
      </c>
      <c r="J988" s="6" t="s">
        <v>345</v>
      </c>
      <c r="K988" s="10">
        <v>10.8069</v>
      </c>
      <c r="L988" s="10">
        <v>83.13</v>
      </c>
      <c r="M988" s="6" t="s">
        <v>371</v>
      </c>
    </row>
    <row r="989" spans="1:13">
      <c r="A989" s="6">
        <v>2023</v>
      </c>
      <c r="B989" s="6">
        <v>4</v>
      </c>
      <c r="C989" s="6" t="s">
        <v>62</v>
      </c>
      <c r="D989" s="6" t="s">
        <v>770</v>
      </c>
      <c r="E989" s="6" t="s">
        <v>660</v>
      </c>
      <c r="F989" s="6" t="str">
        <f>IF($M989="PADD I","PADD 1",IF($M989="PADD II","PADD 2",IF($M989="PADD III","PADD 3",IF($M989="PADD IV","PADD 4",IF($M989="PADD V","PADD 5","")))))</f>
        <v>PADD 3</v>
      </c>
      <c r="G989" s="6">
        <f>IF(AND($H989="ATMOS DISTILLATION",ISNUMBER(SEARCH("VPS",$I989))=FALSE,LEFT($I989,6)&lt;&gt;"VACUUM"),"CDU",IF($H989="FLUID CAT CRACKING","FCC",IF(OR($H989="HYDROCRACKING",$H989="RESID_HYDROCRACKING"),"Hydrocracker",IF($H989="REFORMING","Reformer",""))))</f>
        <v/>
      </c>
      <c r="H989" s="6" t="s">
        <v>523</v>
      </c>
      <c r="I989" s="6" t="s">
        <v>524</v>
      </c>
      <c r="J989" s="6" t="s">
        <v>349</v>
      </c>
      <c r="K989" s="10">
        <v>10.8</v>
      </c>
      <c r="L989" s="10">
        <v>10.8</v>
      </c>
      <c r="M989" s="6" t="s">
        <v>371</v>
      </c>
    </row>
    <row r="990" spans="1:13">
      <c r="A990" s="6">
        <v>2023</v>
      </c>
      <c r="B990" s="6">
        <v>4</v>
      </c>
      <c r="C990" s="6" t="s">
        <v>62</v>
      </c>
      <c r="D990" s="6" t="s">
        <v>778</v>
      </c>
      <c r="E990" s="6" t="s">
        <v>779</v>
      </c>
      <c r="F990" s="6" t="str">
        <f>IF($M990="PADD I","PADD 1",IF($M990="PADD II","PADD 2",IF($M990="PADD III","PADD 3",IF($M990="PADD IV","PADD 4",IF($M990="PADD V","PADD 5","")))))</f>
        <v>PADD 3</v>
      </c>
      <c r="G990" s="6">
        <f>IF(AND($H990="ATMOS DISTILLATION",ISNUMBER(SEARCH("VPS",$I990))=FALSE,LEFT($I990,6)&lt;&gt;"VACUUM"),"CDU",IF($H990="FLUID CAT CRACKING","FCC",IF(OR($H990="HYDROCRACKING",$H990="RESID_HYDROCRACKING"),"Hydrocracker",IF($H990="REFORMING","Reformer",""))))</f>
        <v/>
      </c>
      <c r="H990" s="6" t="s">
        <v>378</v>
      </c>
      <c r="I990" s="6" t="s">
        <v>798</v>
      </c>
      <c r="J990" s="6" t="s">
        <v>345</v>
      </c>
      <c r="K990" s="10">
        <v>10.79</v>
      </c>
      <c r="L990" s="10">
        <v>83</v>
      </c>
      <c r="M990" s="6" t="s">
        <v>371</v>
      </c>
    </row>
    <row r="991" spans="1:13">
      <c r="A991" s="6">
        <v>2023</v>
      </c>
      <c r="B991" s="6">
        <v>4</v>
      </c>
      <c r="C991" s="6" t="s">
        <v>62</v>
      </c>
      <c r="D991" s="6" t="s">
        <v>437</v>
      </c>
      <c r="E991" s="6" t="s">
        <v>438</v>
      </c>
      <c r="F991" s="6" t="str">
        <f>IF($M991="PADD I","PADD 1",IF($M991="PADD II","PADD 2",IF($M991="PADD III","PADD 3",IF($M991="PADD IV","PADD 4",IF($M991="PADD V","PADD 5","")))))</f>
        <v>PADD 4</v>
      </c>
      <c r="G991" s="6" t="str">
        <f>IF(AND($H991="ATMOS DISTILLATION",ISNUMBER(SEARCH("VPS",$I991))=FALSE,LEFT($I991,6)&lt;&gt;"VACUUM"),"CDU",IF($H991="FLUID CAT CRACKING","FCC",IF(OR($H991="HYDROCRACKING",$H991="RESID_HYDROCRACKING"),"Hydrocracker",IF($H991="REFORMING","Reformer",""))))</f>
        <v>CDU</v>
      </c>
      <c r="H991" s="6" t="s">
        <v>38</v>
      </c>
      <c r="I991" s="6" t="s">
        <v>439</v>
      </c>
      <c r="J991" s="6" t="s">
        <v>345</v>
      </c>
      <c r="K991" s="10">
        <v>10.53</v>
      </c>
      <c r="L991" s="10">
        <v>39</v>
      </c>
      <c r="M991" s="6" t="s">
        <v>430</v>
      </c>
    </row>
    <row r="992" spans="1:13">
      <c r="A992" s="6">
        <v>2023</v>
      </c>
      <c r="B992" s="6">
        <v>4</v>
      </c>
      <c r="C992" s="6" t="s">
        <v>62</v>
      </c>
      <c r="D992" s="6" t="s">
        <v>748</v>
      </c>
      <c r="E992" s="6" t="s">
        <v>388</v>
      </c>
      <c r="F992" s="6" t="str">
        <f>IF($M992="PADD I","PADD 1",IF($M992="PADD II","PADD 2",IF($M992="PADD III","PADD 3",IF($M992="PADD IV","PADD 4",IF($M992="PADD V","PADD 5","")))))</f>
        <v>PADD 3</v>
      </c>
      <c r="G992" s="6">
        <f>IF(AND($H992="ATMOS DISTILLATION",ISNUMBER(SEARCH("VPS",$I992))=FALSE,LEFT($I992,6)&lt;&gt;"VACUUM"),"CDU",IF($H992="FLUID CAT CRACKING","FCC",IF(OR($H992="HYDROCRACKING",$H992="RESID_HYDROCRACKING"),"Hydrocracker",IF($H992="REFORMING","Reformer",""))))</f>
        <v/>
      </c>
      <c r="H992" s="6" t="s">
        <v>43</v>
      </c>
      <c r="I992" s="6" t="s">
        <v>767</v>
      </c>
      <c r="J992" s="6" t="s">
        <v>349</v>
      </c>
      <c r="K992" s="10">
        <v>10.5</v>
      </c>
      <c r="L992" s="10">
        <v>10.5</v>
      </c>
      <c r="M992" s="6" t="s">
        <v>371</v>
      </c>
    </row>
    <row r="993" spans="1:13">
      <c r="A993" s="6">
        <v>2023</v>
      </c>
      <c r="B993" s="6">
        <v>4</v>
      </c>
      <c r="C993" s="6" t="s">
        <v>62</v>
      </c>
      <c r="D993" s="6" t="s">
        <v>799</v>
      </c>
      <c r="E993" s="6" t="s">
        <v>391</v>
      </c>
      <c r="F993" s="6" t="str">
        <f>IF($M993="PADD I","PADD 1",IF($M993="PADD II","PADD 2",IF($M993="PADD III","PADD 3",IF($M993="PADD IV","PADD 4",IF($M993="PADD V","PADD 5","")))))</f>
        <v>PADD 4</v>
      </c>
      <c r="G993" s="6" t="str">
        <f>IF(AND($H993="ATMOS DISTILLATION",ISNUMBER(SEARCH("VPS",$I993))=FALSE,LEFT($I993,6)&lt;&gt;"VACUUM"),"CDU",IF($H993="FLUID CAT CRACKING","FCC",IF(OR($H993="HYDROCRACKING",$H993="RESID_HYDROCRACKING"),"Hydrocracker",IF($H993="REFORMING","Reformer",""))))</f>
        <v>FCC</v>
      </c>
      <c r="H993" s="6" t="s">
        <v>376</v>
      </c>
      <c r="I993" s="6" t="s">
        <v>800</v>
      </c>
      <c r="J993" s="6" t="s">
        <v>349</v>
      </c>
      <c r="K993" s="10">
        <v>10.4</v>
      </c>
      <c r="L993" s="10">
        <v>13</v>
      </c>
      <c r="M993" s="6" t="s">
        <v>430</v>
      </c>
    </row>
    <row r="994" spans="1:13">
      <c r="A994" s="6">
        <v>2023</v>
      </c>
      <c r="B994" s="6">
        <v>4</v>
      </c>
      <c r="C994" s="6" t="s">
        <v>62</v>
      </c>
      <c r="D994" s="6" t="s">
        <v>526</v>
      </c>
      <c r="E994" s="6" t="s">
        <v>405</v>
      </c>
      <c r="F994" s="6" t="str">
        <f>IF($M994="PADD I","PADD 1",IF($M994="PADD II","PADD 2",IF($M994="PADD III","PADD 3",IF($M994="PADD IV","PADD 4",IF($M994="PADD V","PADD 5","")))))</f>
        <v>PADD 3</v>
      </c>
      <c r="G994" s="6" t="str">
        <f>IF(AND($H994="ATMOS DISTILLATION",ISNUMBER(SEARCH("VPS",$I994))=FALSE,LEFT($I994,6)&lt;&gt;"VACUUM"),"CDU",IF($H994="FLUID CAT CRACKING","FCC",IF(OR($H994="HYDROCRACKING",$H994="RESID_HYDROCRACKING"),"Hydrocracker",IF($H994="REFORMING","Reformer",""))))</f>
        <v>Hydrocracker</v>
      </c>
      <c r="H994" s="6" t="s">
        <v>444</v>
      </c>
      <c r="I994" s="6" t="s">
        <v>351</v>
      </c>
      <c r="J994" s="6" t="s">
        <v>349</v>
      </c>
      <c r="K994" s="10">
        <v>10.35</v>
      </c>
      <c r="L994" s="10">
        <v>45</v>
      </c>
      <c r="M994" s="6" t="s">
        <v>371</v>
      </c>
    </row>
    <row r="995" spans="1:13">
      <c r="A995" s="6">
        <v>2023</v>
      </c>
      <c r="B995" s="6">
        <v>4</v>
      </c>
      <c r="C995" s="6" t="s">
        <v>62</v>
      </c>
      <c r="D995" s="6" t="s">
        <v>680</v>
      </c>
      <c r="E995" s="6" t="s">
        <v>681</v>
      </c>
      <c r="F995" s="6" t="str">
        <f>IF($M995="PADD I","PADD 1",IF($M995="PADD II","PADD 2",IF($M995="PADD III","PADD 3",IF($M995="PADD IV","PADD 4",IF($M995="PADD V","PADD 5","")))))</f>
        <v>PADD 3</v>
      </c>
      <c r="G995" s="6">
        <f>IF(AND($H995="ATMOS DISTILLATION",ISNUMBER(SEARCH("VPS",$I995))=FALSE,LEFT($I995,6)&lt;&gt;"VACUUM"),"CDU",IF($H995="FLUID CAT CRACKING","FCC",IF(OR($H995="HYDROCRACKING",$H995="RESID_HYDROCRACKING"),"Hydrocracker",IF($H995="REFORMING","Reformer",""))))</f>
        <v/>
      </c>
      <c r="H995" s="6" t="s">
        <v>568</v>
      </c>
      <c r="I995" s="6" t="s">
        <v>713</v>
      </c>
      <c r="J995" s="6" t="s">
        <v>349</v>
      </c>
      <c r="K995" s="10">
        <v>10.23</v>
      </c>
      <c r="L995" s="10">
        <v>11</v>
      </c>
      <c r="M995" s="6" t="s">
        <v>371</v>
      </c>
    </row>
    <row r="996" spans="1:13">
      <c r="A996" s="6">
        <v>2023</v>
      </c>
      <c r="B996" s="6">
        <v>4</v>
      </c>
      <c r="C996" s="6" t="s">
        <v>62</v>
      </c>
      <c r="D996" s="6" t="s">
        <v>675</v>
      </c>
      <c r="E996" s="6" t="s">
        <v>452</v>
      </c>
      <c r="F996" s="6" t="str">
        <f>IF($M996="PADD I","PADD 1",IF($M996="PADD II","PADD 2",IF($M996="PADD III","PADD 3",IF($M996="PADD IV","PADD 4",IF($M996="PADD V","PADD 5","")))))</f>
        <v>PADD 2</v>
      </c>
      <c r="G996" s="6">
        <f>IF(AND($H996="ATMOS DISTILLATION",ISNUMBER(SEARCH("VPS",$I996))=FALSE,LEFT($I996,6)&lt;&gt;"VACUUM"),"CDU",IF($H996="FLUID CAT CRACKING","FCC",IF(OR($H996="HYDROCRACKING",$H996="RESID_HYDROCRACKING"),"Hydrocracker",IF($H996="REFORMING","Reformer",""))))</f>
        <v/>
      </c>
      <c r="H996" s="6" t="s">
        <v>568</v>
      </c>
      <c r="I996" s="6" t="s">
        <v>604</v>
      </c>
      <c r="J996" s="6" t="s">
        <v>349</v>
      </c>
      <c r="K996" s="10">
        <v>10.05</v>
      </c>
      <c r="L996" s="10">
        <v>15</v>
      </c>
      <c r="M996" s="6" t="s">
        <v>375</v>
      </c>
    </row>
    <row r="997" spans="1:13">
      <c r="A997" s="6">
        <v>2023</v>
      </c>
      <c r="B997" s="6">
        <v>4</v>
      </c>
      <c r="C997" s="6" t="s">
        <v>62</v>
      </c>
      <c r="D997" s="6" t="s">
        <v>732</v>
      </c>
      <c r="E997" s="6" t="s">
        <v>733</v>
      </c>
      <c r="F997" s="6" t="str">
        <f>IF($M997="PADD I","PADD 1",IF($M997="PADD II","PADD 2",IF($M997="PADD III","PADD 3",IF($M997="PADD IV","PADD 4",IF($M997="PADD V","PADD 5","")))))</f>
        <v>PADD 4</v>
      </c>
      <c r="G997" s="6">
        <f>IF(AND($H997="ATMOS DISTILLATION",ISNUMBER(SEARCH("VPS",$I997))=FALSE,LEFT($I997,6)&lt;&gt;"VACUUM"),"CDU",IF($H997="FLUID CAT CRACKING","FCC",IF(OR($H997="HYDROCRACKING",$H997="RESID_HYDROCRACKING"),"Hydrocracker",IF($H997="REFORMING","Reformer",""))))</f>
        <v/>
      </c>
      <c r="H997" s="6" t="s">
        <v>43</v>
      </c>
      <c r="I997" s="6" t="s">
        <v>751</v>
      </c>
      <c r="J997" s="6" t="s">
        <v>349</v>
      </c>
      <c r="K997" s="10">
        <v>10</v>
      </c>
      <c r="L997" s="10">
        <v>10</v>
      </c>
      <c r="M997" s="6" t="s">
        <v>430</v>
      </c>
    </row>
    <row r="998" spans="1:13">
      <c r="A998" s="6">
        <v>2023</v>
      </c>
      <c r="B998" s="6">
        <v>4</v>
      </c>
      <c r="C998" s="6" t="s">
        <v>62</v>
      </c>
      <c r="D998" s="6" t="s">
        <v>723</v>
      </c>
      <c r="E998" s="6" t="s">
        <v>724</v>
      </c>
      <c r="F998" s="6" t="str">
        <f>IF($M998="PADD I","PADD 1",IF($M998="PADD II","PADD 2",IF($M998="PADD III","PADD 3",IF($M998="PADD IV","PADD 4",IF($M998="PADD V","PADD 5","")))))</f>
        <v>PADD 4</v>
      </c>
      <c r="G998" s="6" t="str">
        <f>IF(AND($H998="ATMOS DISTILLATION",ISNUMBER(SEARCH("VPS",$I998))=FALSE,LEFT($I998,6)&lt;&gt;"VACUUM"),"CDU",IF($H998="FLUID CAT CRACKING","FCC",IF(OR($H998="HYDROCRACKING",$H998="RESID_HYDROCRACKING"),"Hydrocracker",IF($H998="REFORMING","Reformer",""))))</f>
        <v>Reformer</v>
      </c>
      <c r="H998" s="6" t="s">
        <v>421</v>
      </c>
      <c r="I998" s="6" t="s">
        <v>725</v>
      </c>
      <c r="J998" s="6" t="s">
        <v>349</v>
      </c>
      <c r="K998" s="10">
        <v>10</v>
      </c>
      <c r="L998" s="10">
        <v>10</v>
      </c>
      <c r="M998" s="6" t="s">
        <v>430</v>
      </c>
    </row>
    <row r="999" spans="1:13">
      <c r="A999" s="6">
        <v>2023</v>
      </c>
      <c r="B999" s="6">
        <v>4</v>
      </c>
      <c r="C999" s="6" t="s">
        <v>62</v>
      </c>
      <c r="D999" s="6" t="s">
        <v>801</v>
      </c>
      <c r="E999" s="6" t="s">
        <v>779</v>
      </c>
      <c r="F999" s="6" t="str">
        <f>IF($M999="PADD I","PADD 1",IF($M999="PADD II","PADD 2",IF($M999="PADD III","PADD 3",IF($M999="PADD IV","PADD 4",IF($M999="PADD V","PADD 5","")))))</f>
        <v>PADD 2</v>
      </c>
      <c r="G999" s="6">
        <f>IF(AND($H999="ATMOS DISTILLATION",ISNUMBER(SEARCH("VPS",$I999))=FALSE,LEFT($I999,6)&lt;&gt;"VACUUM"),"CDU",IF($H999="FLUID CAT CRACKING","FCC",IF(OR($H999="HYDROCRACKING",$H999="RESID_HYDROCRACKING"),"Hydrocracker",IF($H999="REFORMING","Reformer",""))))</f>
        <v/>
      </c>
      <c r="H999" s="6" t="s">
        <v>435</v>
      </c>
      <c r="I999" s="6" t="s">
        <v>802</v>
      </c>
      <c r="J999" s="6" t="s">
        <v>345</v>
      </c>
      <c r="K999" s="10">
        <v>9.6</v>
      </c>
      <c r="L999" s="10">
        <v>24</v>
      </c>
      <c r="M999" s="6" t="s">
        <v>375</v>
      </c>
    </row>
    <row r="1000" spans="1:13">
      <c r="A1000" s="6">
        <v>2023</v>
      </c>
      <c r="B1000" s="6">
        <v>4</v>
      </c>
      <c r="C1000" s="6" t="s">
        <v>62</v>
      </c>
      <c r="D1000" s="6" t="s">
        <v>52</v>
      </c>
      <c r="E1000" s="6" t="s">
        <v>388</v>
      </c>
      <c r="F1000" s="6" t="str">
        <f>IF($M1000="PADD I","PADD 1",IF($M1000="PADD II","PADD 2",IF($M1000="PADD III","PADD 3",IF($M1000="PADD IV","PADD 4",IF($M1000="PADD V","PADD 5","")))))</f>
        <v>PADD 5</v>
      </c>
      <c r="G1000" s="6">
        <f>IF(AND($H1000="ATMOS DISTILLATION",ISNUMBER(SEARCH("VPS",$I1000))=FALSE,LEFT($I1000,6)&lt;&gt;"VACUUM"),"CDU",IF($H1000="FLUID CAT CRACKING","FCC",IF(OR($H1000="HYDROCRACKING",$H1000="RESID_HYDROCRACKING"),"Hydrocracker",IF($H1000="REFORMING","Reformer",""))))</f>
        <v/>
      </c>
      <c r="H1000" s="6" t="s">
        <v>378</v>
      </c>
      <c r="I1000" s="6" t="s">
        <v>431</v>
      </c>
      <c r="J1000" s="6" t="s">
        <v>349</v>
      </c>
      <c r="K1000" s="10">
        <v>9.404999999999999</v>
      </c>
      <c r="L1000" s="10">
        <v>16.5</v>
      </c>
      <c r="M1000" s="6" t="s">
        <v>386</v>
      </c>
    </row>
    <row r="1001" spans="1:13">
      <c r="A1001" s="6">
        <v>2023</v>
      </c>
      <c r="B1001" s="6">
        <v>4</v>
      </c>
      <c r="C1001" s="6" t="s">
        <v>62</v>
      </c>
      <c r="D1001" s="6" t="s">
        <v>53</v>
      </c>
      <c r="E1001" s="6" t="s">
        <v>543</v>
      </c>
      <c r="F1001" s="6" t="str">
        <f>IF($M1001="PADD I","PADD 1",IF($M1001="PADD II","PADD 2",IF($M1001="PADD III","PADD 3",IF($M1001="PADD IV","PADD 4",IF($M1001="PADD V","PADD 5","")))))</f>
        <v>PADD 5</v>
      </c>
      <c r="G1001" s="6" t="str">
        <f>IF(AND($H1001="ATMOS DISTILLATION",ISNUMBER(SEARCH("VPS",$I1001))=FALSE,LEFT($I1001,6)&lt;&gt;"VACUUM"),"CDU",IF($H1001="FLUID CAT CRACKING","FCC",IF(OR($H1001="HYDROCRACKING",$H1001="RESID_HYDROCRACKING"),"Hydrocracker",IF($H1001="REFORMING","Reformer",""))))</f>
        <v>Reformer</v>
      </c>
      <c r="H1001" s="6" t="s">
        <v>421</v>
      </c>
      <c r="I1001" s="6" t="s">
        <v>557</v>
      </c>
      <c r="J1001" s="6" t="s">
        <v>349</v>
      </c>
      <c r="K1001" s="10">
        <v>9.135</v>
      </c>
      <c r="L1001" s="10">
        <v>10.5</v>
      </c>
      <c r="M1001" s="6" t="s">
        <v>386</v>
      </c>
    </row>
    <row r="1002" spans="1:13">
      <c r="A1002" s="6">
        <v>2023</v>
      </c>
      <c r="B1002" s="6">
        <v>4</v>
      </c>
      <c r="C1002" s="6" t="s">
        <v>62</v>
      </c>
      <c r="D1002" s="6" t="s">
        <v>715</v>
      </c>
      <c r="E1002" s="6" t="s">
        <v>716</v>
      </c>
      <c r="F1002" s="6" t="str">
        <f>IF($M1002="PADD I","PADD 1",IF($M1002="PADD II","PADD 2",IF($M1002="PADD III","PADD 3",IF($M1002="PADD IV","PADD 4",IF($M1002="PADD V","PADD 5","")))))</f>
        <v>PADD 2</v>
      </c>
      <c r="G1002" s="6">
        <f>IF(AND($H1002="ATMOS DISTILLATION",ISNUMBER(SEARCH("VPS",$I1002))=FALSE,LEFT($I1002,6)&lt;&gt;"VACUUM"),"CDU",IF($H1002="FLUID CAT CRACKING","FCC",IF(OR($H1002="HYDROCRACKING",$H1002="RESID_HYDROCRACKING"),"Hydrocracker",IF($H1002="REFORMING","Reformer",""))))</f>
        <v/>
      </c>
      <c r="H1002" s="6" t="s">
        <v>460</v>
      </c>
      <c r="I1002" s="6" t="s">
        <v>616</v>
      </c>
      <c r="J1002" s="6" t="s">
        <v>349</v>
      </c>
      <c r="K1002" s="10">
        <v>9.119999999999999</v>
      </c>
      <c r="L1002" s="10">
        <v>16</v>
      </c>
      <c r="M1002" s="6" t="s">
        <v>375</v>
      </c>
    </row>
    <row r="1003" spans="1:13">
      <c r="A1003" s="6">
        <v>2023</v>
      </c>
      <c r="B1003" s="6">
        <v>4</v>
      </c>
      <c r="C1003" s="6" t="s">
        <v>62</v>
      </c>
      <c r="D1003" s="6" t="s">
        <v>462</v>
      </c>
      <c r="E1003" s="6" t="s">
        <v>438</v>
      </c>
      <c r="F1003" s="6" t="str">
        <f>IF($M1003="PADD I","PADD 1",IF($M1003="PADD II","PADD 2",IF($M1003="PADD III","PADD 3",IF($M1003="PADD IV","PADD 4",IF($M1003="PADD V","PADD 5","")))))</f>
        <v>PADD 4</v>
      </c>
      <c r="G1003" s="6">
        <f>IF(AND($H1003="ATMOS DISTILLATION",ISNUMBER(SEARCH("VPS",$I1003))=FALSE,LEFT($I1003,6)&lt;&gt;"VACUUM"),"CDU",IF($H1003="FLUID CAT CRACKING","FCC",IF(OR($H1003="HYDROCRACKING",$H1003="RESID_HYDROCRACKING"),"Hydrocracker",IF($H1003="REFORMING","Reformer",""))))</f>
        <v/>
      </c>
      <c r="H1003" s="6" t="s">
        <v>43</v>
      </c>
      <c r="I1003" s="6" t="s">
        <v>470</v>
      </c>
      <c r="J1003" s="6" t="s">
        <v>345</v>
      </c>
      <c r="K1003" s="10">
        <v>9</v>
      </c>
      <c r="L1003" s="10">
        <v>30</v>
      </c>
      <c r="M1003" s="6" t="s">
        <v>430</v>
      </c>
    </row>
    <row r="1004" spans="1:13">
      <c r="A1004" s="6">
        <v>2023</v>
      </c>
      <c r="B1004" s="6">
        <v>4</v>
      </c>
      <c r="C1004" s="6" t="s">
        <v>62</v>
      </c>
      <c r="D1004" s="6" t="s">
        <v>518</v>
      </c>
      <c r="E1004" s="6" t="s">
        <v>369</v>
      </c>
      <c r="F1004" s="6" t="str">
        <f>IF($M1004="PADD I","PADD 1",IF($M1004="PADD II","PADD 2",IF($M1004="PADD III","PADD 3",IF($M1004="PADD IV","PADD 4",IF($M1004="PADD V","PADD 5","")))))</f>
        <v>PADD 5</v>
      </c>
      <c r="G1004" s="6" t="str">
        <f>IF(AND($H1004="ATMOS DISTILLATION",ISNUMBER(SEARCH("VPS",$I1004))=FALSE,LEFT($I1004,6)&lt;&gt;"VACUUM"),"CDU",IF($H1004="FLUID CAT CRACKING","FCC",IF(OR($H1004="HYDROCRACKING",$H1004="RESID_HYDROCRACKING"),"Hydrocracker",IF($H1004="REFORMING","Reformer",""))))</f>
        <v>CDU</v>
      </c>
      <c r="H1004" s="6" t="s">
        <v>38</v>
      </c>
      <c r="I1004" s="6" t="s">
        <v>553</v>
      </c>
      <c r="J1004" s="6" t="s">
        <v>345</v>
      </c>
      <c r="K1004" s="10">
        <v>8.640000000000001</v>
      </c>
      <c r="L1004" s="10">
        <v>32</v>
      </c>
      <c r="M1004" s="6" t="s">
        <v>386</v>
      </c>
    </row>
    <row r="1005" spans="1:13">
      <c r="A1005" s="6">
        <v>2023</v>
      </c>
      <c r="B1005" s="6">
        <v>4</v>
      </c>
      <c r="C1005" s="6" t="s">
        <v>62</v>
      </c>
      <c r="D1005" s="6" t="s">
        <v>52</v>
      </c>
      <c r="E1005" s="6" t="s">
        <v>388</v>
      </c>
      <c r="F1005" s="6" t="str">
        <f>IF($M1005="PADD I","PADD 1",IF($M1005="PADD II","PADD 2",IF($M1005="PADD III","PADD 3",IF($M1005="PADD IV","PADD 4",IF($M1005="PADD V","PADD 5","")))))</f>
        <v>PADD 5</v>
      </c>
      <c r="G1005" s="6">
        <f>IF(AND($H1005="ATMOS DISTILLATION",ISNUMBER(SEARCH("VPS",$I1005))=FALSE,LEFT($I1005,6)&lt;&gt;"VACUUM"),"CDU",IF($H1005="FLUID CAT CRACKING","FCC",IF(OR($H1005="HYDROCRACKING",$H1005="RESID_HYDROCRACKING"),"Hydrocracker",IF($H1005="REFORMING","Reformer",""))))</f>
        <v/>
      </c>
      <c r="H1005" s="6" t="s">
        <v>43</v>
      </c>
      <c r="I1005" s="6" t="s">
        <v>501</v>
      </c>
      <c r="J1005" s="6" t="s">
        <v>349</v>
      </c>
      <c r="K1005" s="10">
        <v>8.550000000000001</v>
      </c>
      <c r="L1005" s="10">
        <v>15</v>
      </c>
      <c r="M1005" s="6" t="s">
        <v>386</v>
      </c>
    </row>
    <row r="1006" spans="1:13">
      <c r="A1006" s="6">
        <v>2023</v>
      </c>
      <c r="B1006" s="6">
        <v>4</v>
      </c>
      <c r="C1006" s="6" t="s">
        <v>62</v>
      </c>
      <c r="D1006" s="6" t="s">
        <v>722</v>
      </c>
      <c r="E1006" s="6" t="s">
        <v>452</v>
      </c>
      <c r="F1006" s="6" t="str">
        <f>IF($M1006="PADD I","PADD 1",IF($M1006="PADD II","PADD 2",IF($M1006="PADD III","PADD 3",IF($M1006="PADD IV","PADD 4",IF($M1006="PADD V","PADD 5","")))))</f>
        <v>PADD 4</v>
      </c>
      <c r="G1006" s="6" t="str">
        <f>IF(AND($H1006="ATMOS DISTILLATION",ISNUMBER(SEARCH("VPS",$I1006))=FALSE,LEFT($I1006,6)&lt;&gt;"VACUUM"),"CDU",IF($H1006="FLUID CAT CRACKING","FCC",IF(OR($H1006="HYDROCRACKING",$H1006="RESID_HYDROCRACKING"),"Hydrocracker",IF($H1006="REFORMING","Reformer",""))))</f>
        <v>CDU</v>
      </c>
      <c r="H1006" s="6" t="s">
        <v>38</v>
      </c>
      <c r="I1006" s="6" t="s">
        <v>81</v>
      </c>
      <c r="J1006" s="6" t="s">
        <v>349</v>
      </c>
      <c r="K1006" s="10">
        <v>8.550000000000001</v>
      </c>
      <c r="L1006" s="10">
        <v>15</v>
      </c>
      <c r="M1006" s="6" t="s">
        <v>430</v>
      </c>
    </row>
    <row r="1007" spans="1:13">
      <c r="A1007" s="6">
        <v>2023</v>
      </c>
      <c r="B1007" s="6">
        <v>4</v>
      </c>
      <c r="C1007" s="6" t="s">
        <v>62</v>
      </c>
      <c r="D1007" s="6" t="s">
        <v>437</v>
      </c>
      <c r="E1007" s="6" t="s">
        <v>438</v>
      </c>
      <c r="F1007" s="6" t="str">
        <f>IF($M1007="PADD I","PADD 1",IF($M1007="PADD II","PADD 2",IF($M1007="PADD III","PADD 3",IF($M1007="PADD IV","PADD 4",IF($M1007="PADD V","PADD 5","")))))</f>
        <v>PADD 4</v>
      </c>
      <c r="G1007" s="6" t="str">
        <f>IF(AND($H1007="ATMOS DISTILLATION",ISNUMBER(SEARCH("VPS",$I1007))=FALSE,LEFT($I1007,6)&lt;&gt;"VACUUM"),"CDU",IF($H1007="FLUID CAT CRACKING","FCC",IF(OR($H1007="HYDROCRACKING",$H1007="RESID_HYDROCRACKING"),"Hydrocracker",IF($H1007="REFORMING","Reformer",""))))</f>
        <v>CDU</v>
      </c>
      <c r="H1007" s="6" t="s">
        <v>38</v>
      </c>
      <c r="I1007" s="6" t="s">
        <v>330</v>
      </c>
      <c r="J1007" s="6" t="s">
        <v>345</v>
      </c>
      <c r="K1007" s="10">
        <v>8.4</v>
      </c>
      <c r="L1007" s="10">
        <v>28</v>
      </c>
      <c r="M1007" s="6" t="s">
        <v>430</v>
      </c>
    </row>
    <row r="1008" spans="1:13">
      <c r="A1008" s="6">
        <v>2023</v>
      </c>
      <c r="B1008" s="6">
        <v>4</v>
      </c>
      <c r="C1008" s="6" t="s">
        <v>62</v>
      </c>
      <c r="D1008" s="6" t="s">
        <v>610</v>
      </c>
      <c r="E1008" s="6" t="s">
        <v>611</v>
      </c>
      <c r="F1008" s="6" t="str">
        <f>IF($M1008="PADD I","PADD 1",IF($M1008="PADD II","PADD 2",IF($M1008="PADD III","PADD 3",IF($M1008="PADD IV","PADD 4",IF($M1008="PADD V","PADD 5","")))))</f>
        <v>PADD 2</v>
      </c>
      <c r="G1008" s="6">
        <f>IF(AND($H1008="ATMOS DISTILLATION",ISNUMBER(SEARCH("VPS",$I1008))=FALSE,LEFT($I1008,6)&lt;&gt;"VACUUM"),"CDU",IF($H1008="FLUID CAT CRACKING","FCC",IF(OR($H1008="HYDROCRACKING",$H1008="RESID_HYDROCRACKING"),"Hydrocracker",IF($H1008="REFORMING","Reformer",""))))</f>
        <v/>
      </c>
      <c r="H1008" s="6" t="s">
        <v>378</v>
      </c>
      <c r="I1008" s="6" t="s">
        <v>494</v>
      </c>
      <c r="J1008" s="6" t="s">
        <v>345</v>
      </c>
      <c r="K1008" s="10">
        <v>8.4</v>
      </c>
      <c r="L1008" s="10">
        <v>21</v>
      </c>
      <c r="M1008" s="6" t="s">
        <v>375</v>
      </c>
    </row>
    <row r="1009" spans="1:13">
      <c r="A1009" s="6">
        <v>2023</v>
      </c>
      <c r="B1009" s="6">
        <v>4</v>
      </c>
      <c r="C1009" s="6" t="s">
        <v>62</v>
      </c>
      <c r="D1009" s="6" t="s">
        <v>518</v>
      </c>
      <c r="E1009" s="6" t="s">
        <v>369</v>
      </c>
      <c r="F1009" s="6" t="str">
        <f>IF($M1009="PADD I","PADD 1",IF($M1009="PADD II","PADD 2",IF($M1009="PADD III","PADD 3",IF($M1009="PADD IV","PADD 4",IF($M1009="PADD V","PADD 5","")))))</f>
        <v>PADD 5</v>
      </c>
      <c r="G1009" s="6" t="str">
        <f>IF(AND($H1009="ATMOS DISTILLATION",ISNUMBER(SEARCH("VPS",$I1009))=FALSE,LEFT($I1009,6)&lt;&gt;"VACUUM"),"CDU",IF($H1009="FLUID CAT CRACKING","FCC",IF(OR($H1009="HYDROCRACKING",$H1009="RESID_HYDROCRACKING"),"Hydrocracker",IF($H1009="REFORMING","Reformer",""))))</f>
        <v>Hydrocracker</v>
      </c>
      <c r="H1009" s="6" t="s">
        <v>444</v>
      </c>
      <c r="I1009" s="6" t="s">
        <v>534</v>
      </c>
      <c r="J1009" s="6" t="s">
        <v>349</v>
      </c>
      <c r="K1009" s="10">
        <v>8.4</v>
      </c>
      <c r="L1009" s="10">
        <v>42</v>
      </c>
      <c r="M1009" s="6" t="s">
        <v>386</v>
      </c>
    </row>
    <row r="1010" spans="1:13">
      <c r="A1010" s="6">
        <v>2023</v>
      </c>
      <c r="B1010" s="6">
        <v>4</v>
      </c>
      <c r="C1010" s="6" t="s">
        <v>62</v>
      </c>
      <c r="D1010" s="6" t="s">
        <v>518</v>
      </c>
      <c r="E1010" s="6" t="s">
        <v>369</v>
      </c>
      <c r="F1010" s="6" t="str">
        <f>IF($M1010="PADD I","PADD 1",IF($M1010="PADD II","PADD 2",IF($M1010="PADD III","PADD 3",IF($M1010="PADD IV","PADD 4",IF($M1010="PADD V","PADD 5","")))))</f>
        <v>PADD 5</v>
      </c>
      <c r="G1010" s="6">
        <f>IF(AND($H1010="ATMOS DISTILLATION",ISNUMBER(SEARCH("VPS",$I1010))=FALSE,LEFT($I1010,6)&lt;&gt;"VACUUM"),"CDU",IF($H1010="FLUID CAT CRACKING","FCC",IF(OR($H1010="HYDROCRACKING",$H1010="RESID_HYDROCRACKING"),"Hydrocracker",IF($H1010="REFORMING","Reformer",""))))</f>
        <v/>
      </c>
      <c r="H1010" s="6" t="s">
        <v>43</v>
      </c>
      <c r="I1010" s="6" t="s">
        <v>579</v>
      </c>
      <c r="J1010" s="6" t="s">
        <v>345</v>
      </c>
      <c r="K1010" s="10">
        <v>8.25</v>
      </c>
      <c r="L1010" s="10">
        <v>25</v>
      </c>
      <c r="M1010" s="6" t="s">
        <v>386</v>
      </c>
    </row>
    <row r="1011" spans="1:13">
      <c r="A1011" s="6">
        <v>2023</v>
      </c>
      <c r="B1011" s="6">
        <v>4</v>
      </c>
      <c r="C1011" s="6" t="s">
        <v>62</v>
      </c>
      <c r="D1011" s="6" t="s">
        <v>727</v>
      </c>
      <c r="E1011" s="6" t="s">
        <v>728</v>
      </c>
      <c r="F1011" s="6" t="str">
        <f>IF($M1011="PADD I","PADD 1",IF($M1011="PADD II","PADD 2",IF($M1011="PADD III","PADD 3",IF($M1011="PADD IV","PADD 4",IF($M1011="PADD V","PADD 5","")))))</f>
        <v>PADD 1</v>
      </c>
      <c r="G1011" s="6">
        <f>IF(AND($H1011="ATMOS DISTILLATION",ISNUMBER(SEARCH("VPS",$I1011))=FALSE,LEFT($I1011,6)&lt;&gt;"VACUUM"),"CDU",IF($H1011="FLUID CAT CRACKING","FCC",IF(OR($H1011="HYDROCRACKING",$H1011="RESID_HYDROCRACKING"),"Hydrocracker",IF($H1011="REFORMING","Reformer",""))))</f>
        <v/>
      </c>
      <c r="H1011" s="6" t="s">
        <v>378</v>
      </c>
      <c r="I1011" s="6" t="s">
        <v>431</v>
      </c>
      <c r="J1011" s="6" t="s">
        <v>349</v>
      </c>
      <c r="K1011" s="10">
        <v>8.244999999999999</v>
      </c>
      <c r="L1011" s="10">
        <v>8.5</v>
      </c>
      <c r="M1011" s="6" t="s">
        <v>413</v>
      </c>
    </row>
    <row r="1012" spans="1:13">
      <c r="A1012" s="6">
        <v>2023</v>
      </c>
      <c r="B1012" s="6">
        <v>4</v>
      </c>
      <c r="C1012" s="6" t="s">
        <v>62</v>
      </c>
      <c r="D1012" s="6" t="s">
        <v>518</v>
      </c>
      <c r="E1012" s="6" t="s">
        <v>369</v>
      </c>
      <c r="F1012" s="6" t="str">
        <f>IF($M1012="PADD I","PADD 1",IF($M1012="PADD II","PADD 2",IF($M1012="PADD III","PADD 3",IF($M1012="PADD IV","PADD 4",IF($M1012="PADD V","PADD 5","")))))</f>
        <v>PADD 5</v>
      </c>
      <c r="G1012" s="6">
        <f>IF(AND($H1012="ATMOS DISTILLATION",ISNUMBER(SEARCH("VPS",$I1012))=FALSE,LEFT($I1012,6)&lt;&gt;"VACUUM"),"CDU",IF($H1012="FLUID CAT CRACKING","FCC",IF(OR($H1012="HYDROCRACKING",$H1012="RESID_HYDROCRACKING"),"Hydrocracker",IF($H1012="REFORMING","Reformer",""))))</f>
        <v/>
      </c>
      <c r="H1012" s="6" t="s">
        <v>378</v>
      </c>
      <c r="I1012" s="6" t="s">
        <v>431</v>
      </c>
      <c r="J1012" s="6" t="s">
        <v>345</v>
      </c>
      <c r="K1012" s="10">
        <v>8.1</v>
      </c>
      <c r="L1012" s="10">
        <v>30</v>
      </c>
      <c r="M1012" s="6" t="s">
        <v>386</v>
      </c>
    </row>
    <row r="1013" spans="1:13">
      <c r="A1013" s="6">
        <v>2023</v>
      </c>
      <c r="B1013" s="6">
        <v>4</v>
      </c>
      <c r="C1013" s="6" t="s">
        <v>62</v>
      </c>
      <c r="D1013" s="6" t="s">
        <v>437</v>
      </c>
      <c r="E1013" s="6" t="s">
        <v>438</v>
      </c>
      <c r="F1013" s="6" t="str">
        <f>IF($M1013="PADD I","PADD 1",IF($M1013="PADD II","PADD 2",IF($M1013="PADD III","PADD 3",IF($M1013="PADD IV","PADD 4",IF($M1013="PADD V","PADD 5","")))))</f>
        <v>PADD 4</v>
      </c>
      <c r="G1013" s="6">
        <f>IF(AND($H1013="ATMOS DISTILLATION",ISNUMBER(SEARCH("VPS",$I1013))=FALSE,LEFT($I1013,6)&lt;&gt;"VACUUM"),"CDU",IF($H1013="FLUID CAT CRACKING","FCC",IF(OR($H1013="HYDROCRACKING",$H1013="RESID_HYDROCRACKING"),"Hydrocracker",IF($H1013="REFORMING","Reformer",""))))</f>
        <v/>
      </c>
      <c r="H1013" s="6" t="s">
        <v>378</v>
      </c>
      <c r="I1013" s="6" t="s">
        <v>494</v>
      </c>
      <c r="J1013" s="6" t="s">
        <v>349</v>
      </c>
      <c r="K1013" s="10">
        <v>8</v>
      </c>
      <c r="L1013" s="10">
        <v>20</v>
      </c>
      <c r="M1013" s="6" t="s">
        <v>430</v>
      </c>
    </row>
    <row r="1014" spans="1:13">
      <c r="A1014" s="6">
        <v>2023</v>
      </c>
      <c r="B1014" s="6">
        <v>4</v>
      </c>
      <c r="C1014" s="6" t="s">
        <v>62</v>
      </c>
      <c r="D1014" s="6" t="s">
        <v>420</v>
      </c>
      <c r="E1014" s="6" t="s">
        <v>373</v>
      </c>
      <c r="F1014" s="6" t="str">
        <f>IF($M1014="PADD I","PADD 1",IF($M1014="PADD II","PADD 2",IF($M1014="PADD III","PADD 3",IF($M1014="PADD IV","PADD 4",IF($M1014="PADD V","PADD 5","")))))</f>
        <v>PADD 2</v>
      </c>
      <c r="G1014" s="6" t="str">
        <f>IF(AND($H1014="ATMOS DISTILLATION",ISNUMBER(SEARCH("VPS",$I1014))=FALSE,LEFT($I1014,6)&lt;&gt;"VACUUM"),"CDU",IF($H1014="FLUID CAT CRACKING","FCC",IF(OR($H1014="HYDROCRACKING",$H1014="RESID_HYDROCRACKING"),"Hydrocracker",IF($H1014="REFORMING","Reformer",""))))</f>
        <v>Reformer</v>
      </c>
      <c r="H1014" s="6" t="s">
        <v>421</v>
      </c>
      <c r="I1014" s="6" t="s">
        <v>571</v>
      </c>
      <c r="J1014" s="6" t="s">
        <v>345</v>
      </c>
      <c r="K1014" s="10">
        <v>8</v>
      </c>
      <c r="L1014" s="10">
        <v>8</v>
      </c>
      <c r="M1014" s="6" t="s">
        <v>375</v>
      </c>
    </row>
    <row r="1015" spans="1:13">
      <c r="A1015" s="6">
        <v>2023</v>
      </c>
      <c r="B1015" s="6">
        <v>4</v>
      </c>
      <c r="C1015" s="6" t="s">
        <v>62</v>
      </c>
      <c r="D1015" s="6" t="s">
        <v>322</v>
      </c>
      <c r="E1015" s="6" t="s">
        <v>369</v>
      </c>
      <c r="F1015" s="6" t="str">
        <f>IF($M1015="PADD I","PADD 1",IF($M1015="PADD II","PADD 2",IF($M1015="PADD III","PADD 3",IF($M1015="PADD IV","PADD 4",IF($M1015="PADD V","PADD 5","")))))</f>
        <v>PADD 2</v>
      </c>
      <c r="G1015" s="6" t="str">
        <f>IF(AND($H1015="ATMOS DISTILLATION",ISNUMBER(SEARCH("VPS",$I1015))=FALSE,LEFT($I1015,6)&lt;&gt;"VACUUM"),"CDU",IF($H1015="FLUID CAT CRACKING","FCC",IF(OR($H1015="HYDROCRACKING",$H1015="RESID_HYDROCRACKING"),"Hydrocracker",IF($H1015="REFORMING","Reformer",""))))</f>
        <v>Reformer</v>
      </c>
      <c r="H1015" s="6" t="s">
        <v>421</v>
      </c>
      <c r="I1015" s="6" t="s">
        <v>706</v>
      </c>
      <c r="J1015" s="6" t="s">
        <v>349</v>
      </c>
      <c r="K1015" s="10">
        <v>7.95</v>
      </c>
      <c r="L1015" s="10">
        <v>15</v>
      </c>
      <c r="M1015" s="6" t="s">
        <v>375</v>
      </c>
    </row>
    <row r="1016" spans="1:13">
      <c r="A1016" s="6">
        <v>2023</v>
      </c>
      <c r="B1016" s="6">
        <v>4</v>
      </c>
      <c r="C1016" s="6" t="s">
        <v>62</v>
      </c>
      <c r="D1016" s="6" t="s">
        <v>727</v>
      </c>
      <c r="E1016" s="6" t="s">
        <v>728</v>
      </c>
      <c r="F1016" s="6" t="str">
        <f>IF($M1016="PADD I","PADD 1",IF($M1016="PADD II","PADD 2",IF($M1016="PADD III","PADD 3",IF($M1016="PADD IV","PADD 4",IF($M1016="PADD V","PADD 5","")))))</f>
        <v>PADD 1</v>
      </c>
      <c r="G1016" s="6">
        <f>IF(AND($H1016="ATMOS DISTILLATION",ISNUMBER(SEARCH("VPS",$I1016))=FALSE,LEFT($I1016,6)&lt;&gt;"VACUUM"),"CDU",IF($H1016="FLUID CAT CRACKING","FCC",IF(OR($H1016="HYDROCRACKING",$H1016="RESID_HYDROCRACKING"),"Hydrocracker",IF($H1016="REFORMING","Reformer",""))))</f>
        <v/>
      </c>
      <c r="H1016" s="6" t="s">
        <v>43</v>
      </c>
      <c r="I1016" s="6" t="s">
        <v>520</v>
      </c>
      <c r="J1016" s="6" t="s">
        <v>349</v>
      </c>
      <c r="K1016" s="10">
        <v>7.76</v>
      </c>
      <c r="L1016" s="10">
        <v>8</v>
      </c>
      <c r="M1016" s="6" t="s">
        <v>413</v>
      </c>
    </row>
    <row r="1017" spans="1:13">
      <c r="A1017" s="6">
        <v>2023</v>
      </c>
      <c r="B1017" s="6">
        <v>4</v>
      </c>
      <c r="C1017" s="6" t="s">
        <v>62</v>
      </c>
      <c r="D1017" s="6" t="s">
        <v>387</v>
      </c>
      <c r="E1017" s="6" t="s">
        <v>388</v>
      </c>
      <c r="F1017" s="6" t="str">
        <f>IF($M1017="PADD I","PADD 1",IF($M1017="PADD II","PADD 2",IF($M1017="PADD III","PADD 3",IF($M1017="PADD IV","PADD 4",IF($M1017="PADD V","PADD 5","")))))</f>
        <v>PADD 3</v>
      </c>
      <c r="G1017" s="6" t="str">
        <f>IF(AND($H1017="ATMOS DISTILLATION",ISNUMBER(SEARCH("VPS",$I1017))=FALSE,LEFT($I1017,6)&lt;&gt;"VACUUM"),"CDU",IF($H1017="FLUID CAT CRACKING","FCC",IF(OR($H1017="HYDROCRACKING",$H1017="RESID_HYDROCRACKING"),"Hydrocracker",IF($H1017="REFORMING","Reformer",""))))</f>
        <v>Reformer</v>
      </c>
      <c r="H1017" s="6" t="s">
        <v>421</v>
      </c>
      <c r="I1017" s="6" t="s">
        <v>443</v>
      </c>
      <c r="J1017" s="6" t="s">
        <v>345</v>
      </c>
      <c r="K1017" s="10">
        <v>7.75</v>
      </c>
      <c r="L1017" s="10">
        <v>77.5</v>
      </c>
      <c r="M1017" s="6" t="s">
        <v>371</v>
      </c>
    </row>
    <row r="1018" spans="1:13">
      <c r="A1018" s="6">
        <v>2023</v>
      </c>
      <c r="B1018" s="6">
        <v>4</v>
      </c>
      <c r="C1018" s="6" t="s">
        <v>62</v>
      </c>
      <c r="D1018" s="6" t="s">
        <v>420</v>
      </c>
      <c r="E1018" s="6" t="s">
        <v>373</v>
      </c>
      <c r="F1018" s="6" t="str">
        <f>IF($M1018="PADD I","PADD 1",IF($M1018="PADD II","PADD 2",IF($M1018="PADD III","PADD 3",IF($M1018="PADD IV","PADD 4",IF($M1018="PADD V","PADD 5","")))))</f>
        <v>PADD 2</v>
      </c>
      <c r="G1018" s="6">
        <f>IF(AND($H1018="ATMOS DISTILLATION",ISNUMBER(SEARCH("VPS",$I1018))=FALSE,LEFT($I1018,6)&lt;&gt;"VACUUM"),"CDU",IF($H1018="FLUID CAT CRACKING","FCC",IF(OR($H1018="HYDROCRACKING",$H1018="RESID_HYDROCRACKING"),"Hydrocracker",IF($H1018="REFORMING","Reformer",""))))</f>
        <v/>
      </c>
      <c r="H1018" s="6" t="s">
        <v>43</v>
      </c>
      <c r="I1018" s="6" t="s">
        <v>577</v>
      </c>
      <c r="J1018" s="6" t="s">
        <v>345</v>
      </c>
      <c r="K1018" s="10">
        <v>7.7</v>
      </c>
      <c r="L1018" s="10">
        <v>7.7</v>
      </c>
      <c r="M1018" s="6" t="s">
        <v>375</v>
      </c>
    </row>
    <row r="1019" spans="1:13">
      <c r="A1019" s="6">
        <v>2023</v>
      </c>
      <c r="B1019" s="6">
        <v>4</v>
      </c>
      <c r="C1019" s="6" t="s">
        <v>62</v>
      </c>
      <c r="D1019" s="6" t="s">
        <v>48</v>
      </c>
      <c r="E1019" s="6" t="s">
        <v>388</v>
      </c>
      <c r="F1019" s="6" t="str">
        <f>IF($M1019="PADD I","PADD 1",IF($M1019="PADD II","PADD 2",IF($M1019="PADD III","PADD 3",IF($M1019="PADD IV","PADD 4",IF($M1019="PADD V","PADD 5","")))))</f>
        <v>PADD 2</v>
      </c>
      <c r="G1019" s="6" t="str">
        <f>IF(AND($H1019="ATMOS DISTILLATION",ISNUMBER(SEARCH("VPS",$I1019))=FALSE,LEFT($I1019,6)&lt;&gt;"VACUUM"),"CDU",IF($H1019="FLUID CAT CRACKING","FCC",IF(OR($H1019="HYDROCRACKING",$H1019="RESID_HYDROCRACKING"),"Hydrocracker",IF($H1019="REFORMING","Reformer",""))))</f>
        <v>CDU</v>
      </c>
      <c r="H1019" s="6" t="s">
        <v>38</v>
      </c>
      <c r="I1019" s="6" t="s">
        <v>720</v>
      </c>
      <c r="J1019" s="6" t="s">
        <v>345</v>
      </c>
      <c r="K1019" s="10">
        <v>7.65</v>
      </c>
      <c r="L1019" s="10">
        <v>255</v>
      </c>
      <c r="M1019" s="6" t="s">
        <v>375</v>
      </c>
    </row>
    <row r="1020" spans="1:13">
      <c r="A1020" s="6">
        <v>2023</v>
      </c>
      <c r="B1020" s="6">
        <v>4</v>
      </c>
      <c r="C1020" s="6" t="s">
        <v>62</v>
      </c>
      <c r="D1020" s="6" t="s">
        <v>387</v>
      </c>
      <c r="E1020" s="6" t="s">
        <v>388</v>
      </c>
      <c r="F1020" s="6" t="str">
        <f>IF($M1020="PADD I","PADD 1",IF($M1020="PADD II","PADD 2",IF($M1020="PADD III","PADD 3",IF($M1020="PADD IV","PADD 4",IF($M1020="PADD V","PADD 5","")))))</f>
        <v>PADD 3</v>
      </c>
      <c r="G1020" s="6">
        <f>IF(AND($H1020="ATMOS DISTILLATION",ISNUMBER(SEARCH("VPS",$I1020))=FALSE,LEFT($I1020,6)&lt;&gt;"VACUUM"),"CDU",IF($H1020="FLUID CAT CRACKING","FCC",IF(OR($H1020="HYDROCRACKING",$H1020="RESID_HYDROCRACKING"),"Hydrocracker",IF($H1020="REFORMING","Reformer",""))))</f>
        <v/>
      </c>
      <c r="H1020" s="6" t="s">
        <v>435</v>
      </c>
      <c r="I1020" s="6" t="s">
        <v>590</v>
      </c>
      <c r="J1020" s="6" t="s">
        <v>345</v>
      </c>
      <c r="K1020" s="10">
        <v>7.59</v>
      </c>
      <c r="L1020" s="10">
        <v>33</v>
      </c>
      <c r="M1020" s="6" t="s">
        <v>371</v>
      </c>
    </row>
    <row r="1021" spans="1:13">
      <c r="A1021" s="6">
        <v>2023</v>
      </c>
      <c r="B1021" s="6">
        <v>4</v>
      </c>
      <c r="C1021" s="6" t="s">
        <v>62</v>
      </c>
      <c r="D1021" s="6" t="s">
        <v>518</v>
      </c>
      <c r="E1021" s="6" t="s">
        <v>369</v>
      </c>
      <c r="F1021" s="6" t="str">
        <f>IF($M1021="PADD I","PADD 1",IF($M1021="PADD II","PADD 2",IF($M1021="PADD III","PADD 3",IF($M1021="PADD IV","PADD 4",IF($M1021="PADD V","PADD 5","")))))</f>
        <v>PADD 5</v>
      </c>
      <c r="G1021" s="6">
        <f>IF(AND($H1021="ATMOS DISTILLATION",ISNUMBER(SEARCH("VPS",$I1021))=FALSE,LEFT($I1021,6)&lt;&gt;"VACUUM"),"CDU",IF($H1021="FLUID CAT CRACKING","FCC",IF(OR($H1021="HYDROCRACKING",$H1021="RESID_HYDROCRACKING"),"Hydrocracker",IF($H1021="REFORMING","Reformer",""))))</f>
        <v/>
      </c>
      <c r="H1021" s="6" t="s">
        <v>43</v>
      </c>
      <c r="I1021" s="6" t="s">
        <v>570</v>
      </c>
      <c r="J1021" s="6" t="s">
        <v>345</v>
      </c>
      <c r="K1021" s="10">
        <v>7.56</v>
      </c>
      <c r="L1021" s="10">
        <v>28</v>
      </c>
      <c r="M1021" s="6" t="s">
        <v>386</v>
      </c>
    </row>
    <row r="1022" spans="1:13">
      <c r="A1022" s="6">
        <v>2023</v>
      </c>
      <c r="B1022" s="6">
        <v>4</v>
      </c>
      <c r="C1022" s="6" t="s">
        <v>62</v>
      </c>
      <c r="D1022" s="6" t="s">
        <v>803</v>
      </c>
      <c r="E1022" s="6" t="s">
        <v>388</v>
      </c>
      <c r="F1022" s="6" t="str">
        <f>IF($M1022="PADD I","PADD 1",IF($M1022="PADD II","PADD 2",IF($M1022="PADD III","PADD 3",IF($M1022="PADD IV","PADD 4",IF($M1022="PADD V","PADD 5","")))))</f>
        <v>PADD 2</v>
      </c>
      <c r="G1022" s="6">
        <f>IF(AND($H1022="ATMOS DISTILLATION",ISNUMBER(SEARCH("VPS",$I1022))=FALSE,LEFT($I1022,6)&lt;&gt;"VACUUM"),"CDU",IF($H1022="FLUID CAT CRACKING","FCC",IF(OR($H1022="HYDROCRACKING",$H1022="RESID_HYDROCRACKING"),"Hydrocracker",IF($H1022="REFORMING","Reformer",""))))</f>
        <v/>
      </c>
      <c r="H1022" s="6" t="s">
        <v>43</v>
      </c>
      <c r="I1022" s="6" t="s">
        <v>520</v>
      </c>
      <c r="J1022" s="6" t="s">
        <v>345</v>
      </c>
      <c r="K1022" s="10">
        <v>7.56</v>
      </c>
      <c r="L1022" s="10">
        <v>28</v>
      </c>
      <c r="M1022" s="6" t="s">
        <v>375</v>
      </c>
    </row>
    <row r="1023" spans="1:13">
      <c r="A1023" s="6">
        <v>2023</v>
      </c>
      <c r="B1023" s="6">
        <v>4</v>
      </c>
      <c r="C1023" s="6" t="s">
        <v>62</v>
      </c>
      <c r="D1023" s="6" t="s">
        <v>778</v>
      </c>
      <c r="E1023" s="6" t="s">
        <v>779</v>
      </c>
      <c r="F1023" s="6" t="str">
        <f>IF($M1023="PADD I","PADD 1",IF($M1023="PADD II","PADD 2",IF($M1023="PADD III","PADD 3",IF($M1023="PADD IV","PADD 4",IF($M1023="PADD V","PADD 5","")))))</f>
        <v>PADD 3</v>
      </c>
      <c r="G1023" s="6" t="str">
        <f>IF(AND($H1023="ATMOS DISTILLATION",ISNUMBER(SEARCH("VPS",$I1023))=FALSE,LEFT($I1023,6)&lt;&gt;"VACUUM"),"CDU",IF($H1023="FLUID CAT CRACKING","FCC",IF(OR($H1023="HYDROCRACKING",$H1023="RESID_HYDROCRACKING"),"Hydrocracker",IF($H1023="REFORMING","Reformer",""))))</f>
        <v>Reformer</v>
      </c>
      <c r="H1023" s="6" t="s">
        <v>421</v>
      </c>
      <c r="I1023" s="6" t="s">
        <v>804</v>
      </c>
      <c r="J1023" s="6" t="s">
        <v>345</v>
      </c>
      <c r="K1023" s="10">
        <v>7.54</v>
      </c>
      <c r="L1023" s="10">
        <v>58</v>
      </c>
      <c r="M1023" s="6" t="s">
        <v>371</v>
      </c>
    </row>
    <row r="1024" spans="1:13">
      <c r="A1024" s="6">
        <v>2023</v>
      </c>
      <c r="B1024" s="6">
        <v>4</v>
      </c>
      <c r="C1024" s="6" t="s">
        <v>62</v>
      </c>
      <c r="D1024" s="6" t="s">
        <v>778</v>
      </c>
      <c r="E1024" s="6" t="s">
        <v>779</v>
      </c>
      <c r="F1024" s="6" t="str">
        <f>IF($M1024="PADD I","PADD 1",IF($M1024="PADD II","PADD 2",IF($M1024="PADD III","PADD 3",IF($M1024="PADD IV","PADD 4",IF($M1024="PADD V","PADD 5","")))))</f>
        <v>PADD 3</v>
      </c>
      <c r="G1024" s="6" t="str">
        <f>IF(AND($H1024="ATMOS DISTILLATION",ISNUMBER(SEARCH("VPS",$I1024))=FALSE,LEFT($I1024,6)&lt;&gt;"VACUUM"),"CDU",IF($H1024="FLUID CAT CRACKING","FCC",IF(OR($H1024="HYDROCRACKING",$H1024="RESID_HYDROCRACKING"),"Hydrocracker",IF($H1024="REFORMING","Reformer",""))))</f>
        <v>CDU</v>
      </c>
      <c r="H1024" s="6" t="s">
        <v>38</v>
      </c>
      <c r="I1024" s="6" t="s">
        <v>805</v>
      </c>
      <c r="J1024" s="6" t="s">
        <v>345</v>
      </c>
      <c r="K1024" s="10">
        <v>7.54</v>
      </c>
      <c r="L1024" s="10">
        <v>58</v>
      </c>
      <c r="M1024" s="6" t="s">
        <v>371</v>
      </c>
    </row>
    <row r="1025" spans="1:13">
      <c r="A1025" s="6">
        <v>2023</v>
      </c>
      <c r="B1025" s="6">
        <v>4</v>
      </c>
      <c r="C1025" s="6" t="s">
        <v>62</v>
      </c>
      <c r="D1025" s="6" t="s">
        <v>420</v>
      </c>
      <c r="E1025" s="6" t="s">
        <v>373</v>
      </c>
      <c r="F1025" s="6" t="str">
        <f>IF($M1025="PADD I","PADD 1",IF($M1025="PADD II","PADD 2",IF($M1025="PADD III","PADD 3",IF($M1025="PADD IV","PADD 4",IF($M1025="PADD V","PADD 5","")))))</f>
        <v>PADD 2</v>
      </c>
      <c r="G1025" s="6">
        <f>IF(AND($H1025="ATMOS DISTILLATION",ISNUMBER(SEARCH("VPS",$I1025))=FALSE,LEFT($I1025,6)&lt;&gt;"VACUUM"),"CDU",IF($H1025="FLUID CAT CRACKING","FCC",IF(OR($H1025="HYDROCRACKING",$H1025="RESID_HYDROCRACKING"),"Hydrocracker",IF($H1025="REFORMING","Reformer",""))))</f>
        <v/>
      </c>
      <c r="H1025" s="6" t="s">
        <v>43</v>
      </c>
      <c r="I1025" s="6" t="s">
        <v>458</v>
      </c>
      <c r="J1025" s="6" t="s">
        <v>345</v>
      </c>
      <c r="K1025" s="10">
        <v>7.5</v>
      </c>
      <c r="L1025" s="10">
        <v>7.5</v>
      </c>
      <c r="M1025" s="6" t="s">
        <v>375</v>
      </c>
    </row>
    <row r="1026" spans="1:13">
      <c r="A1026" s="6">
        <v>2023</v>
      </c>
      <c r="B1026" s="6">
        <v>4</v>
      </c>
      <c r="C1026" s="6" t="s">
        <v>62</v>
      </c>
      <c r="D1026" s="6" t="s">
        <v>518</v>
      </c>
      <c r="E1026" s="6" t="s">
        <v>369</v>
      </c>
      <c r="F1026" s="6" t="str">
        <f>IF($M1026="PADD I","PADD 1",IF($M1026="PADD II","PADD 2",IF($M1026="PADD III","PADD 3",IF($M1026="PADD IV","PADD 4",IF($M1026="PADD V","PADD 5","")))))</f>
        <v>PADD 5</v>
      </c>
      <c r="G1026" s="6" t="str">
        <f>IF(AND($H1026="ATMOS DISTILLATION",ISNUMBER(SEARCH("VPS",$I1026))=FALSE,LEFT($I1026,6)&lt;&gt;"VACUUM"),"CDU",IF($H1026="FLUID CAT CRACKING","FCC",IF(OR($H1026="HYDROCRACKING",$H1026="RESID_HYDROCRACKING"),"Hydrocracker",IF($H1026="REFORMING","Reformer",""))))</f>
        <v>CDU</v>
      </c>
      <c r="H1026" s="6" t="s">
        <v>38</v>
      </c>
      <c r="I1026" s="6" t="s">
        <v>553</v>
      </c>
      <c r="J1026" s="6" t="s">
        <v>345</v>
      </c>
      <c r="K1026" s="10">
        <v>7.36</v>
      </c>
      <c r="L1026" s="10">
        <v>32</v>
      </c>
      <c r="M1026" s="6" t="s">
        <v>386</v>
      </c>
    </row>
    <row r="1027" spans="1:13">
      <c r="A1027" s="6">
        <v>2023</v>
      </c>
      <c r="B1027" s="6">
        <v>4</v>
      </c>
      <c r="C1027" s="6" t="s">
        <v>62</v>
      </c>
      <c r="D1027" s="6" t="s">
        <v>446</v>
      </c>
      <c r="E1027" s="6" t="s">
        <v>391</v>
      </c>
      <c r="F1027" s="6" t="str">
        <f>IF($M1027="PADD I","PADD 1",IF($M1027="PADD II","PADD 2",IF($M1027="PADD III","PADD 3",IF($M1027="PADD IV","PADD 4",IF($M1027="PADD V","PADD 5","")))))</f>
        <v>PADD 3</v>
      </c>
      <c r="G1027" s="6">
        <f>IF(AND($H1027="ATMOS DISTILLATION",ISNUMBER(SEARCH("VPS",$I1027))=FALSE,LEFT($I1027,6)&lt;&gt;"VACUUM"),"CDU",IF($H1027="FLUID CAT CRACKING","FCC",IF(OR($H1027="HYDROCRACKING",$H1027="RESID_HYDROCRACKING"),"Hydrocracker",IF($H1027="REFORMING","Reformer",""))))</f>
        <v/>
      </c>
      <c r="H1027" s="6" t="s">
        <v>460</v>
      </c>
      <c r="I1027" s="6" t="s">
        <v>580</v>
      </c>
      <c r="J1027" s="6" t="s">
        <v>345</v>
      </c>
      <c r="K1027" s="10">
        <v>7.2</v>
      </c>
      <c r="L1027" s="10">
        <v>7.2</v>
      </c>
      <c r="M1027" s="6" t="s">
        <v>371</v>
      </c>
    </row>
    <row r="1028" spans="1:13">
      <c r="A1028" s="6">
        <v>2023</v>
      </c>
      <c r="B1028" s="6">
        <v>4</v>
      </c>
      <c r="C1028" s="6" t="s">
        <v>62</v>
      </c>
      <c r="D1028" s="6" t="s">
        <v>778</v>
      </c>
      <c r="E1028" s="6" t="s">
        <v>779</v>
      </c>
      <c r="F1028" s="6" t="str">
        <f>IF($M1028="PADD I","PADD 1",IF($M1028="PADD II","PADD 2",IF($M1028="PADD III","PADD 3",IF($M1028="PADD IV","PADD 4",IF($M1028="PADD V","PADD 5","")))))</f>
        <v>PADD 3</v>
      </c>
      <c r="G1028" s="6" t="str">
        <f>IF(AND($H1028="ATMOS DISTILLATION",ISNUMBER(SEARCH("VPS",$I1028))=FALSE,LEFT($I1028,6)&lt;&gt;"VACUUM"),"CDU",IF($H1028="FLUID CAT CRACKING","FCC",IF(OR($H1028="HYDROCRACKING",$H1028="RESID_HYDROCRACKING"),"Hydrocracker",IF($H1028="REFORMING","Reformer",""))))</f>
        <v>FCC</v>
      </c>
      <c r="H1028" s="6" t="s">
        <v>376</v>
      </c>
      <c r="I1028" s="6" t="s">
        <v>806</v>
      </c>
      <c r="J1028" s="6" t="s">
        <v>345</v>
      </c>
      <c r="K1028" s="10">
        <v>7.15</v>
      </c>
      <c r="L1028" s="10">
        <v>55</v>
      </c>
      <c r="M1028" s="6" t="s">
        <v>371</v>
      </c>
    </row>
    <row r="1029" spans="1:13">
      <c r="A1029" s="6">
        <v>2023</v>
      </c>
      <c r="B1029" s="6">
        <v>4</v>
      </c>
      <c r="C1029" s="6" t="s">
        <v>62</v>
      </c>
      <c r="D1029" s="6" t="s">
        <v>807</v>
      </c>
      <c r="E1029" s="6" t="s">
        <v>779</v>
      </c>
      <c r="F1029" s="6" t="str">
        <f>IF($M1029="PADD I","PADD 1",IF($M1029="PADD II","PADD 2",IF($M1029="PADD III","PADD 3",IF($M1029="PADD IV","PADD 4",IF($M1029="PADD V","PADD 5","")))))</f>
        <v>PADD 3</v>
      </c>
      <c r="G1029" s="6" t="str">
        <f>IF(AND($H1029="ATMOS DISTILLATION",ISNUMBER(SEARCH("VPS",$I1029))=FALSE,LEFT($I1029,6)&lt;&gt;"VACUUM"),"CDU",IF($H1029="FLUID CAT CRACKING","FCC",IF(OR($H1029="HYDROCRACKING",$H1029="RESID_HYDROCRACKING"),"Hydrocracker",IF($H1029="REFORMING","Reformer",""))))</f>
        <v>FCC</v>
      </c>
      <c r="H1029" s="6" t="s">
        <v>376</v>
      </c>
      <c r="I1029" s="6" t="s">
        <v>428</v>
      </c>
      <c r="J1029" s="6" t="s">
        <v>345</v>
      </c>
      <c r="K1029" s="10">
        <v>7.15</v>
      </c>
      <c r="L1029" s="10">
        <v>55</v>
      </c>
      <c r="M1029" s="6" t="s">
        <v>371</v>
      </c>
    </row>
    <row r="1030" spans="1:13">
      <c r="A1030" s="6">
        <v>2023</v>
      </c>
      <c r="B1030" s="6">
        <v>4</v>
      </c>
      <c r="C1030" s="6" t="s">
        <v>62</v>
      </c>
      <c r="D1030" s="6" t="s">
        <v>52</v>
      </c>
      <c r="E1030" s="6" t="s">
        <v>388</v>
      </c>
      <c r="F1030" s="6" t="str">
        <f>IF($M1030="PADD I","PADD 1",IF($M1030="PADD II","PADD 2",IF($M1030="PADD III","PADD 3",IF($M1030="PADD IV","PADD 4",IF($M1030="PADD V","PADD 5","")))))</f>
        <v>PADD 5</v>
      </c>
      <c r="G1030" s="6" t="str">
        <f>IF(AND($H1030="ATMOS DISTILLATION",ISNUMBER(SEARCH("VPS",$I1030))=FALSE,LEFT($I1030,6)&lt;&gt;"VACUUM"),"CDU",IF($H1030="FLUID CAT CRACKING","FCC",IF(OR($H1030="HYDROCRACKING",$H1030="RESID_HYDROCRACKING"),"Hydrocracker",IF($H1030="REFORMING","Reformer",""))))</f>
        <v>Hydrocracker</v>
      </c>
      <c r="H1030" s="6" t="s">
        <v>444</v>
      </c>
      <c r="I1030" s="6" t="s">
        <v>14</v>
      </c>
      <c r="J1030" s="6" t="s">
        <v>349</v>
      </c>
      <c r="K1030" s="10">
        <v>7.125</v>
      </c>
      <c r="L1030" s="10">
        <v>12.5</v>
      </c>
      <c r="M1030" s="6" t="s">
        <v>386</v>
      </c>
    </row>
    <row r="1031" spans="1:13">
      <c r="A1031" s="6">
        <v>2023</v>
      </c>
      <c r="B1031" s="6">
        <v>4</v>
      </c>
      <c r="C1031" s="6" t="s">
        <v>62</v>
      </c>
      <c r="D1031" s="6" t="s">
        <v>518</v>
      </c>
      <c r="E1031" s="6" t="s">
        <v>369</v>
      </c>
      <c r="F1031" s="6" t="str">
        <f>IF($M1031="PADD I","PADD 1",IF($M1031="PADD II","PADD 2",IF($M1031="PADD III","PADD 3",IF($M1031="PADD IV","PADD 4",IF($M1031="PADD V","PADD 5","")))))</f>
        <v>PADD 5</v>
      </c>
      <c r="G1031" s="6">
        <f>IF(AND($H1031="ATMOS DISTILLATION",ISNUMBER(SEARCH("VPS",$I1031))=FALSE,LEFT($I1031,6)&lt;&gt;"VACUUM"),"CDU",IF($H1031="FLUID CAT CRACKING","FCC",IF(OR($H1031="HYDROCRACKING",$H1031="RESID_HYDROCRACKING"),"Hydrocracker",IF($H1031="REFORMING","Reformer",""))))</f>
        <v/>
      </c>
      <c r="H1031" s="6" t="s">
        <v>435</v>
      </c>
      <c r="I1031" s="6" t="s">
        <v>578</v>
      </c>
      <c r="J1031" s="6" t="s">
        <v>345</v>
      </c>
      <c r="K1031" s="10">
        <v>7.02</v>
      </c>
      <c r="L1031" s="10">
        <v>26</v>
      </c>
      <c r="M1031" s="6" t="s">
        <v>386</v>
      </c>
    </row>
    <row r="1032" spans="1:13">
      <c r="A1032" s="6">
        <v>2023</v>
      </c>
      <c r="B1032" s="6">
        <v>4</v>
      </c>
      <c r="C1032" s="6" t="s">
        <v>62</v>
      </c>
      <c r="D1032" s="6" t="s">
        <v>778</v>
      </c>
      <c r="E1032" s="6" t="s">
        <v>779</v>
      </c>
      <c r="F1032" s="6" t="str">
        <f>IF($M1032="PADD I","PADD 1",IF($M1032="PADD II","PADD 2",IF($M1032="PADD III","PADD 3",IF($M1032="PADD IV","PADD 4",IF($M1032="PADD V","PADD 5","")))))</f>
        <v>PADD 3</v>
      </c>
      <c r="G1032" s="6">
        <f>IF(AND($H1032="ATMOS DISTILLATION",ISNUMBER(SEARCH("VPS",$I1032))=FALSE,LEFT($I1032,6)&lt;&gt;"VACUUM"),"CDU",IF($H1032="FLUID CAT CRACKING","FCC",IF(OR($H1032="HYDROCRACKING",$H1032="RESID_HYDROCRACKING"),"Hydrocracker",IF($H1032="REFORMING","Reformer",""))))</f>
        <v/>
      </c>
      <c r="H1032" s="6" t="s">
        <v>43</v>
      </c>
      <c r="I1032" s="6" t="s">
        <v>808</v>
      </c>
      <c r="J1032" s="6" t="s">
        <v>345</v>
      </c>
      <c r="K1032" s="10">
        <v>6.89</v>
      </c>
      <c r="L1032" s="10">
        <v>53</v>
      </c>
      <c r="M1032" s="6" t="s">
        <v>371</v>
      </c>
    </row>
    <row r="1033" spans="1:13">
      <c r="A1033" s="6">
        <v>2023</v>
      </c>
      <c r="B1033" s="6">
        <v>4</v>
      </c>
      <c r="C1033" s="6" t="s">
        <v>62</v>
      </c>
      <c r="D1033" s="6" t="s">
        <v>52</v>
      </c>
      <c r="E1033" s="6" t="s">
        <v>388</v>
      </c>
      <c r="F1033" s="6" t="str">
        <f>IF($M1033="PADD I","PADD 1",IF($M1033="PADD II","PADD 2",IF($M1033="PADD III","PADD 3",IF($M1033="PADD IV","PADD 4",IF($M1033="PADD V","PADD 5","")))))</f>
        <v>PADD 5</v>
      </c>
      <c r="G1033" s="6" t="str">
        <f>IF(AND($H1033="ATMOS DISTILLATION",ISNUMBER(SEARCH("VPS",$I1033))=FALSE,LEFT($I1033,6)&lt;&gt;"VACUUM"),"CDU",IF($H1033="FLUID CAT CRACKING","FCC",IF(OR($H1033="HYDROCRACKING",$H1033="RESID_HYDROCRACKING"),"Hydrocracker",IF($H1033="REFORMING","Reformer",""))))</f>
        <v>Reformer</v>
      </c>
      <c r="H1033" s="6" t="s">
        <v>421</v>
      </c>
      <c r="I1033" s="6" t="s">
        <v>725</v>
      </c>
      <c r="J1033" s="6" t="s">
        <v>349</v>
      </c>
      <c r="K1033" s="10">
        <v>6.84</v>
      </c>
      <c r="L1033" s="10">
        <v>12</v>
      </c>
      <c r="M1033" s="6" t="s">
        <v>386</v>
      </c>
    </row>
    <row r="1034" spans="1:13">
      <c r="A1034" s="6">
        <v>2023</v>
      </c>
      <c r="B1034" s="6">
        <v>4</v>
      </c>
      <c r="C1034" s="6" t="s">
        <v>62</v>
      </c>
      <c r="D1034" s="6" t="s">
        <v>518</v>
      </c>
      <c r="E1034" s="6" t="s">
        <v>369</v>
      </c>
      <c r="F1034" s="6" t="str">
        <f>IF($M1034="PADD I","PADD 1",IF($M1034="PADD II","PADD 2",IF($M1034="PADD III","PADD 3",IF($M1034="PADD IV","PADD 4",IF($M1034="PADD V","PADD 5","")))))</f>
        <v>PADD 5</v>
      </c>
      <c r="G1034" s="6">
        <f>IF(AND($H1034="ATMOS DISTILLATION",ISNUMBER(SEARCH("VPS",$I1034))=FALSE,LEFT($I1034,6)&lt;&gt;"VACUUM"),"CDU",IF($H1034="FLUID CAT CRACKING","FCC",IF(OR($H1034="HYDROCRACKING",$H1034="RESID_HYDROCRACKING"),"Hydrocracker",IF($H1034="REFORMING","Reformer",""))))</f>
        <v/>
      </c>
      <c r="H1034" s="6" t="s">
        <v>43</v>
      </c>
      <c r="I1034" s="6" t="s">
        <v>579</v>
      </c>
      <c r="J1034" s="6" t="s">
        <v>345</v>
      </c>
      <c r="K1034" s="10">
        <v>6.75</v>
      </c>
      <c r="L1034" s="10">
        <v>25</v>
      </c>
      <c r="M1034" s="6" t="s">
        <v>386</v>
      </c>
    </row>
    <row r="1035" spans="1:13">
      <c r="A1035" s="6">
        <v>2023</v>
      </c>
      <c r="B1035" s="6">
        <v>4</v>
      </c>
      <c r="C1035" s="6" t="s">
        <v>62</v>
      </c>
      <c r="D1035" s="6" t="s">
        <v>462</v>
      </c>
      <c r="E1035" s="6" t="s">
        <v>438</v>
      </c>
      <c r="F1035" s="6" t="str">
        <f>IF($M1035="PADD I","PADD 1",IF($M1035="PADD II","PADD 2",IF($M1035="PADD III","PADD 3",IF($M1035="PADD IV","PADD 4",IF($M1035="PADD V","PADD 5","")))))</f>
        <v>PADD 4</v>
      </c>
      <c r="G1035" s="6" t="str">
        <f>IF(AND($H1035="ATMOS DISTILLATION",ISNUMBER(SEARCH("VPS",$I1035))=FALSE,LEFT($I1035,6)&lt;&gt;"VACUUM"),"CDU",IF($H1035="FLUID CAT CRACKING","FCC",IF(OR($H1035="HYDROCRACKING",$H1035="RESID_HYDROCRACKING"),"Hydrocracker",IF($H1035="REFORMING","Reformer",""))))</f>
        <v>CDU</v>
      </c>
      <c r="H1035" s="6" t="s">
        <v>38</v>
      </c>
      <c r="I1035" s="6" t="s">
        <v>123</v>
      </c>
      <c r="J1035" s="6" t="s">
        <v>345</v>
      </c>
      <c r="K1035" s="10">
        <v>6.74</v>
      </c>
      <c r="L1035" s="10">
        <v>33.7</v>
      </c>
      <c r="M1035" s="6" t="s">
        <v>430</v>
      </c>
    </row>
    <row r="1036" spans="1:13">
      <c r="A1036" s="6">
        <v>2023</v>
      </c>
      <c r="B1036" s="6">
        <v>4</v>
      </c>
      <c r="C1036" s="6" t="s">
        <v>62</v>
      </c>
      <c r="D1036" s="6" t="s">
        <v>675</v>
      </c>
      <c r="E1036" s="6" t="s">
        <v>452</v>
      </c>
      <c r="F1036" s="6" t="str">
        <f>IF($M1036="PADD I","PADD 1",IF($M1036="PADD II","PADD 2",IF($M1036="PADD III","PADD 3",IF($M1036="PADD IV","PADD 4",IF($M1036="PADD V","PADD 5","")))))</f>
        <v>PADD 2</v>
      </c>
      <c r="G1036" s="6">
        <f>IF(AND($H1036="ATMOS DISTILLATION",ISNUMBER(SEARCH("VPS",$I1036))=FALSE,LEFT($I1036,6)&lt;&gt;"VACUUM"),"CDU",IF($H1036="FLUID CAT CRACKING","FCC",IF(OR($H1036="HYDROCRACKING",$H1036="RESID_HYDROCRACKING"),"Hydrocracker",IF($H1036="REFORMING","Reformer",""))))</f>
        <v/>
      </c>
      <c r="H1036" s="6" t="s">
        <v>43</v>
      </c>
      <c r="I1036" s="6" t="s">
        <v>719</v>
      </c>
      <c r="J1036" s="6" t="s">
        <v>349</v>
      </c>
      <c r="K1036" s="10">
        <v>6.7</v>
      </c>
      <c r="L1036" s="10">
        <v>10</v>
      </c>
      <c r="M1036" s="6" t="s">
        <v>375</v>
      </c>
    </row>
    <row r="1037" spans="1:13">
      <c r="A1037" s="6">
        <v>2023</v>
      </c>
      <c r="B1037" s="6">
        <v>4</v>
      </c>
      <c r="C1037" s="6" t="s">
        <v>62</v>
      </c>
      <c r="D1037" s="6" t="s">
        <v>387</v>
      </c>
      <c r="E1037" s="6" t="s">
        <v>388</v>
      </c>
      <c r="F1037" s="6" t="str">
        <f>IF($M1037="PADD I","PADD 1",IF($M1037="PADD II","PADD 2",IF($M1037="PADD III","PADD 3",IF($M1037="PADD IV","PADD 4",IF($M1037="PADD V","PADD 5","")))))</f>
        <v>PADD 3</v>
      </c>
      <c r="G1037" s="6" t="str">
        <f>IF(AND($H1037="ATMOS DISTILLATION",ISNUMBER(SEARCH("VPS",$I1037))=FALSE,LEFT($I1037,6)&lt;&gt;"VACUUM"),"CDU",IF($H1037="FLUID CAT CRACKING","FCC",IF(OR($H1037="HYDROCRACKING",$H1037="RESID_HYDROCRACKING"),"Hydrocracker",IF($H1037="REFORMING","Reformer",""))))</f>
        <v>Reformer</v>
      </c>
      <c r="H1037" s="6" t="s">
        <v>421</v>
      </c>
      <c r="I1037" s="6" t="s">
        <v>583</v>
      </c>
      <c r="J1037" s="6" t="s">
        <v>345</v>
      </c>
      <c r="K1037" s="10">
        <v>6.55</v>
      </c>
      <c r="L1037" s="10">
        <v>65.5</v>
      </c>
      <c r="M1037" s="6" t="s">
        <v>371</v>
      </c>
    </row>
    <row r="1038" spans="1:13">
      <c r="A1038" s="6">
        <v>2023</v>
      </c>
      <c r="B1038" s="6">
        <v>4</v>
      </c>
      <c r="C1038" s="6" t="s">
        <v>62</v>
      </c>
      <c r="D1038" s="6" t="s">
        <v>778</v>
      </c>
      <c r="E1038" s="6" t="s">
        <v>779</v>
      </c>
      <c r="F1038" s="6" t="str">
        <f>IF($M1038="PADD I","PADD 1",IF($M1038="PADD II","PADD 2",IF($M1038="PADD III","PADD 3",IF($M1038="PADD IV","PADD 4",IF($M1038="PADD V","PADD 5","")))))</f>
        <v>PADD 3</v>
      </c>
      <c r="G1038" s="6">
        <f>IF(AND($H1038="ATMOS DISTILLATION",ISNUMBER(SEARCH("VPS",$I1038))=FALSE,LEFT($I1038,6)&lt;&gt;"VACUUM"),"CDU",IF($H1038="FLUID CAT CRACKING","FCC",IF(OR($H1038="HYDROCRACKING",$H1038="RESID_HYDROCRACKING"),"Hydrocracker",IF($H1038="REFORMING","Reformer",""))))</f>
        <v/>
      </c>
      <c r="H1038" s="6" t="s">
        <v>43</v>
      </c>
      <c r="I1038" s="6" t="s">
        <v>809</v>
      </c>
      <c r="J1038" s="6" t="s">
        <v>345</v>
      </c>
      <c r="K1038" s="10">
        <v>6.5</v>
      </c>
      <c r="L1038" s="10">
        <v>50</v>
      </c>
      <c r="M1038" s="6" t="s">
        <v>371</v>
      </c>
    </row>
    <row r="1039" spans="1:13">
      <c r="A1039" s="6">
        <v>2023</v>
      </c>
      <c r="B1039" s="6">
        <v>4</v>
      </c>
      <c r="C1039" s="6" t="s">
        <v>62</v>
      </c>
      <c r="D1039" s="6" t="s">
        <v>807</v>
      </c>
      <c r="E1039" s="6" t="s">
        <v>779</v>
      </c>
      <c r="F1039" s="6" t="str">
        <f>IF($M1039="PADD I","PADD 1",IF($M1039="PADD II","PADD 2",IF($M1039="PADD III","PADD 3",IF($M1039="PADD IV","PADD 4",IF($M1039="PADD V","PADD 5","")))))</f>
        <v>PADD 3</v>
      </c>
      <c r="G1039" s="6">
        <f>IF(AND($H1039="ATMOS DISTILLATION",ISNUMBER(SEARCH("VPS",$I1039))=FALSE,LEFT($I1039,6)&lt;&gt;"VACUUM"),"CDU",IF($H1039="FLUID CAT CRACKING","FCC",IF(OR($H1039="HYDROCRACKING",$H1039="RESID_HYDROCRACKING"),"Hydrocracker",IF($H1039="REFORMING","Reformer",""))))</f>
        <v/>
      </c>
      <c r="H1039" s="6" t="s">
        <v>43</v>
      </c>
      <c r="I1039" s="6" t="s">
        <v>793</v>
      </c>
      <c r="J1039" s="6" t="s">
        <v>345</v>
      </c>
      <c r="K1039" s="10">
        <v>6.5</v>
      </c>
      <c r="L1039" s="10">
        <v>50</v>
      </c>
      <c r="M1039" s="6" t="s">
        <v>371</v>
      </c>
    </row>
    <row r="1040" spans="1:13">
      <c r="A1040" s="6">
        <v>2023</v>
      </c>
      <c r="B1040" s="6">
        <v>4</v>
      </c>
      <c r="C1040" s="6" t="s">
        <v>62</v>
      </c>
      <c r="D1040" s="6" t="s">
        <v>770</v>
      </c>
      <c r="E1040" s="6" t="s">
        <v>660</v>
      </c>
      <c r="F1040" s="6" t="str">
        <f>IF($M1040="PADD I","PADD 1",IF($M1040="PADD II","PADD 2",IF($M1040="PADD III","PADD 3",IF($M1040="PADD IV","PADD 4",IF($M1040="PADD V","PADD 5","")))))</f>
        <v>PADD 3</v>
      </c>
      <c r="G1040" s="6" t="str">
        <f>IF(AND($H1040="ATMOS DISTILLATION",ISNUMBER(SEARCH("VPS",$I1040))=FALSE,LEFT($I1040,6)&lt;&gt;"VACUUM"),"CDU",IF($H1040="FLUID CAT CRACKING","FCC",IF(OR($H1040="HYDROCRACKING",$H1040="RESID_HYDROCRACKING"),"Hydrocracker",IF($H1040="REFORMING","Reformer",""))))</f>
        <v>Reformer</v>
      </c>
      <c r="H1040" s="6" t="s">
        <v>421</v>
      </c>
      <c r="I1040" s="6" t="s">
        <v>810</v>
      </c>
      <c r="J1040" s="6" t="s">
        <v>349</v>
      </c>
      <c r="K1040" s="10">
        <v>6.4</v>
      </c>
      <c r="L1040" s="10">
        <v>6.4</v>
      </c>
      <c r="M1040" s="6" t="s">
        <v>371</v>
      </c>
    </row>
    <row r="1041" spans="1:13">
      <c r="A1041" s="6">
        <v>2023</v>
      </c>
      <c r="B1041" s="6">
        <v>4</v>
      </c>
      <c r="C1041" s="6" t="s">
        <v>62</v>
      </c>
      <c r="D1041" s="6" t="s">
        <v>778</v>
      </c>
      <c r="E1041" s="6" t="s">
        <v>779</v>
      </c>
      <c r="F1041" s="6" t="str">
        <f>IF($M1041="PADD I","PADD 1",IF($M1041="PADD II","PADD 2",IF($M1041="PADD III","PADD 3",IF($M1041="PADD IV","PADD 4",IF($M1041="PADD V","PADD 5","")))))</f>
        <v>PADD 3</v>
      </c>
      <c r="G1041" s="6">
        <f>IF(AND($H1041="ATMOS DISTILLATION",ISNUMBER(SEARCH("VPS",$I1041))=FALSE,LEFT($I1041,6)&lt;&gt;"VACUUM"),"CDU",IF($H1041="FLUID CAT CRACKING","FCC",IF(OR($H1041="HYDROCRACKING",$H1041="RESID_HYDROCRACKING"),"Hydrocracker",IF($H1041="REFORMING","Reformer",""))))</f>
        <v/>
      </c>
      <c r="H1041" s="6" t="s">
        <v>43</v>
      </c>
      <c r="I1041" s="6" t="s">
        <v>811</v>
      </c>
      <c r="J1041" s="6" t="s">
        <v>345</v>
      </c>
      <c r="K1041" s="10">
        <v>6.24</v>
      </c>
      <c r="L1041" s="10">
        <v>48</v>
      </c>
      <c r="M1041" s="6" t="s">
        <v>371</v>
      </c>
    </row>
    <row r="1042" spans="1:13">
      <c r="A1042" s="6">
        <v>2023</v>
      </c>
      <c r="B1042" s="6">
        <v>4</v>
      </c>
      <c r="C1042" s="6" t="s">
        <v>62</v>
      </c>
      <c r="D1042" s="6" t="s">
        <v>518</v>
      </c>
      <c r="E1042" s="6" t="s">
        <v>369</v>
      </c>
      <c r="F1042" s="6" t="str">
        <f>IF($M1042="PADD I","PADD 1",IF($M1042="PADD II","PADD 2",IF($M1042="PADD III","PADD 3",IF($M1042="PADD IV","PADD 4",IF($M1042="PADD V","PADD 5","")))))</f>
        <v>PADD 5</v>
      </c>
      <c r="G1042" s="6" t="str">
        <f>IF(AND($H1042="ATMOS DISTILLATION",ISNUMBER(SEARCH("VPS",$I1042))=FALSE,LEFT($I1042,6)&lt;&gt;"VACUUM"),"CDU",IF($H1042="FLUID CAT CRACKING","FCC",IF(OR($H1042="HYDROCRACKING",$H1042="RESID_HYDROCRACKING"),"Hydrocracker",IF($H1042="REFORMING","Reformer",""))))</f>
        <v>Hydrocracker</v>
      </c>
      <c r="H1042" s="6" t="s">
        <v>581</v>
      </c>
      <c r="I1042" s="6" t="s">
        <v>582</v>
      </c>
      <c r="J1042" s="6" t="s">
        <v>345</v>
      </c>
      <c r="K1042" s="10">
        <v>6.21</v>
      </c>
      <c r="L1042" s="10">
        <v>23</v>
      </c>
      <c r="M1042" s="6" t="s">
        <v>386</v>
      </c>
    </row>
    <row r="1043" spans="1:13">
      <c r="A1043" s="6">
        <v>2023</v>
      </c>
      <c r="B1043" s="6">
        <v>4</v>
      </c>
      <c r="C1043" s="6" t="s">
        <v>62</v>
      </c>
      <c r="D1043" s="6" t="s">
        <v>518</v>
      </c>
      <c r="E1043" s="6" t="s">
        <v>369</v>
      </c>
      <c r="F1043" s="6" t="str">
        <f>IF($M1043="PADD I","PADD 1",IF($M1043="PADD II","PADD 2",IF($M1043="PADD III","PADD 3",IF($M1043="PADD IV","PADD 4",IF($M1043="PADD V","PADD 5","")))))</f>
        <v>PADD 5</v>
      </c>
      <c r="G1043" s="6" t="str">
        <f>IF(AND($H1043="ATMOS DISTILLATION",ISNUMBER(SEARCH("VPS",$I1043))=FALSE,LEFT($I1043,6)&lt;&gt;"VACUUM"),"CDU",IF($H1043="FLUID CAT CRACKING","FCC",IF(OR($H1043="HYDROCRACKING",$H1043="RESID_HYDROCRACKING"),"Hydrocracker",IF($H1043="REFORMING","Reformer",""))))</f>
        <v>Hydrocracker</v>
      </c>
      <c r="H1043" s="6" t="s">
        <v>444</v>
      </c>
      <c r="I1043" s="6" t="s">
        <v>582</v>
      </c>
      <c r="J1043" s="6" t="s">
        <v>345</v>
      </c>
      <c r="K1043" s="10">
        <v>6.21</v>
      </c>
      <c r="L1043" s="10">
        <v>23</v>
      </c>
      <c r="M1043" s="6" t="s">
        <v>386</v>
      </c>
    </row>
    <row r="1044" spans="1:13">
      <c r="A1044" s="6">
        <v>2023</v>
      </c>
      <c r="B1044" s="6">
        <v>4</v>
      </c>
      <c r="C1044" s="6" t="s">
        <v>62</v>
      </c>
      <c r="D1044" s="6" t="s">
        <v>437</v>
      </c>
      <c r="E1044" s="6" t="s">
        <v>438</v>
      </c>
      <c r="F1044" s="6" t="str">
        <f>IF($M1044="PADD I","PADD 1",IF($M1044="PADD II","PADD 2",IF($M1044="PADD III","PADD 3",IF($M1044="PADD IV","PADD 4",IF($M1044="PADD V","PADD 5","")))))</f>
        <v>PADD 4</v>
      </c>
      <c r="G1044" s="6">
        <f>IF(AND($H1044="ATMOS DISTILLATION",ISNUMBER(SEARCH("VPS",$I1044))=FALSE,LEFT($I1044,6)&lt;&gt;"VACUUM"),"CDU",IF($H1044="FLUID CAT CRACKING","FCC",IF(OR($H1044="HYDROCRACKING",$H1044="RESID_HYDROCRACKING"),"Hydrocracker",IF($H1044="REFORMING","Reformer",""))))</f>
        <v/>
      </c>
      <c r="H1044" s="6" t="s">
        <v>378</v>
      </c>
      <c r="I1044" s="6" t="s">
        <v>494</v>
      </c>
      <c r="J1044" s="6" t="s">
        <v>345</v>
      </c>
      <c r="K1044" s="10">
        <v>6</v>
      </c>
      <c r="L1044" s="10">
        <v>20</v>
      </c>
      <c r="M1044" s="6" t="s">
        <v>430</v>
      </c>
    </row>
    <row r="1045" spans="1:13">
      <c r="A1045" s="6">
        <v>2023</v>
      </c>
      <c r="B1045" s="6">
        <v>4</v>
      </c>
      <c r="C1045" s="6" t="s">
        <v>62</v>
      </c>
      <c r="D1045" s="6" t="s">
        <v>462</v>
      </c>
      <c r="E1045" s="6" t="s">
        <v>438</v>
      </c>
      <c r="F1045" s="6" t="str">
        <f>IF($M1045="PADD I","PADD 1",IF($M1045="PADD II","PADD 2",IF($M1045="PADD III","PADD 3",IF($M1045="PADD IV","PADD 4",IF($M1045="PADD V","PADD 5","")))))</f>
        <v>PADD 4</v>
      </c>
      <c r="G1045" s="6">
        <f>IF(AND($H1045="ATMOS DISTILLATION",ISNUMBER(SEARCH("VPS",$I1045))=FALSE,LEFT($I1045,6)&lt;&gt;"VACUUM"),"CDU",IF($H1045="FLUID CAT CRACKING","FCC",IF(OR($H1045="HYDROCRACKING",$H1045="RESID_HYDROCRACKING"),"Hydrocracker",IF($H1045="REFORMING","Reformer",""))))</f>
        <v/>
      </c>
      <c r="H1045" s="6" t="s">
        <v>43</v>
      </c>
      <c r="I1045" s="6" t="s">
        <v>495</v>
      </c>
      <c r="J1045" s="6" t="s">
        <v>345</v>
      </c>
      <c r="K1045" s="10">
        <v>6</v>
      </c>
      <c r="L1045" s="10">
        <v>20</v>
      </c>
      <c r="M1045" s="6" t="s">
        <v>430</v>
      </c>
    </row>
    <row r="1046" spans="1:13">
      <c r="A1046" s="6">
        <v>2023</v>
      </c>
      <c r="B1046" s="6">
        <v>4</v>
      </c>
      <c r="C1046" s="6" t="s">
        <v>62</v>
      </c>
      <c r="D1046" s="6" t="s">
        <v>778</v>
      </c>
      <c r="E1046" s="6" t="s">
        <v>779</v>
      </c>
      <c r="F1046" s="6" t="str">
        <f>IF($M1046="PADD I","PADD 1",IF($M1046="PADD II","PADD 2",IF($M1046="PADD III","PADD 3",IF($M1046="PADD IV","PADD 4",IF($M1046="PADD V","PADD 5","")))))</f>
        <v>PADD 3</v>
      </c>
      <c r="G1046" s="6">
        <f>IF(AND($H1046="ATMOS DISTILLATION",ISNUMBER(SEARCH("VPS",$I1046))=FALSE,LEFT($I1046,6)&lt;&gt;"VACUUM"),"CDU",IF($H1046="FLUID CAT CRACKING","FCC",IF(OR($H1046="HYDROCRACKING",$H1046="RESID_HYDROCRACKING"),"Hydrocracker",IF($H1046="REFORMING","Reformer",""))))</f>
        <v/>
      </c>
      <c r="H1046" s="6" t="s">
        <v>43</v>
      </c>
      <c r="I1046" s="6" t="s">
        <v>394</v>
      </c>
      <c r="J1046" s="6" t="s">
        <v>345</v>
      </c>
      <c r="K1046" s="10">
        <v>5.85</v>
      </c>
      <c r="L1046" s="10">
        <v>45</v>
      </c>
      <c r="M1046" s="6" t="s">
        <v>371</v>
      </c>
    </row>
    <row r="1047" spans="1:13">
      <c r="A1047" s="6">
        <v>2023</v>
      </c>
      <c r="B1047" s="6">
        <v>4</v>
      </c>
      <c r="C1047" s="6" t="s">
        <v>62</v>
      </c>
      <c r="D1047" s="6" t="s">
        <v>518</v>
      </c>
      <c r="E1047" s="6" t="s">
        <v>369</v>
      </c>
      <c r="F1047" s="6" t="str">
        <f>IF($M1047="PADD I","PADD 1",IF($M1047="PADD II","PADD 2",IF($M1047="PADD III","PADD 3",IF($M1047="PADD IV","PADD 4",IF($M1047="PADD V","PADD 5","")))))</f>
        <v>PADD 5</v>
      </c>
      <c r="G1047" s="6" t="str">
        <f>IF(AND($H1047="ATMOS DISTILLATION",ISNUMBER(SEARCH("VPS",$I1047))=FALSE,LEFT($I1047,6)&lt;&gt;"VACUUM"),"CDU",IF($H1047="FLUID CAT CRACKING","FCC",IF(OR($H1047="HYDROCRACKING",$H1047="RESID_HYDROCRACKING"),"Hydrocracker",IF($H1047="REFORMING","Reformer",""))))</f>
        <v>Reformer</v>
      </c>
      <c r="H1047" s="6" t="s">
        <v>421</v>
      </c>
      <c r="I1047" s="6" t="s">
        <v>586</v>
      </c>
      <c r="J1047" s="6" t="s">
        <v>345</v>
      </c>
      <c r="K1047" s="10">
        <v>5.55</v>
      </c>
      <c r="L1047" s="10">
        <v>18.5</v>
      </c>
      <c r="M1047" s="6" t="s">
        <v>386</v>
      </c>
    </row>
    <row r="1048" spans="1:13">
      <c r="A1048" s="6">
        <v>2023</v>
      </c>
      <c r="B1048" s="6">
        <v>4</v>
      </c>
      <c r="C1048" s="6" t="s">
        <v>62</v>
      </c>
      <c r="D1048" s="6" t="s">
        <v>420</v>
      </c>
      <c r="E1048" s="6" t="s">
        <v>373</v>
      </c>
      <c r="F1048" s="6" t="str">
        <f>IF($M1048="PADD I","PADD 1",IF($M1048="PADD II","PADD 2",IF($M1048="PADD III","PADD 3",IF($M1048="PADD IV","PADD 4",IF($M1048="PADD V","PADD 5","")))))</f>
        <v>PADD 2</v>
      </c>
      <c r="G1048" s="6">
        <f>IF(AND($H1048="ATMOS DISTILLATION",ISNUMBER(SEARCH("VPS",$I1048))=FALSE,LEFT($I1048,6)&lt;&gt;"VACUUM"),"CDU",IF($H1048="FLUID CAT CRACKING","FCC",IF(OR($H1048="HYDROCRACKING",$H1048="RESID_HYDROCRACKING"),"Hydrocracker",IF($H1048="REFORMING","Reformer",""))))</f>
        <v/>
      </c>
      <c r="H1048" s="6" t="s">
        <v>43</v>
      </c>
      <c r="I1048" s="6" t="s">
        <v>588</v>
      </c>
      <c r="J1048" s="6" t="s">
        <v>345</v>
      </c>
      <c r="K1048" s="10">
        <v>5.5</v>
      </c>
      <c r="L1048" s="10">
        <v>5.5</v>
      </c>
      <c r="M1048" s="6" t="s">
        <v>375</v>
      </c>
    </row>
    <row r="1049" spans="1:13">
      <c r="A1049" s="6">
        <v>2023</v>
      </c>
      <c r="B1049" s="6">
        <v>4</v>
      </c>
      <c r="C1049" s="6" t="s">
        <v>62</v>
      </c>
      <c r="D1049" s="6" t="s">
        <v>457</v>
      </c>
      <c r="E1049" s="6" t="s">
        <v>388</v>
      </c>
      <c r="F1049" s="6" t="str">
        <f>IF($M1049="PADD I","PADD 1",IF($M1049="PADD II","PADD 2",IF($M1049="PADD III","PADD 3",IF($M1049="PADD IV","PADD 4",IF($M1049="PADD V","PADD 5","")))))</f>
        <v>PADD 5</v>
      </c>
      <c r="G1049" s="6" t="str">
        <f>IF(AND($H1049="ATMOS DISTILLATION",ISNUMBER(SEARCH("VPS",$I1049))=FALSE,LEFT($I1049,6)&lt;&gt;"VACUUM"),"CDU",IF($H1049="FLUID CAT CRACKING","FCC",IF(OR($H1049="HYDROCRACKING",$H1049="RESID_HYDROCRACKING"),"Hydrocracker",IF($H1049="REFORMING","Reformer",""))))</f>
        <v>Hydrocracker</v>
      </c>
      <c r="H1049" s="6" t="s">
        <v>444</v>
      </c>
      <c r="I1049" s="6" t="s">
        <v>14</v>
      </c>
      <c r="J1049" s="6" t="s">
        <v>345</v>
      </c>
      <c r="K1049" s="10">
        <v>5.5</v>
      </c>
      <c r="L1049" s="10">
        <v>55</v>
      </c>
      <c r="M1049" s="6" t="s">
        <v>386</v>
      </c>
    </row>
    <row r="1050" spans="1:13">
      <c r="A1050" s="6">
        <v>2023</v>
      </c>
      <c r="B1050" s="6">
        <v>4</v>
      </c>
      <c r="C1050" s="6" t="s">
        <v>62</v>
      </c>
      <c r="D1050" s="6" t="s">
        <v>788</v>
      </c>
      <c r="E1050" s="6" t="s">
        <v>405</v>
      </c>
      <c r="F1050" s="6" t="str">
        <f>IF($M1050="PADD I","PADD 1",IF($M1050="PADD II","PADD 2",IF($M1050="PADD III","PADD 3",IF($M1050="PADD IV","PADD 4",IF($M1050="PADD V","PADD 5","")))))</f>
        <v>PADD 3</v>
      </c>
      <c r="G1050" s="6" t="str">
        <f>IF(AND($H1050="ATMOS DISTILLATION",ISNUMBER(SEARCH("VPS",$I1050))=FALSE,LEFT($I1050,6)&lt;&gt;"VACUUM"),"CDU",IF($H1050="FLUID CAT CRACKING","FCC",IF(OR($H1050="HYDROCRACKING",$H1050="RESID_HYDROCRACKING"),"Hydrocracker",IF($H1050="REFORMING","Reformer",""))))</f>
        <v>Reformer</v>
      </c>
      <c r="H1050" s="6" t="s">
        <v>421</v>
      </c>
      <c r="I1050" s="6" t="s">
        <v>782</v>
      </c>
      <c r="J1050" s="6" t="s">
        <v>345</v>
      </c>
      <c r="K1050" s="10">
        <v>5.44</v>
      </c>
      <c r="L1050" s="10">
        <v>32</v>
      </c>
      <c r="M1050" s="6" t="s">
        <v>371</v>
      </c>
    </row>
    <row r="1051" spans="1:13">
      <c r="A1051" s="6">
        <v>2023</v>
      </c>
      <c r="B1051" s="6">
        <v>4</v>
      </c>
      <c r="C1051" s="6" t="s">
        <v>62</v>
      </c>
      <c r="D1051" s="6" t="s">
        <v>518</v>
      </c>
      <c r="E1051" s="6" t="s">
        <v>369</v>
      </c>
      <c r="F1051" s="6" t="str">
        <f>IF($M1051="PADD I","PADD 1",IF($M1051="PADD II","PADD 2",IF($M1051="PADD III","PADD 3",IF($M1051="PADD IV","PADD 4",IF($M1051="PADD V","PADD 5","")))))</f>
        <v>PADD 5</v>
      </c>
      <c r="G1051" s="6">
        <f>IF(AND($H1051="ATMOS DISTILLATION",ISNUMBER(SEARCH("VPS",$I1051))=FALSE,LEFT($I1051,6)&lt;&gt;"VACUUM"),"CDU",IF($H1051="FLUID CAT CRACKING","FCC",IF(OR($H1051="HYDROCRACKING",$H1051="RESID_HYDROCRACKING"),"Hydrocracker",IF($H1051="REFORMING","Reformer",""))))</f>
        <v/>
      </c>
      <c r="H1051" s="6" t="s">
        <v>43</v>
      </c>
      <c r="I1051" s="6" t="s">
        <v>587</v>
      </c>
      <c r="J1051" s="6" t="s">
        <v>345</v>
      </c>
      <c r="K1051" s="10">
        <v>5.4</v>
      </c>
      <c r="L1051" s="10">
        <v>20</v>
      </c>
      <c r="M1051" s="6" t="s">
        <v>386</v>
      </c>
    </row>
    <row r="1052" spans="1:13">
      <c r="A1052" s="6">
        <v>2023</v>
      </c>
      <c r="B1052" s="6">
        <v>4</v>
      </c>
      <c r="C1052" s="6" t="s">
        <v>62</v>
      </c>
      <c r="D1052" s="6" t="s">
        <v>680</v>
      </c>
      <c r="E1052" s="6" t="s">
        <v>681</v>
      </c>
      <c r="F1052" s="6" t="str">
        <f>IF($M1052="PADD I","PADD 1",IF($M1052="PADD II","PADD 2",IF($M1052="PADD III","PADD 3",IF($M1052="PADD IV","PADD 4",IF($M1052="PADD V","PADD 5","")))))</f>
        <v>PADD 3</v>
      </c>
      <c r="G1052" s="6">
        <f>IF(AND($H1052="ATMOS DISTILLATION",ISNUMBER(SEARCH("VPS",$I1052))=FALSE,LEFT($I1052,6)&lt;&gt;"VACUUM"),"CDU",IF($H1052="FLUID CAT CRACKING","FCC",IF(OR($H1052="HYDROCRACKING",$H1052="RESID_HYDROCRACKING"),"Hydrocracker",IF($H1052="REFORMING","Reformer",""))))</f>
        <v/>
      </c>
      <c r="H1052" s="6" t="s">
        <v>460</v>
      </c>
      <c r="I1052" s="6" t="s">
        <v>616</v>
      </c>
      <c r="J1052" s="6" t="s">
        <v>349</v>
      </c>
      <c r="K1052" s="10">
        <v>5.301</v>
      </c>
      <c r="L1052" s="10">
        <v>5.7</v>
      </c>
      <c r="M1052" s="6" t="s">
        <v>371</v>
      </c>
    </row>
    <row r="1053" spans="1:13">
      <c r="A1053" s="6">
        <v>2023</v>
      </c>
      <c r="B1053" s="6">
        <v>4</v>
      </c>
      <c r="C1053" s="6" t="s">
        <v>62</v>
      </c>
      <c r="D1053" s="6" t="s">
        <v>372</v>
      </c>
      <c r="E1053" s="6" t="s">
        <v>373</v>
      </c>
      <c r="F1053" s="6" t="str">
        <f>IF($M1053="PADD I","PADD 1",IF($M1053="PADD II","PADD 2",IF($M1053="PADD III","PADD 3",IF($M1053="PADD IV","PADD 4",IF($M1053="PADD V","PADD 5","")))))</f>
        <v>PADD 2</v>
      </c>
      <c r="G1053" s="6">
        <f>IF(AND($H1053="ATMOS DISTILLATION",ISNUMBER(SEARCH("VPS",$I1053))=FALSE,LEFT($I1053,6)&lt;&gt;"VACUUM"),"CDU",IF($H1053="FLUID CAT CRACKING","FCC",IF(OR($H1053="HYDROCRACKING",$H1053="RESID_HYDROCRACKING"),"Hydrocracker",IF($H1053="REFORMING","Reformer",""))))</f>
        <v/>
      </c>
      <c r="H1053" s="6" t="s">
        <v>435</v>
      </c>
      <c r="I1053" s="6" t="s">
        <v>584</v>
      </c>
      <c r="J1053" s="6" t="s">
        <v>345</v>
      </c>
      <c r="K1053" s="10">
        <v>5.2</v>
      </c>
      <c r="L1053" s="10">
        <v>6.5</v>
      </c>
      <c r="M1053" s="6" t="s">
        <v>375</v>
      </c>
    </row>
    <row r="1054" spans="1:13">
      <c r="A1054" s="6">
        <v>2023</v>
      </c>
      <c r="B1054" s="6">
        <v>4</v>
      </c>
      <c r="C1054" s="6" t="s">
        <v>62</v>
      </c>
      <c r="D1054" s="6" t="s">
        <v>675</v>
      </c>
      <c r="E1054" s="6" t="s">
        <v>452</v>
      </c>
      <c r="F1054" s="6" t="str">
        <f>IF($M1054="PADD I","PADD 1",IF($M1054="PADD II","PADD 2",IF($M1054="PADD III","PADD 3",IF($M1054="PADD IV","PADD 4",IF($M1054="PADD V","PADD 5","")))))</f>
        <v>PADD 2</v>
      </c>
      <c r="G1054" s="6" t="str">
        <f>IF(AND($H1054="ATMOS DISTILLATION",ISNUMBER(SEARCH("VPS",$I1054))=FALSE,LEFT($I1054,6)&lt;&gt;"VACUUM"),"CDU",IF($H1054="FLUID CAT CRACKING","FCC",IF(OR($H1054="HYDROCRACKING",$H1054="RESID_HYDROCRACKING"),"Hydrocracker",IF($H1054="REFORMING","Reformer",""))))</f>
        <v>Reformer</v>
      </c>
      <c r="H1054" s="6" t="s">
        <v>421</v>
      </c>
      <c r="I1054" s="6" t="s">
        <v>348</v>
      </c>
      <c r="J1054" s="6" t="s">
        <v>349</v>
      </c>
      <c r="K1054" s="10">
        <v>5.025</v>
      </c>
      <c r="L1054" s="10">
        <v>7.5</v>
      </c>
      <c r="M1054" s="6" t="s">
        <v>375</v>
      </c>
    </row>
    <row r="1055" spans="1:13">
      <c r="A1055" s="6">
        <v>2023</v>
      </c>
      <c r="B1055" s="6">
        <v>4</v>
      </c>
      <c r="C1055" s="6" t="s">
        <v>62</v>
      </c>
      <c r="D1055" s="6" t="s">
        <v>572</v>
      </c>
      <c r="E1055" s="6" t="s">
        <v>573</v>
      </c>
      <c r="F1055" s="6" t="str">
        <f>IF($M1055="PADD I","PADD 1",IF($M1055="PADD II","PADD 2",IF($M1055="PADD III","PADD 3",IF($M1055="PADD IV","PADD 4",IF($M1055="PADD V","PADD 5","")))))</f>
        <v>PADD 3</v>
      </c>
      <c r="G1055" s="6" t="str">
        <f>IF(AND($H1055="ATMOS DISTILLATION",ISNUMBER(SEARCH("VPS",$I1055))=FALSE,LEFT($I1055,6)&lt;&gt;"VACUUM"),"CDU",IF($H1055="FLUID CAT CRACKING","FCC",IF(OR($H1055="HYDROCRACKING",$H1055="RESID_HYDROCRACKING"),"Hydrocracker",IF($H1055="REFORMING","Reformer",""))))</f>
        <v>CDU</v>
      </c>
      <c r="H1055" s="6" t="s">
        <v>38</v>
      </c>
      <c r="I1055" s="6" t="s">
        <v>574</v>
      </c>
      <c r="J1055" s="6" t="s">
        <v>345</v>
      </c>
      <c r="K1055" s="10">
        <v>5</v>
      </c>
      <c r="L1055" s="10">
        <v>50</v>
      </c>
      <c r="M1055" s="6" t="s">
        <v>371</v>
      </c>
    </row>
    <row r="1056" spans="1:13">
      <c r="A1056" s="6">
        <v>2023</v>
      </c>
      <c r="B1056" s="6">
        <v>4</v>
      </c>
      <c r="C1056" s="6" t="s">
        <v>62</v>
      </c>
      <c r="D1056" s="6" t="s">
        <v>788</v>
      </c>
      <c r="E1056" s="6" t="s">
        <v>405</v>
      </c>
      <c r="F1056" s="6" t="str">
        <f>IF($M1056="PADD I","PADD 1",IF($M1056="PADD II","PADD 2",IF($M1056="PADD III","PADD 3",IF($M1056="PADD IV","PADD 4",IF($M1056="PADD V","PADD 5","")))))</f>
        <v>PADD 3</v>
      </c>
      <c r="G1056" s="6">
        <f>IF(AND($H1056="ATMOS DISTILLATION",ISNUMBER(SEARCH("VPS",$I1056))=FALSE,LEFT($I1056,6)&lt;&gt;"VACUUM"),"CDU",IF($H1056="FLUID CAT CRACKING","FCC",IF(OR($H1056="HYDROCRACKING",$H1056="RESID_HYDROCRACKING"),"Hydrocracker",IF($H1056="REFORMING","Reformer",""))))</f>
        <v/>
      </c>
      <c r="H1056" s="6" t="s">
        <v>378</v>
      </c>
      <c r="I1056" s="6" t="s">
        <v>812</v>
      </c>
      <c r="J1056" s="6" t="s">
        <v>345</v>
      </c>
      <c r="K1056" s="10">
        <v>5</v>
      </c>
      <c r="L1056" s="10">
        <v>50</v>
      </c>
      <c r="M1056" s="6" t="s">
        <v>371</v>
      </c>
    </row>
    <row r="1057" spans="1:13">
      <c r="A1057" s="6">
        <v>2023</v>
      </c>
      <c r="B1057" s="6">
        <v>4</v>
      </c>
      <c r="C1057" s="6" t="s">
        <v>62</v>
      </c>
      <c r="D1057" s="6" t="s">
        <v>326</v>
      </c>
      <c r="E1057" s="6" t="s">
        <v>385</v>
      </c>
      <c r="F1057" s="6" t="str">
        <f>IF($M1057="PADD I","PADD 1",IF($M1057="PADD II","PADD 2",IF($M1057="PADD III","PADD 3",IF($M1057="PADD IV","PADD 4",IF($M1057="PADD V","PADD 5","")))))</f>
        <v>PADD 5</v>
      </c>
      <c r="G1057" s="6">
        <f>IF(AND($H1057="ATMOS DISTILLATION",ISNUMBER(SEARCH("VPS",$I1057))=FALSE,LEFT($I1057,6)&lt;&gt;"VACUUM"),"CDU",IF($H1057="FLUID CAT CRACKING","FCC",IF(OR($H1057="HYDROCRACKING",$H1057="RESID_HYDROCRACKING"),"Hydrocracker",IF($H1057="REFORMING","Reformer",""))))</f>
        <v/>
      </c>
      <c r="H1057" s="6" t="s">
        <v>435</v>
      </c>
      <c r="I1057" s="6" t="s">
        <v>813</v>
      </c>
      <c r="J1057" s="6" t="s">
        <v>345</v>
      </c>
      <c r="K1057" s="10">
        <v>5</v>
      </c>
      <c r="L1057" s="10">
        <v>25</v>
      </c>
      <c r="M1057" s="6" t="s">
        <v>386</v>
      </c>
    </row>
    <row r="1058" spans="1:13">
      <c r="A1058" s="6">
        <v>2023</v>
      </c>
      <c r="B1058" s="6">
        <v>4</v>
      </c>
      <c r="C1058" s="6" t="s">
        <v>62</v>
      </c>
      <c r="D1058" s="6" t="s">
        <v>612</v>
      </c>
      <c r="E1058" s="6" t="s">
        <v>416</v>
      </c>
      <c r="F1058" s="6" t="str">
        <f>IF($M1058="PADD I","PADD 1",IF($M1058="PADD II","PADD 2",IF($M1058="PADD III","PADD 3",IF($M1058="PADD IV","PADD 4",IF($M1058="PADD V","PADD 5","")))))</f>
        <v>PADD 3</v>
      </c>
      <c r="G1058" s="6" t="str">
        <f>IF(AND($H1058="ATMOS DISTILLATION",ISNUMBER(SEARCH("VPS",$I1058))=FALSE,LEFT($I1058,6)&lt;&gt;"VACUUM"),"CDU",IF($H1058="FLUID CAT CRACKING","FCC",IF(OR($H1058="HYDROCRACKING",$H1058="RESID_HYDROCRACKING"),"Hydrocracker",IF($H1058="REFORMING","Reformer",""))))</f>
        <v>CDU</v>
      </c>
      <c r="H1058" s="6" t="s">
        <v>38</v>
      </c>
      <c r="I1058" s="6" t="s">
        <v>81</v>
      </c>
      <c r="J1058" s="6" t="s">
        <v>345</v>
      </c>
      <c r="K1058" s="10">
        <v>4.95</v>
      </c>
      <c r="L1058" s="10">
        <v>165</v>
      </c>
      <c r="M1058" s="6" t="s">
        <v>371</v>
      </c>
    </row>
    <row r="1059" spans="1:13">
      <c r="A1059" s="6">
        <v>2023</v>
      </c>
      <c r="B1059" s="6">
        <v>4</v>
      </c>
      <c r="C1059" s="6" t="s">
        <v>62</v>
      </c>
      <c r="D1059" s="6" t="s">
        <v>518</v>
      </c>
      <c r="E1059" s="6" t="s">
        <v>369</v>
      </c>
      <c r="F1059" s="6" t="str">
        <f>IF($M1059="PADD I","PADD 1",IF($M1059="PADD II","PADD 2",IF($M1059="PADD III","PADD 3",IF($M1059="PADD IV","PADD 4",IF($M1059="PADD V","PADD 5","")))))</f>
        <v>PADD 5</v>
      </c>
      <c r="G1059" s="6" t="str">
        <f>IF(AND($H1059="ATMOS DISTILLATION",ISNUMBER(SEARCH("VPS",$I1059))=FALSE,LEFT($I1059,6)&lt;&gt;"VACUUM"),"CDU",IF($H1059="FLUID CAT CRACKING","FCC",IF(OR($H1059="HYDROCRACKING",$H1059="RESID_HYDROCRACKING"),"Hydrocracker",IF($H1059="REFORMING","Reformer",""))))</f>
        <v>Reformer</v>
      </c>
      <c r="H1059" s="6" t="s">
        <v>421</v>
      </c>
      <c r="I1059" s="6" t="s">
        <v>591</v>
      </c>
      <c r="J1059" s="6" t="s">
        <v>345</v>
      </c>
      <c r="K1059" s="10">
        <v>4.86</v>
      </c>
      <c r="L1059" s="10">
        <v>18</v>
      </c>
      <c r="M1059" s="6" t="s">
        <v>386</v>
      </c>
    </row>
    <row r="1060" spans="1:13">
      <c r="A1060" s="6">
        <v>2023</v>
      </c>
      <c r="B1060" s="6">
        <v>4</v>
      </c>
      <c r="C1060" s="6" t="s">
        <v>62</v>
      </c>
      <c r="D1060" s="6" t="s">
        <v>727</v>
      </c>
      <c r="E1060" s="6" t="s">
        <v>728</v>
      </c>
      <c r="F1060" s="6" t="str">
        <f>IF($M1060="PADD I","PADD 1",IF($M1060="PADD II","PADD 2",IF($M1060="PADD III","PADD 3",IF($M1060="PADD IV","PADD 4",IF($M1060="PADD V","PADD 5","")))))</f>
        <v>PADD 1</v>
      </c>
      <c r="G1060" s="6">
        <f>IF(AND($H1060="ATMOS DISTILLATION",ISNUMBER(SEARCH("VPS",$I1060))=FALSE,LEFT($I1060,6)&lt;&gt;"VACUUM"),"CDU",IF($H1060="FLUID CAT CRACKING","FCC",IF(OR($H1060="HYDROCRACKING",$H1060="RESID_HYDROCRACKING"),"Hydrocracker",IF($H1060="REFORMING","Reformer",""))))</f>
        <v/>
      </c>
      <c r="H1060" s="6" t="s">
        <v>568</v>
      </c>
      <c r="I1060" s="6" t="s">
        <v>713</v>
      </c>
      <c r="J1060" s="6" t="s">
        <v>349</v>
      </c>
      <c r="K1060" s="10">
        <v>4.85</v>
      </c>
      <c r="L1060" s="10">
        <v>5</v>
      </c>
      <c r="M1060" s="6" t="s">
        <v>413</v>
      </c>
    </row>
    <row r="1061" spans="1:13">
      <c r="A1061" s="6">
        <v>2023</v>
      </c>
      <c r="B1061" s="6">
        <v>4</v>
      </c>
      <c r="C1061" s="6" t="s">
        <v>62</v>
      </c>
      <c r="D1061" s="6" t="s">
        <v>612</v>
      </c>
      <c r="E1061" s="6" t="s">
        <v>416</v>
      </c>
      <c r="F1061" s="6" t="str">
        <f>IF($M1061="PADD I","PADD 1",IF($M1061="PADD II","PADD 2",IF($M1061="PADD III","PADD 3",IF($M1061="PADD IV","PADD 4",IF($M1061="PADD V","PADD 5","")))))</f>
        <v>PADD 3</v>
      </c>
      <c r="G1061" s="6" t="str">
        <f>IF(AND($H1061="ATMOS DISTILLATION",ISNUMBER(SEARCH("VPS",$I1061))=FALSE,LEFT($I1061,6)&lt;&gt;"VACUUM"),"CDU",IF($H1061="FLUID CAT CRACKING","FCC",IF(OR($H1061="HYDROCRACKING",$H1061="RESID_HYDROCRACKING"),"Hydrocracker",IF($H1061="REFORMING","Reformer",""))))</f>
        <v>FCC</v>
      </c>
      <c r="H1061" s="6" t="s">
        <v>376</v>
      </c>
      <c r="I1061" s="6" t="s">
        <v>428</v>
      </c>
      <c r="J1061" s="6" t="s">
        <v>345</v>
      </c>
      <c r="K1061" s="10">
        <v>4.83</v>
      </c>
      <c r="L1061" s="10">
        <v>69</v>
      </c>
      <c r="M1061" s="6" t="s">
        <v>371</v>
      </c>
    </row>
    <row r="1062" spans="1:13">
      <c r="A1062" s="6">
        <v>2023</v>
      </c>
      <c r="B1062" s="6">
        <v>4</v>
      </c>
      <c r="C1062" s="6" t="s">
        <v>62</v>
      </c>
      <c r="D1062" s="6" t="s">
        <v>612</v>
      </c>
      <c r="E1062" s="6" t="s">
        <v>416</v>
      </c>
      <c r="F1062" s="6" t="str">
        <f>IF($M1062="PADD I","PADD 1",IF($M1062="PADD II","PADD 2",IF($M1062="PADD III","PADD 3",IF($M1062="PADD IV","PADD 4",IF($M1062="PADD V","PADD 5","")))))</f>
        <v>PADD 3</v>
      </c>
      <c r="G1062" s="6">
        <f>IF(AND($H1062="ATMOS DISTILLATION",ISNUMBER(SEARCH("VPS",$I1062))=FALSE,LEFT($I1062,6)&lt;&gt;"VACUUM"),"CDU",IF($H1062="FLUID CAT CRACKING","FCC",IF(OR($H1062="HYDROCRACKING",$H1062="RESID_HYDROCRACKING"),"Hydrocracker",IF($H1062="REFORMING","Reformer",""))))</f>
        <v/>
      </c>
      <c r="H1062" s="6" t="s">
        <v>43</v>
      </c>
      <c r="I1062" s="6" t="s">
        <v>814</v>
      </c>
      <c r="J1062" s="6" t="s">
        <v>345</v>
      </c>
      <c r="K1062" s="10">
        <v>4.83</v>
      </c>
      <c r="L1062" s="10">
        <v>69</v>
      </c>
      <c r="M1062" s="6" t="s">
        <v>371</v>
      </c>
    </row>
    <row r="1063" spans="1:13">
      <c r="A1063" s="6">
        <v>2023</v>
      </c>
      <c r="B1063" s="6">
        <v>4</v>
      </c>
      <c r="C1063" s="6" t="s">
        <v>62</v>
      </c>
      <c r="D1063" s="6" t="s">
        <v>468</v>
      </c>
      <c r="E1063" s="6" t="s">
        <v>369</v>
      </c>
      <c r="F1063" s="6" t="str">
        <f>IF($M1063="PADD I","PADD 1",IF($M1063="PADD II","PADD 2",IF($M1063="PADD III","PADD 3",IF($M1063="PADD IV","PADD 4",IF($M1063="PADD V","PADD 5","")))))</f>
        <v>PADD 3</v>
      </c>
      <c r="G1063" s="6" t="str">
        <f>IF(AND($H1063="ATMOS DISTILLATION",ISNUMBER(SEARCH("VPS",$I1063))=FALSE,LEFT($I1063,6)&lt;&gt;"VACUUM"),"CDU",IF($H1063="FLUID CAT CRACKING","FCC",IF(OR($H1063="HYDROCRACKING",$H1063="RESID_HYDROCRACKING"),"Hydrocracker",IF($H1063="REFORMING","Reformer",""))))</f>
        <v>CDU</v>
      </c>
      <c r="H1063" s="6" t="s">
        <v>38</v>
      </c>
      <c r="I1063" s="6" t="s">
        <v>565</v>
      </c>
      <c r="J1063" s="6" t="s">
        <v>349</v>
      </c>
      <c r="K1063" s="10">
        <v>4.81</v>
      </c>
      <c r="L1063" s="10">
        <v>37</v>
      </c>
      <c r="M1063" s="6" t="s">
        <v>371</v>
      </c>
    </row>
    <row r="1064" spans="1:13">
      <c r="A1064" s="6">
        <v>2023</v>
      </c>
      <c r="B1064" s="6">
        <v>4</v>
      </c>
      <c r="C1064" s="6" t="s">
        <v>62</v>
      </c>
      <c r="D1064" s="6" t="s">
        <v>468</v>
      </c>
      <c r="E1064" s="6" t="s">
        <v>369</v>
      </c>
      <c r="F1064" s="6" t="str">
        <f>IF($M1064="PADD I","PADD 1",IF($M1064="PADD II","PADD 2",IF($M1064="PADD III","PADD 3",IF($M1064="PADD IV","PADD 4",IF($M1064="PADD V","PADD 5","")))))</f>
        <v>PADD 3</v>
      </c>
      <c r="G1064" s="6" t="str">
        <f>IF(AND($H1064="ATMOS DISTILLATION",ISNUMBER(SEARCH("VPS",$I1064))=FALSE,LEFT($I1064,6)&lt;&gt;"VACUUM"),"CDU",IF($H1064="FLUID CAT CRACKING","FCC",IF(OR($H1064="HYDROCRACKING",$H1064="RESID_HYDROCRACKING"),"Hydrocracker",IF($H1064="REFORMING","Reformer",""))))</f>
        <v>CDU</v>
      </c>
      <c r="H1064" s="6" t="s">
        <v>38</v>
      </c>
      <c r="I1064" s="6" t="s">
        <v>509</v>
      </c>
      <c r="J1064" s="6" t="s">
        <v>349</v>
      </c>
      <c r="K1064" s="10">
        <v>4.76</v>
      </c>
      <c r="L1064" s="10">
        <v>68</v>
      </c>
      <c r="M1064" s="6" t="s">
        <v>371</v>
      </c>
    </row>
    <row r="1065" spans="1:13">
      <c r="A1065" s="6">
        <v>2023</v>
      </c>
      <c r="B1065" s="6">
        <v>4</v>
      </c>
      <c r="C1065" s="6" t="s">
        <v>62</v>
      </c>
      <c r="D1065" s="6" t="s">
        <v>799</v>
      </c>
      <c r="E1065" s="6" t="s">
        <v>391</v>
      </c>
      <c r="F1065" s="6" t="str">
        <f>IF($M1065="PADD I","PADD 1",IF($M1065="PADD II","PADD 2",IF($M1065="PADD III","PADD 3",IF($M1065="PADD IV","PADD 4",IF($M1065="PADD V","PADD 5","")))))</f>
        <v>PADD 4</v>
      </c>
      <c r="G1065" s="6">
        <f>IF(AND($H1065="ATMOS DISTILLATION",ISNUMBER(SEARCH("VPS",$I1065))=FALSE,LEFT($I1065,6)&lt;&gt;"VACUUM"),"CDU",IF($H1065="FLUID CAT CRACKING","FCC",IF(OR($H1065="HYDROCRACKING",$H1065="RESID_HYDROCRACKING"),"Hydrocracker",IF($H1065="REFORMING","Reformer",""))))</f>
        <v/>
      </c>
      <c r="H1065" s="6" t="s">
        <v>43</v>
      </c>
      <c r="I1065" s="6" t="s">
        <v>800</v>
      </c>
      <c r="J1065" s="6" t="s">
        <v>345</v>
      </c>
      <c r="K1065" s="10">
        <v>4.743</v>
      </c>
      <c r="L1065" s="10">
        <v>27.9</v>
      </c>
      <c r="M1065" s="6" t="s">
        <v>430</v>
      </c>
    </row>
    <row r="1066" spans="1:13">
      <c r="A1066" s="6">
        <v>2023</v>
      </c>
      <c r="B1066" s="6">
        <v>4</v>
      </c>
      <c r="C1066" s="6" t="s">
        <v>62</v>
      </c>
      <c r="D1066" s="6" t="s">
        <v>372</v>
      </c>
      <c r="E1066" s="6" t="s">
        <v>373</v>
      </c>
      <c r="F1066" s="6" t="str">
        <f>IF($M1066="PADD I","PADD 1",IF($M1066="PADD II","PADD 2",IF($M1066="PADD III","PADD 3",IF($M1066="PADD IV","PADD 4",IF($M1066="PADD V","PADD 5","")))))</f>
        <v>PADD 2</v>
      </c>
      <c r="G1066" s="6">
        <f>IF(AND($H1066="ATMOS DISTILLATION",ISNUMBER(SEARCH("VPS",$I1066))=FALSE,LEFT($I1066,6)&lt;&gt;"VACUUM"),"CDU",IF($H1066="FLUID CAT CRACKING","FCC",IF(OR($H1066="HYDROCRACKING",$H1066="RESID_HYDROCRACKING"),"Hydrocracker",IF($H1066="REFORMING","Reformer",""))))</f>
        <v/>
      </c>
      <c r="H1066" s="6" t="s">
        <v>435</v>
      </c>
      <c r="I1066" s="6" t="s">
        <v>584</v>
      </c>
      <c r="J1066" s="6" t="s">
        <v>345</v>
      </c>
      <c r="K1066" s="10">
        <v>4.725</v>
      </c>
      <c r="L1066" s="10">
        <v>7.5</v>
      </c>
      <c r="M1066" s="6" t="s">
        <v>375</v>
      </c>
    </row>
    <row r="1067" spans="1:13">
      <c r="A1067" s="6">
        <v>2023</v>
      </c>
      <c r="B1067" s="6">
        <v>4</v>
      </c>
      <c r="C1067" s="6" t="s">
        <v>62</v>
      </c>
      <c r="D1067" s="6" t="s">
        <v>437</v>
      </c>
      <c r="E1067" s="6" t="s">
        <v>438</v>
      </c>
      <c r="F1067" s="6" t="str">
        <f>IF($M1067="PADD I","PADD 1",IF($M1067="PADD II","PADD 2",IF($M1067="PADD III","PADD 3",IF($M1067="PADD IV","PADD 4",IF($M1067="PADD V","PADD 5","")))))</f>
        <v>PADD 4</v>
      </c>
      <c r="G1067" s="6">
        <f>IF(AND($H1067="ATMOS DISTILLATION",ISNUMBER(SEARCH("VPS",$I1067))=FALSE,LEFT($I1067,6)&lt;&gt;"VACUUM"),"CDU",IF($H1067="FLUID CAT CRACKING","FCC",IF(OR($H1067="HYDROCRACKING",$H1067="RESID_HYDROCRACKING"),"Hydrocracker",IF($H1067="REFORMING","Reformer",""))))</f>
        <v/>
      </c>
      <c r="H1067" s="6" t="s">
        <v>43</v>
      </c>
      <c r="I1067" s="6" t="s">
        <v>493</v>
      </c>
      <c r="J1067" s="6" t="s">
        <v>349</v>
      </c>
      <c r="K1067" s="10">
        <v>4.7</v>
      </c>
      <c r="L1067" s="10">
        <v>10</v>
      </c>
      <c r="M1067" s="6" t="s">
        <v>430</v>
      </c>
    </row>
    <row r="1068" spans="1:13">
      <c r="A1068" s="6">
        <v>2023</v>
      </c>
      <c r="B1068" s="6">
        <v>4</v>
      </c>
      <c r="C1068" s="6" t="s">
        <v>62</v>
      </c>
      <c r="D1068" s="6" t="s">
        <v>807</v>
      </c>
      <c r="E1068" s="6" t="s">
        <v>779</v>
      </c>
      <c r="F1068" s="6" t="str">
        <f>IF($M1068="PADD I","PADD 1",IF($M1068="PADD II","PADD 2",IF($M1068="PADD III","PADD 3",IF($M1068="PADD IV","PADD 4",IF($M1068="PADD V","PADD 5","")))))</f>
        <v>PADD 3</v>
      </c>
      <c r="G1068" s="6">
        <f>IF(AND($H1068="ATMOS DISTILLATION",ISNUMBER(SEARCH("VPS",$I1068))=FALSE,LEFT($I1068,6)&lt;&gt;"VACUUM"),"CDU",IF($H1068="FLUID CAT CRACKING","FCC",IF(OR($H1068="HYDROCRACKING",$H1068="RESID_HYDROCRACKING"),"Hydrocracker",IF($H1068="REFORMING","Reformer",""))))</f>
        <v/>
      </c>
      <c r="H1068" s="6" t="s">
        <v>378</v>
      </c>
      <c r="I1068" s="6" t="s">
        <v>431</v>
      </c>
      <c r="J1068" s="6" t="s">
        <v>345</v>
      </c>
      <c r="K1068" s="10">
        <v>4.68</v>
      </c>
      <c r="L1068" s="10">
        <v>36</v>
      </c>
      <c r="M1068" s="6" t="s">
        <v>371</v>
      </c>
    </row>
    <row r="1069" spans="1:13">
      <c r="A1069" s="6">
        <v>2023</v>
      </c>
      <c r="B1069" s="6">
        <v>4</v>
      </c>
      <c r="C1069" s="6" t="s">
        <v>62</v>
      </c>
      <c r="D1069" s="6" t="s">
        <v>518</v>
      </c>
      <c r="E1069" s="6" t="s">
        <v>369</v>
      </c>
      <c r="F1069" s="6" t="str">
        <f>IF($M1069="PADD I","PADD 1",IF($M1069="PADD II","PADD 2",IF($M1069="PADD III","PADD 3",IF($M1069="PADD IV","PADD 4",IF($M1069="PADD V","PADD 5","")))))</f>
        <v>PADD 5</v>
      </c>
      <c r="G1069" s="6">
        <f>IF(AND($H1069="ATMOS DISTILLATION",ISNUMBER(SEARCH("VPS",$I1069))=FALSE,LEFT($I1069,6)&lt;&gt;"VACUUM"),"CDU",IF($H1069="FLUID CAT CRACKING","FCC",IF(OR($H1069="HYDROCRACKING",$H1069="RESID_HYDROCRACKING"),"Hydrocracker",IF($H1069="REFORMING","Reformer",""))))</f>
        <v/>
      </c>
      <c r="H1069" s="6" t="s">
        <v>435</v>
      </c>
      <c r="I1069" s="6" t="s">
        <v>578</v>
      </c>
      <c r="J1069" s="6" t="s">
        <v>349</v>
      </c>
      <c r="K1069" s="10">
        <v>4.6</v>
      </c>
      <c r="L1069" s="10">
        <v>23</v>
      </c>
      <c r="M1069" s="6" t="s">
        <v>386</v>
      </c>
    </row>
    <row r="1070" spans="1:13">
      <c r="A1070" s="6">
        <v>2023</v>
      </c>
      <c r="B1070" s="6">
        <v>4</v>
      </c>
      <c r="C1070" s="6" t="s">
        <v>62</v>
      </c>
      <c r="D1070" s="6" t="s">
        <v>715</v>
      </c>
      <c r="E1070" s="6" t="s">
        <v>716</v>
      </c>
      <c r="F1070" s="6" t="str">
        <f>IF($M1070="PADD I","PADD 1",IF($M1070="PADD II","PADD 2",IF($M1070="PADD III","PADD 3",IF($M1070="PADD IV","PADD 4",IF($M1070="PADD V","PADD 5","")))))</f>
        <v>PADD 2</v>
      </c>
      <c r="G1070" s="6" t="str">
        <f>IF(AND($H1070="ATMOS DISTILLATION",ISNUMBER(SEARCH("VPS",$I1070))=FALSE,LEFT($I1070,6)&lt;&gt;"VACUUM"),"CDU",IF($H1070="FLUID CAT CRACKING","FCC",IF(OR($H1070="HYDROCRACKING",$H1070="RESID_HYDROCRACKING"),"Hydrocracker",IF($H1070="REFORMING","Reformer",""))))</f>
        <v>FCC</v>
      </c>
      <c r="H1070" s="6" t="s">
        <v>376</v>
      </c>
      <c r="I1070" s="6" t="s">
        <v>105</v>
      </c>
      <c r="J1070" s="6" t="s">
        <v>349</v>
      </c>
      <c r="K1070" s="10">
        <v>4.56</v>
      </c>
      <c r="L1070" s="10">
        <v>8</v>
      </c>
      <c r="M1070" s="6" t="s">
        <v>375</v>
      </c>
    </row>
    <row r="1071" spans="1:13">
      <c r="A1071" s="6">
        <v>2023</v>
      </c>
      <c r="B1071" s="6">
        <v>4</v>
      </c>
      <c r="C1071" s="6" t="s">
        <v>62</v>
      </c>
      <c r="D1071" s="6" t="s">
        <v>770</v>
      </c>
      <c r="E1071" s="6" t="s">
        <v>660</v>
      </c>
      <c r="F1071" s="6" t="str">
        <f>IF($M1071="PADD I","PADD 1",IF($M1071="PADD II","PADD 2",IF($M1071="PADD III","PADD 3",IF($M1071="PADD IV","PADD 4",IF($M1071="PADD V","PADD 5","")))))</f>
        <v>PADD 3</v>
      </c>
      <c r="G1071" s="6">
        <f>IF(AND($H1071="ATMOS DISTILLATION",ISNUMBER(SEARCH("VPS",$I1071))=FALSE,LEFT($I1071,6)&lt;&gt;"VACUUM"),"CDU",IF($H1071="FLUID CAT CRACKING","FCC",IF(OR($H1071="HYDROCRACKING",$H1071="RESID_HYDROCRACKING"),"Hydrocracker",IF($H1071="REFORMING","Reformer",""))))</f>
        <v/>
      </c>
      <c r="H1071" s="6" t="s">
        <v>568</v>
      </c>
      <c r="I1071" s="6" t="s">
        <v>604</v>
      </c>
      <c r="J1071" s="6" t="s">
        <v>349</v>
      </c>
      <c r="K1071" s="10">
        <v>4.5</v>
      </c>
      <c r="L1071" s="10">
        <v>4.5</v>
      </c>
      <c r="M1071" s="6" t="s">
        <v>371</v>
      </c>
    </row>
    <row r="1072" spans="1:13">
      <c r="A1072" s="6">
        <v>2023</v>
      </c>
      <c r="B1072" s="6">
        <v>4</v>
      </c>
      <c r="C1072" s="6" t="s">
        <v>62</v>
      </c>
      <c r="D1072" s="6" t="s">
        <v>727</v>
      </c>
      <c r="E1072" s="6" t="s">
        <v>728</v>
      </c>
      <c r="F1072" s="6" t="str">
        <f>IF($M1072="PADD I","PADD 1",IF($M1072="PADD II","PADD 2",IF($M1072="PADD III","PADD 3",IF($M1072="PADD IV","PADD 4",IF($M1072="PADD V","PADD 5","")))))</f>
        <v>PADD 1</v>
      </c>
      <c r="G1072" s="6">
        <f>IF(AND($H1072="ATMOS DISTILLATION",ISNUMBER(SEARCH("VPS",$I1072))=FALSE,LEFT($I1072,6)&lt;&gt;"VACUUM"),"CDU",IF($H1072="FLUID CAT CRACKING","FCC",IF(OR($H1072="HYDROCRACKING",$H1072="RESID_HYDROCRACKING"),"Hydrocracker",IF($H1072="REFORMING","Reformer",""))))</f>
        <v/>
      </c>
      <c r="H1072" s="6" t="s">
        <v>43</v>
      </c>
      <c r="I1072" s="6" t="s">
        <v>752</v>
      </c>
      <c r="J1072" s="6" t="s">
        <v>349</v>
      </c>
      <c r="K1072" s="10">
        <v>4.462</v>
      </c>
      <c r="L1072" s="10">
        <v>4.6</v>
      </c>
      <c r="M1072" s="6" t="s">
        <v>413</v>
      </c>
    </row>
    <row r="1073" spans="1:13">
      <c r="A1073" s="6">
        <v>2023</v>
      </c>
      <c r="B1073" s="6">
        <v>4</v>
      </c>
      <c r="C1073" s="6" t="s">
        <v>62</v>
      </c>
      <c r="D1073" s="6" t="s">
        <v>739</v>
      </c>
      <c r="E1073" s="6" t="s">
        <v>405</v>
      </c>
      <c r="F1073" s="6" t="str">
        <f>IF($M1073="PADD I","PADD 1",IF($M1073="PADD II","PADD 2",IF($M1073="PADD III","PADD 3",IF($M1073="PADD IV","PADD 4",IF($M1073="PADD V","PADD 5","")))))</f>
        <v>PADD 2</v>
      </c>
      <c r="G1073" s="6">
        <f>IF(AND($H1073="ATMOS DISTILLATION",ISNUMBER(SEARCH("VPS",$I1073))=FALSE,LEFT($I1073,6)&lt;&gt;"VACUUM"),"CDU",IF($H1073="FLUID CAT CRACKING","FCC",IF(OR($H1073="HYDROCRACKING",$H1073="RESID_HYDROCRACKING"),"Hydrocracker",IF($H1073="REFORMING","Reformer",""))))</f>
        <v/>
      </c>
      <c r="H1073" s="6" t="s">
        <v>568</v>
      </c>
      <c r="I1073" s="6" t="s">
        <v>604</v>
      </c>
      <c r="J1073" s="6" t="s">
        <v>349</v>
      </c>
      <c r="K1073" s="10">
        <v>4.41</v>
      </c>
      <c r="L1073" s="10">
        <v>7</v>
      </c>
      <c r="M1073" s="6" t="s">
        <v>375</v>
      </c>
    </row>
    <row r="1074" spans="1:13">
      <c r="A1074" s="6">
        <v>2023</v>
      </c>
      <c r="B1074" s="6">
        <v>4</v>
      </c>
      <c r="C1074" s="6" t="s">
        <v>62</v>
      </c>
      <c r="D1074" s="6" t="s">
        <v>732</v>
      </c>
      <c r="E1074" s="6" t="s">
        <v>733</v>
      </c>
      <c r="F1074" s="6" t="str">
        <f>IF($M1074="PADD I","PADD 1",IF($M1074="PADD II","PADD 2",IF($M1074="PADD III","PADD 3",IF($M1074="PADD IV","PADD 4",IF($M1074="PADD V","PADD 5","")))))</f>
        <v>PADD 4</v>
      </c>
      <c r="G1074" s="6">
        <f>IF(AND($H1074="ATMOS DISTILLATION",ISNUMBER(SEARCH("VPS",$I1074))=FALSE,LEFT($I1074,6)&lt;&gt;"VACUUM"),"CDU",IF($H1074="FLUID CAT CRACKING","FCC",IF(OR($H1074="HYDROCRACKING",$H1074="RESID_HYDROCRACKING"),"Hydrocracker",IF($H1074="REFORMING","Reformer",""))))</f>
        <v/>
      </c>
      <c r="H1074" s="6" t="s">
        <v>460</v>
      </c>
      <c r="I1074" s="6" t="s">
        <v>616</v>
      </c>
      <c r="J1074" s="6" t="s">
        <v>349</v>
      </c>
      <c r="K1074" s="10">
        <v>4.3</v>
      </c>
      <c r="L1074" s="10">
        <v>4.3</v>
      </c>
      <c r="M1074" s="6" t="s">
        <v>430</v>
      </c>
    </row>
    <row r="1075" spans="1:13">
      <c r="A1075" s="6">
        <v>2023</v>
      </c>
      <c r="B1075" s="6">
        <v>4</v>
      </c>
      <c r="C1075" s="6" t="s">
        <v>62</v>
      </c>
      <c r="D1075" s="6" t="s">
        <v>662</v>
      </c>
      <c r="E1075" s="6" t="s">
        <v>552</v>
      </c>
      <c r="F1075" s="6" t="str">
        <f>IF($M1075="PADD I","PADD 1",IF($M1075="PADD II","PADD 2",IF($M1075="PADD III","PADD 3",IF($M1075="PADD IV","PADD 4",IF($M1075="PADD V","PADD 5","")))))</f>
        <v>PADD 3</v>
      </c>
      <c r="G1075" s="6" t="str">
        <f>IF(AND($H1075="ATMOS DISTILLATION",ISNUMBER(SEARCH("VPS",$I1075))=FALSE,LEFT($I1075,6)&lt;&gt;"VACUUM"),"CDU",IF($H1075="FLUID CAT CRACKING","FCC",IF(OR($H1075="HYDROCRACKING",$H1075="RESID_HYDROCRACKING"),"Hydrocracker",IF($H1075="REFORMING","Reformer",""))))</f>
        <v>FCC</v>
      </c>
      <c r="H1075" s="6" t="s">
        <v>376</v>
      </c>
      <c r="I1075" s="6" t="s">
        <v>105</v>
      </c>
      <c r="J1075" s="6" t="s">
        <v>345</v>
      </c>
      <c r="K1075" s="10">
        <v>4.25</v>
      </c>
      <c r="L1075" s="10">
        <v>25</v>
      </c>
      <c r="M1075" s="6" t="s">
        <v>371</v>
      </c>
    </row>
    <row r="1076" spans="1:13">
      <c r="A1076" s="6">
        <v>2023</v>
      </c>
      <c r="B1076" s="6">
        <v>4</v>
      </c>
      <c r="C1076" s="6" t="s">
        <v>62</v>
      </c>
      <c r="D1076" s="6" t="s">
        <v>727</v>
      </c>
      <c r="E1076" s="6" t="s">
        <v>728</v>
      </c>
      <c r="F1076" s="6" t="str">
        <f>IF($M1076="PADD I","PADD 1",IF($M1076="PADD II","PADD 2",IF($M1076="PADD III","PADD 3",IF($M1076="PADD IV","PADD 4",IF($M1076="PADD V","PADD 5","")))))</f>
        <v>PADD 1</v>
      </c>
      <c r="G1076" s="6" t="str">
        <f>IF(AND($H1076="ATMOS DISTILLATION",ISNUMBER(SEARCH("VPS",$I1076))=FALSE,LEFT($I1076,6)&lt;&gt;"VACUUM"),"CDU",IF($H1076="FLUID CAT CRACKING","FCC",IF(OR($H1076="HYDROCRACKING",$H1076="RESID_HYDROCRACKING"),"Hydrocracker",IF($H1076="REFORMING","Reformer",""))))</f>
        <v>Hydrocracker</v>
      </c>
      <c r="H1076" s="6" t="s">
        <v>444</v>
      </c>
      <c r="I1076" s="6" t="s">
        <v>753</v>
      </c>
      <c r="J1076" s="6" t="s">
        <v>349</v>
      </c>
      <c r="K1076" s="10">
        <v>4.171</v>
      </c>
      <c r="L1076" s="10">
        <v>4.3</v>
      </c>
      <c r="M1076" s="6" t="s">
        <v>413</v>
      </c>
    </row>
    <row r="1077" spans="1:13">
      <c r="A1077" s="6">
        <v>2023</v>
      </c>
      <c r="B1077" s="6">
        <v>4</v>
      </c>
      <c r="C1077" s="6" t="s">
        <v>62</v>
      </c>
      <c r="D1077" s="6" t="s">
        <v>662</v>
      </c>
      <c r="E1077" s="6" t="s">
        <v>552</v>
      </c>
      <c r="F1077" s="6" t="str">
        <f>IF($M1077="PADD I","PADD 1",IF($M1077="PADD II","PADD 2",IF($M1077="PADD III","PADD 3",IF($M1077="PADD IV","PADD 4",IF($M1077="PADD V","PADD 5","")))))</f>
        <v>PADD 3</v>
      </c>
      <c r="G1077" s="6">
        <f>IF(AND($H1077="ATMOS DISTILLATION",ISNUMBER(SEARCH("VPS",$I1077))=FALSE,LEFT($I1077,6)&lt;&gt;"VACUUM"),"CDU",IF($H1077="FLUID CAT CRACKING","FCC",IF(OR($H1077="HYDROCRACKING",$H1077="RESID_HYDROCRACKING"),"Hydrocracker",IF($H1077="REFORMING","Reformer",""))))</f>
        <v/>
      </c>
      <c r="H1077" s="6" t="s">
        <v>378</v>
      </c>
      <c r="I1077" s="6" t="s">
        <v>431</v>
      </c>
      <c r="J1077" s="6" t="s">
        <v>345</v>
      </c>
      <c r="K1077" s="10">
        <v>4.08</v>
      </c>
      <c r="L1077" s="10">
        <v>24</v>
      </c>
      <c r="M1077" s="6" t="s">
        <v>371</v>
      </c>
    </row>
    <row r="1078" spans="1:13">
      <c r="A1078" s="6">
        <v>2023</v>
      </c>
      <c r="B1078" s="6">
        <v>4</v>
      </c>
      <c r="C1078" s="6" t="s">
        <v>62</v>
      </c>
      <c r="D1078" s="6" t="s">
        <v>437</v>
      </c>
      <c r="E1078" s="6" t="s">
        <v>438</v>
      </c>
      <c r="F1078" s="6" t="str">
        <f>IF($M1078="PADD I","PADD 1",IF($M1078="PADD II","PADD 2",IF($M1078="PADD III","PADD 3",IF($M1078="PADD IV","PADD 4",IF($M1078="PADD V","PADD 5","")))))</f>
        <v>PADD 4</v>
      </c>
      <c r="G1078" s="6" t="str">
        <f>IF(AND($H1078="ATMOS DISTILLATION",ISNUMBER(SEARCH("VPS",$I1078))=FALSE,LEFT($I1078,6)&lt;&gt;"VACUUM"),"CDU",IF($H1078="FLUID CAT CRACKING","FCC",IF(OR($H1078="HYDROCRACKING",$H1078="RESID_HYDROCRACKING"),"Hydrocracker",IF($H1078="REFORMING","Reformer",""))))</f>
        <v>FCC</v>
      </c>
      <c r="H1078" s="6" t="s">
        <v>376</v>
      </c>
      <c r="I1078" s="6" t="s">
        <v>428</v>
      </c>
      <c r="J1078" s="6" t="s">
        <v>349</v>
      </c>
      <c r="K1078" s="10">
        <v>3.995</v>
      </c>
      <c r="L1078" s="10">
        <v>8.5</v>
      </c>
      <c r="M1078" s="6" t="s">
        <v>430</v>
      </c>
    </row>
    <row r="1079" spans="1:13">
      <c r="A1079" s="6">
        <v>2023</v>
      </c>
      <c r="B1079" s="6">
        <v>4</v>
      </c>
      <c r="C1079" s="6" t="s">
        <v>62</v>
      </c>
      <c r="D1079" s="6" t="s">
        <v>662</v>
      </c>
      <c r="E1079" s="6" t="s">
        <v>552</v>
      </c>
      <c r="F1079" s="6" t="str">
        <f>IF($M1079="PADD I","PADD 1",IF($M1079="PADD II","PADD 2",IF($M1079="PADD III","PADD 3",IF($M1079="PADD IV","PADD 4",IF($M1079="PADD V","PADD 5","")))))</f>
        <v>PADD 3</v>
      </c>
      <c r="G1079" s="6">
        <f>IF(AND($H1079="ATMOS DISTILLATION",ISNUMBER(SEARCH("VPS",$I1079))=FALSE,LEFT($I1079,6)&lt;&gt;"VACUUM"),"CDU",IF($H1079="FLUID CAT CRACKING","FCC",IF(OR($H1079="HYDROCRACKING",$H1079="RESID_HYDROCRACKING"),"Hydrocracker",IF($H1079="REFORMING","Reformer",""))))</f>
        <v/>
      </c>
      <c r="H1079" s="6" t="s">
        <v>43</v>
      </c>
      <c r="I1079" s="6" t="s">
        <v>735</v>
      </c>
      <c r="J1079" s="6" t="s">
        <v>349</v>
      </c>
      <c r="K1079" s="10">
        <v>3.91</v>
      </c>
      <c r="L1079" s="10">
        <v>23</v>
      </c>
      <c r="M1079" s="6" t="s">
        <v>371</v>
      </c>
    </row>
    <row r="1080" spans="1:13">
      <c r="A1080" s="6">
        <v>2023</v>
      </c>
      <c r="B1080" s="6">
        <v>4</v>
      </c>
      <c r="C1080" s="6" t="s">
        <v>62</v>
      </c>
      <c r="D1080" s="6" t="s">
        <v>815</v>
      </c>
      <c r="E1080" s="6" t="s">
        <v>452</v>
      </c>
      <c r="F1080" s="6" t="str">
        <f>IF($M1080="PADD I","PADD 1",IF($M1080="PADD II","PADD 2",IF($M1080="PADD III","PADD 3",IF($M1080="PADD IV","PADD 4",IF($M1080="PADD V","PADD 5","")))))</f>
        <v>PADD 4</v>
      </c>
      <c r="G1080" s="6">
        <f>IF(AND($H1080="ATMOS DISTILLATION",ISNUMBER(SEARCH("VPS",$I1080))=FALSE,LEFT($I1080,6)&lt;&gt;"VACUUM"),"CDU",IF($H1080="FLUID CAT CRACKING","FCC",IF(OR($H1080="HYDROCRACKING",$H1080="RESID_HYDROCRACKING"),"Hydrocracker",IF($H1080="REFORMING","Reformer",""))))</f>
        <v/>
      </c>
      <c r="H1080" s="6" t="s">
        <v>378</v>
      </c>
      <c r="I1080" s="6" t="s">
        <v>816</v>
      </c>
      <c r="J1080" s="6" t="s">
        <v>349</v>
      </c>
      <c r="K1080" s="10">
        <v>3.9</v>
      </c>
      <c r="L1080" s="10">
        <v>30</v>
      </c>
      <c r="M1080" s="6" t="s">
        <v>430</v>
      </c>
    </row>
    <row r="1081" spans="1:13">
      <c r="A1081" s="6">
        <v>2023</v>
      </c>
      <c r="B1081" s="6">
        <v>4</v>
      </c>
      <c r="C1081" s="6" t="s">
        <v>62</v>
      </c>
      <c r="D1081" s="6" t="s">
        <v>778</v>
      </c>
      <c r="E1081" s="6" t="s">
        <v>779</v>
      </c>
      <c r="F1081" s="6" t="str">
        <f>IF($M1081="PADD I","PADD 1",IF($M1081="PADD II","PADD 2",IF($M1081="PADD III","PADD 3",IF($M1081="PADD IV","PADD 4",IF($M1081="PADD V","PADD 5","")))))</f>
        <v>PADD 3</v>
      </c>
      <c r="G1081" s="6" t="str">
        <f>IF(AND($H1081="ATMOS DISTILLATION",ISNUMBER(SEARCH("VPS",$I1081))=FALSE,LEFT($I1081,6)&lt;&gt;"VACUUM"),"CDU",IF($H1081="FLUID CAT CRACKING","FCC",IF(OR($H1081="HYDROCRACKING",$H1081="RESID_HYDROCRACKING"),"Hydrocracker",IF($H1081="REFORMING","Reformer",""))))</f>
        <v>Hydrocracker</v>
      </c>
      <c r="H1081" s="6" t="s">
        <v>444</v>
      </c>
      <c r="I1081" s="6" t="s">
        <v>817</v>
      </c>
      <c r="J1081" s="6" t="s">
        <v>345</v>
      </c>
      <c r="K1081" s="10">
        <v>3.9</v>
      </c>
      <c r="L1081" s="10">
        <v>30</v>
      </c>
      <c r="M1081" s="6" t="s">
        <v>371</v>
      </c>
    </row>
    <row r="1082" spans="1:13">
      <c r="A1082" s="6">
        <v>2023</v>
      </c>
      <c r="B1082" s="6">
        <v>4</v>
      </c>
      <c r="C1082" s="6" t="s">
        <v>62</v>
      </c>
      <c r="D1082" s="6" t="s">
        <v>778</v>
      </c>
      <c r="E1082" s="6" t="s">
        <v>779</v>
      </c>
      <c r="F1082" s="6" t="str">
        <f>IF($M1082="PADD I","PADD 1",IF($M1082="PADD II","PADD 2",IF($M1082="PADD III","PADD 3",IF($M1082="PADD IV","PADD 4",IF($M1082="PADD V","PADD 5","")))))</f>
        <v>PADD 3</v>
      </c>
      <c r="G1082" s="6">
        <f>IF(AND($H1082="ATMOS DISTILLATION",ISNUMBER(SEARCH("VPS",$I1082))=FALSE,LEFT($I1082,6)&lt;&gt;"VACUUM"),"CDU",IF($H1082="FLUID CAT CRACKING","FCC",IF(OR($H1082="HYDROCRACKING",$H1082="RESID_HYDROCRACKING"),"Hydrocracker",IF($H1082="REFORMING","Reformer",""))))</f>
        <v/>
      </c>
      <c r="H1082" s="6" t="s">
        <v>43</v>
      </c>
      <c r="I1082" s="6" t="s">
        <v>818</v>
      </c>
      <c r="J1082" s="6" t="s">
        <v>345</v>
      </c>
      <c r="K1082" s="10">
        <v>3.9</v>
      </c>
      <c r="L1082" s="10">
        <v>30</v>
      </c>
      <c r="M1082" s="6" t="s">
        <v>371</v>
      </c>
    </row>
    <row r="1083" spans="1:13">
      <c r="A1083" s="6">
        <v>2023</v>
      </c>
      <c r="B1083" s="6">
        <v>4</v>
      </c>
      <c r="C1083" s="6" t="s">
        <v>62</v>
      </c>
      <c r="D1083" s="6" t="s">
        <v>778</v>
      </c>
      <c r="E1083" s="6" t="s">
        <v>779</v>
      </c>
      <c r="F1083" s="6" t="str">
        <f>IF($M1083="PADD I","PADD 1",IF($M1083="PADD II","PADD 2",IF($M1083="PADD III","PADD 3",IF($M1083="PADD IV","PADD 4",IF($M1083="PADD V","PADD 5","")))))</f>
        <v>PADD 3</v>
      </c>
      <c r="G1083" s="6">
        <f>IF(AND($H1083="ATMOS DISTILLATION",ISNUMBER(SEARCH("VPS",$I1083))=FALSE,LEFT($I1083,6)&lt;&gt;"VACUUM"),"CDU",IF($H1083="FLUID CAT CRACKING","FCC",IF(OR($H1083="HYDROCRACKING",$H1083="RESID_HYDROCRACKING"),"Hydrocracker",IF($H1083="REFORMING","Reformer",""))))</f>
        <v/>
      </c>
      <c r="H1083" s="6" t="s">
        <v>43</v>
      </c>
      <c r="I1083" s="6" t="s">
        <v>819</v>
      </c>
      <c r="J1083" s="6" t="s">
        <v>345</v>
      </c>
      <c r="K1083" s="10">
        <v>3.9</v>
      </c>
      <c r="L1083" s="10">
        <v>30</v>
      </c>
      <c r="M1083" s="6" t="s">
        <v>371</v>
      </c>
    </row>
    <row r="1084" spans="1:13">
      <c r="A1084" s="6">
        <v>2023</v>
      </c>
      <c r="B1084" s="6">
        <v>4</v>
      </c>
      <c r="C1084" s="6" t="s">
        <v>62</v>
      </c>
      <c r="D1084" s="6" t="s">
        <v>815</v>
      </c>
      <c r="E1084" s="6" t="s">
        <v>452</v>
      </c>
      <c r="F1084" s="6" t="str">
        <f>IF($M1084="PADD I","PADD 1",IF($M1084="PADD II","PADD 2",IF($M1084="PADD III","PADD 3",IF($M1084="PADD IV","PADD 4",IF($M1084="PADD V","PADD 5","")))))</f>
        <v>PADD 4</v>
      </c>
      <c r="G1084" s="6" t="str">
        <f>IF(AND($H1084="ATMOS DISTILLATION",ISNUMBER(SEARCH("VPS",$I1084))=FALSE,LEFT($I1084,6)&lt;&gt;"VACUUM"),"CDU",IF($H1084="FLUID CAT CRACKING","FCC",IF(OR($H1084="HYDROCRACKING",$H1084="RESID_HYDROCRACKING"),"Hydrocracker",IF($H1084="REFORMING","Reformer",""))))</f>
        <v>CDU</v>
      </c>
      <c r="H1084" s="6" t="s">
        <v>38</v>
      </c>
      <c r="I1084" s="6" t="s">
        <v>820</v>
      </c>
      <c r="J1084" s="6" t="s">
        <v>349</v>
      </c>
      <c r="K1084" s="10">
        <v>3.64</v>
      </c>
      <c r="L1084" s="10">
        <v>28</v>
      </c>
      <c r="M1084" s="6" t="s">
        <v>430</v>
      </c>
    </row>
    <row r="1085" spans="1:13">
      <c r="A1085" s="6">
        <v>2023</v>
      </c>
      <c r="B1085" s="6">
        <v>4</v>
      </c>
      <c r="C1085" s="6" t="s">
        <v>62</v>
      </c>
      <c r="D1085" s="6" t="s">
        <v>462</v>
      </c>
      <c r="E1085" s="6" t="s">
        <v>438</v>
      </c>
      <c r="F1085" s="6" t="str">
        <f>IF($M1085="PADD I","PADD 1",IF($M1085="PADD II","PADD 2",IF($M1085="PADD III","PADD 3",IF($M1085="PADD IV","PADD 4",IF($M1085="PADD V","PADD 5","")))))</f>
        <v>PADD 4</v>
      </c>
      <c r="G1085" s="6">
        <f>IF(AND($H1085="ATMOS DISTILLATION",ISNUMBER(SEARCH("VPS",$I1085))=FALSE,LEFT($I1085,6)&lt;&gt;"VACUUM"),"CDU",IF($H1085="FLUID CAT CRACKING","FCC",IF(OR($H1085="HYDROCRACKING",$H1085="RESID_HYDROCRACKING"),"Hydrocracker",IF($H1085="REFORMING","Reformer",""))))</f>
        <v/>
      </c>
      <c r="H1085" s="6" t="s">
        <v>43</v>
      </c>
      <c r="I1085" s="6" t="s">
        <v>535</v>
      </c>
      <c r="J1085" s="6" t="s">
        <v>345</v>
      </c>
      <c r="K1085" s="10">
        <v>3.6</v>
      </c>
      <c r="L1085" s="10">
        <v>12</v>
      </c>
      <c r="M1085" s="6" t="s">
        <v>430</v>
      </c>
    </row>
    <row r="1086" spans="1:13">
      <c r="A1086" s="6">
        <v>2023</v>
      </c>
      <c r="B1086" s="6">
        <v>4</v>
      </c>
      <c r="C1086" s="6" t="s">
        <v>62</v>
      </c>
      <c r="D1086" s="6" t="s">
        <v>788</v>
      </c>
      <c r="E1086" s="6" t="s">
        <v>405</v>
      </c>
      <c r="F1086" s="6" t="str">
        <f>IF($M1086="PADD I","PADD 1",IF($M1086="PADD II","PADD 2",IF($M1086="PADD III","PADD 3",IF($M1086="PADD IV","PADD 4",IF($M1086="PADD V","PADD 5","")))))</f>
        <v>PADD 3</v>
      </c>
      <c r="G1086" s="6">
        <f>IF(AND($H1086="ATMOS DISTILLATION",ISNUMBER(SEARCH("VPS",$I1086))=FALSE,LEFT($I1086,6)&lt;&gt;"VACUUM"),"CDU",IF($H1086="FLUID CAT CRACKING","FCC",IF(OR($H1086="HYDROCRACKING",$H1086="RESID_HYDROCRACKING"),"Hydrocracker",IF($H1086="REFORMING","Reformer",""))))</f>
        <v/>
      </c>
      <c r="H1086" s="6" t="s">
        <v>43</v>
      </c>
      <c r="I1086" s="6" t="s">
        <v>821</v>
      </c>
      <c r="J1086" s="6" t="s">
        <v>345</v>
      </c>
      <c r="K1086" s="10">
        <v>3.6</v>
      </c>
      <c r="L1086" s="10">
        <v>36</v>
      </c>
      <c r="M1086" s="6" t="s">
        <v>371</v>
      </c>
    </row>
    <row r="1087" spans="1:13">
      <c r="A1087" s="6">
        <v>2023</v>
      </c>
      <c r="B1087" s="6">
        <v>4</v>
      </c>
      <c r="C1087" s="6" t="s">
        <v>62</v>
      </c>
      <c r="D1087" s="6" t="s">
        <v>437</v>
      </c>
      <c r="E1087" s="6" t="s">
        <v>438</v>
      </c>
      <c r="F1087" s="6" t="str">
        <f>IF($M1087="PADD I","PADD 1",IF($M1087="PADD II","PADD 2",IF($M1087="PADD III","PADD 3",IF($M1087="PADD IV","PADD 4",IF($M1087="PADD V","PADD 5","")))))</f>
        <v>PADD 4</v>
      </c>
      <c r="G1087" s="6">
        <f>IF(AND($H1087="ATMOS DISTILLATION",ISNUMBER(SEARCH("VPS",$I1087))=FALSE,LEFT($I1087,6)&lt;&gt;"VACUUM"),"CDU",IF($H1087="FLUID CAT CRACKING","FCC",IF(OR($H1087="HYDROCRACKING",$H1087="RESID_HYDROCRACKING"),"Hydrocracker",IF($H1087="REFORMING","Reformer",""))))</f>
        <v/>
      </c>
      <c r="H1087" s="6" t="s">
        <v>43</v>
      </c>
      <c r="I1087" s="6" t="s">
        <v>493</v>
      </c>
      <c r="J1087" s="6" t="s">
        <v>345</v>
      </c>
      <c r="K1087" s="10">
        <v>3.57</v>
      </c>
      <c r="L1087" s="10">
        <v>21</v>
      </c>
      <c r="M1087" s="6" t="s">
        <v>430</v>
      </c>
    </row>
    <row r="1088" spans="1:13">
      <c r="A1088" s="6">
        <v>2023</v>
      </c>
      <c r="B1088" s="6">
        <v>4</v>
      </c>
      <c r="C1088" s="6" t="s">
        <v>62</v>
      </c>
      <c r="D1088" s="6" t="s">
        <v>822</v>
      </c>
      <c r="E1088" s="6" t="s">
        <v>416</v>
      </c>
      <c r="F1088" s="6" t="str">
        <f>IF($M1088="PADD I","PADD 1",IF($M1088="PADD II","PADD 2",IF($M1088="PADD III","PADD 3",IF($M1088="PADD IV","PADD 4",IF($M1088="PADD V","PADD 5","")))))</f>
        <v>PADD 3</v>
      </c>
      <c r="G1088" s="6">
        <f>IF(AND($H1088="ATMOS DISTILLATION",ISNUMBER(SEARCH("VPS",$I1088))=FALSE,LEFT($I1088,6)&lt;&gt;"VACUUM"),"CDU",IF($H1088="FLUID CAT CRACKING","FCC",IF(OR($H1088="HYDROCRACKING",$H1088="RESID_HYDROCRACKING"),"Hydrocracker",IF($H1088="REFORMING","Reformer",""))))</f>
        <v/>
      </c>
      <c r="H1088" s="6" t="s">
        <v>43</v>
      </c>
      <c r="I1088" s="6" t="s">
        <v>823</v>
      </c>
      <c r="J1088" s="6" t="s">
        <v>345</v>
      </c>
      <c r="K1088" s="10">
        <v>3.5</v>
      </c>
      <c r="L1088" s="10">
        <v>50</v>
      </c>
      <c r="M1088" s="6" t="s">
        <v>371</v>
      </c>
    </row>
    <row r="1089" spans="1:13">
      <c r="A1089" s="6">
        <v>2023</v>
      </c>
      <c r="B1089" s="6">
        <v>4</v>
      </c>
      <c r="C1089" s="6" t="s">
        <v>62</v>
      </c>
      <c r="D1089" s="6" t="s">
        <v>727</v>
      </c>
      <c r="E1089" s="6" t="s">
        <v>728</v>
      </c>
      <c r="F1089" s="6" t="str">
        <f>IF($M1089="PADD I","PADD 1",IF($M1089="PADD II","PADD 2",IF($M1089="PADD III","PADD 3",IF($M1089="PADD IV","PADD 4",IF($M1089="PADD V","PADD 5","")))))</f>
        <v>PADD 1</v>
      </c>
      <c r="G1089" s="6" t="str">
        <f>IF(AND($H1089="ATMOS DISTILLATION",ISNUMBER(SEARCH("VPS",$I1089))=FALSE,LEFT($I1089,6)&lt;&gt;"VACUUM"),"CDU",IF($H1089="FLUID CAT CRACKING","FCC",IF(OR($H1089="HYDROCRACKING",$H1089="RESID_HYDROCRACKING"),"Hydrocracker",IF($H1089="REFORMING","Reformer",""))))</f>
        <v>Reformer</v>
      </c>
      <c r="H1089" s="6" t="s">
        <v>421</v>
      </c>
      <c r="I1089" s="6" t="s">
        <v>571</v>
      </c>
      <c r="J1089" s="6" t="s">
        <v>349</v>
      </c>
      <c r="K1089" s="10">
        <v>3.492</v>
      </c>
      <c r="L1089" s="10">
        <v>3.6</v>
      </c>
      <c r="M1089" s="6" t="s">
        <v>413</v>
      </c>
    </row>
    <row r="1090" spans="1:13">
      <c r="A1090" s="6">
        <v>2023</v>
      </c>
      <c r="B1090" s="6">
        <v>4</v>
      </c>
      <c r="C1090" s="6" t="s">
        <v>62</v>
      </c>
      <c r="D1090" s="6" t="s">
        <v>526</v>
      </c>
      <c r="E1090" s="6" t="s">
        <v>405</v>
      </c>
      <c r="F1090" s="6" t="str">
        <f>IF($M1090="PADD I","PADD 1",IF($M1090="PADD II","PADD 2",IF($M1090="PADD III","PADD 3",IF($M1090="PADD IV","PADD 4",IF($M1090="PADD V","PADD 5","")))))</f>
        <v>PADD 3</v>
      </c>
      <c r="G1090" s="6">
        <f>IF(AND($H1090="ATMOS DISTILLATION",ISNUMBER(SEARCH("VPS",$I1090))=FALSE,LEFT($I1090,6)&lt;&gt;"VACUUM"),"CDU",IF($H1090="FLUID CAT CRACKING","FCC",IF(OR($H1090="HYDROCRACKING",$H1090="RESID_HYDROCRACKING"),"Hydrocracker",IF($H1090="REFORMING","Reformer",""))))</f>
        <v/>
      </c>
      <c r="H1090" s="6" t="s">
        <v>378</v>
      </c>
      <c r="I1090" s="6" t="s">
        <v>649</v>
      </c>
      <c r="J1090" s="6" t="s">
        <v>345</v>
      </c>
      <c r="K1090" s="10">
        <v>3.36</v>
      </c>
      <c r="L1090" s="10">
        <v>48</v>
      </c>
      <c r="M1090" s="6" t="s">
        <v>371</v>
      </c>
    </row>
    <row r="1091" spans="1:13">
      <c r="A1091" s="6">
        <v>2023</v>
      </c>
      <c r="B1091" s="6">
        <v>4</v>
      </c>
      <c r="C1091" s="6" t="s">
        <v>62</v>
      </c>
      <c r="D1091" s="6" t="s">
        <v>48</v>
      </c>
      <c r="E1091" s="6" t="s">
        <v>388</v>
      </c>
      <c r="F1091" s="6" t="str">
        <f>IF($M1091="PADD I","PADD 1",IF($M1091="PADD II","PADD 2",IF($M1091="PADD III","PADD 3",IF($M1091="PADD IV","PADD 4",IF($M1091="PADD V","PADD 5","")))))</f>
        <v>PADD 2</v>
      </c>
      <c r="G1091" s="6">
        <f>IF(AND($H1091="ATMOS DISTILLATION",ISNUMBER(SEARCH("VPS",$I1091))=FALSE,LEFT($I1091,6)&lt;&gt;"VACUUM"),"CDU",IF($H1091="FLUID CAT CRACKING","FCC",IF(OR($H1091="HYDROCRACKING",$H1091="RESID_HYDROCRACKING"),"Hydrocracker",IF($H1091="REFORMING","Reformer",""))))</f>
        <v/>
      </c>
      <c r="H1091" s="6" t="s">
        <v>435</v>
      </c>
      <c r="I1091" s="6" t="s">
        <v>631</v>
      </c>
      <c r="J1091" s="6" t="s">
        <v>345</v>
      </c>
      <c r="K1091" s="10">
        <v>3.24</v>
      </c>
      <c r="L1091" s="10">
        <v>12</v>
      </c>
      <c r="M1091" s="6" t="s">
        <v>375</v>
      </c>
    </row>
    <row r="1092" spans="1:13">
      <c r="A1092" s="6">
        <v>2023</v>
      </c>
      <c r="B1092" s="6">
        <v>4</v>
      </c>
      <c r="C1092" s="6" t="s">
        <v>62</v>
      </c>
      <c r="D1092" s="6" t="s">
        <v>788</v>
      </c>
      <c r="E1092" s="6" t="s">
        <v>405</v>
      </c>
      <c r="F1092" s="6" t="str">
        <f>IF($M1092="PADD I","PADD 1",IF($M1092="PADD II","PADD 2",IF($M1092="PADD III","PADD 3",IF($M1092="PADD IV","PADD 4",IF($M1092="PADD V","PADD 5","")))))</f>
        <v>PADD 3</v>
      </c>
      <c r="G1092" s="6" t="str">
        <f>IF(AND($H1092="ATMOS DISTILLATION",ISNUMBER(SEARCH("VPS",$I1092))=FALSE,LEFT($I1092,6)&lt;&gt;"VACUUM"),"CDU",IF($H1092="FLUID CAT CRACKING","FCC",IF(OR($H1092="HYDROCRACKING",$H1092="RESID_HYDROCRACKING"),"Hydrocracker",IF($H1092="REFORMING","Reformer",""))))</f>
        <v>Reformer</v>
      </c>
      <c r="H1092" s="6" t="s">
        <v>421</v>
      </c>
      <c r="I1092" s="6" t="s">
        <v>782</v>
      </c>
      <c r="J1092" s="6" t="s">
        <v>345</v>
      </c>
      <c r="K1092" s="10">
        <v>3.2</v>
      </c>
      <c r="L1092" s="10">
        <v>32</v>
      </c>
      <c r="M1092" s="6" t="s">
        <v>371</v>
      </c>
    </row>
    <row r="1093" spans="1:13">
      <c r="A1093" s="6">
        <v>2023</v>
      </c>
      <c r="B1093" s="6">
        <v>4</v>
      </c>
      <c r="C1093" s="6" t="s">
        <v>62</v>
      </c>
      <c r="D1093" s="6" t="s">
        <v>822</v>
      </c>
      <c r="E1093" s="6" t="s">
        <v>416</v>
      </c>
      <c r="F1093" s="6" t="str">
        <f>IF($M1093="PADD I","PADD 1",IF($M1093="PADD II","PADD 2",IF($M1093="PADD III","PADD 3",IF($M1093="PADD IV","PADD 4",IF($M1093="PADD V","PADD 5","")))))</f>
        <v>PADD 3</v>
      </c>
      <c r="G1093" s="6">
        <f>IF(AND($H1093="ATMOS DISTILLATION",ISNUMBER(SEARCH("VPS",$I1093))=FALSE,LEFT($I1093,6)&lt;&gt;"VACUUM"),"CDU",IF($H1093="FLUID CAT CRACKING","FCC",IF(OR($H1093="HYDROCRACKING",$H1093="RESID_HYDROCRACKING"),"Hydrocracker",IF($H1093="REFORMING","Reformer",""))))</f>
        <v/>
      </c>
      <c r="H1093" s="6" t="s">
        <v>43</v>
      </c>
      <c r="I1093" s="6" t="s">
        <v>520</v>
      </c>
      <c r="J1093" s="6" t="s">
        <v>345</v>
      </c>
      <c r="K1093" s="10">
        <v>3.15</v>
      </c>
      <c r="L1093" s="10">
        <v>45</v>
      </c>
      <c r="M1093" s="6" t="s">
        <v>371</v>
      </c>
    </row>
    <row r="1094" spans="1:13">
      <c r="A1094" s="6">
        <v>2023</v>
      </c>
      <c r="B1094" s="6">
        <v>4</v>
      </c>
      <c r="C1094" s="6" t="s">
        <v>62</v>
      </c>
      <c r="D1094" s="6" t="s">
        <v>387</v>
      </c>
      <c r="E1094" s="6" t="s">
        <v>388</v>
      </c>
      <c r="F1094" s="6" t="str">
        <f>IF($M1094="PADD I","PADD 1",IF($M1094="PADD II","PADD 2",IF($M1094="PADD III","PADD 3",IF($M1094="PADD IV","PADD 4",IF($M1094="PADD V","PADD 5","")))))</f>
        <v>PADD 3</v>
      </c>
      <c r="G1094" s="6">
        <f>IF(AND($H1094="ATMOS DISTILLATION",ISNUMBER(SEARCH("VPS",$I1094))=FALSE,LEFT($I1094,6)&lt;&gt;"VACUUM"),"CDU",IF($H1094="FLUID CAT CRACKING","FCC",IF(OR($H1094="HYDROCRACKING",$H1094="RESID_HYDROCRACKING"),"Hydrocracker",IF($H1094="REFORMING","Reformer",""))))</f>
        <v/>
      </c>
      <c r="H1094" s="6" t="s">
        <v>435</v>
      </c>
      <c r="I1094" s="6" t="s">
        <v>595</v>
      </c>
      <c r="J1094" s="6" t="s">
        <v>349</v>
      </c>
      <c r="K1094" s="10">
        <v>3.105</v>
      </c>
      <c r="L1094" s="10">
        <v>13.5</v>
      </c>
      <c r="M1094" s="6" t="s">
        <v>371</v>
      </c>
    </row>
    <row r="1095" spans="1:13">
      <c r="A1095" s="6">
        <v>2023</v>
      </c>
      <c r="B1095" s="6">
        <v>4</v>
      </c>
      <c r="C1095" s="6" t="s">
        <v>62</v>
      </c>
      <c r="D1095" s="6" t="s">
        <v>822</v>
      </c>
      <c r="E1095" s="6" t="s">
        <v>416</v>
      </c>
      <c r="F1095" s="6" t="str">
        <f>IF($M1095="PADD I","PADD 1",IF($M1095="PADD II","PADD 2",IF($M1095="PADD III","PADD 3",IF($M1095="PADD IV","PADD 4",IF($M1095="PADD V","PADD 5","")))))</f>
        <v>PADD 3</v>
      </c>
      <c r="G1095" s="6">
        <f>IF(AND($H1095="ATMOS DISTILLATION",ISNUMBER(SEARCH("VPS",$I1095))=FALSE,LEFT($I1095,6)&lt;&gt;"VACUUM"),"CDU",IF($H1095="FLUID CAT CRACKING","FCC",IF(OR($H1095="HYDROCRACKING",$H1095="RESID_HYDROCRACKING"),"Hydrocracker",IF($H1095="REFORMING","Reformer",""))))</f>
        <v/>
      </c>
      <c r="H1095" s="6" t="s">
        <v>435</v>
      </c>
      <c r="I1095" s="6" t="s">
        <v>441</v>
      </c>
      <c r="J1095" s="6" t="s">
        <v>345</v>
      </c>
      <c r="K1095" s="10">
        <v>3.08</v>
      </c>
      <c r="L1095" s="10">
        <v>44</v>
      </c>
      <c r="M1095" s="6" t="s">
        <v>371</v>
      </c>
    </row>
    <row r="1096" spans="1:13">
      <c r="A1096" s="6">
        <v>2023</v>
      </c>
      <c r="B1096" s="6">
        <v>4</v>
      </c>
      <c r="C1096" s="6" t="s">
        <v>62</v>
      </c>
      <c r="D1096" s="6" t="s">
        <v>372</v>
      </c>
      <c r="E1096" s="6" t="s">
        <v>373</v>
      </c>
      <c r="F1096" s="6" t="str">
        <f>IF($M1096="PADD I","PADD 1",IF($M1096="PADD II","PADD 2",IF($M1096="PADD III","PADD 3",IF($M1096="PADD IV","PADD 4",IF($M1096="PADD V","PADD 5","")))))</f>
        <v>PADD 2</v>
      </c>
      <c r="G1096" s="6">
        <f>IF(AND($H1096="ATMOS DISTILLATION",ISNUMBER(SEARCH("VPS",$I1096))=FALSE,LEFT($I1096,6)&lt;&gt;"VACUUM"),"CDU",IF($H1096="FLUID CAT CRACKING","FCC",IF(OR($H1096="HYDROCRACKING",$H1096="RESID_HYDROCRACKING"),"Hydrocracker",IF($H1096="REFORMING","Reformer",""))))</f>
        <v/>
      </c>
      <c r="H1096" s="6" t="s">
        <v>460</v>
      </c>
      <c r="I1096" s="6" t="s">
        <v>541</v>
      </c>
      <c r="J1096" s="6" t="s">
        <v>345</v>
      </c>
      <c r="K1096" s="10">
        <v>3</v>
      </c>
      <c r="L1096" s="10">
        <v>3</v>
      </c>
      <c r="M1096" s="6" t="s">
        <v>375</v>
      </c>
    </row>
    <row r="1097" spans="1:13">
      <c r="A1097" s="6">
        <v>2023</v>
      </c>
      <c r="B1097" s="6">
        <v>4</v>
      </c>
      <c r="C1097" s="6" t="s">
        <v>62</v>
      </c>
      <c r="D1097" s="6" t="s">
        <v>372</v>
      </c>
      <c r="E1097" s="6" t="s">
        <v>373</v>
      </c>
      <c r="F1097" s="6" t="str">
        <f>IF($M1097="PADD I","PADD 1",IF($M1097="PADD II","PADD 2",IF($M1097="PADD III","PADD 3",IF($M1097="PADD IV","PADD 4",IF($M1097="PADD V","PADD 5","")))))</f>
        <v>PADD 2</v>
      </c>
      <c r="G1097" s="6">
        <f>IF(AND($H1097="ATMOS DISTILLATION",ISNUMBER(SEARCH("VPS",$I1097))=FALSE,LEFT($I1097,6)&lt;&gt;"VACUUM"),"CDU",IF($H1097="FLUID CAT CRACKING","FCC",IF(OR($H1097="HYDROCRACKING",$H1097="RESID_HYDROCRACKING"),"Hydrocracker",IF($H1097="REFORMING","Reformer",""))))</f>
        <v/>
      </c>
      <c r="H1097" s="6" t="s">
        <v>460</v>
      </c>
      <c r="I1097" s="6" t="s">
        <v>608</v>
      </c>
      <c r="J1097" s="6" t="s">
        <v>345</v>
      </c>
      <c r="K1097" s="10">
        <v>3</v>
      </c>
      <c r="L1097" s="10">
        <v>3</v>
      </c>
      <c r="M1097" s="6" t="s">
        <v>375</v>
      </c>
    </row>
    <row r="1098" spans="1:13">
      <c r="A1098" s="6">
        <v>2023</v>
      </c>
      <c r="B1098" s="6">
        <v>4</v>
      </c>
      <c r="C1098" s="6" t="s">
        <v>62</v>
      </c>
      <c r="D1098" s="6" t="s">
        <v>437</v>
      </c>
      <c r="E1098" s="6" t="s">
        <v>438</v>
      </c>
      <c r="F1098" s="6" t="str">
        <f>IF($M1098="PADD I","PADD 1",IF($M1098="PADD II","PADD 2",IF($M1098="PADD III","PADD 3",IF($M1098="PADD IV","PADD 4",IF($M1098="PADD V","PADD 5","")))))</f>
        <v>PADD 4</v>
      </c>
      <c r="G1098" s="6">
        <f>IF(AND($H1098="ATMOS DISTILLATION",ISNUMBER(SEARCH("VPS",$I1098))=FALSE,LEFT($I1098,6)&lt;&gt;"VACUUM"),"CDU",IF($H1098="FLUID CAT CRACKING","FCC",IF(OR($H1098="HYDROCRACKING",$H1098="RESID_HYDROCRACKING"),"Hydrocracker",IF($H1098="REFORMING","Reformer",""))))</f>
        <v/>
      </c>
      <c r="H1098" s="6" t="s">
        <v>378</v>
      </c>
      <c r="I1098" s="6" t="s">
        <v>556</v>
      </c>
      <c r="J1098" s="6" t="s">
        <v>345</v>
      </c>
      <c r="K1098" s="10">
        <v>3</v>
      </c>
      <c r="L1098" s="10">
        <v>10</v>
      </c>
      <c r="M1098" s="6" t="s">
        <v>430</v>
      </c>
    </row>
    <row r="1099" spans="1:13">
      <c r="A1099" s="6">
        <v>2023</v>
      </c>
      <c r="B1099" s="6">
        <v>4</v>
      </c>
      <c r="C1099" s="6" t="s">
        <v>62</v>
      </c>
      <c r="D1099" s="6" t="s">
        <v>437</v>
      </c>
      <c r="E1099" s="6" t="s">
        <v>438</v>
      </c>
      <c r="F1099" s="6" t="str">
        <f>IF($M1099="PADD I","PADD 1",IF($M1099="PADD II","PADD 2",IF($M1099="PADD III","PADD 3",IF($M1099="PADD IV","PADD 4",IF($M1099="PADD V","PADD 5","")))))</f>
        <v>PADD 4</v>
      </c>
      <c r="G1099" s="6" t="str">
        <f>IF(AND($H1099="ATMOS DISTILLATION",ISNUMBER(SEARCH("VPS",$I1099))=FALSE,LEFT($I1099,6)&lt;&gt;"VACUUM"),"CDU",IF($H1099="FLUID CAT CRACKING","FCC",IF(OR($H1099="HYDROCRACKING",$H1099="RESID_HYDROCRACKING"),"Hydrocracker",IF($H1099="REFORMING","Reformer",""))))</f>
        <v>Reformer</v>
      </c>
      <c r="H1099" s="6" t="s">
        <v>421</v>
      </c>
      <c r="I1099" s="6" t="s">
        <v>557</v>
      </c>
      <c r="J1099" s="6" t="s">
        <v>345</v>
      </c>
      <c r="K1099" s="10">
        <v>3</v>
      </c>
      <c r="L1099" s="10">
        <v>10</v>
      </c>
      <c r="M1099" s="6" t="s">
        <v>430</v>
      </c>
    </row>
    <row r="1100" spans="1:13">
      <c r="A1100" s="6">
        <v>2023</v>
      </c>
      <c r="B1100" s="6">
        <v>4</v>
      </c>
      <c r="C1100" s="6" t="s">
        <v>62</v>
      </c>
      <c r="D1100" s="6" t="s">
        <v>462</v>
      </c>
      <c r="E1100" s="6" t="s">
        <v>438</v>
      </c>
      <c r="F1100" s="6" t="str">
        <f>IF($M1100="PADD I","PADD 1",IF($M1100="PADD II","PADD 2",IF($M1100="PADD III","PADD 3",IF($M1100="PADD IV","PADD 4",IF($M1100="PADD V","PADD 5","")))))</f>
        <v>PADD 4</v>
      </c>
      <c r="G1100" s="6">
        <f>IF(AND($H1100="ATMOS DISTILLATION",ISNUMBER(SEARCH("VPS",$I1100))=FALSE,LEFT($I1100,6)&lt;&gt;"VACUUM"),"CDU",IF($H1100="FLUID CAT CRACKING","FCC",IF(OR($H1100="HYDROCRACKING",$H1100="RESID_HYDROCRACKING"),"Hydrocracker",IF($H1100="REFORMING","Reformer",""))))</f>
        <v/>
      </c>
      <c r="H1100" s="6" t="s">
        <v>43</v>
      </c>
      <c r="I1100" s="6" t="s">
        <v>493</v>
      </c>
      <c r="J1100" s="6" t="s">
        <v>345</v>
      </c>
      <c r="K1100" s="10">
        <v>3</v>
      </c>
      <c r="L1100" s="10">
        <v>10</v>
      </c>
      <c r="M1100" s="6" t="s">
        <v>430</v>
      </c>
    </row>
    <row r="1101" spans="1:13">
      <c r="A1101" s="6">
        <v>2023</v>
      </c>
      <c r="B1101" s="6">
        <v>4</v>
      </c>
      <c r="C1101" s="6" t="s">
        <v>62</v>
      </c>
      <c r="D1101" s="6" t="s">
        <v>462</v>
      </c>
      <c r="E1101" s="6" t="s">
        <v>438</v>
      </c>
      <c r="F1101" s="6" t="str">
        <f>IF($M1101="PADD I","PADD 1",IF($M1101="PADD II","PADD 2",IF($M1101="PADD III","PADD 3",IF($M1101="PADD IV","PADD 4",IF($M1101="PADD V","PADD 5","")))))</f>
        <v>PADD 4</v>
      </c>
      <c r="G1101" s="6">
        <f>IF(AND($H1101="ATMOS DISTILLATION",ISNUMBER(SEARCH("VPS",$I1101))=FALSE,LEFT($I1101,6)&lt;&gt;"VACUUM"),"CDU",IF($H1101="FLUID CAT CRACKING","FCC",IF(OR($H1101="HYDROCRACKING",$H1101="RESID_HYDROCRACKING"),"Hydrocracker",IF($H1101="REFORMING","Reformer",""))))</f>
        <v/>
      </c>
      <c r="H1101" s="6" t="s">
        <v>43</v>
      </c>
      <c r="I1101" s="6" t="s">
        <v>558</v>
      </c>
      <c r="J1101" s="6" t="s">
        <v>345</v>
      </c>
      <c r="K1101" s="10">
        <v>3</v>
      </c>
      <c r="L1101" s="10">
        <v>10</v>
      </c>
      <c r="M1101" s="6" t="s">
        <v>430</v>
      </c>
    </row>
    <row r="1102" spans="1:13">
      <c r="A1102" s="6">
        <v>2023</v>
      </c>
      <c r="B1102" s="6">
        <v>4</v>
      </c>
      <c r="C1102" s="6" t="s">
        <v>62</v>
      </c>
      <c r="D1102" s="6" t="s">
        <v>462</v>
      </c>
      <c r="E1102" s="6" t="s">
        <v>438</v>
      </c>
      <c r="F1102" s="6" t="str">
        <f>IF($M1102="PADD I","PADD 1",IF($M1102="PADD II","PADD 2",IF($M1102="PADD III","PADD 3",IF($M1102="PADD IV","PADD 4",IF($M1102="PADD V","PADD 5","")))))</f>
        <v>PADD 4</v>
      </c>
      <c r="G1102" s="6" t="str">
        <f>IF(AND($H1102="ATMOS DISTILLATION",ISNUMBER(SEARCH("VPS",$I1102))=FALSE,LEFT($I1102,6)&lt;&gt;"VACUUM"),"CDU",IF($H1102="FLUID CAT CRACKING","FCC",IF(OR($H1102="HYDROCRACKING",$H1102="RESID_HYDROCRACKING"),"Hydrocracker",IF($H1102="REFORMING","Reformer",""))))</f>
        <v>Reformer</v>
      </c>
      <c r="H1102" s="6" t="s">
        <v>421</v>
      </c>
      <c r="I1102" s="6" t="s">
        <v>559</v>
      </c>
      <c r="J1102" s="6" t="s">
        <v>345</v>
      </c>
      <c r="K1102" s="10">
        <v>3</v>
      </c>
      <c r="L1102" s="10">
        <v>10</v>
      </c>
      <c r="M1102" s="6" t="s">
        <v>430</v>
      </c>
    </row>
    <row r="1103" spans="1:13">
      <c r="A1103" s="6">
        <v>2023</v>
      </c>
      <c r="B1103" s="6">
        <v>4</v>
      </c>
      <c r="C1103" s="6" t="s">
        <v>62</v>
      </c>
      <c r="D1103" s="6" t="s">
        <v>612</v>
      </c>
      <c r="E1103" s="6" t="s">
        <v>416</v>
      </c>
      <c r="F1103" s="6" t="str">
        <f>IF($M1103="PADD I","PADD 1",IF($M1103="PADD II","PADD 2",IF($M1103="PADD III","PADD 3",IF($M1103="PADD IV","PADD 4",IF($M1103="PADD V","PADD 5","")))))</f>
        <v>PADD 3</v>
      </c>
      <c r="G1103" s="6">
        <f>IF(AND($H1103="ATMOS DISTILLATION",ISNUMBER(SEARCH("VPS",$I1103))=FALSE,LEFT($I1103,6)&lt;&gt;"VACUUM"),"CDU",IF($H1103="FLUID CAT CRACKING","FCC",IF(OR($H1103="HYDROCRACKING",$H1103="RESID_HYDROCRACKING"),"Hydrocracker",IF($H1103="REFORMING","Reformer",""))))</f>
        <v/>
      </c>
      <c r="H1103" s="6" t="s">
        <v>43</v>
      </c>
      <c r="I1103" s="6" t="s">
        <v>458</v>
      </c>
      <c r="J1103" s="6" t="s">
        <v>345</v>
      </c>
      <c r="K1103" s="10">
        <v>2.8</v>
      </c>
      <c r="L1103" s="10">
        <v>40</v>
      </c>
      <c r="M1103" s="6" t="s">
        <v>371</v>
      </c>
    </row>
    <row r="1104" spans="1:13">
      <c r="A1104" s="6">
        <v>2023</v>
      </c>
      <c r="B1104" s="6">
        <v>4</v>
      </c>
      <c r="C1104" s="6" t="s">
        <v>62</v>
      </c>
      <c r="D1104" s="6" t="s">
        <v>807</v>
      </c>
      <c r="E1104" s="6" t="s">
        <v>779</v>
      </c>
      <c r="F1104" s="6" t="str">
        <f>IF($M1104="PADD I","PADD 1",IF($M1104="PADD II","PADD 2",IF($M1104="PADD III","PADD 3",IF($M1104="PADD IV","PADD 4",IF($M1104="PADD V","PADD 5","")))))</f>
        <v>PADD 3</v>
      </c>
      <c r="G1104" s="6">
        <f>IF(AND($H1104="ATMOS DISTILLATION",ISNUMBER(SEARCH("VPS",$I1104))=FALSE,LEFT($I1104,6)&lt;&gt;"VACUUM"),"CDU",IF($H1104="FLUID CAT CRACKING","FCC",IF(OR($H1104="HYDROCRACKING",$H1104="RESID_HYDROCRACKING"),"Hydrocracker",IF($H1104="REFORMING","Reformer",""))))</f>
        <v/>
      </c>
      <c r="H1104" s="6" t="s">
        <v>43</v>
      </c>
      <c r="I1104" s="6" t="s">
        <v>824</v>
      </c>
      <c r="J1104" s="6" t="s">
        <v>345</v>
      </c>
      <c r="K1104" s="10">
        <v>2.6</v>
      </c>
      <c r="L1104" s="10">
        <v>20</v>
      </c>
      <c r="M1104" s="6" t="s">
        <v>371</v>
      </c>
    </row>
    <row r="1105" spans="1:13">
      <c r="A1105" s="6">
        <v>2023</v>
      </c>
      <c r="B1105" s="6">
        <v>4</v>
      </c>
      <c r="C1105" s="6" t="s">
        <v>62</v>
      </c>
      <c r="D1105" s="6" t="s">
        <v>437</v>
      </c>
      <c r="E1105" s="6" t="s">
        <v>438</v>
      </c>
      <c r="F1105" s="6" t="str">
        <f>IF($M1105="PADD I","PADD 1",IF($M1105="PADD II","PADD 2",IF($M1105="PADD III","PADD 3",IF($M1105="PADD IV","PADD 4",IF($M1105="PADD V","PADD 5","")))))</f>
        <v>PADD 4</v>
      </c>
      <c r="G1105" s="6" t="str">
        <f>IF(AND($H1105="ATMOS DISTILLATION",ISNUMBER(SEARCH("VPS",$I1105))=FALSE,LEFT($I1105,6)&lt;&gt;"VACUUM"),"CDU",IF($H1105="FLUID CAT CRACKING","FCC",IF(OR($H1105="HYDROCRACKING",$H1105="RESID_HYDROCRACKING"),"Hydrocracker",IF($H1105="REFORMING","Reformer",""))))</f>
        <v>Reformer</v>
      </c>
      <c r="H1105" s="6" t="s">
        <v>421</v>
      </c>
      <c r="I1105" s="6" t="s">
        <v>557</v>
      </c>
      <c r="J1105" s="6" t="s">
        <v>345</v>
      </c>
      <c r="K1105" s="10">
        <v>2.585</v>
      </c>
      <c r="L1105" s="10">
        <v>5.5</v>
      </c>
      <c r="M1105" s="6" t="s">
        <v>430</v>
      </c>
    </row>
    <row r="1106" spans="1:13">
      <c r="A1106" s="6">
        <v>2023</v>
      </c>
      <c r="B1106" s="6">
        <v>4</v>
      </c>
      <c r="C1106" s="6" t="s">
        <v>62</v>
      </c>
      <c r="D1106" s="6" t="s">
        <v>437</v>
      </c>
      <c r="E1106" s="6" t="s">
        <v>438</v>
      </c>
      <c r="F1106" s="6" t="str">
        <f>IF($M1106="PADD I","PADD 1",IF($M1106="PADD II","PADD 2",IF($M1106="PADD III","PADD 3",IF($M1106="PADD IV","PADD 4",IF($M1106="PADD V","PADD 5","")))))</f>
        <v>PADD 4</v>
      </c>
      <c r="G1106" s="6" t="str">
        <f>IF(AND($H1106="ATMOS DISTILLATION",ISNUMBER(SEARCH("VPS",$I1106))=FALSE,LEFT($I1106,6)&lt;&gt;"VACUUM"),"CDU",IF($H1106="FLUID CAT CRACKING","FCC",IF(OR($H1106="HYDROCRACKING",$H1106="RESID_HYDROCRACKING"),"Hydrocracker",IF($H1106="REFORMING","Reformer",""))))</f>
        <v>FCC</v>
      </c>
      <c r="H1106" s="6" t="s">
        <v>376</v>
      </c>
      <c r="I1106" s="6" t="s">
        <v>428</v>
      </c>
      <c r="J1106" s="6" t="s">
        <v>345</v>
      </c>
      <c r="K1106" s="10">
        <v>2.55</v>
      </c>
      <c r="L1106" s="10">
        <v>8.5</v>
      </c>
      <c r="M1106" s="6" t="s">
        <v>430</v>
      </c>
    </row>
    <row r="1107" spans="1:13">
      <c r="A1107" s="6">
        <v>2023</v>
      </c>
      <c r="B1107" s="6">
        <v>4</v>
      </c>
      <c r="C1107" s="6" t="s">
        <v>62</v>
      </c>
      <c r="D1107" s="6" t="s">
        <v>612</v>
      </c>
      <c r="E1107" s="6" t="s">
        <v>416</v>
      </c>
      <c r="F1107" s="6" t="str">
        <f>IF($M1107="PADD I","PADD 1",IF($M1107="PADD II","PADD 2",IF($M1107="PADD III","PADD 3",IF($M1107="PADD IV","PADD 4",IF($M1107="PADD V","PADD 5","")))))</f>
        <v>PADD 3</v>
      </c>
      <c r="G1107" s="6">
        <f>IF(AND($H1107="ATMOS DISTILLATION",ISNUMBER(SEARCH("VPS",$I1107))=FALSE,LEFT($I1107,6)&lt;&gt;"VACUUM"),"CDU",IF($H1107="FLUID CAT CRACKING","FCC",IF(OR($H1107="HYDROCRACKING",$H1107="RESID_HYDROCRACKING"),"Hydrocracker",IF($H1107="REFORMING","Reformer",""))))</f>
        <v/>
      </c>
      <c r="H1107" s="6" t="s">
        <v>378</v>
      </c>
      <c r="I1107" s="6" t="s">
        <v>431</v>
      </c>
      <c r="J1107" s="6" t="s">
        <v>345</v>
      </c>
      <c r="K1107" s="10">
        <v>2.4</v>
      </c>
      <c r="L1107" s="10">
        <v>80</v>
      </c>
      <c r="M1107" s="6" t="s">
        <v>371</v>
      </c>
    </row>
    <row r="1108" spans="1:13">
      <c r="A1108" s="6">
        <v>2023</v>
      </c>
      <c r="B1108" s="6">
        <v>4</v>
      </c>
      <c r="C1108" s="6" t="s">
        <v>62</v>
      </c>
      <c r="D1108" s="6" t="s">
        <v>52</v>
      </c>
      <c r="E1108" s="6" t="s">
        <v>388</v>
      </c>
      <c r="F1108" s="6" t="str">
        <f>IF($M1108="PADD I","PADD 1",IF($M1108="PADD II","PADD 2",IF($M1108="PADD III","PADD 3",IF($M1108="PADD IV","PADD 4",IF($M1108="PADD V","PADD 5","")))))</f>
        <v>PADD 5</v>
      </c>
      <c r="G1108" s="6">
        <f>IF(AND($H1108="ATMOS DISTILLATION",ISNUMBER(SEARCH("VPS",$I1108))=FALSE,LEFT($I1108,6)&lt;&gt;"VACUUM"),"CDU",IF($H1108="FLUID CAT CRACKING","FCC",IF(OR($H1108="HYDROCRACKING",$H1108="RESID_HYDROCRACKING"),"Hydrocracker",IF($H1108="REFORMING","Reformer",""))))</f>
        <v/>
      </c>
      <c r="H1108" s="6" t="s">
        <v>568</v>
      </c>
      <c r="I1108" s="6" t="s">
        <v>825</v>
      </c>
      <c r="J1108" s="6" t="s">
        <v>349</v>
      </c>
      <c r="K1108" s="10">
        <v>2.28</v>
      </c>
      <c r="L1108" s="10">
        <v>4</v>
      </c>
      <c r="M1108" s="6" t="s">
        <v>386</v>
      </c>
    </row>
    <row r="1109" spans="1:13">
      <c r="A1109" s="6">
        <v>2023</v>
      </c>
      <c r="B1109" s="6">
        <v>4</v>
      </c>
      <c r="C1109" s="6" t="s">
        <v>62</v>
      </c>
      <c r="D1109" s="6" t="s">
        <v>437</v>
      </c>
      <c r="E1109" s="6" t="s">
        <v>438</v>
      </c>
      <c r="F1109" s="6" t="str">
        <f>IF($M1109="PADD I","PADD 1",IF($M1109="PADD II","PADD 2",IF($M1109="PADD III","PADD 3",IF($M1109="PADD IV","PADD 4",IF($M1109="PADD V","PADD 5","")))))</f>
        <v>PADD 4</v>
      </c>
      <c r="G1109" s="6">
        <f>IF(AND($H1109="ATMOS DISTILLATION",ISNUMBER(SEARCH("VPS",$I1109))=FALSE,LEFT($I1109,6)&lt;&gt;"VACUUM"),"CDU",IF($H1109="FLUID CAT CRACKING","FCC",IF(OR($H1109="HYDROCRACKING",$H1109="RESID_HYDROCRACKING"),"Hydrocracker",IF($H1109="REFORMING","Reformer",""))))</f>
        <v/>
      </c>
      <c r="H1109" s="6" t="s">
        <v>378</v>
      </c>
      <c r="I1109" s="6" t="s">
        <v>556</v>
      </c>
      <c r="J1109" s="6" t="s">
        <v>345</v>
      </c>
      <c r="K1109" s="10">
        <v>2.2626</v>
      </c>
      <c r="L1109" s="10">
        <v>8.380000000000001</v>
      </c>
      <c r="M1109" s="6" t="s">
        <v>430</v>
      </c>
    </row>
    <row r="1110" spans="1:13">
      <c r="A1110" s="6">
        <v>2023</v>
      </c>
      <c r="B1110" s="6">
        <v>4</v>
      </c>
      <c r="C1110" s="6" t="s">
        <v>62</v>
      </c>
      <c r="D1110" s="6" t="s">
        <v>822</v>
      </c>
      <c r="E1110" s="6" t="s">
        <v>416</v>
      </c>
      <c r="F1110" s="6" t="str">
        <f>IF($M1110="PADD I","PADD 1",IF($M1110="PADD II","PADD 2",IF($M1110="PADD III","PADD 3",IF($M1110="PADD IV","PADD 4",IF($M1110="PADD V","PADD 5","")))))</f>
        <v>PADD 3</v>
      </c>
      <c r="G1110" s="6" t="str">
        <f>IF(AND($H1110="ATMOS DISTILLATION",ISNUMBER(SEARCH("VPS",$I1110))=FALSE,LEFT($I1110,6)&lt;&gt;"VACUUM"),"CDU",IF($H1110="FLUID CAT CRACKING","FCC",IF(OR($H1110="HYDROCRACKING",$H1110="RESID_HYDROCRACKING"),"Hydrocracker",IF($H1110="REFORMING","Reformer",""))))</f>
        <v>Reformer</v>
      </c>
      <c r="H1110" s="6" t="s">
        <v>421</v>
      </c>
      <c r="I1110" s="6" t="s">
        <v>826</v>
      </c>
      <c r="J1110" s="6" t="s">
        <v>345</v>
      </c>
      <c r="K1110" s="10">
        <v>2.1</v>
      </c>
      <c r="L1110" s="10">
        <v>30</v>
      </c>
      <c r="M1110" s="6" t="s">
        <v>371</v>
      </c>
    </row>
    <row r="1111" spans="1:13">
      <c r="A1111" s="6">
        <v>2023</v>
      </c>
      <c r="B1111" s="6">
        <v>4</v>
      </c>
      <c r="C1111" s="6" t="s">
        <v>62</v>
      </c>
      <c r="D1111" s="6" t="s">
        <v>822</v>
      </c>
      <c r="E1111" s="6" t="s">
        <v>416</v>
      </c>
      <c r="F1111" s="6" t="str">
        <f>IF($M1111="PADD I","PADD 1",IF($M1111="PADD II","PADD 2",IF($M1111="PADD III","PADD 3",IF($M1111="PADD IV","PADD 4",IF($M1111="PADD V","PADD 5","")))))</f>
        <v>PADD 3</v>
      </c>
      <c r="G1111" s="6">
        <f>IF(AND($H1111="ATMOS DISTILLATION",ISNUMBER(SEARCH("VPS",$I1111))=FALSE,LEFT($I1111,6)&lt;&gt;"VACUUM"),"CDU",IF($H1111="FLUID CAT CRACKING","FCC",IF(OR($H1111="HYDROCRACKING",$H1111="RESID_HYDROCRACKING"),"Hydrocracker",IF($H1111="REFORMING","Reformer",""))))</f>
        <v/>
      </c>
      <c r="H1111" s="6" t="s">
        <v>43</v>
      </c>
      <c r="I1111" s="6" t="s">
        <v>827</v>
      </c>
      <c r="J1111" s="6" t="s">
        <v>345</v>
      </c>
      <c r="K1111" s="10">
        <v>2.1</v>
      </c>
      <c r="L1111" s="10">
        <v>30</v>
      </c>
      <c r="M1111" s="6" t="s">
        <v>371</v>
      </c>
    </row>
    <row r="1112" spans="1:13">
      <c r="A1112" s="6">
        <v>2023</v>
      </c>
      <c r="B1112" s="6">
        <v>4</v>
      </c>
      <c r="C1112" s="6" t="s">
        <v>62</v>
      </c>
      <c r="D1112" s="6" t="s">
        <v>662</v>
      </c>
      <c r="E1112" s="6" t="s">
        <v>552</v>
      </c>
      <c r="F1112" s="6" t="str">
        <f>IF($M1112="PADD I","PADD 1",IF($M1112="PADD II","PADD 2",IF($M1112="PADD III","PADD 3",IF($M1112="PADD IV","PADD 4",IF($M1112="PADD V","PADD 5","")))))</f>
        <v>PADD 3</v>
      </c>
      <c r="G1112" s="6">
        <f>IF(AND($H1112="ATMOS DISTILLATION",ISNUMBER(SEARCH("VPS",$I1112))=FALSE,LEFT($I1112,6)&lt;&gt;"VACUUM"),"CDU",IF($H1112="FLUID CAT CRACKING","FCC",IF(OR($H1112="HYDROCRACKING",$H1112="RESID_HYDROCRACKING"),"Hydrocracker",IF($H1112="REFORMING","Reformer",""))))</f>
        <v/>
      </c>
      <c r="H1112" s="6" t="s">
        <v>43</v>
      </c>
      <c r="I1112" s="6" t="s">
        <v>828</v>
      </c>
      <c r="J1112" s="6" t="s">
        <v>349</v>
      </c>
      <c r="K1112" s="10">
        <v>2.04</v>
      </c>
      <c r="L1112" s="10">
        <v>12</v>
      </c>
      <c r="M1112" s="6" t="s">
        <v>371</v>
      </c>
    </row>
    <row r="1113" spans="1:13">
      <c r="A1113" s="6">
        <v>2023</v>
      </c>
      <c r="B1113" s="6">
        <v>4</v>
      </c>
      <c r="C1113" s="6" t="s">
        <v>62</v>
      </c>
      <c r="D1113" s="6" t="s">
        <v>807</v>
      </c>
      <c r="E1113" s="6" t="s">
        <v>779</v>
      </c>
      <c r="F1113" s="6" t="str">
        <f>IF($M1113="PADD I","PADD 1",IF($M1113="PADD II","PADD 2",IF($M1113="PADD III","PADD 3",IF($M1113="PADD IV","PADD 4",IF($M1113="PADD V","PADD 5","")))))</f>
        <v>PADD 3</v>
      </c>
      <c r="G1113" s="6" t="str">
        <f>IF(AND($H1113="ATMOS DISTILLATION",ISNUMBER(SEARCH("VPS",$I1113))=FALSE,LEFT($I1113,6)&lt;&gt;"VACUUM"),"CDU",IF($H1113="FLUID CAT CRACKING","FCC",IF(OR($H1113="HYDROCRACKING",$H1113="RESID_HYDROCRACKING"),"Hydrocracker",IF($H1113="REFORMING","Reformer",""))))</f>
        <v>CDU</v>
      </c>
      <c r="H1113" s="6" t="s">
        <v>38</v>
      </c>
      <c r="I1113" s="6" t="s">
        <v>135</v>
      </c>
      <c r="J1113" s="6" t="s">
        <v>345</v>
      </c>
      <c r="K1113" s="10">
        <v>2.01</v>
      </c>
      <c r="L1113" s="10">
        <v>67</v>
      </c>
      <c r="M1113" s="6" t="s">
        <v>371</v>
      </c>
    </row>
    <row r="1114" spans="1:13">
      <c r="A1114" s="6">
        <v>2023</v>
      </c>
      <c r="B1114" s="6">
        <v>4</v>
      </c>
      <c r="C1114" s="6" t="s">
        <v>62</v>
      </c>
      <c r="D1114" s="6" t="s">
        <v>420</v>
      </c>
      <c r="E1114" s="6" t="s">
        <v>373</v>
      </c>
      <c r="F1114" s="6" t="str">
        <f>IF($M1114="PADD I","PADD 1",IF($M1114="PADD II","PADD 2",IF($M1114="PADD III","PADD 3",IF($M1114="PADD IV","PADD 4",IF($M1114="PADD V","PADD 5","")))))</f>
        <v>PADD 2</v>
      </c>
      <c r="G1114" s="6">
        <f>IF(AND($H1114="ATMOS DISTILLATION",ISNUMBER(SEARCH("VPS",$I1114))=FALSE,LEFT($I1114,6)&lt;&gt;"VACUUM"),"CDU",IF($H1114="FLUID CAT CRACKING","FCC",IF(OR($H1114="HYDROCRACKING",$H1114="RESID_HYDROCRACKING"),"Hydrocracker",IF($H1114="REFORMING","Reformer",""))))</f>
        <v/>
      </c>
      <c r="H1114" s="6" t="s">
        <v>568</v>
      </c>
      <c r="I1114" s="6" t="s">
        <v>604</v>
      </c>
      <c r="J1114" s="6" t="s">
        <v>345</v>
      </c>
      <c r="K1114" s="10">
        <v>2</v>
      </c>
      <c r="L1114" s="10">
        <v>2</v>
      </c>
      <c r="M1114" s="6" t="s">
        <v>375</v>
      </c>
    </row>
    <row r="1115" spans="1:13">
      <c r="A1115" s="6">
        <v>2023</v>
      </c>
      <c r="B1115" s="6">
        <v>4</v>
      </c>
      <c r="C1115" s="6" t="s">
        <v>62</v>
      </c>
      <c r="D1115" s="6" t="s">
        <v>462</v>
      </c>
      <c r="E1115" s="6" t="s">
        <v>438</v>
      </c>
      <c r="F1115" s="6" t="str">
        <f>IF($M1115="PADD I","PADD 1",IF($M1115="PADD II","PADD 2",IF($M1115="PADD III","PADD 3",IF($M1115="PADD IV","PADD 4",IF($M1115="PADD V","PADD 5","")))))</f>
        <v>PADD 4</v>
      </c>
      <c r="G1115" s="6" t="str">
        <f>IF(AND($H1115="ATMOS DISTILLATION",ISNUMBER(SEARCH("VPS",$I1115))=FALSE,LEFT($I1115,6)&lt;&gt;"VACUUM"),"CDU",IF($H1115="FLUID CAT CRACKING","FCC",IF(OR($H1115="HYDROCRACKING",$H1115="RESID_HYDROCRACKING"),"Hydrocracker",IF($H1115="REFORMING","Reformer",""))))</f>
        <v>FCC</v>
      </c>
      <c r="H1115" s="6" t="s">
        <v>376</v>
      </c>
      <c r="I1115" s="6" t="s">
        <v>105</v>
      </c>
      <c r="J1115" s="6" t="s">
        <v>345</v>
      </c>
      <c r="K1115" s="10">
        <v>1.981</v>
      </c>
      <c r="L1115" s="10">
        <v>28.3</v>
      </c>
      <c r="M1115" s="6" t="s">
        <v>430</v>
      </c>
    </row>
    <row r="1116" spans="1:13">
      <c r="A1116" s="6">
        <v>2023</v>
      </c>
      <c r="B1116" s="6">
        <v>4</v>
      </c>
      <c r="C1116" s="6" t="s">
        <v>62</v>
      </c>
      <c r="D1116" s="6" t="s">
        <v>48</v>
      </c>
      <c r="E1116" s="6" t="s">
        <v>388</v>
      </c>
      <c r="F1116" s="6" t="str">
        <f>IF($M1116="PADD I","PADD 1",IF($M1116="PADD II","PADD 2",IF($M1116="PADD III","PADD 3",IF($M1116="PADD IV","PADD 4",IF($M1116="PADD V","PADD 5","")))))</f>
        <v>PADD 2</v>
      </c>
      <c r="G1116" s="6">
        <f>IF(AND($H1116="ATMOS DISTILLATION",ISNUMBER(SEARCH("VPS",$I1116))=FALSE,LEFT($I1116,6)&lt;&gt;"VACUUM"),"CDU",IF($H1116="FLUID CAT CRACKING","FCC",IF(OR($H1116="HYDROCRACKING",$H1116="RESID_HYDROCRACKING"),"Hydrocracker",IF($H1116="REFORMING","Reformer",""))))</f>
        <v/>
      </c>
      <c r="H1116" s="6" t="s">
        <v>378</v>
      </c>
      <c r="I1116" s="6" t="s">
        <v>431</v>
      </c>
      <c r="J1116" s="6" t="s">
        <v>345</v>
      </c>
      <c r="K1116" s="10">
        <v>1.95</v>
      </c>
      <c r="L1116" s="10">
        <v>65</v>
      </c>
      <c r="M1116" s="6" t="s">
        <v>375</v>
      </c>
    </row>
    <row r="1117" spans="1:13">
      <c r="A1117" s="6">
        <v>2023</v>
      </c>
      <c r="B1117" s="6">
        <v>4</v>
      </c>
      <c r="C1117" s="6" t="s">
        <v>62</v>
      </c>
      <c r="D1117" s="6" t="s">
        <v>803</v>
      </c>
      <c r="E1117" s="6" t="s">
        <v>388</v>
      </c>
      <c r="F1117" s="6" t="str">
        <f>IF($M1117="PADD I","PADD 1",IF($M1117="PADD II","PADD 2",IF($M1117="PADD III","PADD 3",IF($M1117="PADD IV","PADD 4",IF($M1117="PADD V","PADD 5","")))))</f>
        <v>PADD 2</v>
      </c>
      <c r="G1117" s="6" t="str">
        <f>IF(AND($H1117="ATMOS DISTILLATION",ISNUMBER(SEARCH("VPS",$I1117))=FALSE,LEFT($I1117,6)&lt;&gt;"VACUUM"),"CDU",IF($H1117="FLUID CAT CRACKING","FCC",IF(OR($H1117="HYDROCRACKING",$H1117="RESID_HYDROCRACKING"),"Hydrocracker",IF($H1117="REFORMING","Reformer",""))))</f>
        <v>Reformer</v>
      </c>
      <c r="H1117" s="6" t="s">
        <v>421</v>
      </c>
      <c r="I1117" s="6" t="s">
        <v>559</v>
      </c>
      <c r="J1117" s="6" t="s">
        <v>345</v>
      </c>
      <c r="K1117" s="10">
        <v>1.9125</v>
      </c>
      <c r="L1117" s="10">
        <v>11.25</v>
      </c>
      <c r="M1117" s="6" t="s">
        <v>375</v>
      </c>
    </row>
    <row r="1118" spans="1:13">
      <c r="A1118" s="6">
        <v>2023</v>
      </c>
      <c r="B1118" s="6">
        <v>4</v>
      </c>
      <c r="C1118" s="6" t="s">
        <v>62</v>
      </c>
      <c r="D1118" s="6" t="s">
        <v>803</v>
      </c>
      <c r="E1118" s="6" t="s">
        <v>388</v>
      </c>
      <c r="F1118" s="6" t="str">
        <f>IF($M1118="PADD I","PADD 1",IF($M1118="PADD II","PADD 2",IF($M1118="PADD III","PADD 3",IF($M1118="PADD IV","PADD 4",IF($M1118="PADD V","PADD 5","")))))</f>
        <v>PADD 2</v>
      </c>
      <c r="G1118" s="6" t="str">
        <f>IF(AND($H1118="ATMOS DISTILLATION",ISNUMBER(SEARCH("VPS",$I1118))=FALSE,LEFT($I1118,6)&lt;&gt;"VACUUM"),"CDU",IF($H1118="FLUID CAT CRACKING","FCC",IF(OR($H1118="HYDROCRACKING",$H1118="RESID_HYDROCRACKING"),"Hydrocracker",IF($H1118="REFORMING","Reformer",""))))</f>
        <v>Reformer</v>
      </c>
      <c r="H1118" s="6" t="s">
        <v>421</v>
      </c>
      <c r="I1118" s="6" t="s">
        <v>559</v>
      </c>
      <c r="J1118" s="6" t="s">
        <v>345</v>
      </c>
      <c r="K1118" s="10">
        <v>1.9125</v>
      </c>
      <c r="L1118" s="10">
        <v>11.25</v>
      </c>
      <c r="M1118" s="6" t="s">
        <v>375</v>
      </c>
    </row>
    <row r="1119" spans="1:13">
      <c r="A1119" s="6">
        <v>2023</v>
      </c>
      <c r="B1119" s="6">
        <v>4</v>
      </c>
      <c r="C1119" s="6" t="s">
        <v>62</v>
      </c>
      <c r="D1119" s="6" t="s">
        <v>778</v>
      </c>
      <c r="E1119" s="6" t="s">
        <v>779</v>
      </c>
      <c r="F1119" s="6" t="str">
        <f>IF($M1119="PADD I","PADD 1",IF($M1119="PADD II","PADD 2",IF($M1119="PADD III","PADD 3",IF($M1119="PADD IV","PADD 4",IF($M1119="PADD V","PADD 5","")))))</f>
        <v>PADD 3</v>
      </c>
      <c r="G1119" s="6">
        <f>IF(AND($H1119="ATMOS DISTILLATION",ISNUMBER(SEARCH("VPS",$I1119))=FALSE,LEFT($I1119,6)&lt;&gt;"VACUUM"),"CDU",IF($H1119="FLUID CAT CRACKING","FCC",IF(OR($H1119="HYDROCRACKING",$H1119="RESID_HYDROCRACKING"),"Hydrocracker",IF($H1119="REFORMING","Reformer",""))))</f>
        <v/>
      </c>
      <c r="H1119" s="6" t="s">
        <v>460</v>
      </c>
      <c r="I1119" s="6" t="s">
        <v>616</v>
      </c>
      <c r="J1119" s="6" t="s">
        <v>345</v>
      </c>
      <c r="K1119" s="10">
        <v>1.911</v>
      </c>
      <c r="L1119" s="10">
        <v>14.7</v>
      </c>
      <c r="M1119" s="6" t="s">
        <v>371</v>
      </c>
    </row>
    <row r="1120" spans="1:13">
      <c r="A1120" s="6">
        <v>2023</v>
      </c>
      <c r="B1120" s="6">
        <v>4</v>
      </c>
      <c r="C1120" s="6" t="s">
        <v>62</v>
      </c>
      <c r="D1120" s="6" t="s">
        <v>468</v>
      </c>
      <c r="E1120" s="6" t="s">
        <v>369</v>
      </c>
      <c r="F1120" s="6" t="str">
        <f>IF($M1120="PADD I","PADD 1",IF($M1120="PADD II","PADD 2",IF($M1120="PADD III","PADD 3",IF($M1120="PADD IV","PADD 4",IF($M1120="PADD V","PADD 5","")))))</f>
        <v>PADD 3</v>
      </c>
      <c r="G1120" s="6" t="str">
        <f>IF(AND($H1120="ATMOS DISTILLATION",ISNUMBER(SEARCH("VPS",$I1120))=FALSE,LEFT($I1120,6)&lt;&gt;"VACUUM"),"CDU",IF($H1120="FLUID CAT CRACKING","FCC",IF(OR($H1120="HYDROCRACKING",$H1120="RESID_HYDROCRACKING"),"Hydrocracker",IF($H1120="REFORMING","Reformer",""))))</f>
        <v>Reformer</v>
      </c>
      <c r="H1120" s="6" t="s">
        <v>421</v>
      </c>
      <c r="I1120" s="6" t="s">
        <v>635</v>
      </c>
      <c r="J1120" s="6" t="s">
        <v>345</v>
      </c>
      <c r="K1120" s="10">
        <v>1.89</v>
      </c>
      <c r="L1120" s="10">
        <v>7</v>
      </c>
      <c r="M1120" s="6" t="s">
        <v>371</v>
      </c>
    </row>
    <row r="1121" spans="1:13">
      <c r="A1121" s="6">
        <v>2023</v>
      </c>
      <c r="B1121" s="6">
        <v>4</v>
      </c>
      <c r="C1121" s="6" t="s">
        <v>62</v>
      </c>
      <c r="D1121" s="6" t="s">
        <v>788</v>
      </c>
      <c r="E1121" s="6" t="s">
        <v>405</v>
      </c>
      <c r="F1121" s="6" t="str">
        <f>IF($M1121="PADD I","PADD 1",IF($M1121="PADD II","PADD 2",IF($M1121="PADD III","PADD 3",IF($M1121="PADD IV","PADD 4",IF($M1121="PADD V","PADD 5","")))))</f>
        <v>PADD 3</v>
      </c>
      <c r="G1121" s="6">
        <f>IF(AND($H1121="ATMOS DISTILLATION",ISNUMBER(SEARCH("VPS",$I1121))=FALSE,LEFT($I1121,6)&lt;&gt;"VACUUM"),"CDU",IF($H1121="FLUID CAT CRACKING","FCC",IF(OR($H1121="HYDROCRACKING",$H1121="RESID_HYDROCRACKING"),"Hydrocracker",IF($H1121="REFORMING","Reformer",""))))</f>
        <v/>
      </c>
      <c r="H1121" s="6" t="s">
        <v>43</v>
      </c>
      <c r="I1121" s="6" t="s">
        <v>829</v>
      </c>
      <c r="J1121" s="6" t="s">
        <v>345</v>
      </c>
      <c r="K1121" s="10">
        <v>1.8</v>
      </c>
      <c r="L1121" s="10">
        <v>18</v>
      </c>
      <c r="M1121" s="6" t="s">
        <v>371</v>
      </c>
    </row>
    <row r="1122" spans="1:13">
      <c r="A1122" s="6">
        <v>2023</v>
      </c>
      <c r="B1122" s="6">
        <v>4</v>
      </c>
      <c r="C1122" s="6" t="s">
        <v>62</v>
      </c>
      <c r="D1122" s="6" t="s">
        <v>830</v>
      </c>
      <c r="E1122" s="6" t="s">
        <v>388</v>
      </c>
      <c r="F1122" s="6" t="str">
        <f>IF($M1122="PADD I","PADD 1",IF($M1122="PADD II","PADD 2",IF($M1122="PADD III","PADD 3",IF($M1122="PADD IV","PADD 4",IF($M1122="PADD V","PADD 5","")))))</f>
        <v>PADD 2</v>
      </c>
      <c r="G1122" s="6">
        <f>IF(AND($H1122="ATMOS DISTILLATION",ISNUMBER(SEARCH("VPS",$I1122))=FALSE,LEFT($I1122,6)&lt;&gt;"VACUUM"),"CDU",IF($H1122="FLUID CAT CRACKING","FCC",IF(OR($H1122="HYDROCRACKING",$H1122="RESID_HYDROCRACKING"),"Hydrocracker",IF($H1122="REFORMING","Reformer",""))))</f>
        <v/>
      </c>
      <c r="H1122" s="6" t="s">
        <v>43</v>
      </c>
      <c r="I1122" s="6" t="s">
        <v>485</v>
      </c>
      <c r="J1122" s="6" t="s">
        <v>345</v>
      </c>
      <c r="K1122" s="10">
        <v>1.8</v>
      </c>
      <c r="L1122" s="10">
        <v>6</v>
      </c>
      <c r="M1122" s="6" t="s">
        <v>375</v>
      </c>
    </row>
    <row r="1123" spans="1:13">
      <c r="A1123" s="6">
        <v>2023</v>
      </c>
      <c r="B1123" s="6">
        <v>4</v>
      </c>
      <c r="C1123" s="6" t="s">
        <v>62</v>
      </c>
      <c r="D1123" s="6" t="s">
        <v>830</v>
      </c>
      <c r="E1123" s="6" t="s">
        <v>388</v>
      </c>
      <c r="F1123" s="6" t="str">
        <f>IF($M1123="PADD I","PADD 1",IF($M1123="PADD II","PADD 2",IF($M1123="PADD III","PADD 3",IF($M1123="PADD IV","PADD 4",IF($M1123="PADD V","PADD 5","")))))</f>
        <v>PADD 2</v>
      </c>
      <c r="G1123" s="6">
        <f>IF(AND($H1123="ATMOS DISTILLATION",ISNUMBER(SEARCH("VPS",$I1123))=FALSE,LEFT($I1123,6)&lt;&gt;"VACUUM"),"CDU",IF($H1123="FLUID CAT CRACKING","FCC",IF(OR($H1123="HYDROCRACKING",$H1123="RESID_HYDROCRACKING"),"Hydrocracker",IF($H1123="REFORMING","Reformer",""))))</f>
        <v/>
      </c>
      <c r="H1123" s="6" t="s">
        <v>43</v>
      </c>
      <c r="I1123" s="6" t="s">
        <v>485</v>
      </c>
      <c r="J1123" s="6" t="s">
        <v>345</v>
      </c>
      <c r="K1123" s="10">
        <v>1.8</v>
      </c>
      <c r="L1123" s="10">
        <v>6</v>
      </c>
      <c r="M1123" s="6" t="s">
        <v>375</v>
      </c>
    </row>
    <row r="1124" spans="1:13">
      <c r="A1124" s="6">
        <v>2023</v>
      </c>
      <c r="B1124" s="6">
        <v>4</v>
      </c>
      <c r="C1124" s="6" t="s">
        <v>62</v>
      </c>
      <c r="D1124" s="6" t="s">
        <v>518</v>
      </c>
      <c r="E1124" s="6" t="s">
        <v>369</v>
      </c>
      <c r="F1124" s="6" t="str">
        <f>IF($M1124="PADD I","PADD 1",IF($M1124="PADD II","PADD 2",IF($M1124="PADD III","PADD 3",IF($M1124="PADD IV","PADD 4",IF($M1124="PADD V","PADD 5","")))))</f>
        <v>PADD 5</v>
      </c>
      <c r="G1124" s="6">
        <f>IF(AND($H1124="ATMOS DISTILLATION",ISNUMBER(SEARCH("VPS",$I1124))=FALSE,LEFT($I1124,6)&lt;&gt;"VACUUM"),"CDU",IF($H1124="FLUID CAT CRACKING","FCC",IF(OR($H1124="HYDROCRACKING",$H1124="RESID_HYDROCRACKING"),"Hydrocracker",IF($H1124="REFORMING","Reformer",""))))</f>
        <v/>
      </c>
      <c r="H1124" s="6" t="s">
        <v>568</v>
      </c>
      <c r="I1124" s="6" t="s">
        <v>617</v>
      </c>
      <c r="J1124" s="6" t="s">
        <v>345</v>
      </c>
      <c r="K1124" s="10">
        <v>1.755</v>
      </c>
      <c r="L1124" s="10">
        <v>6.5</v>
      </c>
      <c r="M1124" s="6" t="s">
        <v>386</v>
      </c>
    </row>
    <row r="1125" spans="1:13">
      <c r="A1125" s="6">
        <v>2023</v>
      </c>
      <c r="B1125" s="6">
        <v>4</v>
      </c>
      <c r="C1125" s="6" t="s">
        <v>62</v>
      </c>
      <c r="D1125" s="6" t="s">
        <v>462</v>
      </c>
      <c r="E1125" s="6" t="s">
        <v>438</v>
      </c>
      <c r="F1125" s="6" t="str">
        <f>IF($M1125="PADD I","PADD 1",IF($M1125="PADD II","PADD 2",IF($M1125="PADD III","PADD 3",IF($M1125="PADD IV","PADD 4",IF($M1125="PADD V","PADD 5","")))))</f>
        <v>PADD 4</v>
      </c>
      <c r="G1125" s="6">
        <f>IF(AND($H1125="ATMOS DISTILLATION",ISNUMBER(SEARCH("VPS",$I1125))=FALSE,LEFT($I1125,6)&lt;&gt;"VACUUM"),"CDU",IF($H1125="FLUID CAT CRACKING","FCC",IF(OR($H1125="HYDROCRACKING",$H1125="RESID_HYDROCRACKING"),"Hydrocracker",IF($H1125="REFORMING","Reformer",""))))</f>
        <v/>
      </c>
      <c r="H1125" s="6" t="s">
        <v>378</v>
      </c>
      <c r="I1125" s="6" t="s">
        <v>555</v>
      </c>
      <c r="J1125" s="6" t="s">
        <v>345</v>
      </c>
      <c r="K1125" s="10">
        <v>1.676</v>
      </c>
      <c r="L1125" s="10">
        <v>8.380000000000001</v>
      </c>
      <c r="M1125" s="6" t="s">
        <v>430</v>
      </c>
    </row>
    <row r="1126" spans="1:13">
      <c r="A1126" s="6">
        <v>2023</v>
      </c>
      <c r="B1126" s="6">
        <v>4</v>
      </c>
      <c r="C1126" s="6" t="s">
        <v>62</v>
      </c>
      <c r="D1126" s="6" t="s">
        <v>788</v>
      </c>
      <c r="E1126" s="6" t="s">
        <v>405</v>
      </c>
      <c r="F1126" s="6" t="str">
        <f>IF($M1126="PADD I","PADD 1",IF($M1126="PADD II","PADD 2",IF($M1126="PADD III","PADD 3",IF($M1126="PADD IV","PADD 4",IF($M1126="PADD V","PADD 5","")))))</f>
        <v>PADD 3</v>
      </c>
      <c r="G1126" s="6" t="str">
        <f>IF(AND($H1126="ATMOS DISTILLATION",ISNUMBER(SEARCH("VPS",$I1126))=FALSE,LEFT($I1126,6)&lt;&gt;"VACUUM"),"CDU",IF($H1126="FLUID CAT CRACKING","FCC",IF(OR($H1126="HYDROCRACKING",$H1126="RESID_HYDROCRACKING"),"Hydrocracker",IF($H1126="REFORMING","Reformer",""))))</f>
        <v>Hydrocracker</v>
      </c>
      <c r="H1126" s="6" t="s">
        <v>444</v>
      </c>
      <c r="I1126" s="6" t="s">
        <v>831</v>
      </c>
      <c r="J1126" s="6" t="s">
        <v>345</v>
      </c>
      <c r="K1126" s="10">
        <v>1.65</v>
      </c>
      <c r="L1126" s="10">
        <v>55</v>
      </c>
      <c r="M1126" s="6" t="s">
        <v>371</v>
      </c>
    </row>
    <row r="1127" spans="1:13">
      <c r="A1127" s="6">
        <v>2023</v>
      </c>
      <c r="B1127" s="6">
        <v>4</v>
      </c>
      <c r="C1127" s="6" t="s">
        <v>62</v>
      </c>
      <c r="D1127" s="6" t="s">
        <v>815</v>
      </c>
      <c r="E1127" s="6" t="s">
        <v>452</v>
      </c>
      <c r="F1127" s="6" t="str">
        <f>IF($M1127="PADD I","PADD 1",IF($M1127="PADD II","PADD 2",IF($M1127="PADD III","PADD 3",IF($M1127="PADD IV","PADD 4",IF($M1127="PADD V","PADD 5","")))))</f>
        <v>PADD 4</v>
      </c>
      <c r="G1127" s="6" t="str">
        <f>IF(AND($H1127="ATMOS DISTILLATION",ISNUMBER(SEARCH("VPS",$I1127))=FALSE,LEFT($I1127,6)&lt;&gt;"VACUUM"),"CDU",IF($H1127="FLUID CAT CRACKING","FCC",IF(OR($H1127="HYDROCRACKING",$H1127="RESID_HYDROCRACKING"),"Hydrocracker",IF($H1127="REFORMING","Reformer",""))))</f>
        <v>Reformer</v>
      </c>
      <c r="H1127" s="6" t="s">
        <v>421</v>
      </c>
      <c r="I1127" s="6" t="s">
        <v>832</v>
      </c>
      <c r="J1127" s="6" t="s">
        <v>349</v>
      </c>
      <c r="K1127" s="10">
        <v>1.625</v>
      </c>
      <c r="L1127" s="10">
        <v>12.5</v>
      </c>
      <c r="M1127" s="6" t="s">
        <v>430</v>
      </c>
    </row>
    <row r="1128" spans="1:13">
      <c r="A1128" s="6">
        <v>2023</v>
      </c>
      <c r="B1128" s="6">
        <v>4</v>
      </c>
      <c r="C1128" s="6" t="s">
        <v>62</v>
      </c>
      <c r="D1128" s="6" t="s">
        <v>48</v>
      </c>
      <c r="E1128" s="6" t="s">
        <v>388</v>
      </c>
      <c r="F1128" s="6" t="str">
        <f>IF($M1128="PADD I","PADD 1",IF($M1128="PADD II","PADD 2",IF($M1128="PADD III","PADD 3",IF($M1128="PADD IV","PADD 4",IF($M1128="PADD V","PADD 5","")))))</f>
        <v>PADD 2</v>
      </c>
      <c r="G1128" s="6" t="str">
        <f>IF(AND($H1128="ATMOS DISTILLATION",ISNUMBER(SEARCH("VPS",$I1128))=FALSE,LEFT($I1128,6)&lt;&gt;"VACUUM"),"CDU",IF($H1128="FLUID CAT CRACKING","FCC",IF(OR($H1128="HYDROCRACKING",$H1128="RESID_HYDROCRACKING"),"Hydrocracker",IF($H1128="REFORMING","Reformer",""))))</f>
        <v>FCC</v>
      </c>
      <c r="H1128" s="6" t="s">
        <v>376</v>
      </c>
      <c r="I1128" s="6" t="s">
        <v>105</v>
      </c>
      <c r="J1128" s="6" t="s">
        <v>345</v>
      </c>
      <c r="K1128" s="10">
        <v>1.575</v>
      </c>
      <c r="L1128" s="10">
        <v>52.5</v>
      </c>
      <c r="M1128" s="6" t="s">
        <v>375</v>
      </c>
    </row>
    <row r="1129" spans="1:13">
      <c r="A1129" s="6">
        <v>2023</v>
      </c>
      <c r="B1129" s="6">
        <v>4</v>
      </c>
      <c r="C1129" s="6" t="s">
        <v>62</v>
      </c>
      <c r="D1129" s="6" t="s">
        <v>807</v>
      </c>
      <c r="E1129" s="6" t="s">
        <v>779</v>
      </c>
      <c r="F1129" s="6" t="str">
        <f>IF($M1129="PADD I","PADD 1",IF($M1129="PADD II","PADD 2",IF($M1129="PADD III","PADD 3",IF($M1129="PADD IV","PADD 4",IF($M1129="PADD V","PADD 5","")))))</f>
        <v>PADD 3</v>
      </c>
      <c r="G1129" s="6" t="str">
        <f>IF(AND($H1129="ATMOS DISTILLATION",ISNUMBER(SEARCH("VPS",$I1129))=FALSE,LEFT($I1129,6)&lt;&gt;"VACUUM"),"CDU",IF($H1129="FLUID CAT CRACKING","FCC",IF(OR($H1129="HYDROCRACKING",$H1129="RESID_HYDROCRACKING"),"Hydrocracker",IF($H1129="REFORMING","Reformer",""))))</f>
        <v>Hydrocracker</v>
      </c>
      <c r="H1129" s="6" t="s">
        <v>444</v>
      </c>
      <c r="I1129" s="6" t="s">
        <v>833</v>
      </c>
      <c r="J1129" s="6" t="s">
        <v>345</v>
      </c>
      <c r="K1129" s="10">
        <v>1.56</v>
      </c>
      <c r="L1129" s="10">
        <v>12</v>
      </c>
      <c r="M1129" s="6" t="s">
        <v>371</v>
      </c>
    </row>
    <row r="1130" spans="1:13">
      <c r="A1130" s="6">
        <v>2023</v>
      </c>
      <c r="B1130" s="6">
        <v>4</v>
      </c>
      <c r="C1130" s="6" t="s">
        <v>62</v>
      </c>
      <c r="D1130" s="6" t="s">
        <v>576</v>
      </c>
      <c r="E1130" s="6" t="s">
        <v>369</v>
      </c>
      <c r="F1130" s="6" t="str">
        <f>IF($M1130="PADD I","PADD 1",IF($M1130="PADD II","PADD 2",IF($M1130="PADD III","PADD 3",IF($M1130="PADD IV","PADD 4",IF($M1130="PADD V","PADD 5","")))))</f>
        <v>PADD 3</v>
      </c>
      <c r="G1130" s="6">
        <f>IF(AND($H1130="ATMOS DISTILLATION",ISNUMBER(SEARCH("VPS",$I1130))=FALSE,LEFT($I1130,6)&lt;&gt;"VACUUM"),"CDU",IF($H1130="FLUID CAT CRACKING","FCC",IF(OR($H1130="HYDROCRACKING",$H1130="RESID_HYDROCRACKING"),"Hydrocracker",IF($H1130="REFORMING","Reformer",""))))</f>
        <v/>
      </c>
      <c r="H1130" s="6" t="s">
        <v>435</v>
      </c>
      <c r="I1130" s="6" t="s">
        <v>703</v>
      </c>
      <c r="J1130" s="6" t="s">
        <v>349</v>
      </c>
      <c r="K1130" s="10">
        <v>1.5</v>
      </c>
      <c r="L1130" s="10">
        <v>15</v>
      </c>
      <c r="M1130" s="6" t="s">
        <v>371</v>
      </c>
    </row>
    <row r="1131" spans="1:13">
      <c r="A1131" s="6">
        <v>2023</v>
      </c>
      <c r="B1131" s="6">
        <v>4</v>
      </c>
      <c r="C1131" s="6" t="s">
        <v>62</v>
      </c>
      <c r="D1131" s="6" t="s">
        <v>834</v>
      </c>
      <c r="E1131" s="6" t="s">
        <v>405</v>
      </c>
      <c r="F1131" s="6" t="str">
        <f>IF($M1131="PADD I","PADD 1",IF($M1131="PADD II","PADD 2",IF($M1131="PADD III","PADD 3",IF($M1131="PADD IV","PADD 4",IF($M1131="PADD V","PADD 5","")))))</f>
        <v>PADD 3</v>
      </c>
      <c r="G1131" s="6">
        <f>IF(AND($H1131="ATMOS DISTILLATION",ISNUMBER(SEARCH("VPS",$I1131))=FALSE,LEFT($I1131,6)&lt;&gt;"VACUUM"),"CDU",IF($H1131="FLUID CAT CRACKING","FCC",IF(OR($H1131="HYDROCRACKING",$H1131="RESID_HYDROCRACKING"),"Hydrocracker",IF($H1131="REFORMING","Reformer",""))))</f>
        <v/>
      </c>
      <c r="H1131" s="6" t="s">
        <v>43</v>
      </c>
      <c r="I1131" s="6" t="s">
        <v>449</v>
      </c>
      <c r="J1131" s="6" t="s">
        <v>345</v>
      </c>
      <c r="K1131" s="10">
        <v>1.5</v>
      </c>
      <c r="L1131" s="10">
        <v>50</v>
      </c>
      <c r="M1131" s="6" t="s">
        <v>371</v>
      </c>
    </row>
    <row r="1132" spans="1:13">
      <c r="A1132" s="6">
        <v>2023</v>
      </c>
      <c r="B1132" s="6">
        <v>4</v>
      </c>
      <c r="C1132" s="6" t="s">
        <v>62</v>
      </c>
      <c r="D1132" s="6" t="s">
        <v>612</v>
      </c>
      <c r="E1132" s="6" t="s">
        <v>416</v>
      </c>
      <c r="F1132" s="6" t="str">
        <f>IF($M1132="PADD I","PADD 1",IF($M1132="PADD II","PADD 2",IF($M1132="PADD III","PADD 3",IF($M1132="PADD IV","PADD 4",IF($M1132="PADD V","PADD 5","")))))</f>
        <v>PADD 3</v>
      </c>
      <c r="G1132" s="6">
        <f>IF(AND($H1132="ATMOS DISTILLATION",ISNUMBER(SEARCH("VPS",$I1132))=FALSE,LEFT($I1132,6)&lt;&gt;"VACUUM"),"CDU",IF($H1132="FLUID CAT CRACKING","FCC",IF(OR($H1132="HYDROCRACKING",$H1132="RESID_HYDROCRACKING"),"Hydrocracker",IF($H1132="REFORMING","Reformer",""))))</f>
        <v/>
      </c>
      <c r="H1132" s="6" t="s">
        <v>460</v>
      </c>
      <c r="I1132" s="6" t="s">
        <v>835</v>
      </c>
      <c r="J1132" s="6" t="s">
        <v>345</v>
      </c>
      <c r="K1132" s="10">
        <v>1.47</v>
      </c>
      <c r="L1132" s="10">
        <v>21</v>
      </c>
      <c r="M1132" s="6" t="s">
        <v>371</v>
      </c>
    </row>
    <row r="1133" spans="1:13">
      <c r="A1133" s="6">
        <v>2023</v>
      </c>
      <c r="B1133" s="6">
        <v>4</v>
      </c>
      <c r="C1133" s="6" t="s">
        <v>62</v>
      </c>
      <c r="D1133" s="6" t="s">
        <v>815</v>
      </c>
      <c r="E1133" s="6" t="s">
        <v>452</v>
      </c>
      <c r="F1133" s="6" t="str">
        <f>IF($M1133="PADD I","PADD 1",IF($M1133="PADD II","PADD 2",IF($M1133="PADD III","PADD 3",IF($M1133="PADD IV","PADD 4",IF($M1133="PADD V","PADD 5","")))))</f>
        <v>PADD 4</v>
      </c>
      <c r="G1133" s="6" t="str">
        <f>IF(AND($H1133="ATMOS DISTILLATION",ISNUMBER(SEARCH("VPS",$I1133))=FALSE,LEFT($I1133,6)&lt;&gt;"VACUUM"),"CDU",IF($H1133="FLUID CAT CRACKING","FCC",IF(OR($H1133="HYDROCRACKING",$H1133="RESID_HYDROCRACKING"),"Hydrocracker",IF($H1133="REFORMING","Reformer",""))))</f>
        <v>FCC</v>
      </c>
      <c r="H1133" s="6" t="s">
        <v>376</v>
      </c>
      <c r="I1133" s="6" t="s">
        <v>836</v>
      </c>
      <c r="J1133" s="6" t="s">
        <v>349</v>
      </c>
      <c r="K1133" s="10">
        <v>1.43</v>
      </c>
      <c r="L1133" s="10">
        <v>11</v>
      </c>
      <c r="M1133" s="6" t="s">
        <v>430</v>
      </c>
    </row>
    <row r="1134" spans="1:13">
      <c r="A1134" s="6">
        <v>2023</v>
      </c>
      <c r="B1134" s="6">
        <v>4</v>
      </c>
      <c r="C1134" s="6" t="s">
        <v>62</v>
      </c>
      <c r="D1134" s="6" t="s">
        <v>612</v>
      </c>
      <c r="E1134" s="6" t="s">
        <v>416</v>
      </c>
      <c r="F1134" s="6" t="str">
        <f>IF($M1134="PADD I","PADD 1",IF($M1134="PADD II","PADD 2",IF($M1134="PADD III","PADD 3",IF($M1134="PADD IV","PADD 4",IF($M1134="PADD V","PADD 5","")))))</f>
        <v>PADD 3</v>
      </c>
      <c r="G1134" s="6">
        <f>IF(AND($H1134="ATMOS DISTILLATION",ISNUMBER(SEARCH("VPS",$I1134))=FALSE,LEFT($I1134,6)&lt;&gt;"VACUUM"),"CDU",IF($H1134="FLUID CAT CRACKING","FCC",IF(OR($H1134="HYDROCRACKING",$H1134="RESID_HYDROCRACKING"),"Hydrocracker",IF($H1134="REFORMING","Reformer",""))))</f>
        <v/>
      </c>
      <c r="H1134" s="6" t="s">
        <v>43</v>
      </c>
      <c r="I1134" s="6" t="s">
        <v>837</v>
      </c>
      <c r="J1134" s="6" t="s">
        <v>345</v>
      </c>
      <c r="K1134" s="10">
        <v>1.4</v>
      </c>
      <c r="L1134" s="10">
        <v>20</v>
      </c>
      <c r="M1134" s="6" t="s">
        <v>371</v>
      </c>
    </row>
    <row r="1135" spans="1:13">
      <c r="A1135" s="6">
        <v>2023</v>
      </c>
      <c r="B1135" s="6">
        <v>4</v>
      </c>
      <c r="C1135" s="6" t="s">
        <v>62</v>
      </c>
      <c r="D1135" s="6" t="s">
        <v>48</v>
      </c>
      <c r="E1135" s="6" t="s">
        <v>388</v>
      </c>
      <c r="F1135" s="6" t="str">
        <f>IF($M1135="PADD I","PADD 1",IF($M1135="PADD II","PADD 2",IF($M1135="PADD III","PADD 3",IF($M1135="PADD IV","PADD 4",IF($M1135="PADD V","PADD 5","")))))</f>
        <v>PADD 2</v>
      </c>
      <c r="G1135" s="6">
        <f>IF(AND($H1135="ATMOS DISTILLATION",ISNUMBER(SEARCH("VPS",$I1135))=FALSE,LEFT($I1135,6)&lt;&gt;"VACUUM"),"CDU",IF($H1135="FLUID CAT CRACKING","FCC",IF(OR($H1135="HYDROCRACKING",$H1135="RESID_HYDROCRACKING"),"Hydrocracker",IF($H1135="REFORMING","Reformer",""))))</f>
        <v/>
      </c>
      <c r="H1135" s="6" t="s">
        <v>43</v>
      </c>
      <c r="I1135" s="6" t="s">
        <v>741</v>
      </c>
      <c r="J1135" s="6" t="s">
        <v>345</v>
      </c>
      <c r="K1135" s="10">
        <v>1.395</v>
      </c>
      <c r="L1135" s="10">
        <v>46.5</v>
      </c>
      <c r="M1135" s="6" t="s">
        <v>375</v>
      </c>
    </row>
    <row r="1136" spans="1:13">
      <c r="A1136" s="6">
        <v>2023</v>
      </c>
      <c r="B1136" s="6">
        <v>4</v>
      </c>
      <c r="C1136" s="6" t="s">
        <v>62</v>
      </c>
      <c r="D1136" s="6" t="s">
        <v>408</v>
      </c>
      <c r="E1136" s="6" t="s">
        <v>409</v>
      </c>
      <c r="F1136" s="6" t="str">
        <f>IF($M1136="PADD I","PADD 1",IF($M1136="PADD II","PADD 2",IF($M1136="PADD III","PADD 3",IF($M1136="PADD IV","PADD 4",IF($M1136="PADD V","PADD 5","")))))</f>
        <v>PADD 3</v>
      </c>
      <c r="G1136" s="6">
        <f>IF(AND($H1136="ATMOS DISTILLATION",ISNUMBER(SEARCH("VPS",$I1136))=FALSE,LEFT($I1136,6)&lt;&gt;"VACUUM"),"CDU",IF($H1136="FLUID CAT CRACKING","FCC",IF(OR($H1136="HYDROCRACKING",$H1136="RESID_HYDROCRACKING"),"Hydrocracker",IF($H1136="REFORMING","Reformer",""))))</f>
        <v/>
      </c>
      <c r="H1136" s="6" t="s">
        <v>460</v>
      </c>
      <c r="I1136" s="6" t="s">
        <v>606</v>
      </c>
      <c r="J1136" s="6" t="s">
        <v>345</v>
      </c>
      <c r="K1136" s="10">
        <v>1.35</v>
      </c>
      <c r="L1136" s="10">
        <v>5</v>
      </c>
      <c r="M1136" s="6" t="s">
        <v>371</v>
      </c>
    </row>
    <row r="1137" spans="1:13">
      <c r="A1137" s="6">
        <v>2023</v>
      </c>
      <c r="B1137" s="6">
        <v>4</v>
      </c>
      <c r="C1137" s="6" t="s">
        <v>62</v>
      </c>
      <c r="D1137" s="6" t="s">
        <v>646</v>
      </c>
      <c r="E1137" s="6" t="s">
        <v>405</v>
      </c>
      <c r="F1137" s="6" t="str">
        <f>IF($M1137="PADD I","PADD 1",IF($M1137="PADD II","PADD 2",IF($M1137="PADD III","PADD 3",IF($M1137="PADD IV","PADD 4",IF($M1137="PADD V","PADD 5","")))))</f>
        <v>PADD 3</v>
      </c>
      <c r="G1137" s="6">
        <f>IF(AND($H1137="ATMOS DISTILLATION",ISNUMBER(SEARCH("VPS",$I1137))=FALSE,LEFT($I1137,6)&lt;&gt;"VACUUM"),"CDU",IF($H1137="FLUID CAT CRACKING","FCC",IF(OR($H1137="HYDROCRACKING",$H1137="RESID_HYDROCRACKING"),"Hydrocracker",IF($H1137="REFORMING","Reformer",""))))</f>
        <v/>
      </c>
      <c r="H1137" s="6" t="s">
        <v>43</v>
      </c>
      <c r="I1137" s="6" t="s">
        <v>647</v>
      </c>
      <c r="J1137" s="6" t="s">
        <v>345</v>
      </c>
      <c r="K1137" s="10">
        <v>1.35</v>
      </c>
      <c r="L1137" s="10">
        <v>45</v>
      </c>
      <c r="M1137" s="6" t="s">
        <v>371</v>
      </c>
    </row>
    <row r="1138" spans="1:13">
      <c r="A1138" s="6">
        <v>2023</v>
      </c>
      <c r="B1138" s="6">
        <v>4</v>
      </c>
      <c r="C1138" s="6" t="s">
        <v>62</v>
      </c>
      <c r="D1138" s="6" t="s">
        <v>576</v>
      </c>
      <c r="E1138" s="6" t="s">
        <v>369</v>
      </c>
      <c r="F1138" s="6" t="str">
        <f>IF($M1138="PADD I","PADD 1",IF($M1138="PADD II","PADD 2",IF($M1138="PADD III","PADD 3",IF($M1138="PADD IV","PADD 4",IF($M1138="PADD V","PADD 5","")))))</f>
        <v>PADD 3</v>
      </c>
      <c r="G1138" s="6">
        <f>IF(AND($H1138="ATMOS DISTILLATION",ISNUMBER(SEARCH("VPS",$I1138))=FALSE,LEFT($I1138,6)&lt;&gt;"VACUUM"),"CDU",IF($H1138="FLUID CAT CRACKING","FCC",IF(OR($H1138="HYDROCRACKING",$H1138="RESID_HYDROCRACKING"),"Hydrocracker",IF($H1138="REFORMING","Reformer",""))))</f>
        <v/>
      </c>
      <c r="H1138" s="6" t="s">
        <v>43</v>
      </c>
      <c r="I1138" s="6" t="s">
        <v>656</v>
      </c>
      <c r="J1138" s="6" t="s">
        <v>349</v>
      </c>
      <c r="K1138" s="10">
        <v>1.3</v>
      </c>
      <c r="L1138" s="10">
        <v>13</v>
      </c>
      <c r="M1138" s="6" t="s">
        <v>371</v>
      </c>
    </row>
    <row r="1139" spans="1:13">
      <c r="A1139" s="6">
        <v>2023</v>
      </c>
      <c r="B1139" s="6">
        <v>4</v>
      </c>
      <c r="C1139" s="6" t="s">
        <v>62</v>
      </c>
      <c r="D1139" s="6" t="s">
        <v>48</v>
      </c>
      <c r="E1139" s="6" t="s">
        <v>388</v>
      </c>
      <c r="F1139" s="6" t="str">
        <f>IF($M1139="PADD I","PADD 1",IF($M1139="PADD II","PADD 2",IF($M1139="PADD III","PADD 3",IF($M1139="PADD IV","PADD 4",IF($M1139="PADD V","PADD 5","")))))</f>
        <v>PADD 2</v>
      </c>
      <c r="G1139" s="6" t="str">
        <f>IF(AND($H1139="ATMOS DISTILLATION",ISNUMBER(SEARCH("VPS",$I1139))=FALSE,LEFT($I1139,6)&lt;&gt;"VACUUM"),"CDU",IF($H1139="FLUID CAT CRACKING","FCC",IF(OR($H1139="HYDROCRACKING",$H1139="RESID_HYDROCRACKING"),"Hydrocracker",IF($H1139="REFORMING","Reformer",""))))</f>
        <v>Reformer</v>
      </c>
      <c r="H1139" s="6" t="s">
        <v>421</v>
      </c>
      <c r="I1139" s="6" t="s">
        <v>721</v>
      </c>
      <c r="J1139" s="6" t="s">
        <v>345</v>
      </c>
      <c r="K1139" s="10">
        <v>1.29</v>
      </c>
      <c r="L1139" s="10">
        <v>43</v>
      </c>
      <c r="M1139" s="6" t="s">
        <v>375</v>
      </c>
    </row>
    <row r="1140" spans="1:13">
      <c r="A1140" s="6">
        <v>2023</v>
      </c>
      <c r="B1140" s="6">
        <v>4</v>
      </c>
      <c r="C1140" s="6" t="s">
        <v>62</v>
      </c>
      <c r="D1140" s="6" t="s">
        <v>732</v>
      </c>
      <c r="E1140" s="6" t="s">
        <v>733</v>
      </c>
      <c r="F1140" s="6" t="str">
        <f>IF($M1140="PADD I","PADD 1",IF($M1140="PADD II","PADD 2",IF($M1140="PADD III","PADD 3",IF($M1140="PADD IV","PADD 4",IF($M1140="PADD V","PADD 5","")))))</f>
        <v>PADD 4</v>
      </c>
      <c r="G1140" s="6">
        <f>IF(AND($H1140="ATMOS DISTILLATION",ISNUMBER(SEARCH("VPS",$I1140))=FALSE,LEFT($I1140,6)&lt;&gt;"VACUUM"),"CDU",IF($H1140="FLUID CAT CRACKING","FCC",IF(OR($H1140="HYDROCRACKING",$H1140="RESID_HYDROCRACKING"),"Hydrocracker",IF($H1140="REFORMING","Reformer",""))))</f>
        <v/>
      </c>
      <c r="H1140" s="6" t="s">
        <v>568</v>
      </c>
      <c r="I1140" s="6" t="s">
        <v>768</v>
      </c>
      <c r="J1140" s="6" t="s">
        <v>349</v>
      </c>
      <c r="K1140" s="10">
        <v>1.25</v>
      </c>
      <c r="L1140" s="10">
        <v>1.25</v>
      </c>
      <c r="M1140" s="6" t="s">
        <v>430</v>
      </c>
    </row>
    <row r="1141" spans="1:13">
      <c r="A1141" s="6">
        <v>2023</v>
      </c>
      <c r="B1141" s="6">
        <v>4</v>
      </c>
      <c r="C1141" s="6" t="s">
        <v>62</v>
      </c>
      <c r="D1141" s="6" t="s">
        <v>576</v>
      </c>
      <c r="E1141" s="6" t="s">
        <v>369</v>
      </c>
      <c r="F1141" s="6" t="str">
        <f>IF($M1141="PADD I","PADD 1",IF($M1141="PADD II","PADD 2",IF($M1141="PADD III","PADD 3",IF($M1141="PADD IV","PADD 4",IF($M1141="PADD V","PADD 5","")))))</f>
        <v>PADD 3</v>
      </c>
      <c r="G1141" s="6" t="str">
        <f>IF(AND($H1141="ATMOS DISTILLATION",ISNUMBER(SEARCH("VPS",$I1141))=FALSE,LEFT($I1141,6)&lt;&gt;"VACUUM"),"CDU",IF($H1141="FLUID CAT CRACKING","FCC",IF(OR($H1141="HYDROCRACKING",$H1141="RESID_HYDROCRACKING"),"Hydrocracker",IF($H1141="REFORMING","Reformer",""))))</f>
        <v>Reformer</v>
      </c>
      <c r="H1141" s="6" t="s">
        <v>421</v>
      </c>
      <c r="I1141" s="6" t="s">
        <v>483</v>
      </c>
      <c r="J1141" s="6" t="s">
        <v>349</v>
      </c>
      <c r="K1141" s="10">
        <v>1.2</v>
      </c>
      <c r="L1141" s="10">
        <v>12</v>
      </c>
      <c r="M1141" s="6" t="s">
        <v>371</v>
      </c>
    </row>
    <row r="1142" spans="1:13">
      <c r="A1142" s="6">
        <v>2023</v>
      </c>
      <c r="B1142" s="6">
        <v>4</v>
      </c>
      <c r="C1142" s="6" t="s">
        <v>62</v>
      </c>
      <c r="D1142" s="6" t="s">
        <v>788</v>
      </c>
      <c r="E1142" s="6" t="s">
        <v>405</v>
      </c>
      <c r="F1142" s="6" t="str">
        <f>IF($M1142="PADD I","PADD 1",IF($M1142="PADD II","PADD 2",IF($M1142="PADD III","PADD 3",IF($M1142="PADD IV","PADD 4",IF($M1142="PADD V","PADD 5","")))))</f>
        <v>PADD 3</v>
      </c>
      <c r="G1142" s="6">
        <f>IF(AND($H1142="ATMOS DISTILLATION",ISNUMBER(SEARCH("VPS",$I1142))=FALSE,LEFT($I1142,6)&lt;&gt;"VACUUM"),"CDU",IF($H1142="FLUID CAT CRACKING","FCC",IF(OR($H1142="HYDROCRACKING",$H1142="RESID_HYDROCRACKING"),"Hydrocracker",IF($H1142="REFORMING","Reformer",""))))</f>
        <v/>
      </c>
      <c r="H1142" s="6" t="s">
        <v>43</v>
      </c>
      <c r="I1142" s="6" t="s">
        <v>838</v>
      </c>
      <c r="J1142" s="6" t="s">
        <v>345</v>
      </c>
      <c r="K1142" s="10">
        <v>1.2</v>
      </c>
      <c r="L1142" s="10">
        <v>12</v>
      </c>
      <c r="M1142" s="6" t="s">
        <v>371</v>
      </c>
    </row>
    <row r="1143" spans="1:13">
      <c r="A1143" s="6">
        <v>2023</v>
      </c>
      <c r="B1143" s="6">
        <v>4</v>
      </c>
      <c r="C1143" s="6" t="s">
        <v>62</v>
      </c>
      <c r="D1143" s="6" t="s">
        <v>839</v>
      </c>
      <c r="E1143" s="6" t="s">
        <v>840</v>
      </c>
      <c r="F1143" s="6" t="str">
        <f>IF($M1143="PADD I","PADD 1",IF($M1143="PADD II","PADD 2",IF($M1143="PADD III","PADD 3",IF($M1143="PADD IV","PADD 4",IF($M1143="PADD V","PADD 5","")))))</f>
        <v>PADD 1</v>
      </c>
      <c r="G1143" s="6">
        <f>IF(AND($H1143="ATMOS DISTILLATION",ISNUMBER(SEARCH("VPS",$I1143))=FALSE,LEFT($I1143,6)&lt;&gt;"VACUUM"),"CDU",IF($H1143="FLUID CAT CRACKING","FCC",IF(OR($H1143="HYDROCRACKING",$H1143="RESID_HYDROCRACKING"),"Hydrocracker",IF($H1143="REFORMING","Reformer",""))))</f>
        <v/>
      </c>
      <c r="H1143" s="6" t="s">
        <v>43</v>
      </c>
      <c r="I1143" s="6" t="s">
        <v>841</v>
      </c>
      <c r="J1143" s="6" t="s">
        <v>345</v>
      </c>
      <c r="K1143" s="10">
        <v>1.19</v>
      </c>
      <c r="L1143" s="10">
        <v>17</v>
      </c>
      <c r="M1143" s="6" t="s">
        <v>413</v>
      </c>
    </row>
    <row r="1144" spans="1:13">
      <c r="A1144" s="6">
        <v>2023</v>
      </c>
      <c r="B1144" s="6">
        <v>4</v>
      </c>
      <c r="C1144" s="6" t="s">
        <v>62</v>
      </c>
      <c r="D1144" s="6" t="s">
        <v>48</v>
      </c>
      <c r="E1144" s="6" t="s">
        <v>388</v>
      </c>
      <c r="F1144" s="6" t="str">
        <f>IF($M1144="PADD I","PADD 1",IF($M1144="PADD II","PADD 2",IF($M1144="PADD III","PADD 3",IF($M1144="PADD IV","PADD 4",IF($M1144="PADD V","PADD 5","")))))</f>
        <v>PADD 2</v>
      </c>
      <c r="G1144" s="6">
        <f>IF(AND($H1144="ATMOS DISTILLATION",ISNUMBER(SEARCH("VPS",$I1144))=FALSE,LEFT($I1144,6)&lt;&gt;"VACUUM"),"CDU",IF($H1144="FLUID CAT CRACKING","FCC",IF(OR($H1144="HYDROCRACKING",$H1144="RESID_HYDROCRACKING"),"Hydrocracker",IF($H1144="REFORMING","Reformer",""))))</f>
        <v/>
      </c>
      <c r="H1144" s="6" t="s">
        <v>568</v>
      </c>
      <c r="I1144" s="6" t="s">
        <v>765</v>
      </c>
      <c r="J1144" s="6" t="s">
        <v>345</v>
      </c>
      <c r="K1144" s="10">
        <v>0.98</v>
      </c>
      <c r="L1144" s="10">
        <v>14</v>
      </c>
      <c r="M1144" s="6" t="s">
        <v>375</v>
      </c>
    </row>
    <row r="1145" spans="1:13">
      <c r="A1145" s="6">
        <v>2023</v>
      </c>
      <c r="B1145" s="6">
        <v>4</v>
      </c>
      <c r="C1145" s="6" t="s">
        <v>62</v>
      </c>
      <c r="D1145" s="6" t="s">
        <v>815</v>
      </c>
      <c r="E1145" s="6" t="s">
        <v>452</v>
      </c>
      <c r="F1145" s="6" t="str">
        <f>IF($M1145="PADD I","PADD 1",IF($M1145="PADD II","PADD 2",IF($M1145="PADD III","PADD 3",IF($M1145="PADD IV","PADD 4",IF($M1145="PADD V","PADD 5","")))))</f>
        <v>PADD 4</v>
      </c>
      <c r="G1145" s="6" t="str">
        <f>IF(AND($H1145="ATMOS DISTILLATION",ISNUMBER(SEARCH("VPS",$I1145))=FALSE,LEFT($I1145,6)&lt;&gt;"VACUUM"),"CDU",IF($H1145="FLUID CAT CRACKING","FCC",IF(OR($H1145="HYDROCRACKING",$H1145="RESID_HYDROCRACKING"),"Hydrocracker",IF($H1145="REFORMING","Reformer",""))))</f>
        <v>Hydrocracker</v>
      </c>
      <c r="H1145" s="6" t="s">
        <v>444</v>
      </c>
      <c r="I1145" s="6" t="s">
        <v>842</v>
      </c>
      <c r="J1145" s="6" t="s">
        <v>349</v>
      </c>
      <c r="K1145" s="10">
        <v>0.975</v>
      </c>
      <c r="L1145" s="10">
        <v>7.5</v>
      </c>
      <c r="M1145" s="6" t="s">
        <v>430</v>
      </c>
    </row>
    <row r="1146" spans="1:13">
      <c r="A1146" s="6">
        <v>2023</v>
      </c>
      <c r="B1146" s="6">
        <v>4</v>
      </c>
      <c r="C1146" s="6" t="s">
        <v>62</v>
      </c>
      <c r="D1146" s="6" t="s">
        <v>518</v>
      </c>
      <c r="E1146" s="6" t="s">
        <v>369</v>
      </c>
      <c r="F1146" s="6" t="str">
        <f>IF($M1146="PADD I","PADD 1",IF($M1146="PADD II","PADD 2",IF($M1146="PADD III","PADD 3",IF($M1146="PADD IV","PADD 4",IF($M1146="PADD V","PADD 5","")))))</f>
        <v>PADD 5</v>
      </c>
      <c r="G1146" s="6">
        <f>IF(AND($H1146="ATMOS DISTILLATION",ISNUMBER(SEARCH("VPS",$I1146))=FALSE,LEFT($I1146,6)&lt;&gt;"VACUUM"),"CDU",IF($H1146="FLUID CAT CRACKING","FCC",IF(OR($H1146="HYDROCRACKING",$H1146="RESID_HYDROCRACKING"),"Hydrocracker",IF($H1146="REFORMING","Reformer",""))))</f>
        <v/>
      </c>
      <c r="H1146" s="6" t="s">
        <v>378</v>
      </c>
      <c r="I1146" s="6" t="s">
        <v>431</v>
      </c>
      <c r="J1146" s="6" t="s">
        <v>345</v>
      </c>
      <c r="K1146" s="10">
        <v>0.9</v>
      </c>
      <c r="L1146" s="10">
        <v>30</v>
      </c>
      <c r="M1146" s="6" t="s">
        <v>386</v>
      </c>
    </row>
    <row r="1147" spans="1:13">
      <c r="A1147" s="6">
        <v>2023</v>
      </c>
      <c r="B1147" s="6">
        <v>4</v>
      </c>
      <c r="C1147" s="6" t="s">
        <v>62</v>
      </c>
      <c r="D1147" s="6" t="s">
        <v>612</v>
      </c>
      <c r="E1147" s="6" t="s">
        <v>416</v>
      </c>
      <c r="F1147" s="6" t="str">
        <f>IF($M1147="PADD I","PADD 1",IF($M1147="PADD II","PADD 2",IF($M1147="PADD III","PADD 3",IF($M1147="PADD IV","PADD 4",IF($M1147="PADD V","PADD 5","")))))</f>
        <v>PADD 3</v>
      </c>
      <c r="G1147" s="6" t="str">
        <f>IF(AND($H1147="ATMOS DISTILLATION",ISNUMBER(SEARCH("VPS",$I1147))=FALSE,LEFT($I1147,6)&lt;&gt;"VACUUM"),"CDU",IF($H1147="FLUID CAT CRACKING","FCC",IF(OR($H1147="HYDROCRACKING",$H1147="RESID_HYDROCRACKING"),"Hydrocracker",IF($H1147="REFORMING","Reformer",""))))</f>
        <v>Reformer</v>
      </c>
      <c r="H1147" s="6" t="s">
        <v>421</v>
      </c>
      <c r="I1147" s="6" t="s">
        <v>755</v>
      </c>
      <c r="J1147" s="6" t="s">
        <v>345</v>
      </c>
      <c r="K1147" s="10">
        <v>0.9</v>
      </c>
      <c r="L1147" s="10">
        <v>30</v>
      </c>
      <c r="M1147" s="6" t="s">
        <v>371</v>
      </c>
    </row>
    <row r="1148" spans="1:13">
      <c r="A1148" s="6">
        <v>2023</v>
      </c>
      <c r="B1148" s="6">
        <v>4</v>
      </c>
      <c r="C1148" s="6" t="s">
        <v>62</v>
      </c>
      <c r="D1148" s="6" t="s">
        <v>646</v>
      </c>
      <c r="E1148" s="6" t="s">
        <v>405</v>
      </c>
      <c r="F1148" s="6" t="str">
        <f>IF($M1148="PADD I","PADD 1",IF($M1148="PADD II","PADD 2",IF($M1148="PADD III","PADD 3",IF($M1148="PADD IV","PADD 4",IF($M1148="PADD V","PADD 5","")))))</f>
        <v>PADD 3</v>
      </c>
      <c r="G1148" s="6">
        <f>IF(AND($H1148="ATMOS DISTILLATION",ISNUMBER(SEARCH("VPS",$I1148))=FALSE,LEFT($I1148,6)&lt;&gt;"VACUUM"),"CDU",IF($H1148="FLUID CAT CRACKING","FCC",IF(OR($H1148="HYDROCRACKING",$H1148="RESID_HYDROCRACKING"),"Hydrocracker",IF($H1148="REFORMING","Reformer",""))))</f>
        <v/>
      </c>
      <c r="H1148" s="6" t="s">
        <v>43</v>
      </c>
      <c r="I1148" s="6" t="s">
        <v>843</v>
      </c>
      <c r="J1148" s="6" t="s">
        <v>345</v>
      </c>
      <c r="K1148" s="10">
        <v>0.9</v>
      </c>
      <c r="L1148" s="10">
        <v>30</v>
      </c>
      <c r="M1148" s="6" t="s">
        <v>371</v>
      </c>
    </row>
    <row r="1149" spans="1:13">
      <c r="A1149" s="6">
        <v>2023</v>
      </c>
      <c r="B1149" s="6">
        <v>4</v>
      </c>
      <c r="C1149" s="6" t="s">
        <v>62</v>
      </c>
      <c r="D1149" s="6" t="s">
        <v>662</v>
      </c>
      <c r="E1149" s="6" t="s">
        <v>552</v>
      </c>
      <c r="F1149" s="6" t="str">
        <f>IF($M1149="PADD I","PADD 1",IF($M1149="PADD II","PADD 2",IF($M1149="PADD III","PADD 3",IF($M1149="PADD IV","PADD 4",IF($M1149="PADD V","PADD 5","")))))</f>
        <v>PADD 3</v>
      </c>
      <c r="G1149" s="6">
        <f>IF(AND($H1149="ATMOS DISTILLATION",ISNUMBER(SEARCH("VPS",$I1149))=FALSE,LEFT($I1149,6)&lt;&gt;"VACUUM"),"CDU",IF($H1149="FLUID CAT CRACKING","FCC",IF(OR($H1149="HYDROCRACKING",$H1149="RESID_HYDROCRACKING"),"Hydrocracker",IF($H1149="REFORMING","Reformer",""))))</f>
        <v/>
      </c>
      <c r="H1149" s="6" t="s">
        <v>43</v>
      </c>
      <c r="I1149" s="6" t="s">
        <v>844</v>
      </c>
      <c r="J1149" s="6" t="s">
        <v>349</v>
      </c>
      <c r="K1149" s="10">
        <v>0.85</v>
      </c>
      <c r="L1149" s="10">
        <v>5</v>
      </c>
      <c r="M1149" s="6" t="s">
        <v>371</v>
      </c>
    </row>
    <row r="1150" spans="1:13">
      <c r="A1150" s="6">
        <v>2023</v>
      </c>
      <c r="B1150" s="6">
        <v>4</v>
      </c>
      <c r="C1150" s="6" t="s">
        <v>62</v>
      </c>
      <c r="D1150" s="6" t="s">
        <v>48</v>
      </c>
      <c r="E1150" s="6" t="s">
        <v>388</v>
      </c>
      <c r="F1150" s="6" t="str">
        <f>IF($M1150="PADD I","PADD 1",IF($M1150="PADD II","PADD 2",IF($M1150="PADD III","PADD 3",IF($M1150="PADD IV","PADD 4",IF($M1150="PADD V","PADD 5","")))))</f>
        <v>PADD 2</v>
      </c>
      <c r="G1150" s="6" t="str">
        <f>IF(AND($H1150="ATMOS DISTILLATION",ISNUMBER(SEARCH("VPS",$I1150))=FALSE,LEFT($I1150,6)&lt;&gt;"VACUUM"),"CDU",IF($H1150="FLUID CAT CRACKING","FCC",IF(OR($H1150="HYDROCRACKING",$H1150="RESID_HYDROCRACKING"),"Hydrocracker",IF($H1150="REFORMING","Reformer",""))))</f>
        <v>Hydrocracker</v>
      </c>
      <c r="H1150" s="6" t="s">
        <v>444</v>
      </c>
      <c r="I1150" s="6" t="s">
        <v>758</v>
      </c>
      <c r="J1150" s="6" t="s">
        <v>345</v>
      </c>
      <c r="K1150" s="10">
        <v>0.84</v>
      </c>
      <c r="L1150" s="10">
        <v>28</v>
      </c>
      <c r="M1150" s="6" t="s">
        <v>375</v>
      </c>
    </row>
    <row r="1151" spans="1:13">
      <c r="A1151" s="6">
        <v>2023</v>
      </c>
      <c r="B1151" s="6">
        <v>4</v>
      </c>
      <c r="C1151" s="6" t="s">
        <v>62</v>
      </c>
      <c r="D1151" s="6" t="s">
        <v>518</v>
      </c>
      <c r="E1151" s="6" t="s">
        <v>369</v>
      </c>
      <c r="F1151" s="6" t="str">
        <f>IF($M1151="PADD I","PADD 1",IF($M1151="PADD II","PADD 2",IF($M1151="PADD III","PADD 3",IF($M1151="PADD IV","PADD 4",IF($M1151="PADD V","PADD 5","")))))</f>
        <v>PADD 5</v>
      </c>
      <c r="G1151" s="6">
        <f>IF(AND($H1151="ATMOS DISTILLATION",ISNUMBER(SEARCH("VPS",$I1151))=FALSE,LEFT($I1151,6)&lt;&gt;"VACUUM"),"CDU",IF($H1151="FLUID CAT CRACKING","FCC",IF(OR($H1151="HYDROCRACKING",$H1151="RESID_HYDROCRACKING"),"Hydrocracker",IF($H1151="REFORMING","Reformer",""))))</f>
        <v/>
      </c>
      <c r="H1151" s="6" t="s">
        <v>43</v>
      </c>
      <c r="I1151" s="6" t="s">
        <v>570</v>
      </c>
      <c r="J1151" s="6" t="s">
        <v>345</v>
      </c>
      <c r="K1151" s="10">
        <v>0.84</v>
      </c>
      <c r="L1151" s="10">
        <v>28</v>
      </c>
      <c r="M1151" s="6" t="s">
        <v>386</v>
      </c>
    </row>
    <row r="1152" spans="1:13">
      <c r="A1152" s="6">
        <v>2023</v>
      </c>
      <c r="B1152" s="6">
        <v>4</v>
      </c>
      <c r="C1152" s="6" t="s">
        <v>62</v>
      </c>
      <c r="D1152" s="6" t="s">
        <v>48</v>
      </c>
      <c r="E1152" s="6" t="s">
        <v>388</v>
      </c>
      <c r="F1152" s="6" t="str">
        <f>IF($M1152="PADD I","PADD 1",IF($M1152="PADD II","PADD 2",IF($M1152="PADD III","PADD 3",IF($M1152="PADD IV","PADD 4",IF($M1152="PADD V","PADD 5","")))))</f>
        <v>PADD 2</v>
      </c>
      <c r="G1152" s="6">
        <f>IF(AND($H1152="ATMOS DISTILLATION",ISNUMBER(SEARCH("VPS",$I1152))=FALSE,LEFT($I1152,6)&lt;&gt;"VACUUM"),"CDU",IF($H1152="FLUID CAT CRACKING","FCC",IF(OR($H1152="HYDROCRACKING",$H1152="RESID_HYDROCRACKING"),"Hydrocracker",IF($H1152="REFORMING","Reformer",""))))</f>
        <v/>
      </c>
      <c r="H1152" s="6" t="s">
        <v>43</v>
      </c>
      <c r="I1152" s="6" t="s">
        <v>761</v>
      </c>
      <c r="J1152" s="6" t="s">
        <v>345</v>
      </c>
      <c r="K1152" s="10">
        <v>0.72</v>
      </c>
      <c r="L1152" s="10">
        <v>24</v>
      </c>
      <c r="M1152" s="6" t="s">
        <v>375</v>
      </c>
    </row>
    <row r="1153" spans="1:13">
      <c r="A1153" s="6">
        <v>2023</v>
      </c>
      <c r="B1153" s="6">
        <v>4</v>
      </c>
      <c r="C1153" s="6" t="s">
        <v>62</v>
      </c>
      <c r="D1153" s="6" t="s">
        <v>762</v>
      </c>
      <c r="E1153" s="6" t="s">
        <v>763</v>
      </c>
      <c r="F1153" s="6" t="str">
        <f>IF($M1153="PADD I","PADD 1",IF($M1153="PADD II","PADD 2",IF($M1153="PADD III","PADD 3",IF($M1153="PADD IV","PADD 4",IF($M1153="PADD V","PADD 5","")))))</f>
        <v>PADD 2</v>
      </c>
      <c r="G1153" s="6" t="str">
        <f>IF(AND($H1153="ATMOS DISTILLATION",ISNUMBER(SEARCH("VPS",$I1153))=FALSE,LEFT($I1153,6)&lt;&gt;"VACUUM"),"CDU",IF($H1153="FLUID CAT CRACKING","FCC",IF(OR($H1153="HYDROCRACKING",$H1153="RESID_HYDROCRACKING"),"Hydrocracker",IF($H1153="REFORMING","Reformer",""))))</f>
        <v>FCC</v>
      </c>
      <c r="H1153" s="6" t="s">
        <v>376</v>
      </c>
      <c r="I1153" s="6" t="s">
        <v>105</v>
      </c>
      <c r="J1153" s="6" t="s">
        <v>345</v>
      </c>
      <c r="K1153" s="10">
        <v>0.615</v>
      </c>
      <c r="L1153" s="10">
        <v>20.5</v>
      </c>
      <c r="M1153" s="6" t="s">
        <v>375</v>
      </c>
    </row>
    <row r="1154" spans="1:13">
      <c r="A1154" s="6">
        <v>2023</v>
      </c>
      <c r="B1154" s="6">
        <v>4</v>
      </c>
      <c r="C1154" s="6" t="s">
        <v>62</v>
      </c>
      <c r="D1154" s="6" t="s">
        <v>518</v>
      </c>
      <c r="E1154" s="6" t="s">
        <v>369</v>
      </c>
      <c r="F1154" s="6" t="str">
        <f>IF($M1154="PADD I","PADD 1",IF($M1154="PADD II","PADD 2",IF($M1154="PADD III","PADD 3",IF($M1154="PADD IV","PADD 4",IF($M1154="PADD V","PADD 5","")))))</f>
        <v>PADD 5</v>
      </c>
      <c r="G1154" s="6">
        <f>IF(AND($H1154="ATMOS DISTILLATION",ISNUMBER(SEARCH("VPS",$I1154))=FALSE,LEFT($I1154,6)&lt;&gt;"VACUUM"),"CDU",IF($H1154="FLUID CAT CRACKING","FCC",IF(OR($H1154="HYDROCRACKING",$H1154="RESID_HYDROCRACKING"),"Hydrocracker",IF($H1154="REFORMING","Reformer",""))))</f>
        <v/>
      </c>
      <c r="H1154" s="6" t="s">
        <v>43</v>
      </c>
      <c r="I1154" s="6" t="s">
        <v>587</v>
      </c>
      <c r="J1154" s="6" t="s">
        <v>345</v>
      </c>
      <c r="K1154" s="10">
        <v>0.6</v>
      </c>
      <c r="L1154" s="10">
        <v>20</v>
      </c>
      <c r="M1154" s="6" t="s">
        <v>386</v>
      </c>
    </row>
    <row r="1155" spans="1:13">
      <c r="A1155" s="6">
        <v>2023</v>
      </c>
      <c r="B1155" s="6">
        <v>4</v>
      </c>
      <c r="C1155" s="6" t="s">
        <v>62</v>
      </c>
      <c r="D1155" s="6" t="s">
        <v>612</v>
      </c>
      <c r="E1155" s="6" t="s">
        <v>416</v>
      </c>
      <c r="F1155" s="6" t="str">
        <f>IF($M1155="PADD I","PADD 1",IF($M1155="PADD II","PADD 2",IF($M1155="PADD III","PADD 3",IF($M1155="PADD IV","PADD 4",IF($M1155="PADD V","PADD 5","")))))</f>
        <v>PADD 3</v>
      </c>
      <c r="G1155" s="6" t="str">
        <f>IF(AND($H1155="ATMOS DISTILLATION",ISNUMBER(SEARCH("VPS",$I1155))=FALSE,LEFT($I1155,6)&lt;&gt;"VACUUM"),"CDU",IF($H1155="FLUID CAT CRACKING","FCC",IF(OR($H1155="HYDROCRACKING",$H1155="RESID_HYDROCRACKING"),"Hydrocracker",IF($H1155="REFORMING","Reformer",""))))</f>
        <v>Reformer</v>
      </c>
      <c r="H1155" s="6" t="s">
        <v>421</v>
      </c>
      <c r="I1155" s="6" t="s">
        <v>755</v>
      </c>
      <c r="J1155" s="6" t="s">
        <v>345</v>
      </c>
      <c r="K1155" s="10">
        <v>0.6</v>
      </c>
      <c r="L1155" s="10">
        <v>20</v>
      </c>
      <c r="M1155" s="6" t="s">
        <v>371</v>
      </c>
    </row>
    <row r="1156" spans="1:13">
      <c r="A1156" s="6">
        <v>2023</v>
      </c>
      <c r="B1156" s="6">
        <v>4</v>
      </c>
      <c r="C1156" s="6" t="s">
        <v>62</v>
      </c>
      <c r="D1156" s="6" t="s">
        <v>815</v>
      </c>
      <c r="E1156" s="6" t="s">
        <v>452</v>
      </c>
      <c r="F1156" s="6" t="str">
        <f>IF($M1156="PADD I","PADD 1",IF($M1156="PADD II","PADD 2",IF($M1156="PADD III","PADD 3",IF($M1156="PADD IV","PADD 4",IF($M1156="PADD V","PADD 5","")))))</f>
        <v>PADD 4</v>
      </c>
      <c r="G1156" s="6">
        <f>IF(AND($H1156="ATMOS DISTILLATION",ISNUMBER(SEARCH("VPS",$I1156))=FALSE,LEFT($I1156,6)&lt;&gt;"VACUUM"),"CDU",IF($H1156="FLUID CAT CRACKING","FCC",IF(OR($H1156="HYDROCRACKING",$H1156="RESID_HYDROCRACKING"),"Hydrocracker",IF($H1156="REFORMING","Reformer",""))))</f>
        <v/>
      </c>
      <c r="H1156" s="6" t="s">
        <v>460</v>
      </c>
      <c r="I1156" s="6" t="s">
        <v>461</v>
      </c>
      <c r="J1156" s="6" t="s">
        <v>349</v>
      </c>
      <c r="K1156" s="10">
        <v>0.585</v>
      </c>
      <c r="L1156" s="10">
        <v>4.5</v>
      </c>
      <c r="M1156" s="6" t="s">
        <v>430</v>
      </c>
    </row>
    <row r="1157" spans="1:13">
      <c r="A1157" s="6">
        <v>2023</v>
      </c>
      <c r="B1157" s="6">
        <v>4</v>
      </c>
      <c r="C1157" s="6" t="s">
        <v>62</v>
      </c>
      <c r="D1157" s="6" t="s">
        <v>518</v>
      </c>
      <c r="E1157" s="6" t="s">
        <v>369</v>
      </c>
      <c r="F1157" s="6" t="str">
        <f>IF($M1157="PADD I","PADD 1",IF($M1157="PADD II","PADD 2",IF($M1157="PADD III","PADD 3",IF($M1157="PADD IV","PADD 4",IF($M1157="PADD V","PADD 5","")))))</f>
        <v>PADD 5</v>
      </c>
      <c r="G1157" s="6" t="str">
        <f>IF(AND($H1157="ATMOS DISTILLATION",ISNUMBER(SEARCH("VPS",$I1157))=FALSE,LEFT($I1157,6)&lt;&gt;"VACUUM"),"CDU",IF($H1157="FLUID CAT CRACKING","FCC",IF(OR($H1157="HYDROCRACKING",$H1157="RESID_HYDROCRACKING"),"Hydrocracker",IF($H1157="REFORMING","Reformer",""))))</f>
        <v>Reformer</v>
      </c>
      <c r="H1157" s="6" t="s">
        <v>421</v>
      </c>
      <c r="I1157" s="6" t="s">
        <v>845</v>
      </c>
      <c r="J1157" s="6" t="s">
        <v>345</v>
      </c>
      <c r="K1157" s="10">
        <v>0.555</v>
      </c>
      <c r="L1157" s="10">
        <v>18.5</v>
      </c>
      <c r="M1157" s="6" t="s">
        <v>386</v>
      </c>
    </row>
    <row r="1158" spans="1:13">
      <c r="A1158" s="6">
        <v>2023</v>
      </c>
      <c r="B1158" s="6">
        <v>4</v>
      </c>
      <c r="C1158" s="6" t="s">
        <v>62</v>
      </c>
      <c r="D1158" s="6" t="s">
        <v>518</v>
      </c>
      <c r="E1158" s="6" t="s">
        <v>369</v>
      </c>
      <c r="F1158" s="6" t="str">
        <f>IF($M1158="PADD I","PADD 1",IF($M1158="PADD II","PADD 2",IF($M1158="PADD III","PADD 3",IF($M1158="PADD IV","PADD 4",IF($M1158="PADD V","PADD 5","")))))</f>
        <v>PADD 5</v>
      </c>
      <c r="G1158" s="6" t="str">
        <f>IF(AND($H1158="ATMOS DISTILLATION",ISNUMBER(SEARCH("VPS",$I1158))=FALSE,LEFT($I1158,6)&lt;&gt;"VACUUM"),"CDU",IF($H1158="FLUID CAT CRACKING","FCC",IF(OR($H1158="HYDROCRACKING",$H1158="RESID_HYDROCRACKING"),"Hydrocracker",IF($H1158="REFORMING","Reformer",""))))</f>
        <v>Reformer</v>
      </c>
      <c r="H1158" s="6" t="s">
        <v>421</v>
      </c>
      <c r="I1158" s="6" t="s">
        <v>591</v>
      </c>
      <c r="J1158" s="6" t="s">
        <v>345</v>
      </c>
      <c r="K1158" s="10">
        <v>0.54</v>
      </c>
      <c r="L1158" s="10">
        <v>18</v>
      </c>
      <c r="M1158" s="6" t="s">
        <v>386</v>
      </c>
    </row>
    <row r="1159" spans="1:13">
      <c r="A1159" s="6">
        <v>2023</v>
      </c>
      <c r="B1159" s="6">
        <v>4</v>
      </c>
      <c r="C1159" s="6" t="s">
        <v>62</v>
      </c>
      <c r="D1159" s="6" t="s">
        <v>48</v>
      </c>
      <c r="E1159" s="6" t="s">
        <v>388</v>
      </c>
      <c r="F1159" s="6" t="str">
        <f>IF($M1159="PADD I","PADD 1",IF($M1159="PADD II","PADD 2",IF($M1159="PADD III","PADD 3",IF($M1159="PADD IV","PADD 4",IF($M1159="PADD V","PADD 5","")))))</f>
        <v>PADD 2</v>
      </c>
      <c r="G1159" s="6">
        <f>IF(AND($H1159="ATMOS DISTILLATION",ISNUMBER(SEARCH("VPS",$I1159))=FALSE,LEFT($I1159,6)&lt;&gt;"VACUUM"),"CDU",IF($H1159="FLUID CAT CRACKING","FCC",IF(OR($H1159="HYDROCRACKING",$H1159="RESID_HYDROCRACKING"),"Hydrocracker",IF($H1159="REFORMING","Reformer",""))))</f>
        <v/>
      </c>
      <c r="H1159" s="6" t="s">
        <v>637</v>
      </c>
      <c r="I1159" s="6" t="s">
        <v>604</v>
      </c>
      <c r="J1159" s="6" t="s">
        <v>345</v>
      </c>
      <c r="K1159" s="10">
        <v>0.48</v>
      </c>
      <c r="L1159" s="10">
        <v>16</v>
      </c>
      <c r="M1159" s="6" t="s">
        <v>375</v>
      </c>
    </row>
    <row r="1160" spans="1:13">
      <c r="A1160" s="6">
        <v>2023</v>
      </c>
      <c r="B1160" s="6">
        <v>4</v>
      </c>
      <c r="C1160" s="6" t="s">
        <v>62</v>
      </c>
      <c r="D1160" s="6" t="s">
        <v>762</v>
      </c>
      <c r="E1160" s="6" t="s">
        <v>763</v>
      </c>
      <c r="F1160" s="6" t="str">
        <f>IF($M1160="PADD I","PADD 1",IF($M1160="PADD II","PADD 2",IF($M1160="PADD III","PADD 3",IF($M1160="PADD IV","PADD 4",IF($M1160="PADD V","PADD 5","")))))</f>
        <v>PADD 2</v>
      </c>
      <c r="G1160" s="6">
        <f>IF(AND($H1160="ATMOS DISTILLATION",ISNUMBER(SEARCH("VPS",$I1160))=FALSE,LEFT($I1160,6)&lt;&gt;"VACUUM"),"CDU",IF($H1160="FLUID CAT CRACKING","FCC",IF(OR($H1160="HYDROCRACKING",$H1160="RESID_HYDROCRACKING"),"Hydrocracker",IF($H1160="REFORMING","Reformer",""))))</f>
        <v/>
      </c>
      <c r="H1160" s="6" t="s">
        <v>43</v>
      </c>
      <c r="I1160" s="6" t="s">
        <v>458</v>
      </c>
      <c r="J1160" s="6" t="s">
        <v>345</v>
      </c>
      <c r="K1160" s="10">
        <v>0.39</v>
      </c>
      <c r="L1160" s="10">
        <v>13</v>
      </c>
      <c r="M1160" s="6" t="s">
        <v>375</v>
      </c>
    </row>
    <row r="1161" spans="1:13">
      <c r="A1161" s="6">
        <v>2023</v>
      </c>
      <c r="B1161" s="6">
        <v>4</v>
      </c>
      <c r="C1161" s="6" t="s">
        <v>62</v>
      </c>
      <c r="D1161" s="6" t="s">
        <v>48</v>
      </c>
      <c r="E1161" s="6" t="s">
        <v>388</v>
      </c>
      <c r="F1161" s="6" t="str">
        <f>IF($M1161="PADD I","PADD 1",IF($M1161="PADD II","PADD 2",IF($M1161="PADD III","PADD 3",IF($M1161="PADD IV","PADD 4",IF($M1161="PADD V","PADD 5","")))))</f>
        <v>PADD 2</v>
      </c>
      <c r="G1161" s="6">
        <f>IF(AND($H1161="ATMOS DISTILLATION",ISNUMBER(SEARCH("VPS",$I1161))=FALSE,LEFT($I1161,6)&lt;&gt;"VACUUM"),"CDU",IF($H1161="FLUID CAT CRACKING","FCC",IF(OR($H1161="HYDROCRACKING",$H1161="RESID_HYDROCRACKING"),"Hydrocracker",IF($H1161="REFORMING","Reformer",""))))</f>
        <v/>
      </c>
      <c r="H1161" s="6" t="s">
        <v>460</v>
      </c>
      <c r="I1161" s="6" t="s">
        <v>616</v>
      </c>
      <c r="J1161" s="6" t="s">
        <v>345</v>
      </c>
      <c r="K1161" s="10">
        <v>0.375</v>
      </c>
      <c r="L1161" s="10">
        <v>12.5</v>
      </c>
      <c r="M1161" s="6" t="s">
        <v>375</v>
      </c>
    </row>
    <row r="1162" spans="1:13">
      <c r="A1162" s="6">
        <v>2023</v>
      </c>
      <c r="B1162" s="6">
        <v>4</v>
      </c>
      <c r="C1162" s="6" t="s">
        <v>62</v>
      </c>
      <c r="D1162" s="6" t="s">
        <v>518</v>
      </c>
      <c r="E1162" s="6" t="s">
        <v>369</v>
      </c>
      <c r="F1162" s="6" t="str">
        <f>IF($M1162="PADD I","PADD 1",IF($M1162="PADD II","PADD 2",IF($M1162="PADD III","PADD 3",IF($M1162="PADD IV","PADD 4",IF($M1162="PADD V","PADD 5","")))))</f>
        <v>PADD 5</v>
      </c>
      <c r="G1162" s="6">
        <f>IF(AND($H1162="ATMOS DISTILLATION",ISNUMBER(SEARCH("VPS",$I1162))=FALSE,LEFT($I1162,6)&lt;&gt;"VACUUM"),"CDU",IF($H1162="FLUID CAT CRACKING","FCC",IF(OR($H1162="HYDROCRACKING",$H1162="RESID_HYDROCRACKING"),"Hydrocracker",IF($H1162="REFORMING","Reformer",""))))</f>
        <v/>
      </c>
      <c r="H1162" s="6" t="s">
        <v>568</v>
      </c>
      <c r="I1162" s="6" t="s">
        <v>617</v>
      </c>
      <c r="J1162" s="6" t="s">
        <v>345</v>
      </c>
      <c r="K1162" s="10">
        <v>0.195</v>
      </c>
      <c r="L1162" s="10">
        <v>6.5</v>
      </c>
      <c r="M1162" s="6" t="s">
        <v>386</v>
      </c>
    </row>
    <row r="1163" spans="1:13">
      <c r="A1163" s="6">
        <v>2023</v>
      </c>
      <c r="B1163" s="6">
        <v>4</v>
      </c>
      <c r="C1163" s="6" t="s">
        <v>62</v>
      </c>
      <c r="D1163" s="6" t="s">
        <v>636</v>
      </c>
      <c r="E1163" s="6" t="s">
        <v>369</v>
      </c>
      <c r="F1163" s="6" t="str">
        <f>IF($M1163="PADD I","PADD 1",IF($M1163="PADD II","PADD 2",IF($M1163="PADD III","PADD 3",IF($M1163="PADD IV","PADD 4",IF($M1163="PADD V","PADD 5","")))))</f>
        <v>PADD 5</v>
      </c>
      <c r="G1163" s="6">
        <f>IF(AND($H1163="ATMOS DISTILLATION",ISNUMBER(SEARCH("VPS",$I1163))=FALSE,LEFT($I1163,6)&lt;&gt;"VACUUM"),"CDU",IF($H1163="FLUID CAT CRACKING","FCC",IF(OR($H1163="HYDROCRACKING",$H1163="RESID_HYDROCRACKING"),"Hydrocracker",IF($H1163="REFORMING","Reformer",""))))</f>
        <v/>
      </c>
      <c r="H1163" s="6" t="s">
        <v>637</v>
      </c>
      <c r="I1163" s="6" t="s">
        <v>638</v>
      </c>
      <c r="J1163" s="6" t="s">
        <v>345</v>
      </c>
      <c r="K1163" s="10">
        <v>0.054</v>
      </c>
      <c r="L1163" s="10">
        <v>0.2</v>
      </c>
      <c r="M1163" s="6" t="s">
        <v>386</v>
      </c>
    </row>
    <row r="1164" spans="1:13">
      <c r="A1164" s="6">
        <v>2023</v>
      </c>
      <c r="B1164" s="6">
        <v>4</v>
      </c>
      <c r="C1164" s="6" t="s">
        <v>62</v>
      </c>
      <c r="D1164" s="6" t="s">
        <v>636</v>
      </c>
      <c r="E1164" s="6" t="s">
        <v>369</v>
      </c>
      <c r="F1164" s="6" t="str">
        <f>IF($M1164="PADD I","PADD 1",IF($M1164="PADD II","PADD 2",IF($M1164="PADD III","PADD 3",IF($M1164="PADD IV","PADD 4",IF($M1164="PADD V","PADD 5","")))))</f>
        <v>PADD 5</v>
      </c>
      <c r="G1164" s="6">
        <f>IF(AND($H1164="ATMOS DISTILLATION",ISNUMBER(SEARCH("VPS",$I1164))=FALSE,LEFT($I1164,6)&lt;&gt;"VACUUM"),"CDU",IF($H1164="FLUID CAT CRACKING","FCC",IF(OR($H1164="HYDROCRACKING",$H1164="RESID_HYDROCRACKING"),"Hydrocracker",IF($H1164="REFORMING","Reformer",""))))</f>
        <v/>
      </c>
      <c r="H1164" s="6" t="s">
        <v>637</v>
      </c>
      <c r="I1164" s="6" t="s">
        <v>638</v>
      </c>
      <c r="J1164" s="6" t="s">
        <v>345</v>
      </c>
      <c r="K1164" s="10">
        <v>0.006</v>
      </c>
      <c r="L1164" s="10">
        <v>0.2</v>
      </c>
      <c r="M1164" s="6" t="s">
        <v>386</v>
      </c>
    </row>
    <row r="1165" spans="1:13">
      <c r="A1165" s="6">
        <v>2023</v>
      </c>
      <c r="B1165" s="6">
        <v>5</v>
      </c>
      <c r="C1165" s="6" t="s">
        <v>63</v>
      </c>
      <c r="D1165" s="6" t="s">
        <v>368</v>
      </c>
      <c r="E1165" s="6" t="s">
        <v>369</v>
      </c>
      <c r="F1165" s="6" t="str">
        <f>IF($M1165="PADD I","PADD 1",IF($M1165="PADD II","PADD 2",IF($M1165="PADD III","PADD 3",IF($M1165="PADD IV","PADD 4",IF($M1165="PADD V","PADD 5","")))))</f>
        <v>PADD 3</v>
      </c>
      <c r="G1165" s="6" t="str">
        <f>IF(AND($H1165="ATMOS DISTILLATION",ISNUMBER(SEARCH("VPS",$I1165))=FALSE,LEFT($I1165,6)&lt;&gt;"VACUUM"),"CDU",IF($H1165="FLUID CAT CRACKING","FCC",IF(OR($H1165="HYDROCRACKING",$H1165="RESID_HYDROCRACKING"),"Hydrocracker",IF($H1165="REFORMING","Reformer",""))))</f>
        <v>CDU</v>
      </c>
      <c r="H1165" s="6" t="s">
        <v>38</v>
      </c>
      <c r="I1165" s="6" t="s">
        <v>370</v>
      </c>
      <c r="J1165" s="6" t="s">
        <v>349</v>
      </c>
      <c r="K1165" s="10">
        <v>261.0658</v>
      </c>
      <c r="L1165" s="10">
        <v>269.14</v>
      </c>
      <c r="M1165" s="6" t="s">
        <v>371</v>
      </c>
    </row>
    <row r="1166" spans="1:13">
      <c r="A1166" s="6">
        <v>2023</v>
      </c>
      <c r="B1166" s="6">
        <v>5</v>
      </c>
      <c r="C1166" s="6" t="s">
        <v>63</v>
      </c>
      <c r="D1166" s="6" t="s">
        <v>372</v>
      </c>
      <c r="E1166" s="6" t="s">
        <v>373</v>
      </c>
      <c r="F1166" s="6" t="str">
        <f>IF($M1166="PADD I","PADD 1",IF($M1166="PADD II","PADD 2",IF($M1166="PADD III","PADD 3",IF($M1166="PADD IV","PADD 4",IF($M1166="PADD V","PADD 5","")))))</f>
        <v>PADD 2</v>
      </c>
      <c r="G1166" s="6" t="str">
        <f>IF(AND($H1166="ATMOS DISTILLATION",ISNUMBER(SEARCH("VPS",$I1166))=FALSE,LEFT($I1166,6)&lt;&gt;"VACUUM"),"CDU",IF($H1166="FLUID CAT CRACKING","FCC",IF(OR($H1166="HYDROCRACKING",$H1166="RESID_HYDROCRACKING"),"Hydrocracker",IF($H1166="REFORMING","Reformer",""))))</f>
        <v>CDU</v>
      </c>
      <c r="H1166" s="6" t="s">
        <v>38</v>
      </c>
      <c r="I1166" s="6" t="s">
        <v>374</v>
      </c>
      <c r="J1166" s="6" t="s">
        <v>345</v>
      </c>
      <c r="K1166" s="10">
        <v>120</v>
      </c>
      <c r="L1166" s="10">
        <v>120</v>
      </c>
      <c r="M1166" s="6" t="s">
        <v>375</v>
      </c>
    </row>
    <row r="1167" spans="1:13">
      <c r="A1167" s="6">
        <v>2023</v>
      </c>
      <c r="B1167" s="6">
        <v>5</v>
      </c>
      <c r="C1167" s="6" t="s">
        <v>63</v>
      </c>
      <c r="D1167" s="6" t="s">
        <v>372</v>
      </c>
      <c r="E1167" s="6" t="s">
        <v>373</v>
      </c>
      <c r="F1167" s="6" t="str">
        <f>IF($M1167="PADD I","PADD 1",IF($M1167="PADD II","PADD 2",IF($M1167="PADD III","PADD 3",IF($M1167="PADD IV","PADD 4",IF($M1167="PADD V","PADD 5","")))))</f>
        <v>PADD 2</v>
      </c>
      <c r="G1167" s="6" t="str">
        <f>IF(AND($H1167="ATMOS DISTILLATION",ISNUMBER(SEARCH("VPS",$I1167))=FALSE,LEFT($I1167,6)&lt;&gt;"VACUUM"),"CDU",IF($H1167="FLUID CAT CRACKING","FCC",IF(OR($H1167="HYDROCRACKING",$H1167="RESID_HYDROCRACKING"),"Hydrocracker",IF($H1167="REFORMING","Reformer",""))))</f>
        <v>CDU</v>
      </c>
      <c r="H1167" s="6" t="s">
        <v>38</v>
      </c>
      <c r="I1167" s="6" t="s">
        <v>374</v>
      </c>
      <c r="J1167" s="6" t="s">
        <v>345</v>
      </c>
      <c r="K1167" s="10">
        <v>110</v>
      </c>
      <c r="L1167" s="10">
        <v>110</v>
      </c>
      <c r="M1167" s="6" t="s">
        <v>375</v>
      </c>
    </row>
    <row r="1168" spans="1:13">
      <c r="A1168" s="6">
        <v>2023</v>
      </c>
      <c r="B1168" s="6">
        <v>5</v>
      </c>
      <c r="C1168" s="6" t="s">
        <v>63</v>
      </c>
      <c r="D1168" s="6" t="s">
        <v>368</v>
      </c>
      <c r="E1168" s="6" t="s">
        <v>369</v>
      </c>
      <c r="F1168" s="6" t="str">
        <f>IF($M1168="PADD I","PADD 1",IF($M1168="PADD II","PADD 2",IF($M1168="PADD III","PADD 3",IF($M1168="PADD IV","PADD 4",IF($M1168="PADD V","PADD 5","")))))</f>
        <v>PADD 3</v>
      </c>
      <c r="G1168" s="6" t="str">
        <f>IF(AND($H1168="ATMOS DISTILLATION",ISNUMBER(SEARCH("VPS",$I1168))=FALSE,LEFT($I1168,6)&lt;&gt;"VACUUM"),"CDU",IF($H1168="FLUID CAT CRACKING","FCC",IF(OR($H1168="HYDROCRACKING",$H1168="RESID_HYDROCRACKING"),"Hydrocracker",IF($H1168="REFORMING","Reformer",""))))</f>
        <v>FCC</v>
      </c>
      <c r="H1168" s="6" t="s">
        <v>376</v>
      </c>
      <c r="I1168" s="6" t="s">
        <v>377</v>
      </c>
      <c r="J1168" s="6" t="s">
        <v>349</v>
      </c>
      <c r="K1168" s="10">
        <v>100.88</v>
      </c>
      <c r="L1168" s="10">
        <v>104</v>
      </c>
      <c r="M1168" s="6" t="s">
        <v>371</v>
      </c>
    </row>
    <row r="1169" spans="1:13">
      <c r="A1169" s="6">
        <v>2023</v>
      </c>
      <c r="B1169" s="6">
        <v>5</v>
      </c>
      <c r="C1169" s="6" t="s">
        <v>63</v>
      </c>
      <c r="D1169" s="6" t="s">
        <v>368</v>
      </c>
      <c r="E1169" s="6" t="s">
        <v>369</v>
      </c>
      <c r="F1169" s="6" t="str">
        <f>IF($M1169="PADD I","PADD 1",IF($M1169="PADD II","PADD 2",IF($M1169="PADD III","PADD 3",IF($M1169="PADD IV","PADD 4",IF($M1169="PADD V","PADD 5","")))))</f>
        <v>PADD 3</v>
      </c>
      <c r="G1169" s="6">
        <f>IF(AND($H1169="ATMOS DISTILLATION",ISNUMBER(SEARCH("VPS",$I1169))=FALSE,LEFT($I1169,6)&lt;&gt;"VACUUM"),"CDU",IF($H1169="FLUID CAT CRACKING","FCC",IF(OR($H1169="HYDROCRACKING",$H1169="RESID_HYDROCRACKING"),"Hydrocracker",IF($H1169="REFORMING","Reformer",""))))</f>
        <v/>
      </c>
      <c r="H1169" s="6" t="s">
        <v>378</v>
      </c>
      <c r="I1169" s="6" t="s">
        <v>379</v>
      </c>
      <c r="J1169" s="6" t="s">
        <v>349</v>
      </c>
      <c r="K1169" s="10">
        <v>99.91</v>
      </c>
      <c r="L1169" s="10">
        <v>103</v>
      </c>
      <c r="M1169" s="6" t="s">
        <v>371</v>
      </c>
    </row>
    <row r="1170" spans="1:13">
      <c r="A1170" s="6">
        <v>2023</v>
      </c>
      <c r="B1170" s="6">
        <v>5</v>
      </c>
      <c r="C1170" s="6" t="s">
        <v>63</v>
      </c>
      <c r="D1170" s="6" t="s">
        <v>739</v>
      </c>
      <c r="E1170" s="6" t="s">
        <v>405</v>
      </c>
      <c r="F1170" s="6" t="str">
        <f>IF($M1170="PADD I","PADD 1",IF($M1170="PADD II","PADD 2",IF($M1170="PADD III","PADD 3",IF($M1170="PADD IV","PADD 4",IF($M1170="PADD V","PADD 5","")))))</f>
        <v>PADD 2</v>
      </c>
      <c r="G1170" s="6" t="str">
        <f>IF(AND($H1170="ATMOS DISTILLATION",ISNUMBER(SEARCH("VPS",$I1170))=FALSE,LEFT($I1170,6)&lt;&gt;"VACUUM"),"CDU",IF($H1170="FLUID CAT CRACKING","FCC",IF(OR($H1170="HYDROCRACKING",$H1170="RESID_HYDROCRACKING"),"Hydrocracker",IF($H1170="REFORMING","Reformer",""))))</f>
        <v>CDU</v>
      </c>
      <c r="H1170" s="6" t="s">
        <v>38</v>
      </c>
      <c r="I1170" s="6" t="s">
        <v>133</v>
      </c>
      <c r="J1170" s="6" t="s">
        <v>349</v>
      </c>
      <c r="K1170" s="10">
        <v>76.86</v>
      </c>
      <c r="L1170" s="10">
        <v>91.5</v>
      </c>
      <c r="M1170" s="6" t="s">
        <v>375</v>
      </c>
    </row>
    <row r="1171" spans="1:13">
      <c r="A1171" s="6">
        <v>2023</v>
      </c>
      <c r="B1171" s="6">
        <v>5</v>
      </c>
      <c r="C1171" s="6" t="s">
        <v>63</v>
      </c>
      <c r="D1171" s="6" t="s">
        <v>53</v>
      </c>
      <c r="E1171" s="6" t="s">
        <v>543</v>
      </c>
      <c r="F1171" s="6" t="str">
        <f>IF($M1171="PADD I","PADD 1",IF($M1171="PADD II","PADD 2",IF($M1171="PADD III","PADD 3",IF($M1171="PADD IV","PADD 4",IF($M1171="PADD V","PADD 5","")))))</f>
        <v>PADD 5</v>
      </c>
      <c r="G1171" s="6">
        <f>IF(AND($H1171="ATMOS DISTILLATION",ISNUMBER(SEARCH("VPS",$I1171))=FALSE,LEFT($I1171,6)&lt;&gt;"VACUUM"),"CDU",IF($H1171="FLUID CAT CRACKING","FCC",IF(OR($H1171="HYDROCRACKING",$H1171="RESID_HYDROCRACKING"),"Hydrocracker",IF($H1171="REFORMING","Reformer",""))))</f>
        <v/>
      </c>
      <c r="H1171" s="6" t="s">
        <v>378</v>
      </c>
      <c r="I1171" s="6" t="s">
        <v>431</v>
      </c>
      <c r="J1171" s="6" t="s">
        <v>345</v>
      </c>
      <c r="K1171" s="10">
        <v>69.3</v>
      </c>
      <c r="L1171" s="10">
        <v>90</v>
      </c>
      <c r="M1171" s="6" t="s">
        <v>386</v>
      </c>
    </row>
    <row r="1172" spans="1:13">
      <c r="A1172" s="6">
        <v>2023</v>
      </c>
      <c r="B1172" s="6">
        <v>5</v>
      </c>
      <c r="C1172" s="6" t="s">
        <v>63</v>
      </c>
      <c r="D1172" s="6" t="s">
        <v>368</v>
      </c>
      <c r="E1172" s="6" t="s">
        <v>369</v>
      </c>
      <c r="F1172" s="6" t="str">
        <f>IF($M1172="PADD I","PADD 1",IF($M1172="PADD II","PADD 2",IF($M1172="PADD III","PADD 3",IF($M1172="PADD IV","PADD 4",IF($M1172="PADD V","PADD 5","")))))</f>
        <v>PADD 3</v>
      </c>
      <c r="G1172" s="6">
        <f>IF(AND($H1172="ATMOS DISTILLATION",ISNUMBER(SEARCH("VPS",$I1172))=FALSE,LEFT($I1172,6)&lt;&gt;"VACUUM"),"CDU",IF($H1172="FLUID CAT CRACKING","FCC",IF(OR($H1172="HYDROCRACKING",$H1172="RESID_HYDROCRACKING"),"Hydrocracker",IF($H1172="REFORMING","Reformer",""))))</f>
        <v/>
      </c>
      <c r="H1172" s="6" t="s">
        <v>43</v>
      </c>
      <c r="I1172" s="6" t="s">
        <v>393</v>
      </c>
      <c r="J1172" s="6" t="s">
        <v>349</v>
      </c>
      <c r="K1172" s="10">
        <v>63.438</v>
      </c>
      <c r="L1172" s="10">
        <v>65.40000000000001</v>
      </c>
      <c r="M1172" s="6" t="s">
        <v>371</v>
      </c>
    </row>
    <row r="1173" spans="1:13">
      <c r="A1173" s="6">
        <v>2023</v>
      </c>
      <c r="B1173" s="6">
        <v>5</v>
      </c>
      <c r="C1173" s="6" t="s">
        <v>63</v>
      </c>
      <c r="D1173" s="6" t="s">
        <v>770</v>
      </c>
      <c r="E1173" s="6" t="s">
        <v>660</v>
      </c>
      <c r="F1173" s="6" t="str">
        <f>IF($M1173="PADD I","PADD 1",IF($M1173="PADD II","PADD 2",IF($M1173="PADD III","PADD 3",IF($M1173="PADD IV","PADD 4",IF($M1173="PADD V","PADD 5","")))))</f>
        <v>PADD 3</v>
      </c>
      <c r="G1173" s="6" t="str">
        <f>IF(AND($H1173="ATMOS DISTILLATION",ISNUMBER(SEARCH("VPS",$I1173))=FALSE,LEFT($I1173,6)&lt;&gt;"VACUUM"),"CDU",IF($H1173="FLUID CAT CRACKING","FCC",IF(OR($H1173="HYDROCRACKING",$H1173="RESID_HYDROCRACKING"),"Hydrocracker",IF($H1173="REFORMING","Reformer",""))))</f>
        <v>CDU</v>
      </c>
      <c r="H1173" s="6" t="s">
        <v>38</v>
      </c>
      <c r="I1173" s="6" t="s">
        <v>771</v>
      </c>
      <c r="J1173" s="6" t="s">
        <v>349</v>
      </c>
      <c r="K1173" s="10">
        <v>63</v>
      </c>
      <c r="L1173" s="10">
        <v>63</v>
      </c>
      <c r="M1173" s="6" t="s">
        <v>371</v>
      </c>
    </row>
    <row r="1174" spans="1:13">
      <c r="A1174" s="6">
        <v>2023</v>
      </c>
      <c r="B1174" s="6">
        <v>5</v>
      </c>
      <c r="C1174" s="6" t="s">
        <v>63</v>
      </c>
      <c r="D1174" s="6" t="s">
        <v>368</v>
      </c>
      <c r="E1174" s="6" t="s">
        <v>369</v>
      </c>
      <c r="F1174" s="6" t="str">
        <f>IF($M1174="PADD I","PADD 1",IF($M1174="PADD II","PADD 2",IF($M1174="PADD III","PADD 3",IF($M1174="PADD IV","PADD 4",IF($M1174="PADD V","PADD 5","")))))</f>
        <v>PADD 3</v>
      </c>
      <c r="G1174" s="6">
        <f>IF(AND($H1174="ATMOS DISTILLATION",ISNUMBER(SEARCH("VPS",$I1174))=FALSE,LEFT($I1174,6)&lt;&gt;"VACUUM"),"CDU",IF($H1174="FLUID CAT CRACKING","FCC",IF(OR($H1174="HYDROCRACKING",$H1174="RESID_HYDROCRACKING"),"Hydrocracker",IF($H1174="REFORMING","Reformer",""))))</f>
        <v/>
      </c>
      <c r="H1174" s="6" t="s">
        <v>43</v>
      </c>
      <c r="I1174" s="6" t="s">
        <v>401</v>
      </c>
      <c r="J1174" s="6" t="s">
        <v>349</v>
      </c>
      <c r="K1174" s="10">
        <v>56.745</v>
      </c>
      <c r="L1174" s="10">
        <v>58.5</v>
      </c>
      <c r="M1174" s="6" t="s">
        <v>371</v>
      </c>
    </row>
    <row r="1175" spans="1:13">
      <c r="A1175" s="6">
        <v>2023</v>
      </c>
      <c r="B1175" s="6">
        <v>5</v>
      </c>
      <c r="C1175" s="6" t="s">
        <v>63</v>
      </c>
      <c r="D1175" s="6" t="s">
        <v>372</v>
      </c>
      <c r="E1175" s="6" t="s">
        <v>373</v>
      </c>
      <c r="F1175" s="6" t="str">
        <f>IF($M1175="PADD I","PADD 1",IF($M1175="PADD II","PADD 2",IF($M1175="PADD III","PADD 3",IF($M1175="PADD IV","PADD 4",IF($M1175="PADD V","PADD 5","")))))</f>
        <v>PADD 2</v>
      </c>
      <c r="G1175" s="6" t="str">
        <f>IF(AND($H1175="ATMOS DISTILLATION",ISNUMBER(SEARCH("VPS",$I1175))=FALSE,LEFT($I1175,6)&lt;&gt;"VACUUM"),"CDU",IF($H1175="FLUID CAT CRACKING","FCC",IF(OR($H1175="HYDROCRACKING",$H1175="RESID_HYDROCRACKING"),"Hydrocracker",IF($H1175="REFORMING","Reformer",""))))</f>
        <v>FCC</v>
      </c>
      <c r="H1175" s="6" t="s">
        <v>376</v>
      </c>
      <c r="I1175" s="6" t="s">
        <v>407</v>
      </c>
      <c r="J1175" s="6" t="s">
        <v>345</v>
      </c>
      <c r="K1175" s="10">
        <v>55</v>
      </c>
      <c r="L1175" s="10">
        <v>55</v>
      </c>
      <c r="M1175" s="6" t="s">
        <v>375</v>
      </c>
    </row>
    <row r="1176" spans="1:13">
      <c r="A1176" s="6">
        <v>2023</v>
      </c>
      <c r="B1176" s="6">
        <v>5</v>
      </c>
      <c r="C1176" s="6" t="s">
        <v>63</v>
      </c>
      <c r="D1176" s="6" t="s">
        <v>372</v>
      </c>
      <c r="E1176" s="6" t="s">
        <v>373</v>
      </c>
      <c r="F1176" s="6" t="str">
        <f>IF($M1176="PADD I","PADD 1",IF($M1176="PADD II","PADD 2",IF($M1176="PADD III","PADD 3",IF($M1176="PADD IV","PADD 4",IF($M1176="PADD V","PADD 5","")))))</f>
        <v>PADD 2</v>
      </c>
      <c r="G1176" s="6" t="str">
        <f>IF(AND($H1176="ATMOS DISTILLATION",ISNUMBER(SEARCH("VPS",$I1176))=FALSE,LEFT($I1176,6)&lt;&gt;"VACUUM"),"CDU",IF($H1176="FLUID CAT CRACKING","FCC",IF(OR($H1176="HYDROCRACKING",$H1176="RESID_HYDROCRACKING"),"Hydrocracker",IF($H1176="REFORMING","Reformer",""))))</f>
        <v>FCC</v>
      </c>
      <c r="H1176" s="6" t="s">
        <v>376</v>
      </c>
      <c r="I1176" s="6" t="s">
        <v>407</v>
      </c>
      <c r="J1176" s="6" t="s">
        <v>345</v>
      </c>
      <c r="K1176" s="10">
        <v>55</v>
      </c>
      <c r="L1176" s="10">
        <v>55</v>
      </c>
      <c r="M1176" s="6" t="s">
        <v>375</v>
      </c>
    </row>
    <row r="1177" spans="1:13">
      <c r="A1177" s="6">
        <v>2023</v>
      </c>
      <c r="B1177" s="6">
        <v>5</v>
      </c>
      <c r="C1177" s="6" t="s">
        <v>63</v>
      </c>
      <c r="D1177" s="6" t="s">
        <v>415</v>
      </c>
      <c r="E1177" s="6" t="s">
        <v>416</v>
      </c>
      <c r="F1177" s="6" t="str">
        <f>IF($M1177="PADD I","PADD 1",IF($M1177="PADD II","PADD 2",IF($M1177="PADD III","PADD 3",IF($M1177="PADD IV","PADD 4",IF($M1177="PADD V","PADD 5","")))))</f>
        <v>PADD 3</v>
      </c>
      <c r="G1177" s="6">
        <f>IF(AND($H1177="ATMOS DISTILLATION",ISNUMBER(SEARCH("VPS",$I1177))=FALSE,LEFT($I1177,6)&lt;&gt;"VACUUM"),"CDU",IF($H1177="FLUID CAT CRACKING","FCC",IF(OR($H1177="HYDROCRACKING",$H1177="RESID_HYDROCRACKING"),"Hydrocracker",IF($H1177="REFORMING","Reformer",""))))</f>
        <v/>
      </c>
      <c r="H1177" s="6" t="s">
        <v>378</v>
      </c>
      <c r="I1177" s="6" t="s">
        <v>417</v>
      </c>
      <c r="J1177" s="6" t="s">
        <v>345</v>
      </c>
      <c r="K1177" s="10">
        <v>50</v>
      </c>
      <c r="L1177" s="10">
        <v>50</v>
      </c>
      <c r="M1177" s="6" t="s">
        <v>371</v>
      </c>
    </row>
    <row r="1178" spans="1:13">
      <c r="A1178" s="6">
        <v>2023</v>
      </c>
      <c r="B1178" s="6">
        <v>5</v>
      </c>
      <c r="C1178" s="6" t="s">
        <v>63</v>
      </c>
      <c r="D1178" s="6" t="s">
        <v>772</v>
      </c>
      <c r="E1178" s="6" t="s">
        <v>405</v>
      </c>
      <c r="F1178" s="6" t="str">
        <f>IF($M1178="PADD I","PADD 1",IF($M1178="PADD II","PADD 2",IF($M1178="PADD III","PADD 3",IF($M1178="PADD IV","PADD 4",IF($M1178="PADD V","PADD 5","")))))</f>
        <v>PADD 3</v>
      </c>
      <c r="G1178" s="6" t="str">
        <f>IF(AND($H1178="ATMOS DISTILLATION",ISNUMBER(SEARCH("VPS",$I1178))=FALSE,LEFT($I1178,6)&lt;&gt;"VACUUM"),"CDU",IF($H1178="FLUID CAT CRACKING","FCC",IF(OR($H1178="HYDROCRACKING",$H1178="RESID_HYDROCRACKING"),"Hydrocracker",IF($H1178="REFORMING","Reformer",""))))</f>
        <v>FCC</v>
      </c>
      <c r="H1178" s="6" t="s">
        <v>376</v>
      </c>
      <c r="I1178" s="6" t="s">
        <v>773</v>
      </c>
      <c r="J1178" s="6" t="s">
        <v>349</v>
      </c>
      <c r="K1178" s="10">
        <v>49.92</v>
      </c>
      <c r="L1178" s="10">
        <v>96</v>
      </c>
      <c r="M1178" s="6" t="s">
        <v>371</v>
      </c>
    </row>
    <row r="1179" spans="1:13">
      <c r="A1179" s="6">
        <v>2023</v>
      </c>
      <c r="B1179" s="6">
        <v>5</v>
      </c>
      <c r="C1179" s="6" t="s">
        <v>63</v>
      </c>
      <c r="D1179" s="6" t="s">
        <v>380</v>
      </c>
      <c r="E1179" s="6" t="s">
        <v>381</v>
      </c>
      <c r="F1179" s="6" t="str">
        <f>IF($M1179="PADD I","PADD 1",IF($M1179="PADD II","PADD 2",IF($M1179="PADD III","PADD 3",IF($M1179="PADD IV","PADD 4",IF($M1179="PADD V","PADD 5","")))))</f>
        <v>PADD 3</v>
      </c>
      <c r="G1179" s="6" t="str">
        <f>IF(AND($H1179="ATMOS DISTILLATION",ISNUMBER(SEARCH("VPS",$I1179))=FALSE,LEFT($I1179,6)&lt;&gt;"VACUUM"),"CDU",IF($H1179="FLUID CAT CRACKING","FCC",IF(OR($H1179="HYDROCRACKING",$H1179="RESID_HYDROCRACKING"),"Hydrocracker",IF($H1179="REFORMING","Reformer",""))))</f>
        <v>CDU</v>
      </c>
      <c r="H1179" s="6" t="s">
        <v>38</v>
      </c>
      <c r="I1179" s="6" t="s">
        <v>846</v>
      </c>
      <c r="J1179" s="6" t="s">
        <v>349</v>
      </c>
      <c r="K1179" s="10">
        <v>46.8</v>
      </c>
      <c r="L1179" s="10">
        <v>90</v>
      </c>
      <c r="M1179" s="6" t="s">
        <v>371</v>
      </c>
    </row>
    <row r="1180" spans="1:13">
      <c r="A1180" s="6">
        <v>2023</v>
      </c>
      <c r="B1180" s="6">
        <v>5</v>
      </c>
      <c r="C1180" s="6" t="s">
        <v>63</v>
      </c>
      <c r="D1180" s="6" t="s">
        <v>368</v>
      </c>
      <c r="E1180" s="6" t="s">
        <v>369</v>
      </c>
      <c r="F1180" s="6" t="str">
        <f>IF($M1180="PADD I","PADD 1",IF($M1180="PADD II","PADD 2",IF($M1180="PADD III","PADD 3",IF($M1180="PADD IV","PADD 4",IF($M1180="PADD V","PADD 5","")))))</f>
        <v>PADD 3</v>
      </c>
      <c r="G1180" s="6" t="str">
        <f>IF(AND($H1180="ATMOS DISTILLATION",ISNUMBER(SEARCH("VPS",$I1180))=FALSE,LEFT($I1180,6)&lt;&gt;"VACUUM"),"CDU",IF($H1180="FLUID CAT CRACKING","FCC",IF(OR($H1180="HYDROCRACKING",$H1180="RESID_HYDROCRACKING"),"Hydrocracker",IF($H1180="REFORMING","Reformer",""))))</f>
        <v>Reformer</v>
      </c>
      <c r="H1180" s="6" t="s">
        <v>421</v>
      </c>
      <c r="I1180" s="6" t="s">
        <v>422</v>
      </c>
      <c r="J1180" s="6" t="s">
        <v>349</v>
      </c>
      <c r="K1180" s="10">
        <v>43.262</v>
      </c>
      <c r="L1180" s="10">
        <v>44.6</v>
      </c>
      <c r="M1180" s="6" t="s">
        <v>371</v>
      </c>
    </row>
    <row r="1181" spans="1:13">
      <c r="A1181" s="6">
        <v>2023</v>
      </c>
      <c r="B1181" s="6">
        <v>5</v>
      </c>
      <c r="C1181" s="6" t="s">
        <v>63</v>
      </c>
      <c r="D1181" s="6" t="s">
        <v>387</v>
      </c>
      <c r="E1181" s="6" t="s">
        <v>388</v>
      </c>
      <c r="F1181" s="6" t="str">
        <f>IF($M1181="PADD I","PADD 1",IF($M1181="PADD II","PADD 2",IF($M1181="PADD III","PADD 3",IF($M1181="PADD IV","PADD 4",IF($M1181="PADD V","PADD 5","")))))</f>
        <v>PADD 3</v>
      </c>
      <c r="G1181" s="6" t="str">
        <f>IF(AND($H1181="ATMOS DISTILLATION",ISNUMBER(SEARCH("VPS",$I1181))=FALSE,LEFT($I1181,6)&lt;&gt;"VACUUM"),"CDU",IF($H1181="FLUID CAT CRACKING","FCC",IF(OR($H1181="HYDROCRACKING",$H1181="RESID_HYDROCRACKING"),"Hydrocracker",IF($H1181="REFORMING","Reformer",""))))</f>
        <v>Reformer</v>
      </c>
      <c r="H1181" s="6" t="s">
        <v>421</v>
      </c>
      <c r="I1181" s="6" t="s">
        <v>443</v>
      </c>
      <c r="J1181" s="6" t="s">
        <v>345</v>
      </c>
      <c r="K1181" s="10">
        <v>42.625</v>
      </c>
      <c r="L1181" s="10">
        <v>77.5</v>
      </c>
      <c r="M1181" s="6" t="s">
        <v>371</v>
      </c>
    </row>
    <row r="1182" spans="1:13">
      <c r="A1182" s="6">
        <v>2023</v>
      </c>
      <c r="B1182" s="6">
        <v>5</v>
      </c>
      <c r="C1182" s="6" t="s">
        <v>63</v>
      </c>
      <c r="D1182" s="6" t="s">
        <v>372</v>
      </c>
      <c r="E1182" s="6" t="s">
        <v>373</v>
      </c>
      <c r="F1182" s="6" t="str">
        <f>IF($M1182="PADD I","PADD 1",IF($M1182="PADD II","PADD 2",IF($M1182="PADD III","PADD 3",IF($M1182="PADD IV","PADD 4",IF($M1182="PADD V","PADD 5","")))))</f>
        <v>PADD 2</v>
      </c>
      <c r="G1182" s="6" t="str">
        <f>IF(AND($H1182="ATMOS DISTILLATION",ISNUMBER(SEARCH("VPS",$I1182))=FALSE,LEFT($I1182,6)&lt;&gt;"VACUUM"),"CDU",IF($H1182="FLUID CAT CRACKING","FCC",IF(OR($H1182="HYDROCRACKING",$H1182="RESID_HYDROCRACKING"),"Hydrocracker",IF($H1182="REFORMING","Reformer",""))))</f>
        <v>Reformer</v>
      </c>
      <c r="H1182" s="6" t="s">
        <v>421</v>
      </c>
      <c r="I1182" s="6" t="s">
        <v>423</v>
      </c>
      <c r="J1182" s="6" t="s">
        <v>345</v>
      </c>
      <c r="K1182" s="10">
        <v>42</v>
      </c>
      <c r="L1182" s="10">
        <v>42</v>
      </c>
      <c r="M1182" s="6" t="s">
        <v>375</v>
      </c>
    </row>
    <row r="1183" spans="1:13">
      <c r="A1183" s="6">
        <v>2023</v>
      </c>
      <c r="B1183" s="6">
        <v>5</v>
      </c>
      <c r="C1183" s="6" t="s">
        <v>63</v>
      </c>
      <c r="D1183" s="6" t="s">
        <v>52</v>
      </c>
      <c r="E1183" s="6" t="s">
        <v>388</v>
      </c>
      <c r="F1183" s="6" t="str">
        <f>IF($M1183="PADD I","PADD 1",IF($M1183="PADD II","PADD 2",IF($M1183="PADD III","PADD 3",IF($M1183="PADD IV","PADD 4",IF($M1183="PADD V","PADD 5","")))))</f>
        <v>PADD 5</v>
      </c>
      <c r="G1183" s="6" t="str">
        <f>IF(AND($H1183="ATMOS DISTILLATION",ISNUMBER(SEARCH("VPS",$I1183))=FALSE,LEFT($I1183,6)&lt;&gt;"VACUUM"),"CDU",IF($H1183="FLUID CAT CRACKING","FCC",IF(OR($H1183="HYDROCRACKING",$H1183="RESID_HYDROCRACKING"),"Hydrocracker",IF($H1183="REFORMING","Reformer",""))))</f>
        <v>CDU</v>
      </c>
      <c r="H1183" s="6" t="s">
        <v>38</v>
      </c>
      <c r="I1183" s="6" t="s">
        <v>81</v>
      </c>
      <c r="J1183" s="6" t="s">
        <v>349</v>
      </c>
      <c r="K1183" s="10">
        <v>41.76</v>
      </c>
      <c r="L1183" s="10">
        <v>72</v>
      </c>
      <c r="M1183" s="6" t="s">
        <v>386</v>
      </c>
    </row>
    <row r="1184" spans="1:13">
      <c r="A1184" s="6">
        <v>2023</v>
      </c>
      <c r="B1184" s="6">
        <v>5</v>
      </c>
      <c r="C1184" s="6" t="s">
        <v>63</v>
      </c>
      <c r="D1184" s="6" t="s">
        <v>372</v>
      </c>
      <c r="E1184" s="6" t="s">
        <v>373</v>
      </c>
      <c r="F1184" s="6" t="str">
        <f>IF($M1184="PADD I","PADD 1",IF($M1184="PADD II","PADD 2",IF($M1184="PADD III","PADD 3",IF($M1184="PADD IV","PADD 4",IF($M1184="PADD V","PADD 5","")))))</f>
        <v>PADD 2</v>
      </c>
      <c r="G1184" s="6">
        <f>IF(AND($H1184="ATMOS DISTILLATION",ISNUMBER(SEARCH("VPS",$I1184))=FALSE,LEFT($I1184,6)&lt;&gt;"VACUUM"),"CDU",IF($H1184="FLUID CAT CRACKING","FCC",IF(OR($H1184="HYDROCRACKING",$H1184="RESID_HYDROCRACKING"),"Hydrocracker",IF($H1184="REFORMING","Reformer",""))))</f>
        <v/>
      </c>
      <c r="H1184" s="6" t="s">
        <v>43</v>
      </c>
      <c r="I1184" s="6" t="s">
        <v>433</v>
      </c>
      <c r="J1184" s="6" t="s">
        <v>345</v>
      </c>
      <c r="K1184" s="10">
        <v>40</v>
      </c>
      <c r="L1184" s="10">
        <v>40</v>
      </c>
      <c r="M1184" s="6" t="s">
        <v>375</v>
      </c>
    </row>
    <row r="1185" spans="1:13">
      <c r="A1185" s="6">
        <v>2023</v>
      </c>
      <c r="B1185" s="6">
        <v>5</v>
      </c>
      <c r="C1185" s="6" t="s">
        <v>63</v>
      </c>
      <c r="D1185" s="6" t="s">
        <v>53</v>
      </c>
      <c r="E1185" s="6" t="s">
        <v>543</v>
      </c>
      <c r="F1185" s="6" t="str">
        <f>IF($M1185="PADD I","PADD 1",IF($M1185="PADD II","PADD 2",IF($M1185="PADD III","PADD 3",IF($M1185="PADD IV","PADD 4",IF($M1185="PADD V","PADD 5","")))))</f>
        <v>PADD 5</v>
      </c>
      <c r="G1185" s="6" t="str">
        <f>IF(AND($H1185="ATMOS DISTILLATION",ISNUMBER(SEARCH("VPS",$I1185))=FALSE,LEFT($I1185,6)&lt;&gt;"VACUUM"),"CDU",IF($H1185="FLUID CAT CRACKING","FCC",IF(OR($H1185="HYDROCRACKING",$H1185="RESID_HYDROCRACKING"),"Hydrocracker",IF($H1185="REFORMING","Reformer",""))))</f>
        <v>Hydrocracker</v>
      </c>
      <c r="H1185" s="6" t="s">
        <v>444</v>
      </c>
      <c r="I1185" s="6" t="s">
        <v>14</v>
      </c>
      <c r="J1185" s="6" t="s">
        <v>345</v>
      </c>
      <c r="K1185" s="10">
        <v>39.05</v>
      </c>
      <c r="L1185" s="10">
        <v>55</v>
      </c>
      <c r="M1185" s="6" t="s">
        <v>386</v>
      </c>
    </row>
    <row r="1186" spans="1:13">
      <c r="A1186" s="6">
        <v>2023</v>
      </c>
      <c r="B1186" s="6">
        <v>5</v>
      </c>
      <c r="C1186" s="6" t="s">
        <v>63</v>
      </c>
      <c r="D1186" s="6" t="s">
        <v>53</v>
      </c>
      <c r="E1186" s="6" t="s">
        <v>543</v>
      </c>
      <c r="F1186" s="6" t="str">
        <f>IF($M1186="PADD I","PADD 1",IF($M1186="PADD II","PADD 2",IF($M1186="PADD III","PADD 3",IF($M1186="PADD IV","PADD 4",IF($M1186="PADD V","PADD 5","")))))</f>
        <v>PADD 5</v>
      </c>
      <c r="G1186" s="6" t="str">
        <f>IF(AND($H1186="ATMOS DISTILLATION",ISNUMBER(SEARCH("VPS",$I1186))=FALSE,LEFT($I1186,6)&lt;&gt;"VACUUM"),"CDU",IF($H1186="FLUID CAT CRACKING","FCC",IF(OR($H1186="HYDROCRACKING",$H1186="RESID_HYDROCRACKING"),"Hydrocracker",IF($H1186="REFORMING","Reformer",""))))</f>
        <v>CDU</v>
      </c>
      <c r="H1186" s="6" t="s">
        <v>38</v>
      </c>
      <c r="I1186" s="6" t="s">
        <v>81</v>
      </c>
      <c r="J1186" s="6" t="s">
        <v>349</v>
      </c>
      <c r="K1186" s="10">
        <v>38.125</v>
      </c>
      <c r="L1186" s="10">
        <v>62.5</v>
      </c>
      <c r="M1186" s="6" t="s">
        <v>386</v>
      </c>
    </row>
    <row r="1187" spans="1:13">
      <c r="A1187" s="6">
        <v>2023</v>
      </c>
      <c r="B1187" s="6">
        <v>5</v>
      </c>
      <c r="C1187" s="6" t="s">
        <v>63</v>
      </c>
      <c r="D1187" s="6" t="s">
        <v>774</v>
      </c>
      <c r="E1187" s="6" t="s">
        <v>775</v>
      </c>
      <c r="F1187" s="6" t="str">
        <f>IF($M1187="PADD I","PADD 1",IF($M1187="PADD II","PADD 2",IF($M1187="PADD III","PADD 3",IF($M1187="PADD IV","PADD 4",IF($M1187="PADD V","PADD 5","")))))</f>
        <v>PADD 1</v>
      </c>
      <c r="G1187" s="6">
        <f>IF(AND($H1187="ATMOS DISTILLATION",ISNUMBER(SEARCH("VPS",$I1187))=FALSE,LEFT($I1187,6)&lt;&gt;"VACUUM"),"CDU",IF($H1187="FLUID CAT CRACKING","FCC",IF(OR($H1187="HYDROCRACKING",$H1187="RESID_HYDROCRACKING"),"Hydrocracker",IF($H1187="REFORMING","Reformer",""))))</f>
        <v/>
      </c>
      <c r="H1187" s="6" t="s">
        <v>435</v>
      </c>
      <c r="I1187" s="6" t="s">
        <v>776</v>
      </c>
      <c r="J1187" s="6" t="s">
        <v>349</v>
      </c>
      <c r="K1187" s="10">
        <v>36.26</v>
      </c>
      <c r="L1187" s="10">
        <v>49</v>
      </c>
      <c r="M1187" s="6" t="s">
        <v>413</v>
      </c>
    </row>
    <row r="1188" spans="1:13">
      <c r="A1188" s="6">
        <v>2023</v>
      </c>
      <c r="B1188" s="6">
        <v>5</v>
      </c>
      <c r="C1188" s="6" t="s">
        <v>63</v>
      </c>
      <c r="D1188" s="6" t="s">
        <v>53</v>
      </c>
      <c r="E1188" s="6" t="s">
        <v>543</v>
      </c>
      <c r="F1188" s="6" t="str">
        <f>IF($M1188="PADD I","PADD 1",IF($M1188="PADD II","PADD 2",IF($M1188="PADD III","PADD 3",IF($M1188="PADD IV","PADD 4",IF($M1188="PADD V","PADD 5","")))))</f>
        <v>PADD 5</v>
      </c>
      <c r="G1188" s="6" t="str">
        <f>IF(AND($H1188="ATMOS DISTILLATION",ISNUMBER(SEARCH("VPS",$I1188))=FALSE,LEFT($I1188,6)&lt;&gt;"VACUUM"),"CDU",IF($H1188="FLUID CAT CRACKING","FCC",IF(OR($H1188="HYDROCRACKING",$H1188="RESID_HYDROCRACKING"),"Hydrocracker",IF($H1188="REFORMING","Reformer",""))))</f>
        <v>Reformer</v>
      </c>
      <c r="H1188" s="6" t="s">
        <v>421</v>
      </c>
      <c r="I1188" s="6" t="s">
        <v>559</v>
      </c>
      <c r="J1188" s="6" t="s">
        <v>345</v>
      </c>
      <c r="K1188" s="10">
        <v>35.5</v>
      </c>
      <c r="L1188" s="10">
        <v>50</v>
      </c>
      <c r="M1188" s="6" t="s">
        <v>386</v>
      </c>
    </row>
    <row r="1189" spans="1:13">
      <c r="A1189" s="6">
        <v>2023</v>
      </c>
      <c r="B1189" s="6">
        <v>5</v>
      </c>
      <c r="C1189" s="6" t="s">
        <v>63</v>
      </c>
      <c r="D1189" s="6" t="s">
        <v>446</v>
      </c>
      <c r="E1189" s="6" t="s">
        <v>391</v>
      </c>
      <c r="F1189" s="6" t="str">
        <f>IF($M1189="PADD I","PADD 1",IF($M1189="PADD II","PADD 2",IF($M1189="PADD III","PADD 3",IF($M1189="PADD IV","PADD 4",IF($M1189="PADD V","PADD 5","")))))</f>
        <v>PADD 3</v>
      </c>
      <c r="G1189" s="6">
        <f>IF(AND($H1189="ATMOS DISTILLATION",ISNUMBER(SEARCH("VPS",$I1189))=FALSE,LEFT($I1189,6)&lt;&gt;"VACUUM"),"CDU",IF($H1189="FLUID CAT CRACKING","FCC",IF(OR($H1189="HYDROCRACKING",$H1189="RESID_HYDROCRACKING"),"Hydrocracker",IF($H1189="REFORMING","Reformer",""))))</f>
        <v/>
      </c>
      <c r="H1189" s="6" t="s">
        <v>43</v>
      </c>
      <c r="I1189" s="6" t="s">
        <v>447</v>
      </c>
      <c r="J1189" s="6" t="s">
        <v>349</v>
      </c>
      <c r="K1189" s="10">
        <v>35</v>
      </c>
      <c r="L1189" s="10">
        <v>35</v>
      </c>
      <c r="M1189" s="6" t="s">
        <v>371</v>
      </c>
    </row>
    <row r="1190" spans="1:13">
      <c r="A1190" s="6">
        <v>2023</v>
      </c>
      <c r="B1190" s="6">
        <v>5</v>
      </c>
      <c r="C1190" s="6" t="s">
        <v>63</v>
      </c>
      <c r="D1190" s="6" t="s">
        <v>448</v>
      </c>
      <c r="E1190" s="6" t="s">
        <v>391</v>
      </c>
      <c r="F1190" s="6" t="str">
        <f>IF($M1190="PADD I","PADD 1",IF($M1190="PADD II","PADD 2",IF($M1190="PADD III","PADD 3",IF($M1190="PADD IV","PADD 4",IF($M1190="PADD V","PADD 5","")))))</f>
        <v>PADD 3</v>
      </c>
      <c r="G1190" s="6">
        <f>IF(AND($H1190="ATMOS DISTILLATION",ISNUMBER(SEARCH("VPS",$I1190))=FALSE,LEFT($I1190,6)&lt;&gt;"VACUUM"),"CDU",IF($H1190="FLUID CAT CRACKING","FCC",IF(OR($H1190="HYDROCRACKING",$H1190="RESID_HYDROCRACKING"),"Hydrocracker",IF($H1190="REFORMING","Reformer",""))))</f>
        <v/>
      </c>
      <c r="H1190" s="6" t="s">
        <v>43</v>
      </c>
      <c r="I1190" s="6" t="s">
        <v>449</v>
      </c>
      <c r="J1190" s="6" t="s">
        <v>345</v>
      </c>
      <c r="K1190" s="10">
        <v>35</v>
      </c>
      <c r="L1190" s="10">
        <v>35</v>
      </c>
      <c r="M1190" s="6" t="s">
        <v>371</v>
      </c>
    </row>
    <row r="1191" spans="1:13">
      <c r="A1191" s="6">
        <v>2023</v>
      </c>
      <c r="B1191" s="6">
        <v>5</v>
      </c>
      <c r="C1191" s="6" t="s">
        <v>63</v>
      </c>
      <c r="D1191" s="6" t="s">
        <v>395</v>
      </c>
      <c r="E1191" s="6" t="s">
        <v>396</v>
      </c>
      <c r="F1191" s="6" t="str">
        <f>IF($M1191="PADD I","PADD 1",IF($M1191="PADD II","PADD 2",IF($M1191="PADD III","PADD 3",IF($M1191="PADD IV","PADD 4",IF($M1191="PADD V","PADD 5","")))))</f>
        <v>PADD 3</v>
      </c>
      <c r="G1191" s="6">
        <f>IF(AND($H1191="ATMOS DISTILLATION",ISNUMBER(SEARCH("VPS",$I1191))=FALSE,LEFT($I1191,6)&lt;&gt;"VACUUM"),"CDU",IF($H1191="FLUID CAT CRACKING","FCC",IF(OR($H1191="HYDROCRACKING",$H1191="RESID_HYDROCRACKING"),"Hydrocracker",IF($H1191="REFORMING","Reformer",""))))</f>
        <v/>
      </c>
      <c r="H1191" s="6" t="s">
        <v>378</v>
      </c>
      <c r="I1191" s="6" t="s">
        <v>575</v>
      </c>
      <c r="J1191" s="6" t="s">
        <v>345</v>
      </c>
      <c r="K1191" s="10">
        <v>35</v>
      </c>
      <c r="L1191" s="10">
        <v>35</v>
      </c>
      <c r="M1191" s="6" t="s">
        <v>371</v>
      </c>
    </row>
    <row r="1192" spans="1:13">
      <c r="A1192" s="6">
        <v>2023</v>
      </c>
      <c r="B1192" s="6">
        <v>5</v>
      </c>
      <c r="C1192" s="6" t="s">
        <v>63</v>
      </c>
      <c r="D1192" s="6" t="s">
        <v>415</v>
      </c>
      <c r="E1192" s="6" t="s">
        <v>416</v>
      </c>
      <c r="F1192" s="6" t="str">
        <f>IF($M1192="PADD I","PADD 1",IF($M1192="PADD II","PADD 2",IF($M1192="PADD III","PADD 3",IF($M1192="PADD IV","PADD 4",IF($M1192="PADD V","PADD 5","")))))</f>
        <v>PADD 3</v>
      </c>
      <c r="G1192" s="6">
        <f>IF(AND($H1192="ATMOS DISTILLATION",ISNUMBER(SEARCH("VPS",$I1192))=FALSE,LEFT($I1192,6)&lt;&gt;"VACUUM"),"CDU",IF($H1192="FLUID CAT CRACKING","FCC",IF(OR($H1192="HYDROCRACKING",$H1192="RESID_HYDROCRACKING"),"Hydrocracker",IF($H1192="REFORMING","Reformer",""))))</f>
        <v/>
      </c>
      <c r="H1192" s="6" t="s">
        <v>435</v>
      </c>
      <c r="I1192" s="6" t="s">
        <v>453</v>
      </c>
      <c r="J1192" s="6" t="s">
        <v>345</v>
      </c>
      <c r="K1192" s="10">
        <v>34</v>
      </c>
      <c r="L1192" s="10">
        <v>34</v>
      </c>
      <c r="M1192" s="6" t="s">
        <v>371</v>
      </c>
    </row>
    <row r="1193" spans="1:13">
      <c r="A1193" s="6">
        <v>2023</v>
      </c>
      <c r="B1193" s="6">
        <v>5</v>
      </c>
      <c r="C1193" s="6" t="s">
        <v>63</v>
      </c>
      <c r="D1193" s="6" t="s">
        <v>415</v>
      </c>
      <c r="E1193" s="6" t="s">
        <v>416</v>
      </c>
      <c r="F1193" s="6" t="str">
        <f>IF($M1193="PADD I","PADD 1",IF($M1193="PADD II","PADD 2",IF($M1193="PADD III","PADD 3",IF($M1193="PADD IV","PADD 4",IF($M1193="PADD V","PADD 5","")))))</f>
        <v>PADD 3</v>
      </c>
      <c r="G1193" s="6">
        <f>IF(AND($H1193="ATMOS DISTILLATION",ISNUMBER(SEARCH("VPS",$I1193))=FALSE,LEFT($I1193,6)&lt;&gt;"VACUUM"),"CDU",IF($H1193="FLUID CAT CRACKING","FCC",IF(OR($H1193="HYDROCRACKING",$H1193="RESID_HYDROCRACKING"),"Hydrocracker",IF($H1193="REFORMING","Reformer",""))))</f>
        <v/>
      </c>
      <c r="H1193" s="6" t="s">
        <v>435</v>
      </c>
      <c r="I1193" s="6" t="s">
        <v>453</v>
      </c>
      <c r="J1193" s="6" t="s">
        <v>345</v>
      </c>
      <c r="K1193" s="10">
        <v>34</v>
      </c>
      <c r="L1193" s="10">
        <v>34</v>
      </c>
      <c r="M1193" s="6" t="s">
        <v>371</v>
      </c>
    </row>
    <row r="1194" spans="1:13">
      <c r="A1194" s="6">
        <v>2023</v>
      </c>
      <c r="B1194" s="6">
        <v>5</v>
      </c>
      <c r="C1194" s="6" t="s">
        <v>63</v>
      </c>
      <c r="D1194" s="6" t="s">
        <v>450</v>
      </c>
      <c r="E1194" s="6" t="s">
        <v>369</v>
      </c>
      <c r="F1194" s="6" t="str">
        <f>IF($M1194="PADD I","PADD 1",IF($M1194="PADD II","PADD 2",IF($M1194="PADD III","PADD 3",IF($M1194="PADD IV","PADD 4",IF($M1194="PADD V","PADD 5","")))))</f>
        <v>PADD 3</v>
      </c>
      <c r="G1194" s="6">
        <f>IF(AND($H1194="ATMOS DISTILLATION",ISNUMBER(SEARCH("VPS",$I1194))=FALSE,LEFT($I1194,6)&lt;&gt;"VACUUM"),"CDU",IF($H1194="FLUID CAT CRACKING","FCC",IF(OR($H1194="HYDROCRACKING",$H1194="RESID_HYDROCRACKING"),"Hydrocracker",IF($H1194="REFORMING","Reformer",""))))</f>
        <v/>
      </c>
      <c r="H1194" s="6" t="s">
        <v>43</v>
      </c>
      <c r="I1194" s="6" t="s">
        <v>449</v>
      </c>
      <c r="J1194" s="6" t="s">
        <v>349</v>
      </c>
      <c r="K1194" s="10">
        <v>33.95</v>
      </c>
      <c r="L1194" s="10">
        <v>35</v>
      </c>
      <c r="M1194" s="6" t="s">
        <v>371</v>
      </c>
    </row>
    <row r="1195" spans="1:13">
      <c r="A1195" s="6">
        <v>2023</v>
      </c>
      <c r="B1195" s="6">
        <v>5</v>
      </c>
      <c r="C1195" s="6" t="s">
        <v>63</v>
      </c>
      <c r="D1195" s="6" t="s">
        <v>53</v>
      </c>
      <c r="E1195" s="6" t="s">
        <v>543</v>
      </c>
      <c r="F1195" s="6" t="str">
        <f>IF($M1195="PADD I","PADD 1",IF($M1195="PADD II","PADD 2",IF($M1195="PADD III","PADD 3",IF($M1195="PADD IV","PADD 4",IF($M1195="PADD V","PADD 5","")))))</f>
        <v>PADD 5</v>
      </c>
      <c r="G1195" s="6" t="str">
        <f>IF(AND($H1195="ATMOS DISTILLATION",ISNUMBER(SEARCH("VPS",$I1195))=FALSE,LEFT($I1195,6)&lt;&gt;"VACUUM"),"CDU",IF($H1195="FLUID CAT CRACKING","FCC",IF(OR($H1195="HYDROCRACKING",$H1195="RESID_HYDROCRACKING"),"Hydrocracker",IF($H1195="REFORMING","Reformer",""))))</f>
        <v>Hydrocracker</v>
      </c>
      <c r="H1195" s="6" t="s">
        <v>444</v>
      </c>
      <c r="I1195" s="6" t="s">
        <v>14</v>
      </c>
      <c r="J1195" s="6" t="s">
        <v>349</v>
      </c>
      <c r="K1195" s="10">
        <v>33.55</v>
      </c>
      <c r="L1195" s="10">
        <v>55</v>
      </c>
      <c r="M1195" s="6" t="s">
        <v>386</v>
      </c>
    </row>
    <row r="1196" spans="1:13">
      <c r="A1196" s="6">
        <v>2023</v>
      </c>
      <c r="B1196" s="6">
        <v>5</v>
      </c>
      <c r="C1196" s="6" t="s">
        <v>63</v>
      </c>
      <c r="D1196" s="6" t="s">
        <v>490</v>
      </c>
      <c r="E1196" s="6" t="s">
        <v>491</v>
      </c>
      <c r="F1196" s="6" t="str">
        <f>IF($M1196="PADD I","PADD 1",IF($M1196="PADD II","PADD 2",IF($M1196="PADD III","PADD 3",IF($M1196="PADD IV","PADD 4",IF($M1196="PADD V","PADD 5","")))))</f>
        <v>PADD 3</v>
      </c>
      <c r="G1196" s="6">
        <f>IF(AND($H1196="ATMOS DISTILLATION",ISNUMBER(SEARCH("VPS",$I1196))=FALSE,LEFT($I1196,6)&lt;&gt;"VACUUM"),"CDU",IF($H1196="FLUID CAT CRACKING","FCC",IF(OR($H1196="HYDROCRACKING",$H1196="RESID_HYDROCRACKING"),"Hydrocracker",IF($H1196="REFORMING","Reformer",""))))</f>
        <v/>
      </c>
      <c r="H1196" s="6" t="s">
        <v>43</v>
      </c>
      <c r="I1196" s="6" t="s">
        <v>847</v>
      </c>
      <c r="J1196" s="6" t="s">
        <v>345</v>
      </c>
      <c r="K1196" s="10">
        <v>32.5</v>
      </c>
      <c r="L1196" s="10">
        <v>50</v>
      </c>
      <c r="M1196" s="6" t="s">
        <v>371</v>
      </c>
    </row>
    <row r="1197" spans="1:13">
      <c r="A1197" s="6">
        <v>2023</v>
      </c>
      <c r="B1197" s="6">
        <v>5</v>
      </c>
      <c r="C1197" s="6" t="s">
        <v>63</v>
      </c>
      <c r="D1197" s="6" t="s">
        <v>770</v>
      </c>
      <c r="E1197" s="6" t="s">
        <v>660</v>
      </c>
      <c r="F1197" s="6" t="str">
        <f>IF($M1197="PADD I","PADD 1",IF($M1197="PADD II","PADD 2",IF($M1197="PADD III","PADD 3",IF($M1197="PADD IV","PADD 4",IF($M1197="PADD V","PADD 5","")))))</f>
        <v>PADD 3</v>
      </c>
      <c r="G1197" s="6">
        <f>IF(AND($H1197="ATMOS DISTILLATION",ISNUMBER(SEARCH("VPS",$I1197))=FALSE,LEFT($I1197,6)&lt;&gt;"VACUUM"),"CDU",IF($H1197="FLUID CAT CRACKING","FCC",IF(OR($H1197="HYDROCRACKING",$H1197="RESID_HYDROCRACKING"),"Hydrocracker",IF($H1197="REFORMING","Reformer",""))))</f>
        <v/>
      </c>
      <c r="H1197" s="6" t="s">
        <v>435</v>
      </c>
      <c r="I1197" s="6" t="s">
        <v>441</v>
      </c>
      <c r="J1197" s="6" t="s">
        <v>349</v>
      </c>
      <c r="K1197" s="10">
        <v>32</v>
      </c>
      <c r="L1197" s="10">
        <v>32</v>
      </c>
      <c r="M1197" s="6" t="s">
        <v>371</v>
      </c>
    </row>
    <row r="1198" spans="1:13">
      <c r="A1198" s="6">
        <v>2023</v>
      </c>
      <c r="B1198" s="6">
        <v>5</v>
      </c>
      <c r="C1198" s="6" t="s">
        <v>63</v>
      </c>
      <c r="D1198" s="6" t="s">
        <v>772</v>
      </c>
      <c r="E1198" s="6" t="s">
        <v>405</v>
      </c>
      <c r="F1198" s="6" t="str">
        <f>IF($M1198="PADD I","PADD 1",IF($M1198="PADD II","PADD 2",IF($M1198="PADD III","PADD 3",IF($M1198="PADD IV","PADD 4",IF($M1198="PADD V","PADD 5","")))))</f>
        <v>PADD 3</v>
      </c>
      <c r="G1198" s="6">
        <f>IF(AND($H1198="ATMOS DISTILLATION",ISNUMBER(SEARCH("VPS",$I1198))=FALSE,LEFT($I1198,6)&lt;&gt;"VACUUM"),"CDU",IF($H1198="FLUID CAT CRACKING","FCC",IF(OR($H1198="HYDROCRACKING",$H1198="RESID_HYDROCRACKING"),"Hydrocracker",IF($H1198="REFORMING","Reformer",""))))</f>
        <v/>
      </c>
      <c r="H1198" s="6" t="s">
        <v>43</v>
      </c>
      <c r="I1198" s="6" t="s">
        <v>777</v>
      </c>
      <c r="J1198" s="6" t="s">
        <v>349</v>
      </c>
      <c r="K1198" s="10">
        <v>30.16</v>
      </c>
      <c r="L1198" s="10">
        <v>58</v>
      </c>
      <c r="M1198" s="6" t="s">
        <v>371</v>
      </c>
    </row>
    <row r="1199" spans="1:13">
      <c r="A1199" s="6">
        <v>2023</v>
      </c>
      <c r="B1199" s="6">
        <v>5</v>
      </c>
      <c r="C1199" s="6" t="s">
        <v>63</v>
      </c>
      <c r="D1199" s="6" t="s">
        <v>372</v>
      </c>
      <c r="E1199" s="6" t="s">
        <v>373</v>
      </c>
      <c r="F1199" s="6" t="str">
        <f>IF($M1199="PADD I","PADD 1",IF($M1199="PADD II","PADD 2",IF($M1199="PADD III","PADD 3",IF($M1199="PADD IV","PADD 4",IF($M1199="PADD V","PADD 5","")))))</f>
        <v>PADD 2</v>
      </c>
      <c r="G1199" s="6">
        <f>IF(AND($H1199="ATMOS DISTILLATION",ISNUMBER(SEARCH("VPS",$I1199))=FALSE,LEFT($I1199,6)&lt;&gt;"VACUUM"),"CDU",IF($H1199="FLUID CAT CRACKING","FCC",IF(OR($H1199="HYDROCRACKING",$H1199="RESID_HYDROCRACKING"),"Hydrocracker",IF($H1199="REFORMING","Reformer",""))))</f>
        <v/>
      </c>
      <c r="H1199" s="6" t="s">
        <v>435</v>
      </c>
      <c r="I1199" s="6" t="s">
        <v>467</v>
      </c>
      <c r="J1199" s="6" t="s">
        <v>345</v>
      </c>
      <c r="K1199" s="10">
        <v>30</v>
      </c>
      <c r="L1199" s="10">
        <v>30</v>
      </c>
      <c r="M1199" s="6" t="s">
        <v>375</v>
      </c>
    </row>
    <row r="1200" spans="1:13">
      <c r="A1200" s="6">
        <v>2023</v>
      </c>
      <c r="B1200" s="6">
        <v>5</v>
      </c>
      <c r="C1200" s="6" t="s">
        <v>63</v>
      </c>
      <c r="D1200" s="6" t="s">
        <v>468</v>
      </c>
      <c r="E1200" s="6" t="s">
        <v>369</v>
      </c>
      <c r="F1200" s="6" t="str">
        <f>IF($M1200="PADD I","PADD 1",IF($M1200="PADD II","PADD 2",IF($M1200="PADD III","PADD 3",IF($M1200="PADD IV","PADD 4",IF($M1200="PADD V","PADD 5","")))))</f>
        <v>PADD 3</v>
      </c>
      <c r="G1200" s="6" t="str">
        <f>IF(AND($H1200="ATMOS DISTILLATION",ISNUMBER(SEARCH("VPS",$I1200))=FALSE,LEFT($I1200,6)&lt;&gt;"VACUUM"),"CDU",IF($H1200="FLUID CAT CRACKING","FCC",IF(OR($H1200="HYDROCRACKING",$H1200="RESID_HYDROCRACKING"),"Hydrocracker",IF($H1200="REFORMING","Reformer",""))))</f>
        <v>FCC</v>
      </c>
      <c r="H1200" s="6" t="s">
        <v>376</v>
      </c>
      <c r="I1200" s="6" t="s">
        <v>469</v>
      </c>
      <c r="J1200" s="6" t="s">
        <v>345</v>
      </c>
      <c r="K1200" s="10">
        <v>30</v>
      </c>
      <c r="L1200" s="10">
        <v>30</v>
      </c>
      <c r="M1200" s="6" t="s">
        <v>371</v>
      </c>
    </row>
    <row r="1201" spans="1:13">
      <c r="A1201" s="6">
        <v>2023</v>
      </c>
      <c r="B1201" s="6">
        <v>5</v>
      </c>
      <c r="C1201" s="6" t="s">
        <v>63</v>
      </c>
      <c r="D1201" s="6" t="s">
        <v>335</v>
      </c>
      <c r="E1201" s="6" t="s">
        <v>369</v>
      </c>
      <c r="F1201" s="6" t="str">
        <f>IF($M1201="PADD I","PADD 1",IF($M1201="PADD II","PADD 2",IF($M1201="PADD III","PADD 3",IF($M1201="PADD IV","PADD 4",IF($M1201="PADD V","PADD 5","")))))</f>
        <v>PADD 3</v>
      </c>
      <c r="G1201" s="6" t="str">
        <f>IF(AND($H1201="ATMOS DISTILLATION",ISNUMBER(SEARCH("VPS",$I1201))=FALSE,LEFT($I1201,6)&lt;&gt;"VACUUM"),"CDU",IF($H1201="FLUID CAT CRACKING","FCC",IF(OR($H1201="HYDROCRACKING",$H1201="RESID_HYDROCRACKING"),"Hydrocracker",IF($H1201="REFORMING","Reformer",""))))</f>
        <v>FCC</v>
      </c>
      <c r="H1201" s="6" t="s">
        <v>376</v>
      </c>
      <c r="I1201" s="6" t="s">
        <v>472</v>
      </c>
      <c r="J1201" s="6" t="s">
        <v>345</v>
      </c>
      <c r="K1201" s="10">
        <v>30</v>
      </c>
      <c r="L1201" s="10">
        <v>30</v>
      </c>
      <c r="M1201" s="6" t="s">
        <v>371</v>
      </c>
    </row>
    <row r="1202" spans="1:13">
      <c r="A1202" s="6">
        <v>2023</v>
      </c>
      <c r="B1202" s="6">
        <v>5</v>
      </c>
      <c r="C1202" s="6" t="s">
        <v>63</v>
      </c>
      <c r="D1202" s="6" t="s">
        <v>468</v>
      </c>
      <c r="E1202" s="6" t="s">
        <v>369</v>
      </c>
      <c r="F1202" s="6" t="str">
        <f>IF($M1202="PADD I","PADD 1",IF($M1202="PADD II","PADD 2",IF($M1202="PADD III","PADD 3",IF($M1202="PADD IV","PADD 4",IF($M1202="PADD V","PADD 5","")))))</f>
        <v>PADD 3</v>
      </c>
      <c r="G1202" s="6" t="str">
        <f>IF(AND($H1202="ATMOS DISTILLATION",ISNUMBER(SEARCH("VPS",$I1202))=FALSE,LEFT($I1202,6)&lt;&gt;"VACUUM"),"CDU",IF($H1202="FLUID CAT CRACKING","FCC",IF(OR($H1202="HYDROCRACKING",$H1202="RESID_HYDROCRACKING"),"Hydrocracker",IF($H1202="REFORMING","Reformer",""))))</f>
        <v>FCC</v>
      </c>
      <c r="H1202" s="6" t="s">
        <v>376</v>
      </c>
      <c r="I1202" s="6" t="s">
        <v>473</v>
      </c>
      <c r="J1202" s="6" t="s">
        <v>345</v>
      </c>
      <c r="K1202" s="10">
        <v>30</v>
      </c>
      <c r="L1202" s="10">
        <v>30</v>
      </c>
      <c r="M1202" s="6" t="s">
        <v>371</v>
      </c>
    </row>
    <row r="1203" spans="1:13">
      <c r="A1203" s="6">
        <v>2023</v>
      </c>
      <c r="B1203" s="6">
        <v>5</v>
      </c>
      <c r="C1203" s="6" t="s">
        <v>63</v>
      </c>
      <c r="D1203" s="6" t="s">
        <v>739</v>
      </c>
      <c r="E1203" s="6" t="s">
        <v>405</v>
      </c>
      <c r="F1203" s="6" t="str">
        <f>IF($M1203="PADD I","PADD 1",IF($M1203="PADD II","PADD 2",IF($M1203="PADD III","PADD 3",IF($M1203="PADD IV","PADD 4",IF($M1203="PADD V","PADD 5","")))))</f>
        <v>PADD 2</v>
      </c>
      <c r="G1203" s="6">
        <f>IF(AND($H1203="ATMOS DISTILLATION",ISNUMBER(SEARCH("VPS",$I1203))=FALSE,LEFT($I1203,6)&lt;&gt;"VACUUM"),"CDU",IF($H1203="FLUID CAT CRACKING","FCC",IF(OR($H1203="HYDROCRACKING",$H1203="RESID_HYDROCRACKING"),"Hydrocracker",IF($H1203="REFORMING","Reformer",""))))</f>
        <v/>
      </c>
      <c r="H1203" s="6" t="s">
        <v>43</v>
      </c>
      <c r="I1203" s="6" t="s">
        <v>740</v>
      </c>
      <c r="J1203" s="6" t="s">
        <v>345</v>
      </c>
      <c r="K1203" s="10">
        <v>28.8</v>
      </c>
      <c r="L1203" s="10">
        <v>32</v>
      </c>
      <c r="M1203" s="6" t="s">
        <v>375</v>
      </c>
    </row>
    <row r="1204" spans="1:13">
      <c r="A1204" s="6">
        <v>2023</v>
      </c>
      <c r="B1204" s="6">
        <v>5</v>
      </c>
      <c r="C1204" s="6" t="s">
        <v>63</v>
      </c>
      <c r="D1204" s="6" t="s">
        <v>437</v>
      </c>
      <c r="E1204" s="6" t="s">
        <v>438</v>
      </c>
      <c r="F1204" s="6" t="str">
        <f>IF($M1204="PADD I","PADD 1",IF($M1204="PADD II","PADD 2",IF($M1204="PADD III","PADD 3",IF($M1204="PADD IV","PADD 4",IF($M1204="PADD V","PADD 5","")))))</f>
        <v>PADD 4</v>
      </c>
      <c r="G1204" s="6" t="str">
        <f>IF(AND($H1204="ATMOS DISTILLATION",ISNUMBER(SEARCH("VPS",$I1204))=FALSE,LEFT($I1204,6)&lt;&gt;"VACUUM"),"CDU",IF($H1204="FLUID CAT CRACKING","FCC",IF(OR($H1204="HYDROCRACKING",$H1204="RESID_HYDROCRACKING"),"Hydrocracker",IF($H1204="REFORMING","Reformer",""))))</f>
        <v>CDU</v>
      </c>
      <c r="H1204" s="6" t="s">
        <v>38</v>
      </c>
      <c r="I1204" s="6" t="s">
        <v>330</v>
      </c>
      <c r="J1204" s="6" t="s">
        <v>349</v>
      </c>
      <c r="K1204" s="10">
        <v>28</v>
      </c>
      <c r="L1204" s="10">
        <v>28</v>
      </c>
      <c r="M1204" s="6" t="s">
        <v>430</v>
      </c>
    </row>
    <row r="1205" spans="1:13">
      <c r="A1205" s="6">
        <v>2023</v>
      </c>
      <c r="B1205" s="6">
        <v>5</v>
      </c>
      <c r="C1205" s="6" t="s">
        <v>63</v>
      </c>
      <c r="D1205" s="6" t="s">
        <v>324</v>
      </c>
      <c r="E1205" s="6" t="s">
        <v>388</v>
      </c>
      <c r="F1205" s="6" t="str">
        <f>IF($M1205="PADD I","PADD 1",IF($M1205="PADD II","PADD 2",IF($M1205="PADD III","PADD 3",IF($M1205="PADD IV","PADD 4",IF($M1205="PADD V","PADD 5","")))))</f>
        <v>PADD 3</v>
      </c>
      <c r="G1205" s="6">
        <f>IF(AND($H1205="ATMOS DISTILLATION",ISNUMBER(SEARCH("VPS",$I1205))=FALSE,LEFT($I1205,6)&lt;&gt;"VACUUM"),"CDU",IF($H1205="FLUID CAT CRACKING","FCC",IF(OR($H1205="HYDROCRACKING",$H1205="RESID_HYDROCRACKING"),"Hydrocracker",IF($H1205="REFORMING","Reformer",""))))</f>
        <v/>
      </c>
      <c r="H1205" s="6" t="s">
        <v>43</v>
      </c>
      <c r="I1205" s="6" t="s">
        <v>682</v>
      </c>
      <c r="J1205" s="6" t="s">
        <v>345</v>
      </c>
      <c r="K1205" s="10">
        <v>27.56</v>
      </c>
      <c r="L1205" s="10">
        <v>106</v>
      </c>
      <c r="M1205" s="6" t="s">
        <v>371</v>
      </c>
    </row>
    <row r="1206" spans="1:13">
      <c r="A1206" s="6">
        <v>2023</v>
      </c>
      <c r="B1206" s="6">
        <v>5</v>
      </c>
      <c r="C1206" s="6" t="s">
        <v>63</v>
      </c>
      <c r="D1206" s="6" t="s">
        <v>387</v>
      </c>
      <c r="E1206" s="6" t="s">
        <v>388</v>
      </c>
      <c r="F1206" s="6" t="str">
        <f>IF($M1206="PADD I","PADD 1",IF($M1206="PADD II","PADD 2",IF($M1206="PADD III","PADD 3",IF($M1206="PADD IV","PADD 4",IF($M1206="PADD V","PADD 5","")))))</f>
        <v>PADD 3</v>
      </c>
      <c r="G1206" s="6">
        <f>IF(AND($H1206="ATMOS DISTILLATION",ISNUMBER(SEARCH("VPS",$I1206))=FALSE,LEFT($I1206,6)&lt;&gt;"VACUUM"),"CDU",IF($H1206="FLUID CAT CRACKING","FCC",IF(OR($H1206="HYDROCRACKING",$H1206="RESID_HYDROCRACKING"),"Hydrocracker",IF($H1206="REFORMING","Reformer",""))))</f>
        <v/>
      </c>
      <c r="H1206" s="6" t="s">
        <v>43</v>
      </c>
      <c r="I1206" s="6" t="s">
        <v>848</v>
      </c>
      <c r="J1206" s="6" t="s">
        <v>345</v>
      </c>
      <c r="K1206" s="10">
        <v>27.5</v>
      </c>
      <c r="L1206" s="10">
        <v>50</v>
      </c>
      <c r="M1206" s="6" t="s">
        <v>371</v>
      </c>
    </row>
    <row r="1207" spans="1:13">
      <c r="A1207" s="6">
        <v>2023</v>
      </c>
      <c r="B1207" s="6">
        <v>5</v>
      </c>
      <c r="C1207" s="6" t="s">
        <v>63</v>
      </c>
      <c r="D1207" s="6" t="s">
        <v>372</v>
      </c>
      <c r="E1207" s="6" t="s">
        <v>373</v>
      </c>
      <c r="F1207" s="6" t="str">
        <f>IF($M1207="PADD I","PADD 1",IF($M1207="PADD II","PADD 2",IF($M1207="PADD III","PADD 3",IF($M1207="PADD IV","PADD 4",IF($M1207="PADD V","PADD 5","")))))</f>
        <v>PADD 2</v>
      </c>
      <c r="G1207" s="6">
        <f>IF(AND($H1207="ATMOS DISTILLATION",ISNUMBER(SEARCH("VPS",$I1207))=FALSE,LEFT($I1207,6)&lt;&gt;"VACUUM"),"CDU",IF($H1207="FLUID CAT CRACKING","FCC",IF(OR($H1207="HYDROCRACKING",$H1207="RESID_HYDROCRACKING"),"Hydrocracker",IF($H1207="REFORMING","Reformer",""))))</f>
        <v/>
      </c>
      <c r="H1207" s="6" t="s">
        <v>435</v>
      </c>
      <c r="I1207" s="6" t="s">
        <v>467</v>
      </c>
      <c r="J1207" s="6" t="s">
        <v>345</v>
      </c>
      <c r="K1207" s="10">
        <v>27.5</v>
      </c>
      <c r="L1207" s="10">
        <v>27.5</v>
      </c>
      <c r="M1207" s="6" t="s">
        <v>375</v>
      </c>
    </row>
    <row r="1208" spans="1:13">
      <c r="A1208" s="6">
        <v>2023</v>
      </c>
      <c r="B1208" s="6">
        <v>5</v>
      </c>
      <c r="C1208" s="6" t="s">
        <v>63</v>
      </c>
      <c r="D1208" s="6" t="s">
        <v>739</v>
      </c>
      <c r="E1208" s="6" t="s">
        <v>405</v>
      </c>
      <c r="F1208" s="6" t="str">
        <f>IF($M1208="PADD I","PADD 1",IF($M1208="PADD II","PADD 2",IF($M1208="PADD III","PADD 3",IF($M1208="PADD IV","PADD 4",IF($M1208="PADD V","PADD 5","")))))</f>
        <v>PADD 2</v>
      </c>
      <c r="G1208" s="6">
        <f>IF(AND($H1208="ATMOS DISTILLATION",ISNUMBER(SEARCH("VPS",$I1208))=FALSE,LEFT($I1208,6)&lt;&gt;"VACUUM"),"CDU",IF($H1208="FLUID CAT CRACKING","FCC",IF(OR($H1208="HYDROCRACKING",$H1208="RESID_HYDROCRACKING"),"Hydrocracker",IF($H1208="REFORMING","Reformer",""))))</f>
        <v/>
      </c>
      <c r="H1208" s="6" t="s">
        <v>378</v>
      </c>
      <c r="I1208" s="6" t="s">
        <v>431</v>
      </c>
      <c r="J1208" s="6" t="s">
        <v>349</v>
      </c>
      <c r="K1208" s="10">
        <v>26.88</v>
      </c>
      <c r="L1208" s="10">
        <v>32</v>
      </c>
      <c r="M1208" s="6" t="s">
        <v>375</v>
      </c>
    </row>
    <row r="1209" spans="1:13">
      <c r="A1209" s="6">
        <v>2023</v>
      </c>
      <c r="B1209" s="6">
        <v>5</v>
      </c>
      <c r="C1209" s="6" t="s">
        <v>63</v>
      </c>
      <c r="D1209" s="6" t="s">
        <v>815</v>
      </c>
      <c r="E1209" s="6" t="s">
        <v>452</v>
      </c>
      <c r="F1209" s="6" t="str">
        <f>IF($M1209="PADD I","PADD 1",IF($M1209="PADD II","PADD 2",IF($M1209="PADD III","PADD 3",IF($M1209="PADD IV","PADD 4",IF($M1209="PADD V","PADD 5","")))))</f>
        <v>PADD 4</v>
      </c>
      <c r="G1209" s="6">
        <f>IF(AND($H1209="ATMOS DISTILLATION",ISNUMBER(SEARCH("VPS",$I1209))=FALSE,LEFT($I1209,6)&lt;&gt;"VACUUM"),"CDU",IF($H1209="FLUID CAT CRACKING","FCC",IF(OR($H1209="HYDROCRACKING",$H1209="RESID_HYDROCRACKING"),"Hydrocracker",IF($H1209="REFORMING","Reformer",""))))</f>
        <v/>
      </c>
      <c r="H1209" s="6" t="s">
        <v>378</v>
      </c>
      <c r="I1209" s="6" t="s">
        <v>816</v>
      </c>
      <c r="J1209" s="6" t="s">
        <v>349</v>
      </c>
      <c r="K1209" s="10">
        <v>25.2</v>
      </c>
      <c r="L1209" s="10">
        <v>30</v>
      </c>
      <c r="M1209" s="6" t="s">
        <v>430</v>
      </c>
    </row>
    <row r="1210" spans="1:13">
      <c r="A1210" s="6">
        <v>2023</v>
      </c>
      <c r="B1210" s="6">
        <v>5</v>
      </c>
      <c r="C1210" s="6" t="s">
        <v>63</v>
      </c>
      <c r="D1210" s="6" t="s">
        <v>739</v>
      </c>
      <c r="E1210" s="6" t="s">
        <v>405</v>
      </c>
      <c r="F1210" s="6" t="str">
        <f>IF($M1210="PADD I","PADD 1",IF($M1210="PADD II","PADD 2",IF($M1210="PADD III","PADD 3",IF($M1210="PADD IV","PADD 4",IF($M1210="PADD V","PADD 5","")))))</f>
        <v>PADD 2</v>
      </c>
      <c r="G1210" s="6" t="str">
        <f>IF(AND($H1210="ATMOS DISTILLATION",ISNUMBER(SEARCH("VPS",$I1210))=FALSE,LEFT($I1210,6)&lt;&gt;"VACUUM"),"CDU",IF($H1210="FLUID CAT CRACKING","FCC",IF(OR($H1210="HYDROCRACKING",$H1210="RESID_HYDROCRACKING"),"Hydrocracker",IF($H1210="REFORMING","Reformer",""))))</f>
        <v>Reformer</v>
      </c>
      <c r="H1210" s="6" t="s">
        <v>421</v>
      </c>
      <c r="I1210" s="6" t="s">
        <v>782</v>
      </c>
      <c r="J1210" s="6" t="s">
        <v>349</v>
      </c>
      <c r="K1210" s="10">
        <v>25.2</v>
      </c>
      <c r="L1210" s="10">
        <v>30</v>
      </c>
      <c r="M1210" s="6" t="s">
        <v>375</v>
      </c>
    </row>
    <row r="1211" spans="1:13">
      <c r="A1211" s="6">
        <v>2023</v>
      </c>
      <c r="B1211" s="6">
        <v>5</v>
      </c>
      <c r="C1211" s="6" t="s">
        <v>63</v>
      </c>
      <c r="D1211" s="6" t="s">
        <v>372</v>
      </c>
      <c r="E1211" s="6" t="s">
        <v>373</v>
      </c>
      <c r="F1211" s="6" t="str">
        <f>IF($M1211="PADD I","PADD 1",IF($M1211="PADD II","PADD 2",IF($M1211="PADD III","PADD 3",IF($M1211="PADD IV","PADD 4",IF($M1211="PADD V","PADD 5","")))))</f>
        <v>PADD 2</v>
      </c>
      <c r="G1211" s="6">
        <f>IF(AND($H1211="ATMOS DISTILLATION",ISNUMBER(SEARCH("VPS",$I1211))=FALSE,LEFT($I1211,6)&lt;&gt;"VACUUM"),"CDU",IF($H1211="FLUID CAT CRACKING","FCC",IF(OR($H1211="HYDROCRACKING",$H1211="RESID_HYDROCRACKING"),"Hydrocracker",IF($H1211="REFORMING","Reformer",""))))</f>
        <v/>
      </c>
      <c r="H1211" s="6" t="s">
        <v>43</v>
      </c>
      <c r="I1211" s="6" t="s">
        <v>479</v>
      </c>
      <c r="J1211" s="6" t="s">
        <v>345</v>
      </c>
      <c r="K1211" s="10">
        <v>25</v>
      </c>
      <c r="L1211" s="10">
        <v>25</v>
      </c>
      <c r="M1211" s="6" t="s">
        <v>375</v>
      </c>
    </row>
    <row r="1212" spans="1:13">
      <c r="A1212" s="6">
        <v>2023</v>
      </c>
      <c r="B1212" s="6">
        <v>5</v>
      </c>
      <c r="C1212" s="6" t="s">
        <v>63</v>
      </c>
      <c r="D1212" s="6" t="s">
        <v>372</v>
      </c>
      <c r="E1212" s="6" t="s">
        <v>373</v>
      </c>
      <c r="F1212" s="6" t="str">
        <f>IF($M1212="PADD I","PADD 1",IF($M1212="PADD II","PADD 2",IF($M1212="PADD III","PADD 3",IF($M1212="PADD IV","PADD 4",IF($M1212="PADD V","PADD 5","")))))</f>
        <v>PADD 2</v>
      </c>
      <c r="G1212" s="6">
        <f>IF(AND($H1212="ATMOS DISTILLATION",ISNUMBER(SEARCH("VPS",$I1212))=FALSE,LEFT($I1212,6)&lt;&gt;"VACUUM"),"CDU",IF($H1212="FLUID CAT CRACKING","FCC",IF(OR($H1212="HYDROCRACKING",$H1212="RESID_HYDROCRACKING"),"Hydrocracker",IF($H1212="REFORMING","Reformer",""))))</f>
        <v/>
      </c>
      <c r="H1212" s="6" t="s">
        <v>43</v>
      </c>
      <c r="I1212" s="6" t="s">
        <v>480</v>
      </c>
      <c r="J1212" s="6" t="s">
        <v>345</v>
      </c>
      <c r="K1212" s="10">
        <v>25</v>
      </c>
      <c r="L1212" s="10">
        <v>25</v>
      </c>
      <c r="M1212" s="6" t="s">
        <v>375</v>
      </c>
    </row>
    <row r="1213" spans="1:13">
      <c r="A1213" s="6">
        <v>2023</v>
      </c>
      <c r="B1213" s="6">
        <v>5</v>
      </c>
      <c r="C1213" s="6" t="s">
        <v>63</v>
      </c>
      <c r="D1213" s="6" t="s">
        <v>772</v>
      </c>
      <c r="E1213" s="6" t="s">
        <v>405</v>
      </c>
      <c r="F1213" s="6" t="str">
        <f>IF($M1213="PADD I","PADD 1",IF($M1213="PADD II","PADD 2",IF($M1213="PADD III","PADD 3",IF($M1213="PADD IV","PADD 4",IF($M1213="PADD V","PADD 5","")))))</f>
        <v>PADD 3</v>
      </c>
      <c r="G1213" s="6" t="str">
        <f>IF(AND($H1213="ATMOS DISTILLATION",ISNUMBER(SEARCH("VPS",$I1213))=FALSE,LEFT($I1213,6)&lt;&gt;"VACUUM"),"CDU",IF($H1213="FLUID CAT CRACKING","FCC",IF(OR($H1213="HYDROCRACKING",$H1213="RESID_HYDROCRACKING"),"Hydrocracker",IF($H1213="REFORMING","Reformer",""))))</f>
        <v>FCC</v>
      </c>
      <c r="H1213" s="6" t="s">
        <v>376</v>
      </c>
      <c r="I1213" s="6" t="s">
        <v>773</v>
      </c>
      <c r="J1213" s="6" t="s">
        <v>349</v>
      </c>
      <c r="K1213" s="10">
        <v>24.96</v>
      </c>
      <c r="L1213" s="10">
        <v>96</v>
      </c>
      <c r="M1213" s="6" t="s">
        <v>371</v>
      </c>
    </row>
    <row r="1214" spans="1:13">
      <c r="A1214" s="6">
        <v>2023</v>
      </c>
      <c r="B1214" s="6">
        <v>5</v>
      </c>
      <c r="C1214" s="6" t="s">
        <v>63</v>
      </c>
      <c r="D1214" s="6" t="s">
        <v>420</v>
      </c>
      <c r="E1214" s="6" t="s">
        <v>373</v>
      </c>
      <c r="F1214" s="6" t="str">
        <f>IF($M1214="PADD I","PADD 1",IF($M1214="PADD II","PADD 2",IF($M1214="PADD III","PADD 3",IF($M1214="PADD IV","PADD 4",IF($M1214="PADD V","PADD 5","")))))</f>
        <v>PADD 2</v>
      </c>
      <c r="G1214" s="6" t="str">
        <f>IF(AND($H1214="ATMOS DISTILLATION",ISNUMBER(SEARCH("VPS",$I1214))=FALSE,LEFT($I1214,6)&lt;&gt;"VACUUM"),"CDU",IF($H1214="FLUID CAT CRACKING","FCC",IF(OR($H1214="HYDROCRACKING",$H1214="RESID_HYDROCRACKING"),"Hydrocracker",IF($H1214="REFORMING","Reformer",""))))</f>
        <v>CDU</v>
      </c>
      <c r="H1214" s="6" t="s">
        <v>38</v>
      </c>
      <c r="I1214" s="6" t="s">
        <v>81</v>
      </c>
      <c r="J1214" s="6" t="s">
        <v>345</v>
      </c>
      <c r="K1214" s="10">
        <v>24.5</v>
      </c>
      <c r="L1214" s="10">
        <v>24.5</v>
      </c>
      <c r="M1214" s="6" t="s">
        <v>375</v>
      </c>
    </row>
    <row r="1215" spans="1:13">
      <c r="A1215" s="6">
        <v>2023</v>
      </c>
      <c r="B1215" s="6">
        <v>5</v>
      </c>
      <c r="C1215" s="6" t="s">
        <v>63</v>
      </c>
      <c r="D1215" s="6" t="s">
        <v>815</v>
      </c>
      <c r="E1215" s="6" t="s">
        <v>452</v>
      </c>
      <c r="F1215" s="6" t="str">
        <f>IF($M1215="PADD I","PADD 1",IF($M1215="PADD II","PADD 2",IF($M1215="PADD III","PADD 3",IF($M1215="PADD IV","PADD 4",IF($M1215="PADD V","PADD 5","")))))</f>
        <v>PADD 4</v>
      </c>
      <c r="G1215" s="6" t="str">
        <f>IF(AND($H1215="ATMOS DISTILLATION",ISNUMBER(SEARCH("VPS",$I1215))=FALSE,LEFT($I1215,6)&lt;&gt;"VACUUM"),"CDU",IF($H1215="FLUID CAT CRACKING","FCC",IF(OR($H1215="HYDROCRACKING",$H1215="RESID_HYDROCRACKING"),"Hydrocracker",IF($H1215="REFORMING","Reformer",""))))</f>
        <v>CDU</v>
      </c>
      <c r="H1215" s="6" t="s">
        <v>38</v>
      </c>
      <c r="I1215" s="6" t="s">
        <v>820</v>
      </c>
      <c r="J1215" s="6" t="s">
        <v>349</v>
      </c>
      <c r="K1215" s="10">
        <v>23.52</v>
      </c>
      <c r="L1215" s="10">
        <v>28</v>
      </c>
      <c r="M1215" s="6" t="s">
        <v>430</v>
      </c>
    </row>
    <row r="1216" spans="1:13">
      <c r="A1216" s="6">
        <v>2023</v>
      </c>
      <c r="B1216" s="6">
        <v>5</v>
      </c>
      <c r="C1216" s="6" t="s">
        <v>63</v>
      </c>
      <c r="D1216" s="6" t="s">
        <v>739</v>
      </c>
      <c r="E1216" s="6" t="s">
        <v>405</v>
      </c>
      <c r="F1216" s="6" t="str">
        <f>IF($M1216="PADD I","PADD 1",IF($M1216="PADD II","PADD 2",IF($M1216="PADD III","PADD 3",IF($M1216="PADD IV","PADD 4",IF($M1216="PADD V","PADD 5","")))))</f>
        <v>PADD 2</v>
      </c>
      <c r="G1216" s="6">
        <f>IF(AND($H1216="ATMOS DISTILLATION",ISNUMBER(SEARCH("VPS",$I1216))=FALSE,LEFT($I1216,6)&lt;&gt;"VACUUM"),"CDU",IF($H1216="FLUID CAT CRACKING","FCC",IF(OR($H1216="HYDROCRACKING",$H1216="RESID_HYDROCRACKING"),"Hydrocracker",IF($H1216="REFORMING","Reformer",""))))</f>
        <v/>
      </c>
      <c r="H1216" s="6" t="s">
        <v>43</v>
      </c>
      <c r="I1216" s="6" t="s">
        <v>493</v>
      </c>
      <c r="J1216" s="6" t="s">
        <v>349</v>
      </c>
      <c r="K1216" s="10">
        <v>22.26</v>
      </c>
      <c r="L1216" s="10">
        <v>26.5</v>
      </c>
      <c r="M1216" s="6" t="s">
        <v>375</v>
      </c>
    </row>
    <row r="1217" spans="1:13">
      <c r="A1217" s="6">
        <v>2023</v>
      </c>
      <c r="B1217" s="6">
        <v>5</v>
      </c>
      <c r="C1217" s="6" t="s">
        <v>63</v>
      </c>
      <c r="D1217" s="6" t="s">
        <v>772</v>
      </c>
      <c r="E1217" s="6" t="s">
        <v>405</v>
      </c>
      <c r="F1217" s="6" t="str">
        <f>IF($M1217="PADD I","PADD 1",IF($M1217="PADD II","PADD 2",IF($M1217="PADD III","PADD 3",IF($M1217="PADD IV","PADD 4",IF($M1217="PADD V","PADD 5","")))))</f>
        <v>PADD 3</v>
      </c>
      <c r="G1217" s="6" t="str">
        <f>IF(AND($H1217="ATMOS DISTILLATION",ISNUMBER(SEARCH("VPS",$I1217))=FALSE,LEFT($I1217,6)&lt;&gt;"VACUUM"),"CDU",IF($H1217="FLUID CAT CRACKING","FCC",IF(OR($H1217="HYDROCRACKING",$H1217="RESID_HYDROCRACKING"),"Hydrocracker",IF($H1217="REFORMING","Reformer",""))))</f>
        <v>FCC</v>
      </c>
      <c r="H1217" s="6" t="s">
        <v>376</v>
      </c>
      <c r="I1217" s="6" t="s">
        <v>773</v>
      </c>
      <c r="J1217" s="6" t="s">
        <v>345</v>
      </c>
      <c r="K1217" s="10">
        <v>22.08</v>
      </c>
      <c r="L1217" s="10">
        <v>96</v>
      </c>
      <c r="M1217" s="6" t="s">
        <v>371</v>
      </c>
    </row>
    <row r="1218" spans="1:13">
      <c r="A1218" s="6">
        <v>2023</v>
      </c>
      <c r="B1218" s="6">
        <v>5</v>
      </c>
      <c r="C1218" s="6" t="s">
        <v>63</v>
      </c>
      <c r="D1218" s="6" t="s">
        <v>770</v>
      </c>
      <c r="E1218" s="6" t="s">
        <v>660</v>
      </c>
      <c r="F1218" s="6" t="str">
        <f>IF($M1218="PADD I","PADD 1",IF($M1218="PADD II","PADD 2",IF($M1218="PADD III","PADD 3",IF($M1218="PADD IV","PADD 4",IF($M1218="PADD V","PADD 5","")))))</f>
        <v>PADD 3</v>
      </c>
      <c r="G1218" s="6">
        <f>IF(AND($H1218="ATMOS DISTILLATION",ISNUMBER(SEARCH("VPS",$I1218))=FALSE,LEFT($I1218,6)&lt;&gt;"VACUUM"),"CDU",IF($H1218="FLUID CAT CRACKING","FCC",IF(OR($H1218="HYDROCRACKING",$H1218="RESID_HYDROCRACKING"),"Hydrocracker",IF($H1218="REFORMING","Reformer",""))))</f>
        <v/>
      </c>
      <c r="H1218" s="6" t="s">
        <v>43</v>
      </c>
      <c r="I1218" s="6" t="s">
        <v>626</v>
      </c>
      <c r="J1218" s="6" t="s">
        <v>349</v>
      </c>
      <c r="K1218" s="10">
        <v>22</v>
      </c>
      <c r="L1218" s="10">
        <v>22</v>
      </c>
      <c r="M1218" s="6" t="s">
        <v>371</v>
      </c>
    </row>
    <row r="1219" spans="1:13">
      <c r="A1219" s="6">
        <v>2023</v>
      </c>
      <c r="B1219" s="6">
        <v>5</v>
      </c>
      <c r="C1219" s="6" t="s">
        <v>63</v>
      </c>
      <c r="D1219" s="6" t="s">
        <v>770</v>
      </c>
      <c r="E1219" s="6" t="s">
        <v>660</v>
      </c>
      <c r="F1219" s="6" t="str">
        <f>IF($M1219="PADD I","PADD 1",IF($M1219="PADD II","PADD 2",IF($M1219="PADD III","PADD 3",IF($M1219="PADD IV","PADD 4",IF($M1219="PADD V","PADD 5","")))))</f>
        <v>PADD 3</v>
      </c>
      <c r="G1219" s="6">
        <f>IF(AND($H1219="ATMOS DISTILLATION",ISNUMBER(SEARCH("VPS",$I1219))=FALSE,LEFT($I1219,6)&lt;&gt;"VACUUM"),"CDU",IF($H1219="FLUID CAT CRACKING","FCC",IF(OR($H1219="HYDROCRACKING",$H1219="RESID_HYDROCRACKING"),"Hydrocracker",IF($H1219="REFORMING","Reformer",""))))</f>
        <v/>
      </c>
      <c r="H1219" s="6" t="s">
        <v>43</v>
      </c>
      <c r="I1219" s="6" t="s">
        <v>781</v>
      </c>
      <c r="J1219" s="6" t="s">
        <v>349</v>
      </c>
      <c r="K1219" s="10">
        <v>22</v>
      </c>
      <c r="L1219" s="10">
        <v>22</v>
      </c>
      <c r="M1219" s="6" t="s">
        <v>371</v>
      </c>
    </row>
    <row r="1220" spans="1:13">
      <c r="A1220" s="6">
        <v>2023</v>
      </c>
      <c r="B1220" s="6">
        <v>5</v>
      </c>
      <c r="C1220" s="6" t="s">
        <v>63</v>
      </c>
      <c r="D1220" s="6" t="s">
        <v>748</v>
      </c>
      <c r="E1220" s="6" t="s">
        <v>388</v>
      </c>
      <c r="F1220" s="6" t="str">
        <f>IF($M1220="PADD I","PADD 1",IF($M1220="PADD II","PADD 2",IF($M1220="PADD III","PADD 3",IF($M1220="PADD IV","PADD 4",IF($M1220="PADD V","PADD 5","")))))</f>
        <v>PADD 3</v>
      </c>
      <c r="G1220" s="6" t="str">
        <f>IF(AND($H1220="ATMOS DISTILLATION",ISNUMBER(SEARCH("VPS",$I1220))=FALSE,LEFT($I1220,6)&lt;&gt;"VACUUM"),"CDU",IF($H1220="FLUID CAT CRACKING","FCC",IF(OR($H1220="HYDROCRACKING",$H1220="RESID_HYDROCRACKING"),"Hydrocracker",IF($H1220="REFORMING","Reformer",""))))</f>
        <v>CDU</v>
      </c>
      <c r="H1220" s="6" t="s">
        <v>38</v>
      </c>
      <c r="I1220" s="6" t="s">
        <v>749</v>
      </c>
      <c r="J1220" s="6" t="s">
        <v>349</v>
      </c>
      <c r="K1220" s="10">
        <v>21.84</v>
      </c>
      <c r="L1220" s="10">
        <v>56</v>
      </c>
      <c r="M1220" s="6" t="s">
        <v>371</v>
      </c>
    </row>
    <row r="1221" spans="1:13">
      <c r="A1221" s="6">
        <v>2023</v>
      </c>
      <c r="B1221" s="6">
        <v>5</v>
      </c>
      <c r="C1221" s="6" t="s">
        <v>63</v>
      </c>
      <c r="D1221" s="6" t="s">
        <v>468</v>
      </c>
      <c r="E1221" s="6" t="s">
        <v>369</v>
      </c>
      <c r="F1221" s="6" t="str">
        <f>IF($M1221="PADD I","PADD 1",IF($M1221="PADD II","PADD 2",IF($M1221="PADD III","PADD 3",IF($M1221="PADD IV","PADD 4",IF($M1221="PADD V","PADD 5","")))))</f>
        <v>PADD 3</v>
      </c>
      <c r="G1221" s="6">
        <f>IF(AND($H1221="ATMOS DISTILLATION",ISNUMBER(SEARCH("VPS",$I1221))=FALSE,LEFT($I1221,6)&lt;&gt;"VACUUM"),"CDU",IF($H1221="FLUID CAT CRACKING","FCC",IF(OR($H1221="HYDROCRACKING",$H1221="RESID_HYDROCRACKING"),"Hydrocracker",IF($H1221="REFORMING","Reformer",""))))</f>
        <v/>
      </c>
      <c r="H1221" s="6" t="s">
        <v>43</v>
      </c>
      <c r="I1221" s="6" t="s">
        <v>849</v>
      </c>
      <c r="J1221" s="6" t="s">
        <v>345</v>
      </c>
      <c r="K1221" s="10">
        <v>21.17</v>
      </c>
      <c r="L1221" s="10">
        <v>73</v>
      </c>
      <c r="M1221" s="6" t="s">
        <v>371</v>
      </c>
    </row>
    <row r="1222" spans="1:13">
      <c r="A1222" s="6">
        <v>2023</v>
      </c>
      <c r="B1222" s="6">
        <v>5</v>
      </c>
      <c r="C1222" s="6" t="s">
        <v>63</v>
      </c>
      <c r="D1222" s="6" t="s">
        <v>420</v>
      </c>
      <c r="E1222" s="6" t="s">
        <v>373</v>
      </c>
      <c r="F1222" s="6" t="str">
        <f>IF($M1222="PADD I","PADD 1",IF($M1222="PADD II","PADD 2",IF($M1222="PADD III","PADD 3",IF($M1222="PADD IV","PADD 4",IF($M1222="PADD V","PADD 5","")))))</f>
        <v>PADD 2</v>
      </c>
      <c r="G1222" s="6">
        <f>IF(AND($H1222="ATMOS DISTILLATION",ISNUMBER(SEARCH("VPS",$I1222))=FALSE,LEFT($I1222,6)&lt;&gt;"VACUUM"),"CDU",IF($H1222="FLUID CAT CRACKING","FCC",IF(OR($H1222="HYDROCRACKING",$H1222="RESID_HYDROCRACKING"),"Hydrocracker",IF($H1222="REFORMING","Reformer",""))))</f>
        <v/>
      </c>
      <c r="H1222" s="6" t="s">
        <v>378</v>
      </c>
      <c r="I1222" s="6" t="s">
        <v>431</v>
      </c>
      <c r="J1222" s="6" t="s">
        <v>345</v>
      </c>
      <c r="K1222" s="10">
        <v>20.5</v>
      </c>
      <c r="L1222" s="10">
        <v>20.5</v>
      </c>
      <c r="M1222" s="6" t="s">
        <v>375</v>
      </c>
    </row>
    <row r="1223" spans="1:13">
      <c r="A1223" s="6">
        <v>2023</v>
      </c>
      <c r="B1223" s="6">
        <v>5</v>
      </c>
      <c r="C1223" s="6" t="s">
        <v>63</v>
      </c>
      <c r="D1223" s="6" t="s">
        <v>742</v>
      </c>
      <c r="E1223" s="6" t="s">
        <v>388</v>
      </c>
      <c r="F1223" s="6" t="str">
        <f>IF($M1223="PADD I","PADD 1",IF($M1223="PADD II","PADD 2",IF($M1223="PADD III","PADD 3",IF($M1223="PADD IV","PADD 4",IF($M1223="PADD V","PADD 5","")))))</f>
        <v>PADD 5</v>
      </c>
      <c r="G1223" s="6" t="str">
        <f>IF(AND($H1223="ATMOS DISTILLATION",ISNUMBER(SEARCH("VPS",$I1223))=FALSE,LEFT($I1223,6)&lt;&gt;"VACUUM"),"CDU",IF($H1223="FLUID CAT CRACKING","FCC",IF(OR($H1223="HYDROCRACKING",$H1223="RESID_HYDROCRACKING"),"Hydrocracker",IF($H1223="REFORMING","Reformer",""))))</f>
        <v>FCC</v>
      </c>
      <c r="H1223" s="6" t="s">
        <v>376</v>
      </c>
      <c r="I1223" s="6" t="s">
        <v>105</v>
      </c>
      <c r="J1223" s="6" t="s">
        <v>349</v>
      </c>
      <c r="K1223" s="10">
        <v>20.16</v>
      </c>
      <c r="L1223" s="10">
        <v>42</v>
      </c>
      <c r="M1223" s="6" t="s">
        <v>386</v>
      </c>
    </row>
    <row r="1224" spans="1:13">
      <c r="A1224" s="6">
        <v>2023</v>
      </c>
      <c r="B1224" s="6">
        <v>5</v>
      </c>
      <c r="C1224" s="6" t="s">
        <v>63</v>
      </c>
      <c r="D1224" s="6" t="s">
        <v>324</v>
      </c>
      <c r="E1224" s="6" t="s">
        <v>388</v>
      </c>
      <c r="F1224" s="6" t="str">
        <f>IF($M1224="PADD I","PADD 1",IF($M1224="PADD II","PADD 2",IF($M1224="PADD III","PADD 3",IF($M1224="PADD IV","PADD 4",IF($M1224="PADD V","PADD 5","")))))</f>
        <v>PADD 3</v>
      </c>
      <c r="G1224" s="6">
        <f>IF(AND($H1224="ATMOS DISTILLATION",ISNUMBER(SEARCH("VPS",$I1224))=FALSE,LEFT($I1224,6)&lt;&gt;"VACUUM"),"CDU",IF($H1224="FLUID CAT CRACKING","FCC",IF(OR($H1224="HYDROCRACKING",$H1224="RESID_HYDROCRACKING"),"Hydrocracker",IF($H1224="REFORMING","Reformer",""))))</f>
        <v/>
      </c>
      <c r="H1224" s="6" t="s">
        <v>43</v>
      </c>
      <c r="I1224" s="6" t="s">
        <v>682</v>
      </c>
      <c r="J1224" s="6" t="s">
        <v>345</v>
      </c>
      <c r="K1224" s="10">
        <v>20.14</v>
      </c>
      <c r="L1224" s="10">
        <v>106</v>
      </c>
      <c r="M1224" s="6" t="s">
        <v>371</v>
      </c>
    </row>
    <row r="1225" spans="1:13">
      <c r="A1225" s="6">
        <v>2023</v>
      </c>
      <c r="B1225" s="6">
        <v>5</v>
      </c>
      <c r="C1225" s="6" t="s">
        <v>63</v>
      </c>
      <c r="D1225" s="6" t="s">
        <v>437</v>
      </c>
      <c r="E1225" s="6" t="s">
        <v>438</v>
      </c>
      <c r="F1225" s="6" t="str">
        <f>IF($M1225="PADD I","PADD 1",IF($M1225="PADD II","PADD 2",IF($M1225="PADD III","PADD 3",IF($M1225="PADD IV","PADD 4",IF($M1225="PADD V","PADD 5","")))))</f>
        <v>PADD 4</v>
      </c>
      <c r="G1225" s="6">
        <f>IF(AND($H1225="ATMOS DISTILLATION",ISNUMBER(SEARCH("VPS",$I1225))=FALSE,LEFT($I1225,6)&lt;&gt;"VACUUM"),"CDU",IF($H1225="FLUID CAT CRACKING","FCC",IF(OR($H1225="HYDROCRACKING",$H1225="RESID_HYDROCRACKING"),"Hydrocracker",IF($H1225="REFORMING","Reformer",""))))</f>
        <v/>
      </c>
      <c r="H1225" s="6" t="s">
        <v>378</v>
      </c>
      <c r="I1225" s="6" t="s">
        <v>494</v>
      </c>
      <c r="J1225" s="6" t="s">
        <v>349</v>
      </c>
      <c r="K1225" s="10">
        <v>20</v>
      </c>
      <c r="L1225" s="10">
        <v>20</v>
      </c>
      <c r="M1225" s="6" t="s">
        <v>430</v>
      </c>
    </row>
    <row r="1226" spans="1:13">
      <c r="A1226" s="6">
        <v>2023</v>
      </c>
      <c r="B1226" s="6">
        <v>5</v>
      </c>
      <c r="C1226" s="6" t="s">
        <v>63</v>
      </c>
      <c r="D1226" s="6" t="s">
        <v>496</v>
      </c>
      <c r="E1226" s="6" t="s">
        <v>388</v>
      </c>
      <c r="F1226" s="6" t="str">
        <f>IF($M1226="PADD I","PADD 1",IF($M1226="PADD II","PADD 2",IF($M1226="PADD III","PADD 3",IF($M1226="PADD IV","PADD 4",IF($M1226="PADD V","PADD 5","")))))</f>
        <v>PADD 2</v>
      </c>
      <c r="G1226" s="6" t="str">
        <f>IF(AND($H1226="ATMOS DISTILLATION",ISNUMBER(SEARCH("VPS",$I1226))=FALSE,LEFT($I1226,6)&lt;&gt;"VACUUM"),"CDU",IF($H1226="FLUID CAT CRACKING","FCC",IF(OR($H1226="HYDROCRACKING",$H1226="RESID_HYDROCRACKING"),"Hydrocracker",IF($H1226="REFORMING","Reformer",""))))</f>
        <v>CDU</v>
      </c>
      <c r="H1226" s="6" t="s">
        <v>38</v>
      </c>
      <c r="I1226" s="6" t="s">
        <v>81</v>
      </c>
      <c r="J1226" s="6" t="s">
        <v>349</v>
      </c>
      <c r="K1226" s="10">
        <v>20</v>
      </c>
      <c r="L1226" s="10">
        <v>20</v>
      </c>
      <c r="M1226" s="6" t="s">
        <v>375</v>
      </c>
    </row>
    <row r="1227" spans="1:13">
      <c r="A1227" s="6">
        <v>2023</v>
      </c>
      <c r="B1227" s="6">
        <v>5</v>
      </c>
      <c r="C1227" s="6" t="s">
        <v>63</v>
      </c>
      <c r="D1227" s="6" t="s">
        <v>380</v>
      </c>
      <c r="E1227" s="6" t="s">
        <v>381</v>
      </c>
      <c r="F1227" s="6" t="str">
        <f>IF($M1227="PADD I","PADD 1",IF($M1227="PADD II","PADD 2",IF($M1227="PADD III","PADD 3",IF($M1227="PADD IV","PADD 4",IF($M1227="PADD V","PADD 5","")))))</f>
        <v>PADD 3</v>
      </c>
      <c r="G1227" s="6">
        <f>IF(AND($H1227="ATMOS DISTILLATION",ISNUMBER(SEARCH("VPS",$I1227))=FALSE,LEFT($I1227,6)&lt;&gt;"VACUUM"),"CDU",IF($H1227="FLUID CAT CRACKING","FCC",IF(OR($H1227="HYDROCRACKING",$H1227="RESID_HYDROCRACKING"),"Hydrocracker",IF($H1227="REFORMING","Reformer",""))))</f>
        <v/>
      </c>
      <c r="H1227" s="6" t="s">
        <v>378</v>
      </c>
      <c r="I1227" s="6" t="s">
        <v>850</v>
      </c>
      <c r="J1227" s="6" t="s">
        <v>345</v>
      </c>
      <c r="K1227" s="10">
        <v>19.8</v>
      </c>
      <c r="L1227" s="10">
        <v>44</v>
      </c>
      <c r="M1227" s="6" t="s">
        <v>371</v>
      </c>
    </row>
    <row r="1228" spans="1:13">
      <c r="A1228" s="6">
        <v>2023</v>
      </c>
      <c r="B1228" s="6">
        <v>5</v>
      </c>
      <c r="C1228" s="6" t="s">
        <v>63</v>
      </c>
      <c r="D1228" s="6" t="s">
        <v>53</v>
      </c>
      <c r="E1228" s="6" t="s">
        <v>543</v>
      </c>
      <c r="F1228" s="6" t="str">
        <f>IF($M1228="PADD I","PADD 1",IF($M1228="PADD II","PADD 2",IF($M1228="PADD III","PADD 3",IF($M1228="PADD IV","PADD 4",IF($M1228="PADD V","PADD 5","")))))</f>
        <v>PADD 5</v>
      </c>
      <c r="G1228" s="6" t="str">
        <f>IF(AND($H1228="ATMOS DISTILLATION",ISNUMBER(SEARCH("VPS",$I1228))=FALSE,LEFT($I1228,6)&lt;&gt;"VACUUM"),"CDU",IF($H1228="FLUID CAT CRACKING","FCC",IF(OR($H1228="HYDROCRACKING",$H1228="RESID_HYDROCRACKING"),"Hydrocracker",IF($H1228="REFORMING","Reformer",""))))</f>
        <v>Reformer</v>
      </c>
      <c r="H1228" s="6" t="s">
        <v>421</v>
      </c>
      <c r="I1228" s="6" t="s">
        <v>559</v>
      </c>
      <c r="J1228" s="6" t="s">
        <v>349</v>
      </c>
      <c r="K1228" s="10">
        <v>19.5</v>
      </c>
      <c r="L1228" s="10">
        <v>50</v>
      </c>
      <c r="M1228" s="6" t="s">
        <v>386</v>
      </c>
    </row>
    <row r="1229" spans="1:13">
      <c r="A1229" s="6">
        <v>2023</v>
      </c>
      <c r="B1229" s="6">
        <v>5</v>
      </c>
      <c r="C1229" s="6" t="s">
        <v>63</v>
      </c>
      <c r="D1229" s="6" t="s">
        <v>851</v>
      </c>
      <c r="E1229" s="6" t="s">
        <v>852</v>
      </c>
      <c r="F1229" s="6" t="str">
        <f>IF($M1229="PADD I","PADD 1",IF($M1229="PADD II","PADD 2",IF($M1229="PADD III","PADD 3",IF($M1229="PADD IV","PADD 4",IF($M1229="PADD V","PADD 5","")))))</f>
        <v>PADD 3</v>
      </c>
      <c r="G1229" s="6" t="str">
        <f>IF(AND($H1229="ATMOS DISTILLATION",ISNUMBER(SEARCH("VPS",$I1229))=FALSE,LEFT($I1229,6)&lt;&gt;"VACUUM"),"CDU",IF($H1229="FLUID CAT CRACKING","FCC",IF(OR($H1229="HYDROCRACKING",$H1229="RESID_HYDROCRACKING"),"Hydrocracker",IF($H1229="REFORMING","Reformer",""))))</f>
        <v>CDU</v>
      </c>
      <c r="H1229" s="6" t="s">
        <v>38</v>
      </c>
      <c r="I1229" s="6" t="s">
        <v>853</v>
      </c>
      <c r="J1229" s="6" t="s">
        <v>349</v>
      </c>
      <c r="K1229" s="10">
        <v>18.85</v>
      </c>
      <c r="L1229" s="10">
        <v>65</v>
      </c>
      <c r="M1229" s="6" t="s">
        <v>371</v>
      </c>
    </row>
    <row r="1230" spans="1:13">
      <c r="A1230" s="6">
        <v>2023</v>
      </c>
      <c r="B1230" s="6">
        <v>5</v>
      </c>
      <c r="C1230" s="6" t="s">
        <v>63</v>
      </c>
      <c r="D1230" s="6" t="s">
        <v>851</v>
      </c>
      <c r="E1230" s="6" t="s">
        <v>852</v>
      </c>
      <c r="F1230" s="6" t="str">
        <f>IF($M1230="PADD I","PADD 1",IF($M1230="PADD II","PADD 2",IF($M1230="PADD III","PADD 3",IF($M1230="PADD IV","PADD 4",IF($M1230="PADD V","PADD 5","")))))</f>
        <v>PADD 3</v>
      </c>
      <c r="G1230" s="6" t="str">
        <f>IF(AND($H1230="ATMOS DISTILLATION",ISNUMBER(SEARCH("VPS",$I1230))=FALSE,LEFT($I1230,6)&lt;&gt;"VACUUM"),"CDU",IF($H1230="FLUID CAT CRACKING","FCC",IF(OR($H1230="HYDROCRACKING",$H1230="RESID_HYDROCRACKING"),"Hydrocracker",IF($H1230="REFORMING","Reformer",""))))</f>
        <v>CDU</v>
      </c>
      <c r="H1230" s="6" t="s">
        <v>38</v>
      </c>
      <c r="I1230" s="6" t="s">
        <v>854</v>
      </c>
      <c r="J1230" s="6" t="s">
        <v>349</v>
      </c>
      <c r="K1230" s="10">
        <v>18.85</v>
      </c>
      <c r="L1230" s="10">
        <v>65</v>
      </c>
      <c r="M1230" s="6" t="s">
        <v>371</v>
      </c>
    </row>
    <row r="1231" spans="1:13">
      <c r="A1231" s="6">
        <v>2023</v>
      </c>
      <c r="B1231" s="6">
        <v>5</v>
      </c>
      <c r="C1231" s="6" t="s">
        <v>63</v>
      </c>
      <c r="D1231" s="6" t="s">
        <v>770</v>
      </c>
      <c r="E1231" s="6" t="s">
        <v>660</v>
      </c>
      <c r="F1231" s="6" t="str">
        <f>IF($M1231="PADD I","PADD 1",IF($M1231="PADD II","PADD 2",IF($M1231="PADD III","PADD 3",IF($M1231="PADD IV","PADD 4",IF($M1231="PADD V","PADD 5","")))))</f>
        <v>PADD 3</v>
      </c>
      <c r="G1231" s="6" t="str">
        <f>IF(AND($H1231="ATMOS DISTILLATION",ISNUMBER(SEARCH("VPS",$I1231))=FALSE,LEFT($I1231,6)&lt;&gt;"VACUUM"),"CDU",IF($H1231="FLUID CAT CRACKING","FCC",IF(OR($H1231="HYDROCRACKING",$H1231="RESID_HYDROCRACKING"),"Hydrocracker",IF($H1231="REFORMING","Reformer",""))))</f>
        <v>Hydrocracker</v>
      </c>
      <c r="H1231" s="6" t="s">
        <v>444</v>
      </c>
      <c r="I1231" s="6" t="s">
        <v>14</v>
      </c>
      <c r="J1231" s="6" t="s">
        <v>349</v>
      </c>
      <c r="K1231" s="10">
        <v>18.5</v>
      </c>
      <c r="L1231" s="10">
        <v>18.5</v>
      </c>
      <c r="M1231" s="6" t="s">
        <v>371</v>
      </c>
    </row>
    <row r="1232" spans="1:13">
      <c r="A1232" s="6">
        <v>2023</v>
      </c>
      <c r="B1232" s="6">
        <v>5</v>
      </c>
      <c r="C1232" s="6" t="s">
        <v>63</v>
      </c>
      <c r="D1232" s="6" t="s">
        <v>372</v>
      </c>
      <c r="E1232" s="6" t="s">
        <v>373</v>
      </c>
      <c r="F1232" s="6" t="str">
        <f>IF($M1232="PADD I","PADD 1",IF($M1232="PADD II","PADD 2",IF($M1232="PADD III","PADD 3",IF($M1232="PADD IV","PADD 4",IF($M1232="PADD V","PADD 5","")))))</f>
        <v>PADD 2</v>
      </c>
      <c r="G1232" s="6">
        <f>IF(AND($H1232="ATMOS DISTILLATION",ISNUMBER(SEARCH("VPS",$I1232))=FALSE,LEFT($I1232,6)&lt;&gt;"VACUUM"),"CDU",IF($H1232="FLUID CAT CRACKING","FCC",IF(OR($H1232="HYDROCRACKING",$H1232="RESID_HYDROCRACKING"),"Hydrocracker",IF($H1232="REFORMING","Reformer",""))))</f>
        <v/>
      </c>
      <c r="H1232" s="6" t="s">
        <v>460</v>
      </c>
      <c r="I1232" s="6" t="s">
        <v>505</v>
      </c>
      <c r="J1232" s="6" t="s">
        <v>345</v>
      </c>
      <c r="K1232" s="10">
        <v>18</v>
      </c>
      <c r="L1232" s="10">
        <v>18</v>
      </c>
      <c r="M1232" s="6" t="s">
        <v>375</v>
      </c>
    </row>
    <row r="1233" spans="1:13">
      <c r="A1233" s="6">
        <v>2023</v>
      </c>
      <c r="B1233" s="6">
        <v>5</v>
      </c>
      <c r="C1233" s="6" t="s">
        <v>63</v>
      </c>
      <c r="D1233" s="6" t="s">
        <v>446</v>
      </c>
      <c r="E1233" s="6" t="s">
        <v>391</v>
      </c>
      <c r="F1233" s="6" t="str">
        <f>IF($M1233="PADD I","PADD 1",IF($M1233="PADD II","PADD 2",IF($M1233="PADD III","PADD 3",IF($M1233="PADD IV","PADD 4",IF($M1233="PADD V","PADD 5","")))))</f>
        <v>PADD 3</v>
      </c>
      <c r="G1233" s="6" t="str">
        <f>IF(AND($H1233="ATMOS DISTILLATION",ISNUMBER(SEARCH("VPS",$I1233))=FALSE,LEFT($I1233,6)&lt;&gt;"VACUUM"),"CDU",IF($H1233="FLUID CAT CRACKING","FCC",IF(OR($H1233="HYDROCRACKING",$H1233="RESID_HYDROCRACKING"),"Hydrocracker",IF($H1233="REFORMING","Reformer",""))))</f>
        <v>Reformer</v>
      </c>
      <c r="H1233" s="6" t="s">
        <v>421</v>
      </c>
      <c r="I1233" s="6" t="s">
        <v>483</v>
      </c>
      <c r="J1233" s="6" t="s">
        <v>345</v>
      </c>
      <c r="K1233" s="10">
        <v>17.71</v>
      </c>
      <c r="L1233" s="10">
        <v>23</v>
      </c>
      <c r="M1233" s="6" t="s">
        <v>371</v>
      </c>
    </row>
    <row r="1234" spans="1:13">
      <c r="A1234" s="6">
        <v>2023</v>
      </c>
      <c r="B1234" s="6">
        <v>5</v>
      </c>
      <c r="C1234" s="6" t="s">
        <v>63</v>
      </c>
      <c r="D1234" s="6" t="s">
        <v>772</v>
      </c>
      <c r="E1234" s="6" t="s">
        <v>405</v>
      </c>
      <c r="F1234" s="6" t="str">
        <f>IF($M1234="PADD I","PADD 1",IF($M1234="PADD II","PADD 2",IF($M1234="PADD III","PADD 3",IF($M1234="PADD IV","PADD 4",IF($M1234="PADD V","PADD 5","")))))</f>
        <v>PADD 3</v>
      </c>
      <c r="G1234" s="6">
        <f>IF(AND($H1234="ATMOS DISTILLATION",ISNUMBER(SEARCH("VPS",$I1234))=FALSE,LEFT($I1234,6)&lt;&gt;"VACUUM"),"CDU",IF($H1234="FLUID CAT CRACKING","FCC",IF(OR($H1234="HYDROCRACKING",$H1234="RESID_HYDROCRACKING"),"Hydrocracker",IF($H1234="REFORMING","Reformer",""))))</f>
        <v/>
      </c>
      <c r="H1234" s="6" t="s">
        <v>43</v>
      </c>
      <c r="I1234" s="6" t="s">
        <v>855</v>
      </c>
      <c r="J1234" s="6" t="s">
        <v>345</v>
      </c>
      <c r="K1234" s="10">
        <v>17.48</v>
      </c>
      <c r="L1234" s="10">
        <v>76</v>
      </c>
      <c r="M1234" s="6" t="s">
        <v>371</v>
      </c>
    </row>
    <row r="1235" spans="1:13">
      <c r="A1235" s="6">
        <v>2023</v>
      </c>
      <c r="B1235" s="6">
        <v>5</v>
      </c>
      <c r="C1235" s="6" t="s">
        <v>63</v>
      </c>
      <c r="D1235" s="6" t="s">
        <v>54</v>
      </c>
      <c r="E1235" s="6" t="s">
        <v>856</v>
      </c>
      <c r="F1235" s="6" t="str">
        <f>IF($M1235="PADD I","PADD 1",IF($M1235="PADD II","PADD 2",IF($M1235="PADD III","PADD 3",IF($M1235="PADD IV","PADD 4",IF($M1235="PADD V","PADD 5","")))))</f>
        <v>PADD 5</v>
      </c>
      <c r="G1235" s="6" t="str">
        <f>IF(AND($H1235="ATMOS DISTILLATION",ISNUMBER(SEARCH("VPS",$I1235))=FALSE,LEFT($I1235,6)&lt;&gt;"VACUUM"),"CDU",IF($H1235="FLUID CAT CRACKING","FCC",IF(OR($H1235="HYDROCRACKING",$H1235="RESID_HYDROCRACKING"),"Hydrocracker",IF($H1235="REFORMING","Reformer",""))))</f>
        <v>CDU</v>
      </c>
      <c r="H1235" s="6" t="s">
        <v>38</v>
      </c>
      <c r="I1235" s="6" t="s">
        <v>857</v>
      </c>
      <c r="J1235" s="6" t="s">
        <v>349</v>
      </c>
      <c r="K1235" s="10">
        <v>17.4</v>
      </c>
      <c r="L1235" s="10">
        <v>60</v>
      </c>
      <c r="M1235" s="6" t="s">
        <v>386</v>
      </c>
    </row>
    <row r="1236" spans="1:13">
      <c r="A1236" s="6">
        <v>2023</v>
      </c>
      <c r="B1236" s="6">
        <v>5</v>
      </c>
      <c r="C1236" s="6" t="s">
        <v>63</v>
      </c>
      <c r="D1236" s="6" t="s">
        <v>748</v>
      </c>
      <c r="E1236" s="6" t="s">
        <v>388</v>
      </c>
      <c r="F1236" s="6" t="str">
        <f>IF($M1236="PADD I","PADD 1",IF($M1236="PADD II","PADD 2",IF($M1236="PADD III","PADD 3",IF($M1236="PADD IV","PADD 4",IF($M1236="PADD V","PADD 5","")))))</f>
        <v>PADD 3</v>
      </c>
      <c r="G1236" s="6">
        <f>IF(AND($H1236="ATMOS DISTILLATION",ISNUMBER(SEARCH("VPS",$I1236))=FALSE,LEFT($I1236,6)&lt;&gt;"VACUUM"),"CDU",IF($H1236="FLUID CAT CRACKING","FCC",IF(OR($H1236="HYDROCRACKING",$H1236="RESID_HYDROCRACKING"),"Hydrocracker",IF($H1236="REFORMING","Reformer",""))))</f>
        <v/>
      </c>
      <c r="H1236" s="6" t="s">
        <v>43</v>
      </c>
      <c r="I1236" s="6" t="s">
        <v>750</v>
      </c>
      <c r="J1236" s="6" t="s">
        <v>349</v>
      </c>
      <c r="K1236" s="10">
        <v>17.16</v>
      </c>
      <c r="L1236" s="10">
        <v>44</v>
      </c>
      <c r="M1236" s="6" t="s">
        <v>371</v>
      </c>
    </row>
    <row r="1237" spans="1:13">
      <c r="A1237" s="6">
        <v>2023</v>
      </c>
      <c r="B1237" s="6">
        <v>5</v>
      </c>
      <c r="C1237" s="6" t="s">
        <v>63</v>
      </c>
      <c r="D1237" s="6" t="s">
        <v>468</v>
      </c>
      <c r="E1237" s="6" t="s">
        <v>369</v>
      </c>
      <c r="F1237" s="6" t="str">
        <f>IF($M1237="PADD I","PADD 1",IF($M1237="PADD II","PADD 2",IF($M1237="PADD III","PADD 3",IF($M1237="PADD IV","PADD 4",IF($M1237="PADD V","PADD 5","")))))</f>
        <v>PADD 3</v>
      </c>
      <c r="G1237" s="6">
        <f>IF(AND($H1237="ATMOS DISTILLATION",ISNUMBER(SEARCH("VPS",$I1237))=FALSE,LEFT($I1237,6)&lt;&gt;"VACUUM"),"CDU",IF($H1237="FLUID CAT CRACKING","FCC",IF(OR($H1237="HYDROCRACKING",$H1237="RESID_HYDROCRACKING"),"Hydrocracker",IF($H1237="REFORMING","Reformer",""))))</f>
        <v/>
      </c>
      <c r="H1237" s="6" t="s">
        <v>43</v>
      </c>
      <c r="I1237" s="6" t="s">
        <v>849</v>
      </c>
      <c r="J1237" s="6" t="s">
        <v>345</v>
      </c>
      <c r="K1237" s="10">
        <v>16.425</v>
      </c>
      <c r="L1237" s="10">
        <v>36.5</v>
      </c>
      <c r="M1237" s="6" t="s">
        <v>371</v>
      </c>
    </row>
    <row r="1238" spans="1:13">
      <c r="A1238" s="6">
        <v>2023</v>
      </c>
      <c r="B1238" s="6">
        <v>5</v>
      </c>
      <c r="C1238" s="6" t="s">
        <v>63</v>
      </c>
      <c r="D1238" s="6" t="s">
        <v>770</v>
      </c>
      <c r="E1238" s="6" t="s">
        <v>660</v>
      </c>
      <c r="F1238" s="6" t="str">
        <f>IF($M1238="PADD I","PADD 1",IF($M1238="PADD II","PADD 2",IF($M1238="PADD III","PADD 3",IF($M1238="PADD IV","PADD 4",IF($M1238="PADD V","PADD 5","")))))</f>
        <v>PADD 3</v>
      </c>
      <c r="G1238" s="6" t="str">
        <f>IF(AND($H1238="ATMOS DISTILLATION",ISNUMBER(SEARCH("VPS",$I1238))=FALSE,LEFT($I1238,6)&lt;&gt;"VACUUM"),"CDU",IF($H1238="FLUID CAT CRACKING","FCC",IF(OR($H1238="HYDROCRACKING",$H1238="RESID_HYDROCRACKING"),"Hydrocracker",IF($H1238="REFORMING","Reformer",""))))</f>
        <v>Reformer</v>
      </c>
      <c r="H1238" s="6" t="s">
        <v>421</v>
      </c>
      <c r="I1238" s="6" t="s">
        <v>783</v>
      </c>
      <c r="J1238" s="6" t="s">
        <v>349</v>
      </c>
      <c r="K1238" s="10">
        <v>16</v>
      </c>
      <c r="L1238" s="10">
        <v>16</v>
      </c>
      <c r="M1238" s="6" t="s">
        <v>371</v>
      </c>
    </row>
    <row r="1239" spans="1:13">
      <c r="A1239" s="6">
        <v>2023</v>
      </c>
      <c r="B1239" s="6">
        <v>5</v>
      </c>
      <c r="C1239" s="6" t="s">
        <v>63</v>
      </c>
      <c r="D1239" s="6" t="s">
        <v>748</v>
      </c>
      <c r="E1239" s="6" t="s">
        <v>388</v>
      </c>
      <c r="F1239" s="6" t="str">
        <f>IF($M1239="PADD I","PADD 1",IF($M1239="PADD II","PADD 2",IF($M1239="PADD III","PADD 3",IF($M1239="PADD IV","PADD 4",IF($M1239="PADD V","PADD 5","")))))</f>
        <v>PADD 3</v>
      </c>
      <c r="G1239" s="6">
        <f>IF(AND($H1239="ATMOS DISTILLATION",ISNUMBER(SEARCH("VPS",$I1239))=FALSE,LEFT($I1239,6)&lt;&gt;"VACUUM"),"CDU",IF($H1239="FLUID CAT CRACKING","FCC",IF(OR($H1239="HYDROCRACKING",$H1239="RESID_HYDROCRACKING"),"Hydrocracker",IF($H1239="REFORMING","Reformer",""))))</f>
        <v/>
      </c>
      <c r="H1239" s="6" t="s">
        <v>378</v>
      </c>
      <c r="I1239" s="6" t="s">
        <v>431</v>
      </c>
      <c r="J1239" s="6" t="s">
        <v>349</v>
      </c>
      <c r="K1239" s="10">
        <v>15.6</v>
      </c>
      <c r="L1239" s="10">
        <v>40</v>
      </c>
      <c r="M1239" s="6" t="s">
        <v>371</v>
      </c>
    </row>
    <row r="1240" spans="1:13">
      <c r="A1240" s="6">
        <v>2023</v>
      </c>
      <c r="B1240" s="6">
        <v>5</v>
      </c>
      <c r="C1240" s="6" t="s">
        <v>63</v>
      </c>
      <c r="D1240" s="6" t="s">
        <v>739</v>
      </c>
      <c r="E1240" s="6" t="s">
        <v>405</v>
      </c>
      <c r="F1240" s="6" t="str">
        <f>IF($M1240="PADD I","PADD 1",IF($M1240="PADD II","PADD 2",IF($M1240="PADD III","PADD 3",IF($M1240="PADD IV","PADD 4",IF($M1240="PADD V","PADD 5","")))))</f>
        <v>PADD 2</v>
      </c>
      <c r="G1240" s="6" t="str">
        <f>IF(AND($H1240="ATMOS DISTILLATION",ISNUMBER(SEARCH("VPS",$I1240))=FALSE,LEFT($I1240,6)&lt;&gt;"VACUUM"),"CDU",IF($H1240="FLUID CAT CRACKING","FCC",IF(OR($H1240="HYDROCRACKING",$H1240="RESID_HYDROCRACKING"),"Hydrocracker",IF($H1240="REFORMING","Reformer",""))))</f>
        <v>FCC</v>
      </c>
      <c r="H1240" s="6" t="s">
        <v>376</v>
      </c>
      <c r="I1240" s="6" t="s">
        <v>105</v>
      </c>
      <c r="J1240" s="6" t="s">
        <v>345</v>
      </c>
      <c r="K1240" s="10">
        <v>15.6</v>
      </c>
      <c r="L1240" s="10">
        <v>30</v>
      </c>
      <c r="M1240" s="6" t="s">
        <v>375</v>
      </c>
    </row>
    <row r="1241" spans="1:13">
      <c r="A1241" s="6">
        <v>2023</v>
      </c>
      <c r="B1241" s="6">
        <v>5</v>
      </c>
      <c r="C1241" s="6" t="s">
        <v>63</v>
      </c>
      <c r="D1241" s="6" t="s">
        <v>468</v>
      </c>
      <c r="E1241" s="6" t="s">
        <v>369</v>
      </c>
      <c r="F1241" s="6" t="str">
        <f>IF($M1241="PADD I","PADD 1",IF($M1241="PADD II","PADD 2",IF($M1241="PADD III","PADD 3",IF($M1241="PADD IV","PADD 4",IF($M1241="PADD V","PADD 5","")))))</f>
        <v>PADD 3</v>
      </c>
      <c r="G1241" s="6" t="str">
        <f>IF(AND($H1241="ATMOS DISTILLATION",ISNUMBER(SEARCH("VPS",$I1241))=FALSE,LEFT($I1241,6)&lt;&gt;"VACUUM"),"CDU",IF($H1241="FLUID CAT CRACKING","FCC",IF(OR($H1241="HYDROCRACKING",$H1241="RESID_HYDROCRACKING"),"Hydrocracker",IF($H1241="REFORMING","Reformer",""))))</f>
        <v>CDU</v>
      </c>
      <c r="H1241" s="6" t="s">
        <v>38</v>
      </c>
      <c r="I1241" s="6" t="s">
        <v>509</v>
      </c>
      <c r="J1241" s="6" t="s">
        <v>345</v>
      </c>
      <c r="K1241" s="10">
        <v>15.3</v>
      </c>
      <c r="L1241" s="10">
        <v>34</v>
      </c>
      <c r="M1241" s="6" t="s">
        <v>371</v>
      </c>
    </row>
    <row r="1242" spans="1:13">
      <c r="A1242" s="6">
        <v>2023</v>
      </c>
      <c r="B1242" s="6">
        <v>5</v>
      </c>
      <c r="C1242" s="6" t="s">
        <v>63</v>
      </c>
      <c r="D1242" s="6" t="s">
        <v>772</v>
      </c>
      <c r="E1242" s="6" t="s">
        <v>405</v>
      </c>
      <c r="F1242" s="6" t="str">
        <f>IF($M1242="PADD I","PADD 1",IF($M1242="PADD II","PADD 2",IF($M1242="PADD III","PADD 3",IF($M1242="PADD IV","PADD 4",IF($M1242="PADD V","PADD 5","")))))</f>
        <v>PADD 3</v>
      </c>
      <c r="G1242" s="6">
        <f>IF(AND($H1242="ATMOS DISTILLATION",ISNUMBER(SEARCH("VPS",$I1242))=FALSE,LEFT($I1242,6)&lt;&gt;"VACUUM"),"CDU",IF($H1242="FLUID CAT CRACKING","FCC",IF(OR($H1242="HYDROCRACKING",$H1242="RESID_HYDROCRACKING"),"Hydrocracker",IF($H1242="REFORMING","Reformer",""))))</f>
        <v/>
      </c>
      <c r="H1242" s="6" t="s">
        <v>43</v>
      </c>
      <c r="I1242" s="6" t="s">
        <v>777</v>
      </c>
      <c r="J1242" s="6" t="s">
        <v>345</v>
      </c>
      <c r="K1242" s="10">
        <v>15.08</v>
      </c>
      <c r="L1242" s="10">
        <v>58</v>
      </c>
      <c r="M1242" s="6" t="s">
        <v>371</v>
      </c>
    </row>
    <row r="1243" spans="1:13">
      <c r="A1243" s="6">
        <v>2023</v>
      </c>
      <c r="B1243" s="6">
        <v>5</v>
      </c>
      <c r="C1243" s="6" t="s">
        <v>63</v>
      </c>
      <c r="D1243" s="6" t="s">
        <v>48</v>
      </c>
      <c r="E1243" s="6" t="s">
        <v>388</v>
      </c>
      <c r="F1243" s="6" t="str">
        <f>IF($M1243="PADD I","PADD 1",IF($M1243="PADD II","PADD 2",IF($M1243="PADD III","PADD 3",IF($M1243="PADD IV","PADD 4",IF($M1243="PADD V","PADD 5","")))))</f>
        <v>PADD 2</v>
      </c>
      <c r="G1243" s="6" t="str">
        <f>IF(AND($H1243="ATMOS DISTILLATION",ISNUMBER(SEARCH("VPS",$I1243))=FALSE,LEFT($I1243,6)&lt;&gt;"VACUUM"),"CDU",IF($H1243="FLUID CAT CRACKING","FCC",IF(OR($H1243="HYDROCRACKING",$H1243="RESID_HYDROCRACKING"),"Hydrocracker",IF($H1243="REFORMING","Reformer",""))))</f>
        <v>Reformer</v>
      </c>
      <c r="H1243" s="6" t="s">
        <v>421</v>
      </c>
      <c r="I1243" s="6" t="s">
        <v>721</v>
      </c>
      <c r="J1243" s="6" t="s">
        <v>349</v>
      </c>
      <c r="K1243" s="10">
        <v>15.015</v>
      </c>
      <c r="L1243" s="10">
        <v>38.5</v>
      </c>
      <c r="M1243" s="6" t="s">
        <v>375</v>
      </c>
    </row>
    <row r="1244" spans="1:13">
      <c r="A1244" s="6">
        <v>2023</v>
      </c>
      <c r="B1244" s="6">
        <v>5</v>
      </c>
      <c r="C1244" s="6" t="s">
        <v>63</v>
      </c>
      <c r="D1244" s="6" t="s">
        <v>770</v>
      </c>
      <c r="E1244" s="6" t="s">
        <v>660</v>
      </c>
      <c r="F1244" s="6" t="str">
        <f>IF($M1244="PADD I","PADD 1",IF($M1244="PADD II","PADD 2",IF($M1244="PADD III","PADD 3",IF($M1244="PADD IV","PADD 4",IF($M1244="PADD V","PADD 5","")))))</f>
        <v>PADD 3</v>
      </c>
      <c r="G1244" s="6">
        <f>IF(AND($H1244="ATMOS DISTILLATION",ISNUMBER(SEARCH("VPS",$I1244))=FALSE,LEFT($I1244,6)&lt;&gt;"VACUUM"),"CDU",IF($H1244="FLUID CAT CRACKING","FCC",IF(OR($H1244="HYDROCRACKING",$H1244="RESID_HYDROCRACKING"),"Hydrocracker",IF($H1244="REFORMING","Reformer",""))))</f>
        <v/>
      </c>
      <c r="H1244" s="6" t="s">
        <v>43</v>
      </c>
      <c r="I1244" s="6" t="s">
        <v>784</v>
      </c>
      <c r="J1244" s="6" t="s">
        <v>349</v>
      </c>
      <c r="K1244" s="10">
        <v>15</v>
      </c>
      <c r="L1244" s="10">
        <v>15</v>
      </c>
      <c r="M1244" s="6" t="s">
        <v>371</v>
      </c>
    </row>
    <row r="1245" spans="1:13">
      <c r="A1245" s="6">
        <v>2023</v>
      </c>
      <c r="B1245" s="6">
        <v>5</v>
      </c>
      <c r="C1245" s="6" t="s">
        <v>63</v>
      </c>
      <c r="D1245" s="6" t="s">
        <v>770</v>
      </c>
      <c r="E1245" s="6" t="s">
        <v>660</v>
      </c>
      <c r="F1245" s="6" t="str">
        <f>IF($M1245="PADD I","PADD 1",IF($M1245="PADD II","PADD 2",IF($M1245="PADD III","PADD 3",IF($M1245="PADD IV","PADD 4",IF($M1245="PADD V","PADD 5","")))))</f>
        <v>PADD 3</v>
      </c>
      <c r="G1245" s="6">
        <f>IF(AND($H1245="ATMOS DISTILLATION",ISNUMBER(SEARCH("VPS",$I1245))=FALSE,LEFT($I1245,6)&lt;&gt;"VACUUM"),"CDU",IF($H1245="FLUID CAT CRACKING","FCC",IF(OR($H1245="HYDROCRACKING",$H1245="RESID_HYDROCRACKING"),"Hydrocracker",IF($H1245="REFORMING","Reformer",""))))</f>
        <v/>
      </c>
      <c r="H1245" s="6" t="s">
        <v>378</v>
      </c>
      <c r="I1245" s="6" t="s">
        <v>431</v>
      </c>
      <c r="J1245" s="6" t="s">
        <v>349</v>
      </c>
      <c r="K1245" s="10">
        <v>15</v>
      </c>
      <c r="L1245" s="10">
        <v>15</v>
      </c>
      <c r="M1245" s="6" t="s">
        <v>371</v>
      </c>
    </row>
    <row r="1246" spans="1:13">
      <c r="A1246" s="6">
        <v>2023</v>
      </c>
      <c r="B1246" s="6">
        <v>5</v>
      </c>
      <c r="C1246" s="6" t="s">
        <v>63</v>
      </c>
      <c r="D1246" s="6" t="s">
        <v>48</v>
      </c>
      <c r="E1246" s="6" t="s">
        <v>388</v>
      </c>
      <c r="F1246" s="6" t="str">
        <f>IF($M1246="PADD I","PADD 1",IF($M1246="PADD II","PADD 2",IF($M1246="PADD III","PADD 3",IF($M1246="PADD IV","PADD 4",IF($M1246="PADD V","PADD 5","")))))</f>
        <v>PADD 2</v>
      </c>
      <c r="G1246" s="6">
        <f>IF(AND($H1246="ATMOS DISTILLATION",ISNUMBER(SEARCH("VPS",$I1246))=FALSE,LEFT($I1246,6)&lt;&gt;"VACUUM"),"CDU",IF($H1246="FLUID CAT CRACKING","FCC",IF(OR($H1246="HYDROCRACKING",$H1246="RESID_HYDROCRACKING"),"Hydrocracker",IF($H1246="REFORMING","Reformer",""))))</f>
        <v/>
      </c>
      <c r="H1246" s="6" t="s">
        <v>43</v>
      </c>
      <c r="I1246" s="6" t="s">
        <v>726</v>
      </c>
      <c r="J1246" s="6" t="s">
        <v>349</v>
      </c>
      <c r="K1246" s="10">
        <v>14.82</v>
      </c>
      <c r="L1246" s="10">
        <v>38</v>
      </c>
      <c r="M1246" s="6" t="s">
        <v>375</v>
      </c>
    </row>
    <row r="1247" spans="1:13">
      <c r="A1247" s="6">
        <v>2023</v>
      </c>
      <c r="B1247" s="6">
        <v>5</v>
      </c>
      <c r="C1247" s="6" t="s">
        <v>63</v>
      </c>
      <c r="D1247" s="6" t="s">
        <v>742</v>
      </c>
      <c r="E1247" s="6" t="s">
        <v>388</v>
      </c>
      <c r="F1247" s="6" t="str">
        <f>IF($M1247="PADD I","PADD 1",IF($M1247="PADD II","PADD 2",IF($M1247="PADD III","PADD 3",IF($M1247="PADD IV","PADD 4",IF($M1247="PADD V","PADD 5","")))))</f>
        <v>PADD 5</v>
      </c>
      <c r="G1247" s="6">
        <f>IF(AND($H1247="ATMOS DISTILLATION",ISNUMBER(SEARCH("VPS",$I1247))=FALSE,LEFT($I1247,6)&lt;&gt;"VACUUM"),"CDU",IF($H1247="FLUID CAT CRACKING","FCC",IF(OR($H1247="HYDROCRACKING",$H1247="RESID_HYDROCRACKING"),"Hydrocracker",IF($H1247="REFORMING","Reformer",""))))</f>
        <v/>
      </c>
      <c r="H1247" s="6" t="s">
        <v>43</v>
      </c>
      <c r="I1247" s="6" t="s">
        <v>743</v>
      </c>
      <c r="J1247" s="6" t="s">
        <v>349</v>
      </c>
      <c r="K1247" s="10">
        <v>14.4</v>
      </c>
      <c r="L1247" s="10">
        <v>30</v>
      </c>
      <c r="M1247" s="6" t="s">
        <v>386</v>
      </c>
    </row>
    <row r="1248" spans="1:13">
      <c r="A1248" s="6">
        <v>2023</v>
      </c>
      <c r="B1248" s="6">
        <v>5</v>
      </c>
      <c r="C1248" s="6" t="s">
        <v>63</v>
      </c>
      <c r="D1248" s="6" t="s">
        <v>468</v>
      </c>
      <c r="E1248" s="6" t="s">
        <v>369</v>
      </c>
      <c r="F1248" s="6" t="str">
        <f>IF($M1248="PADD I","PADD 1",IF($M1248="PADD II","PADD 2",IF($M1248="PADD III","PADD 3",IF($M1248="PADD IV","PADD 4",IF($M1248="PADD V","PADD 5","")))))</f>
        <v>PADD 3</v>
      </c>
      <c r="G1248" s="6" t="str">
        <f>IF(AND($H1248="ATMOS DISTILLATION",ISNUMBER(SEARCH("VPS",$I1248))=FALSE,LEFT($I1248,6)&lt;&gt;"VACUUM"),"CDU",IF($H1248="FLUID CAT CRACKING","FCC",IF(OR($H1248="HYDROCRACKING",$H1248="RESID_HYDROCRACKING"),"Hydrocracker",IF($H1248="REFORMING","Reformer",""))))</f>
        <v>Reformer</v>
      </c>
      <c r="H1248" s="6" t="s">
        <v>421</v>
      </c>
      <c r="I1248" s="6" t="s">
        <v>858</v>
      </c>
      <c r="J1248" s="6" t="s">
        <v>345</v>
      </c>
      <c r="K1248" s="10">
        <v>14.2</v>
      </c>
      <c r="L1248" s="10">
        <v>20</v>
      </c>
      <c r="M1248" s="6" t="s">
        <v>371</v>
      </c>
    </row>
    <row r="1249" spans="1:13">
      <c r="A1249" s="6">
        <v>2023</v>
      </c>
      <c r="B1249" s="6">
        <v>5</v>
      </c>
      <c r="C1249" s="6" t="s">
        <v>63</v>
      </c>
      <c r="D1249" s="6" t="s">
        <v>52</v>
      </c>
      <c r="E1249" s="6" t="s">
        <v>388</v>
      </c>
      <c r="F1249" s="6" t="str">
        <f>IF($M1249="PADD I","PADD 1",IF($M1249="PADD II","PADD 2",IF($M1249="PADD III","PADD 3",IF($M1249="PADD IV","PADD 4",IF($M1249="PADD V","PADD 5","")))))</f>
        <v>PADD 5</v>
      </c>
      <c r="G1249" s="6">
        <f>IF(AND($H1249="ATMOS DISTILLATION",ISNUMBER(SEARCH("VPS",$I1249))=FALSE,LEFT($I1249,6)&lt;&gt;"VACUUM"),"CDU",IF($H1249="FLUID CAT CRACKING","FCC",IF(OR($H1249="HYDROCRACKING",$H1249="RESID_HYDROCRACKING"),"Hydrocracker",IF($H1249="REFORMING","Reformer",""))))</f>
        <v/>
      </c>
      <c r="H1249" s="6" t="s">
        <v>43</v>
      </c>
      <c r="I1249" s="6" t="s">
        <v>787</v>
      </c>
      <c r="J1249" s="6" t="s">
        <v>349</v>
      </c>
      <c r="K1249" s="10">
        <v>13.92</v>
      </c>
      <c r="L1249" s="10">
        <v>24</v>
      </c>
      <c r="M1249" s="6" t="s">
        <v>386</v>
      </c>
    </row>
    <row r="1250" spans="1:13">
      <c r="A1250" s="6">
        <v>2023</v>
      </c>
      <c r="B1250" s="6">
        <v>5</v>
      </c>
      <c r="C1250" s="6" t="s">
        <v>63</v>
      </c>
      <c r="D1250" s="6" t="s">
        <v>51</v>
      </c>
      <c r="E1250" s="6" t="s">
        <v>391</v>
      </c>
      <c r="F1250" s="6" t="str">
        <f>IF($M1250="PADD I","PADD 1",IF($M1250="PADD II","PADD 2",IF($M1250="PADD III","PADD 3",IF($M1250="PADD IV","PADD 4",IF($M1250="PADD V","PADD 5","")))))</f>
        <v>PADD 5</v>
      </c>
      <c r="G1250" s="6">
        <f>IF(AND($H1250="ATMOS DISTILLATION",ISNUMBER(SEARCH("VPS",$I1250))=FALSE,LEFT($I1250,6)&lt;&gt;"VACUUM"),"CDU",IF($H1250="FLUID CAT CRACKING","FCC",IF(OR($H1250="HYDROCRACKING",$H1250="RESID_HYDROCRACKING"),"Hydrocracker",IF($H1250="REFORMING","Reformer",""))))</f>
        <v/>
      </c>
      <c r="H1250" s="6" t="s">
        <v>43</v>
      </c>
      <c r="I1250" s="6" t="s">
        <v>859</v>
      </c>
      <c r="J1250" s="6" t="s">
        <v>345</v>
      </c>
      <c r="K1250" s="10">
        <v>13.65</v>
      </c>
      <c r="L1250" s="10">
        <v>35</v>
      </c>
      <c r="M1250" s="6" t="s">
        <v>386</v>
      </c>
    </row>
    <row r="1251" spans="1:13">
      <c r="A1251" s="6">
        <v>2023</v>
      </c>
      <c r="B1251" s="6">
        <v>5</v>
      </c>
      <c r="C1251" s="6" t="s">
        <v>63</v>
      </c>
      <c r="D1251" s="6" t="s">
        <v>48</v>
      </c>
      <c r="E1251" s="6" t="s">
        <v>388</v>
      </c>
      <c r="F1251" s="6" t="str">
        <f>IF($M1251="PADD I","PADD 1",IF($M1251="PADD II","PADD 2",IF($M1251="PADD III","PADD 3",IF($M1251="PADD IV","PADD 4",IF($M1251="PADD V","PADD 5","")))))</f>
        <v>PADD 2</v>
      </c>
      <c r="G1251" s="6">
        <f>IF(AND($H1251="ATMOS DISTILLATION",ISNUMBER(SEARCH("VPS",$I1251))=FALSE,LEFT($I1251,6)&lt;&gt;"VACUUM"),"CDU",IF($H1251="FLUID CAT CRACKING","FCC",IF(OR($H1251="HYDROCRACKING",$H1251="RESID_HYDROCRACKING"),"Hydrocracker",IF($H1251="REFORMING","Reformer",""))))</f>
        <v/>
      </c>
      <c r="H1251" s="6" t="s">
        <v>43</v>
      </c>
      <c r="I1251" s="6" t="s">
        <v>696</v>
      </c>
      <c r="J1251" s="6" t="s">
        <v>345</v>
      </c>
      <c r="K1251" s="10">
        <v>13.36</v>
      </c>
      <c r="L1251" s="10">
        <v>83.5</v>
      </c>
      <c r="M1251" s="6" t="s">
        <v>375</v>
      </c>
    </row>
    <row r="1252" spans="1:13">
      <c r="A1252" s="6">
        <v>2023</v>
      </c>
      <c r="B1252" s="6">
        <v>5</v>
      </c>
      <c r="C1252" s="6" t="s">
        <v>63</v>
      </c>
      <c r="D1252" s="6" t="s">
        <v>772</v>
      </c>
      <c r="E1252" s="6" t="s">
        <v>405</v>
      </c>
      <c r="F1252" s="6" t="str">
        <f>IF($M1252="PADD I","PADD 1",IF($M1252="PADD II","PADD 2",IF($M1252="PADD III","PADD 3",IF($M1252="PADD IV","PADD 4",IF($M1252="PADD V","PADD 5","")))))</f>
        <v>PADD 3</v>
      </c>
      <c r="G1252" s="6">
        <f>IF(AND($H1252="ATMOS DISTILLATION",ISNUMBER(SEARCH("VPS",$I1252))=FALSE,LEFT($I1252,6)&lt;&gt;"VACUUM"),"CDU",IF($H1252="FLUID CAT CRACKING","FCC",IF(OR($H1252="HYDROCRACKING",$H1252="RESID_HYDROCRACKING"),"Hydrocracker",IF($H1252="REFORMING","Reformer",""))))</f>
        <v/>
      </c>
      <c r="H1252" s="6" t="s">
        <v>43</v>
      </c>
      <c r="I1252" s="6" t="s">
        <v>777</v>
      </c>
      <c r="J1252" s="6" t="s">
        <v>345</v>
      </c>
      <c r="K1252" s="10">
        <v>13.34</v>
      </c>
      <c r="L1252" s="10">
        <v>58</v>
      </c>
      <c r="M1252" s="6" t="s">
        <v>371</v>
      </c>
    </row>
    <row r="1253" spans="1:13">
      <c r="A1253" s="6">
        <v>2023</v>
      </c>
      <c r="B1253" s="6">
        <v>5</v>
      </c>
      <c r="C1253" s="6" t="s">
        <v>63</v>
      </c>
      <c r="D1253" s="6" t="s">
        <v>395</v>
      </c>
      <c r="E1253" s="6" t="s">
        <v>396</v>
      </c>
      <c r="F1253" s="6" t="str">
        <f>IF($M1253="PADD I","PADD 1",IF($M1253="PADD II","PADD 2",IF($M1253="PADD III","PADD 3",IF($M1253="PADD IV","PADD 4",IF($M1253="PADD V","PADD 5","")))))</f>
        <v>PADD 3</v>
      </c>
      <c r="G1253" s="6">
        <f>IF(AND($H1253="ATMOS DISTILLATION",ISNUMBER(SEARCH("VPS",$I1253))=FALSE,LEFT($I1253,6)&lt;&gt;"VACUUM"),"CDU",IF($H1253="FLUID CAT CRACKING","FCC",IF(OR($H1253="HYDROCRACKING",$H1253="RESID_HYDROCRACKING"),"Hydrocracker",IF($H1253="REFORMING","Reformer",""))))</f>
        <v/>
      </c>
      <c r="H1253" s="6" t="s">
        <v>43</v>
      </c>
      <c r="I1253" s="6" t="s">
        <v>551</v>
      </c>
      <c r="J1253" s="6" t="s">
        <v>349</v>
      </c>
      <c r="K1253" s="10">
        <v>13.088</v>
      </c>
      <c r="L1253" s="10">
        <v>40.9</v>
      </c>
      <c r="M1253" s="6" t="s">
        <v>371</v>
      </c>
    </row>
    <row r="1254" spans="1:13">
      <c r="A1254" s="6">
        <v>2023</v>
      </c>
      <c r="B1254" s="6">
        <v>5</v>
      </c>
      <c r="C1254" s="6" t="s">
        <v>63</v>
      </c>
      <c r="D1254" s="6" t="s">
        <v>420</v>
      </c>
      <c r="E1254" s="6" t="s">
        <v>373</v>
      </c>
      <c r="F1254" s="6" t="str">
        <f>IF($M1254="PADD I","PADD 1",IF($M1254="PADD II","PADD 2",IF($M1254="PADD III","PADD 3",IF($M1254="PADD IV","PADD 4",IF($M1254="PADD V","PADD 5","")))))</f>
        <v>PADD 2</v>
      </c>
      <c r="G1254" s="6" t="str">
        <f>IF(AND($H1254="ATMOS DISTILLATION",ISNUMBER(SEARCH("VPS",$I1254))=FALSE,LEFT($I1254,6)&lt;&gt;"VACUUM"),"CDU",IF($H1254="FLUID CAT CRACKING","FCC",IF(OR($H1254="HYDROCRACKING",$H1254="RESID_HYDROCRACKING"),"Hydrocracker",IF($H1254="REFORMING","Reformer",""))))</f>
        <v>FCC</v>
      </c>
      <c r="H1254" s="6" t="s">
        <v>376</v>
      </c>
      <c r="I1254" s="6" t="s">
        <v>105</v>
      </c>
      <c r="J1254" s="6" t="s">
        <v>345</v>
      </c>
      <c r="K1254" s="10">
        <v>13</v>
      </c>
      <c r="L1254" s="10">
        <v>13</v>
      </c>
      <c r="M1254" s="6" t="s">
        <v>375</v>
      </c>
    </row>
    <row r="1255" spans="1:13">
      <c r="A1255" s="6">
        <v>2023</v>
      </c>
      <c r="B1255" s="6">
        <v>5</v>
      </c>
      <c r="C1255" s="6" t="s">
        <v>63</v>
      </c>
      <c r="D1255" s="6" t="s">
        <v>465</v>
      </c>
      <c r="E1255" s="6" t="s">
        <v>369</v>
      </c>
      <c r="F1255" s="6" t="str">
        <f>IF($M1255="PADD I","PADD 1",IF($M1255="PADD II","PADD 2",IF($M1255="PADD III","PADD 3",IF($M1255="PADD IV","PADD 4",IF($M1255="PADD V","PADD 5","")))))</f>
        <v>PADD 5</v>
      </c>
      <c r="G1255" s="6" t="str">
        <f>IF(AND($H1255="ATMOS DISTILLATION",ISNUMBER(SEARCH("VPS",$I1255))=FALSE,LEFT($I1255,6)&lt;&gt;"VACUUM"),"CDU",IF($H1255="FLUID CAT CRACKING","FCC",IF(OR($H1255="HYDROCRACKING",$H1255="RESID_HYDROCRACKING"),"Hydrocracker",IF($H1255="REFORMING","Reformer",""))))</f>
        <v>FCC</v>
      </c>
      <c r="H1255" s="6" t="s">
        <v>376</v>
      </c>
      <c r="I1255" s="6" t="s">
        <v>105</v>
      </c>
      <c r="J1255" s="6" t="s">
        <v>349</v>
      </c>
      <c r="K1255" s="10">
        <v>13</v>
      </c>
      <c r="L1255" s="10">
        <v>50</v>
      </c>
      <c r="M1255" s="6" t="s">
        <v>386</v>
      </c>
    </row>
    <row r="1256" spans="1:13">
      <c r="A1256" s="6">
        <v>2023</v>
      </c>
      <c r="B1256" s="6">
        <v>5</v>
      </c>
      <c r="C1256" s="6" t="s">
        <v>63</v>
      </c>
      <c r="D1256" s="6" t="s">
        <v>739</v>
      </c>
      <c r="E1256" s="6" t="s">
        <v>405</v>
      </c>
      <c r="F1256" s="6" t="str">
        <f>IF($M1256="PADD I","PADD 1",IF($M1256="PADD II","PADD 2",IF($M1256="PADD III","PADD 3",IF($M1256="PADD IV","PADD 4",IF($M1256="PADD V","PADD 5","")))))</f>
        <v>PADD 2</v>
      </c>
      <c r="G1256" s="6" t="str">
        <f>IF(AND($H1256="ATMOS DISTILLATION",ISNUMBER(SEARCH("VPS",$I1256))=FALSE,LEFT($I1256,6)&lt;&gt;"VACUUM"),"CDU",IF($H1256="FLUID CAT CRACKING","FCC",IF(OR($H1256="HYDROCRACKING",$H1256="RESID_HYDROCRACKING"),"Hydrocracker",IF($H1256="REFORMING","Reformer",""))))</f>
        <v>Hydrocracker</v>
      </c>
      <c r="H1256" s="6" t="s">
        <v>444</v>
      </c>
      <c r="I1256" s="6" t="s">
        <v>795</v>
      </c>
      <c r="J1256" s="6" t="s">
        <v>345</v>
      </c>
      <c r="K1256" s="10">
        <v>12.6</v>
      </c>
      <c r="L1256" s="10">
        <v>14</v>
      </c>
      <c r="M1256" s="6" t="s">
        <v>375</v>
      </c>
    </row>
    <row r="1257" spans="1:13">
      <c r="A1257" s="6">
        <v>2023</v>
      </c>
      <c r="B1257" s="6">
        <v>5</v>
      </c>
      <c r="C1257" s="6" t="s">
        <v>63</v>
      </c>
      <c r="D1257" s="6" t="s">
        <v>742</v>
      </c>
      <c r="E1257" s="6" t="s">
        <v>388</v>
      </c>
      <c r="F1257" s="6" t="str">
        <f>IF($M1257="PADD I","PADD 1",IF($M1257="PADD II","PADD 2",IF($M1257="PADD III","PADD 3",IF($M1257="PADD IV","PADD 4",IF($M1257="PADD V","PADD 5","")))))</f>
        <v>PADD 5</v>
      </c>
      <c r="G1257" s="6">
        <f>IF(AND($H1257="ATMOS DISTILLATION",ISNUMBER(SEARCH("VPS",$I1257))=FALSE,LEFT($I1257,6)&lt;&gt;"VACUUM"),"CDU",IF($H1257="FLUID CAT CRACKING","FCC",IF(OR($H1257="HYDROCRACKING",$H1257="RESID_HYDROCRACKING"),"Hydrocracker",IF($H1257="REFORMING","Reformer",""))))</f>
        <v/>
      </c>
      <c r="H1257" s="6" t="s">
        <v>43</v>
      </c>
      <c r="I1257" s="6" t="s">
        <v>744</v>
      </c>
      <c r="J1257" s="6" t="s">
        <v>349</v>
      </c>
      <c r="K1257" s="10">
        <v>12</v>
      </c>
      <c r="L1257" s="10">
        <v>25</v>
      </c>
      <c r="M1257" s="6" t="s">
        <v>386</v>
      </c>
    </row>
    <row r="1258" spans="1:13">
      <c r="A1258" s="6">
        <v>2023</v>
      </c>
      <c r="B1258" s="6">
        <v>5</v>
      </c>
      <c r="C1258" s="6" t="s">
        <v>63</v>
      </c>
      <c r="D1258" s="6" t="s">
        <v>770</v>
      </c>
      <c r="E1258" s="6" t="s">
        <v>660</v>
      </c>
      <c r="F1258" s="6" t="str">
        <f>IF($M1258="PADD I","PADD 1",IF($M1258="PADD II","PADD 2",IF($M1258="PADD III","PADD 3",IF($M1258="PADD IV","PADD 4",IF($M1258="PADD V","PADD 5","")))))</f>
        <v>PADD 3</v>
      </c>
      <c r="G1258" s="6">
        <f>IF(AND($H1258="ATMOS DISTILLATION",ISNUMBER(SEARCH("VPS",$I1258))=FALSE,LEFT($I1258,6)&lt;&gt;"VACUUM"),"CDU",IF($H1258="FLUID CAT CRACKING","FCC",IF(OR($H1258="HYDROCRACKING",$H1258="RESID_HYDROCRACKING"),"Hydrocracker",IF($H1258="REFORMING","Reformer",""))))</f>
        <v/>
      </c>
      <c r="H1258" s="6" t="s">
        <v>43</v>
      </c>
      <c r="I1258" s="6" t="s">
        <v>793</v>
      </c>
      <c r="J1258" s="6" t="s">
        <v>349</v>
      </c>
      <c r="K1258" s="10">
        <v>12</v>
      </c>
      <c r="L1258" s="10">
        <v>12</v>
      </c>
      <c r="M1258" s="6" t="s">
        <v>371</v>
      </c>
    </row>
    <row r="1259" spans="1:13">
      <c r="A1259" s="6">
        <v>2023</v>
      </c>
      <c r="B1259" s="6">
        <v>5</v>
      </c>
      <c r="C1259" s="6" t="s">
        <v>63</v>
      </c>
      <c r="D1259" s="6" t="s">
        <v>770</v>
      </c>
      <c r="E1259" s="6" t="s">
        <v>660</v>
      </c>
      <c r="F1259" s="6" t="str">
        <f>IF($M1259="PADD I","PADD 1",IF($M1259="PADD II","PADD 2",IF($M1259="PADD III","PADD 3",IF($M1259="PADD IV","PADD 4",IF($M1259="PADD V","PADD 5","")))))</f>
        <v>PADD 3</v>
      </c>
      <c r="G1259" s="6">
        <f>IF(AND($H1259="ATMOS DISTILLATION",ISNUMBER(SEARCH("VPS",$I1259))=FALSE,LEFT($I1259,6)&lt;&gt;"VACUUM"),"CDU",IF($H1259="FLUID CAT CRACKING","FCC",IF(OR($H1259="HYDROCRACKING",$H1259="RESID_HYDROCRACKING"),"Hydrocracker",IF($H1259="REFORMING","Reformer",""))))</f>
        <v/>
      </c>
      <c r="H1259" s="6" t="s">
        <v>43</v>
      </c>
      <c r="I1259" s="6" t="s">
        <v>794</v>
      </c>
      <c r="J1259" s="6" t="s">
        <v>349</v>
      </c>
      <c r="K1259" s="10">
        <v>12</v>
      </c>
      <c r="L1259" s="10">
        <v>12</v>
      </c>
      <c r="M1259" s="6" t="s">
        <v>371</v>
      </c>
    </row>
    <row r="1260" spans="1:13">
      <c r="A1260" s="6">
        <v>2023</v>
      </c>
      <c r="B1260" s="6">
        <v>5</v>
      </c>
      <c r="C1260" s="6" t="s">
        <v>63</v>
      </c>
      <c r="D1260" s="6" t="s">
        <v>496</v>
      </c>
      <c r="E1260" s="6" t="s">
        <v>388</v>
      </c>
      <c r="F1260" s="6" t="str">
        <f>IF($M1260="PADD I","PADD 1",IF($M1260="PADD II","PADD 2",IF($M1260="PADD III","PADD 3",IF($M1260="PADD IV","PADD 4",IF($M1260="PADD V","PADD 5","")))))</f>
        <v>PADD 2</v>
      </c>
      <c r="G1260" s="6">
        <f>IF(AND($H1260="ATMOS DISTILLATION",ISNUMBER(SEARCH("VPS",$I1260))=FALSE,LEFT($I1260,6)&lt;&gt;"VACUUM"),"CDU",IF($H1260="FLUID CAT CRACKING","FCC",IF(OR($H1260="HYDROCRACKING",$H1260="RESID_HYDROCRACKING"),"Hydrocracker",IF($H1260="REFORMING","Reformer",""))))</f>
        <v/>
      </c>
      <c r="H1260" s="6" t="s">
        <v>378</v>
      </c>
      <c r="I1260" s="6" t="s">
        <v>536</v>
      </c>
      <c r="J1260" s="6" t="s">
        <v>349</v>
      </c>
      <c r="K1260" s="10">
        <v>12</v>
      </c>
      <c r="L1260" s="10">
        <v>12</v>
      </c>
      <c r="M1260" s="6" t="s">
        <v>375</v>
      </c>
    </row>
    <row r="1261" spans="1:13">
      <c r="A1261" s="6">
        <v>2023</v>
      </c>
      <c r="B1261" s="6">
        <v>5</v>
      </c>
      <c r="C1261" s="6" t="s">
        <v>63</v>
      </c>
      <c r="D1261" s="6" t="s">
        <v>500</v>
      </c>
      <c r="E1261" s="6" t="s">
        <v>388</v>
      </c>
      <c r="F1261" s="6" t="str">
        <f>IF($M1261="PADD I","PADD 1",IF($M1261="PADD II","PADD 2",IF($M1261="PADD III","PADD 3",IF($M1261="PADD IV","PADD 4",IF($M1261="PADD V","PADD 5","")))))</f>
        <v>PADD 2</v>
      </c>
      <c r="G1261" s="6" t="str">
        <f>IF(AND($H1261="ATMOS DISTILLATION",ISNUMBER(SEARCH("VPS",$I1261))=FALSE,LEFT($I1261,6)&lt;&gt;"VACUUM"),"CDU",IF($H1261="FLUID CAT CRACKING","FCC",IF(OR($H1261="HYDROCRACKING",$H1261="RESID_HYDROCRACKING"),"Hydrocracker",IF($H1261="REFORMING","Reformer",""))))</f>
        <v>CDU</v>
      </c>
      <c r="H1261" s="6" t="s">
        <v>38</v>
      </c>
      <c r="I1261" s="6" t="s">
        <v>530</v>
      </c>
      <c r="J1261" s="6" t="s">
        <v>345</v>
      </c>
      <c r="K1261" s="10">
        <v>11.96</v>
      </c>
      <c r="L1261" s="10">
        <v>92</v>
      </c>
      <c r="M1261" s="6" t="s">
        <v>375</v>
      </c>
    </row>
    <row r="1262" spans="1:13">
      <c r="A1262" s="6">
        <v>2023</v>
      </c>
      <c r="B1262" s="6">
        <v>5</v>
      </c>
      <c r="C1262" s="6" t="s">
        <v>63</v>
      </c>
      <c r="D1262" s="6" t="s">
        <v>742</v>
      </c>
      <c r="E1262" s="6" t="s">
        <v>388</v>
      </c>
      <c r="F1262" s="6" t="str">
        <f>IF($M1262="PADD I","PADD 1",IF($M1262="PADD II","PADD 2",IF($M1262="PADD III","PADD 3",IF($M1262="PADD IV","PADD 4",IF($M1262="PADD V","PADD 5","")))))</f>
        <v>PADD 5</v>
      </c>
      <c r="G1262" s="6" t="str">
        <f>IF(AND($H1262="ATMOS DISTILLATION",ISNUMBER(SEARCH("VPS",$I1262))=FALSE,LEFT($I1262,6)&lt;&gt;"VACUUM"),"CDU",IF($H1262="FLUID CAT CRACKING","FCC",IF(OR($H1262="HYDROCRACKING",$H1262="RESID_HYDROCRACKING"),"Hydrocracker",IF($H1262="REFORMING","Reformer",""))))</f>
        <v>Reformer</v>
      </c>
      <c r="H1262" s="6" t="s">
        <v>421</v>
      </c>
      <c r="I1262" s="6" t="s">
        <v>15</v>
      </c>
      <c r="J1262" s="6" t="s">
        <v>345</v>
      </c>
      <c r="K1262" s="10">
        <v>11.7</v>
      </c>
      <c r="L1262" s="10">
        <v>26</v>
      </c>
      <c r="M1262" s="6" t="s">
        <v>386</v>
      </c>
    </row>
    <row r="1263" spans="1:13">
      <c r="A1263" s="6">
        <v>2023</v>
      </c>
      <c r="B1263" s="6">
        <v>5</v>
      </c>
      <c r="C1263" s="6" t="s">
        <v>63</v>
      </c>
      <c r="D1263" s="6" t="s">
        <v>742</v>
      </c>
      <c r="E1263" s="6" t="s">
        <v>388</v>
      </c>
      <c r="F1263" s="6" t="str">
        <f>IF($M1263="PADD I","PADD 1",IF($M1263="PADD II","PADD 2",IF($M1263="PADD III","PADD 3",IF($M1263="PADD IV","PADD 4",IF($M1263="PADD V","PADD 5","")))))</f>
        <v>PADD 5</v>
      </c>
      <c r="G1263" s="6" t="str">
        <f>IF(AND($H1263="ATMOS DISTILLATION",ISNUMBER(SEARCH("VPS",$I1263))=FALSE,LEFT($I1263,6)&lt;&gt;"VACUUM"),"CDU",IF($H1263="FLUID CAT CRACKING","FCC",IF(OR($H1263="HYDROCRACKING",$H1263="RESID_HYDROCRACKING"),"Hydrocracker",IF($H1263="REFORMING","Reformer",""))))</f>
        <v>CDU</v>
      </c>
      <c r="H1263" s="6" t="s">
        <v>38</v>
      </c>
      <c r="I1263" s="6" t="s">
        <v>81</v>
      </c>
      <c r="J1263" s="6" t="s">
        <v>349</v>
      </c>
      <c r="K1263" s="10">
        <v>11.52</v>
      </c>
      <c r="L1263" s="10">
        <v>24</v>
      </c>
      <c r="M1263" s="6" t="s">
        <v>386</v>
      </c>
    </row>
    <row r="1264" spans="1:13">
      <c r="A1264" s="6">
        <v>2023</v>
      </c>
      <c r="B1264" s="6">
        <v>5</v>
      </c>
      <c r="C1264" s="6" t="s">
        <v>63</v>
      </c>
      <c r="D1264" s="6" t="s">
        <v>772</v>
      </c>
      <c r="E1264" s="6" t="s">
        <v>405</v>
      </c>
      <c r="F1264" s="6" t="str">
        <f>IF($M1264="PADD I","PADD 1",IF($M1264="PADD II","PADD 2",IF($M1264="PADD III","PADD 3",IF($M1264="PADD IV","PADD 4",IF($M1264="PADD V","PADD 5","")))))</f>
        <v>PADD 3</v>
      </c>
      <c r="G1264" s="6">
        <f>IF(AND($H1264="ATMOS DISTILLATION",ISNUMBER(SEARCH("VPS",$I1264))=FALSE,LEFT($I1264,6)&lt;&gt;"VACUUM"),"CDU",IF($H1264="FLUID CAT CRACKING","FCC",IF(OR($H1264="HYDROCRACKING",$H1264="RESID_HYDROCRACKING"),"Hydrocracker",IF($H1264="REFORMING","Reformer",""))))</f>
        <v/>
      </c>
      <c r="H1264" s="6" t="s">
        <v>460</v>
      </c>
      <c r="I1264" s="6" t="s">
        <v>792</v>
      </c>
      <c r="J1264" s="6" t="s">
        <v>349</v>
      </c>
      <c r="K1264" s="10">
        <v>11.44</v>
      </c>
      <c r="L1264" s="10">
        <v>22</v>
      </c>
      <c r="M1264" s="6" t="s">
        <v>371</v>
      </c>
    </row>
    <row r="1265" spans="1:13">
      <c r="A1265" s="6">
        <v>2023</v>
      </c>
      <c r="B1265" s="6">
        <v>5</v>
      </c>
      <c r="C1265" s="6" t="s">
        <v>63</v>
      </c>
      <c r="D1265" s="6" t="s">
        <v>785</v>
      </c>
      <c r="E1265" s="6" t="s">
        <v>779</v>
      </c>
      <c r="F1265" s="6" t="str">
        <f>IF($M1265="PADD I","PADD 1",IF($M1265="PADD II","PADD 2",IF($M1265="PADD III","PADD 3",IF($M1265="PADD IV","PADD 4",IF($M1265="PADD V","PADD 5","")))))</f>
        <v>PADD 2</v>
      </c>
      <c r="G1265" s="6">
        <f>IF(AND($H1265="ATMOS DISTILLATION",ISNUMBER(SEARCH("VPS",$I1265))=FALSE,LEFT($I1265,6)&lt;&gt;"VACUUM"),"CDU",IF($H1265="FLUID CAT CRACKING","FCC",IF(OR($H1265="HYDROCRACKING",$H1265="RESID_HYDROCRACKING"),"Hydrocracker",IF($H1265="REFORMING","Reformer",""))))</f>
        <v/>
      </c>
      <c r="H1265" s="6" t="s">
        <v>378</v>
      </c>
      <c r="I1265" s="6" t="s">
        <v>786</v>
      </c>
      <c r="J1265" s="6" t="s">
        <v>345</v>
      </c>
      <c r="K1265" s="10">
        <v>11.0786</v>
      </c>
      <c r="L1265" s="10">
        <v>85.22</v>
      </c>
      <c r="M1265" s="6" t="s">
        <v>375</v>
      </c>
    </row>
    <row r="1266" spans="1:13">
      <c r="A1266" s="6">
        <v>2023</v>
      </c>
      <c r="B1266" s="6">
        <v>5</v>
      </c>
      <c r="C1266" s="6" t="s">
        <v>63</v>
      </c>
      <c r="D1266" s="6" t="s">
        <v>770</v>
      </c>
      <c r="E1266" s="6" t="s">
        <v>660</v>
      </c>
      <c r="F1266" s="6" t="str">
        <f>IF($M1266="PADD I","PADD 1",IF($M1266="PADD II","PADD 2",IF($M1266="PADD III","PADD 3",IF($M1266="PADD IV","PADD 4",IF($M1266="PADD V","PADD 5","")))))</f>
        <v>PADD 3</v>
      </c>
      <c r="G1266" s="6">
        <f>IF(AND($H1266="ATMOS DISTILLATION",ISNUMBER(SEARCH("VPS",$I1266))=FALSE,LEFT($I1266,6)&lt;&gt;"VACUUM"),"CDU",IF($H1266="FLUID CAT CRACKING","FCC",IF(OR($H1266="HYDROCRACKING",$H1266="RESID_HYDROCRACKING"),"Hydrocracker",IF($H1266="REFORMING","Reformer",""))))</f>
        <v/>
      </c>
      <c r="H1266" s="6" t="s">
        <v>43</v>
      </c>
      <c r="I1266" s="6" t="s">
        <v>796</v>
      </c>
      <c r="J1266" s="6" t="s">
        <v>349</v>
      </c>
      <c r="K1266" s="10">
        <v>11</v>
      </c>
      <c r="L1266" s="10">
        <v>11</v>
      </c>
      <c r="M1266" s="6" t="s">
        <v>371</v>
      </c>
    </row>
    <row r="1267" spans="1:13">
      <c r="A1267" s="6">
        <v>2023</v>
      </c>
      <c r="B1267" s="6">
        <v>5</v>
      </c>
      <c r="C1267" s="6" t="s">
        <v>63</v>
      </c>
      <c r="D1267" s="6" t="s">
        <v>420</v>
      </c>
      <c r="E1267" s="6" t="s">
        <v>373</v>
      </c>
      <c r="F1267" s="6" t="str">
        <f>IF($M1267="PADD I","PADD 1",IF($M1267="PADD II","PADD 2",IF($M1267="PADD III","PADD 3",IF($M1267="PADD IV","PADD 4",IF($M1267="PADD V","PADD 5","")))))</f>
        <v>PADD 2</v>
      </c>
      <c r="G1267" s="6">
        <f>IF(AND($H1267="ATMOS DISTILLATION",ISNUMBER(SEARCH("VPS",$I1267))=FALSE,LEFT($I1267,6)&lt;&gt;"VACUUM"),"CDU",IF($H1267="FLUID CAT CRACKING","FCC",IF(OR($H1267="HYDROCRACKING",$H1267="RESID_HYDROCRACKING"),"Hydrocracker",IF($H1267="REFORMING","Reformer",""))))</f>
        <v/>
      </c>
      <c r="H1267" s="6" t="s">
        <v>43</v>
      </c>
      <c r="I1267" s="6" t="s">
        <v>546</v>
      </c>
      <c r="J1267" s="6" t="s">
        <v>345</v>
      </c>
      <c r="K1267" s="10">
        <v>11</v>
      </c>
      <c r="L1267" s="10">
        <v>11</v>
      </c>
      <c r="M1267" s="6" t="s">
        <v>375</v>
      </c>
    </row>
    <row r="1268" spans="1:13">
      <c r="A1268" s="6">
        <v>2023</v>
      </c>
      <c r="B1268" s="6">
        <v>5</v>
      </c>
      <c r="C1268" s="6" t="s">
        <v>63</v>
      </c>
      <c r="D1268" s="6" t="s">
        <v>732</v>
      </c>
      <c r="E1268" s="6" t="s">
        <v>733</v>
      </c>
      <c r="F1268" s="6" t="str">
        <f>IF($M1268="PADD I","PADD 1",IF($M1268="PADD II","PADD 2",IF($M1268="PADD III","PADD 3",IF($M1268="PADD IV","PADD 4",IF($M1268="PADD V","PADD 5","")))))</f>
        <v>PADD 4</v>
      </c>
      <c r="G1268" s="6" t="str">
        <f>IF(AND($H1268="ATMOS DISTILLATION",ISNUMBER(SEARCH("VPS",$I1268))=FALSE,LEFT($I1268,6)&lt;&gt;"VACUUM"),"CDU",IF($H1268="FLUID CAT CRACKING","FCC",IF(OR($H1268="HYDROCRACKING",$H1268="RESID_HYDROCRACKING"),"Hydrocracker",IF($H1268="REFORMING","Reformer",""))))</f>
        <v>CDU</v>
      </c>
      <c r="H1268" s="6" t="s">
        <v>38</v>
      </c>
      <c r="I1268" s="6" t="s">
        <v>131</v>
      </c>
      <c r="J1268" s="6" t="s">
        <v>349</v>
      </c>
      <c r="K1268" s="10">
        <v>10.88</v>
      </c>
      <c r="L1268" s="10">
        <v>34</v>
      </c>
      <c r="M1268" s="6" t="s">
        <v>430</v>
      </c>
    </row>
    <row r="1269" spans="1:13">
      <c r="A1269" s="6">
        <v>2023</v>
      </c>
      <c r="B1269" s="6">
        <v>5</v>
      </c>
      <c r="C1269" s="6" t="s">
        <v>63</v>
      </c>
      <c r="D1269" s="6" t="s">
        <v>770</v>
      </c>
      <c r="E1269" s="6" t="s">
        <v>660</v>
      </c>
      <c r="F1269" s="6" t="str">
        <f>IF($M1269="PADD I","PADD 1",IF($M1269="PADD II","PADD 2",IF($M1269="PADD III","PADD 3",IF($M1269="PADD IV","PADD 4",IF($M1269="PADD V","PADD 5","")))))</f>
        <v>PADD 3</v>
      </c>
      <c r="G1269" s="6">
        <f>IF(AND($H1269="ATMOS DISTILLATION",ISNUMBER(SEARCH("VPS",$I1269))=FALSE,LEFT($I1269,6)&lt;&gt;"VACUUM"),"CDU",IF($H1269="FLUID CAT CRACKING","FCC",IF(OR($H1269="HYDROCRACKING",$H1269="RESID_HYDROCRACKING"),"Hydrocracker",IF($H1269="REFORMING","Reformer",""))))</f>
        <v/>
      </c>
      <c r="H1269" s="6" t="s">
        <v>523</v>
      </c>
      <c r="I1269" s="6" t="s">
        <v>524</v>
      </c>
      <c r="J1269" s="6" t="s">
        <v>349</v>
      </c>
      <c r="K1269" s="10">
        <v>10.8</v>
      </c>
      <c r="L1269" s="10">
        <v>10.8</v>
      </c>
      <c r="M1269" s="6" t="s">
        <v>371</v>
      </c>
    </row>
    <row r="1270" spans="1:13">
      <c r="A1270" s="6">
        <v>2023</v>
      </c>
      <c r="B1270" s="6">
        <v>5</v>
      </c>
      <c r="C1270" s="6" t="s">
        <v>63</v>
      </c>
      <c r="D1270" s="6" t="s">
        <v>563</v>
      </c>
      <c r="E1270" s="6" t="s">
        <v>396</v>
      </c>
      <c r="F1270" s="6" t="str">
        <f>IF($M1270="PADD I","PADD 1",IF($M1270="PADD II","PADD 2",IF($M1270="PADD III","PADD 3",IF($M1270="PADD IV","PADD 4",IF($M1270="PADD V","PADD 5","")))))</f>
        <v>PADD 3</v>
      </c>
      <c r="G1270" s="6">
        <f>IF(AND($H1270="ATMOS DISTILLATION",ISNUMBER(SEARCH("VPS",$I1270))=FALSE,LEFT($I1270,6)&lt;&gt;"VACUUM"),"CDU",IF($H1270="FLUID CAT CRACKING","FCC",IF(OR($H1270="HYDROCRACKING",$H1270="RESID_HYDROCRACKING"),"Hydrocracker",IF($H1270="REFORMING","Reformer",""))))</f>
        <v/>
      </c>
      <c r="H1270" s="6" t="s">
        <v>43</v>
      </c>
      <c r="I1270" s="6" t="s">
        <v>564</v>
      </c>
      <c r="J1270" s="6" t="s">
        <v>345</v>
      </c>
      <c r="K1270" s="10">
        <v>10.634</v>
      </c>
      <c r="L1270" s="10">
        <v>40.9</v>
      </c>
      <c r="M1270" s="6" t="s">
        <v>371</v>
      </c>
    </row>
    <row r="1271" spans="1:13">
      <c r="A1271" s="6">
        <v>2023</v>
      </c>
      <c r="B1271" s="6">
        <v>5</v>
      </c>
      <c r="C1271" s="6" t="s">
        <v>63</v>
      </c>
      <c r="D1271" s="6" t="s">
        <v>815</v>
      </c>
      <c r="E1271" s="6" t="s">
        <v>452</v>
      </c>
      <c r="F1271" s="6" t="str">
        <f>IF($M1271="PADD I","PADD 1",IF($M1271="PADD II","PADD 2",IF($M1271="PADD III","PADD 3",IF($M1271="PADD IV","PADD 4",IF($M1271="PADD V","PADD 5","")))))</f>
        <v>PADD 4</v>
      </c>
      <c r="G1271" s="6" t="str">
        <f>IF(AND($H1271="ATMOS DISTILLATION",ISNUMBER(SEARCH("VPS",$I1271))=FALSE,LEFT($I1271,6)&lt;&gt;"VACUUM"),"CDU",IF($H1271="FLUID CAT CRACKING","FCC",IF(OR($H1271="HYDROCRACKING",$H1271="RESID_HYDROCRACKING"),"Hydrocracker",IF($H1271="REFORMING","Reformer",""))))</f>
        <v>Reformer</v>
      </c>
      <c r="H1271" s="6" t="s">
        <v>421</v>
      </c>
      <c r="I1271" s="6" t="s">
        <v>832</v>
      </c>
      <c r="J1271" s="6" t="s">
        <v>349</v>
      </c>
      <c r="K1271" s="10">
        <v>10.5</v>
      </c>
      <c r="L1271" s="10">
        <v>12.5</v>
      </c>
      <c r="M1271" s="6" t="s">
        <v>430</v>
      </c>
    </row>
    <row r="1272" spans="1:13">
      <c r="A1272" s="6">
        <v>2023</v>
      </c>
      <c r="B1272" s="6">
        <v>5</v>
      </c>
      <c r="C1272" s="6" t="s">
        <v>63</v>
      </c>
      <c r="D1272" s="6" t="s">
        <v>851</v>
      </c>
      <c r="E1272" s="6" t="s">
        <v>852</v>
      </c>
      <c r="F1272" s="6" t="str">
        <f>IF($M1272="PADD I","PADD 1",IF($M1272="PADD II","PADD 2",IF($M1272="PADD III","PADD 3",IF($M1272="PADD IV","PADD 4",IF($M1272="PADD V","PADD 5","")))))</f>
        <v>PADD 3</v>
      </c>
      <c r="G1272" s="6">
        <f>IF(AND($H1272="ATMOS DISTILLATION",ISNUMBER(SEARCH("VPS",$I1272))=FALSE,LEFT($I1272,6)&lt;&gt;"VACUUM"),"CDU",IF($H1272="FLUID CAT CRACKING","FCC",IF(OR($H1272="HYDROCRACKING",$H1272="RESID_HYDROCRACKING"),"Hydrocracker",IF($H1272="REFORMING","Reformer",""))))</f>
        <v/>
      </c>
      <c r="H1272" s="6" t="s">
        <v>378</v>
      </c>
      <c r="I1272" s="6" t="s">
        <v>860</v>
      </c>
      <c r="J1272" s="6" t="s">
        <v>349</v>
      </c>
      <c r="K1272" s="10">
        <v>10.44</v>
      </c>
      <c r="L1272" s="10">
        <v>36</v>
      </c>
      <c r="M1272" s="6" t="s">
        <v>371</v>
      </c>
    </row>
    <row r="1273" spans="1:13">
      <c r="A1273" s="6">
        <v>2023</v>
      </c>
      <c r="B1273" s="6">
        <v>5</v>
      </c>
      <c r="C1273" s="6" t="s">
        <v>63</v>
      </c>
      <c r="D1273" s="6" t="s">
        <v>437</v>
      </c>
      <c r="E1273" s="6" t="s">
        <v>438</v>
      </c>
      <c r="F1273" s="6" t="str">
        <f>IF($M1273="PADD I","PADD 1",IF($M1273="PADD II","PADD 2",IF($M1273="PADD III","PADD 3",IF($M1273="PADD IV","PADD 4",IF($M1273="PADD V","PADD 5","")))))</f>
        <v>PADD 4</v>
      </c>
      <c r="G1273" s="6">
        <f>IF(AND($H1273="ATMOS DISTILLATION",ISNUMBER(SEARCH("VPS",$I1273))=FALSE,LEFT($I1273,6)&lt;&gt;"VACUUM"),"CDU",IF($H1273="FLUID CAT CRACKING","FCC",IF(OR($H1273="HYDROCRACKING",$H1273="RESID_HYDROCRACKING"),"Hydrocracker",IF($H1273="REFORMING","Reformer",""))))</f>
        <v/>
      </c>
      <c r="H1273" s="6" t="s">
        <v>43</v>
      </c>
      <c r="I1273" s="6" t="s">
        <v>493</v>
      </c>
      <c r="J1273" s="6" t="s">
        <v>349</v>
      </c>
      <c r="K1273" s="10">
        <v>10</v>
      </c>
      <c r="L1273" s="10">
        <v>10</v>
      </c>
      <c r="M1273" s="6" t="s">
        <v>430</v>
      </c>
    </row>
    <row r="1274" spans="1:13">
      <c r="A1274" s="6">
        <v>2023</v>
      </c>
      <c r="B1274" s="6">
        <v>5</v>
      </c>
      <c r="C1274" s="6" t="s">
        <v>63</v>
      </c>
      <c r="D1274" s="6" t="s">
        <v>748</v>
      </c>
      <c r="E1274" s="6" t="s">
        <v>388</v>
      </c>
      <c r="F1274" s="6" t="str">
        <f>IF($M1274="PADD I","PADD 1",IF($M1274="PADD II","PADD 2",IF($M1274="PADD III","PADD 3",IF($M1274="PADD IV","PADD 4",IF($M1274="PADD V","PADD 5","")))))</f>
        <v>PADD 3</v>
      </c>
      <c r="G1274" s="6">
        <f>IF(AND($H1274="ATMOS DISTILLATION",ISNUMBER(SEARCH("VPS",$I1274))=FALSE,LEFT($I1274,6)&lt;&gt;"VACUUM"),"CDU",IF($H1274="FLUID CAT CRACKING","FCC",IF(OR($H1274="HYDROCRACKING",$H1274="RESID_HYDROCRACKING"),"Hydrocracker",IF($H1274="REFORMING","Reformer",""))))</f>
        <v/>
      </c>
      <c r="H1274" s="6" t="s">
        <v>43</v>
      </c>
      <c r="I1274" s="6" t="s">
        <v>759</v>
      </c>
      <c r="J1274" s="6" t="s">
        <v>349</v>
      </c>
      <c r="K1274" s="10">
        <v>9.945</v>
      </c>
      <c r="L1274" s="10">
        <v>25.5</v>
      </c>
      <c r="M1274" s="6" t="s">
        <v>371</v>
      </c>
    </row>
    <row r="1275" spans="1:13">
      <c r="A1275" s="6">
        <v>2023</v>
      </c>
      <c r="B1275" s="6">
        <v>5</v>
      </c>
      <c r="C1275" s="6" t="s">
        <v>63</v>
      </c>
      <c r="D1275" s="6" t="s">
        <v>774</v>
      </c>
      <c r="E1275" s="6" t="s">
        <v>775</v>
      </c>
      <c r="F1275" s="6" t="str">
        <f>IF($M1275="PADD I","PADD 1",IF($M1275="PADD II","PADD 2",IF($M1275="PADD III","PADD 3",IF($M1275="PADD IV","PADD 4",IF($M1275="PADD V","PADD 5","")))))</f>
        <v>PADD 1</v>
      </c>
      <c r="G1275" s="6" t="str">
        <f>IF(AND($H1275="ATMOS DISTILLATION",ISNUMBER(SEARCH("VPS",$I1275))=FALSE,LEFT($I1275,6)&lt;&gt;"VACUUM"),"CDU",IF($H1275="FLUID CAT CRACKING","FCC",IF(OR($H1275="HYDROCRACKING",$H1275="RESID_HYDROCRACKING"),"Hydrocracker",IF($H1275="REFORMING","Reformer",""))))</f>
        <v>Hydrocracker</v>
      </c>
      <c r="H1275" s="6" t="s">
        <v>444</v>
      </c>
      <c r="I1275" s="6" t="s">
        <v>14</v>
      </c>
      <c r="J1275" s="6" t="s">
        <v>349</v>
      </c>
      <c r="K1275" s="10">
        <v>9.9</v>
      </c>
      <c r="L1275" s="10">
        <v>18</v>
      </c>
      <c r="M1275" s="6" t="s">
        <v>413</v>
      </c>
    </row>
    <row r="1276" spans="1:13">
      <c r="A1276" s="6">
        <v>2023</v>
      </c>
      <c r="B1276" s="6">
        <v>5</v>
      </c>
      <c r="C1276" s="6" t="s">
        <v>63</v>
      </c>
      <c r="D1276" s="6" t="s">
        <v>542</v>
      </c>
      <c r="E1276" s="6" t="s">
        <v>543</v>
      </c>
      <c r="F1276" s="6" t="str">
        <f>IF($M1276="PADD I","PADD 1",IF($M1276="PADD II","PADD 2",IF($M1276="PADD III","PADD 3",IF($M1276="PADD IV","PADD 4",IF($M1276="PADD V","PADD 5","")))))</f>
        <v>PADD 2</v>
      </c>
      <c r="G1276" s="6" t="str">
        <f>IF(AND($H1276="ATMOS DISTILLATION",ISNUMBER(SEARCH("VPS",$I1276))=FALSE,LEFT($I1276,6)&lt;&gt;"VACUUM"),"CDU",IF($H1276="FLUID CAT CRACKING","FCC",IF(OR($H1276="HYDROCRACKING",$H1276="RESID_HYDROCRACKING"),"Hydrocracker",IF($H1276="REFORMING","Reformer",""))))</f>
        <v>CDU</v>
      </c>
      <c r="H1276" s="6" t="s">
        <v>38</v>
      </c>
      <c r="I1276" s="6" t="s">
        <v>690</v>
      </c>
      <c r="J1276" s="6" t="s">
        <v>345</v>
      </c>
      <c r="K1276" s="10">
        <v>9.75</v>
      </c>
      <c r="L1276" s="10">
        <v>75</v>
      </c>
      <c r="M1276" s="6" t="s">
        <v>375</v>
      </c>
    </row>
    <row r="1277" spans="1:13">
      <c r="A1277" s="6">
        <v>2023</v>
      </c>
      <c r="B1277" s="6">
        <v>5</v>
      </c>
      <c r="C1277" s="6" t="s">
        <v>63</v>
      </c>
      <c r="D1277" s="6" t="s">
        <v>52</v>
      </c>
      <c r="E1277" s="6" t="s">
        <v>388</v>
      </c>
      <c r="F1277" s="6" t="str">
        <f>IF($M1277="PADD I","PADD 1",IF($M1277="PADD II","PADD 2",IF($M1277="PADD III","PADD 3",IF($M1277="PADD IV","PADD 4",IF($M1277="PADD V","PADD 5","")))))</f>
        <v>PADD 5</v>
      </c>
      <c r="G1277" s="6">
        <f>IF(AND($H1277="ATMOS DISTILLATION",ISNUMBER(SEARCH("VPS",$I1277))=FALSE,LEFT($I1277,6)&lt;&gt;"VACUUM"),"CDU",IF($H1277="FLUID CAT CRACKING","FCC",IF(OR($H1277="HYDROCRACKING",$H1277="RESID_HYDROCRACKING"),"Hydrocracker",IF($H1277="REFORMING","Reformer",""))))</f>
        <v/>
      </c>
      <c r="H1277" s="6" t="s">
        <v>378</v>
      </c>
      <c r="I1277" s="6" t="s">
        <v>431</v>
      </c>
      <c r="J1277" s="6" t="s">
        <v>349</v>
      </c>
      <c r="K1277" s="10">
        <v>9.57</v>
      </c>
      <c r="L1277" s="10">
        <v>16.5</v>
      </c>
      <c r="M1277" s="6" t="s">
        <v>386</v>
      </c>
    </row>
    <row r="1278" spans="1:13">
      <c r="A1278" s="6">
        <v>2023</v>
      </c>
      <c r="B1278" s="6">
        <v>5</v>
      </c>
      <c r="C1278" s="6" t="s">
        <v>63</v>
      </c>
      <c r="D1278" s="6" t="s">
        <v>815</v>
      </c>
      <c r="E1278" s="6" t="s">
        <v>452</v>
      </c>
      <c r="F1278" s="6" t="str">
        <f>IF($M1278="PADD I","PADD 1",IF($M1278="PADD II","PADD 2",IF($M1278="PADD III","PADD 3",IF($M1278="PADD IV","PADD 4",IF($M1278="PADD V","PADD 5","")))))</f>
        <v>PADD 4</v>
      </c>
      <c r="G1278" s="6" t="str">
        <f>IF(AND($H1278="ATMOS DISTILLATION",ISNUMBER(SEARCH("VPS",$I1278))=FALSE,LEFT($I1278,6)&lt;&gt;"VACUUM"),"CDU",IF($H1278="FLUID CAT CRACKING","FCC",IF(OR($H1278="HYDROCRACKING",$H1278="RESID_HYDROCRACKING"),"Hydrocracker",IF($H1278="REFORMING","Reformer",""))))</f>
        <v>FCC</v>
      </c>
      <c r="H1278" s="6" t="s">
        <v>376</v>
      </c>
      <c r="I1278" s="6" t="s">
        <v>836</v>
      </c>
      <c r="J1278" s="6" t="s">
        <v>349</v>
      </c>
      <c r="K1278" s="10">
        <v>9.24</v>
      </c>
      <c r="L1278" s="10">
        <v>11</v>
      </c>
      <c r="M1278" s="6" t="s">
        <v>430</v>
      </c>
    </row>
    <row r="1279" spans="1:13">
      <c r="A1279" s="6">
        <v>2023</v>
      </c>
      <c r="B1279" s="6">
        <v>5</v>
      </c>
      <c r="C1279" s="6" t="s">
        <v>63</v>
      </c>
      <c r="D1279" s="6" t="s">
        <v>576</v>
      </c>
      <c r="E1279" s="6" t="s">
        <v>369</v>
      </c>
      <c r="F1279" s="6" t="str">
        <f>IF($M1279="PADD I","PADD 1",IF($M1279="PADD II","PADD 2",IF($M1279="PADD III","PADD 3",IF($M1279="PADD IV","PADD 4",IF($M1279="PADD V","PADD 5","")))))</f>
        <v>PADD 3</v>
      </c>
      <c r="G1279" s="6" t="str">
        <f>IF(AND($H1279="ATMOS DISTILLATION",ISNUMBER(SEARCH("VPS",$I1279))=FALSE,LEFT($I1279,6)&lt;&gt;"VACUUM"),"CDU",IF($H1279="FLUID CAT CRACKING","FCC",IF(OR($H1279="HYDROCRACKING",$H1279="RESID_HYDROCRACKING"),"Hydrocracker",IF($H1279="REFORMING","Reformer",""))))</f>
        <v>Reformer</v>
      </c>
      <c r="H1279" s="6" t="s">
        <v>421</v>
      </c>
      <c r="I1279" s="6" t="s">
        <v>483</v>
      </c>
      <c r="J1279" s="6" t="s">
        <v>345</v>
      </c>
      <c r="K1279" s="10">
        <v>9.24</v>
      </c>
      <c r="L1279" s="10">
        <v>12</v>
      </c>
      <c r="M1279" s="6" t="s">
        <v>371</v>
      </c>
    </row>
    <row r="1280" spans="1:13">
      <c r="A1280" s="6">
        <v>2023</v>
      </c>
      <c r="B1280" s="6">
        <v>5</v>
      </c>
      <c r="C1280" s="6" t="s">
        <v>63</v>
      </c>
      <c r="D1280" s="6" t="s">
        <v>468</v>
      </c>
      <c r="E1280" s="6" t="s">
        <v>369</v>
      </c>
      <c r="F1280" s="6" t="str">
        <f>IF($M1280="PADD I","PADD 1",IF($M1280="PADD II","PADD 2",IF($M1280="PADD III","PADD 3",IF($M1280="PADD IV","PADD 4",IF($M1280="PADD V","PADD 5","")))))</f>
        <v>PADD 3</v>
      </c>
      <c r="G1280" s="6" t="str">
        <f>IF(AND($H1280="ATMOS DISTILLATION",ISNUMBER(SEARCH("VPS",$I1280))=FALSE,LEFT($I1280,6)&lt;&gt;"VACUUM"),"CDU",IF($H1280="FLUID CAT CRACKING","FCC",IF(OR($H1280="HYDROCRACKING",$H1280="RESID_HYDROCRACKING"),"Hydrocracker",IF($H1280="REFORMING","Reformer",""))))</f>
        <v>CDU</v>
      </c>
      <c r="H1280" s="6" t="s">
        <v>38</v>
      </c>
      <c r="I1280" s="6" t="s">
        <v>561</v>
      </c>
      <c r="J1280" s="6" t="s">
        <v>345</v>
      </c>
      <c r="K1280" s="10">
        <v>9.225</v>
      </c>
      <c r="L1280" s="10">
        <v>20.5</v>
      </c>
      <c r="M1280" s="6" t="s">
        <v>371</v>
      </c>
    </row>
    <row r="1281" spans="1:13">
      <c r="A1281" s="6">
        <v>2023</v>
      </c>
      <c r="B1281" s="6">
        <v>5</v>
      </c>
      <c r="C1281" s="6" t="s">
        <v>63</v>
      </c>
      <c r="D1281" s="6" t="s">
        <v>52</v>
      </c>
      <c r="E1281" s="6" t="s">
        <v>388</v>
      </c>
      <c r="F1281" s="6" t="str">
        <f>IF($M1281="PADD I","PADD 1",IF($M1281="PADD II","PADD 2",IF($M1281="PADD III","PADD 3",IF($M1281="PADD IV","PADD 4",IF($M1281="PADD V","PADD 5","")))))</f>
        <v>PADD 5</v>
      </c>
      <c r="G1281" s="6">
        <f>IF(AND($H1281="ATMOS DISTILLATION",ISNUMBER(SEARCH("VPS",$I1281))=FALSE,LEFT($I1281,6)&lt;&gt;"VACUUM"),"CDU",IF($H1281="FLUID CAT CRACKING","FCC",IF(OR($H1281="HYDROCRACKING",$H1281="RESID_HYDROCRACKING"),"Hydrocracker",IF($H1281="REFORMING","Reformer",""))))</f>
        <v/>
      </c>
      <c r="H1281" s="6" t="s">
        <v>43</v>
      </c>
      <c r="I1281" s="6" t="s">
        <v>501</v>
      </c>
      <c r="J1281" s="6" t="s">
        <v>349</v>
      </c>
      <c r="K1281" s="10">
        <v>8.699999999999999</v>
      </c>
      <c r="L1281" s="10">
        <v>15</v>
      </c>
      <c r="M1281" s="6" t="s">
        <v>386</v>
      </c>
    </row>
    <row r="1282" spans="1:13">
      <c r="A1282" s="6">
        <v>2023</v>
      </c>
      <c r="B1282" s="6">
        <v>5</v>
      </c>
      <c r="C1282" s="6" t="s">
        <v>63</v>
      </c>
      <c r="D1282" s="6" t="s">
        <v>490</v>
      </c>
      <c r="E1282" s="6" t="s">
        <v>491</v>
      </c>
      <c r="F1282" s="6" t="str">
        <f>IF($M1282="PADD I","PADD 1",IF($M1282="PADD II","PADD 2",IF($M1282="PADD III","PADD 3",IF($M1282="PADD IV","PADD 4",IF($M1282="PADD V","PADD 5","")))))</f>
        <v>PADD 3</v>
      </c>
      <c r="G1282" s="6">
        <f>IF(AND($H1282="ATMOS DISTILLATION",ISNUMBER(SEARCH("VPS",$I1282))=FALSE,LEFT($I1282,6)&lt;&gt;"VACUUM"),"CDU",IF($H1282="FLUID CAT CRACKING","FCC",IF(OR($H1282="HYDROCRACKING",$H1282="RESID_HYDROCRACKING"),"Hydrocracker",IF($H1282="REFORMING","Reformer",""))))</f>
        <v/>
      </c>
      <c r="H1282" s="6" t="s">
        <v>435</v>
      </c>
      <c r="I1282" s="6" t="s">
        <v>687</v>
      </c>
      <c r="J1282" s="6" t="s">
        <v>349</v>
      </c>
      <c r="K1282" s="10">
        <v>8.640000000000001</v>
      </c>
      <c r="L1282" s="10">
        <v>54</v>
      </c>
      <c r="M1282" s="6" t="s">
        <v>371</v>
      </c>
    </row>
    <row r="1283" spans="1:13">
      <c r="A1283" s="6">
        <v>2023</v>
      </c>
      <c r="B1283" s="6">
        <v>5</v>
      </c>
      <c r="C1283" s="6" t="s">
        <v>63</v>
      </c>
      <c r="D1283" s="6" t="s">
        <v>437</v>
      </c>
      <c r="E1283" s="6" t="s">
        <v>438</v>
      </c>
      <c r="F1283" s="6" t="str">
        <f>IF($M1283="PADD I","PADD 1",IF($M1283="PADD II","PADD 2",IF($M1283="PADD III","PADD 3",IF($M1283="PADD IV","PADD 4",IF($M1283="PADD V","PADD 5","")))))</f>
        <v>PADD 4</v>
      </c>
      <c r="G1283" s="6" t="str">
        <f>IF(AND($H1283="ATMOS DISTILLATION",ISNUMBER(SEARCH("VPS",$I1283))=FALSE,LEFT($I1283,6)&lt;&gt;"VACUUM"),"CDU",IF($H1283="FLUID CAT CRACKING","FCC",IF(OR($H1283="HYDROCRACKING",$H1283="RESID_HYDROCRACKING"),"Hydrocracker",IF($H1283="REFORMING","Reformer",""))))</f>
        <v>FCC</v>
      </c>
      <c r="H1283" s="6" t="s">
        <v>376</v>
      </c>
      <c r="I1283" s="6" t="s">
        <v>428</v>
      </c>
      <c r="J1283" s="6" t="s">
        <v>349</v>
      </c>
      <c r="K1283" s="10">
        <v>8.5</v>
      </c>
      <c r="L1283" s="10">
        <v>8.5</v>
      </c>
      <c r="M1283" s="6" t="s">
        <v>430</v>
      </c>
    </row>
    <row r="1284" spans="1:13">
      <c r="A1284" s="6">
        <v>2023</v>
      </c>
      <c r="B1284" s="6">
        <v>5</v>
      </c>
      <c r="C1284" s="6" t="s">
        <v>63</v>
      </c>
      <c r="D1284" s="6" t="s">
        <v>434</v>
      </c>
      <c r="E1284" s="6" t="s">
        <v>388</v>
      </c>
      <c r="F1284" s="6" t="str">
        <f>IF($M1284="PADD I","PADD 1",IF($M1284="PADD II","PADD 2",IF($M1284="PADD III","PADD 3",IF($M1284="PADD IV","PADD 4",IF($M1284="PADD V","PADD 5","")))))</f>
        <v>PADD 5</v>
      </c>
      <c r="G1284" s="6" t="str">
        <f>IF(AND($H1284="ATMOS DISTILLATION",ISNUMBER(SEARCH("VPS",$I1284))=FALSE,LEFT($I1284,6)&lt;&gt;"VACUUM"),"CDU",IF($H1284="FLUID CAT CRACKING","FCC",IF(OR($H1284="HYDROCRACKING",$H1284="RESID_HYDROCRACKING"),"Hydrocracker",IF($H1284="REFORMING","Reformer",""))))</f>
        <v>Hydrocracker</v>
      </c>
      <c r="H1284" s="6" t="s">
        <v>444</v>
      </c>
      <c r="I1284" s="6" t="s">
        <v>14</v>
      </c>
      <c r="J1284" s="6" t="s">
        <v>349</v>
      </c>
      <c r="K1284" s="10">
        <v>8.464</v>
      </c>
      <c r="L1284" s="10">
        <v>36.8</v>
      </c>
      <c r="M1284" s="6" t="s">
        <v>386</v>
      </c>
    </row>
    <row r="1285" spans="1:13">
      <c r="A1285" s="6">
        <v>2023</v>
      </c>
      <c r="B1285" s="6">
        <v>5</v>
      </c>
      <c r="C1285" s="6" t="s">
        <v>63</v>
      </c>
      <c r="D1285" s="6" t="s">
        <v>468</v>
      </c>
      <c r="E1285" s="6" t="s">
        <v>369</v>
      </c>
      <c r="F1285" s="6" t="str">
        <f>IF($M1285="PADD I","PADD 1",IF($M1285="PADD II","PADD 2",IF($M1285="PADD III","PADD 3",IF($M1285="PADD IV","PADD 4",IF($M1285="PADD V","PADD 5","")))))</f>
        <v>PADD 3</v>
      </c>
      <c r="G1285" s="6" t="str">
        <f>IF(AND($H1285="ATMOS DISTILLATION",ISNUMBER(SEARCH("VPS",$I1285))=FALSE,LEFT($I1285,6)&lt;&gt;"VACUUM"),"CDU",IF($H1285="FLUID CAT CRACKING","FCC",IF(OR($H1285="HYDROCRACKING",$H1285="RESID_HYDROCRACKING"),"Hydrocracker",IF($H1285="REFORMING","Reformer",""))))</f>
        <v>CDU</v>
      </c>
      <c r="H1285" s="6" t="s">
        <v>38</v>
      </c>
      <c r="I1285" s="6" t="s">
        <v>565</v>
      </c>
      <c r="J1285" s="6" t="s">
        <v>345</v>
      </c>
      <c r="K1285" s="10">
        <v>8.324999999999999</v>
      </c>
      <c r="L1285" s="10">
        <v>18.5</v>
      </c>
      <c r="M1285" s="6" t="s">
        <v>371</v>
      </c>
    </row>
    <row r="1286" spans="1:13">
      <c r="A1286" s="6">
        <v>2023</v>
      </c>
      <c r="B1286" s="6">
        <v>5</v>
      </c>
      <c r="C1286" s="6" t="s">
        <v>63</v>
      </c>
      <c r="D1286" s="6" t="s">
        <v>772</v>
      </c>
      <c r="E1286" s="6" t="s">
        <v>405</v>
      </c>
      <c r="F1286" s="6" t="str">
        <f>IF($M1286="PADD I","PADD 1",IF($M1286="PADD II","PADD 2",IF($M1286="PADD III","PADD 3",IF($M1286="PADD IV","PADD 4",IF($M1286="PADD V","PADD 5","")))))</f>
        <v>PADD 3</v>
      </c>
      <c r="G1286" s="6" t="str">
        <f>IF(AND($H1286="ATMOS DISTILLATION",ISNUMBER(SEARCH("VPS",$I1286))=FALSE,LEFT($I1286,6)&lt;&gt;"VACUUM"),"CDU",IF($H1286="FLUID CAT CRACKING","FCC",IF(OR($H1286="HYDROCRACKING",$H1286="RESID_HYDROCRACKING"),"Hydrocracker",IF($H1286="REFORMING","Reformer",""))))</f>
        <v>Hydrocracker</v>
      </c>
      <c r="H1286" s="6" t="s">
        <v>444</v>
      </c>
      <c r="I1286" s="6" t="s">
        <v>861</v>
      </c>
      <c r="J1286" s="6" t="s">
        <v>345</v>
      </c>
      <c r="K1286" s="10">
        <v>8.279999999999999</v>
      </c>
      <c r="L1286" s="10">
        <v>36</v>
      </c>
      <c r="M1286" s="6" t="s">
        <v>371</v>
      </c>
    </row>
    <row r="1287" spans="1:13">
      <c r="A1287" s="6">
        <v>2023</v>
      </c>
      <c r="B1287" s="6">
        <v>5</v>
      </c>
      <c r="C1287" s="6" t="s">
        <v>63</v>
      </c>
      <c r="D1287" s="6" t="s">
        <v>446</v>
      </c>
      <c r="E1287" s="6" t="s">
        <v>391</v>
      </c>
      <c r="F1287" s="6" t="str">
        <f>IF($M1287="PADD I","PADD 1",IF($M1287="PADD II","PADD 2",IF($M1287="PADD III","PADD 3",IF($M1287="PADD IV","PADD 4",IF($M1287="PADD V","PADD 5","")))))</f>
        <v>PADD 3</v>
      </c>
      <c r="G1287" s="6" t="str">
        <f>IF(AND($H1287="ATMOS DISTILLATION",ISNUMBER(SEARCH("VPS",$I1287))=FALSE,LEFT($I1287,6)&lt;&gt;"VACUUM"),"CDU",IF($H1287="FLUID CAT CRACKING","FCC",IF(OR($H1287="HYDROCRACKING",$H1287="RESID_HYDROCRACKING"),"Hydrocracker",IF($H1287="REFORMING","Reformer",""))))</f>
        <v>CDU</v>
      </c>
      <c r="H1287" s="6" t="s">
        <v>38</v>
      </c>
      <c r="I1287" s="6" t="s">
        <v>81</v>
      </c>
      <c r="J1287" s="6" t="s">
        <v>345</v>
      </c>
      <c r="K1287" s="10">
        <v>8.15</v>
      </c>
      <c r="L1287" s="10">
        <v>81.5</v>
      </c>
      <c r="M1287" s="6" t="s">
        <v>371</v>
      </c>
    </row>
    <row r="1288" spans="1:13">
      <c r="A1288" s="6">
        <v>2023</v>
      </c>
      <c r="B1288" s="6">
        <v>5</v>
      </c>
      <c r="C1288" s="6" t="s">
        <v>63</v>
      </c>
      <c r="D1288" s="6" t="s">
        <v>420</v>
      </c>
      <c r="E1288" s="6" t="s">
        <v>373</v>
      </c>
      <c r="F1288" s="6" t="str">
        <f>IF($M1288="PADD I","PADD 1",IF($M1288="PADD II","PADD 2",IF($M1288="PADD III","PADD 3",IF($M1288="PADD IV","PADD 4",IF($M1288="PADD V","PADD 5","")))))</f>
        <v>PADD 2</v>
      </c>
      <c r="G1288" s="6" t="str">
        <f>IF(AND($H1288="ATMOS DISTILLATION",ISNUMBER(SEARCH("VPS",$I1288))=FALSE,LEFT($I1288,6)&lt;&gt;"VACUUM"),"CDU",IF($H1288="FLUID CAT CRACKING","FCC",IF(OR($H1288="HYDROCRACKING",$H1288="RESID_HYDROCRACKING"),"Hydrocracker",IF($H1288="REFORMING","Reformer",""))))</f>
        <v>Reformer</v>
      </c>
      <c r="H1288" s="6" t="s">
        <v>421</v>
      </c>
      <c r="I1288" s="6" t="s">
        <v>571</v>
      </c>
      <c r="J1288" s="6" t="s">
        <v>345</v>
      </c>
      <c r="K1288" s="10">
        <v>8</v>
      </c>
      <c r="L1288" s="10">
        <v>8</v>
      </c>
      <c r="M1288" s="6" t="s">
        <v>375</v>
      </c>
    </row>
    <row r="1289" spans="1:13">
      <c r="A1289" s="6">
        <v>2023</v>
      </c>
      <c r="B1289" s="6">
        <v>5</v>
      </c>
      <c r="C1289" s="6" t="s">
        <v>63</v>
      </c>
      <c r="D1289" s="6" t="s">
        <v>387</v>
      </c>
      <c r="E1289" s="6" t="s">
        <v>388</v>
      </c>
      <c r="F1289" s="6" t="str">
        <f>IF($M1289="PADD I","PADD 1",IF($M1289="PADD II","PADD 2",IF($M1289="PADD III","PADD 3",IF($M1289="PADD IV","PADD 4",IF($M1289="PADD V","PADD 5","")))))</f>
        <v>PADD 3</v>
      </c>
      <c r="G1289" s="6" t="str">
        <f>IF(AND($H1289="ATMOS DISTILLATION",ISNUMBER(SEARCH("VPS",$I1289))=FALSE,LEFT($I1289,6)&lt;&gt;"VACUUM"),"CDU",IF($H1289="FLUID CAT CRACKING","FCC",IF(OR($H1289="HYDROCRACKING",$H1289="RESID_HYDROCRACKING"),"Hydrocracker",IF($H1289="REFORMING","Reformer",""))))</f>
        <v>CDU</v>
      </c>
      <c r="H1289" s="6" t="s">
        <v>38</v>
      </c>
      <c r="I1289" s="6" t="s">
        <v>389</v>
      </c>
      <c r="J1289" s="6" t="s">
        <v>345</v>
      </c>
      <c r="K1289" s="10">
        <v>7.95</v>
      </c>
      <c r="L1289" s="10">
        <v>265</v>
      </c>
      <c r="M1289" s="6" t="s">
        <v>371</v>
      </c>
    </row>
    <row r="1290" spans="1:13">
      <c r="A1290" s="6">
        <v>2023</v>
      </c>
      <c r="B1290" s="6">
        <v>5</v>
      </c>
      <c r="C1290" s="6" t="s">
        <v>63</v>
      </c>
      <c r="D1290" s="6" t="s">
        <v>420</v>
      </c>
      <c r="E1290" s="6" t="s">
        <v>373</v>
      </c>
      <c r="F1290" s="6" t="str">
        <f>IF($M1290="PADD I","PADD 1",IF($M1290="PADD II","PADD 2",IF($M1290="PADD III","PADD 3",IF($M1290="PADD IV","PADD 4",IF($M1290="PADD V","PADD 5","")))))</f>
        <v>PADD 2</v>
      </c>
      <c r="G1290" s="6">
        <f>IF(AND($H1290="ATMOS DISTILLATION",ISNUMBER(SEARCH("VPS",$I1290))=FALSE,LEFT($I1290,6)&lt;&gt;"VACUUM"),"CDU",IF($H1290="FLUID CAT CRACKING","FCC",IF(OR($H1290="HYDROCRACKING",$H1290="RESID_HYDROCRACKING"),"Hydrocracker",IF($H1290="REFORMING","Reformer",""))))</f>
        <v/>
      </c>
      <c r="H1290" s="6" t="s">
        <v>43</v>
      </c>
      <c r="I1290" s="6" t="s">
        <v>577</v>
      </c>
      <c r="J1290" s="6" t="s">
        <v>345</v>
      </c>
      <c r="K1290" s="10">
        <v>7.7</v>
      </c>
      <c r="L1290" s="10">
        <v>7.7</v>
      </c>
      <c r="M1290" s="6" t="s">
        <v>375</v>
      </c>
    </row>
    <row r="1291" spans="1:13">
      <c r="A1291" s="6">
        <v>2023</v>
      </c>
      <c r="B1291" s="6">
        <v>5</v>
      </c>
      <c r="C1291" s="6" t="s">
        <v>63</v>
      </c>
      <c r="D1291" s="6" t="s">
        <v>714</v>
      </c>
      <c r="E1291" s="6" t="s">
        <v>405</v>
      </c>
      <c r="F1291" s="6" t="str">
        <f>IF($M1291="PADD I","PADD 1",IF($M1291="PADD II","PADD 2",IF($M1291="PADD III","PADD 3",IF($M1291="PADD IV","PADD 4",IF($M1291="PADD V","PADD 5","")))))</f>
        <v>PADD 3</v>
      </c>
      <c r="G1291" s="6" t="str">
        <f>IF(AND($H1291="ATMOS DISTILLATION",ISNUMBER(SEARCH("VPS",$I1291))=FALSE,LEFT($I1291,6)&lt;&gt;"VACUUM"),"CDU",IF($H1291="FLUID CAT CRACKING","FCC",IF(OR($H1291="HYDROCRACKING",$H1291="RESID_HYDROCRACKING"),"Hydrocracker",IF($H1291="REFORMING","Reformer",""))))</f>
        <v>FCC</v>
      </c>
      <c r="H1291" s="6" t="s">
        <v>376</v>
      </c>
      <c r="I1291" s="6" t="s">
        <v>105</v>
      </c>
      <c r="J1291" s="6" t="s">
        <v>345</v>
      </c>
      <c r="K1291" s="10">
        <v>7.6</v>
      </c>
      <c r="L1291" s="10">
        <v>76</v>
      </c>
      <c r="M1291" s="6" t="s">
        <v>371</v>
      </c>
    </row>
    <row r="1292" spans="1:13">
      <c r="A1292" s="6">
        <v>2023</v>
      </c>
      <c r="B1292" s="6">
        <v>5</v>
      </c>
      <c r="C1292" s="6" t="s">
        <v>63</v>
      </c>
      <c r="D1292" s="6" t="s">
        <v>333</v>
      </c>
      <c r="E1292" s="6" t="s">
        <v>381</v>
      </c>
      <c r="F1292" s="6" t="str">
        <f>IF($M1292="PADD I","PADD 1",IF($M1292="PADD II","PADD 2",IF($M1292="PADD III","PADD 3",IF($M1292="PADD IV","PADD 4",IF($M1292="PADD V","PADD 5","")))))</f>
        <v>PADD 3</v>
      </c>
      <c r="G1292" s="6" t="str">
        <f>IF(AND($H1292="ATMOS DISTILLATION",ISNUMBER(SEARCH("VPS",$I1292))=FALSE,LEFT($I1292,6)&lt;&gt;"VACUUM"),"CDU",IF($H1292="FLUID CAT CRACKING","FCC",IF(OR($H1292="HYDROCRACKING",$H1292="RESID_HYDROCRACKING"),"Hydrocracker",IF($H1292="REFORMING","Reformer",""))))</f>
        <v>CDU</v>
      </c>
      <c r="H1292" s="6" t="s">
        <v>38</v>
      </c>
      <c r="I1292" s="6" t="s">
        <v>679</v>
      </c>
      <c r="J1292" s="6" t="s">
        <v>345</v>
      </c>
      <c r="K1292" s="10">
        <v>7.5</v>
      </c>
      <c r="L1292" s="10">
        <v>250</v>
      </c>
      <c r="M1292" s="6" t="s">
        <v>371</v>
      </c>
    </row>
    <row r="1293" spans="1:13">
      <c r="A1293" s="6">
        <v>2023</v>
      </c>
      <c r="B1293" s="6">
        <v>5</v>
      </c>
      <c r="C1293" s="6" t="s">
        <v>63</v>
      </c>
      <c r="D1293" s="6" t="s">
        <v>420</v>
      </c>
      <c r="E1293" s="6" t="s">
        <v>373</v>
      </c>
      <c r="F1293" s="6" t="str">
        <f>IF($M1293="PADD I","PADD 1",IF($M1293="PADD II","PADD 2",IF($M1293="PADD III","PADD 3",IF($M1293="PADD IV","PADD 4",IF($M1293="PADD V","PADD 5","")))))</f>
        <v>PADD 2</v>
      </c>
      <c r="G1293" s="6">
        <f>IF(AND($H1293="ATMOS DISTILLATION",ISNUMBER(SEARCH("VPS",$I1293))=FALSE,LEFT($I1293,6)&lt;&gt;"VACUUM"),"CDU",IF($H1293="FLUID CAT CRACKING","FCC",IF(OR($H1293="HYDROCRACKING",$H1293="RESID_HYDROCRACKING"),"Hydrocracker",IF($H1293="REFORMING","Reformer",""))))</f>
        <v/>
      </c>
      <c r="H1293" s="6" t="s">
        <v>43</v>
      </c>
      <c r="I1293" s="6" t="s">
        <v>458</v>
      </c>
      <c r="J1293" s="6" t="s">
        <v>345</v>
      </c>
      <c r="K1293" s="10">
        <v>7.5</v>
      </c>
      <c r="L1293" s="10">
        <v>7.5</v>
      </c>
      <c r="M1293" s="6" t="s">
        <v>375</v>
      </c>
    </row>
    <row r="1294" spans="1:13">
      <c r="A1294" s="6">
        <v>2023</v>
      </c>
      <c r="B1294" s="6">
        <v>5</v>
      </c>
      <c r="C1294" s="6" t="s">
        <v>63</v>
      </c>
      <c r="D1294" s="6" t="s">
        <v>53</v>
      </c>
      <c r="E1294" s="6" t="s">
        <v>543</v>
      </c>
      <c r="F1294" s="6" t="str">
        <f>IF($M1294="PADD I","PADD 1",IF($M1294="PADD II","PADD 2",IF($M1294="PADD III","PADD 3",IF($M1294="PADD IV","PADD 4",IF($M1294="PADD V","PADD 5","")))))</f>
        <v>PADD 5</v>
      </c>
      <c r="G1294" s="6" t="str">
        <f>IF(AND($H1294="ATMOS DISTILLATION",ISNUMBER(SEARCH("VPS",$I1294))=FALSE,LEFT($I1294,6)&lt;&gt;"VACUUM"),"CDU",IF($H1294="FLUID CAT CRACKING","FCC",IF(OR($H1294="HYDROCRACKING",$H1294="RESID_HYDROCRACKING"),"Hydrocracker",IF($H1294="REFORMING","Reformer",""))))</f>
        <v>Reformer</v>
      </c>
      <c r="H1294" s="6" t="s">
        <v>421</v>
      </c>
      <c r="I1294" s="6" t="s">
        <v>557</v>
      </c>
      <c r="J1294" s="6" t="s">
        <v>345</v>
      </c>
      <c r="K1294" s="10">
        <v>7.455</v>
      </c>
      <c r="L1294" s="10">
        <v>10.5</v>
      </c>
      <c r="M1294" s="6" t="s">
        <v>386</v>
      </c>
    </row>
    <row r="1295" spans="1:13">
      <c r="A1295" s="6">
        <v>2023</v>
      </c>
      <c r="B1295" s="6">
        <v>5</v>
      </c>
      <c r="C1295" s="6" t="s">
        <v>63</v>
      </c>
      <c r="D1295" s="6" t="s">
        <v>52</v>
      </c>
      <c r="E1295" s="6" t="s">
        <v>388</v>
      </c>
      <c r="F1295" s="6" t="str">
        <f>IF($M1295="PADD I","PADD 1",IF($M1295="PADD II","PADD 2",IF($M1295="PADD III","PADD 3",IF($M1295="PADD IV","PADD 4",IF($M1295="PADD V","PADD 5","")))))</f>
        <v>PADD 5</v>
      </c>
      <c r="G1295" s="6" t="str">
        <f>IF(AND($H1295="ATMOS DISTILLATION",ISNUMBER(SEARCH("VPS",$I1295))=FALSE,LEFT($I1295,6)&lt;&gt;"VACUUM"),"CDU",IF($H1295="FLUID CAT CRACKING","FCC",IF(OR($H1295="HYDROCRACKING",$H1295="RESID_HYDROCRACKING"),"Hydrocracker",IF($H1295="REFORMING","Reformer",""))))</f>
        <v>Hydrocracker</v>
      </c>
      <c r="H1295" s="6" t="s">
        <v>444</v>
      </c>
      <c r="I1295" s="6" t="s">
        <v>14</v>
      </c>
      <c r="J1295" s="6" t="s">
        <v>349</v>
      </c>
      <c r="K1295" s="10">
        <v>7.25</v>
      </c>
      <c r="L1295" s="10">
        <v>12.5</v>
      </c>
      <c r="M1295" s="6" t="s">
        <v>386</v>
      </c>
    </row>
    <row r="1296" spans="1:13">
      <c r="A1296" s="6">
        <v>2023</v>
      </c>
      <c r="B1296" s="6">
        <v>5</v>
      </c>
      <c r="C1296" s="6" t="s">
        <v>63</v>
      </c>
      <c r="D1296" s="6" t="s">
        <v>715</v>
      </c>
      <c r="E1296" s="6" t="s">
        <v>716</v>
      </c>
      <c r="F1296" s="6" t="str">
        <f>IF($M1296="PADD I","PADD 1",IF($M1296="PADD II","PADD 2",IF($M1296="PADD III","PADD 3",IF($M1296="PADD IV","PADD 4",IF($M1296="PADD V","PADD 5","")))))</f>
        <v>PADD 2</v>
      </c>
      <c r="G1296" s="6">
        <f>IF(AND($H1296="ATMOS DISTILLATION",ISNUMBER(SEARCH("VPS",$I1296))=FALSE,LEFT($I1296,6)&lt;&gt;"VACUUM"),"CDU",IF($H1296="FLUID CAT CRACKING","FCC",IF(OR($H1296="HYDROCRACKING",$H1296="RESID_HYDROCRACKING"),"Hydrocracker",IF($H1296="REFORMING","Reformer",""))))</f>
        <v/>
      </c>
      <c r="H1296" s="6" t="s">
        <v>460</v>
      </c>
      <c r="I1296" s="6" t="s">
        <v>616</v>
      </c>
      <c r="J1296" s="6" t="s">
        <v>349</v>
      </c>
      <c r="K1296" s="10">
        <v>7.2</v>
      </c>
      <c r="L1296" s="10">
        <v>16</v>
      </c>
      <c r="M1296" s="6" t="s">
        <v>375</v>
      </c>
    </row>
    <row r="1297" spans="1:13">
      <c r="A1297" s="6">
        <v>2023</v>
      </c>
      <c r="B1297" s="6">
        <v>5</v>
      </c>
      <c r="C1297" s="6" t="s">
        <v>63</v>
      </c>
      <c r="D1297" s="6" t="s">
        <v>446</v>
      </c>
      <c r="E1297" s="6" t="s">
        <v>391</v>
      </c>
      <c r="F1297" s="6" t="str">
        <f>IF($M1297="PADD I","PADD 1",IF($M1297="PADD II","PADD 2",IF($M1297="PADD III","PADD 3",IF($M1297="PADD IV","PADD 4",IF($M1297="PADD V","PADD 5","")))))</f>
        <v>PADD 3</v>
      </c>
      <c r="G1297" s="6">
        <f>IF(AND($H1297="ATMOS DISTILLATION",ISNUMBER(SEARCH("VPS",$I1297))=FALSE,LEFT($I1297,6)&lt;&gt;"VACUUM"),"CDU",IF($H1297="FLUID CAT CRACKING","FCC",IF(OR($H1297="HYDROCRACKING",$H1297="RESID_HYDROCRACKING"),"Hydrocracker",IF($H1297="REFORMING","Reformer",""))))</f>
        <v/>
      </c>
      <c r="H1297" s="6" t="s">
        <v>460</v>
      </c>
      <c r="I1297" s="6" t="s">
        <v>580</v>
      </c>
      <c r="J1297" s="6" t="s">
        <v>345</v>
      </c>
      <c r="K1297" s="10">
        <v>7.2</v>
      </c>
      <c r="L1297" s="10">
        <v>7.2</v>
      </c>
      <c r="M1297" s="6" t="s">
        <v>371</v>
      </c>
    </row>
    <row r="1298" spans="1:13">
      <c r="A1298" s="6">
        <v>2023</v>
      </c>
      <c r="B1298" s="6">
        <v>5</v>
      </c>
      <c r="C1298" s="6" t="s">
        <v>63</v>
      </c>
      <c r="D1298" s="6" t="s">
        <v>799</v>
      </c>
      <c r="E1298" s="6" t="s">
        <v>391</v>
      </c>
      <c r="F1298" s="6" t="str">
        <f>IF($M1298="PADD I","PADD 1",IF($M1298="PADD II","PADD 2",IF($M1298="PADD III","PADD 3",IF($M1298="PADD IV","PADD 4",IF($M1298="PADD V","PADD 5","")))))</f>
        <v>PADD 4</v>
      </c>
      <c r="G1298" s="6" t="str">
        <f>IF(AND($H1298="ATMOS DISTILLATION",ISNUMBER(SEARCH("VPS",$I1298))=FALSE,LEFT($I1298,6)&lt;&gt;"VACUUM"),"CDU",IF($H1298="FLUID CAT CRACKING","FCC",IF(OR($H1298="HYDROCRACKING",$H1298="RESID_HYDROCRACKING"),"Hydrocracker",IF($H1298="REFORMING","Reformer",""))))</f>
        <v>FCC</v>
      </c>
      <c r="H1298" s="6" t="s">
        <v>376</v>
      </c>
      <c r="I1298" s="6" t="s">
        <v>800</v>
      </c>
      <c r="J1298" s="6" t="s">
        <v>349</v>
      </c>
      <c r="K1298" s="10">
        <v>7.15</v>
      </c>
      <c r="L1298" s="10">
        <v>13</v>
      </c>
      <c r="M1298" s="6" t="s">
        <v>430</v>
      </c>
    </row>
    <row r="1299" spans="1:13">
      <c r="A1299" s="6">
        <v>2023</v>
      </c>
      <c r="B1299" s="6">
        <v>5</v>
      </c>
      <c r="C1299" s="6" t="s">
        <v>63</v>
      </c>
      <c r="D1299" s="6" t="s">
        <v>52</v>
      </c>
      <c r="E1299" s="6" t="s">
        <v>388</v>
      </c>
      <c r="F1299" s="6" t="str">
        <f>IF($M1299="PADD I","PADD 1",IF($M1299="PADD II","PADD 2",IF($M1299="PADD III","PADD 3",IF($M1299="PADD IV","PADD 4",IF($M1299="PADD V","PADD 5","")))))</f>
        <v>PADD 5</v>
      </c>
      <c r="G1299" s="6" t="str">
        <f>IF(AND($H1299="ATMOS DISTILLATION",ISNUMBER(SEARCH("VPS",$I1299))=FALSE,LEFT($I1299,6)&lt;&gt;"VACUUM"),"CDU",IF($H1299="FLUID CAT CRACKING","FCC",IF(OR($H1299="HYDROCRACKING",$H1299="RESID_HYDROCRACKING"),"Hydrocracker",IF($H1299="REFORMING","Reformer",""))))</f>
        <v>Reformer</v>
      </c>
      <c r="H1299" s="6" t="s">
        <v>421</v>
      </c>
      <c r="I1299" s="6" t="s">
        <v>725</v>
      </c>
      <c r="J1299" s="6" t="s">
        <v>349</v>
      </c>
      <c r="K1299" s="10">
        <v>6.96</v>
      </c>
      <c r="L1299" s="10">
        <v>12</v>
      </c>
      <c r="M1299" s="6" t="s">
        <v>386</v>
      </c>
    </row>
    <row r="1300" spans="1:13">
      <c r="A1300" s="6">
        <v>2023</v>
      </c>
      <c r="B1300" s="6">
        <v>5</v>
      </c>
      <c r="C1300" s="6" t="s">
        <v>63</v>
      </c>
      <c r="D1300" s="6" t="s">
        <v>511</v>
      </c>
      <c r="E1300" s="6" t="s">
        <v>405</v>
      </c>
      <c r="F1300" s="6" t="str">
        <f>IF($M1300="PADD I","PADD 1",IF($M1300="PADD II","PADD 2",IF($M1300="PADD III","PADD 3",IF($M1300="PADD IV","PADD 4",IF($M1300="PADD V","PADD 5","")))))</f>
        <v>PADD 3</v>
      </c>
      <c r="G1300" s="6" t="str">
        <f>IF(AND($H1300="ATMOS DISTILLATION",ISNUMBER(SEARCH("VPS",$I1300))=FALSE,LEFT($I1300,6)&lt;&gt;"VACUUM"),"CDU",IF($H1300="FLUID CAT CRACKING","FCC",IF(OR($H1300="HYDROCRACKING",$H1300="RESID_HYDROCRACKING"),"Hydrocracker",IF($H1300="REFORMING","Reformer",""))))</f>
        <v>CDU</v>
      </c>
      <c r="H1300" s="6" t="s">
        <v>38</v>
      </c>
      <c r="I1300" s="6" t="s">
        <v>112</v>
      </c>
      <c r="J1300" s="6" t="s">
        <v>345</v>
      </c>
      <c r="K1300" s="10">
        <v>6.6</v>
      </c>
      <c r="L1300" s="10">
        <v>110</v>
      </c>
      <c r="M1300" s="6" t="s">
        <v>371</v>
      </c>
    </row>
    <row r="1301" spans="1:13">
      <c r="A1301" s="6">
        <v>2023</v>
      </c>
      <c r="B1301" s="6">
        <v>5</v>
      </c>
      <c r="C1301" s="6" t="s">
        <v>63</v>
      </c>
      <c r="D1301" s="6" t="s">
        <v>803</v>
      </c>
      <c r="E1301" s="6" t="s">
        <v>388</v>
      </c>
      <c r="F1301" s="6" t="str">
        <f>IF($M1301="PADD I","PADD 1",IF($M1301="PADD II","PADD 2",IF($M1301="PADD III","PADD 3",IF($M1301="PADD IV","PADD 4",IF($M1301="PADD V","PADD 5","")))))</f>
        <v>PADD 2</v>
      </c>
      <c r="G1301" s="6" t="str">
        <f>IF(AND($H1301="ATMOS DISTILLATION",ISNUMBER(SEARCH("VPS",$I1301))=FALSE,LEFT($I1301,6)&lt;&gt;"VACUUM"),"CDU",IF($H1301="FLUID CAT CRACKING","FCC",IF(OR($H1301="HYDROCRACKING",$H1301="RESID_HYDROCRACKING"),"Hydrocracker",IF($H1301="REFORMING","Reformer",""))))</f>
        <v>FCC</v>
      </c>
      <c r="H1301" s="6" t="s">
        <v>376</v>
      </c>
      <c r="I1301" s="6" t="s">
        <v>105</v>
      </c>
      <c r="J1301" s="6" t="s">
        <v>345</v>
      </c>
      <c r="K1301" s="10">
        <v>6.555</v>
      </c>
      <c r="L1301" s="10">
        <v>28.5</v>
      </c>
      <c r="M1301" s="6" t="s">
        <v>375</v>
      </c>
    </row>
    <row r="1302" spans="1:13">
      <c r="A1302" s="6">
        <v>2023</v>
      </c>
      <c r="B1302" s="6">
        <v>5</v>
      </c>
      <c r="C1302" s="6" t="s">
        <v>63</v>
      </c>
      <c r="D1302" s="6" t="s">
        <v>770</v>
      </c>
      <c r="E1302" s="6" t="s">
        <v>660</v>
      </c>
      <c r="F1302" s="6" t="str">
        <f>IF($M1302="PADD I","PADD 1",IF($M1302="PADD II","PADD 2",IF($M1302="PADD III","PADD 3",IF($M1302="PADD IV","PADD 4",IF($M1302="PADD V","PADD 5","")))))</f>
        <v>PADD 3</v>
      </c>
      <c r="G1302" s="6" t="str">
        <f>IF(AND($H1302="ATMOS DISTILLATION",ISNUMBER(SEARCH("VPS",$I1302))=FALSE,LEFT($I1302,6)&lt;&gt;"VACUUM"),"CDU",IF($H1302="FLUID CAT CRACKING","FCC",IF(OR($H1302="HYDROCRACKING",$H1302="RESID_HYDROCRACKING"),"Hydrocracker",IF($H1302="REFORMING","Reformer",""))))</f>
        <v>Reformer</v>
      </c>
      <c r="H1302" s="6" t="s">
        <v>421</v>
      </c>
      <c r="I1302" s="6" t="s">
        <v>810</v>
      </c>
      <c r="J1302" s="6" t="s">
        <v>349</v>
      </c>
      <c r="K1302" s="10">
        <v>6.4</v>
      </c>
      <c r="L1302" s="10">
        <v>6.4</v>
      </c>
      <c r="M1302" s="6" t="s">
        <v>371</v>
      </c>
    </row>
    <row r="1303" spans="1:13">
      <c r="A1303" s="6">
        <v>2023</v>
      </c>
      <c r="B1303" s="6">
        <v>5</v>
      </c>
      <c r="C1303" s="6" t="s">
        <v>63</v>
      </c>
      <c r="D1303" s="6" t="s">
        <v>862</v>
      </c>
      <c r="E1303" s="6" t="s">
        <v>856</v>
      </c>
      <c r="F1303" s="6" t="str">
        <f>IF($M1303="PADD I","PADD 1",IF($M1303="PADD II","PADD 2",IF($M1303="PADD III","PADD 3",IF($M1303="PADD IV","PADD 4",IF($M1303="PADD V","PADD 5","")))))</f>
        <v>PADD 5</v>
      </c>
      <c r="G1303" s="6" t="str">
        <f>IF(AND($H1303="ATMOS DISTILLATION",ISNUMBER(SEARCH("VPS",$I1303))=FALSE,LEFT($I1303,6)&lt;&gt;"VACUUM"),"CDU",IF($H1303="FLUID CAT CRACKING","FCC",IF(OR($H1303="HYDROCRACKING",$H1303="RESID_HYDROCRACKING"),"Hydrocracker",IF($H1303="REFORMING","Reformer",""))))</f>
        <v>CDU</v>
      </c>
      <c r="H1303" s="6" t="s">
        <v>38</v>
      </c>
      <c r="I1303" s="6" t="s">
        <v>857</v>
      </c>
      <c r="J1303" s="6" t="s">
        <v>349</v>
      </c>
      <c r="K1303" s="10">
        <v>6.38</v>
      </c>
      <c r="L1303" s="10">
        <v>22</v>
      </c>
      <c r="M1303" s="6" t="s">
        <v>386</v>
      </c>
    </row>
    <row r="1304" spans="1:13">
      <c r="A1304" s="6">
        <v>2023</v>
      </c>
      <c r="B1304" s="6">
        <v>5</v>
      </c>
      <c r="C1304" s="6" t="s">
        <v>63</v>
      </c>
      <c r="D1304" s="6" t="s">
        <v>815</v>
      </c>
      <c r="E1304" s="6" t="s">
        <v>452</v>
      </c>
      <c r="F1304" s="6" t="str">
        <f>IF($M1304="PADD I","PADD 1",IF($M1304="PADD II","PADD 2",IF($M1304="PADD III","PADD 3",IF($M1304="PADD IV","PADD 4",IF($M1304="PADD V","PADD 5","")))))</f>
        <v>PADD 4</v>
      </c>
      <c r="G1304" s="6" t="str">
        <f>IF(AND($H1304="ATMOS DISTILLATION",ISNUMBER(SEARCH("VPS",$I1304))=FALSE,LEFT($I1304,6)&lt;&gt;"VACUUM"),"CDU",IF($H1304="FLUID CAT CRACKING","FCC",IF(OR($H1304="HYDROCRACKING",$H1304="RESID_HYDROCRACKING"),"Hydrocracker",IF($H1304="REFORMING","Reformer",""))))</f>
        <v>Hydrocracker</v>
      </c>
      <c r="H1304" s="6" t="s">
        <v>444</v>
      </c>
      <c r="I1304" s="6" t="s">
        <v>842</v>
      </c>
      <c r="J1304" s="6" t="s">
        <v>349</v>
      </c>
      <c r="K1304" s="10">
        <v>6.3</v>
      </c>
      <c r="L1304" s="10">
        <v>7.5</v>
      </c>
      <c r="M1304" s="6" t="s">
        <v>430</v>
      </c>
    </row>
    <row r="1305" spans="1:13">
      <c r="A1305" s="6">
        <v>2023</v>
      </c>
      <c r="B1305" s="6">
        <v>5</v>
      </c>
      <c r="C1305" s="6" t="s">
        <v>63</v>
      </c>
      <c r="D1305" s="6" t="s">
        <v>762</v>
      </c>
      <c r="E1305" s="6" t="s">
        <v>763</v>
      </c>
      <c r="F1305" s="6" t="str">
        <f>IF($M1305="PADD I","PADD 1",IF($M1305="PADD II","PADD 2",IF($M1305="PADD III","PADD 3",IF($M1305="PADD IV","PADD 4",IF($M1305="PADD V","PADD 5","")))))</f>
        <v>PADD 2</v>
      </c>
      <c r="G1305" s="6" t="str">
        <f>IF(AND($H1305="ATMOS DISTILLATION",ISNUMBER(SEARCH("VPS",$I1305))=FALSE,LEFT($I1305,6)&lt;&gt;"VACUUM"),"CDU",IF($H1305="FLUID CAT CRACKING","FCC",IF(OR($H1305="HYDROCRACKING",$H1305="RESID_HYDROCRACKING"),"Hydrocracker",IF($H1305="REFORMING","Reformer",""))))</f>
        <v>FCC</v>
      </c>
      <c r="H1305" s="6" t="s">
        <v>376</v>
      </c>
      <c r="I1305" s="6" t="s">
        <v>105</v>
      </c>
      <c r="J1305" s="6" t="s">
        <v>345</v>
      </c>
      <c r="K1305" s="10">
        <v>6.09</v>
      </c>
      <c r="L1305" s="10">
        <v>21</v>
      </c>
      <c r="M1305" s="6" t="s">
        <v>375</v>
      </c>
    </row>
    <row r="1306" spans="1:13">
      <c r="A1306" s="6">
        <v>2023</v>
      </c>
      <c r="B1306" s="6">
        <v>5</v>
      </c>
      <c r="C1306" s="6" t="s">
        <v>63</v>
      </c>
      <c r="D1306" s="6" t="s">
        <v>732</v>
      </c>
      <c r="E1306" s="6" t="s">
        <v>733</v>
      </c>
      <c r="F1306" s="6" t="str">
        <f>IF($M1306="PADD I","PADD 1",IF($M1306="PADD II","PADD 2",IF($M1306="PADD III","PADD 3",IF($M1306="PADD IV","PADD 4",IF($M1306="PADD V","PADD 5","")))))</f>
        <v>PADD 4</v>
      </c>
      <c r="G1306" s="6">
        <f>IF(AND($H1306="ATMOS DISTILLATION",ISNUMBER(SEARCH("VPS",$I1306))=FALSE,LEFT($I1306,6)&lt;&gt;"VACUUM"),"CDU",IF($H1306="FLUID CAT CRACKING","FCC",IF(OR($H1306="HYDROCRACKING",$H1306="RESID_HYDROCRACKING"),"Hydrocracker",IF($H1306="REFORMING","Reformer",""))))</f>
        <v/>
      </c>
      <c r="H1306" s="6" t="s">
        <v>43</v>
      </c>
      <c r="I1306" s="6" t="s">
        <v>745</v>
      </c>
      <c r="J1306" s="6" t="s">
        <v>349</v>
      </c>
      <c r="K1306" s="10">
        <v>5.92</v>
      </c>
      <c r="L1306" s="10">
        <v>18.5</v>
      </c>
      <c r="M1306" s="6" t="s">
        <v>430</v>
      </c>
    </row>
    <row r="1307" spans="1:13">
      <c r="A1307" s="6">
        <v>2023</v>
      </c>
      <c r="B1307" s="6">
        <v>5</v>
      </c>
      <c r="C1307" s="6" t="s">
        <v>63</v>
      </c>
      <c r="D1307" s="6" t="s">
        <v>408</v>
      </c>
      <c r="E1307" s="6" t="s">
        <v>409</v>
      </c>
      <c r="F1307" s="6" t="str">
        <f>IF($M1307="PADD I","PADD 1",IF($M1307="PADD II","PADD 2",IF($M1307="PADD III","PADD 3",IF($M1307="PADD IV","PADD 4",IF($M1307="PADD V","PADD 5","")))))</f>
        <v>PADD 3</v>
      </c>
      <c r="G1307" s="6">
        <f>IF(AND($H1307="ATMOS DISTILLATION",ISNUMBER(SEARCH("VPS",$I1307))=FALSE,LEFT($I1307,6)&lt;&gt;"VACUUM"),"CDU",IF($H1307="FLUID CAT CRACKING","FCC",IF(OR($H1307="HYDROCRACKING",$H1307="RESID_HYDROCRACKING"),"Hydrocracker",IF($H1307="REFORMING","Reformer",""))))</f>
        <v/>
      </c>
      <c r="H1307" s="6" t="s">
        <v>43</v>
      </c>
      <c r="I1307" s="6" t="s">
        <v>497</v>
      </c>
      <c r="J1307" s="6" t="s">
        <v>349</v>
      </c>
      <c r="K1307" s="10">
        <v>5.89</v>
      </c>
      <c r="L1307" s="10">
        <v>31</v>
      </c>
      <c r="M1307" s="6" t="s">
        <v>371</v>
      </c>
    </row>
    <row r="1308" spans="1:13">
      <c r="A1308" s="6">
        <v>2023</v>
      </c>
      <c r="B1308" s="6">
        <v>5</v>
      </c>
      <c r="C1308" s="6" t="s">
        <v>63</v>
      </c>
      <c r="D1308" s="6" t="s">
        <v>739</v>
      </c>
      <c r="E1308" s="6" t="s">
        <v>405</v>
      </c>
      <c r="F1308" s="6" t="str">
        <f>IF($M1308="PADD I","PADD 1",IF($M1308="PADD II","PADD 2",IF($M1308="PADD III","PADD 3",IF($M1308="PADD IV","PADD 4",IF($M1308="PADD V","PADD 5","")))))</f>
        <v>PADD 2</v>
      </c>
      <c r="G1308" s="6">
        <f>IF(AND($H1308="ATMOS DISTILLATION",ISNUMBER(SEARCH("VPS",$I1308))=FALSE,LEFT($I1308,6)&lt;&gt;"VACUUM"),"CDU",IF($H1308="FLUID CAT CRACKING","FCC",IF(OR($H1308="HYDROCRACKING",$H1308="RESID_HYDROCRACKING"),"Hydrocracker",IF($H1308="REFORMING","Reformer",""))))</f>
        <v/>
      </c>
      <c r="H1308" s="6" t="s">
        <v>568</v>
      </c>
      <c r="I1308" s="6" t="s">
        <v>604</v>
      </c>
      <c r="J1308" s="6" t="s">
        <v>349</v>
      </c>
      <c r="K1308" s="10">
        <v>5.88</v>
      </c>
      <c r="L1308" s="10">
        <v>7</v>
      </c>
      <c r="M1308" s="6" t="s">
        <v>375</v>
      </c>
    </row>
    <row r="1309" spans="1:13">
      <c r="A1309" s="6">
        <v>2023</v>
      </c>
      <c r="B1309" s="6">
        <v>5</v>
      </c>
      <c r="C1309" s="6" t="s">
        <v>63</v>
      </c>
      <c r="D1309" s="6" t="s">
        <v>748</v>
      </c>
      <c r="E1309" s="6" t="s">
        <v>388</v>
      </c>
      <c r="F1309" s="6" t="str">
        <f>IF($M1309="PADD I","PADD 1",IF($M1309="PADD II","PADD 2",IF($M1309="PADD III","PADD 3",IF($M1309="PADD IV","PADD 4",IF($M1309="PADD V","PADD 5","")))))</f>
        <v>PADD 3</v>
      </c>
      <c r="G1309" s="6" t="str">
        <f>IF(AND($H1309="ATMOS DISTILLATION",ISNUMBER(SEARCH("VPS",$I1309))=FALSE,LEFT($I1309,6)&lt;&gt;"VACUUM"),"CDU",IF($H1309="FLUID CAT CRACKING","FCC",IF(OR($H1309="HYDROCRACKING",$H1309="RESID_HYDROCRACKING"),"Hydrocracker",IF($H1309="REFORMING","Reformer",""))))</f>
        <v>Reformer</v>
      </c>
      <c r="H1309" s="6" t="s">
        <v>421</v>
      </c>
      <c r="I1309" s="6" t="s">
        <v>764</v>
      </c>
      <c r="J1309" s="6" t="s">
        <v>349</v>
      </c>
      <c r="K1309" s="10">
        <v>5.85</v>
      </c>
      <c r="L1309" s="10">
        <v>15</v>
      </c>
      <c r="M1309" s="6" t="s">
        <v>371</v>
      </c>
    </row>
    <row r="1310" spans="1:13">
      <c r="A1310" s="6">
        <v>2023</v>
      </c>
      <c r="B1310" s="6">
        <v>5</v>
      </c>
      <c r="C1310" s="6" t="s">
        <v>63</v>
      </c>
      <c r="D1310" s="6" t="s">
        <v>772</v>
      </c>
      <c r="E1310" s="6" t="s">
        <v>405</v>
      </c>
      <c r="F1310" s="6" t="str">
        <f>IF($M1310="PADD I","PADD 1",IF($M1310="PADD II","PADD 2",IF($M1310="PADD III","PADD 3",IF($M1310="PADD IV","PADD 4",IF($M1310="PADD V","PADD 5","")))))</f>
        <v>PADD 3</v>
      </c>
      <c r="G1310" s="6">
        <f>IF(AND($H1310="ATMOS DISTILLATION",ISNUMBER(SEARCH("VPS",$I1310))=FALSE,LEFT($I1310,6)&lt;&gt;"VACUUM"),"CDU",IF($H1310="FLUID CAT CRACKING","FCC",IF(OR($H1310="HYDROCRACKING",$H1310="RESID_HYDROCRACKING"),"Hydrocracker",IF($H1310="REFORMING","Reformer",""))))</f>
        <v/>
      </c>
      <c r="H1310" s="6" t="s">
        <v>460</v>
      </c>
      <c r="I1310" s="6" t="s">
        <v>792</v>
      </c>
      <c r="J1310" s="6" t="s">
        <v>349</v>
      </c>
      <c r="K1310" s="10">
        <v>5.72</v>
      </c>
      <c r="L1310" s="10">
        <v>22</v>
      </c>
      <c r="M1310" s="6" t="s">
        <v>371</v>
      </c>
    </row>
    <row r="1311" spans="1:13">
      <c r="A1311" s="6">
        <v>2023</v>
      </c>
      <c r="B1311" s="6">
        <v>5</v>
      </c>
      <c r="C1311" s="6" t="s">
        <v>63</v>
      </c>
      <c r="D1311" s="6" t="s">
        <v>420</v>
      </c>
      <c r="E1311" s="6" t="s">
        <v>373</v>
      </c>
      <c r="F1311" s="6" t="str">
        <f>IF($M1311="PADD I","PADD 1",IF($M1311="PADD II","PADD 2",IF($M1311="PADD III","PADD 3",IF($M1311="PADD IV","PADD 4",IF($M1311="PADD V","PADD 5","")))))</f>
        <v>PADD 2</v>
      </c>
      <c r="G1311" s="6">
        <f>IF(AND($H1311="ATMOS DISTILLATION",ISNUMBER(SEARCH("VPS",$I1311))=FALSE,LEFT($I1311,6)&lt;&gt;"VACUUM"),"CDU",IF($H1311="FLUID CAT CRACKING","FCC",IF(OR($H1311="HYDROCRACKING",$H1311="RESID_HYDROCRACKING"),"Hydrocracker",IF($H1311="REFORMING","Reformer",""))))</f>
        <v/>
      </c>
      <c r="H1311" s="6" t="s">
        <v>43</v>
      </c>
      <c r="I1311" s="6" t="s">
        <v>588</v>
      </c>
      <c r="J1311" s="6" t="s">
        <v>345</v>
      </c>
      <c r="K1311" s="10">
        <v>5.5</v>
      </c>
      <c r="L1311" s="10">
        <v>5.5</v>
      </c>
      <c r="M1311" s="6" t="s">
        <v>375</v>
      </c>
    </row>
    <row r="1312" spans="1:13">
      <c r="A1312" s="6">
        <v>2023</v>
      </c>
      <c r="B1312" s="6">
        <v>5</v>
      </c>
      <c r="C1312" s="6" t="s">
        <v>63</v>
      </c>
      <c r="D1312" s="6" t="s">
        <v>437</v>
      </c>
      <c r="E1312" s="6" t="s">
        <v>438</v>
      </c>
      <c r="F1312" s="6" t="str">
        <f>IF($M1312="PADD I","PADD 1",IF($M1312="PADD II","PADD 2",IF($M1312="PADD III","PADD 3",IF($M1312="PADD IV","PADD 4",IF($M1312="PADD V","PADD 5","")))))</f>
        <v>PADD 4</v>
      </c>
      <c r="G1312" s="6" t="str">
        <f>IF(AND($H1312="ATMOS DISTILLATION",ISNUMBER(SEARCH("VPS",$I1312))=FALSE,LEFT($I1312,6)&lt;&gt;"VACUUM"),"CDU",IF($H1312="FLUID CAT CRACKING","FCC",IF(OR($H1312="HYDROCRACKING",$H1312="RESID_HYDROCRACKING"),"Hydrocracker",IF($H1312="REFORMING","Reformer",""))))</f>
        <v>Reformer</v>
      </c>
      <c r="H1312" s="6" t="s">
        <v>421</v>
      </c>
      <c r="I1312" s="6" t="s">
        <v>557</v>
      </c>
      <c r="J1312" s="6" t="s">
        <v>345</v>
      </c>
      <c r="K1312" s="10">
        <v>5.5</v>
      </c>
      <c r="L1312" s="10">
        <v>5.5</v>
      </c>
      <c r="M1312" s="6" t="s">
        <v>430</v>
      </c>
    </row>
    <row r="1313" spans="1:13">
      <c r="A1313" s="6">
        <v>2023</v>
      </c>
      <c r="B1313" s="6">
        <v>5</v>
      </c>
      <c r="C1313" s="6" t="s">
        <v>63</v>
      </c>
      <c r="D1313" s="6" t="s">
        <v>742</v>
      </c>
      <c r="E1313" s="6" t="s">
        <v>388</v>
      </c>
      <c r="F1313" s="6" t="str">
        <f>IF($M1313="PADD I","PADD 1",IF($M1313="PADD II","PADD 2",IF($M1313="PADD III","PADD 3",IF($M1313="PADD IV","PADD 4",IF($M1313="PADD V","PADD 5","")))))</f>
        <v>PADD 5</v>
      </c>
      <c r="G1313" s="6">
        <f>IF(AND($H1313="ATMOS DISTILLATION",ISNUMBER(SEARCH("VPS",$I1313))=FALSE,LEFT($I1313,6)&lt;&gt;"VACUUM"),"CDU",IF($H1313="FLUID CAT CRACKING","FCC",IF(OR($H1313="HYDROCRACKING",$H1313="RESID_HYDROCRACKING"),"Hydrocracker",IF($H1313="REFORMING","Reformer",""))))</f>
        <v/>
      </c>
      <c r="H1313" s="6" t="s">
        <v>460</v>
      </c>
      <c r="I1313" s="6" t="s">
        <v>461</v>
      </c>
      <c r="J1313" s="6" t="s">
        <v>349</v>
      </c>
      <c r="K1313" s="10">
        <v>5.28</v>
      </c>
      <c r="L1313" s="10">
        <v>11</v>
      </c>
      <c r="M1313" s="6" t="s">
        <v>386</v>
      </c>
    </row>
    <row r="1314" spans="1:13">
      <c r="A1314" s="6">
        <v>2023</v>
      </c>
      <c r="B1314" s="6">
        <v>5</v>
      </c>
      <c r="C1314" s="6" t="s">
        <v>63</v>
      </c>
      <c r="D1314" s="6" t="s">
        <v>440</v>
      </c>
      <c r="E1314" s="6" t="s">
        <v>369</v>
      </c>
      <c r="F1314" s="6" t="str">
        <f>IF($M1314="PADD I","PADD 1",IF($M1314="PADD II","PADD 2",IF($M1314="PADD III","PADD 3",IF($M1314="PADD IV","PADD 4",IF($M1314="PADD V","PADD 5","")))))</f>
        <v>PADD 5</v>
      </c>
      <c r="G1314" s="6">
        <f>IF(AND($H1314="ATMOS DISTILLATION",ISNUMBER(SEARCH("VPS",$I1314))=FALSE,LEFT($I1314,6)&lt;&gt;"VACUUM"),"CDU",IF($H1314="FLUID CAT CRACKING","FCC",IF(OR($H1314="HYDROCRACKING",$H1314="RESID_HYDROCRACKING"),"Hydrocracker",IF($H1314="REFORMING","Reformer",""))))</f>
        <v/>
      </c>
      <c r="H1314" s="6" t="s">
        <v>43</v>
      </c>
      <c r="I1314" s="6" t="s">
        <v>667</v>
      </c>
      <c r="J1314" s="6" t="s">
        <v>345</v>
      </c>
      <c r="K1314" s="10">
        <v>5.2</v>
      </c>
      <c r="L1314" s="10">
        <v>40</v>
      </c>
      <c r="M1314" s="6" t="s">
        <v>386</v>
      </c>
    </row>
    <row r="1315" spans="1:13">
      <c r="A1315" s="6">
        <v>2023</v>
      </c>
      <c r="B1315" s="6">
        <v>5</v>
      </c>
      <c r="C1315" s="6" t="s">
        <v>63</v>
      </c>
      <c r="D1315" s="6" t="s">
        <v>732</v>
      </c>
      <c r="E1315" s="6" t="s">
        <v>733</v>
      </c>
      <c r="F1315" s="6" t="str">
        <f>IF($M1315="PADD I","PADD 1",IF($M1315="PADD II","PADD 2",IF($M1315="PADD III","PADD 3",IF($M1315="PADD IV","PADD 4",IF($M1315="PADD V","PADD 5","")))))</f>
        <v>PADD 4</v>
      </c>
      <c r="G1315" s="6" t="str">
        <f>IF(AND($H1315="ATMOS DISTILLATION",ISNUMBER(SEARCH("VPS",$I1315))=FALSE,LEFT($I1315,6)&lt;&gt;"VACUUM"),"CDU",IF($H1315="FLUID CAT CRACKING","FCC",IF(OR($H1315="HYDROCRACKING",$H1315="RESID_HYDROCRACKING"),"Hydrocracker",IF($H1315="REFORMING","Reformer",""))))</f>
        <v>FCC</v>
      </c>
      <c r="H1315" s="6" t="s">
        <v>376</v>
      </c>
      <c r="I1315" s="6" t="s">
        <v>105</v>
      </c>
      <c r="J1315" s="6" t="s">
        <v>349</v>
      </c>
      <c r="K1315" s="10">
        <v>5.12</v>
      </c>
      <c r="L1315" s="10">
        <v>16</v>
      </c>
      <c r="M1315" s="6" t="s">
        <v>430</v>
      </c>
    </row>
    <row r="1316" spans="1:13">
      <c r="A1316" s="6">
        <v>2023</v>
      </c>
      <c r="B1316" s="6">
        <v>5</v>
      </c>
      <c r="C1316" s="6" t="s">
        <v>63</v>
      </c>
      <c r="D1316" s="6" t="s">
        <v>772</v>
      </c>
      <c r="E1316" s="6" t="s">
        <v>405</v>
      </c>
      <c r="F1316" s="6" t="str">
        <f>IF($M1316="PADD I","PADD 1",IF($M1316="PADD II","PADD 2",IF($M1316="PADD III","PADD 3",IF($M1316="PADD IV","PADD 4",IF($M1316="PADD V","PADD 5","")))))</f>
        <v>PADD 3</v>
      </c>
      <c r="G1316" s="6">
        <f>IF(AND($H1316="ATMOS DISTILLATION",ISNUMBER(SEARCH("VPS",$I1316))=FALSE,LEFT($I1316,6)&lt;&gt;"VACUUM"),"CDU",IF($H1316="FLUID CAT CRACKING","FCC",IF(OR($H1316="HYDROCRACKING",$H1316="RESID_HYDROCRACKING"),"Hydrocracker",IF($H1316="REFORMING","Reformer",""))))</f>
        <v/>
      </c>
      <c r="H1316" s="6" t="s">
        <v>460</v>
      </c>
      <c r="I1316" s="6" t="s">
        <v>792</v>
      </c>
      <c r="J1316" s="6" t="s">
        <v>345</v>
      </c>
      <c r="K1316" s="10">
        <v>5.06</v>
      </c>
      <c r="L1316" s="10">
        <v>22</v>
      </c>
      <c r="M1316" s="6" t="s">
        <v>371</v>
      </c>
    </row>
    <row r="1317" spans="1:13">
      <c r="A1317" s="6">
        <v>2023</v>
      </c>
      <c r="B1317" s="6">
        <v>5</v>
      </c>
      <c r="C1317" s="6" t="s">
        <v>63</v>
      </c>
      <c r="D1317" s="6" t="s">
        <v>500</v>
      </c>
      <c r="E1317" s="6" t="s">
        <v>388</v>
      </c>
      <c r="F1317" s="6" t="str">
        <f>IF($M1317="PADD I","PADD 1",IF($M1317="PADD II","PADD 2",IF($M1317="PADD III","PADD 3",IF($M1317="PADD IV","PADD 4",IF($M1317="PADD V","PADD 5","")))))</f>
        <v>PADD 2</v>
      </c>
      <c r="G1317" s="6" t="str">
        <f>IF(AND($H1317="ATMOS DISTILLATION",ISNUMBER(SEARCH("VPS",$I1317))=FALSE,LEFT($I1317,6)&lt;&gt;"VACUUM"),"CDU",IF($H1317="FLUID CAT CRACKING","FCC",IF(OR($H1317="HYDROCRACKING",$H1317="RESID_HYDROCRACKING"),"Hydrocracker",IF($H1317="REFORMING","Reformer",""))))</f>
        <v>FCC</v>
      </c>
      <c r="H1317" s="6" t="s">
        <v>376</v>
      </c>
      <c r="I1317" s="6" t="s">
        <v>105</v>
      </c>
      <c r="J1317" s="6" t="s">
        <v>345</v>
      </c>
      <c r="K1317" s="10">
        <v>4.94</v>
      </c>
      <c r="L1317" s="10">
        <v>26</v>
      </c>
      <c r="M1317" s="6" t="s">
        <v>375</v>
      </c>
    </row>
    <row r="1318" spans="1:13">
      <c r="A1318" s="6">
        <v>2023</v>
      </c>
      <c r="B1318" s="6">
        <v>5</v>
      </c>
      <c r="C1318" s="6" t="s">
        <v>63</v>
      </c>
      <c r="D1318" s="6" t="s">
        <v>500</v>
      </c>
      <c r="E1318" s="6" t="s">
        <v>388</v>
      </c>
      <c r="F1318" s="6" t="str">
        <f>IF($M1318="PADD I","PADD 1",IF($M1318="PADD II","PADD 2",IF($M1318="PADD III","PADD 3",IF($M1318="PADD IV","PADD 4",IF($M1318="PADD V","PADD 5","")))))</f>
        <v>PADD 2</v>
      </c>
      <c r="G1318" s="6">
        <f>IF(AND($H1318="ATMOS DISTILLATION",ISNUMBER(SEARCH("VPS",$I1318))=FALSE,LEFT($I1318,6)&lt;&gt;"VACUUM"),"CDU",IF($H1318="FLUID CAT CRACKING","FCC",IF(OR($H1318="HYDROCRACKING",$H1318="RESID_HYDROCRACKING"),"Hydrocracker",IF($H1318="REFORMING","Reformer",""))))</f>
        <v/>
      </c>
      <c r="H1318" s="6" t="s">
        <v>43</v>
      </c>
      <c r="I1318" s="6" t="s">
        <v>501</v>
      </c>
      <c r="J1318" s="6" t="s">
        <v>345</v>
      </c>
      <c r="K1318" s="10">
        <v>4.88</v>
      </c>
      <c r="L1318" s="10">
        <v>30.5</v>
      </c>
      <c r="M1318" s="6" t="s">
        <v>375</v>
      </c>
    </row>
    <row r="1319" spans="1:13">
      <c r="A1319" s="6">
        <v>2023</v>
      </c>
      <c r="B1319" s="6">
        <v>5</v>
      </c>
      <c r="C1319" s="6" t="s">
        <v>63</v>
      </c>
      <c r="D1319" s="6" t="s">
        <v>490</v>
      </c>
      <c r="E1319" s="6" t="s">
        <v>491</v>
      </c>
      <c r="F1319" s="6" t="str">
        <f>IF($M1319="PADD I","PADD 1",IF($M1319="PADD II","PADD 2",IF($M1319="PADD III","PADD 3",IF($M1319="PADD IV","PADD 4",IF($M1319="PADD V","PADD 5","")))))</f>
        <v>PADD 3</v>
      </c>
      <c r="G1319" s="6" t="str">
        <f>IF(AND($H1319="ATMOS DISTILLATION",ISNUMBER(SEARCH("VPS",$I1319))=FALSE,LEFT($I1319,6)&lt;&gt;"VACUUM"),"CDU",IF($H1319="FLUID CAT CRACKING","FCC",IF(OR($H1319="HYDROCRACKING",$H1319="RESID_HYDROCRACKING"),"Hydrocracker",IF($H1319="REFORMING","Reformer",""))))</f>
        <v>FCC</v>
      </c>
      <c r="H1319" s="6" t="s">
        <v>376</v>
      </c>
      <c r="I1319" s="6" t="s">
        <v>472</v>
      </c>
      <c r="J1319" s="6" t="s">
        <v>345</v>
      </c>
      <c r="K1319" s="10">
        <v>4.86</v>
      </c>
      <c r="L1319" s="10">
        <v>81</v>
      </c>
      <c r="M1319" s="6" t="s">
        <v>371</v>
      </c>
    </row>
    <row r="1320" spans="1:13">
      <c r="A1320" s="6">
        <v>2023</v>
      </c>
      <c r="B1320" s="6">
        <v>5</v>
      </c>
      <c r="C1320" s="6" t="s">
        <v>63</v>
      </c>
      <c r="D1320" s="6" t="s">
        <v>732</v>
      </c>
      <c r="E1320" s="6" t="s">
        <v>733</v>
      </c>
      <c r="F1320" s="6" t="str">
        <f>IF($M1320="PADD I","PADD 1",IF($M1320="PADD II","PADD 2",IF($M1320="PADD III","PADD 3",IF($M1320="PADD IV","PADD 4",IF($M1320="PADD V","PADD 5","")))))</f>
        <v>PADD 4</v>
      </c>
      <c r="G1320" s="6">
        <f>IF(AND($H1320="ATMOS DISTILLATION",ISNUMBER(SEARCH("VPS",$I1320))=FALSE,LEFT($I1320,6)&lt;&gt;"VACUUM"),"CDU",IF($H1320="FLUID CAT CRACKING","FCC",IF(OR($H1320="HYDROCRACKING",$H1320="RESID_HYDROCRACKING"),"Hydrocracker",IF($H1320="REFORMING","Reformer",""))))</f>
        <v/>
      </c>
      <c r="H1320" s="6" t="s">
        <v>435</v>
      </c>
      <c r="I1320" s="6" t="s">
        <v>441</v>
      </c>
      <c r="J1320" s="6" t="s">
        <v>349</v>
      </c>
      <c r="K1320" s="10">
        <v>4.8</v>
      </c>
      <c r="L1320" s="10">
        <v>15</v>
      </c>
      <c r="M1320" s="6" t="s">
        <v>430</v>
      </c>
    </row>
    <row r="1321" spans="1:13">
      <c r="A1321" s="6">
        <v>2023</v>
      </c>
      <c r="B1321" s="6">
        <v>5</v>
      </c>
      <c r="C1321" s="6" t="s">
        <v>63</v>
      </c>
      <c r="D1321" s="6" t="s">
        <v>732</v>
      </c>
      <c r="E1321" s="6" t="s">
        <v>733</v>
      </c>
      <c r="F1321" s="6" t="str">
        <f>IF($M1321="PADD I","PADD 1",IF($M1321="PADD II","PADD 2",IF($M1321="PADD III","PADD 3",IF($M1321="PADD IV","PADD 4",IF($M1321="PADD V","PADD 5","")))))</f>
        <v>PADD 4</v>
      </c>
      <c r="G1321" s="6">
        <f>IF(AND($H1321="ATMOS DISTILLATION",ISNUMBER(SEARCH("VPS",$I1321))=FALSE,LEFT($I1321,6)&lt;&gt;"VACUUM"),"CDU",IF($H1321="FLUID CAT CRACKING","FCC",IF(OR($H1321="HYDROCRACKING",$H1321="RESID_HYDROCRACKING"),"Hydrocracker",IF($H1321="REFORMING","Reformer",""))))</f>
        <v/>
      </c>
      <c r="H1321" s="6" t="s">
        <v>43</v>
      </c>
      <c r="I1321" s="6" t="s">
        <v>746</v>
      </c>
      <c r="J1321" s="6" t="s">
        <v>349</v>
      </c>
      <c r="K1321" s="10">
        <v>4.8</v>
      </c>
      <c r="L1321" s="10">
        <v>15</v>
      </c>
      <c r="M1321" s="6" t="s">
        <v>430</v>
      </c>
    </row>
    <row r="1322" spans="1:13">
      <c r="A1322" s="6">
        <v>2023</v>
      </c>
      <c r="B1322" s="6">
        <v>5</v>
      </c>
      <c r="C1322" s="6" t="s">
        <v>63</v>
      </c>
      <c r="D1322" s="6" t="s">
        <v>732</v>
      </c>
      <c r="E1322" s="6" t="s">
        <v>733</v>
      </c>
      <c r="F1322" s="6" t="str">
        <f>IF($M1322="PADD I","PADD 1",IF($M1322="PADD II","PADD 2",IF($M1322="PADD III","PADD 3",IF($M1322="PADD IV","PADD 4",IF($M1322="PADD V","PADD 5","")))))</f>
        <v>PADD 4</v>
      </c>
      <c r="G1322" s="6" t="str">
        <f>IF(AND($H1322="ATMOS DISTILLATION",ISNUMBER(SEARCH("VPS",$I1322))=FALSE,LEFT($I1322,6)&lt;&gt;"VACUUM"),"CDU",IF($H1322="FLUID CAT CRACKING","FCC",IF(OR($H1322="HYDROCRACKING",$H1322="RESID_HYDROCRACKING"),"Hydrocracker",IF($H1322="REFORMING","Reformer",""))))</f>
        <v>Hydrocracker</v>
      </c>
      <c r="H1322" s="6" t="s">
        <v>444</v>
      </c>
      <c r="I1322" s="6" t="s">
        <v>707</v>
      </c>
      <c r="J1322" s="6" t="s">
        <v>349</v>
      </c>
      <c r="K1322" s="10">
        <v>4.8</v>
      </c>
      <c r="L1322" s="10">
        <v>15</v>
      </c>
      <c r="M1322" s="6" t="s">
        <v>430</v>
      </c>
    </row>
    <row r="1323" spans="1:13">
      <c r="A1323" s="6">
        <v>2023</v>
      </c>
      <c r="B1323" s="6">
        <v>5</v>
      </c>
      <c r="C1323" s="6" t="s">
        <v>63</v>
      </c>
      <c r="D1323" s="6" t="s">
        <v>748</v>
      </c>
      <c r="E1323" s="6" t="s">
        <v>388</v>
      </c>
      <c r="F1323" s="6" t="str">
        <f>IF($M1323="PADD I","PADD 1",IF($M1323="PADD II","PADD 2",IF($M1323="PADD III","PADD 3",IF($M1323="PADD IV","PADD 4",IF($M1323="PADD V","PADD 5","")))))</f>
        <v>PADD 3</v>
      </c>
      <c r="G1323" s="6">
        <f>IF(AND($H1323="ATMOS DISTILLATION",ISNUMBER(SEARCH("VPS",$I1323))=FALSE,LEFT($I1323,6)&lt;&gt;"VACUUM"),"CDU",IF($H1323="FLUID CAT CRACKING","FCC",IF(OR($H1323="HYDROCRACKING",$H1323="RESID_HYDROCRACKING"),"Hydrocracker",IF($H1323="REFORMING","Reformer",""))))</f>
        <v/>
      </c>
      <c r="H1323" s="6" t="s">
        <v>43</v>
      </c>
      <c r="I1323" s="6" t="s">
        <v>766</v>
      </c>
      <c r="J1323" s="6" t="s">
        <v>349</v>
      </c>
      <c r="K1323" s="10">
        <v>4.68</v>
      </c>
      <c r="L1323" s="10">
        <v>12</v>
      </c>
      <c r="M1323" s="6" t="s">
        <v>371</v>
      </c>
    </row>
    <row r="1324" spans="1:13">
      <c r="A1324" s="6">
        <v>2023</v>
      </c>
      <c r="B1324" s="6">
        <v>5</v>
      </c>
      <c r="C1324" s="6" t="s">
        <v>63</v>
      </c>
      <c r="D1324" s="6" t="s">
        <v>762</v>
      </c>
      <c r="E1324" s="6" t="s">
        <v>763</v>
      </c>
      <c r="F1324" s="6" t="str">
        <f>IF($M1324="PADD I","PADD 1",IF($M1324="PADD II","PADD 2",IF($M1324="PADD III","PADD 3",IF($M1324="PADD IV","PADD 4",IF($M1324="PADD V","PADD 5","")))))</f>
        <v>PADD 2</v>
      </c>
      <c r="G1324" s="6">
        <f>IF(AND($H1324="ATMOS DISTILLATION",ISNUMBER(SEARCH("VPS",$I1324))=FALSE,LEFT($I1324,6)&lt;&gt;"VACUUM"),"CDU",IF($H1324="FLUID CAT CRACKING","FCC",IF(OR($H1324="HYDROCRACKING",$H1324="RESID_HYDROCRACKING"),"Hydrocracker",IF($H1324="REFORMING","Reformer",""))))</f>
        <v/>
      </c>
      <c r="H1324" s="6" t="s">
        <v>43</v>
      </c>
      <c r="I1324" s="6" t="s">
        <v>863</v>
      </c>
      <c r="J1324" s="6" t="s">
        <v>345</v>
      </c>
      <c r="K1324" s="10">
        <v>4.6</v>
      </c>
      <c r="L1324" s="10">
        <v>20</v>
      </c>
      <c r="M1324" s="6" t="s">
        <v>375</v>
      </c>
    </row>
    <row r="1325" spans="1:13">
      <c r="A1325" s="6">
        <v>2023</v>
      </c>
      <c r="B1325" s="6">
        <v>5</v>
      </c>
      <c r="C1325" s="6" t="s">
        <v>63</v>
      </c>
      <c r="D1325" s="6" t="s">
        <v>770</v>
      </c>
      <c r="E1325" s="6" t="s">
        <v>660</v>
      </c>
      <c r="F1325" s="6" t="str">
        <f>IF($M1325="PADD I","PADD 1",IF($M1325="PADD II","PADD 2",IF($M1325="PADD III","PADD 3",IF($M1325="PADD IV","PADD 4",IF($M1325="PADD V","PADD 5","")))))</f>
        <v>PADD 3</v>
      </c>
      <c r="G1325" s="6">
        <f>IF(AND($H1325="ATMOS DISTILLATION",ISNUMBER(SEARCH("VPS",$I1325))=FALSE,LEFT($I1325,6)&lt;&gt;"VACUUM"),"CDU",IF($H1325="FLUID CAT CRACKING","FCC",IF(OR($H1325="HYDROCRACKING",$H1325="RESID_HYDROCRACKING"),"Hydrocracker",IF($H1325="REFORMING","Reformer",""))))</f>
        <v/>
      </c>
      <c r="H1325" s="6" t="s">
        <v>568</v>
      </c>
      <c r="I1325" s="6" t="s">
        <v>604</v>
      </c>
      <c r="J1325" s="6" t="s">
        <v>349</v>
      </c>
      <c r="K1325" s="10">
        <v>4.5</v>
      </c>
      <c r="L1325" s="10">
        <v>4.5</v>
      </c>
      <c r="M1325" s="6" t="s">
        <v>371</v>
      </c>
    </row>
    <row r="1326" spans="1:13">
      <c r="A1326" s="6">
        <v>2023</v>
      </c>
      <c r="B1326" s="6">
        <v>5</v>
      </c>
      <c r="C1326" s="6" t="s">
        <v>63</v>
      </c>
      <c r="D1326" s="6" t="s">
        <v>732</v>
      </c>
      <c r="E1326" s="6" t="s">
        <v>733</v>
      </c>
      <c r="F1326" s="6" t="str">
        <f>IF($M1326="PADD I","PADD 1",IF($M1326="PADD II","PADD 2",IF($M1326="PADD III","PADD 3",IF($M1326="PADD IV","PADD 4",IF($M1326="PADD V","PADD 5","")))))</f>
        <v>PADD 4</v>
      </c>
      <c r="G1326" s="6">
        <f>IF(AND($H1326="ATMOS DISTILLATION",ISNUMBER(SEARCH("VPS",$I1326))=FALSE,LEFT($I1326,6)&lt;&gt;"VACUUM"),"CDU",IF($H1326="FLUID CAT CRACKING","FCC",IF(OR($H1326="HYDROCRACKING",$H1326="RESID_HYDROCRACKING"),"Hydrocracker",IF($H1326="REFORMING","Reformer",""))))</f>
        <v/>
      </c>
      <c r="H1326" s="6" t="s">
        <v>43</v>
      </c>
      <c r="I1326" s="6" t="s">
        <v>747</v>
      </c>
      <c r="J1326" s="6" t="s">
        <v>349</v>
      </c>
      <c r="K1326" s="10">
        <v>4.48</v>
      </c>
      <c r="L1326" s="10">
        <v>14</v>
      </c>
      <c r="M1326" s="6" t="s">
        <v>430</v>
      </c>
    </row>
    <row r="1327" spans="1:13">
      <c r="A1327" s="6">
        <v>2023</v>
      </c>
      <c r="B1327" s="6">
        <v>5</v>
      </c>
      <c r="C1327" s="6" t="s">
        <v>63</v>
      </c>
      <c r="D1327" s="6" t="s">
        <v>732</v>
      </c>
      <c r="E1327" s="6" t="s">
        <v>733</v>
      </c>
      <c r="F1327" s="6" t="str">
        <f>IF($M1327="PADD I","PADD 1",IF($M1327="PADD II","PADD 2",IF($M1327="PADD III","PADD 3",IF($M1327="PADD IV","PADD 4",IF($M1327="PADD V","PADD 5","")))))</f>
        <v>PADD 4</v>
      </c>
      <c r="G1327" s="6" t="str">
        <f>IF(AND($H1327="ATMOS DISTILLATION",ISNUMBER(SEARCH("VPS",$I1327))=FALSE,LEFT($I1327,6)&lt;&gt;"VACUUM"),"CDU",IF($H1327="FLUID CAT CRACKING","FCC",IF(OR($H1327="HYDROCRACKING",$H1327="RESID_HYDROCRACKING"),"Hydrocracker",IF($H1327="REFORMING","Reformer",""))))</f>
        <v>CDU</v>
      </c>
      <c r="H1327" s="6" t="s">
        <v>38</v>
      </c>
      <c r="I1327" s="6" t="s">
        <v>135</v>
      </c>
      <c r="J1327" s="6" t="s">
        <v>349</v>
      </c>
      <c r="K1327" s="10">
        <v>4.16</v>
      </c>
      <c r="L1327" s="10">
        <v>13</v>
      </c>
      <c r="M1327" s="6" t="s">
        <v>430</v>
      </c>
    </row>
    <row r="1328" spans="1:13">
      <c r="A1328" s="6">
        <v>2023</v>
      </c>
      <c r="B1328" s="6">
        <v>5</v>
      </c>
      <c r="C1328" s="6" t="s">
        <v>63</v>
      </c>
      <c r="D1328" s="6" t="s">
        <v>748</v>
      </c>
      <c r="E1328" s="6" t="s">
        <v>388</v>
      </c>
      <c r="F1328" s="6" t="str">
        <f>IF($M1328="PADD I","PADD 1",IF($M1328="PADD II","PADD 2",IF($M1328="PADD III","PADD 3",IF($M1328="PADD IV","PADD 4",IF($M1328="PADD V","PADD 5","")))))</f>
        <v>PADD 3</v>
      </c>
      <c r="G1328" s="6">
        <f>IF(AND($H1328="ATMOS DISTILLATION",ISNUMBER(SEARCH("VPS",$I1328))=FALSE,LEFT($I1328,6)&lt;&gt;"VACUUM"),"CDU",IF($H1328="FLUID CAT CRACKING","FCC",IF(OR($H1328="HYDROCRACKING",$H1328="RESID_HYDROCRACKING"),"Hydrocracker",IF($H1328="REFORMING","Reformer",""))))</f>
        <v/>
      </c>
      <c r="H1328" s="6" t="s">
        <v>43</v>
      </c>
      <c r="I1328" s="6" t="s">
        <v>767</v>
      </c>
      <c r="J1328" s="6" t="s">
        <v>349</v>
      </c>
      <c r="K1328" s="10">
        <v>4.095</v>
      </c>
      <c r="L1328" s="10">
        <v>10.5</v>
      </c>
      <c r="M1328" s="6" t="s">
        <v>371</v>
      </c>
    </row>
    <row r="1329" spans="1:13">
      <c r="A1329" s="6">
        <v>2023</v>
      </c>
      <c r="B1329" s="6">
        <v>5</v>
      </c>
      <c r="C1329" s="6" t="s">
        <v>63</v>
      </c>
      <c r="D1329" s="6" t="s">
        <v>53</v>
      </c>
      <c r="E1329" s="6" t="s">
        <v>543</v>
      </c>
      <c r="F1329" s="6" t="str">
        <f>IF($M1329="PADD I","PADD 1",IF($M1329="PADD II","PADD 2",IF($M1329="PADD III","PADD 3",IF($M1329="PADD IV","PADD 4",IF($M1329="PADD V","PADD 5","")))))</f>
        <v>PADD 5</v>
      </c>
      <c r="G1329" s="6" t="str">
        <f>IF(AND($H1329="ATMOS DISTILLATION",ISNUMBER(SEARCH("VPS",$I1329))=FALSE,LEFT($I1329,6)&lt;&gt;"VACUUM"),"CDU",IF($H1329="FLUID CAT CRACKING","FCC",IF(OR($H1329="HYDROCRACKING",$H1329="RESID_HYDROCRACKING"),"Hydrocracker",IF($H1329="REFORMING","Reformer",""))))</f>
        <v>Reformer</v>
      </c>
      <c r="H1329" s="6" t="s">
        <v>421</v>
      </c>
      <c r="I1329" s="6" t="s">
        <v>557</v>
      </c>
      <c r="J1329" s="6" t="s">
        <v>349</v>
      </c>
      <c r="K1329" s="10">
        <v>4.095</v>
      </c>
      <c r="L1329" s="10">
        <v>10.5</v>
      </c>
      <c r="M1329" s="6" t="s">
        <v>386</v>
      </c>
    </row>
    <row r="1330" spans="1:13">
      <c r="A1330" s="6">
        <v>2023</v>
      </c>
      <c r="B1330" s="6">
        <v>5</v>
      </c>
      <c r="C1330" s="6" t="s">
        <v>63</v>
      </c>
      <c r="D1330" s="6" t="s">
        <v>788</v>
      </c>
      <c r="E1330" s="6" t="s">
        <v>405</v>
      </c>
      <c r="F1330" s="6" t="str">
        <f>IF($M1330="PADD I","PADD 1",IF($M1330="PADD II","PADD 2",IF($M1330="PADD III","PADD 3",IF($M1330="PADD IV","PADD 4",IF($M1330="PADD V","PADD 5","")))))</f>
        <v>PADD 3</v>
      </c>
      <c r="G1330" s="6" t="str">
        <f>IF(AND($H1330="ATMOS DISTILLATION",ISNUMBER(SEARCH("VPS",$I1330))=FALSE,LEFT($I1330,6)&lt;&gt;"VACUUM"),"CDU",IF($H1330="FLUID CAT CRACKING","FCC",IF(OR($H1330="HYDROCRACKING",$H1330="RESID_HYDROCRACKING"),"Hydrocracker",IF($H1330="REFORMING","Reformer",""))))</f>
        <v>CDU</v>
      </c>
      <c r="H1330" s="6" t="s">
        <v>38</v>
      </c>
      <c r="I1330" s="6" t="s">
        <v>135</v>
      </c>
      <c r="J1330" s="6" t="s">
        <v>345</v>
      </c>
      <c r="K1330" s="10">
        <v>4.05</v>
      </c>
      <c r="L1330" s="10">
        <v>135</v>
      </c>
      <c r="M1330" s="6" t="s">
        <v>371</v>
      </c>
    </row>
    <row r="1331" spans="1:13">
      <c r="A1331" s="6">
        <v>2023</v>
      </c>
      <c r="B1331" s="6">
        <v>5</v>
      </c>
      <c r="C1331" s="6" t="s">
        <v>63</v>
      </c>
      <c r="D1331" s="6" t="s">
        <v>335</v>
      </c>
      <c r="E1331" s="6" t="s">
        <v>369</v>
      </c>
      <c r="F1331" s="6" t="str">
        <f>IF($M1331="PADD I","PADD 1",IF($M1331="PADD II","PADD 2",IF($M1331="PADD III","PADD 3",IF($M1331="PADD IV","PADD 4",IF($M1331="PADD V","PADD 5","")))))</f>
        <v>PADD 3</v>
      </c>
      <c r="G1331" s="6" t="str">
        <f>IF(AND($H1331="ATMOS DISTILLATION",ISNUMBER(SEARCH("VPS",$I1331))=FALSE,LEFT($I1331,6)&lt;&gt;"VACUUM"),"CDU",IF($H1331="FLUID CAT CRACKING","FCC",IF(OR($H1331="HYDROCRACKING",$H1331="RESID_HYDROCRACKING"),"Hydrocracker",IF($H1331="REFORMING","Reformer",""))))</f>
        <v>FCC</v>
      </c>
      <c r="H1331" s="6" t="s">
        <v>376</v>
      </c>
      <c r="I1331" s="6" t="s">
        <v>472</v>
      </c>
      <c r="J1331" s="6" t="s">
        <v>349</v>
      </c>
      <c r="K1331" s="10">
        <v>3.9</v>
      </c>
      <c r="L1331" s="10">
        <v>30</v>
      </c>
      <c r="M1331" s="6" t="s">
        <v>371</v>
      </c>
    </row>
    <row r="1332" spans="1:13">
      <c r="A1332" s="6">
        <v>2023</v>
      </c>
      <c r="B1332" s="6">
        <v>5</v>
      </c>
      <c r="C1332" s="6" t="s">
        <v>63</v>
      </c>
      <c r="D1332" s="6" t="s">
        <v>547</v>
      </c>
      <c r="E1332" s="6" t="s">
        <v>391</v>
      </c>
      <c r="F1332" s="6" t="str">
        <f>IF($M1332="PADD I","PADD 1",IF($M1332="PADD II","PADD 2",IF($M1332="PADD III","PADD 3",IF($M1332="PADD IV","PADD 4",IF($M1332="PADD V","PADD 5","")))))</f>
        <v>PADD 5</v>
      </c>
      <c r="G1332" s="6">
        <f>IF(AND($H1332="ATMOS DISTILLATION",ISNUMBER(SEARCH("VPS",$I1332))=FALSE,LEFT($I1332,6)&lt;&gt;"VACUUM"),"CDU",IF($H1332="FLUID CAT CRACKING","FCC",IF(OR($H1332="HYDROCRACKING",$H1332="RESID_HYDROCRACKING"),"Hydrocracker",IF($H1332="REFORMING","Reformer",""))))</f>
        <v/>
      </c>
      <c r="H1332" s="6" t="s">
        <v>43</v>
      </c>
      <c r="I1332" s="6" t="s">
        <v>105</v>
      </c>
      <c r="J1332" s="6" t="s">
        <v>345</v>
      </c>
      <c r="K1332" s="10">
        <v>3.9</v>
      </c>
      <c r="L1332" s="10">
        <v>65</v>
      </c>
      <c r="M1332" s="6" t="s">
        <v>386</v>
      </c>
    </row>
    <row r="1333" spans="1:13">
      <c r="A1333" s="6">
        <v>2023</v>
      </c>
      <c r="B1333" s="6">
        <v>5</v>
      </c>
      <c r="C1333" s="6" t="s">
        <v>63</v>
      </c>
      <c r="D1333" s="6" t="s">
        <v>732</v>
      </c>
      <c r="E1333" s="6" t="s">
        <v>733</v>
      </c>
      <c r="F1333" s="6" t="str">
        <f>IF($M1333="PADD I","PADD 1",IF($M1333="PADD II","PADD 2",IF($M1333="PADD III","PADD 3",IF($M1333="PADD IV","PADD 4",IF($M1333="PADD V","PADD 5","")))))</f>
        <v>PADD 4</v>
      </c>
      <c r="G1333" s="6" t="str">
        <f>IF(AND($H1333="ATMOS DISTILLATION",ISNUMBER(SEARCH("VPS",$I1333))=FALSE,LEFT($I1333,6)&lt;&gt;"VACUUM"),"CDU",IF($H1333="FLUID CAT CRACKING","FCC",IF(OR($H1333="HYDROCRACKING",$H1333="RESID_HYDROCRACKING"),"Hydrocracker",IF($H1333="REFORMING","Reformer",""))))</f>
        <v>Reformer</v>
      </c>
      <c r="H1333" s="6" t="s">
        <v>421</v>
      </c>
      <c r="I1333" s="6" t="s">
        <v>15</v>
      </c>
      <c r="J1333" s="6" t="s">
        <v>349</v>
      </c>
      <c r="K1333" s="10">
        <v>3.84</v>
      </c>
      <c r="L1333" s="10">
        <v>12</v>
      </c>
      <c r="M1333" s="6" t="s">
        <v>430</v>
      </c>
    </row>
    <row r="1334" spans="1:13">
      <c r="A1334" s="6">
        <v>2023</v>
      </c>
      <c r="B1334" s="6">
        <v>5</v>
      </c>
      <c r="C1334" s="6" t="s">
        <v>63</v>
      </c>
      <c r="D1334" s="6" t="s">
        <v>801</v>
      </c>
      <c r="E1334" s="6" t="s">
        <v>779</v>
      </c>
      <c r="F1334" s="6" t="str">
        <f>IF($M1334="PADD I","PADD 1",IF($M1334="PADD II","PADD 2",IF($M1334="PADD III","PADD 3",IF($M1334="PADD IV","PADD 4",IF($M1334="PADD V","PADD 5","")))))</f>
        <v>PADD 2</v>
      </c>
      <c r="G1334" s="6">
        <f>IF(AND($H1334="ATMOS DISTILLATION",ISNUMBER(SEARCH("VPS",$I1334))=FALSE,LEFT($I1334,6)&lt;&gt;"VACUUM"),"CDU",IF($H1334="FLUID CAT CRACKING","FCC",IF(OR($H1334="HYDROCRACKING",$H1334="RESID_HYDROCRACKING"),"Hydrocracker",IF($H1334="REFORMING","Reformer",""))))</f>
        <v/>
      </c>
      <c r="H1334" s="6" t="s">
        <v>435</v>
      </c>
      <c r="I1334" s="6" t="s">
        <v>802</v>
      </c>
      <c r="J1334" s="6" t="s">
        <v>345</v>
      </c>
      <c r="K1334" s="10">
        <v>3.84</v>
      </c>
      <c r="L1334" s="10">
        <v>24</v>
      </c>
      <c r="M1334" s="6" t="s">
        <v>375</v>
      </c>
    </row>
    <row r="1335" spans="1:13">
      <c r="A1335" s="6">
        <v>2023</v>
      </c>
      <c r="B1335" s="6">
        <v>5</v>
      </c>
      <c r="C1335" s="6" t="s">
        <v>63</v>
      </c>
      <c r="D1335" s="6" t="s">
        <v>815</v>
      </c>
      <c r="E1335" s="6" t="s">
        <v>452</v>
      </c>
      <c r="F1335" s="6" t="str">
        <f>IF($M1335="PADD I","PADD 1",IF($M1335="PADD II","PADD 2",IF($M1335="PADD III","PADD 3",IF($M1335="PADD IV","PADD 4",IF($M1335="PADD V","PADD 5","")))))</f>
        <v>PADD 4</v>
      </c>
      <c r="G1335" s="6">
        <f>IF(AND($H1335="ATMOS DISTILLATION",ISNUMBER(SEARCH("VPS",$I1335))=FALSE,LEFT($I1335,6)&lt;&gt;"VACUUM"),"CDU",IF($H1335="FLUID CAT CRACKING","FCC",IF(OR($H1335="HYDROCRACKING",$H1335="RESID_HYDROCRACKING"),"Hydrocracker",IF($H1335="REFORMING","Reformer",""))))</f>
        <v/>
      </c>
      <c r="H1335" s="6" t="s">
        <v>460</v>
      </c>
      <c r="I1335" s="6" t="s">
        <v>461</v>
      </c>
      <c r="J1335" s="6" t="s">
        <v>349</v>
      </c>
      <c r="K1335" s="10">
        <v>3.78</v>
      </c>
      <c r="L1335" s="10">
        <v>4.5</v>
      </c>
      <c r="M1335" s="6" t="s">
        <v>430</v>
      </c>
    </row>
    <row r="1336" spans="1:13">
      <c r="A1336" s="6">
        <v>2023</v>
      </c>
      <c r="B1336" s="6">
        <v>5</v>
      </c>
      <c r="C1336" s="6" t="s">
        <v>63</v>
      </c>
      <c r="D1336" s="6" t="s">
        <v>762</v>
      </c>
      <c r="E1336" s="6" t="s">
        <v>763</v>
      </c>
      <c r="F1336" s="6" t="str">
        <f>IF($M1336="PADD I","PADD 1",IF($M1336="PADD II","PADD 2",IF($M1336="PADD III","PADD 3",IF($M1336="PADD IV","PADD 4",IF($M1336="PADD V","PADD 5","")))))</f>
        <v>PADD 2</v>
      </c>
      <c r="G1336" s="6">
        <f>IF(AND($H1336="ATMOS DISTILLATION",ISNUMBER(SEARCH("VPS",$I1336))=FALSE,LEFT($I1336,6)&lt;&gt;"VACUUM"),"CDU",IF($H1336="FLUID CAT CRACKING","FCC",IF(OR($H1336="HYDROCRACKING",$H1336="RESID_HYDROCRACKING"),"Hydrocracker",IF($H1336="REFORMING","Reformer",""))))</f>
        <v/>
      </c>
      <c r="H1336" s="6" t="s">
        <v>43</v>
      </c>
      <c r="I1336" s="6" t="s">
        <v>458</v>
      </c>
      <c r="J1336" s="6" t="s">
        <v>345</v>
      </c>
      <c r="K1336" s="10">
        <v>3.77</v>
      </c>
      <c r="L1336" s="10">
        <v>13</v>
      </c>
      <c r="M1336" s="6" t="s">
        <v>375</v>
      </c>
    </row>
    <row r="1337" spans="1:13">
      <c r="A1337" s="6">
        <v>2023</v>
      </c>
      <c r="B1337" s="6">
        <v>5</v>
      </c>
      <c r="C1337" s="6" t="s">
        <v>63</v>
      </c>
      <c r="D1337" s="6" t="s">
        <v>762</v>
      </c>
      <c r="E1337" s="6" t="s">
        <v>763</v>
      </c>
      <c r="F1337" s="6" t="str">
        <f>IF($M1337="PADD I","PADD 1",IF($M1337="PADD II","PADD 2",IF($M1337="PADD III","PADD 3",IF($M1337="PADD IV","PADD 4",IF($M1337="PADD V","PADD 5","")))))</f>
        <v>PADD 2</v>
      </c>
      <c r="G1337" s="6">
        <f>IF(AND($H1337="ATMOS DISTILLATION",ISNUMBER(SEARCH("VPS",$I1337))=FALSE,LEFT($I1337,6)&lt;&gt;"VACUUM"),"CDU",IF($H1337="FLUID CAT CRACKING","FCC",IF(OR($H1337="HYDROCRACKING",$H1337="RESID_HYDROCRACKING"),"Hydrocracker",IF($H1337="REFORMING","Reformer",""))))</f>
        <v/>
      </c>
      <c r="H1337" s="6" t="s">
        <v>43</v>
      </c>
      <c r="I1337" s="6" t="s">
        <v>458</v>
      </c>
      <c r="J1337" s="6" t="s">
        <v>345</v>
      </c>
      <c r="K1337" s="10">
        <v>3.77</v>
      </c>
      <c r="L1337" s="10">
        <v>13</v>
      </c>
      <c r="M1337" s="6" t="s">
        <v>375</v>
      </c>
    </row>
    <row r="1338" spans="1:13">
      <c r="A1338" s="6">
        <v>2023</v>
      </c>
      <c r="B1338" s="6">
        <v>5</v>
      </c>
      <c r="C1338" s="6" t="s">
        <v>63</v>
      </c>
      <c r="D1338" s="6" t="s">
        <v>500</v>
      </c>
      <c r="E1338" s="6" t="s">
        <v>388</v>
      </c>
      <c r="F1338" s="6" t="str">
        <f>IF($M1338="PADD I","PADD 1",IF($M1338="PADD II","PADD 2",IF($M1338="PADD III","PADD 3",IF($M1338="PADD IV","PADD 4",IF($M1338="PADD V","PADD 5","")))))</f>
        <v>PADD 2</v>
      </c>
      <c r="G1338" s="6">
        <f>IF(AND($H1338="ATMOS DISTILLATION",ISNUMBER(SEARCH("VPS",$I1338))=FALSE,LEFT($I1338,6)&lt;&gt;"VACUUM"),"CDU",IF($H1338="FLUID CAT CRACKING","FCC",IF(OR($H1338="HYDROCRACKING",$H1338="RESID_HYDROCRACKING"),"Hydrocracker",IF($H1338="REFORMING","Reformer",""))))</f>
        <v/>
      </c>
      <c r="H1338" s="6" t="s">
        <v>43</v>
      </c>
      <c r="I1338" s="6" t="s">
        <v>520</v>
      </c>
      <c r="J1338" s="6" t="s">
        <v>345</v>
      </c>
      <c r="K1338" s="10">
        <v>3.76</v>
      </c>
      <c r="L1338" s="10">
        <v>23.5</v>
      </c>
      <c r="M1338" s="6" t="s">
        <v>375</v>
      </c>
    </row>
    <row r="1339" spans="1:13">
      <c r="A1339" s="6">
        <v>2023</v>
      </c>
      <c r="B1339" s="6">
        <v>5</v>
      </c>
      <c r="C1339" s="6" t="s">
        <v>63</v>
      </c>
      <c r="D1339" s="6" t="s">
        <v>387</v>
      </c>
      <c r="E1339" s="6" t="s">
        <v>388</v>
      </c>
      <c r="F1339" s="6" t="str">
        <f>IF($M1339="PADD I","PADD 1",IF($M1339="PADD II","PADD 2",IF($M1339="PADD III","PADD 3",IF($M1339="PADD IV","PADD 4",IF($M1339="PADD V","PADD 5","")))))</f>
        <v>PADD 3</v>
      </c>
      <c r="G1339" s="6" t="str">
        <f>IF(AND($H1339="ATMOS DISTILLATION",ISNUMBER(SEARCH("VPS",$I1339))=FALSE,LEFT($I1339,6)&lt;&gt;"VACUUM"),"CDU",IF($H1339="FLUID CAT CRACKING","FCC",IF(OR($H1339="HYDROCRACKING",$H1339="RESID_HYDROCRACKING"),"Hydrocracker",IF($H1339="REFORMING","Reformer",""))))</f>
        <v>Hydrocracker</v>
      </c>
      <c r="H1339" s="6" t="s">
        <v>444</v>
      </c>
      <c r="I1339" s="6" t="s">
        <v>476</v>
      </c>
      <c r="J1339" s="6" t="s">
        <v>345</v>
      </c>
      <c r="K1339" s="10">
        <v>3.6</v>
      </c>
      <c r="L1339" s="10">
        <v>60</v>
      </c>
      <c r="M1339" s="6" t="s">
        <v>371</v>
      </c>
    </row>
    <row r="1340" spans="1:13">
      <c r="A1340" s="6">
        <v>2023</v>
      </c>
      <c r="B1340" s="6">
        <v>5</v>
      </c>
      <c r="C1340" s="6" t="s">
        <v>63</v>
      </c>
      <c r="D1340" s="6" t="s">
        <v>715</v>
      </c>
      <c r="E1340" s="6" t="s">
        <v>716</v>
      </c>
      <c r="F1340" s="6" t="str">
        <f>IF($M1340="PADD I","PADD 1",IF($M1340="PADD II","PADD 2",IF($M1340="PADD III","PADD 3",IF($M1340="PADD IV","PADD 4",IF($M1340="PADD V","PADD 5","")))))</f>
        <v>PADD 2</v>
      </c>
      <c r="G1340" s="6" t="str">
        <f>IF(AND($H1340="ATMOS DISTILLATION",ISNUMBER(SEARCH("VPS",$I1340))=FALSE,LEFT($I1340,6)&lt;&gt;"VACUUM"),"CDU",IF($H1340="FLUID CAT CRACKING","FCC",IF(OR($H1340="HYDROCRACKING",$H1340="RESID_HYDROCRACKING"),"Hydrocracker",IF($H1340="REFORMING","Reformer",""))))</f>
        <v>FCC</v>
      </c>
      <c r="H1340" s="6" t="s">
        <v>376</v>
      </c>
      <c r="I1340" s="6" t="s">
        <v>105</v>
      </c>
      <c r="J1340" s="6" t="s">
        <v>349</v>
      </c>
      <c r="K1340" s="10">
        <v>3.6</v>
      </c>
      <c r="L1340" s="10">
        <v>8</v>
      </c>
      <c r="M1340" s="6" t="s">
        <v>375</v>
      </c>
    </row>
    <row r="1341" spans="1:13">
      <c r="A1341" s="6">
        <v>2023</v>
      </c>
      <c r="B1341" s="6">
        <v>5</v>
      </c>
      <c r="C1341" s="6" t="s">
        <v>63</v>
      </c>
      <c r="D1341" s="6" t="s">
        <v>732</v>
      </c>
      <c r="E1341" s="6" t="s">
        <v>733</v>
      </c>
      <c r="F1341" s="6" t="str">
        <f>IF($M1341="PADD I","PADD 1",IF($M1341="PADD II","PADD 2",IF($M1341="PADD III","PADD 3",IF($M1341="PADD IV","PADD 4",IF($M1341="PADD V","PADD 5","")))))</f>
        <v>PADD 4</v>
      </c>
      <c r="G1341" s="6">
        <f>IF(AND($H1341="ATMOS DISTILLATION",ISNUMBER(SEARCH("VPS",$I1341))=FALSE,LEFT($I1341,6)&lt;&gt;"VACUUM"),"CDU",IF($H1341="FLUID CAT CRACKING","FCC",IF(OR($H1341="HYDROCRACKING",$H1341="RESID_HYDROCRACKING"),"Hydrocracker",IF($H1341="REFORMING","Reformer",""))))</f>
        <v/>
      </c>
      <c r="H1341" s="6" t="s">
        <v>378</v>
      </c>
      <c r="I1341" s="6" t="s">
        <v>431</v>
      </c>
      <c r="J1341" s="6" t="s">
        <v>349</v>
      </c>
      <c r="K1341" s="10">
        <v>3.52</v>
      </c>
      <c r="L1341" s="10">
        <v>11</v>
      </c>
      <c r="M1341" s="6" t="s">
        <v>430</v>
      </c>
    </row>
    <row r="1342" spans="1:13">
      <c r="A1342" s="6">
        <v>2023</v>
      </c>
      <c r="B1342" s="6">
        <v>5</v>
      </c>
      <c r="C1342" s="6" t="s">
        <v>63</v>
      </c>
      <c r="D1342" s="6" t="s">
        <v>732</v>
      </c>
      <c r="E1342" s="6" t="s">
        <v>733</v>
      </c>
      <c r="F1342" s="6" t="str">
        <f>IF($M1342="PADD I","PADD 1",IF($M1342="PADD II","PADD 2",IF($M1342="PADD III","PADD 3",IF($M1342="PADD IV","PADD 4",IF($M1342="PADD V","PADD 5","")))))</f>
        <v>PADD 4</v>
      </c>
      <c r="G1342" s="6">
        <f>IF(AND($H1342="ATMOS DISTILLATION",ISNUMBER(SEARCH("VPS",$I1342))=FALSE,LEFT($I1342,6)&lt;&gt;"VACUUM"),"CDU",IF($H1342="FLUID CAT CRACKING","FCC",IF(OR($H1342="HYDROCRACKING",$H1342="RESID_HYDROCRACKING"),"Hydrocracker",IF($H1342="REFORMING","Reformer",""))))</f>
        <v/>
      </c>
      <c r="H1342" s="6" t="s">
        <v>43</v>
      </c>
      <c r="I1342" s="6" t="s">
        <v>751</v>
      </c>
      <c r="J1342" s="6" t="s">
        <v>349</v>
      </c>
      <c r="K1342" s="10">
        <v>3.2</v>
      </c>
      <c r="L1342" s="10">
        <v>10</v>
      </c>
      <c r="M1342" s="6" t="s">
        <v>430</v>
      </c>
    </row>
    <row r="1343" spans="1:13">
      <c r="A1343" s="6">
        <v>2023</v>
      </c>
      <c r="B1343" s="6">
        <v>5</v>
      </c>
      <c r="C1343" s="6" t="s">
        <v>63</v>
      </c>
      <c r="D1343" s="6" t="s">
        <v>830</v>
      </c>
      <c r="E1343" s="6" t="s">
        <v>388</v>
      </c>
      <c r="F1343" s="6" t="str">
        <f>IF($M1343="PADD I","PADD 1",IF($M1343="PADD II","PADD 2",IF($M1343="PADD III","PADD 3",IF($M1343="PADD IV","PADD 4",IF($M1343="PADD V","PADD 5","")))))</f>
        <v>PADD 2</v>
      </c>
      <c r="G1343" s="6">
        <f>IF(AND($H1343="ATMOS DISTILLATION",ISNUMBER(SEARCH("VPS",$I1343))=FALSE,LEFT($I1343,6)&lt;&gt;"VACUUM"),"CDU",IF($H1343="FLUID CAT CRACKING","FCC",IF(OR($H1343="HYDROCRACKING",$H1343="RESID_HYDROCRACKING"),"Hydrocracker",IF($H1343="REFORMING","Reformer",""))))</f>
        <v/>
      </c>
      <c r="H1343" s="6" t="s">
        <v>43</v>
      </c>
      <c r="I1343" s="6" t="s">
        <v>485</v>
      </c>
      <c r="J1343" s="6" t="s">
        <v>345</v>
      </c>
      <c r="K1343" s="10">
        <v>3.12</v>
      </c>
      <c r="L1343" s="10">
        <v>6</v>
      </c>
      <c r="M1343" s="6" t="s">
        <v>375</v>
      </c>
    </row>
    <row r="1344" spans="1:13">
      <c r="A1344" s="6">
        <v>2023</v>
      </c>
      <c r="B1344" s="6">
        <v>5</v>
      </c>
      <c r="C1344" s="6" t="s">
        <v>63</v>
      </c>
      <c r="D1344" s="6" t="s">
        <v>830</v>
      </c>
      <c r="E1344" s="6" t="s">
        <v>388</v>
      </c>
      <c r="F1344" s="6" t="str">
        <f>IF($M1344="PADD I","PADD 1",IF($M1344="PADD II","PADD 2",IF($M1344="PADD III","PADD 3",IF($M1344="PADD IV","PADD 4",IF($M1344="PADD V","PADD 5","")))))</f>
        <v>PADD 2</v>
      </c>
      <c r="G1344" s="6">
        <f>IF(AND($H1344="ATMOS DISTILLATION",ISNUMBER(SEARCH("VPS",$I1344))=FALSE,LEFT($I1344,6)&lt;&gt;"VACUUM"),"CDU",IF($H1344="FLUID CAT CRACKING","FCC",IF(OR($H1344="HYDROCRACKING",$H1344="RESID_HYDROCRACKING"),"Hydrocracker",IF($H1344="REFORMING","Reformer",""))))</f>
        <v/>
      </c>
      <c r="H1344" s="6" t="s">
        <v>43</v>
      </c>
      <c r="I1344" s="6" t="s">
        <v>485</v>
      </c>
      <c r="J1344" s="6" t="s">
        <v>345</v>
      </c>
      <c r="K1344" s="10">
        <v>3.12</v>
      </c>
      <c r="L1344" s="10">
        <v>6</v>
      </c>
      <c r="M1344" s="6" t="s">
        <v>375</v>
      </c>
    </row>
    <row r="1345" spans="1:13">
      <c r="A1345" s="6">
        <v>2023</v>
      </c>
      <c r="B1345" s="6">
        <v>5</v>
      </c>
      <c r="C1345" s="6" t="s">
        <v>63</v>
      </c>
      <c r="D1345" s="6" t="s">
        <v>372</v>
      </c>
      <c r="E1345" s="6" t="s">
        <v>373</v>
      </c>
      <c r="F1345" s="6" t="str">
        <f>IF($M1345="PADD I","PADD 1",IF($M1345="PADD II","PADD 2",IF($M1345="PADD III","PADD 3",IF($M1345="PADD IV","PADD 4",IF($M1345="PADD V","PADD 5","")))))</f>
        <v>PADD 2</v>
      </c>
      <c r="G1345" s="6">
        <f>IF(AND($H1345="ATMOS DISTILLATION",ISNUMBER(SEARCH("VPS",$I1345))=FALSE,LEFT($I1345,6)&lt;&gt;"VACUUM"),"CDU",IF($H1345="FLUID CAT CRACKING","FCC",IF(OR($H1345="HYDROCRACKING",$H1345="RESID_HYDROCRACKING"),"Hydrocracker",IF($H1345="REFORMING","Reformer",""))))</f>
        <v/>
      </c>
      <c r="H1345" s="6" t="s">
        <v>460</v>
      </c>
      <c r="I1345" s="6" t="s">
        <v>541</v>
      </c>
      <c r="J1345" s="6" t="s">
        <v>345</v>
      </c>
      <c r="K1345" s="10">
        <v>3</v>
      </c>
      <c r="L1345" s="10">
        <v>3</v>
      </c>
      <c r="M1345" s="6" t="s">
        <v>375</v>
      </c>
    </row>
    <row r="1346" spans="1:13">
      <c r="A1346" s="6">
        <v>2023</v>
      </c>
      <c r="B1346" s="6">
        <v>5</v>
      </c>
      <c r="C1346" s="6" t="s">
        <v>63</v>
      </c>
      <c r="D1346" s="6" t="s">
        <v>372</v>
      </c>
      <c r="E1346" s="6" t="s">
        <v>373</v>
      </c>
      <c r="F1346" s="6" t="str">
        <f>IF($M1346="PADD I","PADD 1",IF($M1346="PADD II","PADD 2",IF($M1346="PADD III","PADD 3",IF($M1346="PADD IV","PADD 4",IF($M1346="PADD V","PADD 5","")))))</f>
        <v>PADD 2</v>
      </c>
      <c r="G1346" s="6">
        <f>IF(AND($H1346="ATMOS DISTILLATION",ISNUMBER(SEARCH("VPS",$I1346))=FALSE,LEFT($I1346,6)&lt;&gt;"VACUUM"),"CDU",IF($H1346="FLUID CAT CRACKING","FCC",IF(OR($H1346="HYDROCRACKING",$H1346="RESID_HYDROCRACKING"),"Hydrocracker",IF($H1346="REFORMING","Reformer",""))))</f>
        <v/>
      </c>
      <c r="H1346" s="6" t="s">
        <v>460</v>
      </c>
      <c r="I1346" s="6" t="s">
        <v>608</v>
      </c>
      <c r="J1346" s="6" t="s">
        <v>345</v>
      </c>
      <c r="K1346" s="10">
        <v>3</v>
      </c>
      <c r="L1346" s="10">
        <v>3</v>
      </c>
      <c r="M1346" s="6" t="s">
        <v>375</v>
      </c>
    </row>
    <row r="1347" spans="1:13">
      <c r="A1347" s="6">
        <v>2023</v>
      </c>
      <c r="B1347" s="6">
        <v>5</v>
      </c>
      <c r="C1347" s="6" t="s">
        <v>63</v>
      </c>
      <c r="D1347" s="6" t="s">
        <v>714</v>
      </c>
      <c r="E1347" s="6" t="s">
        <v>405</v>
      </c>
      <c r="F1347" s="6" t="str">
        <f>IF($M1347="PADD I","PADD 1",IF($M1347="PADD II","PADD 2",IF($M1347="PADD III","PADD 3",IF($M1347="PADD IV","PADD 4",IF($M1347="PADD V","PADD 5","")))))</f>
        <v>PADD 3</v>
      </c>
      <c r="G1347" s="6" t="str">
        <f>IF(AND($H1347="ATMOS DISTILLATION",ISNUMBER(SEARCH("VPS",$I1347))=FALSE,LEFT($I1347,6)&lt;&gt;"VACUUM"),"CDU",IF($H1347="FLUID CAT CRACKING","FCC",IF(OR($H1347="HYDROCRACKING",$H1347="RESID_HYDROCRACKING"),"Hydrocracker",IF($H1347="REFORMING","Reformer",""))))</f>
        <v>Hydrocracker</v>
      </c>
      <c r="H1347" s="6" t="s">
        <v>444</v>
      </c>
      <c r="I1347" s="6" t="s">
        <v>14</v>
      </c>
      <c r="J1347" s="6" t="s">
        <v>345</v>
      </c>
      <c r="K1347" s="10">
        <v>3</v>
      </c>
      <c r="L1347" s="10">
        <v>30</v>
      </c>
      <c r="M1347" s="6" t="s">
        <v>371</v>
      </c>
    </row>
    <row r="1348" spans="1:13">
      <c r="A1348" s="6">
        <v>2023</v>
      </c>
      <c r="B1348" s="6">
        <v>5</v>
      </c>
      <c r="C1348" s="6" t="s">
        <v>63</v>
      </c>
      <c r="D1348" s="6" t="s">
        <v>714</v>
      </c>
      <c r="E1348" s="6" t="s">
        <v>405</v>
      </c>
      <c r="F1348" s="6" t="str">
        <f>IF($M1348="PADD I","PADD 1",IF($M1348="PADD II","PADD 2",IF($M1348="PADD III","PADD 3",IF($M1348="PADD IV","PADD 4",IF($M1348="PADD V","PADD 5","")))))</f>
        <v>PADD 3</v>
      </c>
      <c r="G1348" s="6" t="str">
        <f>IF(AND($H1348="ATMOS DISTILLATION",ISNUMBER(SEARCH("VPS",$I1348))=FALSE,LEFT($I1348,6)&lt;&gt;"VACUUM"),"CDU",IF($H1348="FLUID CAT CRACKING","FCC",IF(OR($H1348="HYDROCRACKING",$H1348="RESID_HYDROCRACKING"),"Hydrocracker",IF($H1348="REFORMING","Reformer",""))))</f>
        <v>Reformer</v>
      </c>
      <c r="H1348" s="6" t="s">
        <v>421</v>
      </c>
      <c r="I1348" s="6" t="s">
        <v>864</v>
      </c>
      <c r="J1348" s="6" t="s">
        <v>345</v>
      </c>
      <c r="K1348" s="10">
        <v>2.89</v>
      </c>
      <c r="L1348" s="10">
        <v>28.9</v>
      </c>
      <c r="M1348" s="6" t="s">
        <v>371</v>
      </c>
    </row>
    <row r="1349" spans="1:13">
      <c r="A1349" s="6">
        <v>2023</v>
      </c>
      <c r="B1349" s="6">
        <v>5</v>
      </c>
      <c r="C1349" s="6" t="s">
        <v>63</v>
      </c>
      <c r="D1349" s="6" t="s">
        <v>500</v>
      </c>
      <c r="E1349" s="6" t="s">
        <v>388</v>
      </c>
      <c r="F1349" s="6" t="str">
        <f>IF($M1349="PADD I","PADD 1",IF($M1349="PADD II","PADD 2",IF($M1349="PADD III","PADD 3",IF($M1349="PADD IV","PADD 4",IF($M1349="PADD V","PADD 5","")))))</f>
        <v>PADD 2</v>
      </c>
      <c r="G1349" s="6" t="str">
        <f>IF(AND($H1349="ATMOS DISTILLATION",ISNUMBER(SEARCH("VPS",$I1349))=FALSE,LEFT($I1349,6)&lt;&gt;"VACUUM"),"CDU",IF($H1349="FLUID CAT CRACKING","FCC",IF(OR($H1349="HYDROCRACKING",$H1349="RESID_HYDROCRACKING"),"Hydrocracker",IF($H1349="REFORMING","Reformer",""))))</f>
        <v>Reformer</v>
      </c>
      <c r="H1349" s="6" t="s">
        <v>421</v>
      </c>
      <c r="I1349" s="6" t="s">
        <v>539</v>
      </c>
      <c r="J1349" s="6" t="s">
        <v>345</v>
      </c>
      <c r="K1349" s="10">
        <v>2.795</v>
      </c>
      <c r="L1349" s="10">
        <v>21.5</v>
      </c>
      <c r="M1349" s="6" t="s">
        <v>375</v>
      </c>
    </row>
    <row r="1350" spans="1:13">
      <c r="A1350" s="6">
        <v>2023</v>
      </c>
      <c r="B1350" s="6">
        <v>5</v>
      </c>
      <c r="C1350" s="6" t="s">
        <v>63</v>
      </c>
      <c r="D1350" s="6" t="s">
        <v>333</v>
      </c>
      <c r="E1350" s="6" t="s">
        <v>381</v>
      </c>
      <c r="F1350" s="6" t="str">
        <f>IF($M1350="PADD I","PADD 1",IF($M1350="PADD II","PADD 2",IF($M1350="PADD III","PADD 3",IF($M1350="PADD IV","PADD 4",IF($M1350="PADD V","PADD 5","")))))</f>
        <v>PADD 3</v>
      </c>
      <c r="G1350" s="6">
        <f>IF(AND($H1350="ATMOS DISTILLATION",ISNUMBER(SEARCH("VPS",$I1350))=FALSE,LEFT($I1350,6)&lt;&gt;"VACUUM"),"CDU",IF($H1350="FLUID CAT CRACKING","FCC",IF(OR($H1350="HYDROCRACKING",$H1350="RESID_HYDROCRACKING"),"Hydrocracker",IF($H1350="REFORMING","Reformer",""))))</f>
        <v/>
      </c>
      <c r="H1350" s="6" t="s">
        <v>43</v>
      </c>
      <c r="I1350" s="6" t="s">
        <v>784</v>
      </c>
      <c r="J1350" s="6" t="s">
        <v>345</v>
      </c>
      <c r="K1350" s="10">
        <v>2.7</v>
      </c>
      <c r="L1350" s="10">
        <v>45</v>
      </c>
      <c r="M1350" s="6" t="s">
        <v>371</v>
      </c>
    </row>
    <row r="1351" spans="1:13">
      <c r="A1351" s="6">
        <v>2023</v>
      </c>
      <c r="B1351" s="6">
        <v>5</v>
      </c>
      <c r="C1351" s="6" t="s">
        <v>63</v>
      </c>
      <c r="D1351" s="6" t="s">
        <v>865</v>
      </c>
      <c r="E1351" s="6" t="s">
        <v>369</v>
      </c>
      <c r="F1351" s="6" t="str">
        <f>IF($M1351="PADD I","PADD 1",IF($M1351="PADD II","PADD 2",IF($M1351="PADD III","PADD 3",IF($M1351="PADD IV","PADD 4",IF($M1351="PADD V","PADD 5","")))))</f>
        <v>PADD 4</v>
      </c>
      <c r="G1351" s="6" t="str">
        <f>IF(AND($H1351="ATMOS DISTILLATION",ISNUMBER(SEARCH("VPS",$I1351))=FALSE,LEFT($I1351,6)&lt;&gt;"VACUUM"),"CDU",IF($H1351="FLUID CAT CRACKING","FCC",IF(OR($H1351="HYDROCRACKING",$H1351="RESID_HYDROCRACKING"),"Hydrocracker",IF($H1351="REFORMING","Reformer",""))))</f>
        <v>CDU</v>
      </c>
      <c r="H1351" s="6" t="s">
        <v>38</v>
      </c>
      <c r="I1351" s="6" t="s">
        <v>866</v>
      </c>
      <c r="J1351" s="6" t="s">
        <v>345</v>
      </c>
      <c r="K1351" s="10">
        <v>2.7</v>
      </c>
      <c r="L1351" s="10">
        <v>45</v>
      </c>
      <c r="M1351" s="6" t="s">
        <v>430</v>
      </c>
    </row>
    <row r="1352" spans="1:13">
      <c r="A1352" s="6">
        <v>2023</v>
      </c>
      <c r="B1352" s="6">
        <v>5</v>
      </c>
      <c r="C1352" s="6" t="s">
        <v>63</v>
      </c>
      <c r="D1352" s="6" t="s">
        <v>440</v>
      </c>
      <c r="E1352" s="6" t="s">
        <v>369</v>
      </c>
      <c r="F1352" s="6" t="str">
        <f>IF($M1352="PADD I","PADD 1",IF($M1352="PADD II","PADD 2",IF($M1352="PADD III","PADD 3",IF($M1352="PADD IV","PADD 4",IF($M1352="PADD V","PADD 5","")))))</f>
        <v>PADD 5</v>
      </c>
      <c r="G1352" s="6">
        <f>IF(AND($H1352="ATMOS DISTILLATION",ISNUMBER(SEARCH("VPS",$I1352))=FALSE,LEFT($I1352,6)&lt;&gt;"VACUUM"),"CDU",IF($H1352="FLUID CAT CRACKING","FCC",IF(OR($H1352="HYDROCRACKING",$H1352="RESID_HYDROCRACKING"),"Hydrocracker",IF($H1352="REFORMING","Reformer",""))))</f>
        <v/>
      </c>
      <c r="H1352" s="6" t="s">
        <v>43</v>
      </c>
      <c r="I1352" s="6" t="s">
        <v>667</v>
      </c>
      <c r="J1352" s="6" t="s">
        <v>345</v>
      </c>
      <c r="K1352" s="10">
        <v>2.4</v>
      </c>
      <c r="L1352" s="10">
        <v>40</v>
      </c>
      <c r="M1352" s="6" t="s">
        <v>386</v>
      </c>
    </row>
    <row r="1353" spans="1:13">
      <c r="A1353" s="6">
        <v>2023</v>
      </c>
      <c r="B1353" s="6">
        <v>5</v>
      </c>
      <c r="C1353" s="6" t="s">
        <v>63</v>
      </c>
      <c r="D1353" s="6" t="s">
        <v>675</v>
      </c>
      <c r="E1353" s="6" t="s">
        <v>452</v>
      </c>
      <c r="F1353" s="6" t="str">
        <f>IF($M1353="PADD I","PADD 1",IF($M1353="PADD II","PADD 2",IF($M1353="PADD III","PADD 3",IF($M1353="PADD IV","PADD 4",IF($M1353="PADD V","PADD 5","")))))</f>
        <v>PADD 2</v>
      </c>
      <c r="G1353" s="6" t="str">
        <f>IF(AND($H1353="ATMOS DISTILLATION",ISNUMBER(SEARCH("VPS",$I1353))=FALSE,LEFT($I1353,6)&lt;&gt;"VACUUM"),"CDU",IF($H1353="FLUID CAT CRACKING","FCC",IF(OR($H1353="HYDROCRACKING",$H1353="RESID_HYDROCRACKING"),"Hydrocracker",IF($H1353="REFORMING","Reformer",""))))</f>
        <v>FCC</v>
      </c>
      <c r="H1353" s="6" t="s">
        <v>376</v>
      </c>
      <c r="I1353" s="6" t="s">
        <v>105</v>
      </c>
      <c r="J1353" s="6" t="s">
        <v>345</v>
      </c>
      <c r="K1353" s="10">
        <v>2.34</v>
      </c>
      <c r="L1353" s="10">
        <v>39</v>
      </c>
      <c r="M1353" s="6" t="s">
        <v>375</v>
      </c>
    </row>
    <row r="1354" spans="1:13">
      <c r="A1354" s="6">
        <v>2023</v>
      </c>
      <c r="B1354" s="6">
        <v>5</v>
      </c>
      <c r="C1354" s="6" t="s">
        <v>63</v>
      </c>
      <c r="D1354" s="6" t="s">
        <v>52</v>
      </c>
      <c r="E1354" s="6" t="s">
        <v>388</v>
      </c>
      <c r="F1354" s="6" t="str">
        <f>IF($M1354="PADD I","PADD 1",IF($M1354="PADD II","PADD 2",IF($M1354="PADD III","PADD 3",IF($M1354="PADD IV","PADD 4",IF($M1354="PADD V","PADD 5","")))))</f>
        <v>PADD 5</v>
      </c>
      <c r="G1354" s="6">
        <f>IF(AND($H1354="ATMOS DISTILLATION",ISNUMBER(SEARCH("VPS",$I1354))=FALSE,LEFT($I1354,6)&lt;&gt;"VACUUM"),"CDU",IF($H1354="FLUID CAT CRACKING","FCC",IF(OR($H1354="HYDROCRACKING",$H1354="RESID_HYDROCRACKING"),"Hydrocracker",IF($H1354="REFORMING","Reformer",""))))</f>
        <v/>
      </c>
      <c r="H1354" s="6" t="s">
        <v>568</v>
      </c>
      <c r="I1354" s="6" t="s">
        <v>825</v>
      </c>
      <c r="J1354" s="6" t="s">
        <v>349</v>
      </c>
      <c r="K1354" s="10">
        <v>2.32</v>
      </c>
      <c r="L1354" s="10">
        <v>4</v>
      </c>
      <c r="M1354" s="6" t="s">
        <v>386</v>
      </c>
    </row>
    <row r="1355" spans="1:13">
      <c r="A1355" s="6">
        <v>2023</v>
      </c>
      <c r="B1355" s="6">
        <v>5</v>
      </c>
      <c r="C1355" s="6" t="s">
        <v>63</v>
      </c>
      <c r="D1355" s="6" t="s">
        <v>723</v>
      </c>
      <c r="E1355" s="6" t="s">
        <v>724</v>
      </c>
      <c r="F1355" s="6" t="str">
        <f>IF($M1355="PADD I","PADD 1",IF($M1355="PADD II","PADD 2",IF($M1355="PADD III","PADD 3",IF($M1355="PADD IV","PADD 4",IF($M1355="PADD V","PADD 5","")))))</f>
        <v>PADD 4</v>
      </c>
      <c r="G1355" s="6" t="str">
        <f>IF(AND($H1355="ATMOS DISTILLATION",ISNUMBER(SEARCH("VPS",$I1355))=FALSE,LEFT($I1355,6)&lt;&gt;"VACUUM"),"CDU",IF($H1355="FLUID CAT CRACKING","FCC",IF(OR($H1355="HYDROCRACKING",$H1355="RESID_HYDROCRACKING"),"Hydrocracker",IF($H1355="REFORMING","Reformer",""))))</f>
        <v>Reformer</v>
      </c>
      <c r="H1355" s="6" t="s">
        <v>421</v>
      </c>
      <c r="I1355" s="6" t="s">
        <v>725</v>
      </c>
      <c r="J1355" s="6" t="s">
        <v>349</v>
      </c>
      <c r="K1355" s="10">
        <v>2.3</v>
      </c>
      <c r="L1355" s="10">
        <v>10</v>
      </c>
      <c r="M1355" s="6" t="s">
        <v>430</v>
      </c>
    </row>
    <row r="1356" spans="1:13">
      <c r="A1356" s="6">
        <v>2023</v>
      </c>
      <c r="B1356" s="6">
        <v>5</v>
      </c>
      <c r="C1356" s="6" t="s">
        <v>63</v>
      </c>
      <c r="D1356" s="6" t="s">
        <v>662</v>
      </c>
      <c r="E1356" s="6" t="s">
        <v>552</v>
      </c>
      <c r="F1356" s="6" t="str">
        <f>IF($M1356="PADD I","PADD 1",IF($M1356="PADD II","PADD 2",IF($M1356="PADD III","PADD 3",IF($M1356="PADD IV","PADD 4",IF($M1356="PADD V","PADD 5","")))))</f>
        <v>PADD 3</v>
      </c>
      <c r="G1356" s="6">
        <f>IF(AND($H1356="ATMOS DISTILLATION",ISNUMBER(SEARCH("VPS",$I1356))=FALSE,LEFT($I1356,6)&lt;&gt;"VACUUM"),"CDU",IF($H1356="FLUID CAT CRACKING","FCC",IF(OR($H1356="HYDROCRACKING",$H1356="RESID_HYDROCRACKING"),"Hydrocracker",IF($H1356="REFORMING","Reformer",""))))</f>
        <v/>
      </c>
      <c r="H1356" s="6" t="s">
        <v>43</v>
      </c>
      <c r="I1356" s="6" t="s">
        <v>735</v>
      </c>
      <c r="J1356" s="6" t="s">
        <v>349</v>
      </c>
      <c r="K1356" s="10">
        <v>2.3</v>
      </c>
      <c r="L1356" s="10">
        <v>23</v>
      </c>
      <c r="M1356" s="6" t="s">
        <v>371</v>
      </c>
    </row>
    <row r="1357" spans="1:13">
      <c r="A1357" s="6">
        <v>2023</v>
      </c>
      <c r="B1357" s="6">
        <v>5</v>
      </c>
      <c r="C1357" s="6" t="s">
        <v>63</v>
      </c>
      <c r="D1357" s="6" t="s">
        <v>788</v>
      </c>
      <c r="E1357" s="6" t="s">
        <v>405</v>
      </c>
      <c r="F1357" s="6" t="str">
        <f>IF($M1357="PADD I","PADD 1",IF($M1357="PADD II","PADD 2",IF($M1357="PADD III","PADD 3",IF($M1357="PADD IV","PADD 4",IF($M1357="PADD V","PADD 5","")))))</f>
        <v>PADD 3</v>
      </c>
      <c r="G1357" s="6">
        <f>IF(AND($H1357="ATMOS DISTILLATION",ISNUMBER(SEARCH("VPS",$I1357))=FALSE,LEFT($I1357,6)&lt;&gt;"VACUUM"),"CDU",IF($H1357="FLUID CAT CRACKING","FCC",IF(OR($H1357="HYDROCRACKING",$H1357="RESID_HYDROCRACKING"),"Hydrocracker",IF($H1357="REFORMING","Reformer",""))))</f>
        <v/>
      </c>
      <c r="H1357" s="6" t="s">
        <v>43</v>
      </c>
      <c r="I1357" s="6" t="s">
        <v>821</v>
      </c>
      <c r="J1357" s="6" t="s">
        <v>345</v>
      </c>
      <c r="K1357" s="10">
        <v>2.16</v>
      </c>
      <c r="L1357" s="10">
        <v>36</v>
      </c>
      <c r="M1357" s="6" t="s">
        <v>371</v>
      </c>
    </row>
    <row r="1358" spans="1:13">
      <c r="A1358" s="6">
        <v>2023</v>
      </c>
      <c r="B1358" s="6">
        <v>5</v>
      </c>
      <c r="C1358" s="6" t="s">
        <v>63</v>
      </c>
      <c r="D1358" s="6" t="s">
        <v>865</v>
      </c>
      <c r="E1358" s="6" t="s">
        <v>369</v>
      </c>
      <c r="F1358" s="6" t="str">
        <f>IF($M1358="PADD I","PADD 1",IF($M1358="PADD II","PADD 2",IF($M1358="PADD III","PADD 3",IF($M1358="PADD IV","PADD 4",IF($M1358="PADD V","PADD 5","")))))</f>
        <v>PADD 4</v>
      </c>
      <c r="G1358" s="6">
        <f>IF(AND($H1358="ATMOS DISTILLATION",ISNUMBER(SEARCH("VPS",$I1358))=FALSE,LEFT($I1358,6)&lt;&gt;"VACUUM"),"CDU",IF($H1358="FLUID CAT CRACKING","FCC",IF(OR($H1358="HYDROCRACKING",$H1358="RESID_HYDROCRACKING"),"Hydrocracker",IF($H1358="REFORMING","Reformer",""))))</f>
        <v/>
      </c>
      <c r="H1358" s="6" t="s">
        <v>378</v>
      </c>
      <c r="I1358" s="6" t="s">
        <v>867</v>
      </c>
      <c r="J1358" s="6" t="s">
        <v>345</v>
      </c>
      <c r="K1358" s="10">
        <v>2.1</v>
      </c>
      <c r="L1358" s="10">
        <v>35</v>
      </c>
      <c r="M1358" s="6" t="s">
        <v>430</v>
      </c>
    </row>
    <row r="1359" spans="1:13">
      <c r="A1359" s="6">
        <v>2023</v>
      </c>
      <c r="B1359" s="6">
        <v>5</v>
      </c>
      <c r="C1359" s="6" t="s">
        <v>63</v>
      </c>
      <c r="D1359" s="6" t="s">
        <v>420</v>
      </c>
      <c r="E1359" s="6" t="s">
        <v>373</v>
      </c>
      <c r="F1359" s="6" t="str">
        <f>IF($M1359="PADD I","PADD 1",IF($M1359="PADD II","PADD 2",IF($M1359="PADD III","PADD 3",IF($M1359="PADD IV","PADD 4",IF($M1359="PADD V","PADD 5","")))))</f>
        <v>PADD 2</v>
      </c>
      <c r="G1359" s="6">
        <f>IF(AND($H1359="ATMOS DISTILLATION",ISNUMBER(SEARCH("VPS",$I1359))=FALSE,LEFT($I1359,6)&lt;&gt;"VACUUM"),"CDU",IF($H1359="FLUID CAT CRACKING","FCC",IF(OR($H1359="HYDROCRACKING",$H1359="RESID_HYDROCRACKING"),"Hydrocracker",IF($H1359="REFORMING","Reformer",""))))</f>
        <v/>
      </c>
      <c r="H1359" s="6" t="s">
        <v>568</v>
      </c>
      <c r="I1359" s="6" t="s">
        <v>604</v>
      </c>
      <c r="J1359" s="6" t="s">
        <v>345</v>
      </c>
      <c r="K1359" s="10">
        <v>2</v>
      </c>
      <c r="L1359" s="10">
        <v>2</v>
      </c>
      <c r="M1359" s="6" t="s">
        <v>375</v>
      </c>
    </row>
    <row r="1360" spans="1:13">
      <c r="A1360" s="6">
        <v>2023</v>
      </c>
      <c r="B1360" s="6">
        <v>5</v>
      </c>
      <c r="C1360" s="6" t="s">
        <v>63</v>
      </c>
      <c r="D1360" s="6" t="s">
        <v>429</v>
      </c>
      <c r="E1360" s="6" t="s">
        <v>388</v>
      </c>
      <c r="F1360" s="6" t="str">
        <f>IF($M1360="PADD I","PADD 1",IF($M1360="PADD II","PADD 2",IF($M1360="PADD III","PADD 3",IF($M1360="PADD IV","PADD 4",IF($M1360="PADD V","PADD 5","")))))</f>
        <v>PADD 4</v>
      </c>
      <c r="G1360" s="6" t="str">
        <f>IF(AND($H1360="ATMOS DISTILLATION",ISNUMBER(SEARCH("VPS",$I1360))=FALSE,LEFT($I1360,6)&lt;&gt;"VACUUM"),"CDU",IF($H1360="FLUID CAT CRACKING","FCC",IF(OR($H1360="HYDROCRACKING",$H1360="RESID_HYDROCRACKING"),"Hydrocracker",IF($H1360="REFORMING","Reformer",""))))</f>
        <v>CDU</v>
      </c>
      <c r="H1360" s="6" t="s">
        <v>38</v>
      </c>
      <c r="I1360" s="6" t="s">
        <v>81</v>
      </c>
      <c r="J1360" s="6" t="s">
        <v>345</v>
      </c>
      <c r="K1360" s="10">
        <v>1.995</v>
      </c>
      <c r="L1360" s="10">
        <v>66.5</v>
      </c>
      <c r="M1360" s="6" t="s">
        <v>430</v>
      </c>
    </row>
    <row r="1361" spans="1:13">
      <c r="A1361" s="6">
        <v>2023</v>
      </c>
      <c r="B1361" s="6">
        <v>5</v>
      </c>
      <c r="C1361" s="6" t="s">
        <v>63</v>
      </c>
      <c r="D1361" s="6" t="s">
        <v>387</v>
      </c>
      <c r="E1361" s="6" t="s">
        <v>388</v>
      </c>
      <c r="F1361" s="6" t="str">
        <f>IF($M1361="PADD I","PADD 1",IF($M1361="PADD II","PADD 2",IF($M1361="PADD III","PADD 3",IF($M1361="PADD IV","PADD 4",IF($M1361="PADD V","PADD 5","")))))</f>
        <v>PADD 3</v>
      </c>
      <c r="G1361" s="6" t="str">
        <f>IF(AND($H1361="ATMOS DISTILLATION",ISNUMBER(SEARCH("VPS",$I1361))=FALSE,LEFT($I1361,6)&lt;&gt;"VACUUM"),"CDU",IF($H1361="FLUID CAT CRACKING","FCC",IF(OR($H1361="HYDROCRACKING",$H1361="RESID_HYDROCRACKING"),"Hydrocracker",IF($H1361="REFORMING","Reformer",""))))</f>
        <v>Hydrocracker</v>
      </c>
      <c r="H1361" s="6" t="s">
        <v>581</v>
      </c>
      <c r="I1361" s="6" t="s">
        <v>868</v>
      </c>
      <c r="J1361" s="6" t="s">
        <v>345</v>
      </c>
      <c r="K1361" s="10">
        <v>1.8</v>
      </c>
      <c r="L1361" s="10">
        <v>60</v>
      </c>
      <c r="M1361" s="6" t="s">
        <v>371</v>
      </c>
    </row>
    <row r="1362" spans="1:13">
      <c r="A1362" s="6">
        <v>2023</v>
      </c>
      <c r="B1362" s="6">
        <v>5</v>
      </c>
      <c r="C1362" s="6" t="s">
        <v>63</v>
      </c>
      <c r="D1362" s="6" t="s">
        <v>526</v>
      </c>
      <c r="E1362" s="6" t="s">
        <v>405</v>
      </c>
      <c r="F1362" s="6" t="str">
        <f>IF($M1362="PADD I","PADD 1",IF($M1362="PADD II","PADD 2",IF($M1362="PADD III","PADD 3",IF($M1362="PADD IV","PADD 4",IF($M1362="PADD V","PADD 5","")))))</f>
        <v>PADD 3</v>
      </c>
      <c r="G1362" s="6">
        <f>IF(AND($H1362="ATMOS DISTILLATION",ISNUMBER(SEARCH("VPS",$I1362))=FALSE,LEFT($I1362,6)&lt;&gt;"VACUUM"),"CDU",IF($H1362="FLUID CAT CRACKING","FCC",IF(OR($H1362="HYDROCRACKING",$H1362="RESID_HYDROCRACKING"),"Hydrocracker",IF($H1362="REFORMING","Reformer",""))))</f>
        <v/>
      </c>
      <c r="H1362" s="6" t="s">
        <v>435</v>
      </c>
      <c r="I1362" s="6" t="s">
        <v>686</v>
      </c>
      <c r="J1362" s="6" t="s">
        <v>349</v>
      </c>
      <c r="K1362" s="10">
        <v>1.65</v>
      </c>
      <c r="L1362" s="10">
        <v>55</v>
      </c>
      <c r="M1362" s="6" t="s">
        <v>371</v>
      </c>
    </row>
    <row r="1363" spans="1:13">
      <c r="A1363" s="6">
        <v>2023</v>
      </c>
      <c r="B1363" s="6">
        <v>5</v>
      </c>
      <c r="C1363" s="6" t="s">
        <v>63</v>
      </c>
      <c r="D1363" s="6" t="s">
        <v>788</v>
      </c>
      <c r="E1363" s="6" t="s">
        <v>405</v>
      </c>
      <c r="F1363" s="6" t="str">
        <f>IF($M1363="PADD I","PADD 1",IF($M1363="PADD II","PADD 2",IF($M1363="PADD III","PADD 3",IF($M1363="PADD IV","PADD 4",IF($M1363="PADD V","PADD 5","")))))</f>
        <v>PADD 3</v>
      </c>
      <c r="G1363" s="6">
        <f>IF(AND($H1363="ATMOS DISTILLATION",ISNUMBER(SEARCH("VPS",$I1363))=FALSE,LEFT($I1363,6)&lt;&gt;"VACUUM"),"CDU",IF($H1363="FLUID CAT CRACKING","FCC",IF(OR($H1363="HYDROCRACKING",$H1363="RESID_HYDROCRACKING"),"Hydrocracker",IF($H1363="REFORMING","Reformer",""))))</f>
        <v/>
      </c>
      <c r="H1363" s="6" t="s">
        <v>378</v>
      </c>
      <c r="I1363" s="6" t="s">
        <v>812</v>
      </c>
      <c r="J1363" s="6" t="s">
        <v>345</v>
      </c>
      <c r="K1363" s="10">
        <v>1.5</v>
      </c>
      <c r="L1363" s="10">
        <v>50</v>
      </c>
      <c r="M1363" s="6" t="s">
        <v>371</v>
      </c>
    </row>
    <row r="1364" spans="1:13">
      <c r="A1364" s="6">
        <v>2023</v>
      </c>
      <c r="B1364" s="6">
        <v>5</v>
      </c>
      <c r="C1364" s="6" t="s">
        <v>63</v>
      </c>
      <c r="D1364" s="6" t="s">
        <v>572</v>
      </c>
      <c r="E1364" s="6" t="s">
        <v>573</v>
      </c>
      <c r="F1364" s="6" t="str">
        <f>IF($M1364="PADD I","PADD 1",IF($M1364="PADD II","PADD 2",IF($M1364="PADD III","PADD 3",IF($M1364="PADD IV","PADD 4",IF($M1364="PADD V","PADD 5","")))))</f>
        <v>PADD 3</v>
      </c>
      <c r="G1364" s="6" t="str">
        <f>IF(AND($H1364="ATMOS DISTILLATION",ISNUMBER(SEARCH("VPS",$I1364))=FALSE,LEFT($I1364,6)&lt;&gt;"VACUUM"),"CDU",IF($H1364="FLUID CAT CRACKING","FCC",IF(OR($H1364="HYDROCRACKING",$H1364="RESID_HYDROCRACKING"),"Hydrocracker",IF($H1364="REFORMING","Reformer",""))))</f>
        <v>CDU</v>
      </c>
      <c r="H1364" s="6" t="s">
        <v>38</v>
      </c>
      <c r="I1364" s="6" t="s">
        <v>574</v>
      </c>
      <c r="J1364" s="6" t="s">
        <v>345</v>
      </c>
      <c r="K1364" s="10">
        <v>1.5</v>
      </c>
      <c r="L1364" s="10">
        <v>50</v>
      </c>
      <c r="M1364" s="6" t="s">
        <v>371</v>
      </c>
    </row>
    <row r="1365" spans="1:13">
      <c r="A1365" s="6">
        <v>2023</v>
      </c>
      <c r="B1365" s="6">
        <v>5</v>
      </c>
      <c r="C1365" s="6" t="s">
        <v>63</v>
      </c>
      <c r="D1365" s="6" t="s">
        <v>756</v>
      </c>
      <c r="E1365" s="6" t="s">
        <v>757</v>
      </c>
      <c r="F1365" s="6" t="str">
        <f>IF($M1365="PADD I","PADD 1",IF($M1365="PADD II","PADD 2",IF($M1365="PADD III","PADD 3",IF($M1365="PADD IV","PADD 4",IF($M1365="PADD V","PADD 5","")))))</f>
        <v>PADD 3</v>
      </c>
      <c r="G1365" s="6" t="str">
        <f>IF(AND($H1365="ATMOS DISTILLATION",ISNUMBER(SEARCH("VPS",$I1365))=FALSE,LEFT($I1365,6)&lt;&gt;"VACUUM"),"CDU",IF($H1365="FLUID CAT CRACKING","FCC",IF(OR($H1365="HYDROCRACKING",$H1365="RESID_HYDROCRACKING"),"Hydrocracker",IF($H1365="REFORMING","Reformer",""))))</f>
        <v>CDU</v>
      </c>
      <c r="H1365" s="6" t="s">
        <v>38</v>
      </c>
      <c r="I1365" s="6" t="s">
        <v>81</v>
      </c>
      <c r="J1365" s="6" t="s">
        <v>345</v>
      </c>
      <c r="K1365" s="10">
        <v>1.5</v>
      </c>
      <c r="L1365" s="10">
        <v>15</v>
      </c>
      <c r="M1365" s="6" t="s">
        <v>371</v>
      </c>
    </row>
    <row r="1366" spans="1:13">
      <c r="A1366" s="6">
        <v>2023</v>
      </c>
      <c r="B1366" s="6">
        <v>5</v>
      </c>
      <c r="C1366" s="6" t="s">
        <v>63</v>
      </c>
      <c r="D1366" s="6" t="s">
        <v>762</v>
      </c>
      <c r="E1366" s="6" t="s">
        <v>763</v>
      </c>
      <c r="F1366" s="6" t="str">
        <f>IF($M1366="PADD I","PADD 1",IF($M1366="PADD II","PADD 2",IF($M1366="PADD III","PADD 3",IF($M1366="PADD IV","PADD 4",IF($M1366="PADD V","PADD 5","")))))</f>
        <v>PADD 2</v>
      </c>
      <c r="G1366" s="6">
        <f>IF(AND($H1366="ATMOS DISTILLATION",ISNUMBER(SEARCH("VPS",$I1366))=FALSE,LEFT($I1366,6)&lt;&gt;"VACUUM"),"CDU",IF($H1366="FLUID CAT CRACKING","FCC",IF(OR($H1366="HYDROCRACKING",$H1366="RESID_HYDROCRACKING"),"Hydrocracker",IF($H1366="REFORMING","Reformer",""))))</f>
        <v/>
      </c>
      <c r="H1366" s="6" t="s">
        <v>460</v>
      </c>
      <c r="I1366" s="6" t="s">
        <v>616</v>
      </c>
      <c r="J1366" s="6" t="s">
        <v>345</v>
      </c>
      <c r="K1366" s="10">
        <v>1.45</v>
      </c>
      <c r="L1366" s="10">
        <v>5</v>
      </c>
      <c r="M1366" s="6" t="s">
        <v>375</v>
      </c>
    </row>
    <row r="1367" spans="1:13">
      <c r="A1367" s="6">
        <v>2023</v>
      </c>
      <c r="B1367" s="6">
        <v>5</v>
      </c>
      <c r="C1367" s="6" t="s">
        <v>63</v>
      </c>
      <c r="D1367" s="6" t="s">
        <v>732</v>
      </c>
      <c r="E1367" s="6" t="s">
        <v>733</v>
      </c>
      <c r="F1367" s="6" t="str">
        <f>IF($M1367="PADD I","PADD 1",IF($M1367="PADD II","PADD 2",IF($M1367="PADD III","PADD 3",IF($M1367="PADD IV","PADD 4",IF($M1367="PADD V","PADD 5","")))))</f>
        <v>PADD 4</v>
      </c>
      <c r="G1367" s="6">
        <f>IF(AND($H1367="ATMOS DISTILLATION",ISNUMBER(SEARCH("VPS",$I1367))=FALSE,LEFT($I1367,6)&lt;&gt;"VACUUM"),"CDU",IF($H1367="FLUID CAT CRACKING","FCC",IF(OR($H1367="HYDROCRACKING",$H1367="RESID_HYDROCRACKING"),"Hydrocracker",IF($H1367="REFORMING","Reformer",""))))</f>
        <v/>
      </c>
      <c r="H1367" s="6" t="s">
        <v>460</v>
      </c>
      <c r="I1367" s="6" t="s">
        <v>616</v>
      </c>
      <c r="J1367" s="6" t="s">
        <v>349</v>
      </c>
      <c r="K1367" s="10">
        <v>1.376</v>
      </c>
      <c r="L1367" s="10">
        <v>4.3</v>
      </c>
      <c r="M1367" s="6" t="s">
        <v>430</v>
      </c>
    </row>
    <row r="1368" spans="1:13">
      <c r="A1368" s="6">
        <v>2023</v>
      </c>
      <c r="B1368" s="6">
        <v>5</v>
      </c>
      <c r="C1368" s="6" t="s">
        <v>63</v>
      </c>
      <c r="D1368" s="6" t="s">
        <v>333</v>
      </c>
      <c r="E1368" s="6" t="s">
        <v>381</v>
      </c>
      <c r="F1368" s="6" t="str">
        <f>IF($M1368="PADD I","PADD 1",IF($M1368="PADD II","PADD 2",IF($M1368="PADD III","PADD 3",IF($M1368="PADD IV","PADD 4",IF($M1368="PADD V","PADD 5","")))))</f>
        <v>PADD 3</v>
      </c>
      <c r="G1368" s="6">
        <f>IF(AND($H1368="ATMOS DISTILLATION",ISNUMBER(SEARCH("VPS",$I1368))=FALSE,LEFT($I1368,6)&lt;&gt;"VACUUM"),"CDU",IF($H1368="FLUID CAT CRACKING","FCC",IF(OR($H1368="HYDROCRACKING",$H1368="RESID_HYDROCRACKING"),"Hydrocracker",IF($H1368="REFORMING","Reformer",""))))</f>
        <v/>
      </c>
      <c r="H1368" s="6" t="s">
        <v>43</v>
      </c>
      <c r="I1368" s="6" t="s">
        <v>869</v>
      </c>
      <c r="J1368" s="6" t="s">
        <v>345</v>
      </c>
      <c r="K1368" s="10">
        <v>1.35</v>
      </c>
      <c r="L1368" s="10">
        <v>45</v>
      </c>
      <c r="M1368" s="6" t="s">
        <v>371</v>
      </c>
    </row>
    <row r="1369" spans="1:13">
      <c r="A1369" s="6">
        <v>2023</v>
      </c>
      <c r="B1369" s="6">
        <v>5</v>
      </c>
      <c r="C1369" s="6" t="s">
        <v>63</v>
      </c>
      <c r="D1369" s="6" t="s">
        <v>526</v>
      </c>
      <c r="E1369" s="6" t="s">
        <v>405</v>
      </c>
      <c r="F1369" s="6" t="str">
        <f>IF($M1369="PADD I","PADD 1",IF($M1369="PADD II","PADD 2",IF($M1369="PADD III","PADD 3",IF($M1369="PADD IV","PADD 4",IF($M1369="PADD V","PADD 5","")))))</f>
        <v>PADD 3</v>
      </c>
      <c r="G1369" s="6" t="str">
        <f>IF(AND($H1369="ATMOS DISTILLATION",ISNUMBER(SEARCH("VPS",$I1369))=FALSE,LEFT($I1369,6)&lt;&gt;"VACUUM"),"CDU",IF($H1369="FLUID CAT CRACKING","FCC",IF(OR($H1369="HYDROCRACKING",$H1369="RESID_HYDROCRACKING"),"Hydrocracker",IF($H1369="REFORMING","Reformer",""))))</f>
        <v>Hydrocracker</v>
      </c>
      <c r="H1369" s="6" t="s">
        <v>444</v>
      </c>
      <c r="I1369" s="6" t="s">
        <v>527</v>
      </c>
      <c r="J1369" s="6" t="s">
        <v>345</v>
      </c>
      <c r="K1369" s="10">
        <v>1.35</v>
      </c>
      <c r="L1369" s="10">
        <v>45</v>
      </c>
      <c r="M1369" s="6" t="s">
        <v>371</v>
      </c>
    </row>
    <row r="1370" spans="1:13">
      <c r="A1370" s="6">
        <v>2023</v>
      </c>
      <c r="B1370" s="6">
        <v>5</v>
      </c>
      <c r="C1370" s="6" t="s">
        <v>63</v>
      </c>
      <c r="D1370" s="6" t="s">
        <v>714</v>
      </c>
      <c r="E1370" s="6" t="s">
        <v>405</v>
      </c>
      <c r="F1370" s="6" t="str">
        <f>IF($M1370="PADD I","PADD 1",IF($M1370="PADD II","PADD 2",IF($M1370="PADD III","PADD 3",IF($M1370="PADD IV","PADD 4",IF($M1370="PADD V","PADD 5","")))))</f>
        <v>PADD 3</v>
      </c>
      <c r="G1370" s="6">
        <f>IF(AND($H1370="ATMOS DISTILLATION",ISNUMBER(SEARCH("VPS",$I1370))=FALSE,LEFT($I1370,6)&lt;&gt;"VACUUM"),"CDU",IF($H1370="FLUID CAT CRACKING","FCC",IF(OR($H1370="HYDROCRACKING",$H1370="RESID_HYDROCRACKING"),"Hydrocracker",IF($H1370="REFORMING","Reformer",""))))</f>
        <v/>
      </c>
      <c r="H1370" s="6" t="s">
        <v>460</v>
      </c>
      <c r="I1370" s="6" t="s">
        <v>461</v>
      </c>
      <c r="J1370" s="6" t="s">
        <v>345</v>
      </c>
      <c r="K1370" s="10">
        <v>1.235</v>
      </c>
      <c r="L1370" s="10">
        <v>9.5</v>
      </c>
      <c r="M1370" s="6" t="s">
        <v>371</v>
      </c>
    </row>
    <row r="1371" spans="1:13">
      <c r="A1371" s="6">
        <v>2023</v>
      </c>
      <c r="B1371" s="6">
        <v>5</v>
      </c>
      <c r="C1371" s="6" t="s">
        <v>63</v>
      </c>
      <c r="D1371" s="6" t="s">
        <v>865</v>
      </c>
      <c r="E1371" s="6" t="s">
        <v>369</v>
      </c>
      <c r="F1371" s="6" t="str">
        <f>IF($M1371="PADD I","PADD 1",IF($M1371="PADD II","PADD 2",IF($M1371="PADD III","PADD 3",IF($M1371="PADD IV","PADD 4",IF($M1371="PADD V","PADD 5","")))))</f>
        <v>PADD 4</v>
      </c>
      <c r="G1371" s="6">
        <f>IF(AND($H1371="ATMOS DISTILLATION",ISNUMBER(SEARCH("VPS",$I1371))=FALSE,LEFT($I1371,6)&lt;&gt;"VACUUM"),"CDU",IF($H1371="FLUID CAT CRACKING","FCC",IF(OR($H1371="HYDROCRACKING",$H1371="RESID_HYDROCRACKING"),"Hydrocracker",IF($H1371="REFORMING","Reformer",""))))</f>
        <v/>
      </c>
      <c r="H1371" s="6" t="s">
        <v>435</v>
      </c>
      <c r="I1371" s="6" t="s">
        <v>870</v>
      </c>
      <c r="J1371" s="6" t="s">
        <v>345</v>
      </c>
      <c r="K1371" s="10">
        <v>1.2</v>
      </c>
      <c r="L1371" s="10">
        <v>20</v>
      </c>
      <c r="M1371" s="6" t="s">
        <v>430</v>
      </c>
    </row>
    <row r="1372" spans="1:13">
      <c r="A1372" s="6">
        <v>2023</v>
      </c>
      <c r="B1372" s="6">
        <v>5</v>
      </c>
      <c r="C1372" s="6" t="s">
        <v>63</v>
      </c>
      <c r="D1372" s="6" t="s">
        <v>803</v>
      </c>
      <c r="E1372" s="6" t="s">
        <v>388</v>
      </c>
      <c r="F1372" s="6" t="str">
        <f>IF($M1372="PADD I","PADD 1",IF($M1372="PADD II","PADD 2",IF($M1372="PADD III","PADD 3",IF($M1372="PADD IV","PADD 4",IF($M1372="PADD V","PADD 5","")))))</f>
        <v>PADD 2</v>
      </c>
      <c r="G1372" s="6">
        <f>IF(AND($H1372="ATMOS DISTILLATION",ISNUMBER(SEARCH("VPS",$I1372))=FALSE,LEFT($I1372,6)&lt;&gt;"VACUUM"),"CDU",IF($H1372="FLUID CAT CRACKING","FCC",IF(OR($H1372="HYDROCRACKING",$H1372="RESID_HYDROCRACKING"),"Hydrocracker",IF($H1372="REFORMING","Reformer",""))))</f>
        <v/>
      </c>
      <c r="H1372" s="6" t="s">
        <v>460</v>
      </c>
      <c r="I1372" s="6" t="s">
        <v>616</v>
      </c>
      <c r="J1372" s="6" t="s">
        <v>345</v>
      </c>
      <c r="K1372" s="10">
        <v>1.15</v>
      </c>
      <c r="L1372" s="10">
        <v>5</v>
      </c>
      <c r="M1372" s="6" t="s">
        <v>375</v>
      </c>
    </row>
    <row r="1373" spans="1:13">
      <c r="A1373" s="6">
        <v>2023</v>
      </c>
      <c r="B1373" s="6">
        <v>5</v>
      </c>
      <c r="C1373" s="6" t="s">
        <v>63</v>
      </c>
      <c r="D1373" s="6" t="s">
        <v>871</v>
      </c>
      <c r="E1373" s="6" t="s">
        <v>872</v>
      </c>
      <c r="F1373" s="6" t="str">
        <f>IF($M1373="PADD I","PADD 1",IF($M1373="PADD II","PADD 2",IF($M1373="PADD III","PADD 3",IF($M1373="PADD IV","PADD 4",IF($M1373="PADD V","PADD 5","")))))</f>
        <v>PADD 4</v>
      </c>
      <c r="G1373" s="6" t="str">
        <f>IF(AND($H1373="ATMOS DISTILLATION",ISNUMBER(SEARCH("VPS",$I1373))=FALSE,LEFT($I1373,6)&lt;&gt;"VACUUM"),"CDU",IF($H1373="FLUID CAT CRACKING","FCC",IF(OR($H1373="HYDROCRACKING",$H1373="RESID_HYDROCRACKING"),"Hydrocracker",IF($H1373="REFORMING","Reformer",""))))</f>
        <v>CDU</v>
      </c>
      <c r="H1373" s="6" t="s">
        <v>38</v>
      </c>
      <c r="I1373" s="6" t="s">
        <v>81</v>
      </c>
      <c r="J1373" s="6" t="s">
        <v>349</v>
      </c>
      <c r="K1373" s="10">
        <v>1.088</v>
      </c>
      <c r="L1373" s="10">
        <v>3.4</v>
      </c>
      <c r="M1373" s="6" t="s">
        <v>430</v>
      </c>
    </row>
    <row r="1374" spans="1:13">
      <c r="A1374" s="6">
        <v>2023</v>
      </c>
      <c r="B1374" s="6">
        <v>5</v>
      </c>
      <c r="C1374" s="6" t="s">
        <v>63</v>
      </c>
      <c r="D1374" s="6" t="s">
        <v>788</v>
      </c>
      <c r="E1374" s="6" t="s">
        <v>405</v>
      </c>
      <c r="F1374" s="6" t="str">
        <f>IF($M1374="PADD I","PADD 1",IF($M1374="PADD II","PADD 2",IF($M1374="PADD III","PADD 3",IF($M1374="PADD IV","PADD 4",IF($M1374="PADD V","PADD 5","")))))</f>
        <v>PADD 3</v>
      </c>
      <c r="G1374" s="6">
        <f>IF(AND($H1374="ATMOS DISTILLATION",ISNUMBER(SEARCH("VPS",$I1374))=FALSE,LEFT($I1374,6)&lt;&gt;"VACUUM"),"CDU",IF($H1374="FLUID CAT CRACKING","FCC",IF(OR($H1374="HYDROCRACKING",$H1374="RESID_HYDROCRACKING"),"Hydrocracker",IF($H1374="REFORMING","Reformer",""))))</f>
        <v/>
      </c>
      <c r="H1374" s="6" t="s">
        <v>43</v>
      </c>
      <c r="I1374" s="6" t="s">
        <v>829</v>
      </c>
      <c r="J1374" s="6" t="s">
        <v>345</v>
      </c>
      <c r="K1374" s="10">
        <v>1.08</v>
      </c>
      <c r="L1374" s="10">
        <v>18</v>
      </c>
      <c r="M1374" s="6" t="s">
        <v>371</v>
      </c>
    </row>
    <row r="1375" spans="1:13">
      <c r="A1375" s="6">
        <v>2023</v>
      </c>
      <c r="B1375" s="6">
        <v>5</v>
      </c>
      <c r="C1375" s="6" t="s">
        <v>63</v>
      </c>
      <c r="D1375" s="6" t="s">
        <v>871</v>
      </c>
      <c r="E1375" s="6" t="s">
        <v>872</v>
      </c>
      <c r="F1375" s="6" t="str">
        <f>IF($M1375="PADD I","PADD 1",IF($M1375="PADD II","PADD 2",IF($M1375="PADD III","PADD 3",IF($M1375="PADD IV","PADD 4",IF($M1375="PADD V","PADD 5","")))))</f>
        <v>PADD 4</v>
      </c>
      <c r="G1375" s="6">
        <f>IF(AND($H1375="ATMOS DISTILLATION",ISNUMBER(SEARCH("VPS",$I1375))=FALSE,LEFT($I1375,6)&lt;&gt;"VACUUM"),"CDU",IF($H1375="FLUID CAT CRACKING","FCC",IF(OR($H1375="HYDROCRACKING",$H1375="RESID_HYDROCRACKING"),"Hydrocracker",IF($H1375="REFORMING","Reformer",""))))</f>
        <v/>
      </c>
      <c r="H1375" s="6" t="s">
        <v>43</v>
      </c>
      <c r="I1375" s="6" t="s">
        <v>873</v>
      </c>
      <c r="J1375" s="6" t="s">
        <v>349</v>
      </c>
      <c r="K1375" s="10">
        <v>0.96</v>
      </c>
      <c r="L1375" s="10">
        <v>3</v>
      </c>
      <c r="M1375" s="6" t="s">
        <v>430</v>
      </c>
    </row>
    <row r="1376" spans="1:13">
      <c r="A1376" s="6">
        <v>2023</v>
      </c>
      <c r="B1376" s="6">
        <v>5</v>
      </c>
      <c r="C1376" s="6" t="s">
        <v>63</v>
      </c>
      <c r="D1376" s="6" t="s">
        <v>871</v>
      </c>
      <c r="E1376" s="6" t="s">
        <v>872</v>
      </c>
      <c r="F1376" s="6" t="str">
        <f>IF($M1376="PADD I","PADD 1",IF($M1376="PADD II","PADD 2",IF($M1376="PADD III","PADD 3",IF($M1376="PADD IV","PADD 4",IF($M1376="PADD V","PADD 5","")))))</f>
        <v>PADD 4</v>
      </c>
      <c r="G1376" s="6" t="str">
        <f>IF(AND($H1376="ATMOS DISTILLATION",ISNUMBER(SEARCH("VPS",$I1376))=FALSE,LEFT($I1376,6)&lt;&gt;"VACUUM"),"CDU",IF($H1376="FLUID CAT CRACKING","FCC",IF(OR($H1376="HYDROCRACKING",$H1376="RESID_HYDROCRACKING"),"Hydrocracker",IF($H1376="REFORMING","Reformer",""))))</f>
        <v>Reformer</v>
      </c>
      <c r="H1376" s="6" t="s">
        <v>421</v>
      </c>
      <c r="I1376" s="6" t="s">
        <v>15</v>
      </c>
      <c r="J1376" s="6" t="s">
        <v>349</v>
      </c>
      <c r="K1376" s="10">
        <v>0.96</v>
      </c>
      <c r="L1376" s="10">
        <v>3</v>
      </c>
      <c r="M1376" s="6" t="s">
        <v>430</v>
      </c>
    </row>
    <row r="1377" spans="1:13">
      <c r="A1377" s="6">
        <v>2023</v>
      </c>
      <c r="B1377" s="6">
        <v>5</v>
      </c>
      <c r="C1377" s="6" t="s">
        <v>63</v>
      </c>
      <c r="D1377" s="6" t="s">
        <v>788</v>
      </c>
      <c r="E1377" s="6" t="s">
        <v>405</v>
      </c>
      <c r="F1377" s="6" t="str">
        <f>IF($M1377="PADD I","PADD 1",IF($M1377="PADD II","PADD 2",IF($M1377="PADD III","PADD 3",IF($M1377="PADD IV","PADD 4",IF($M1377="PADD V","PADD 5","")))))</f>
        <v>PADD 3</v>
      </c>
      <c r="G1377" s="6" t="str">
        <f>IF(AND($H1377="ATMOS DISTILLATION",ISNUMBER(SEARCH("VPS",$I1377))=FALSE,LEFT($I1377,6)&lt;&gt;"VACUUM"),"CDU",IF($H1377="FLUID CAT CRACKING","FCC",IF(OR($H1377="HYDROCRACKING",$H1377="RESID_HYDROCRACKING"),"Hydrocracker",IF($H1377="REFORMING","Reformer",""))))</f>
        <v>Reformer</v>
      </c>
      <c r="H1377" s="6" t="s">
        <v>421</v>
      </c>
      <c r="I1377" s="6" t="s">
        <v>782</v>
      </c>
      <c r="J1377" s="6" t="s">
        <v>345</v>
      </c>
      <c r="K1377" s="10">
        <v>0.96</v>
      </c>
      <c r="L1377" s="10">
        <v>32</v>
      </c>
      <c r="M1377" s="6" t="s">
        <v>371</v>
      </c>
    </row>
    <row r="1378" spans="1:13">
      <c r="A1378" s="6">
        <v>2023</v>
      </c>
      <c r="B1378" s="6">
        <v>5</v>
      </c>
      <c r="C1378" s="6" t="s">
        <v>63</v>
      </c>
      <c r="D1378" s="6" t="s">
        <v>468</v>
      </c>
      <c r="E1378" s="6" t="s">
        <v>369</v>
      </c>
      <c r="F1378" s="6" t="str">
        <f>IF($M1378="PADD I","PADD 1",IF($M1378="PADD II","PADD 2",IF($M1378="PADD III","PADD 3",IF($M1378="PADD IV","PADD 4",IF($M1378="PADD V","PADD 5","")))))</f>
        <v>PADD 3</v>
      </c>
      <c r="G1378" s="6" t="str">
        <f>IF(AND($H1378="ATMOS DISTILLATION",ISNUMBER(SEARCH("VPS",$I1378))=FALSE,LEFT($I1378,6)&lt;&gt;"VACUUM"),"CDU",IF($H1378="FLUID CAT CRACKING","FCC",IF(OR($H1378="HYDROCRACKING",$H1378="RESID_HYDROCRACKING"),"Hydrocracker",IF($H1378="REFORMING","Reformer",""))))</f>
        <v>FCC</v>
      </c>
      <c r="H1378" s="6" t="s">
        <v>376</v>
      </c>
      <c r="I1378" s="6" t="s">
        <v>473</v>
      </c>
      <c r="J1378" s="6" t="s">
        <v>345</v>
      </c>
      <c r="K1378" s="10">
        <v>0.9</v>
      </c>
      <c r="L1378" s="10">
        <v>30</v>
      </c>
      <c r="M1378" s="6" t="s">
        <v>371</v>
      </c>
    </row>
    <row r="1379" spans="1:13">
      <c r="A1379" s="6">
        <v>2023</v>
      </c>
      <c r="B1379" s="6">
        <v>5</v>
      </c>
      <c r="C1379" s="6" t="s">
        <v>63</v>
      </c>
      <c r="D1379" s="6" t="s">
        <v>788</v>
      </c>
      <c r="E1379" s="6" t="s">
        <v>405</v>
      </c>
      <c r="F1379" s="6" t="str">
        <f>IF($M1379="PADD I","PADD 1",IF($M1379="PADD II","PADD 2",IF($M1379="PADD III","PADD 3",IF($M1379="PADD IV","PADD 4",IF($M1379="PADD V","PADD 5","")))))</f>
        <v>PADD 3</v>
      </c>
      <c r="G1379" s="6">
        <f>IF(AND($H1379="ATMOS DISTILLATION",ISNUMBER(SEARCH("VPS",$I1379))=FALSE,LEFT($I1379,6)&lt;&gt;"VACUUM"),"CDU",IF($H1379="FLUID CAT CRACKING","FCC",IF(OR($H1379="HYDROCRACKING",$H1379="RESID_HYDROCRACKING"),"Hydrocracker",IF($H1379="REFORMING","Reformer",""))))</f>
        <v/>
      </c>
      <c r="H1379" s="6" t="s">
        <v>43</v>
      </c>
      <c r="I1379" s="6" t="s">
        <v>838</v>
      </c>
      <c r="J1379" s="6" t="s">
        <v>345</v>
      </c>
      <c r="K1379" s="10">
        <v>0.72</v>
      </c>
      <c r="L1379" s="10">
        <v>12</v>
      </c>
      <c r="M1379" s="6" t="s">
        <v>371</v>
      </c>
    </row>
    <row r="1380" spans="1:13">
      <c r="A1380" s="6">
        <v>2023</v>
      </c>
      <c r="B1380" s="6">
        <v>5</v>
      </c>
      <c r="C1380" s="6" t="s">
        <v>63</v>
      </c>
      <c r="D1380" s="6" t="s">
        <v>630</v>
      </c>
      <c r="E1380" s="6" t="s">
        <v>491</v>
      </c>
      <c r="F1380" s="6" t="str">
        <f>IF($M1380="PADD I","PADD 1",IF($M1380="PADD II","PADD 2",IF($M1380="PADD III","PADD 3",IF($M1380="PADD IV","PADD 4",IF($M1380="PADD V","PADD 5","")))))</f>
        <v>PADD 3</v>
      </c>
      <c r="G1380" s="6">
        <f>IF(AND($H1380="ATMOS DISTILLATION",ISNUMBER(SEARCH("VPS",$I1380))=FALSE,LEFT($I1380,6)&lt;&gt;"VACUUM"),"CDU",IF($H1380="FLUID CAT CRACKING","FCC",IF(OR($H1380="HYDROCRACKING",$H1380="RESID_HYDROCRACKING"),"Hydrocracker",IF($H1380="REFORMING","Reformer",""))))</f>
        <v/>
      </c>
      <c r="H1380" s="6" t="s">
        <v>43</v>
      </c>
      <c r="I1380" s="6" t="s">
        <v>464</v>
      </c>
      <c r="J1380" s="6" t="s">
        <v>345</v>
      </c>
      <c r="K1380" s="10">
        <v>0.72</v>
      </c>
      <c r="L1380" s="10">
        <v>12</v>
      </c>
      <c r="M1380" s="6" t="s">
        <v>371</v>
      </c>
    </row>
    <row r="1381" spans="1:13">
      <c r="A1381" s="6">
        <v>2023</v>
      </c>
      <c r="B1381" s="6">
        <v>5</v>
      </c>
      <c r="C1381" s="6" t="s">
        <v>63</v>
      </c>
      <c r="D1381" s="6" t="s">
        <v>732</v>
      </c>
      <c r="E1381" s="6" t="s">
        <v>733</v>
      </c>
      <c r="F1381" s="6" t="str">
        <f>IF($M1381="PADD I","PADD 1",IF($M1381="PADD II","PADD 2",IF($M1381="PADD III","PADD 3",IF($M1381="PADD IV","PADD 4",IF($M1381="PADD V","PADD 5","")))))</f>
        <v>PADD 4</v>
      </c>
      <c r="G1381" s="6">
        <f>IF(AND($H1381="ATMOS DISTILLATION",ISNUMBER(SEARCH("VPS",$I1381))=FALSE,LEFT($I1381,6)&lt;&gt;"VACUUM"),"CDU",IF($H1381="FLUID CAT CRACKING","FCC",IF(OR($H1381="HYDROCRACKING",$H1381="RESID_HYDROCRACKING"),"Hydrocracker",IF($H1381="REFORMING","Reformer",""))))</f>
        <v/>
      </c>
      <c r="H1381" s="6" t="s">
        <v>568</v>
      </c>
      <c r="I1381" s="6" t="s">
        <v>768</v>
      </c>
      <c r="J1381" s="6" t="s">
        <v>349</v>
      </c>
      <c r="K1381" s="10">
        <v>0.4</v>
      </c>
      <c r="L1381" s="10">
        <v>1.25</v>
      </c>
      <c r="M1381" s="6" t="s">
        <v>430</v>
      </c>
    </row>
    <row r="1382" spans="1:13">
      <c r="A1382" s="6">
        <v>2023</v>
      </c>
      <c r="B1382" s="6">
        <v>6</v>
      </c>
      <c r="C1382" s="6" t="s">
        <v>64</v>
      </c>
      <c r="D1382" s="6" t="s">
        <v>411</v>
      </c>
      <c r="E1382" s="6" t="s">
        <v>369</v>
      </c>
      <c r="F1382" s="6" t="str">
        <f>IF($M1382="PADD I","PADD 1",IF($M1382="PADD II","PADD 2",IF($M1382="PADD III","PADD 3",IF($M1382="PADD IV","PADD 4",IF($M1382="PADD V","PADD 5","")))))</f>
        <v>PADD 1</v>
      </c>
      <c r="G1382" s="6" t="str">
        <f>IF(AND($H1382="ATMOS DISTILLATION",ISNUMBER(SEARCH("VPS",$I1382))=FALSE,LEFT($I1382,6)&lt;&gt;"VACUUM"),"CDU",IF($H1382="FLUID CAT CRACKING","FCC",IF(OR($H1382="HYDROCRACKING",$H1382="RESID_HYDROCRACKING"),"Hydrocracker",IF($H1382="REFORMING","Reformer",""))))</f>
        <v>FCC</v>
      </c>
      <c r="H1382" s="6" t="s">
        <v>376</v>
      </c>
      <c r="I1382" s="6" t="s">
        <v>105</v>
      </c>
      <c r="J1382" s="6" t="s">
        <v>345</v>
      </c>
      <c r="K1382" s="10">
        <v>94.5</v>
      </c>
      <c r="L1382" s="10">
        <v>150</v>
      </c>
      <c r="M1382" s="6" t="s">
        <v>413</v>
      </c>
    </row>
    <row r="1383" spans="1:13">
      <c r="A1383" s="6">
        <v>2023</v>
      </c>
      <c r="B1383" s="6">
        <v>6</v>
      </c>
      <c r="C1383" s="6" t="s">
        <v>64</v>
      </c>
      <c r="D1383" s="6" t="s">
        <v>612</v>
      </c>
      <c r="E1383" s="6" t="s">
        <v>416</v>
      </c>
      <c r="F1383" s="6" t="str">
        <f>IF($M1383="PADD I","PADD 1",IF($M1383="PADD II","PADD 2",IF($M1383="PADD III","PADD 3",IF($M1383="PADD IV","PADD 4",IF($M1383="PADD V","PADD 5","")))))</f>
        <v>PADD 3</v>
      </c>
      <c r="G1383" s="6" t="str">
        <f>IF(AND($H1383="ATMOS DISTILLATION",ISNUMBER(SEARCH("VPS",$I1383))=FALSE,LEFT($I1383,6)&lt;&gt;"VACUUM"),"CDU",IF($H1383="FLUID CAT CRACKING","FCC",IF(OR($H1383="HYDROCRACKING",$H1383="RESID_HYDROCRACKING"),"Hydrocracker",IF($H1383="REFORMING","Reformer",""))))</f>
        <v>CDU</v>
      </c>
      <c r="H1383" s="6" t="s">
        <v>38</v>
      </c>
      <c r="I1383" s="6" t="s">
        <v>81</v>
      </c>
      <c r="J1383" s="6" t="s">
        <v>349</v>
      </c>
      <c r="K1383" s="10">
        <v>94.05</v>
      </c>
      <c r="L1383" s="10">
        <v>165</v>
      </c>
      <c r="M1383" s="6" t="s">
        <v>371</v>
      </c>
    </row>
    <row r="1384" spans="1:13">
      <c r="A1384" s="6">
        <v>2023</v>
      </c>
      <c r="B1384" s="6">
        <v>6</v>
      </c>
      <c r="C1384" s="6" t="s">
        <v>64</v>
      </c>
      <c r="D1384" s="6" t="s">
        <v>387</v>
      </c>
      <c r="E1384" s="6" t="s">
        <v>388</v>
      </c>
      <c r="F1384" s="6" t="str">
        <f>IF($M1384="PADD I","PADD 1",IF($M1384="PADD II","PADD 2",IF($M1384="PADD III","PADD 3",IF($M1384="PADD IV","PADD 4",IF($M1384="PADD V","PADD 5","")))))</f>
        <v>PADD 3</v>
      </c>
      <c r="G1384" s="6" t="str">
        <f>IF(AND($H1384="ATMOS DISTILLATION",ISNUMBER(SEARCH("VPS",$I1384))=FALSE,LEFT($I1384,6)&lt;&gt;"VACUUM"),"CDU",IF($H1384="FLUID CAT CRACKING","FCC",IF(OR($H1384="HYDROCRACKING",$H1384="RESID_HYDROCRACKING"),"Hydrocracker",IF($H1384="REFORMING","Reformer",""))))</f>
        <v>Reformer</v>
      </c>
      <c r="H1384" s="6" t="s">
        <v>421</v>
      </c>
      <c r="I1384" s="6" t="s">
        <v>443</v>
      </c>
      <c r="J1384" s="6" t="s">
        <v>345</v>
      </c>
      <c r="K1384" s="10">
        <v>77.5</v>
      </c>
      <c r="L1384" s="10">
        <v>77.5</v>
      </c>
      <c r="M1384" s="6" t="s">
        <v>371</v>
      </c>
    </row>
    <row r="1385" spans="1:13">
      <c r="A1385" s="6">
        <v>2023</v>
      </c>
      <c r="B1385" s="6">
        <v>6</v>
      </c>
      <c r="C1385" s="6" t="s">
        <v>64</v>
      </c>
      <c r="D1385" s="6" t="s">
        <v>851</v>
      </c>
      <c r="E1385" s="6" t="s">
        <v>852</v>
      </c>
      <c r="F1385" s="6" t="str">
        <f>IF($M1385="PADD I","PADD 1",IF($M1385="PADD II","PADD 2",IF($M1385="PADD III","PADD 3",IF($M1385="PADD IV","PADD 4",IF($M1385="PADD V","PADD 5","")))))</f>
        <v>PADD 3</v>
      </c>
      <c r="G1385" s="6" t="str">
        <f>IF(AND($H1385="ATMOS DISTILLATION",ISNUMBER(SEARCH("VPS",$I1385))=FALSE,LEFT($I1385,6)&lt;&gt;"VACUUM"),"CDU",IF($H1385="FLUID CAT CRACKING","FCC",IF(OR($H1385="HYDROCRACKING",$H1385="RESID_HYDROCRACKING"),"Hydrocracker",IF($H1385="REFORMING","Reformer",""))))</f>
        <v>CDU</v>
      </c>
      <c r="H1385" s="6" t="s">
        <v>38</v>
      </c>
      <c r="I1385" s="6" t="s">
        <v>854</v>
      </c>
      <c r="J1385" s="6" t="s">
        <v>345</v>
      </c>
      <c r="K1385" s="10">
        <v>67.89</v>
      </c>
      <c r="L1385" s="10">
        <v>73</v>
      </c>
      <c r="M1385" s="6" t="s">
        <v>371</v>
      </c>
    </row>
    <row r="1386" spans="1:13">
      <c r="A1386" s="6">
        <v>2023</v>
      </c>
      <c r="B1386" s="6">
        <v>6</v>
      </c>
      <c r="C1386" s="6" t="s">
        <v>64</v>
      </c>
      <c r="D1386" s="6" t="s">
        <v>851</v>
      </c>
      <c r="E1386" s="6" t="s">
        <v>852</v>
      </c>
      <c r="F1386" s="6" t="str">
        <f>IF($M1386="PADD I","PADD 1",IF($M1386="PADD II","PADD 2",IF($M1386="PADD III","PADD 3",IF($M1386="PADD IV","PADD 4",IF($M1386="PADD V","PADD 5","")))))</f>
        <v>PADD 3</v>
      </c>
      <c r="G1386" s="6" t="str">
        <f>IF(AND($H1386="ATMOS DISTILLATION",ISNUMBER(SEARCH("VPS",$I1386))=FALSE,LEFT($I1386,6)&lt;&gt;"VACUUM"),"CDU",IF($H1386="FLUID CAT CRACKING","FCC",IF(OR($H1386="HYDROCRACKING",$H1386="RESID_HYDROCRACKING"),"Hydrocracker",IF($H1386="REFORMING","Reformer",""))))</f>
        <v>CDU</v>
      </c>
      <c r="H1386" s="6" t="s">
        <v>38</v>
      </c>
      <c r="I1386" s="6" t="s">
        <v>853</v>
      </c>
      <c r="J1386" s="6" t="s">
        <v>345</v>
      </c>
      <c r="K1386" s="10">
        <v>60.45</v>
      </c>
      <c r="L1386" s="10">
        <v>65</v>
      </c>
      <c r="M1386" s="6" t="s">
        <v>371</v>
      </c>
    </row>
    <row r="1387" spans="1:13">
      <c r="A1387" s="6">
        <v>2023</v>
      </c>
      <c r="B1387" s="6">
        <v>6</v>
      </c>
      <c r="C1387" s="6" t="s">
        <v>64</v>
      </c>
      <c r="D1387" s="6" t="s">
        <v>851</v>
      </c>
      <c r="E1387" s="6" t="s">
        <v>852</v>
      </c>
      <c r="F1387" s="6" t="str">
        <f>IF($M1387="PADD I","PADD 1",IF($M1387="PADD II","PADD 2",IF($M1387="PADD III","PADD 3",IF($M1387="PADD IV","PADD 4",IF($M1387="PADD V","PADD 5","")))))</f>
        <v>PADD 3</v>
      </c>
      <c r="G1387" s="6" t="str">
        <f>IF(AND($H1387="ATMOS DISTILLATION",ISNUMBER(SEARCH("VPS",$I1387))=FALSE,LEFT($I1387,6)&lt;&gt;"VACUUM"),"CDU",IF($H1387="FLUID CAT CRACKING","FCC",IF(OR($H1387="HYDROCRACKING",$H1387="RESID_HYDROCRACKING"),"Hydrocracker",IF($H1387="REFORMING","Reformer",""))))</f>
        <v>CDU</v>
      </c>
      <c r="H1387" s="6" t="s">
        <v>38</v>
      </c>
      <c r="I1387" s="6" t="s">
        <v>854</v>
      </c>
      <c r="J1387" s="6" t="s">
        <v>345</v>
      </c>
      <c r="K1387" s="10">
        <v>60.45</v>
      </c>
      <c r="L1387" s="10">
        <v>65</v>
      </c>
      <c r="M1387" s="6" t="s">
        <v>371</v>
      </c>
    </row>
    <row r="1388" spans="1:13">
      <c r="A1388" s="6">
        <v>2023</v>
      </c>
      <c r="B1388" s="6">
        <v>6</v>
      </c>
      <c r="C1388" s="6" t="s">
        <v>64</v>
      </c>
      <c r="D1388" s="6" t="s">
        <v>387</v>
      </c>
      <c r="E1388" s="6" t="s">
        <v>388</v>
      </c>
      <c r="F1388" s="6" t="str">
        <f>IF($M1388="PADD I","PADD 1",IF($M1388="PADD II","PADD 2",IF($M1388="PADD III","PADD 3",IF($M1388="PADD IV","PADD 4",IF($M1388="PADD V","PADD 5","")))))</f>
        <v>PADD 3</v>
      </c>
      <c r="G1388" s="6" t="str">
        <f>IF(AND($H1388="ATMOS DISTILLATION",ISNUMBER(SEARCH("VPS",$I1388))=FALSE,LEFT($I1388,6)&lt;&gt;"VACUUM"),"CDU",IF($H1388="FLUID CAT CRACKING","FCC",IF(OR($H1388="HYDROCRACKING",$H1388="RESID_HYDROCRACKING"),"Hydrocracker",IF($H1388="REFORMING","Reformer",""))))</f>
        <v>CDU</v>
      </c>
      <c r="H1388" s="6" t="s">
        <v>38</v>
      </c>
      <c r="I1388" s="6" t="s">
        <v>389</v>
      </c>
      <c r="J1388" s="6" t="s">
        <v>345</v>
      </c>
      <c r="K1388" s="10">
        <v>53</v>
      </c>
      <c r="L1388" s="10">
        <v>265</v>
      </c>
      <c r="M1388" s="6" t="s">
        <v>371</v>
      </c>
    </row>
    <row r="1389" spans="1:13">
      <c r="A1389" s="6">
        <v>2023</v>
      </c>
      <c r="B1389" s="6">
        <v>6</v>
      </c>
      <c r="C1389" s="6" t="s">
        <v>64</v>
      </c>
      <c r="D1389" s="6" t="s">
        <v>387</v>
      </c>
      <c r="E1389" s="6" t="s">
        <v>388</v>
      </c>
      <c r="F1389" s="6" t="str">
        <f>IF($M1389="PADD I","PADD 1",IF($M1389="PADD II","PADD 2",IF($M1389="PADD III","PADD 3",IF($M1389="PADD IV","PADD 4",IF($M1389="PADD V","PADD 5","")))))</f>
        <v>PADD 3</v>
      </c>
      <c r="G1389" s="6">
        <f>IF(AND($H1389="ATMOS DISTILLATION",ISNUMBER(SEARCH("VPS",$I1389))=FALSE,LEFT($I1389,6)&lt;&gt;"VACUUM"),"CDU",IF($H1389="FLUID CAT CRACKING","FCC",IF(OR($H1389="HYDROCRACKING",$H1389="RESID_HYDROCRACKING"),"Hydrocracker",IF($H1389="REFORMING","Reformer",""))))</f>
        <v/>
      </c>
      <c r="H1389" s="6" t="s">
        <v>43</v>
      </c>
      <c r="I1389" s="6" t="s">
        <v>848</v>
      </c>
      <c r="J1389" s="6" t="s">
        <v>345</v>
      </c>
      <c r="K1389" s="10">
        <v>50</v>
      </c>
      <c r="L1389" s="10">
        <v>50</v>
      </c>
      <c r="M1389" s="6" t="s">
        <v>371</v>
      </c>
    </row>
    <row r="1390" spans="1:13">
      <c r="A1390" s="6">
        <v>2023</v>
      </c>
      <c r="B1390" s="6">
        <v>6</v>
      </c>
      <c r="C1390" s="6" t="s">
        <v>64</v>
      </c>
      <c r="D1390" s="6" t="s">
        <v>542</v>
      </c>
      <c r="E1390" s="6" t="s">
        <v>543</v>
      </c>
      <c r="F1390" s="6" t="str">
        <f>IF($M1390="PADD I","PADD 1",IF($M1390="PADD II","PADD 2",IF($M1390="PADD III","PADD 3",IF($M1390="PADD IV","PADD 4",IF($M1390="PADD V","PADD 5","")))))</f>
        <v>PADD 2</v>
      </c>
      <c r="G1390" s="6" t="str">
        <f>IF(AND($H1390="ATMOS DISTILLATION",ISNUMBER(SEARCH("VPS",$I1390))=FALSE,LEFT($I1390,6)&lt;&gt;"VACUUM"),"CDU",IF($H1390="FLUID CAT CRACKING","FCC",IF(OR($H1390="HYDROCRACKING",$H1390="RESID_HYDROCRACKING"),"Hydrocracker",IF($H1390="REFORMING","Reformer",""))))</f>
        <v>CDU</v>
      </c>
      <c r="H1390" s="6" t="s">
        <v>38</v>
      </c>
      <c r="I1390" s="6" t="s">
        <v>874</v>
      </c>
      <c r="J1390" s="6" t="s">
        <v>345</v>
      </c>
      <c r="K1390" s="10">
        <v>50</v>
      </c>
      <c r="L1390" s="10">
        <v>250</v>
      </c>
      <c r="M1390" s="6" t="s">
        <v>375</v>
      </c>
    </row>
    <row r="1391" spans="1:13">
      <c r="A1391" s="6">
        <v>2023</v>
      </c>
      <c r="B1391" s="6">
        <v>6</v>
      </c>
      <c r="C1391" s="6" t="s">
        <v>64</v>
      </c>
      <c r="D1391" s="6" t="s">
        <v>415</v>
      </c>
      <c r="E1391" s="6" t="s">
        <v>416</v>
      </c>
      <c r="F1391" s="6" t="str">
        <f>IF($M1391="PADD I","PADD 1",IF($M1391="PADD II","PADD 2",IF($M1391="PADD III","PADD 3",IF($M1391="PADD IV","PADD 4",IF($M1391="PADD V","PADD 5","")))))</f>
        <v>PADD 3</v>
      </c>
      <c r="G1391" s="6">
        <f>IF(AND($H1391="ATMOS DISTILLATION",ISNUMBER(SEARCH("VPS",$I1391))=FALSE,LEFT($I1391,6)&lt;&gt;"VACUUM"),"CDU",IF($H1391="FLUID CAT CRACKING","FCC",IF(OR($H1391="HYDROCRACKING",$H1391="RESID_HYDROCRACKING"),"Hydrocracker",IF($H1391="REFORMING","Reformer",""))))</f>
        <v/>
      </c>
      <c r="H1391" s="6" t="s">
        <v>378</v>
      </c>
      <c r="I1391" s="6" t="s">
        <v>417</v>
      </c>
      <c r="J1391" s="6" t="s">
        <v>345</v>
      </c>
      <c r="K1391" s="10">
        <v>50</v>
      </c>
      <c r="L1391" s="10">
        <v>50</v>
      </c>
      <c r="M1391" s="6" t="s">
        <v>371</v>
      </c>
    </row>
    <row r="1392" spans="1:13">
      <c r="A1392" s="6">
        <v>2023</v>
      </c>
      <c r="B1392" s="6">
        <v>6</v>
      </c>
      <c r="C1392" s="6" t="s">
        <v>64</v>
      </c>
      <c r="D1392" s="6" t="s">
        <v>411</v>
      </c>
      <c r="E1392" s="6" t="s">
        <v>369</v>
      </c>
      <c r="F1392" s="6" t="str">
        <f>IF($M1392="PADD I","PADD 1",IF($M1392="PADD II","PADD 2",IF($M1392="PADD III","PADD 3",IF($M1392="PADD IV","PADD 4",IF($M1392="PADD V","PADD 5","")))))</f>
        <v>PADD 1</v>
      </c>
      <c r="G1392" s="6" t="str">
        <f>IF(AND($H1392="ATMOS DISTILLATION",ISNUMBER(SEARCH("VPS",$I1392))=FALSE,LEFT($I1392,6)&lt;&gt;"VACUUM"),"CDU",IF($H1392="FLUID CAT CRACKING","FCC",IF(OR($H1392="HYDROCRACKING",$H1392="RESID_HYDROCRACKING"),"Hydrocracker",IF($H1392="REFORMING","Reformer",""))))</f>
        <v>CDU</v>
      </c>
      <c r="H1392" s="6" t="s">
        <v>38</v>
      </c>
      <c r="I1392" s="6" t="s">
        <v>529</v>
      </c>
      <c r="J1392" s="6" t="s">
        <v>345</v>
      </c>
      <c r="K1392" s="10">
        <v>49.8575</v>
      </c>
      <c r="L1392" s="10">
        <v>64.75</v>
      </c>
      <c r="M1392" s="6" t="s">
        <v>413</v>
      </c>
    </row>
    <row r="1393" spans="1:13">
      <c r="A1393" s="6">
        <v>2023</v>
      </c>
      <c r="B1393" s="6">
        <v>6</v>
      </c>
      <c r="C1393" s="6" t="s">
        <v>64</v>
      </c>
      <c r="D1393" s="6" t="s">
        <v>411</v>
      </c>
      <c r="E1393" s="6" t="s">
        <v>369</v>
      </c>
      <c r="F1393" s="6" t="str">
        <f>IF($M1393="PADD I","PADD 1",IF($M1393="PADD II","PADD 2",IF($M1393="PADD III","PADD 3",IF($M1393="PADD IV","PADD 4",IF($M1393="PADD V","PADD 5","")))))</f>
        <v>PADD 1</v>
      </c>
      <c r="G1393" s="6" t="str">
        <f>IF(AND($H1393="ATMOS DISTILLATION",ISNUMBER(SEARCH("VPS",$I1393))=FALSE,LEFT($I1393,6)&lt;&gt;"VACUUM"),"CDU",IF($H1393="FLUID CAT CRACKING","FCC",IF(OR($H1393="HYDROCRACKING",$H1393="RESID_HYDROCRACKING"),"Hydrocracker",IF($H1393="REFORMING","Reformer",""))))</f>
        <v>CDU</v>
      </c>
      <c r="H1393" s="6" t="s">
        <v>38</v>
      </c>
      <c r="I1393" s="6" t="s">
        <v>412</v>
      </c>
      <c r="J1393" s="6" t="s">
        <v>345</v>
      </c>
      <c r="K1393" s="10">
        <v>49.665</v>
      </c>
      <c r="L1393" s="10">
        <v>64.5</v>
      </c>
      <c r="M1393" s="6" t="s">
        <v>413</v>
      </c>
    </row>
    <row r="1394" spans="1:13">
      <c r="A1394" s="6">
        <v>2023</v>
      </c>
      <c r="B1394" s="6">
        <v>6</v>
      </c>
      <c r="C1394" s="6" t="s">
        <v>64</v>
      </c>
      <c r="D1394" s="6" t="s">
        <v>612</v>
      </c>
      <c r="E1394" s="6" t="s">
        <v>416</v>
      </c>
      <c r="F1394" s="6" t="str">
        <f>IF($M1394="PADD I","PADD 1",IF($M1394="PADD II","PADD 2",IF($M1394="PADD III","PADD 3",IF($M1394="PADD IV","PADD 4",IF($M1394="PADD V","PADD 5","")))))</f>
        <v>PADD 3</v>
      </c>
      <c r="G1394" s="6">
        <f>IF(AND($H1394="ATMOS DISTILLATION",ISNUMBER(SEARCH("VPS",$I1394))=FALSE,LEFT($I1394,6)&lt;&gt;"VACUUM"),"CDU",IF($H1394="FLUID CAT CRACKING","FCC",IF(OR($H1394="HYDROCRACKING",$H1394="RESID_HYDROCRACKING"),"Hydrocracker",IF($H1394="REFORMING","Reformer",""))))</f>
        <v/>
      </c>
      <c r="H1394" s="6" t="s">
        <v>378</v>
      </c>
      <c r="I1394" s="6" t="s">
        <v>431</v>
      </c>
      <c r="J1394" s="6" t="s">
        <v>349</v>
      </c>
      <c r="K1394" s="10">
        <v>45.6</v>
      </c>
      <c r="L1394" s="10">
        <v>80</v>
      </c>
      <c r="M1394" s="6" t="s">
        <v>371</v>
      </c>
    </row>
    <row r="1395" spans="1:13">
      <c r="A1395" s="6">
        <v>2023</v>
      </c>
      <c r="B1395" s="6">
        <v>6</v>
      </c>
      <c r="C1395" s="6" t="s">
        <v>64</v>
      </c>
      <c r="D1395" s="6" t="s">
        <v>772</v>
      </c>
      <c r="E1395" s="6" t="s">
        <v>405</v>
      </c>
      <c r="F1395" s="6" t="str">
        <f>IF($M1395="PADD I","PADD 1",IF($M1395="PADD II","PADD 2",IF($M1395="PADD III","PADD 3",IF($M1395="PADD IV","PADD 4",IF($M1395="PADD V","PADD 5","")))))</f>
        <v>PADD 3</v>
      </c>
      <c r="G1395" s="6" t="str">
        <f>IF(AND($H1395="ATMOS DISTILLATION",ISNUMBER(SEARCH("VPS",$I1395))=FALSE,LEFT($I1395,6)&lt;&gt;"VACUUM"),"CDU",IF($H1395="FLUID CAT CRACKING","FCC",IF(OR($H1395="HYDROCRACKING",$H1395="RESID_HYDROCRACKING"),"Hydrocracker",IF($H1395="REFORMING","Reformer",""))))</f>
        <v>FCC</v>
      </c>
      <c r="H1395" s="6" t="s">
        <v>376</v>
      </c>
      <c r="I1395" s="6" t="s">
        <v>773</v>
      </c>
      <c r="J1395" s="6" t="s">
        <v>349</v>
      </c>
      <c r="K1395" s="10">
        <v>45.12</v>
      </c>
      <c r="L1395" s="10">
        <v>96</v>
      </c>
      <c r="M1395" s="6" t="s">
        <v>371</v>
      </c>
    </row>
    <row r="1396" spans="1:13">
      <c r="A1396" s="6">
        <v>2023</v>
      </c>
      <c r="B1396" s="6">
        <v>6</v>
      </c>
      <c r="C1396" s="6" t="s">
        <v>64</v>
      </c>
      <c r="D1396" s="6" t="s">
        <v>319</v>
      </c>
      <c r="E1396" s="6" t="s">
        <v>665</v>
      </c>
      <c r="F1396" s="6" t="str">
        <f>IF($M1396="PADD I","PADD 1",IF($M1396="PADD II","PADD 2",IF($M1396="PADD III","PADD 3",IF($M1396="PADD IV","PADD 4",IF($M1396="PADD V","PADD 5","")))))</f>
        <v>PADD 3</v>
      </c>
      <c r="G1396" s="6" t="str">
        <f>IF(AND($H1396="ATMOS DISTILLATION",ISNUMBER(SEARCH("VPS",$I1396))=FALSE,LEFT($I1396,6)&lt;&gt;"VACUUM"),"CDU",IF($H1396="FLUID CAT CRACKING","FCC",IF(OR($H1396="HYDROCRACKING",$H1396="RESID_HYDROCRACKING"),"Hydrocracker",IF($H1396="REFORMING","Reformer",""))))</f>
        <v>CDU</v>
      </c>
      <c r="H1396" s="6" t="s">
        <v>38</v>
      </c>
      <c r="I1396" s="6" t="s">
        <v>86</v>
      </c>
      <c r="J1396" s="6" t="s">
        <v>345</v>
      </c>
      <c r="K1396" s="10">
        <v>40.8</v>
      </c>
      <c r="L1396" s="10">
        <v>240</v>
      </c>
      <c r="M1396" s="6" t="s">
        <v>371</v>
      </c>
    </row>
    <row r="1397" spans="1:13">
      <c r="A1397" s="6">
        <v>2023</v>
      </c>
      <c r="B1397" s="6">
        <v>6</v>
      </c>
      <c r="C1397" s="6" t="s">
        <v>64</v>
      </c>
      <c r="D1397" s="6" t="s">
        <v>322</v>
      </c>
      <c r="E1397" s="6" t="s">
        <v>369</v>
      </c>
      <c r="F1397" s="6" t="str">
        <f>IF($M1397="PADD I","PADD 1",IF($M1397="PADD II","PADD 2",IF($M1397="PADD III","PADD 3",IF($M1397="PADD IV","PADD 4",IF($M1397="PADD V","PADD 5","")))))</f>
        <v>PADD 2</v>
      </c>
      <c r="G1397" s="6" t="str">
        <f>IF(AND($H1397="ATMOS DISTILLATION",ISNUMBER(SEARCH("VPS",$I1397))=FALSE,LEFT($I1397,6)&lt;&gt;"VACUUM"),"CDU",IF($H1397="FLUID CAT CRACKING","FCC",IF(OR($H1397="HYDROCRACKING",$H1397="RESID_HYDROCRACKING"),"Hydrocracker",IF($H1397="REFORMING","Reformer",""))))</f>
        <v>FCC</v>
      </c>
      <c r="H1397" s="6" t="s">
        <v>376</v>
      </c>
      <c r="I1397" s="6" t="s">
        <v>657</v>
      </c>
      <c r="J1397" s="6" t="s">
        <v>345</v>
      </c>
      <c r="K1397" s="10">
        <v>36.54</v>
      </c>
      <c r="L1397" s="10">
        <v>42</v>
      </c>
      <c r="M1397" s="6" t="s">
        <v>375</v>
      </c>
    </row>
    <row r="1398" spans="1:13">
      <c r="A1398" s="6">
        <v>2023</v>
      </c>
      <c r="B1398" s="6">
        <v>6</v>
      </c>
      <c r="C1398" s="6" t="s">
        <v>64</v>
      </c>
      <c r="D1398" s="6" t="s">
        <v>446</v>
      </c>
      <c r="E1398" s="6" t="s">
        <v>391</v>
      </c>
      <c r="F1398" s="6" t="str">
        <f>IF($M1398="PADD I","PADD 1",IF($M1398="PADD II","PADD 2",IF($M1398="PADD III","PADD 3",IF($M1398="PADD IV","PADD 4",IF($M1398="PADD V","PADD 5","")))))</f>
        <v>PADD 3</v>
      </c>
      <c r="G1398" s="6">
        <f>IF(AND($H1398="ATMOS DISTILLATION",ISNUMBER(SEARCH("VPS",$I1398))=FALSE,LEFT($I1398,6)&lt;&gt;"VACUUM"),"CDU",IF($H1398="FLUID CAT CRACKING","FCC",IF(OR($H1398="HYDROCRACKING",$H1398="RESID_HYDROCRACKING"),"Hydrocracker",IF($H1398="REFORMING","Reformer",""))))</f>
        <v/>
      </c>
      <c r="H1398" s="6" t="s">
        <v>43</v>
      </c>
      <c r="I1398" s="6" t="s">
        <v>447</v>
      </c>
      <c r="J1398" s="6" t="s">
        <v>349</v>
      </c>
      <c r="K1398" s="10">
        <v>35</v>
      </c>
      <c r="L1398" s="10">
        <v>35</v>
      </c>
      <c r="M1398" s="6" t="s">
        <v>371</v>
      </c>
    </row>
    <row r="1399" spans="1:13">
      <c r="A1399" s="6">
        <v>2023</v>
      </c>
      <c r="B1399" s="6">
        <v>6</v>
      </c>
      <c r="C1399" s="6" t="s">
        <v>64</v>
      </c>
      <c r="D1399" s="6" t="s">
        <v>448</v>
      </c>
      <c r="E1399" s="6" t="s">
        <v>391</v>
      </c>
      <c r="F1399" s="6" t="str">
        <f>IF($M1399="PADD I","PADD 1",IF($M1399="PADD II","PADD 2",IF($M1399="PADD III","PADD 3",IF($M1399="PADD IV","PADD 4",IF($M1399="PADD V","PADD 5","")))))</f>
        <v>PADD 3</v>
      </c>
      <c r="G1399" s="6">
        <f>IF(AND($H1399="ATMOS DISTILLATION",ISNUMBER(SEARCH("VPS",$I1399))=FALSE,LEFT($I1399,6)&lt;&gt;"VACUUM"),"CDU",IF($H1399="FLUID CAT CRACKING","FCC",IF(OR($H1399="HYDROCRACKING",$H1399="RESID_HYDROCRACKING"),"Hydrocracker",IF($H1399="REFORMING","Reformer",""))))</f>
        <v/>
      </c>
      <c r="H1399" s="6" t="s">
        <v>43</v>
      </c>
      <c r="I1399" s="6" t="s">
        <v>449</v>
      </c>
      <c r="J1399" s="6" t="s">
        <v>345</v>
      </c>
      <c r="K1399" s="10">
        <v>35</v>
      </c>
      <c r="L1399" s="10">
        <v>35</v>
      </c>
      <c r="M1399" s="6" t="s">
        <v>371</v>
      </c>
    </row>
    <row r="1400" spans="1:13">
      <c r="A1400" s="6">
        <v>2023</v>
      </c>
      <c r="B1400" s="6">
        <v>6</v>
      </c>
      <c r="C1400" s="6" t="s">
        <v>64</v>
      </c>
      <c r="D1400" s="6" t="s">
        <v>415</v>
      </c>
      <c r="E1400" s="6" t="s">
        <v>416</v>
      </c>
      <c r="F1400" s="6" t="str">
        <f>IF($M1400="PADD I","PADD 1",IF($M1400="PADD II","PADD 2",IF($M1400="PADD III","PADD 3",IF($M1400="PADD IV","PADD 4",IF($M1400="PADD V","PADD 5","")))))</f>
        <v>PADD 3</v>
      </c>
      <c r="G1400" s="6">
        <f>IF(AND($H1400="ATMOS DISTILLATION",ISNUMBER(SEARCH("VPS",$I1400))=FALSE,LEFT($I1400,6)&lt;&gt;"VACUUM"),"CDU",IF($H1400="FLUID CAT CRACKING","FCC",IF(OR($H1400="HYDROCRACKING",$H1400="RESID_HYDROCRACKING"),"Hydrocracker",IF($H1400="REFORMING","Reformer",""))))</f>
        <v/>
      </c>
      <c r="H1400" s="6" t="s">
        <v>435</v>
      </c>
      <c r="I1400" s="6" t="s">
        <v>453</v>
      </c>
      <c r="J1400" s="6" t="s">
        <v>345</v>
      </c>
      <c r="K1400" s="10">
        <v>34</v>
      </c>
      <c r="L1400" s="10">
        <v>34</v>
      </c>
      <c r="M1400" s="6" t="s">
        <v>371</v>
      </c>
    </row>
    <row r="1401" spans="1:13">
      <c r="A1401" s="6">
        <v>2023</v>
      </c>
      <c r="B1401" s="6">
        <v>6</v>
      </c>
      <c r="C1401" s="6" t="s">
        <v>64</v>
      </c>
      <c r="D1401" s="6" t="s">
        <v>415</v>
      </c>
      <c r="E1401" s="6" t="s">
        <v>416</v>
      </c>
      <c r="F1401" s="6" t="str">
        <f>IF($M1401="PADD I","PADD 1",IF($M1401="PADD II","PADD 2",IF($M1401="PADD III","PADD 3",IF($M1401="PADD IV","PADD 4",IF($M1401="PADD V","PADD 5","")))))</f>
        <v>PADD 3</v>
      </c>
      <c r="G1401" s="6">
        <f>IF(AND($H1401="ATMOS DISTILLATION",ISNUMBER(SEARCH("VPS",$I1401))=FALSE,LEFT($I1401,6)&lt;&gt;"VACUUM"),"CDU",IF($H1401="FLUID CAT CRACKING","FCC",IF(OR($H1401="HYDROCRACKING",$H1401="RESID_HYDROCRACKING"),"Hydrocracker",IF($H1401="REFORMING","Reformer",""))))</f>
        <v/>
      </c>
      <c r="H1401" s="6" t="s">
        <v>435</v>
      </c>
      <c r="I1401" s="6" t="s">
        <v>453</v>
      </c>
      <c r="J1401" s="6" t="s">
        <v>345</v>
      </c>
      <c r="K1401" s="10">
        <v>34</v>
      </c>
      <c r="L1401" s="10">
        <v>34</v>
      </c>
      <c r="M1401" s="6" t="s">
        <v>371</v>
      </c>
    </row>
    <row r="1402" spans="1:13">
      <c r="A1402" s="6">
        <v>2023</v>
      </c>
      <c r="B1402" s="6">
        <v>6</v>
      </c>
      <c r="C1402" s="6" t="s">
        <v>64</v>
      </c>
      <c r="D1402" s="6" t="s">
        <v>851</v>
      </c>
      <c r="E1402" s="6" t="s">
        <v>852</v>
      </c>
      <c r="F1402" s="6" t="str">
        <f>IF($M1402="PADD I","PADD 1",IF($M1402="PADD II","PADD 2",IF($M1402="PADD III","PADD 3",IF($M1402="PADD IV","PADD 4",IF($M1402="PADD V","PADD 5","")))))</f>
        <v>PADD 3</v>
      </c>
      <c r="G1402" s="6">
        <f>IF(AND($H1402="ATMOS DISTILLATION",ISNUMBER(SEARCH("VPS",$I1402))=FALSE,LEFT($I1402,6)&lt;&gt;"VACUUM"),"CDU",IF($H1402="FLUID CAT CRACKING","FCC",IF(OR($H1402="HYDROCRACKING",$H1402="RESID_HYDROCRACKING"),"Hydrocracker",IF($H1402="REFORMING","Reformer",""))))</f>
        <v/>
      </c>
      <c r="H1402" s="6" t="s">
        <v>378</v>
      </c>
      <c r="I1402" s="6" t="s">
        <v>860</v>
      </c>
      <c r="J1402" s="6" t="s">
        <v>345</v>
      </c>
      <c r="K1402" s="10">
        <v>33.48</v>
      </c>
      <c r="L1402" s="10">
        <v>36</v>
      </c>
      <c r="M1402" s="6" t="s">
        <v>371</v>
      </c>
    </row>
    <row r="1403" spans="1:13">
      <c r="A1403" s="6">
        <v>2023</v>
      </c>
      <c r="B1403" s="6">
        <v>6</v>
      </c>
      <c r="C1403" s="6" t="s">
        <v>64</v>
      </c>
      <c r="D1403" s="6" t="s">
        <v>372</v>
      </c>
      <c r="E1403" s="6" t="s">
        <v>373</v>
      </c>
      <c r="F1403" s="6" t="str">
        <f>IF($M1403="PADD I","PADD 1",IF($M1403="PADD II","PADD 2",IF($M1403="PADD III","PADD 3",IF($M1403="PADD IV","PADD 4",IF($M1403="PADD V","PADD 5","")))))</f>
        <v>PADD 2</v>
      </c>
      <c r="G1403" s="6" t="str">
        <f>IF(AND($H1403="ATMOS DISTILLATION",ISNUMBER(SEARCH("VPS",$I1403))=FALSE,LEFT($I1403,6)&lt;&gt;"VACUUM"),"CDU",IF($H1403="FLUID CAT CRACKING","FCC",IF(OR($H1403="HYDROCRACKING",$H1403="RESID_HYDROCRACKING"),"Hydrocracker",IF($H1403="REFORMING","Reformer",""))))</f>
        <v>CDU</v>
      </c>
      <c r="H1403" s="6" t="s">
        <v>38</v>
      </c>
      <c r="I1403" s="6" t="s">
        <v>374</v>
      </c>
      <c r="J1403" s="6" t="s">
        <v>345</v>
      </c>
      <c r="K1403" s="10">
        <v>33</v>
      </c>
      <c r="L1403" s="10">
        <v>110</v>
      </c>
      <c r="M1403" s="6" t="s">
        <v>375</v>
      </c>
    </row>
    <row r="1404" spans="1:13">
      <c r="A1404" s="6">
        <v>2023</v>
      </c>
      <c r="B1404" s="6">
        <v>6</v>
      </c>
      <c r="C1404" s="6" t="s">
        <v>64</v>
      </c>
      <c r="D1404" s="6" t="s">
        <v>411</v>
      </c>
      <c r="E1404" s="6" t="s">
        <v>369</v>
      </c>
      <c r="F1404" s="6" t="str">
        <f>IF($M1404="PADD I","PADD 1",IF($M1404="PADD II","PADD 2",IF($M1404="PADD III","PADD 3",IF($M1404="PADD IV","PADD 4",IF($M1404="PADD V","PADD 5","")))))</f>
        <v>PADD 1</v>
      </c>
      <c r="G1404" s="6">
        <f>IF(AND($H1404="ATMOS DISTILLATION",ISNUMBER(SEARCH("VPS",$I1404))=FALSE,LEFT($I1404,6)&lt;&gt;"VACUUM"),"CDU",IF($H1404="FLUID CAT CRACKING","FCC",IF(OR($H1404="HYDROCRACKING",$H1404="RESID_HYDROCRACKING"),"Hydrocracker",IF($H1404="REFORMING","Reformer",""))))</f>
        <v/>
      </c>
      <c r="H1404" s="6" t="s">
        <v>43</v>
      </c>
      <c r="I1404" s="6" t="s">
        <v>458</v>
      </c>
      <c r="J1404" s="6" t="s">
        <v>345</v>
      </c>
      <c r="K1404" s="10">
        <v>32.725</v>
      </c>
      <c r="L1404" s="10">
        <v>42.5</v>
      </c>
      <c r="M1404" s="6" t="s">
        <v>413</v>
      </c>
    </row>
    <row r="1405" spans="1:13">
      <c r="A1405" s="6">
        <v>2023</v>
      </c>
      <c r="B1405" s="6">
        <v>6</v>
      </c>
      <c r="C1405" s="6" t="s">
        <v>64</v>
      </c>
      <c r="D1405" s="6" t="s">
        <v>468</v>
      </c>
      <c r="E1405" s="6" t="s">
        <v>369</v>
      </c>
      <c r="F1405" s="6" t="str">
        <f>IF($M1405="PADD I","PADD 1",IF($M1405="PADD II","PADD 2",IF($M1405="PADD III","PADD 3",IF($M1405="PADD IV","PADD 4",IF($M1405="PADD V","PADD 5","")))))</f>
        <v>PADD 3</v>
      </c>
      <c r="G1405" s="6" t="str">
        <f>IF(AND($H1405="ATMOS DISTILLATION",ISNUMBER(SEARCH("VPS",$I1405))=FALSE,LEFT($I1405,6)&lt;&gt;"VACUUM"),"CDU",IF($H1405="FLUID CAT CRACKING","FCC",IF(OR($H1405="HYDROCRACKING",$H1405="RESID_HYDROCRACKING"),"Hydrocracker",IF($H1405="REFORMING","Reformer",""))))</f>
        <v>FCC</v>
      </c>
      <c r="H1405" s="6" t="s">
        <v>376</v>
      </c>
      <c r="I1405" s="6" t="s">
        <v>469</v>
      </c>
      <c r="J1405" s="6" t="s">
        <v>345</v>
      </c>
      <c r="K1405" s="10">
        <v>30</v>
      </c>
      <c r="L1405" s="10">
        <v>30</v>
      </c>
      <c r="M1405" s="6" t="s">
        <v>371</v>
      </c>
    </row>
    <row r="1406" spans="1:13">
      <c r="A1406" s="6">
        <v>2023</v>
      </c>
      <c r="B1406" s="6">
        <v>6</v>
      </c>
      <c r="C1406" s="6" t="s">
        <v>64</v>
      </c>
      <c r="D1406" s="6" t="s">
        <v>335</v>
      </c>
      <c r="E1406" s="6" t="s">
        <v>369</v>
      </c>
      <c r="F1406" s="6" t="str">
        <f>IF($M1406="PADD I","PADD 1",IF($M1406="PADD II","PADD 2",IF($M1406="PADD III","PADD 3",IF($M1406="PADD IV","PADD 4",IF($M1406="PADD V","PADD 5","")))))</f>
        <v>PADD 3</v>
      </c>
      <c r="G1406" s="6" t="str">
        <f>IF(AND($H1406="ATMOS DISTILLATION",ISNUMBER(SEARCH("VPS",$I1406))=FALSE,LEFT($I1406,6)&lt;&gt;"VACUUM"),"CDU",IF($H1406="FLUID CAT CRACKING","FCC",IF(OR($H1406="HYDROCRACKING",$H1406="RESID_HYDROCRACKING"),"Hydrocracker",IF($H1406="REFORMING","Reformer",""))))</f>
        <v>FCC</v>
      </c>
      <c r="H1406" s="6" t="s">
        <v>376</v>
      </c>
      <c r="I1406" s="6" t="s">
        <v>472</v>
      </c>
      <c r="J1406" s="6" t="s">
        <v>345</v>
      </c>
      <c r="K1406" s="10">
        <v>30</v>
      </c>
      <c r="L1406" s="10">
        <v>30</v>
      </c>
      <c r="M1406" s="6" t="s">
        <v>371</v>
      </c>
    </row>
    <row r="1407" spans="1:13">
      <c r="A1407" s="6">
        <v>2023</v>
      </c>
      <c r="B1407" s="6">
        <v>6</v>
      </c>
      <c r="C1407" s="6" t="s">
        <v>64</v>
      </c>
      <c r="D1407" s="6" t="s">
        <v>468</v>
      </c>
      <c r="E1407" s="6" t="s">
        <v>369</v>
      </c>
      <c r="F1407" s="6" t="str">
        <f>IF($M1407="PADD I","PADD 1",IF($M1407="PADD II","PADD 2",IF($M1407="PADD III","PADD 3",IF($M1407="PADD IV","PADD 4",IF($M1407="PADD V","PADD 5","")))))</f>
        <v>PADD 3</v>
      </c>
      <c r="G1407" s="6" t="str">
        <f>IF(AND($H1407="ATMOS DISTILLATION",ISNUMBER(SEARCH("VPS",$I1407))=FALSE,LEFT($I1407,6)&lt;&gt;"VACUUM"),"CDU",IF($H1407="FLUID CAT CRACKING","FCC",IF(OR($H1407="HYDROCRACKING",$H1407="RESID_HYDROCRACKING"),"Hydrocracker",IF($H1407="REFORMING","Reformer",""))))</f>
        <v>FCC</v>
      </c>
      <c r="H1407" s="6" t="s">
        <v>376</v>
      </c>
      <c r="I1407" s="6" t="s">
        <v>473</v>
      </c>
      <c r="J1407" s="6" t="s">
        <v>345</v>
      </c>
      <c r="K1407" s="10">
        <v>30</v>
      </c>
      <c r="L1407" s="10">
        <v>30</v>
      </c>
      <c r="M1407" s="6" t="s">
        <v>371</v>
      </c>
    </row>
    <row r="1408" spans="1:13">
      <c r="A1408" s="6">
        <v>2023</v>
      </c>
      <c r="B1408" s="6">
        <v>6</v>
      </c>
      <c r="C1408" s="6" t="s">
        <v>64</v>
      </c>
      <c r="D1408" s="6" t="s">
        <v>468</v>
      </c>
      <c r="E1408" s="6" t="s">
        <v>369</v>
      </c>
      <c r="F1408" s="6" t="str">
        <f>IF($M1408="PADD I","PADD 1",IF($M1408="PADD II","PADD 2",IF($M1408="PADD III","PADD 3",IF($M1408="PADD IV","PADD 4",IF($M1408="PADD V","PADD 5","")))))</f>
        <v>PADD 3</v>
      </c>
      <c r="G1408" s="6">
        <f>IF(AND($H1408="ATMOS DISTILLATION",ISNUMBER(SEARCH("VPS",$I1408))=FALSE,LEFT($I1408,6)&lt;&gt;"VACUUM"),"CDU",IF($H1408="FLUID CAT CRACKING","FCC",IF(OR($H1408="HYDROCRACKING",$H1408="RESID_HYDROCRACKING"),"Hydrocracker",IF($H1408="REFORMING","Reformer",""))))</f>
        <v/>
      </c>
      <c r="H1408" s="6" t="s">
        <v>43</v>
      </c>
      <c r="I1408" s="6" t="s">
        <v>849</v>
      </c>
      <c r="J1408" s="6" t="s">
        <v>345</v>
      </c>
      <c r="K1408" s="10">
        <v>29.2</v>
      </c>
      <c r="L1408" s="10">
        <v>36.5</v>
      </c>
      <c r="M1408" s="6" t="s">
        <v>371</v>
      </c>
    </row>
    <row r="1409" spans="1:13">
      <c r="A1409" s="6">
        <v>2023</v>
      </c>
      <c r="B1409" s="6">
        <v>6</v>
      </c>
      <c r="C1409" s="6" t="s">
        <v>64</v>
      </c>
      <c r="D1409" s="6" t="s">
        <v>411</v>
      </c>
      <c r="E1409" s="6" t="s">
        <v>369</v>
      </c>
      <c r="F1409" s="6" t="str">
        <f>IF($M1409="PADD I","PADD 1",IF($M1409="PADD II","PADD 2",IF($M1409="PADD III","PADD 3",IF($M1409="PADD IV","PADD 4",IF($M1409="PADD V","PADD 5","")))))</f>
        <v>PADD 1</v>
      </c>
      <c r="G1409" s="6">
        <f>IF(AND($H1409="ATMOS DISTILLATION",ISNUMBER(SEARCH("VPS",$I1409))=FALSE,LEFT($I1409,6)&lt;&gt;"VACUUM"),"CDU",IF($H1409="FLUID CAT CRACKING","FCC",IF(OR($H1409="HYDROCRACKING",$H1409="RESID_HYDROCRACKING"),"Hydrocracker",IF($H1409="REFORMING","Reformer",""))))</f>
        <v/>
      </c>
      <c r="H1409" s="6" t="s">
        <v>378</v>
      </c>
      <c r="I1409" s="6" t="s">
        <v>431</v>
      </c>
      <c r="J1409" s="6" t="s">
        <v>345</v>
      </c>
      <c r="K1409" s="10">
        <v>28.875</v>
      </c>
      <c r="L1409" s="10">
        <v>37.5</v>
      </c>
      <c r="M1409" s="6" t="s">
        <v>413</v>
      </c>
    </row>
    <row r="1410" spans="1:13">
      <c r="A1410" s="6">
        <v>2023</v>
      </c>
      <c r="B1410" s="6">
        <v>6</v>
      </c>
      <c r="C1410" s="6" t="s">
        <v>64</v>
      </c>
      <c r="D1410" s="6" t="s">
        <v>372</v>
      </c>
      <c r="E1410" s="6" t="s">
        <v>373</v>
      </c>
      <c r="F1410" s="6" t="str">
        <f>IF($M1410="PADD I","PADD 1",IF($M1410="PADD II","PADD 2",IF($M1410="PADD III","PADD 3",IF($M1410="PADD IV","PADD 4",IF($M1410="PADD V","PADD 5","")))))</f>
        <v>PADD 2</v>
      </c>
      <c r="G1410" s="6" t="str">
        <f>IF(AND($H1410="ATMOS DISTILLATION",ISNUMBER(SEARCH("VPS",$I1410))=FALSE,LEFT($I1410,6)&lt;&gt;"VACUUM"),"CDU",IF($H1410="FLUID CAT CRACKING","FCC",IF(OR($H1410="HYDROCRACKING",$H1410="RESID_HYDROCRACKING"),"Hydrocracker",IF($H1410="REFORMING","Reformer",""))))</f>
        <v>CDU</v>
      </c>
      <c r="H1410" s="6" t="s">
        <v>38</v>
      </c>
      <c r="I1410" s="6" t="s">
        <v>374</v>
      </c>
      <c r="J1410" s="6" t="s">
        <v>345</v>
      </c>
      <c r="K1410" s="10">
        <v>27.6</v>
      </c>
      <c r="L1410" s="10">
        <v>120</v>
      </c>
      <c r="M1410" s="6" t="s">
        <v>375</v>
      </c>
    </row>
    <row r="1411" spans="1:13">
      <c r="A1411" s="6">
        <v>2023</v>
      </c>
      <c r="B1411" s="6">
        <v>6</v>
      </c>
      <c r="C1411" s="6" t="s">
        <v>64</v>
      </c>
      <c r="D1411" s="6" t="s">
        <v>772</v>
      </c>
      <c r="E1411" s="6" t="s">
        <v>405</v>
      </c>
      <c r="F1411" s="6" t="str">
        <f>IF($M1411="PADD I","PADD 1",IF($M1411="PADD II","PADD 2",IF($M1411="PADD III","PADD 3",IF($M1411="PADD IV","PADD 4",IF($M1411="PADD V","PADD 5","")))))</f>
        <v>PADD 3</v>
      </c>
      <c r="G1411" s="6">
        <f>IF(AND($H1411="ATMOS DISTILLATION",ISNUMBER(SEARCH("VPS",$I1411))=FALSE,LEFT($I1411,6)&lt;&gt;"VACUUM"),"CDU",IF($H1411="FLUID CAT CRACKING","FCC",IF(OR($H1411="HYDROCRACKING",$H1411="RESID_HYDROCRACKING"),"Hydrocracker",IF($H1411="REFORMING","Reformer",""))))</f>
        <v/>
      </c>
      <c r="H1411" s="6" t="s">
        <v>43</v>
      </c>
      <c r="I1411" s="6" t="s">
        <v>777</v>
      </c>
      <c r="J1411" s="6" t="s">
        <v>345</v>
      </c>
      <c r="K1411" s="10">
        <v>27.26</v>
      </c>
      <c r="L1411" s="10">
        <v>58</v>
      </c>
      <c r="M1411" s="6" t="s">
        <v>371</v>
      </c>
    </row>
    <row r="1412" spans="1:13">
      <c r="A1412" s="6">
        <v>2023</v>
      </c>
      <c r="B1412" s="6">
        <v>6</v>
      </c>
      <c r="C1412" s="6" t="s">
        <v>64</v>
      </c>
      <c r="D1412" s="6" t="s">
        <v>468</v>
      </c>
      <c r="E1412" s="6" t="s">
        <v>369</v>
      </c>
      <c r="F1412" s="6" t="str">
        <f>IF($M1412="PADD I","PADD 1",IF($M1412="PADD II","PADD 2",IF($M1412="PADD III","PADD 3",IF($M1412="PADD IV","PADD 4",IF($M1412="PADD V","PADD 5","")))))</f>
        <v>PADD 3</v>
      </c>
      <c r="G1412" s="6" t="str">
        <f>IF(AND($H1412="ATMOS DISTILLATION",ISNUMBER(SEARCH("VPS",$I1412))=FALSE,LEFT($I1412,6)&lt;&gt;"VACUUM"),"CDU",IF($H1412="FLUID CAT CRACKING","FCC",IF(OR($H1412="HYDROCRACKING",$H1412="RESID_HYDROCRACKING"),"Hydrocracker",IF($H1412="REFORMING","Reformer",""))))</f>
        <v>CDU</v>
      </c>
      <c r="H1412" s="6" t="s">
        <v>38</v>
      </c>
      <c r="I1412" s="6" t="s">
        <v>509</v>
      </c>
      <c r="J1412" s="6" t="s">
        <v>345</v>
      </c>
      <c r="K1412" s="10">
        <v>27.2</v>
      </c>
      <c r="L1412" s="10">
        <v>34</v>
      </c>
      <c r="M1412" s="6" t="s">
        <v>371</v>
      </c>
    </row>
    <row r="1413" spans="1:13">
      <c r="A1413" s="6">
        <v>2023</v>
      </c>
      <c r="B1413" s="6">
        <v>6</v>
      </c>
      <c r="C1413" s="6" t="s">
        <v>64</v>
      </c>
      <c r="D1413" s="6" t="s">
        <v>420</v>
      </c>
      <c r="E1413" s="6" t="s">
        <v>373</v>
      </c>
      <c r="F1413" s="6" t="str">
        <f>IF($M1413="PADD I","PADD 1",IF($M1413="PADD II","PADD 2",IF($M1413="PADD III","PADD 3",IF($M1413="PADD IV","PADD 4",IF($M1413="PADD V","PADD 5","")))))</f>
        <v>PADD 2</v>
      </c>
      <c r="G1413" s="6" t="str">
        <f>IF(AND($H1413="ATMOS DISTILLATION",ISNUMBER(SEARCH("VPS",$I1413))=FALSE,LEFT($I1413,6)&lt;&gt;"VACUUM"),"CDU",IF($H1413="FLUID CAT CRACKING","FCC",IF(OR($H1413="HYDROCRACKING",$H1413="RESID_HYDROCRACKING"),"Hydrocracker",IF($H1413="REFORMING","Reformer",""))))</f>
        <v>CDU</v>
      </c>
      <c r="H1413" s="6" t="s">
        <v>38</v>
      </c>
      <c r="I1413" s="6" t="s">
        <v>81</v>
      </c>
      <c r="J1413" s="6" t="s">
        <v>345</v>
      </c>
      <c r="K1413" s="10">
        <v>24.5</v>
      </c>
      <c r="L1413" s="10">
        <v>24.5</v>
      </c>
      <c r="M1413" s="6" t="s">
        <v>375</v>
      </c>
    </row>
    <row r="1414" spans="1:13">
      <c r="A1414" s="6">
        <v>2023</v>
      </c>
      <c r="B1414" s="6">
        <v>6</v>
      </c>
      <c r="C1414" s="6" t="s">
        <v>64</v>
      </c>
      <c r="D1414" s="6" t="s">
        <v>387</v>
      </c>
      <c r="E1414" s="6" t="s">
        <v>388</v>
      </c>
      <c r="F1414" s="6" t="str">
        <f>IF($M1414="PADD I","PADD 1",IF($M1414="PADD II","PADD 2",IF($M1414="PADD III","PADD 3",IF($M1414="PADD IV","PADD 4",IF($M1414="PADD V","PADD 5","")))))</f>
        <v>PADD 3</v>
      </c>
      <c r="G1414" s="6" t="str">
        <f>IF(AND($H1414="ATMOS DISTILLATION",ISNUMBER(SEARCH("VPS",$I1414))=FALSE,LEFT($I1414,6)&lt;&gt;"VACUUM"),"CDU",IF($H1414="FLUID CAT CRACKING","FCC",IF(OR($H1414="HYDROCRACKING",$H1414="RESID_HYDROCRACKING"),"Hydrocracker",IF($H1414="REFORMING","Reformer",""))))</f>
        <v>FCC</v>
      </c>
      <c r="H1414" s="6" t="s">
        <v>376</v>
      </c>
      <c r="I1414" s="6" t="s">
        <v>472</v>
      </c>
      <c r="J1414" s="6" t="s">
        <v>345</v>
      </c>
      <c r="K1414" s="10">
        <v>23.8</v>
      </c>
      <c r="L1414" s="10">
        <v>140</v>
      </c>
      <c r="M1414" s="6" t="s">
        <v>371</v>
      </c>
    </row>
    <row r="1415" spans="1:13">
      <c r="A1415" s="6">
        <v>2023</v>
      </c>
      <c r="B1415" s="6">
        <v>6</v>
      </c>
      <c r="C1415" s="6" t="s">
        <v>64</v>
      </c>
      <c r="D1415" s="6" t="s">
        <v>372</v>
      </c>
      <c r="E1415" s="6" t="s">
        <v>373</v>
      </c>
      <c r="F1415" s="6" t="str">
        <f>IF($M1415="PADD I","PADD 1",IF($M1415="PADD II","PADD 2",IF($M1415="PADD III","PADD 3",IF($M1415="PADD IV","PADD 4",IF($M1415="PADD V","PADD 5","")))))</f>
        <v>PADD 2</v>
      </c>
      <c r="G1415" s="6" t="str">
        <f>IF(AND($H1415="ATMOS DISTILLATION",ISNUMBER(SEARCH("VPS",$I1415))=FALSE,LEFT($I1415,6)&lt;&gt;"VACUUM"),"CDU",IF($H1415="FLUID CAT CRACKING","FCC",IF(OR($H1415="HYDROCRACKING",$H1415="RESID_HYDROCRACKING"),"Hydrocracker",IF($H1415="REFORMING","Reformer",""))))</f>
        <v>FCC</v>
      </c>
      <c r="H1415" s="6" t="s">
        <v>376</v>
      </c>
      <c r="I1415" s="6" t="s">
        <v>407</v>
      </c>
      <c r="J1415" s="6" t="s">
        <v>345</v>
      </c>
      <c r="K1415" s="10">
        <v>23.65</v>
      </c>
      <c r="L1415" s="10">
        <v>55</v>
      </c>
      <c r="M1415" s="6" t="s">
        <v>375</v>
      </c>
    </row>
    <row r="1416" spans="1:13">
      <c r="A1416" s="6">
        <v>2023</v>
      </c>
      <c r="B1416" s="6">
        <v>6</v>
      </c>
      <c r="C1416" s="6" t="s">
        <v>64</v>
      </c>
      <c r="D1416" s="6" t="s">
        <v>437</v>
      </c>
      <c r="E1416" s="6" t="s">
        <v>438</v>
      </c>
      <c r="F1416" s="6" t="str">
        <f>IF($M1416="PADD I","PADD 1",IF($M1416="PADD II","PADD 2",IF($M1416="PADD III","PADD 3",IF($M1416="PADD IV","PADD 4",IF($M1416="PADD V","PADD 5","")))))</f>
        <v>PADD 4</v>
      </c>
      <c r="G1416" s="6" t="str">
        <f>IF(AND($H1416="ATMOS DISTILLATION",ISNUMBER(SEARCH("VPS",$I1416))=FALSE,LEFT($I1416,6)&lt;&gt;"VACUUM"),"CDU",IF($H1416="FLUID CAT CRACKING","FCC",IF(OR($H1416="HYDROCRACKING",$H1416="RESID_HYDROCRACKING"),"Hydrocracker",IF($H1416="REFORMING","Reformer",""))))</f>
        <v>CDU</v>
      </c>
      <c r="H1416" s="6" t="s">
        <v>38</v>
      </c>
      <c r="I1416" s="6" t="s">
        <v>330</v>
      </c>
      <c r="J1416" s="6" t="s">
        <v>349</v>
      </c>
      <c r="K1416" s="10">
        <v>23.24</v>
      </c>
      <c r="L1416" s="10">
        <v>28</v>
      </c>
      <c r="M1416" s="6" t="s">
        <v>430</v>
      </c>
    </row>
    <row r="1417" spans="1:13">
      <c r="A1417" s="6">
        <v>2023</v>
      </c>
      <c r="B1417" s="6">
        <v>6</v>
      </c>
      <c r="C1417" s="6" t="s">
        <v>64</v>
      </c>
      <c r="D1417" s="6" t="s">
        <v>387</v>
      </c>
      <c r="E1417" s="6" t="s">
        <v>388</v>
      </c>
      <c r="F1417" s="6" t="str">
        <f>IF($M1417="PADD I","PADD 1",IF($M1417="PADD II","PADD 2",IF($M1417="PADD III","PADD 3",IF($M1417="PADD IV","PADD 4",IF($M1417="PADD V","PADD 5","")))))</f>
        <v>PADD 3</v>
      </c>
      <c r="G1417" s="6">
        <f>IF(AND($H1417="ATMOS DISTILLATION",ISNUMBER(SEARCH("VPS",$I1417))=FALSE,LEFT($I1417,6)&lt;&gt;"VACUUM"),"CDU",IF($H1417="FLUID CAT CRACKING","FCC",IF(OR($H1417="HYDROCRACKING",$H1417="RESID_HYDROCRACKING"),"Hydrocracker",IF($H1417="REFORMING","Reformer",""))))</f>
        <v/>
      </c>
      <c r="H1417" s="6" t="s">
        <v>378</v>
      </c>
      <c r="I1417" s="6" t="s">
        <v>442</v>
      </c>
      <c r="J1417" s="6" t="s">
        <v>345</v>
      </c>
      <c r="K1417" s="10">
        <v>22.5</v>
      </c>
      <c r="L1417" s="10">
        <v>112.5</v>
      </c>
      <c r="M1417" s="6" t="s">
        <v>371</v>
      </c>
    </row>
    <row r="1418" spans="1:13">
      <c r="A1418" s="6">
        <v>2023</v>
      </c>
      <c r="B1418" s="6">
        <v>6</v>
      </c>
      <c r="C1418" s="6" t="s">
        <v>64</v>
      </c>
      <c r="D1418" s="6" t="s">
        <v>411</v>
      </c>
      <c r="E1418" s="6" t="s">
        <v>369</v>
      </c>
      <c r="F1418" s="6" t="str">
        <f>IF($M1418="PADD I","PADD 1",IF($M1418="PADD II","PADD 2",IF($M1418="PADD III","PADD 3",IF($M1418="PADD IV","PADD 4",IF($M1418="PADD V","PADD 5","")))))</f>
        <v>PADD 1</v>
      </c>
      <c r="G1418" s="6">
        <f>IF(AND($H1418="ATMOS DISTILLATION",ISNUMBER(SEARCH("VPS",$I1418))=FALSE,LEFT($I1418,6)&lt;&gt;"VACUUM"),"CDU",IF($H1418="FLUID CAT CRACKING","FCC",IF(OR($H1418="HYDROCRACKING",$H1418="RESID_HYDROCRACKING"),"Hydrocracker",IF($H1418="REFORMING","Reformer",""))))</f>
        <v/>
      </c>
      <c r="H1418" s="6" t="s">
        <v>43</v>
      </c>
      <c r="I1418" s="6" t="s">
        <v>488</v>
      </c>
      <c r="J1418" s="6" t="s">
        <v>345</v>
      </c>
      <c r="K1418" s="10">
        <v>20.79</v>
      </c>
      <c r="L1418" s="10">
        <v>27</v>
      </c>
      <c r="M1418" s="6" t="s">
        <v>413</v>
      </c>
    </row>
    <row r="1419" spans="1:13">
      <c r="A1419" s="6">
        <v>2023</v>
      </c>
      <c r="B1419" s="6">
        <v>6</v>
      </c>
      <c r="C1419" s="6" t="s">
        <v>64</v>
      </c>
      <c r="D1419" s="6" t="s">
        <v>420</v>
      </c>
      <c r="E1419" s="6" t="s">
        <v>373</v>
      </c>
      <c r="F1419" s="6" t="str">
        <f>IF($M1419="PADD I","PADD 1",IF($M1419="PADD II","PADD 2",IF($M1419="PADD III","PADD 3",IF($M1419="PADD IV","PADD 4",IF($M1419="PADD V","PADD 5","")))))</f>
        <v>PADD 2</v>
      </c>
      <c r="G1419" s="6">
        <f>IF(AND($H1419="ATMOS DISTILLATION",ISNUMBER(SEARCH("VPS",$I1419))=FALSE,LEFT($I1419,6)&lt;&gt;"VACUUM"),"CDU",IF($H1419="FLUID CAT CRACKING","FCC",IF(OR($H1419="HYDROCRACKING",$H1419="RESID_HYDROCRACKING"),"Hydrocracker",IF($H1419="REFORMING","Reformer",""))))</f>
        <v/>
      </c>
      <c r="H1419" s="6" t="s">
        <v>378</v>
      </c>
      <c r="I1419" s="6" t="s">
        <v>431</v>
      </c>
      <c r="J1419" s="6" t="s">
        <v>345</v>
      </c>
      <c r="K1419" s="10">
        <v>20.5</v>
      </c>
      <c r="L1419" s="10">
        <v>20.5</v>
      </c>
      <c r="M1419" s="6" t="s">
        <v>375</v>
      </c>
    </row>
    <row r="1420" spans="1:13">
      <c r="A1420" s="6">
        <v>2023</v>
      </c>
      <c r="B1420" s="6">
        <v>6</v>
      </c>
      <c r="C1420" s="6" t="s">
        <v>64</v>
      </c>
      <c r="D1420" s="6" t="s">
        <v>372</v>
      </c>
      <c r="E1420" s="6" t="s">
        <v>373</v>
      </c>
      <c r="F1420" s="6" t="str">
        <f>IF($M1420="PADD I","PADD 1",IF($M1420="PADD II","PADD 2",IF($M1420="PADD III","PADD 3",IF($M1420="PADD IV","PADD 4",IF($M1420="PADD V","PADD 5","")))))</f>
        <v>PADD 2</v>
      </c>
      <c r="G1420" s="6" t="str">
        <f>IF(AND($H1420="ATMOS DISTILLATION",ISNUMBER(SEARCH("VPS",$I1420))=FALSE,LEFT($I1420,6)&lt;&gt;"VACUUM"),"CDU",IF($H1420="FLUID CAT CRACKING","FCC",IF(OR($H1420="HYDROCRACKING",$H1420="RESID_HYDROCRACKING"),"Hydrocracker",IF($H1420="REFORMING","Reformer",""))))</f>
        <v>FCC</v>
      </c>
      <c r="H1420" s="6" t="s">
        <v>376</v>
      </c>
      <c r="I1420" s="6" t="s">
        <v>407</v>
      </c>
      <c r="J1420" s="6" t="s">
        <v>345</v>
      </c>
      <c r="K1420" s="10">
        <v>20.35</v>
      </c>
      <c r="L1420" s="10">
        <v>55</v>
      </c>
      <c r="M1420" s="6" t="s">
        <v>375</v>
      </c>
    </row>
    <row r="1421" spans="1:13">
      <c r="A1421" s="6">
        <v>2023</v>
      </c>
      <c r="B1421" s="6">
        <v>6</v>
      </c>
      <c r="C1421" s="6" t="s">
        <v>64</v>
      </c>
      <c r="D1421" s="6" t="s">
        <v>496</v>
      </c>
      <c r="E1421" s="6" t="s">
        <v>388</v>
      </c>
      <c r="F1421" s="6" t="str">
        <f>IF($M1421="PADD I","PADD 1",IF($M1421="PADD II","PADD 2",IF($M1421="PADD III","PADD 3",IF($M1421="PADD IV","PADD 4",IF($M1421="PADD V","PADD 5","")))))</f>
        <v>PADD 2</v>
      </c>
      <c r="G1421" s="6" t="str">
        <f>IF(AND($H1421="ATMOS DISTILLATION",ISNUMBER(SEARCH("VPS",$I1421))=FALSE,LEFT($I1421,6)&lt;&gt;"VACUUM"),"CDU",IF($H1421="FLUID CAT CRACKING","FCC",IF(OR($H1421="HYDROCRACKING",$H1421="RESID_HYDROCRACKING"),"Hydrocracker",IF($H1421="REFORMING","Reformer",""))))</f>
        <v>CDU</v>
      </c>
      <c r="H1421" s="6" t="s">
        <v>38</v>
      </c>
      <c r="I1421" s="6" t="s">
        <v>81</v>
      </c>
      <c r="J1421" s="6" t="s">
        <v>349</v>
      </c>
      <c r="K1421" s="10">
        <v>20</v>
      </c>
      <c r="L1421" s="10">
        <v>20</v>
      </c>
      <c r="M1421" s="6" t="s">
        <v>375</v>
      </c>
    </row>
    <row r="1422" spans="1:13">
      <c r="A1422" s="6">
        <v>2023</v>
      </c>
      <c r="B1422" s="6">
        <v>6</v>
      </c>
      <c r="C1422" s="6" t="s">
        <v>64</v>
      </c>
      <c r="D1422" s="6" t="s">
        <v>319</v>
      </c>
      <c r="E1422" s="6" t="s">
        <v>665</v>
      </c>
      <c r="F1422" s="6" t="str">
        <f>IF($M1422="PADD I","PADD 1",IF($M1422="PADD II","PADD 2",IF($M1422="PADD III","PADD 3",IF($M1422="PADD IV","PADD 4",IF($M1422="PADD V","PADD 5","")))))</f>
        <v>PADD 3</v>
      </c>
      <c r="G1422" s="6" t="str">
        <f>IF(AND($H1422="ATMOS DISTILLATION",ISNUMBER(SEARCH("VPS",$I1422))=FALSE,LEFT($I1422,6)&lt;&gt;"VACUUM"),"CDU",IF($H1422="FLUID CAT CRACKING","FCC",IF(OR($H1422="HYDROCRACKING",$H1422="RESID_HYDROCRACKING"),"Hydrocracker",IF($H1422="REFORMING","Reformer",""))))</f>
        <v>FCC</v>
      </c>
      <c r="H1422" s="6" t="s">
        <v>376</v>
      </c>
      <c r="I1422" s="6" t="s">
        <v>875</v>
      </c>
      <c r="J1422" s="6" t="s">
        <v>345</v>
      </c>
      <c r="K1422" s="10">
        <v>19.04</v>
      </c>
      <c r="L1422" s="10">
        <v>112</v>
      </c>
      <c r="M1422" s="6" t="s">
        <v>371</v>
      </c>
    </row>
    <row r="1423" spans="1:13">
      <c r="A1423" s="6">
        <v>2023</v>
      </c>
      <c r="B1423" s="6">
        <v>6</v>
      </c>
      <c r="C1423" s="6" t="s">
        <v>64</v>
      </c>
      <c r="D1423" s="6" t="s">
        <v>372</v>
      </c>
      <c r="E1423" s="6" t="s">
        <v>373</v>
      </c>
      <c r="F1423" s="6" t="str">
        <f>IF($M1423="PADD I","PADD 1",IF($M1423="PADD II","PADD 2",IF($M1423="PADD III","PADD 3",IF($M1423="PADD IV","PADD 4",IF($M1423="PADD V","PADD 5","")))))</f>
        <v>PADD 2</v>
      </c>
      <c r="G1423" s="6" t="str">
        <f>IF(AND($H1423="ATMOS DISTILLATION",ISNUMBER(SEARCH("VPS",$I1423))=FALSE,LEFT($I1423,6)&lt;&gt;"VACUUM"),"CDU",IF($H1423="FLUID CAT CRACKING","FCC",IF(OR($H1423="HYDROCRACKING",$H1423="RESID_HYDROCRACKING"),"Hydrocracker",IF($H1423="REFORMING","Reformer",""))))</f>
        <v>Reformer</v>
      </c>
      <c r="H1423" s="6" t="s">
        <v>421</v>
      </c>
      <c r="I1423" s="6" t="s">
        <v>423</v>
      </c>
      <c r="J1423" s="6" t="s">
        <v>345</v>
      </c>
      <c r="K1423" s="10">
        <v>18.06</v>
      </c>
      <c r="L1423" s="10">
        <v>42</v>
      </c>
      <c r="M1423" s="6" t="s">
        <v>375</v>
      </c>
    </row>
    <row r="1424" spans="1:13">
      <c r="A1424" s="6">
        <v>2023</v>
      </c>
      <c r="B1424" s="6">
        <v>6</v>
      </c>
      <c r="C1424" s="6" t="s">
        <v>64</v>
      </c>
      <c r="D1424" s="6" t="s">
        <v>372</v>
      </c>
      <c r="E1424" s="6" t="s">
        <v>373</v>
      </c>
      <c r="F1424" s="6" t="str">
        <f>IF($M1424="PADD I","PADD 1",IF($M1424="PADD II","PADD 2",IF($M1424="PADD III","PADD 3",IF($M1424="PADD IV","PADD 4",IF($M1424="PADD V","PADD 5","")))))</f>
        <v>PADD 2</v>
      </c>
      <c r="G1424" s="6">
        <f>IF(AND($H1424="ATMOS DISTILLATION",ISNUMBER(SEARCH("VPS",$I1424))=FALSE,LEFT($I1424,6)&lt;&gt;"VACUUM"),"CDU",IF($H1424="FLUID CAT CRACKING","FCC",IF(OR($H1424="HYDROCRACKING",$H1424="RESID_HYDROCRACKING"),"Hydrocracker",IF($H1424="REFORMING","Reformer",""))))</f>
        <v/>
      </c>
      <c r="H1424" s="6" t="s">
        <v>43</v>
      </c>
      <c r="I1424" s="6" t="s">
        <v>433</v>
      </c>
      <c r="J1424" s="6" t="s">
        <v>345</v>
      </c>
      <c r="K1424" s="10">
        <v>17.2</v>
      </c>
      <c r="L1424" s="10">
        <v>40</v>
      </c>
      <c r="M1424" s="6" t="s">
        <v>375</v>
      </c>
    </row>
    <row r="1425" spans="1:13">
      <c r="A1425" s="6">
        <v>2023</v>
      </c>
      <c r="B1425" s="6">
        <v>6</v>
      </c>
      <c r="C1425" s="6" t="s">
        <v>64</v>
      </c>
      <c r="D1425" s="6" t="s">
        <v>576</v>
      </c>
      <c r="E1425" s="6" t="s">
        <v>369</v>
      </c>
      <c r="F1425" s="6" t="str">
        <f>IF($M1425="PADD I","PADD 1",IF($M1425="PADD II","PADD 2",IF($M1425="PADD III","PADD 3",IF($M1425="PADD IV","PADD 4",IF($M1425="PADD V","PADD 5","")))))</f>
        <v>PADD 3</v>
      </c>
      <c r="G1425" s="6" t="str">
        <f>IF(AND($H1425="ATMOS DISTILLATION",ISNUMBER(SEARCH("VPS",$I1425))=FALSE,LEFT($I1425,6)&lt;&gt;"VACUUM"),"CDU",IF($H1425="FLUID CAT CRACKING","FCC",IF(OR($H1425="HYDROCRACKING",$H1425="RESID_HYDROCRACKING"),"Hydrocracker",IF($H1425="REFORMING","Reformer",""))))</f>
        <v>Reformer</v>
      </c>
      <c r="H1425" s="6" t="s">
        <v>421</v>
      </c>
      <c r="I1425" s="6" t="s">
        <v>876</v>
      </c>
      <c r="J1425" s="6" t="s">
        <v>345</v>
      </c>
      <c r="K1425" s="10">
        <v>17</v>
      </c>
      <c r="L1425" s="10">
        <v>34</v>
      </c>
      <c r="M1425" s="6" t="s">
        <v>371</v>
      </c>
    </row>
    <row r="1426" spans="1:13">
      <c r="A1426" s="6">
        <v>2023</v>
      </c>
      <c r="B1426" s="6">
        <v>6</v>
      </c>
      <c r="C1426" s="6" t="s">
        <v>64</v>
      </c>
      <c r="D1426" s="6" t="s">
        <v>437</v>
      </c>
      <c r="E1426" s="6" t="s">
        <v>438</v>
      </c>
      <c r="F1426" s="6" t="str">
        <f>IF($M1426="PADD I","PADD 1",IF($M1426="PADD II","PADD 2",IF($M1426="PADD III","PADD 3",IF($M1426="PADD IV","PADD 4",IF($M1426="PADD V","PADD 5","")))))</f>
        <v>PADD 4</v>
      </c>
      <c r="G1426" s="6">
        <f>IF(AND($H1426="ATMOS DISTILLATION",ISNUMBER(SEARCH("VPS",$I1426))=FALSE,LEFT($I1426,6)&lt;&gt;"VACUUM"),"CDU",IF($H1426="FLUID CAT CRACKING","FCC",IF(OR($H1426="HYDROCRACKING",$H1426="RESID_HYDROCRACKING"),"Hydrocracker",IF($H1426="REFORMING","Reformer",""))))</f>
        <v/>
      </c>
      <c r="H1426" s="6" t="s">
        <v>378</v>
      </c>
      <c r="I1426" s="6" t="s">
        <v>494</v>
      </c>
      <c r="J1426" s="6" t="s">
        <v>349</v>
      </c>
      <c r="K1426" s="10">
        <v>16.6</v>
      </c>
      <c r="L1426" s="10">
        <v>20</v>
      </c>
      <c r="M1426" s="6" t="s">
        <v>430</v>
      </c>
    </row>
    <row r="1427" spans="1:13">
      <c r="A1427" s="6">
        <v>2023</v>
      </c>
      <c r="B1427" s="6">
        <v>6</v>
      </c>
      <c r="C1427" s="6" t="s">
        <v>64</v>
      </c>
      <c r="D1427" s="6" t="s">
        <v>468</v>
      </c>
      <c r="E1427" s="6" t="s">
        <v>369</v>
      </c>
      <c r="F1427" s="6" t="str">
        <f>IF($M1427="PADD I","PADD 1",IF($M1427="PADD II","PADD 2",IF($M1427="PADD III","PADD 3",IF($M1427="PADD IV","PADD 4",IF($M1427="PADD V","PADD 5","")))))</f>
        <v>PADD 3</v>
      </c>
      <c r="G1427" s="6" t="str">
        <f>IF(AND($H1427="ATMOS DISTILLATION",ISNUMBER(SEARCH("VPS",$I1427))=FALSE,LEFT($I1427,6)&lt;&gt;"VACUUM"),"CDU",IF($H1427="FLUID CAT CRACKING","FCC",IF(OR($H1427="HYDROCRACKING",$H1427="RESID_HYDROCRACKING"),"Hydrocracker",IF($H1427="REFORMING","Reformer",""))))</f>
        <v>CDU</v>
      </c>
      <c r="H1427" s="6" t="s">
        <v>38</v>
      </c>
      <c r="I1427" s="6" t="s">
        <v>561</v>
      </c>
      <c r="J1427" s="6" t="s">
        <v>345</v>
      </c>
      <c r="K1427" s="10">
        <v>16.4</v>
      </c>
      <c r="L1427" s="10">
        <v>20.5</v>
      </c>
      <c r="M1427" s="6" t="s">
        <v>371</v>
      </c>
    </row>
    <row r="1428" spans="1:13">
      <c r="A1428" s="6">
        <v>2023</v>
      </c>
      <c r="B1428" s="6">
        <v>6</v>
      </c>
      <c r="C1428" s="6" t="s">
        <v>64</v>
      </c>
      <c r="D1428" s="6" t="s">
        <v>334</v>
      </c>
      <c r="E1428" s="6" t="s">
        <v>552</v>
      </c>
      <c r="F1428" s="6" t="str">
        <f>IF($M1428="PADD I","PADD 1",IF($M1428="PADD II","PADD 2",IF($M1428="PADD III","PADD 3",IF($M1428="PADD IV","PADD 4",IF($M1428="PADD V","PADD 5","")))))</f>
        <v>PADD 3</v>
      </c>
      <c r="G1428" s="6" t="str">
        <f>IF(AND($H1428="ATMOS DISTILLATION",ISNUMBER(SEARCH("VPS",$I1428))=FALSE,LEFT($I1428,6)&lt;&gt;"VACUUM"),"CDU",IF($H1428="FLUID CAT CRACKING","FCC",IF(OR($H1428="HYDROCRACKING",$H1428="RESID_HYDROCRACKING"),"Hydrocracker",IF($H1428="REFORMING","Reformer",""))))</f>
        <v>CDU</v>
      </c>
      <c r="H1428" s="6" t="s">
        <v>38</v>
      </c>
      <c r="I1428" s="6" t="s">
        <v>137</v>
      </c>
      <c r="J1428" s="6" t="s">
        <v>345</v>
      </c>
      <c r="K1428" s="10">
        <v>16</v>
      </c>
      <c r="L1428" s="10">
        <v>80</v>
      </c>
      <c r="M1428" s="6" t="s">
        <v>371</v>
      </c>
    </row>
    <row r="1429" spans="1:13">
      <c r="A1429" s="6">
        <v>2023</v>
      </c>
      <c r="B1429" s="6">
        <v>6</v>
      </c>
      <c r="C1429" s="6" t="s">
        <v>64</v>
      </c>
      <c r="D1429" s="6" t="s">
        <v>319</v>
      </c>
      <c r="E1429" s="6" t="s">
        <v>665</v>
      </c>
      <c r="F1429" s="6" t="str">
        <f>IF($M1429="PADD I","PADD 1",IF($M1429="PADD II","PADD 2",IF($M1429="PADD III","PADD 3",IF($M1429="PADD IV","PADD 4",IF($M1429="PADD V","PADD 5","")))))</f>
        <v>PADD 3</v>
      </c>
      <c r="G1429" s="6">
        <f>IF(AND($H1429="ATMOS DISTILLATION",ISNUMBER(SEARCH("VPS",$I1429))=FALSE,LEFT($I1429,6)&lt;&gt;"VACUUM"),"CDU",IF($H1429="FLUID CAT CRACKING","FCC",IF(OR($H1429="HYDROCRACKING",$H1429="RESID_HYDROCRACKING"),"Hydrocracker",IF($H1429="REFORMING","Reformer",""))))</f>
        <v/>
      </c>
      <c r="H1429" s="6" t="s">
        <v>378</v>
      </c>
      <c r="I1429" s="6" t="s">
        <v>877</v>
      </c>
      <c r="J1429" s="6" t="s">
        <v>345</v>
      </c>
      <c r="K1429" s="10">
        <v>15.521</v>
      </c>
      <c r="L1429" s="10">
        <v>91.3</v>
      </c>
      <c r="M1429" s="6" t="s">
        <v>371</v>
      </c>
    </row>
    <row r="1430" spans="1:13">
      <c r="A1430" s="6">
        <v>2023</v>
      </c>
      <c r="B1430" s="6">
        <v>6</v>
      </c>
      <c r="C1430" s="6" t="s">
        <v>64</v>
      </c>
      <c r="D1430" s="6" t="s">
        <v>468</v>
      </c>
      <c r="E1430" s="6" t="s">
        <v>369</v>
      </c>
      <c r="F1430" s="6" t="str">
        <f>IF($M1430="PADD I","PADD 1",IF($M1430="PADD II","PADD 2",IF($M1430="PADD III","PADD 3",IF($M1430="PADD IV","PADD 4",IF($M1430="PADD V","PADD 5","")))))</f>
        <v>PADD 3</v>
      </c>
      <c r="G1430" s="6" t="str">
        <f>IF(AND($H1430="ATMOS DISTILLATION",ISNUMBER(SEARCH("VPS",$I1430))=FALSE,LEFT($I1430,6)&lt;&gt;"VACUUM"),"CDU",IF($H1430="FLUID CAT CRACKING","FCC",IF(OR($H1430="HYDROCRACKING",$H1430="RESID_HYDROCRACKING"),"Hydrocracker",IF($H1430="REFORMING","Reformer",""))))</f>
        <v>CDU</v>
      </c>
      <c r="H1430" s="6" t="s">
        <v>38</v>
      </c>
      <c r="I1430" s="6" t="s">
        <v>565</v>
      </c>
      <c r="J1430" s="6" t="s">
        <v>345</v>
      </c>
      <c r="K1430" s="10">
        <v>14.8</v>
      </c>
      <c r="L1430" s="10">
        <v>18.5</v>
      </c>
      <c r="M1430" s="6" t="s">
        <v>371</v>
      </c>
    </row>
    <row r="1431" spans="1:13">
      <c r="A1431" s="6">
        <v>2023</v>
      </c>
      <c r="B1431" s="6">
        <v>6</v>
      </c>
      <c r="C1431" s="6" t="s">
        <v>64</v>
      </c>
      <c r="D1431" s="6" t="s">
        <v>878</v>
      </c>
      <c r="E1431" s="6" t="s">
        <v>452</v>
      </c>
      <c r="F1431" s="6" t="str">
        <f>IF($M1431="PADD I","PADD 1",IF($M1431="PADD II","PADD 2",IF($M1431="PADD III","PADD 3",IF($M1431="PADD IV","PADD 4",IF($M1431="PADD V","PADD 5","")))))</f>
        <v>PADD 2</v>
      </c>
      <c r="G1431" s="6" t="str">
        <f>IF(AND($H1431="ATMOS DISTILLATION",ISNUMBER(SEARCH("VPS",$I1431))=FALSE,LEFT($I1431,6)&lt;&gt;"VACUUM"),"CDU",IF($H1431="FLUID CAT CRACKING","FCC",IF(OR($H1431="HYDROCRACKING",$H1431="RESID_HYDROCRACKING"),"Hydrocracker",IF($H1431="REFORMING","Reformer",""))))</f>
        <v>CDU</v>
      </c>
      <c r="H1431" s="6" t="s">
        <v>38</v>
      </c>
      <c r="I1431" s="6" t="s">
        <v>879</v>
      </c>
      <c r="J1431" s="6" t="s">
        <v>345</v>
      </c>
      <c r="K1431" s="10">
        <v>14.45</v>
      </c>
      <c r="L1431" s="10">
        <v>85</v>
      </c>
      <c r="M1431" s="6" t="s">
        <v>375</v>
      </c>
    </row>
    <row r="1432" spans="1:13">
      <c r="A1432" s="6">
        <v>2023</v>
      </c>
      <c r="B1432" s="6">
        <v>6</v>
      </c>
      <c r="C1432" s="6" t="s">
        <v>64</v>
      </c>
      <c r="D1432" s="6" t="s">
        <v>880</v>
      </c>
      <c r="E1432" s="6" t="s">
        <v>881</v>
      </c>
      <c r="F1432" s="6" t="str">
        <f>IF($M1432="PADD I","PADD 1",IF($M1432="PADD II","PADD 2",IF($M1432="PADD III","PADD 3",IF($M1432="PADD IV","PADD 4",IF($M1432="PADD V","PADD 5","")))))</f>
        <v>PADD 3</v>
      </c>
      <c r="G1432" s="6" t="str">
        <f>IF(AND($H1432="ATMOS DISTILLATION",ISNUMBER(SEARCH("VPS",$I1432))=FALSE,LEFT($I1432,6)&lt;&gt;"VACUUM"),"CDU",IF($H1432="FLUID CAT CRACKING","FCC",IF(OR($H1432="HYDROCRACKING",$H1432="RESID_HYDROCRACKING"),"Hydrocracker",IF($H1432="REFORMING","Reformer",""))))</f>
        <v>CDU</v>
      </c>
      <c r="H1432" s="6" t="s">
        <v>38</v>
      </c>
      <c r="I1432" s="6" t="s">
        <v>131</v>
      </c>
      <c r="J1432" s="6" t="s">
        <v>349</v>
      </c>
      <c r="K1432" s="10">
        <v>13.5</v>
      </c>
      <c r="L1432" s="10">
        <v>13.5</v>
      </c>
      <c r="M1432" s="6" t="s">
        <v>371</v>
      </c>
    </row>
    <row r="1433" spans="1:13">
      <c r="A1433" s="6">
        <v>2023</v>
      </c>
      <c r="B1433" s="6">
        <v>6</v>
      </c>
      <c r="C1433" s="6" t="s">
        <v>64</v>
      </c>
      <c r="D1433" s="6" t="s">
        <v>420</v>
      </c>
      <c r="E1433" s="6" t="s">
        <v>373</v>
      </c>
      <c r="F1433" s="6" t="str">
        <f>IF($M1433="PADD I","PADD 1",IF($M1433="PADD II","PADD 2",IF($M1433="PADD III","PADD 3",IF($M1433="PADD IV","PADD 4",IF($M1433="PADD V","PADD 5","")))))</f>
        <v>PADD 2</v>
      </c>
      <c r="G1433" s="6" t="str">
        <f>IF(AND($H1433="ATMOS DISTILLATION",ISNUMBER(SEARCH("VPS",$I1433))=FALSE,LEFT($I1433,6)&lt;&gt;"VACUUM"),"CDU",IF($H1433="FLUID CAT CRACKING","FCC",IF(OR($H1433="HYDROCRACKING",$H1433="RESID_HYDROCRACKING"),"Hydrocracker",IF($H1433="REFORMING","Reformer",""))))</f>
        <v>FCC</v>
      </c>
      <c r="H1433" s="6" t="s">
        <v>376</v>
      </c>
      <c r="I1433" s="6" t="s">
        <v>105</v>
      </c>
      <c r="J1433" s="6" t="s">
        <v>345</v>
      </c>
      <c r="K1433" s="10">
        <v>13</v>
      </c>
      <c r="L1433" s="10">
        <v>13</v>
      </c>
      <c r="M1433" s="6" t="s">
        <v>375</v>
      </c>
    </row>
    <row r="1434" spans="1:13">
      <c r="A1434" s="6">
        <v>2023</v>
      </c>
      <c r="B1434" s="6">
        <v>6</v>
      </c>
      <c r="C1434" s="6" t="s">
        <v>64</v>
      </c>
      <c r="D1434" s="6" t="s">
        <v>762</v>
      </c>
      <c r="E1434" s="6" t="s">
        <v>763</v>
      </c>
      <c r="F1434" s="6" t="str">
        <f>IF($M1434="PADD I","PADD 1",IF($M1434="PADD II","PADD 2",IF($M1434="PADD III","PADD 3",IF($M1434="PADD IV","PADD 4",IF($M1434="PADD V","PADD 5","")))))</f>
        <v>PADD 2</v>
      </c>
      <c r="G1434" s="6">
        <f>IF(AND($H1434="ATMOS DISTILLATION",ISNUMBER(SEARCH("VPS",$I1434))=FALSE,LEFT($I1434,6)&lt;&gt;"VACUUM"),"CDU",IF($H1434="FLUID CAT CRACKING","FCC",IF(OR($H1434="HYDROCRACKING",$H1434="RESID_HYDROCRACKING"),"Hydrocracker",IF($H1434="REFORMING","Reformer",""))))</f>
        <v/>
      </c>
      <c r="H1434" s="6" t="s">
        <v>43</v>
      </c>
      <c r="I1434" s="6" t="s">
        <v>458</v>
      </c>
      <c r="J1434" s="6" t="s">
        <v>345</v>
      </c>
      <c r="K1434" s="10">
        <v>13</v>
      </c>
      <c r="L1434" s="10">
        <v>13</v>
      </c>
      <c r="M1434" s="6" t="s">
        <v>375</v>
      </c>
    </row>
    <row r="1435" spans="1:13">
      <c r="A1435" s="6">
        <v>2023</v>
      </c>
      <c r="B1435" s="6">
        <v>6</v>
      </c>
      <c r="C1435" s="6" t="s">
        <v>64</v>
      </c>
      <c r="D1435" s="6" t="s">
        <v>372</v>
      </c>
      <c r="E1435" s="6" t="s">
        <v>373</v>
      </c>
      <c r="F1435" s="6" t="str">
        <f>IF($M1435="PADD I","PADD 1",IF($M1435="PADD II","PADD 2",IF($M1435="PADD III","PADD 3",IF($M1435="PADD IV","PADD 4",IF($M1435="PADD V","PADD 5","")))))</f>
        <v>PADD 2</v>
      </c>
      <c r="G1435" s="6">
        <f>IF(AND($H1435="ATMOS DISTILLATION",ISNUMBER(SEARCH("VPS",$I1435))=FALSE,LEFT($I1435,6)&lt;&gt;"VACUUM"),"CDU",IF($H1435="FLUID CAT CRACKING","FCC",IF(OR($H1435="HYDROCRACKING",$H1435="RESID_HYDROCRACKING"),"Hydrocracker",IF($H1435="REFORMING","Reformer",""))))</f>
        <v/>
      </c>
      <c r="H1435" s="6" t="s">
        <v>435</v>
      </c>
      <c r="I1435" s="6" t="s">
        <v>467</v>
      </c>
      <c r="J1435" s="6" t="s">
        <v>345</v>
      </c>
      <c r="K1435" s="10">
        <v>12.9</v>
      </c>
      <c r="L1435" s="10">
        <v>30</v>
      </c>
      <c r="M1435" s="6" t="s">
        <v>375</v>
      </c>
    </row>
    <row r="1436" spans="1:13">
      <c r="A1436" s="6">
        <v>2023</v>
      </c>
      <c r="B1436" s="6">
        <v>6</v>
      </c>
      <c r="C1436" s="6" t="s">
        <v>64</v>
      </c>
      <c r="D1436" s="6" t="s">
        <v>319</v>
      </c>
      <c r="E1436" s="6" t="s">
        <v>665</v>
      </c>
      <c r="F1436" s="6" t="str">
        <f>IF($M1436="PADD I","PADD 1",IF($M1436="PADD II","PADD 2",IF($M1436="PADD III","PADD 3",IF($M1436="PADD IV","PADD 4",IF($M1436="PADD V","PADD 5","")))))</f>
        <v>PADD 3</v>
      </c>
      <c r="G1436" s="6">
        <f>IF(AND($H1436="ATMOS DISTILLATION",ISNUMBER(SEARCH("VPS",$I1436))=FALSE,LEFT($I1436,6)&lt;&gt;"VACUUM"),"CDU",IF($H1436="FLUID CAT CRACKING","FCC",IF(OR($H1436="HYDROCRACKING",$H1436="RESID_HYDROCRACKING"),"Hydrocracker",IF($H1436="REFORMING","Reformer",""))))</f>
        <v/>
      </c>
      <c r="H1436" s="6" t="s">
        <v>43</v>
      </c>
      <c r="I1436" s="6" t="s">
        <v>882</v>
      </c>
      <c r="J1436" s="6" t="s">
        <v>345</v>
      </c>
      <c r="K1436" s="10">
        <v>12.65</v>
      </c>
      <c r="L1436" s="10">
        <v>55</v>
      </c>
      <c r="M1436" s="6" t="s">
        <v>371</v>
      </c>
    </row>
    <row r="1437" spans="1:13">
      <c r="A1437" s="6">
        <v>2023</v>
      </c>
      <c r="B1437" s="6">
        <v>6</v>
      </c>
      <c r="C1437" s="6" t="s">
        <v>64</v>
      </c>
      <c r="D1437" s="6" t="s">
        <v>496</v>
      </c>
      <c r="E1437" s="6" t="s">
        <v>388</v>
      </c>
      <c r="F1437" s="6" t="str">
        <f>IF($M1437="PADD I","PADD 1",IF($M1437="PADD II","PADD 2",IF($M1437="PADD III","PADD 3",IF($M1437="PADD IV","PADD 4",IF($M1437="PADD V","PADD 5","")))))</f>
        <v>PADD 2</v>
      </c>
      <c r="G1437" s="6">
        <f>IF(AND($H1437="ATMOS DISTILLATION",ISNUMBER(SEARCH("VPS",$I1437))=FALSE,LEFT($I1437,6)&lt;&gt;"VACUUM"),"CDU",IF($H1437="FLUID CAT CRACKING","FCC",IF(OR($H1437="HYDROCRACKING",$H1437="RESID_HYDROCRACKING"),"Hydrocracker",IF($H1437="REFORMING","Reformer",""))))</f>
        <v/>
      </c>
      <c r="H1437" s="6" t="s">
        <v>378</v>
      </c>
      <c r="I1437" s="6" t="s">
        <v>536</v>
      </c>
      <c r="J1437" s="6" t="s">
        <v>349</v>
      </c>
      <c r="K1437" s="10">
        <v>12</v>
      </c>
      <c r="L1437" s="10">
        <v>12</v>
      </c>
      <c r="M1437" s="6" t="s">
        <v>375</v>
      </c>
    </row>
    <row r="1438" spans="1:13">
      <c r="A1438" s="6">
        <v>2023</v>
      </c>
      <c r="B1438" s="6">
        <v>6</v>
      </c>
      <c r="C1438" s="6" t="s">
        <v>64</v>
      </c>
      <c r="D1438" s="6" t="s">
        <v>576</v>
      </c>
      <c r="E1438" s="6" t="s">
        <v>369</v>
      </c>
      <c r="F1438" s="6" t="str">
        <f>IF($M1438="PADD I","PADD 1",IF($M1438="PADD II","PADD 2",IF($M1438="PADD III","PADD 3",IF($M1438="PADD IV","PADD 4",IF($M1438="PADD V","PADD 5","")))))</f>
        <v>PADD 3</v>
      </c>
      <c r="G1438" s="6" t="str">
        <f>IF(AND($H1438="ATMOS DISTILLATION",ISNUMBER(SEARCH("VPS",$I1438))=FALSE,LEFT($I1438,6)&lt;&gt;"VACUUM"),"CDU",IF($H1438="FLUID CAT CRACKING","FCC",IF(OR($H1438="HYDROCRACKING",$H1438="RESID_HYDROCRACKING"),"Hydrocracker",IF($H1438="REFORMING","Reformer",""))))</f>
        <v>Reformer</v>
      </c>
      <c r="H1438" s="6" t="s">
        <v>421</v>
      </c>
      <c r="I1438" s="6" t="s">
        <v>483</v>
      </c>
      <c r="J1438" s="6" t="s">
        <v>345</v>
      </c>
      <c r="K1438" s="10">
        <v>12</v>
      </c>
      <c r="L1438" s="10">
        <v>12</v>
      </c>
      <c r="M1438" s="6" t="s">
        <v>371</v>
      </c>
    </row>
    <row r="1439" spans="1:13">
      <c r="A1439" s="6">
        <v>2023</v>
      </c>
      <c r="B1439" s="6">
        <v>6</v>
      </c>
      <c r="C1439" s="6" t="s">
        <v>64</v>
      </c>
      <c r="D1439" s="6" t="s">
        <v>646</v>
      </c>
      <c r="E1439" s="6" t="s">
        <v>405</v>
      </c>
      <c r="F1439" s="6" t="str">
        <f>IF($M1439="PADD I","PADD 1",IF($M1439="PADD II","PADD 2",IF($M1439="PADD III","PADD 3",IF($M1439="PADD IV","PADD 4",IF($M1439="PADD V","PADD 5","")))))</f>
        <v>PADD 3</v>
      </c>
      <c r="G1439" s="6">
        <f>IF(AND($H1439="ATMOS DISTILLATION",ISNUMBER(SEARCH("VPS",$I1439))=FALSE,LEFT($I1439,6)&lt;&gt;"VACUUM"),"CDU",IF($H1439="FLUID CAT CRACKING","FCC",IF(OR($H1439="HYDROCRACKING",$H1439="RESID_HYDROCRACKING"),"Hydrocracker",IF($H1439="REFORMING","Reformer",""))))</f>
        <v/>
      </c>
      <c r="H1439" s="6" t="s">
        <v>43</v>
      </c>
      <c r="I1439" s="6" t="s">
        <v>843</v>
      </c>
      <c r="J1439" s="6" t="s">
        <v>345</v>
      </c>
      <c r="K1439" s="10">
        <v>12</v>
      </c>
      <c r="L1439" s="10">
        <v>30</v>
      </c>
      <c r="M1439" s="6" t="s">
        <v>371</v>
      </c>
    </row>
    <row r="1440" spans="1:13">
      <c r="A1440" s="6">
        <v>2023</v>
      </c>
      <c r="B1440" s="6">
        <v>6</v>
      </c>
      <c r="C1440" s="6" t="s">
        <v>64</v>
      </c>
      <c r="D1440" s="6" t="s">
        <v>319</v>
      </c>
      <c r="E1440" s="6" t="s">
        <v>665</v>
      </c>
      <c r="F1440" s="6" t="str">
        <f>IF($M1440="PADD I","PADD 1",IF($M1440="PADD II","PADD 2",IF($M1440="PADD III","PADD 3",IF($M1440="PADD IV","PADD 4",IF($M1440="PADD V","PADD 5","")))))</f>
        <v>PADD 3</v>
      </c>
      <c r="G1440" s="6">
        <f>IF(AND($H1440="ATMOS DISTILLATION",ISNUMBER(SEARCH("VPS",$I1440))=FALSE,LEFT($I1440,6)&lt;&gt;"VACUUM"),"CDU",IF($H1440="FLUID CAT CRACKING","FCC",IF(OR($H1440="HYDROCRACKING",$H1440="RESID_HYDROCRACKING"),"Hydrocracker",IF($H1440="REFORMING","Reformer",""))))</f>
        <v/>
      </c>
      <c r="H1440" s="6" t="s">
        <v>43</v>
      </c>
      <c r="I1440" s="6" t="s">
        <v>883</v>
      </c>
      <c r="J1440" s="6" t="s">
        <v>345</v>
      </c>
      <c r="K1440" s="10">
        <v>11.5</v>
      </c>
      <c r="L1440" s="10">
        <v>50</v>
      </c>
      <c r="M1440" s="6" t="s">
        <v>371</v>
      </c>
    </row>
    <row r="1441" spans="1:13">
      <c r="A1441" s="6">
        <v>2023</v>
      </c>
      <c r="B1441" s="6">
        <v>6</v>
      </c>
      <c r="C1441" s="6" t="s">
        <v>64</v>
      </c>
      <c r="D1441" s="6" t="s">
        <v>411</v>
      </c>
      <c r="E1441" s="6" t="s">
        <v>369</v>
      </c>
      <c r="F1441" s="6" t="str">
        <f>IF($M1441="PADD I","PADD 1",IF($M1441="PADD II","PADD 2",IF($M1441="PADD III","PADD 3",IF($M1441="PADD IV","PADD 4",IF($M1441="PADD V","PADD 5","")))))</f>
        <v>PADD 1</v>
      </c>
      <c r="G1441" s="6">
        <f>IF(AND($H1441="ATMOS DISTILLATION",ISNUMBER(SEARCH("VPS",$I1441))=FALSE,LEFT($I1441,6)&lt;&gt;"VACUUM"),"CDU",IF($H1441="FLUID CAT CRACKING","FCC",IF(OR($H1441="HYDROCRACKING",$H1441="RESID_HYDROCRACKING"),"Hydrocracker",IF($H1441="REFORMING","Reformer",""))))</f>
        <v/>
      </c>
      <c r="H1441" s="6" t="s">
        <v>43</v>
      </c>
      <c r="I1441" s="6" t="s">
        <v>884</v>
      </c>
      <c r="J1441" s="6" t="s">
        <v>345</v>
      </c>
      <c r="K1441" s="10">
        <v>11.165</v>
      </c>
      <c r="L1441" s="10">
        <v>14.5</v>
      </c>
      <c r="M1441" s="6" t="s">
        <v>413</v>
      </c>
    </row>
    <row r="1442" spans="1:13">
      <c r="A1442" s="6">
        <v>2023</v>
      </c>
      <c r="B1442" s="6">
        <v>6</v>
      </c>
      <c r="C1442" s="6" t="s">
        <v>64</v>
      </c>
      <c r="D1442" s="6" t="s">
        <v>420</v>
      </c>
      <c r="E1442" s="6" t="s">
        <v>373</v>
      </c>
      <c r="F1442" s="6" t="str">
        <f>IF($M1442="PADD I","PADD 1",IF($M1442="PADD II","PADD 2",IF($M1442="PADD III","PADD 3",IF($M1442="PADD IV","PADD 4",IF($M1442="PADD V","PADD 5","")))))</f>
        <v>PADD 2</v>
      </c>
      <c r="G1442" s="6">
        <f>IF(AND($H1442="ATMOS DISTILLATION",ISNUMBER(SEARCH("VPS",$I1442))=FALSE,LEFT($I1442,6)&lt;&gt;"VACUUM"),"CDU",IF($H1442="FLUID CAT CRACKING","FCC",IF(OR($H1442="HYDROCRACKING",$H1442="RESID_HYDROCRACKING"),"Hydrocracker",IF($H1442="REFORMING","Reformer",""))))</f>
        <v/>
      </c>
      <c r="H1442" s="6" t="s">
        <v>43</v>
      </c>
      <c r="I1442" s="6" t="s">
        <v>546</v>
      </c>
      <c r="J1442" s="6" t="s">
        <v>345</v>
      </c>
      <c r="K1442" s="10">
        <v>11</v>
      </c>
      <c r="L1442" s="10">
        <v>11</v>
      </c>
      <c r="M1442" s="6" t="s">
        <v>375</v>
      </c>
    </row>
    <row r="1443" spans="1:13">
      <c r="A1443" s="6">
        <v>2023</v>
      </c>
      <c r="B1443" s="6">
        <v>6</v>
      </c>
      <c r="C1443" s="6" t="s">
        <v>64</v>
      </c>
      <c r="D1443" s="6" t="s">
        <v>411</v>
      </c>
      <c r="E1443" s="6" t="s">
        <v>369</v>
      </c>
      <c r="F1443" s="6" t="str">
        <f>IF($M1443="PADD I","PADD 1",IF($M1443="PADD II","PADD 2",IF($M1443="PADD III","PADD 3",IF($M1443="PADD IV","PADD 4",IF($M1443="PADD V","PADD 5","")))))</f>
        <v>PADD 1</v>
      </c>
      <c r="G1443" s="6">
        <f>IF(AND($H1443="ATMOS DISTILLATION",ISNUMBER(SEARCH("VPS",$I1443))=FALSE,LEFT($I1443,6)&lt;&gt;"VACUUM"),"CDU",IF($H1443="FLUID CAT CRACKING","FCC",IF(OR($H1443="HYDROCRACKING",$H1443="RESID_HYDROCRACKING"),"Hydrocracker",IF($H1443="REFORMING","Reformer",""))))</f>
        <v/>
      </c>
      <c r="H1443" s="6" t="s">
        <v>43</v>
      </c>
      <c r="I1443" s="6" t="s">
        <v>885</v>
      </c>
      <c r="J1443" s="6" t="s">
        <v>345</v>
      </c>
      <c r="K1443" s="10">
        <v>10.78</v>
      </c>
      <c r="L1443" s="10">
        <v>14</v>
      </c>
      <c r="M1443" s="6" t="s">
        <v>413</v>
      </c>
    </row>
    <row r="1444" spans="1:13">
      <c r="A1444" s="6">
        <v>2023</v>
      </c>
      <c r="B1444" s="6">
        <v>6</v>
      </c>
      <c r="C1444" s="6" t="s">
        <v>64</v>
      </c>
      <c r="D1444" s="6" t="s">
        <v>372</v>
      </c>
      <c r="E1444" s="6" t="s">
        <v>373</v>
      </c>
      <c r="F1444" s="6" t="str">
        <f>IF($M1444="PADD I","PADD 1",IF($M1444="PADD II","PADD 2",IF($M1444="PADD III","PADD 3",IF($M1444="PADD IV","PADD 4",IF($M1444="PADD V","PADD 5","")))))</f>
        <v>PADD 2</v>
      </c>
      <c r="G1444" s="6">
        <f>IF(AND($H1444="ATMOS DISTILLATION",ISNUMBER(SEARCH("VPS",$I1444))=FALSE,LEFT($I1444,6)&lt;&gt;"VACUUM"),"CDU",IF($H1444="FLUID CAT CRACKING","FCC",IF(OR($H1444="HYDROCRACKING",$H1444="RESID_HYDROCRACKING"),"Hydrocracker",IF($H1444="REFORMING","Reformer",""))))</f>
        <v/>
      </c>
      <c r="H1444" s="6" t="s">
        <v>43</v>
      </c>
      <c r="I1444" s="6" t="s">
        <v>479</v>
      </c>
      <c r="J1444" s="6" t="s">
        <v>345</v>
      </c>
      <c r="K1444" s="10">
        <v>10.75</v>
      </c>
      <c r="L1444" s="10">
        <v>25</v>
      </c>
      <c r="M1444" s="6" t="s">
        <v>375</v>
      </c>
    </row>
    <row r="1445" spans="1:13">
      <c r="A1445" s="6">
        <v>2023</v>
      </c>
      <c r="B1445" s="6">
        <v>6</v>
      </c>
      <c r="C1445" s="6" t="s">
        <v>64</v>
      </c>
      <c r="D1445" s="6" t="s">
        <v>372</v>
      </c>
      <c r="E1445" s="6" t="s">
        <v>373</v>
      </c>
      <c r="F1445" s="6" t="str">
        <f>IF($M1445="PADD I","PADD 1",IF($M1445="PADD II","PADD 2",IF($M1445="PADD III","PADD 3",IF($M1445="PADD IV","PADD 4",IF($M1445="PADD V","PADD 5","")))))</f>
        <v>PADD 2</v>
      </c>
      <c r="G1445" s="6">
        <f>IF(AND($H1445="ATMOS DISTILLATION",ISNUMBER(SEARCH("VPS",$I1445))=FALSE,LEFT($I1445,6)&lt;&gt;"VACUUM"),"CDU",IF($H1445="FLUID CAT CRACKING","FCC",IF(OR($H1445="HYDROCRACKING",$H1445="RESID_HYDROCRACKING"),"Hydrocracker",IF($H1445="REFORMING","Reformer",""))))</f>
        <v/>
      </c>
      <c r="H1445" s="6" t="s">
        <v>43</v>
      </c>
      <c r="I1445" s="6" t="s">
        <v>480</v>
      </c>
      <c r="J1445" s="6" t="s">
        <v>345</v>
      </c>
      <c r="K1445" s="10">
        <v>10.75</v>
      </c>
      <c r="L1445" s="10">
        <v>25</v>
      </c>
      <c r="M1445" s="6" t="s">
        <v>375</v>
      </c>
    </row>
    <row r="1446" spans="1:13">
      <c r="A1446" s="6">
        <v>2023</v>
      </c>
      <c r="B1446" s="6">
        <v>6</v>
      </c>
      <c r="C1446" s="6" t="s">
        <v>64</v>
      </c>
      <c r="D1446" s="6" t="s">
        <v>612</v>
      </c>
      <c r="E1446" s="6" t="s">
        <v>416</v>
      </c>
      <c r="F1446" s="6" t="str">
        <f>IF($M1446="PADD I","PADD 1",IF($M1446="PADD II","PADD 2",IF($M1446="PADD III","PADD 3",IF($M1446="PADD IV","PADD 4",IF($M1446="PADD V","PADD 5","")))))</f>
        <v>PADD 3</v>
      </c>
      <c r="G1446" s="6" t="str">
        <f>IF(AND($H1446="ATMOS DISTILLATION",ISNUMBER(SEARCH("VPS",$I1446))=FALSE,LEFT($I1446,6)&lt;&gt;"VACUUM"),"CDU",IF($H1446="FLUID CAT CRACKING","FCC",IF(OR($H1446="HYDROCRACKING",$H1446="RESID_HYDROCRACKING"),"Hydrocracker",IF($H1446="REFORMING","Reformer",""))))</f>
        <v>Reformer</v>
      </c>
      <c r="H1446" s="6" t="s">
        <v>421</v>
      </c>
      <c r="I1446" s="6" t="s">
        <v>755</v>
      </c>
      <c r="J1446" s="6" t="s">
        <v>349</v>
      </c>
      <c r="K1446" s="10">
        <v>10.6</v>
      </c>
      <c r="L1446" s="10">
        <v>20</v>
      </c>
      <c r="M1446" s="6" t="s">
        <v>371</v>
      </c>
    </row>
    <row r="1447" spans="1:13">
      <c r="A1447" s="6">
        <v>2023</v>
      </c>
      <c r="B1447" s="6">
        <v>6</v>
      </c>
      <c r="C1447" s="6" t="s">
        <v>64</v>
      </c>
      <c r="D1447" s="6" t="s">
        <v>772</v>
      </c>
      <c r="E1447" s="6" t="s">
        <v>405</v>
      </c>
      <c r="F1447" s="6" t="str">
        <f>IF($M1447="PADD I","PADD 1",IF($M1447="PADD II","PADD 2",IF($M1447="PADD III","PADD 3",IF($M1447="PADD IV","PADD 4",IF($M1447="PADD V","PADD 5","")))))</f>
        <v>PADD 3</v>
      </c>
      <c r="G1447" s="6">
        <f>IF(AND($H1447="ATMOS DISTILLATION",ISNUMBER(SEARCH("VPS",$I1447))=FALSE,LEFT($I1447,6)&lt;&gt;"VACUUM"),"CDU",IF($H1447="FLUID CAT CRACKING","FCC",IF(OR($H1447="HYDROCRACKING",$H1447="RESID_HYDROCRACKING"),"Hydrocracker",IF($H1447="REFORMING","Reformer",""))))</f>
        <v/>
      </c>
      <c r="H1447" s="6" t="s">
        <v>460</v>
      </c>
      <c r="I1447" s="6" t="s">
        <v>792</v>
      </c>
      <c r="J1447" s="6" t="s">
        <v>349</v>
      </c>
      <c r="K1447" s="10">
        <v>10.34</v>
      </c>
      <c r="L1447" s="10">
        <v>22</v>
      </c>
      <c r="M1447" s="6" t="s">
        <v>371</v>
      </c>
    </row>
    <row r="1448" spans="1:13">
      <c r="A1448" s="6">
        <v>2023</v>
      </c>
      <c r="B1448" s="6">
        <v>6</v>
      </c>
      <c r="C1448" s="6" t="s">
        <v>64</v>
      </c>
      <c r="D1448" s="6" t="s">
        <v>542</v>
      </c>
      <c r="E1448" s="6" t="s">
        <v>543</v>
      </c>
      <c r="F1448" s="6" t="str">
        <f>IF($M1448="PADD I","PADD 1",IF($M1448="PADD II","PADD 2",IF($M1448="PADD III","PADD 3",IF($M1448="PADD IV","PADD 4",IF($M1448="PADD V","PADD 5","")))))</f>
        <v>PADD 2</v>
      </c>
      <c r="G1448" s="6">
        <f>IF(AND($H1448="ATMOS DISTILLATION",ISNUMBER(SEARCH("VPS",$I1448))=FALSE,LEFT($I1448,6)&lt;&gt;"VACUUM"),"CDU",IF($H1448="FLUID CAT CRACKING","FCC",IF(OR($H1448="HYDROCRACKING",$H1448="RESID_HYDROCRACKING"),"Hydrocracker",IF($H1448="REFORMING","Reformer",""))))</f>
        <v/>
      </c>
      <c r="H1448" s="6" t="s">
        <v>435</v>
      </c>
      <c r="I1448" s="6" t="s">
        <v>441</v>
      </c>
      <c r="J1448" s="6" t="s">
        <v>345</v>
      </c>
      <c r="K1448" s="10">
        <v>10.2</v>
      </c>
      <c r="L1448" s="10">
        <v>102</v>
      </c>
      <c r="M1448" s="6" t="s">
        <v>375</v>
      </c>
    </row>
    <row r="1449" spans="1:13">
      <c r="A1449" s="6">
        <v>2023</v>
      </c>
      <c r="B1449" s="6">
        <v>6</v>
      </c>
      <c r="C1449" s="6" t="s">
        <v>64</v>
      </c>
      <c r="D1449" s="6" t="s">
        <v>372</v>
      </c>
      <c r="E1449" s="6" t="s">
        <v>373</v>
      </c>
      <c r="F1449" s="6" t="str">
        <f>IF($M1449="PADD I","PADD 1",IF($M1449="PADD II","PADD 2",IF($M1449="PADD III","PADD 3",IF($M1449="PADD IV","PADD 4",IF($M1449="PADD V","PADD 5","")))))</f>
        <v>PADD 2</v>
      </c>
      <c r="G1449" s="6">
        <f>IF(AND($H1449="ATMOS DISTILLATION",ISNUMBER(SEARCH("VPS",$I1449))=FALSE,LEFT($I1449,6)&lt;&gt;"VACUUM"),"CDU",IF($H1449="FLUID CAT CRACKING","FCC",IF(OR($H1449="HYDROCRACKING",$H1449="RESID_HYDROCRACKING"),"Hydrocracker",IF($H1449="REFORMING","Reformer",""))))</f>
        <v/>
      </c>
      <c r="H1449" s="6" t="s">
        <v>435</v>
      </c>
      <c r="I1449" s="6" t="s">
        <v>467</v>
      </c>
      <c r="J1449" s="6" t="s">
        <v>345</v>
      </c>
      <c r="K1449" s="10">
        <v>10.175</v>
      </c>
      <c r="L1449" s="10">
        <v>27.5</v>
      </c>
      <c r="M1449" s="6" t="s">
        <v>375</v>
      </c>
    </row>
    <row r="1450" spans="1:13">
      <c r="A1450" s="6">
        <v>2023</v>
      </c>
      <c r="B1450" s="6">
        <v>6</v>
      </c>
      <c r="C1450" s="6" t="s">
        <v>64</v>
      </c>
      <c r="D1450" s="6" t="s">
        <v>411</v>
      </c>
      <c r="E1450" s="6" t="s">
        <v>369</v>
      </c>
      <c r="F1450" s="6" t="str">
        <f>IF($M1450="PADD I","PADD 1",IF($M1450="PADD II","PADD 2",IF($M1450="PADD III","PADD 3",IF($M1450="PADD IV","PADD 4",IF($M1450="PADD V","PADD 5","")))))</f>
        <v>PADD 1</v>
      </c>
      <c r="G1450" s="6" t="str">
        <f>IF(AND($H1450="ATMOS DISTILLATION",ISNUMBER(SEARCH("VPS",$I1450))=FALSE,LEFT($I1450,6)&lt;&gt;"VACUUM"),"CDU",IF($H1450="FLUID CAT CRACKING","FCC",IF(OR($H1450="HYDROCRACKING",$H1450="RESID_HYDROCRACKING"),"Hydrocracker",IF($H1450="REFORMING","Reformer",""))))</f>
        <v>Reformer</v>
      </c>
      <c r="H1450" s="6" t="s">
        <v>421</v>
      </c>
      <c r="I1450" s="6" t="s">
        <v>886</v>
      </c>
      <c r="J1450" s="6" t="s">
        <v>345</v>
      </c>
      <c r="K1450" s="10">
        <v>10.01</v>
      </c>
      <c r="L1450" s="10">
        <v>13</v>
      </c>
      <c r="M1450" s="6" t="s">
        <v>413</v>
      </c>
    </row>
    <row r="1451" spans="1:13">
      <c r="A1451" s="6">
        <v>2023</v>
      </c>
      <c r="B1451" s="6">
        <v>6</v>
      </c>
      <c r="C1451" s="6" t="s">
        <v>64</v>
      </c>
      <c r="D1451" s="6" t="s">
        <v>887</v>
      </c>
      <c r="E1451" s="6" t="s">
        <v>405</v>
      </c>
      <c r="F1451" s="6" t="str">
        <f>IF($M1451="PADD I","PADD 1",IF($M1451="PADD II","PADD 2",IF($M1451="PADD III","PADD 3",IF($M1451="PADD IV","PADD 4",IF($M1451="PADD V","PADD 5","")))))</f>
        <v>PADD 3</v>
      </c>
      <c r="G1451" s="6" t="str">
        <f>IF(AND($H1451="ATMOS DISTILLATION",ISNUMBER(SEARCH("VPS",$I1451))=FALSE,LEFT($I1451,6)&lt;&gt;"VACUUM"),"CDU",IF($H1451="FLUID CAT CRACKING","FCC",IF(OR($H1451="HYDROCRACKING",$H1451="RESID_HYDROCRACKING"),"Hydrocracker",IF($H1451="REFORMING","Reformer",""))))</f>
        <v>FCC</v>
      </c>
      <c r="H1451" s="6" t="s">
        <v>376</v>
      </c>
      <c r="I1451" s="6" t="s">
        <v>806</v>
      </c>
      <c r="J1451" s="6" t="s">
        <v>345</v>
      </c>
      <c r="K1451" s="10">
        <v>9.6</v>
      </c>
      <c r="L1451" s="10">
        <v>24</v>
      </c>
      <c r="M1451" s="6" t="s">
        <v>371</v>
      </c>
    </row>
    <row r="1452" spans="1:13">
      <c r="A1452" s="6">
        <v>2023</v>
      </c>
      <c r="B1452" s="6">
        <v>6</v>
      </c>
      <c r="C1452" s="6" t="s">
        <v>64</v>
      </c>
      <c r="D1452" s="6" t="s">
        <v>395</v>
      </c>
      <c r="E1452" s="6" t="s">
        <v>396</v>
      </c>
      <c r="F1452" s="6" t="str">
        <f>IF($M1452="PADD I","PADD 1",IF($M1452="PADD II","PADD 2",IF($M1452="PADD III","PADD 3",IF($M1452="PADD IV","PADD 4",IF($M1452="PADD V","PADD 5","")))))</f>
        <v>PADD 3</v>
      </c>
      <c r="G1452" s="6">
        <f>IF(AND($H1452="ATMOS DISTILLATION",ISNUMBER(SEARCH("VPS",$I1452))=FALSE,LEFT($I1452,6)&lt;&gt;"VACUUM"),"CDU",IF($H1452="FLUID CAT CRACKING","FCC",IF(OR($H1452="HYDROCRACKING",$H1452="RESID_HYDROCRACKING"),"Hydrocracker",IF($H1452="REFORMING","Reformer",""))))</f>
        <v/>
      </c>
      <c r="H1452" s="6" t="s">
        <v>378</v>
      </c>
      <c r="I1452" s="6" t="s">
        <v>575</v>
      </c>
      <c r="J1452" s="6" t="s">
        <v>345</v>
      </c>
      <c r="K1452" s="10">
        <v>9.449999999999999</v>
      </c>
      <c r="L1452" s="10">
        <v>35</v>
      </c>
      <c r="M1452" s="6" t="s">
        <v>371</v>
      </c>
    </row>
    <row r="1453" spans="1:13">
      <c r="A1453" s="6">
        <v>2023</v>
      </c>
      <c r="B1453" s="6">
        <v>6</v>
      </c>
      <c r="C1453" s="6" t="s">
        <v>64</v>
      </c>
      <c r="D1453" s="6" t="s">
        <v>319</v>
      </c>
      <c r="E1453" s="6" t="s">
        <v>665</v>
      </c>
      <c r="F1453" s="6" t="str">
        <f>IF($M1453="PADD I","PADD 1",IF($M1453="PADD II","PADD 2",IF($M1453="PADD III","PADD 3",IF($M1453="PADD IV","PADD 4",IF($M1453="PADD V","PADD 5","")))))</f>
        <v>PADD 3</v>
      </c>
      <c r="G1453" s="6">
        <f>IF(AND($H1453="ATMOS DISTILLATION",ISNUMBER(SEARCH("VPS",$I1453))=FALSE,LEFT($I1453,6)&lt;&gt;"VACUUM"),"CDU",IF($H1453="FLUID CAT CRACKING","FCC",IF(OR($H1453="HYDROCRACKING",$H1453="RESID_HYDROCRACKING"),"Hydrocracker",IF($H1453="REFORMING","Reformer",""))))</f>
        <v/>
      </c>
      <c r="H1453" s="6" t="s">
        <v>43</v>
      </c>
      <c r="I1453" s="6" t="s">
        <v>888</v>
      </c>
      <c r="J1453" s="6" t="s">
        <v>345</v>
      </c>
      <c r="K1453" s="10">
        <v>9.199999999999999</v>
      </c>
      <c r="L1453" s="10">
        <v>40</v>
      </c>
      <c r="M1453" s="6" t="s">
        <v>371</v>
      </c>
    </row>
    <row r="1454" spans="1:13">
      <c r="A1454" s="6">
        <v>2023</v>
      </c>
      <c r="B1454" s="6">
        <v>6</v>
      </c>
      <c r="C1454" s="6" t="s">
        <v>64</v>
      </c>
      <c r="D1454" s="6" t="s">
        <v>319</v>
      </c>
      <c r="E1454" s="6" t="s">
        <v>665</v>
      </c>
      <c r="F1454" s="6" t="str">
        <f>IF($M1454="PADD I","PADD 1",IF($M1454="PADD II","PADD 2",IF($M1454="PADD III","PADD 3",IF($M1454="PADD IV","PADD 4",IF($M1454="PADD V","PADD 5","")))))</f>
        <v>PADD 3</v>
      </c>
      <c r="G1454" s="6" t="str">
        <f>IF(AND($H1454="ATMOS DISTILLATION",ISNUMBER(SEARCH("VPS",$I1454))=FALSE,LEFT($I1454,6)&lt;&gt;"VACUUM"),"CDU",IF($H1454="FLUID CAT CRACKING","FCC",IF(OR($H1454="HYDROCRACKING",$H1454="RESID_HYDROCRACKING"),"Hydrocracker",IF($H1454="REFORMING","Reformer",""))))</f>
        <v>Reformer</v>
      </c>
      <c r="H1454" s="6" t="s">
        <v>421</v>
      </c>
      <c r="I1454" s="6" t="s">
        <v>889</v>
      </c>
      <c r="J1454" s="6" t="s">
        <v>345</v>
      </c>
      <c r="K1454" s="10">
        <v>9.199999999999999</v>
      </c>
      <c r="L1454" s="10">
        <v>40</v>
      </c>
      <c r="M1454" s="6" t="s">
        <v>371</v>
      </c>
    </row>
    <row r="1455" spans="1:13">
      <c r="A1455" s="6">
        <v>2023</v>
      </c>
      <c r="B1455" s="6">
        <v>6</v>
      </c>
      <c r="C1455" s="6" t="s">
        <v>64</v>
      </c>
      <c r="D1455" s="6" t="s">
        <v>319</v>
      </c>
      <c r="E1455" s="6" t="s">
        <v>665</v>
      </c>
      <c r="F1455" s="6" t="str">
        <f>IF($M1455="PADD I","PADD 1",IF($M1455="PADD II","PADD 2",IF($M1455="PADD III","PADD 3",IF($M1455="PADD IV","PADD 4",IF($M1455="PADD V","PADD 5","")))))</f>
        <v>PADD 3</v>
      </c>
      <c r="G1455" s="6" t="str">
        <f>IF(AND($H1455="ATMOS DISTILLATION",ISNUMBER(SEARCH("VPS",$I1455))=FALSE,LEFT($I1455,6)&lt;&gt;"VACUUM"),"CDU",IF($H1455="FLUID CAT CRACKING","FCC",IF(OR($H1455="HYDROCRACKING",$H1455="RESID_HYDROCRACKING"),"Hydrocracker",IF($H1455="REFORMING","Reformer",""))))</f>
        <v>Hydrocracker</v>
      </c>
      <c r="H1455" s="6" t="s">
        <v>444</v>
      </c>
      <c r="I1455" s="6" t="s">
        <v>14</v>
      </c>
      <c r="J1455" s="6" t="s">
        <v>345</v>
      </c>
      <c r="K1455" s="10">
        <v>9.199999999999999</v>
      </c>
      <c r="L1455" s="10">
        <v>40</v>
      </c>
      <c r="M1455" s="6" t="s">
        <v>371</v>
      </c>
    </row>
    <row r="1456" spans="1:13">
      <c r="A1456" s="6">
        <v>2023</v>
      </c>
      <c r="B1456" s="6">
        <v>6</v>
      </c>
      <c r="C1456" s="6" t="s">
        <v>64</v>
      </c>
      <c r="D1456" s="6" t="s">
        <v>662</v>
      </c>
      <c r="E1456" s="6" t="s">
        <v>552</v>
      </c>
      <c r="F1456" s="6" t="str">
        <f>IF($M1456="PADD I","PADD 1",IF($M1456="PADD II","PADD 2",IF($M1456="PADD III","PADD 3",IF($M1456="PADD IV","PADD 4",IF($M1456="PADD V","PADD 5","")))))</f>
        <v>PADD 3</v>
      </c>
      <c r="G1456" s="6">
        <f>IF(AND($H1456="ATMOS DISTILLATION",ISNUMBER(SEARCH("VPS",$I1456))=FALSE,LEFT($I1456,6)&lt;&gt;"VACUUM"),"CDU",IF($H1456="FLUID CAT CRACKING","FCC",IF(OR($H1456="HYDROCRACKING",$H1456="RESID_HYDROCRACKING"),"Hydrocracker",IF($H1456="REFORMING","Reformer",""))))</f>
        <v/>
      </c>
      <c r="H1456" s="6" t="s">
        <v>43</v>
      </c>
      <c r="I1456" s="6" t="s">
        <v>735</v>
      </c>
      <c r="J1456" s="6" t="s">
        <v>349</v>
      </c>
      <c r="K1456" s="10">
        <v>9.199999999999999</v>
      </c>
      <c r="L1456" s="10">
        <v>23</v>
      </c>
      <c r="M1456" s="6" t="s">
        <v>371</v>
      </c>
    </row>
    <row r="1457" spans="1:13">
      <c r="A1457" s="6">
        <v>2023</v>
      </c>
      <c r="B1457" s="6">
        <v>6</v>
      </c>
      <c r="C1457" s="6" t="s">
        <v>64</v>
      </c>
      <c r="D1457" s="6" t="s">
        <v>762</v>
      </c>
      <c r="E1457" s="6" t="s">
        <v>763</v>
      </c>
      <c r="F1457" s="6" t="str">
        <f>IF($M1457="PADD I","PADD 1",IF($M1457="PADD II","PADD 2",IF($M1457="PADD III","PADD 3",IF($M1457="PADD IV","PADD 4",IF($M1457="PADD V","PADD 5","")))))</f>
        <v>PADD 2</v>
      </c>
      <c r="G1457" s="6">
        <f>IF(AND($H1457="ATMOS DISTILLATION",ISNUMBER(SEARCH("VPS",$I1457))=FALSE,LEFT($I1457,6)&lt;&gt;"VACUUM"),"CDU",IF($H1457="FLUID CAT CRACKING","FCC",IF(OR($H1457="HYDROCRACKING",$H1457="RESID_HYDROCRACKING"),"Hydrocracker",IF($H1457="REFORMING","Reformer",""))))</f>
        <v/>
      </c>
      <c r="H1457" s="6" t="s">
        <v>43</v>
      </c>
      <c r="I1457" s="6" t="s">
        <v>458</v>
      </c>
      <c r="J1457" s="6" t="s">
        <v>345</v>
      </c>
      <c r="K1457" s="10">
        <v>9.1</v>
      </c>
      <c r="L1457" s="10">
        <v>13</v>
      </c>
      <c r="M1457" s="6" t="s">
        <v>375</v>
      </c>
    </row>
    <row r="1458" spans="1:13">
      <c r="A1458" s="6">
        <v>2023</v>
      </c>
      <c r="B1458" s="6">
        <v>6</v>
      </c>
      <c r="C1458" s="6" t="s">
        <v>64</v>
      </c>
      <c r="D1458" s="6" t="s">
        <v>572</v>
      </c>
      <c r="E1458" s="6" t="s">
        <v>573</v>
      </c>
      <c r="F1458" s="6" t="str">
        <f>IF($M1458="PADD I","PADD 1",IF($M1458="PADD II","PADD 2",IF($M1458="PADD III","PADD 3",IF($M1458="PADD IV","PADD 4",IF($M1458="PADD V","PADD 5","")))))</f>
        <v>PADD 3</v>
      </c>
      <c r="G1458" s="6" t="str">
        <f>IF(AND($H1458="ATMOS DISTILLATION",ISNUMBER(SEARCH("VPS",$I1458))=FALSE,LEFT($I1458,6)&lt;&gt;"VACUUM"),"CDU",IF($H1458="FLUID CAT CRACKING","FCC",IF(OR($H1458="HYDROCRACKING",$H1458="RESID_HYDROCRACKING"),"Hydrocracker",IF($H1458="REFORMING","Reformer",""))))</f>
        <v>CDU</v>
      </c>
      <c r="H1458" s="6" t="s">
        <v>38</v>
      </c>
      <c r="I1458" s="6" t="s">
        <v>574</v>
      </c>
      <c r="J1458" s="6" t="s">
        <v>345</v>
      </c>
      <c r="K1458" s="10">
        <v>8.5</v>
      </c>
      <c r="L1458" s="10">
        <v>50</v>
      </c>
      <c r="M1458" s="6" t="s">
        <v>371</v>
      </c>
    </row>
    <row r="1459" spans="1:13">
      <c r="A1459" s="6">
        <v>2023</v>
      </c>
      <c r="B1459" s="6">
        <v>6</v>
      </c>
      <c r="C1459" s="6" t="s">
        <v>64</v>
      </c>
      <c r="D1459" s="6" t="s">
        <v>411</v>
      </c>
      <c r="E1459" s="6" t="s">
        <v>369</v>
      </c>
      <c r="F1459" s="6" t="str">
        <f>IF($M1459="PADD I","PADD 1",IF($M1459="PADD II","PADD 2",IF($M1459="PADD III","PADD 3",IF($M1459="PADD IV","PADD 4",IF($M1459="PADD V","PADD 5","")))))</f>
        <v>PADD 1</v>
      </c>
      <c r="G1459" s="6">
        <f>IF(AND($H1459="ATMOS DISTILLATION",ISNUMBER(SEARCH("VPS",$I1459))=FALSE,LEFT($I1459,6)&lt;&gt;"VACUUM"),"CDU",IF($H1459="FLUID CAT CRACKING","FCC",IF(OR($H1459="HYDROCRACKING",$H1459="RESID_HYDROCRACKING"),"Hydrocracker",IF($H1459="REFORMING","Reformer",""))))</f>
        <v/>
      </c>
      <c r="H1459" s="6" t="s">
        <v>460</v>
      </c>
      <c r="I1459" s="6" t="s">
        <v>566</v>
      </c>
      <c r="J1459" s="6" t="s">
        <v>345</v>
      </c>
      <c r="K1459" s="10">
        <v>8.470000000000001</v>
      </c>
      <c r="L1459" s="10">
        <v>11</v>
      </c>
      <c r="M1459" s="6" t="s">
        <v>413</v>
      </c>
    </row>
    <row r="1460" spans="1:13">
      <c r="A1460" s="6">
        <v>2023</v>
      </c>
      <c r="B1460" s="6">
        <v>6</v>
      </c>
      <c r="C1460" s="6" t="s">
        <v>64</v>
      </c>
      <c r="D1460" s="6" t="s">
        <v>326</v>
      </c>
      <c r="E1460" s="6" t="s">
        <v>385</v>
      </c>
      <c r="F1460" s="6" t="str">
        <f>IF($M1460="PADD I","PADD 1",IF($M1460="PADD II","PADD 2",IF($M1460="PADD III","PADD 3",IF($M1460="PADD IV","PADD 4",IF($M1460="PADD V","PADD 5","")))))</f>
        <v>PADD 5</v>
      </c>
      <c r="G1460" s="6">
        <f>IF(AND($H1460="ATMOS DISTILLATION",ISNUMBER(SEARCH("VPS",$I1460))=FALSE,LEFT($I1460,6)&lt;&gt;"VACUUM"),"CDU",IF($H1460="FLUID CAT CRACKING","FCC",IF(OR($H1460="HYDROCRACKING",$H1460="RESID_HYDROCRACKING"),"Hydrocracker",IF($H1460="REFORMING","Reformer",""))))</f>
        <v/>
      </c>
      <c r="H1460" s="6" t="s">
        <v>435</v>
      </c>
      <c r="I1460" s="6" t="s">
        <v>813</v>
      </c>
      <c r="J1460" s="6" t="s">
        <v>345</v>
      </c>
      <c r="K1460" s="10">
        <v>8.25</v>
      </c>
      <c r="L1460" s="10">
        <v>25</v>
      </c>
      <c r="M1460" s="6" t="s">
        <v>386</v>
      </c>
    </row>
    <row r="1461" spans="1:13">
      <c r="A1461" s="6">
        <v>2023</v>
      </c>
      <c r="B1461" s="6">
        <v>6</v>
      </c>
      <c r="C1461" s="6" t="s">
        <v>64</v>
      </c>
      <c r="D1461" s="6" t="s">
        <v>420</v>
      </c>
      <c r="E1461" s="6" t="s">
        <v>373</v>
      </c>
      <c r="F1461" s="6" t="str">
        <f>IF($M1461="PADD I","PADD 1",IF($M1461="PADD II","PADD 2",IF($M1461="PADD III","PADD 3",IF($M1461="PADD IV","PADD 4",IF($M1461="PADD V","PADD 5","")))))</f>
        <v>PADD 2</v>
      </c>
      <c r="G1461" s="6" t="str">
        <f>IF(AND($H1461="ATMOS DISTILLATION",ISNUMBER(SEARCH("VPS",$I1461))=FALSE,LEFT($I1461,6)&lt;&gt;"VACUUM"),"CDU",IF($H1461="FLUID CAT CRACKING","FCC",IF(OR($H1461="HYDROCRACKING",$H1461="RESID_HYDROCRACKING"),"Hydrocracker",IF($H1461="REFORMING","Reformer",""))))</f>
        <v>Reformer</v>
      </c>
      <c r="H1461" s="6" t="s">
        <v>421</v>
      </c>
      <c r="I1461" s="6" t="s">
        <v>571</v>
      </c>
      <c r="J1461" s="6" t="s">
        <v>345</v>
      </c>
      <c r="K1461" s="10">
        <v>8</v>
      </c>
      <c r="L1461" s="10">
        <v>8</v>
      </c>
      <c r="M1461" s="6" t="s">
        <v>375</v>
      </c>
    </row>
    <row r="1462" spans="1:13">
      <c r="A1462" s="6">
        <v>2023</v>
      </c>
      <c r="B1462" s="6">
        <v>6</v>
      </c>
      <c r="C1462" s="6" t="s">
        <v>64</v>
      </c>
      <c r="D1462" s="6" t="s">
        <v>48</v>
      </c>
      <c r="E1462" s="6" t="s">
        <v>388</v>
      </c>
      <c r="F1462" s="6" t="str">
        <f>IF($M1462="PADD I","PADD 1",IF($M1462="PADD II","PADD 2",IF($M1462="PADD III","PADD 3",IF($M1462="PADD IV","PADD 4",IF($M1462="PADD V","PADD 5","")))))</f>
        <v>PADD 2</v>
      </c>
      <c r="G1462" s="6" t="str">
        <f>IF(AND($H1462="ATMOS DISTILLATION",ISNUMBER(SEARCH("VPS",$I1462))=FALSE,LEFT($I1462,6)&lt;&gt;"VACUUM"),"CDU",IF($H1462="FLUID CAT CRACKING","FCC",IF(OR($H1462="HYDROCRACKING",$H1462="RESID_HYDROCRACKING"),"Hydrocracker",IF($H1462="REFORMING","Reformer",""))))</f>
        <v>Reformer</v>
      </c>
      <c r="H1462" s="6" t="s">
        <v>421</v>
      </c>
      <c r="I1462" s="6" t="s">
        <v>721</v>
      </c>
      <c r="J1462" s="6" t="s">
        <v>345</v>
      </c>
      <c r="K1462" s="10">
        <v>7.8</v>
      </c>
      <c r="L1462" s="10">
        <v>39</v>
      </c>
      <c r="M1462" s="6" t="s">
        <v>375</v>
      </c>
    </row>
    <row r="1463" spans="1:13">
      <c r="A1463" s="6">
        <v>2023</v>
      </c>
      <c r="B1463" s="6">
        <v>6</v>
      </c>
      <c r="C1463" s="6" t="s">
        <v>64</v>
      </c>
      <c r="D1463" s="6" t="s">
        <v>372</v>
      </c>
      <c r="E1463" s="6" t="s">
        <v>373</v>
      </c>
      <c r="F1463" s="6" t="str">
        <f>IF($M1463="PADD I","PADD 1",IF($M1463="PADD II","PADD 2",IF($M1463="PADD III","PADD 3",IF($M1463="PADD IV","PADD 4",IF($M1463="PADD V","PADD 5","")))))</f>
        <v>PADD 2</v>
      </c>
      <c r="G1463" s="6">
        <f>IF(AND($H1463="ATMOS DISTILLATION",ISNUMBER(SEARCH("VPS",$I1463))=FALSE,LEFT($I1463,6)&lt;&gt;"VACUUM"),"CDU",IF($H1463="FLUID CAT CRACKING","FCC",IF(OR($H1463="HYDROCRACKING",$H1463="RESID_HYDROCRACKING"),"Hydrocracker",IF($H1463="REFORMING","Reformer",""))))</f>
        <v/>
      </c>
      <c r="H1463" s="6" t="s">
        <v>460</v>
      </c>
      <c r="I1463" s="6" t="s">
        <v>505</v>
      </c>
      <c r="J1463" s="6" t="s">
        <v>345</v>
      </c>
      <c r="K1463" s="10">
        <v>7.74</v>
      </c>
      <c r="L1463" s="10">
        <v>18</v>
      </c>
      <c r="M1463" s="6" t="s">
        <v>375</v>
      </c>
    </row>
    <row r="1464" spans="1:13">
      <c r="A1464" s="6">
        <v>2023</v>
      </c>
      <c r="B1464" s="6">
        <v>6</v>
      </c>
      <c r="C1464" s="6" t="s">
        <v>64</v>
      </c>
      <c r="D1464" s="6" t="s">
        <v>420</v>
      </c>
      <c r="E1464" s="6" t="s">
        <v>373</v>
      </c>
      <c r="F1464" s="6" t="str">
        <f>IF($M1464="PADD I","PADD 1",IF($M1464="PADD II","PADD 2",IF($M1464="PADD III","PADD 3",IF($M1464="PADD IV","PADD 4",IF($M1464="PADD V","PADD 5","")))))</f>
        <v>PADD 2</v>
      </c>
      <c r="G1464" s="6">
        <f>IF(AND($H1464="ATMOS DISTILLATION",ISNUMBER(SEARCH("VPS",$I1464))=FALSE,LEFT($I1464,6)&lt;&gt;"VACUUM"),"CDU",IF($H1464="FLUID CAT CRACKING","FCC",IF(OR($H1464="HYDROCRACKING",$H1464="RESID_HYDROCRACKING"),"Hydrocracker",IF($H1464="REFORMING","Reformer",""))))</f>
        <v/>
      </c>
      <c r="H1464" s="6" t="s">
        <v>43</v>
      </c>
      <c r="I1464" s="6" t="s">
        <v>577</v>
      </c>
      <c r="J1464" s="6" t="s">
        <v>345</v>
      </c>
      <c r="K1464" s="10">
        <v>7.7</v>
      </c>
      <c r="L1464" s="10">
        <v>7.7</v>
      </c>
      <c r="M1464" s="6" t="s">
        <v>375</v>
      </c>
    </row>
    <row r="1465" spans="1:13">
      <c r="A1465" s="6">
        <v>2023</v>
      </c>
      <c r="B1465" s="6">
        <v>6</v>
      </c>
      <c r="C1465" s="6" t="s">
        <v>64</v>
      </c>
      <c r="D1465" s="6" t="s">
        <v>420</v>
      </c>
      <c r="E1465" s="6" t="s">
        <v>373</v>
      </c>
      <c r="F1465" s="6" t="str">
        <f>IF($M1465="PADD I","PADD 1",IF($M1465="PADD II","PADD 2",IF($M1465="PADD III","PADD 3",IF($M1465="PADD IV","PADD 4",IF($M1465="PADD V","PADD 5","")))))</f>
        <v>PADD 2</v>
      </c>
      <c r="G1465" s="6">
        <f>IF(AND($H1465="ATMOS DISTILLATION",ISNUMBER(SEARCH("VPS",$I1465))=FALSE,LEFT($I1465,6)&lt;&gt;"VACUUM"),"CDU",IF($H1465="FLUID CAT CRACKING","FCC",IF(OR($H1465="HYDROCRACKING",$H1465="RESID_HYDROCRACKING"),"Hydrocracker",IF($H1465="REFORMING","Reformer",""))))</f>
        <v/>
      </c>
      <c r="H1465" s="6" t="s">
        <v>43</v>
      </c>
      <c r="I1465" s="6" t="s">
        <v>458</v>
      </c>
      <c r="J1465" s="6" t="s">
        <v>345</v>
      </c>
      <c r="K1465" s="10">
        <v>7.5</v>
      </c>
      <c r="L1465" s="10">
        <v>7.5</v>
      </c>
      <c r="M1465" s="6" t="s">
        <v>375</v>
      </c>
    </row>
    <row r="1466" spans="1:13">
      <c r="A1466" s="6">
        <v>2023</v>
      </c>
      <c r="B1466" s="6">
        <v>6</v>
      </c>
      <c r="C1466" s="6" t="s">
        <v>64</v>
      </c>
      <c r="D1466" s="6" t="s">
        <v>446</v>
      </c>
      <c r="E1466" s="6" t="s">
        <v>391</v>
      </c>
      <c r="F1466" s="6" t="str">
        <f>IF($M1466="PADD I","PADD 1",IF($M1466="PADD II","PADD 2",IF($M1466="PADD III","PADD 3",IF($M1466="PADD IV","PADD 4",IF($M1466="PADD V","PADD 5","")))))</f>
        <v>PADD 3</v>
      </c>
      <c r="G1466" s="6">
        <f>IF(AND($H1466="ATMOS DISTILLATION",ISNUMBER(SEARCH("VPS",$I1466))=FALSE,LEFT($I1466,6)&lt;&gt;"VACUUM"),"CDU",IF($H1466="FLUID CAT CRACKING","FCC",IF(OR($H1466="HYDROCRACKING",$H1466="RESID_HYDROCRACKING"),"Hydrocracker",IF($H1466="REFORMING","Reformer",""))))</f>
        <v/>
      </c>
      <c r="H1466" s="6" t="s">
        <v>460</v>
      </c>
      <c r="I1466" s="6" t="s">
        <v>580</v>
      </c>
      <c r="J1466" s="6" t="s">
        <v>345</v>
      </c>
      <c r="K1466" s="10">
        <v>7.2</v>
      </c>
      <c r="L1466" s="10">
        <v>7.2</v>
      </c>
      <c r="M1466" s="6" t="s">
        <v>371</v>
      </c>
    </row>
    <row r="1467" spans="1:13">
      <c r="A1467" s="6">
        <v>2023</v>
      </c>
      <c r="B1467" s="6">
        <v>6</v>
      </c>
      <c r="C1467" s="6" t="s">
        <v>64</v>
      </c>
      <c r="D1467" s="6" t="s">
        <v>395</v>
      </c>
      <c r="E1467" s="6" t="s">
        <v>396</v>
      </c>
      <c r="F1467" s="6" t="str">
        <f>IF($M1467="PADD I","PADD 1",IF($M1467="PADD II","PADD 2",IF($M1467="PADD III","PADD 3",IF($M1467="PADD IV","PADD 4",IF($M1467="PADD V","PADD 5","")))))</f>
        <v>PADD 3</v>
      </c>
      <c r="G1467" s="6">
        <f>IF(AND($H1467="ATMOS DISTILLATION",ISNUMBER(SEARCH("VPS",$I1467))=FALSE,LEFT($I1467,6)&lt;&gt;"VACUUM"),"CDU",IF($H1467="FLUID CAT CRACKING","FCC",IF(OR($H1467="HYDROCRACKING",$H1467="RESID_HYDROCRACKING"),"Hydrocracker",IF($H1467="REFORMING","Reformer",""))))</f>
        <v/>
      </c>
      <c r="H1467" s="6" t="s">
        <v>378</v>
      </c>
      <c r="I1467" s="6" t="s">
        <v>575</v>
      </c>
      <c r="J1467" s="6" t="s">
        <v>345</v>
      </c>
      <c r="K1467" s="10">
        <v>7</v>
      </c>
      <c r="L1467" s="10">
        <v>35</v>
      </c>
      <c r="M1467" s="6" t="s">
        <v>371</v>
      </c>
    </row>
    <row r="1468" spans="1:13">
      <c r="A1468" s="6">
        <v>2023</v>
      </c>
      <c r="B1468" s="6">
        <v>6</v>
      </c>
      <c r="C1468" s="6" t="s">
        <v>64</v>
      </c>
      <c r="D1468" s="6" t="s">
        <v>334</v>
      </c>
      <c r="E1468" s="6" t="s">
        <v>552</v>
      </c>
      <c r="F1468" s="6" t="str">
        <f>IF($M1468="PADD I","PADD 1",IF($M1468="PADD II","PADD 2",IF($M1468="PADD III","PADD 3",IF($M1468="PADD IV","PADD 4",IF($M1468="PADD V","PADD 5","")))))</f>
        <v>PADD 3</v>
      </c>
      <c r="G1468" s="6">
        <f>IF(AND($H1468="ATMOS DISTILLATION",ISNUMBER(SEARCH("VPS",$I1468))=FALSE,LEFT($I1468,6)&lt;&gt;"VACUUM"),"CDU",IF($H1468="FLUID CAT CRACKING","FCC",IF(OR($H1468="HYDROCRACKING",$H1468="RESID_HYDROCRACKING"),"Hydrocracker",IF($H1468="REFORMING","Reformer",""))))</f>
        <v/>
      </c>
      <c r="H1468" s="6" t="s">
        <v>43</v>
      </c>
      <c r="I1468" s="6" t="s">
        <v>594</v>
      </c>
      <c r="J1468" s="6" t="s">
        <v>345</v>
      </c>
      <c r="K1468" s="10">
        <v>6.9</v>
      </c>
      <c r="L1468" s="10">
        <v>30</v>
      </c>
      <c r="M1468" s="6" t="s">
        <v>371</v>
      </c>
    </row>
    <row r="1469" spans="1:13">
      <c r="A1469" s="6">
        <v>2023</v>
      </c>
      <c r="B1469" s="6">
        <v>6</v>
      </c>
      <c r="C1469" s="6" t="s">
        <v>64</v>
      </c>
      <c r="D1469" s="6" t="s">
        <v>572</v>
      </c>
      <c r="E1469" s="6" t="s">
        <v>573</v>
      </c>
      <c r="F1469" s="6" t="str">
        <f>IF($M1469="PADD I","PADD 1",IF($M1469="PADD II","PADD 2",IF($M1469="PADD III","PADD 3",IF($M1469="PADD IV","PADD 4",IF($M1469="PADD V","PADD 5","")))))</f>
        <v>PADD 3</v>
      </c>
      <c r="G1469" s="6" t="str">
        <f>IF(AND($H1469="ATMOS DISTILLATION",ISNUMBER(SEARCH("VPS",$I1469))=FALSE,LEFT($I1469,6)&lt;&gt;"VACUUM"),"CDU",IF($H1469="FLUID CAT CRACKING","FCC",IF(OR($H1469="HYDROCRACKING",$H1469="RESID_HYDROCRACKING"),"Hydrocracker",IF($H1469="REFORMING","Reformer",""))))</f>
        <v>CDU</v>
      </c>
      <c r="H1469" s="6" t="s">
        <v>38</v>
      </c>
      <c r="I1469" s="6" t="s">
        <v>574</v>
      </c>
      <c r="J1469" s="6" t="s">
        <v>345</v>
      </c>
      <c r="K1469" s="10">
        <v>6.5</v>
      </c>
      <c r="L1469" s="10">
        <v>50</v>
      </c>
      <c r="M1469" s="6" t="s">
        <v>371</v>
      </c>
    </row>
    <row r="1470" spans="1:13">
      <c r="A1470" s="6">
        <v>2023</v>
      </c>
      <c r="B1470" s="6">
        <v>6</v>
      </c>
      <c r="C1470" s="6" t="s">
        <v>64</v>
      </c>
      <c r="D1470" s="6" t="s">
        <v>50</v>
      </c>
      <c r="E1470" s="6" t="s">
        <v>381</v>
      </c>
      <c r="F1470" s="6" t="str">
        <f>IF($M1470="PADD I","PADD 1",IF($M1470="PADD II","PADD 2",IF($M1470="PADD III","PADD 3",IF($M1470="PADD IV","PADD 4",IF($M1470="PADD V","PADD 5","")))))</f>
        <v>PADD 3</v>
      </c>
      <c r="G1470" s="6" t="str">
        <f>IF(AND($H1470="ATMOS DISTILLATION",ISNUMBER(SEARCH("VPS",$I1470))=FALSE,LEFT($I1470,6)&lt;&gt;"VACUUM"),"CDU",IF($H1470="FLUID CAT CRACKING","FCC",IF(OR($H1470="HYDROCRACKING",$H1470="RESID_HYDROCRACKING"),"Hydrocracker",IF($H1470="REFORMING","Reformer",""))))</f>
        <v>FCC</v>
      </c>
      <c r="H1470" s="6" t="s">
        <v>376</v>
      </c>
      <c r="I1470" s="6" t="s">
        <v>589</v>
      </c>
      <c r="J1470" s="6" t="s">
        <v>345</v>
      </c>
      <c r="K1470" s="10">
        <v>6.3</v>
      </c>
      <c r="L1470" s="10">
        <v>90</v>
      </c>
      <c r="M1470" s="6" t="s">
        <v>371</v>
      </c>
    </row>
    <row r="1471" spans="1:13">
      <c r="A1471" s="6">
        <v>2023</v>
      </c>
      <c r="B1471" s="6">
        <v>6</v>
      </c>
      <c r="C1471" s="6" t="s">
        <v>64</v>
      </c>
      <c r="D1471" s="6" t="s">
        <v>434</v>
      </c>
      <c r="E1471" s="6" t="s">
        <v>388</v>
      </c>
      <c r="F1471" s="6" t="str">
        <f>IF($M1471="PADD I","PADD 1",IF($M1471="PADD II","PADD 2",IF($M1471="PADD III","PADD 3",IF($M1471="PADD IV","PADD 4",IF($M1471="PADD V","PADD 5","")))))</f>
        <v>PADD 5</v>
      </c>
      <c r="G1471" s="6" t="str">
        <f>IF(AND($H1471="ATMOS DISTILLATION",ISNUMBER(SEARCH("VPS",$I1471))=FALSE,LEFT($I1471,6)&lt;&gt;"VACUUM"),"CDU",IF($H1471="FLUID CAT CRACKING","FCC",IF(OR($H1471="HYDROCRACKING",$H1471="RESID_HYDROCRACKING"),"Hydrocracker",IF($H1471="REFORMING","Reformer",""))))</f>
        <v>CDU</v>
      </c>
      <c r="H1471" s="6" t="s">
        <v>38</v>
      </c>
      <c r="I1471" s="6" t="s">
        <v>663</v>
      </c>
      <c r="J1471" s="6" t="s">
        <v>345</v>
      </c>
      <c r="K1471" s="10">
        <v>6.18</v>
      </c>
      <c r="L1471" s="10">
        <v>20.6</v>
      </c>
      <c r="M1471" s="6" t="s">
        <v>386</v>
      </c>
    </row>
    <row r="1472" spans="1:13">
      <c r="A1472" s="6">
        <v>2023</v>
      </c>
      <c r="B1472" s="6">
        <v>6</v>
      </c>
      <c r="C1472" s="6" t="s">
        <v>64</v>
      </c>
      <c r="D1472" s="6" t="s">
        <v>468</v>
      </c>
      <c r="E1472" s="6" t="s">
        <v>369</v>
      </c>
      <c r="F1472" s="6" t="str">
        <f>IF($M1472="PADD I","PADD 1",IF($M1472="PADD II","PADD 2",IF($M1472="PADD III","PADD 3",IF($M1472="PADD IV","PADD 4",IF($M1472="PADD V","PADD 5","")))))</f>
        <v>PADD 3</v>
      </c>
      <c r="G1472" s="6">
        <f>IF(AND($H1472="ATMOS DISTILLATION",ISNUMBER(SEARCH("VPS",$I1472))=FALSE,LEFT($I1472,6)&lt;&gt;"VACUUM"),"CDU",IF($H1472="FLUID CAT CRACKING","FCC",IF(OR($H1472="HYDROCRACKING",$H1472="RESID_HYDROCRACKING"),"Hydrocracker",IF($H1472="REFORMING","Reformer",""))))</f>
        <v/>
      </c>
      <c r="H1472" s="6" t="s">
        <v>460</v>
      </c>
      <c r="I1472" s="6" t="s">
        <v>890</v>
      </c>
      <c r="J1472" s="6" t="s">
        <v>345</v>
      </c>
      <c r="K1472" s="10">
        <v>6.02</v>
      </c>
      <c r="L1472" s="10">
        <v>14</v>
      </c>
      <c r="M1472" s="6" t="s">
        <v>371</v>
      </c>
    </row>
    <row r="1473" spans="1:13">
      <c r="A1473" s="6">
        <v>2023</v>
      </c>
      <c r="B1473" s="6">
        <v>6</v>
      </c>
      <c r="C1473" s="6" t="s">
        <v>64</v>
      </c>
      <c r="D1473" s="6" t="s">
        <v>334</v>
      </c>
      <c r="E1473" s="6" t="s">
        <v>552</v>
      </c>
      <c r="F1473" s="6" t="str">
        <f>IF($M1473="PADD I","PADD 1",IF($M1473="PADD II","PADD 2",IF($M1473="PADD III","PADD 3",IF($M1473="PADD IV","PADD 4",IF($M1473="PADD V","PADD 5","")))))</f>
        <v>PADD 3</v>
      </c>
      <c r="G1473" s="6">
        <f>IF(AND($H1473="ATMOS DISTILLATION",ISNUMBER(SEARCH("VPS",$I1473))=FALSE,LEFT($I1473,6)&lt;&gt;"VACUUM"),"CDU",IF($H1473="FLUID CAT CRACKING","FCC",IF(OR($H1473="HYDROCRACKING",$H1473="RESID_HYDROCRACKING"),"Hydrocracker",IF($H1473="REFORMING","Reformer",""))))</f>
        <v/>
      </c>
      <c r="H1473" s="6" t="s">
        <v>43</v>
      </c>
      <c r="I1473" s="6" t="s">
        <v>598</v>
      </c>
      <c r="J1473" s="6" t="s">
        <v>345</v>
      </c>
      <c r="K1473" s="10">
        <v>5.75</v>
      </c>
      <c r="L1473" s="10">
        <v>25</v>
      </c>
      <c r="M1473" s="6" t="s">
        <v>371</v>
      </c>
    </row>
    <row r="1474" spans="1:13">
      <c r="A1474" s="6">
        <v>2023</v>
      </c>
      <c r="B1474" s="6">
        <v>6</v>
      </c>
      <c r="C1474" s="6" t="s">
        <v>64</v>
      </c>
      <c r="D1474" s="6" t="s">
        <v>468</v>
      </c>
      <c r="E1474" s="6" t="s">
        <v>369</v>
      </c>
      <c r="F1474" s="6" t="str">
        <f>IF($M1474="PADD I","PADD 1",IF($M1474="PADD II","PADD 2",IF($M1474="PADD III","PADD 3",IF($M1474="PADD IV","PADD 4",IF($M1474="PADD V","PADD 5","")))))</f>
        <v>PADD 3</v>
      </c>
      <c r="G1474" s="6" t="str">
        <f>IF(AND($H1474="ATMOS DISTILLATION",ISNUMBER(SEARCH("VPS",$I1474))=FALSE,LEFT($I1474,6)&lt;&gt;"VACUUM"),"CDU",IF($H1474="FLUID CAT CRACKING","FCC",IF(OR($H1474="HYDROCRACKING",$H1474="RESID_HYDROCRACKING"),"Hydrocracker",IF($H1474="REFORMING","Reformer",""))))</f>
        <v>Reformer</v>
      </c>
      <c r="H1474" s="6" t="s">
        <v>421</v>
      </c>
      <c r="I1474" s="6" t="s">
        <v>635</v>
      </c>
      <c r="J1474" s="6" t="s">
        <v>345</v>
      </c>
      <c r="K1474" s="10">
        <v>5.6</v>
      </c>
      <c r="L1474" s="10">
        <v>7</v>
      </c>
      <c r="M1474" s="6" t="s">
        <v>371</v>
      </c>
    </row>
    <row r="1475" spans="1:13">
      <c r="A1475" s="6">
        <v>2023</v>
      </c>
      <c r="B1475" s="6">
        <v>6</v>
      </c>
      <c r="C1475" s="6" t="s">
        <v>64</v>
      </c>
      <c r="D1475" s="6" t="s">
        <v>420</v>
      </c>
      <c r="E1475" s="6" t="s">
        <v>373</v>
      </c>
      <c r="F1475" s="6" t="str">
        <f>IF($M1475="PADD I","PADD 1",IF($M1475="PADD II","PADD 2",IF($M1475="PADD III","PADD 3",IF($M1475="PADD IV","PADD 4",IF($M1475="PADD V","PADD 5","")))))</f>
        <v>PADD 2</v>
      </c>
      <c r="G1475" s="6">
        <f>IF(AND($H1475="ATMOS DISTILLATION",ISNUMBER(SEARCH("VPS",$I1475))=FALSE,LEFT($I1475,6)&lt;&gt;"VACUUM"),"CDU",IF($H1475="FLUID CAT CRACKING","FCC",IF(OR($H1475="HYDROCRACKING",$H1475="RESID_HYDROCRACKING"),"Hydrocracker",IF($H1475="REFORMING","Reformer",""))))</f>
        <v/>
      </c>
      <c r="H1475" s="6" t="s">
        <v>43</v>
      </c>
      <c r="I1475" s="6" t="s">
        <v>588</v>
      </c>
      <c r="J1475" s="6" t="s">
        <v>345</v>
      </c>
      <c r="K1475" s="10">
        <v>5.5</v>
      </c>
      <c r="L1475" s="10">
        <v>5.5</v>
      </c>
      <c r="M1475" s="6" t="s">
        <v>375</v>
      </c>
    </row>
    <row r="1476" spans="1:13">
      <c r="A1476" s="6">
        <v>2023</v>
      </c>
      <c r="B1476" s="6">
        <v>6</v>
      </c>
      <c r="C1476" s="6" t="s">
        <v>64</v>
      </c>
      <c r="D1476" s="6" t="s">
        <v>878</v>
      </c>
      <c r="E1476" s="6" t="s">
        <v>452</v>
      </c>
      <c r="F1476" s="6" t="str">
        <f>IF($M1476="PADD I","PADD 1",IF($M1476="PADD II","PADD 2",IF($M1476="PADD III","PADD 3",IF($M1476="PADD IV","PADD 4",IF($M1476="PADD V","PADD 5","")))))</f>
        <v>PADD 2</v>
      </c>
      <c r="G1476" s="6">
        <f>IF(AND($H1476="ATMOS DISTILLATION",ISNUMBER(SEARCH("VPS",$I1476))=FALSE,LEFT($I1476,6)&lt;&gt;"VACUUM"),"CDU",IF($H1476="FLUID CAT CRACKING","FCC",IF(OR($H1476="HYDROCRACKING",$H1476="RESID_HYDROCRACKING"),"Hydrocracker",IF($H1476="REFORMING","Reformer",""))))</f>
        <v/>
      </c>
      <c r="H1476" s="6" t="s">
        <v>378</v>
      </c>
      <c r="I1476" s="6" t="s">
        <v>536</v>
      </c>
      <c r="J1476" s="6" t="s">
        <v>345</v>
      </c>
      <c r="K1476" s="10">
        <v>5.44</v>
      </c>
      <c r="L1476" s="10">
        <v>32</v>
      </c>
      <c r="M1476" s="6" t="s">
        <v>375</v>
      </c>
    </row>
    <row r="1477" spans="1:13">
      <c r="A1477" s="6">
        <v>2023</v>
      </c>
      <c r="B1477" s="6">
        <v>6</v>
      </c>
      <c r="C1477" s="6" t="s">
        <v>64</v>
      </c>
      <c r="D1477" s="6" t="s">
        <v>714</v>
      </c>
      <c r="E1477" s="6" t="s">
        <v>405</v>
      </c>
      <c r="F1477" s="6" t="str">
        <f>IF($M1477="PADD I","PADD 1",IF($M1477="PADD II","PADD 2",IF($M1477="PADD III","PADD 3",IF($M1477="PADD IV","PADD 4",IF($M1477="PADD V","PADD 5","")))))</f>
        <v>PADD 3</v>
      </c>
      <c r="G1477" s="6" t="str">
        <f>IF(AND($H1477="ATMOS DISTILLATION",ISNUMBER(SEARCH("VPS",$I1477))=FALSE,LEFT($I1477,6)&lt;&gt;"VACUUM"),"CDU",IF($H1477="FLUID CAT CRACKING","FCC",IF(OR($H1477="HYDROCRACKING",$H1477="RESID_HYDROCRACKING"),"Hydrocracker",IF($H1477="REFORMING","Reformer",""))))</f>
        <v>FCC</v>
      </c>
      <c r="H1477" s="6" t="s">
        <v>376</v>
      </c>
      <c r="I1477" s="6" t="s">
        <v>105</v>
      </c>
      <c r="J1477" s="6" t="s">
        <v>345</v>
      </c>
      <c r="K1477" s="10">
        <v>5.32</v>
      </c>
      <c r="L1477" s="10">
        <v>76</v>
      </c>
      <c r="M1477" s="6" t="s">
        <v>371</v>
      </c>
    </row>
    <row r="1478" spans="1:13">
      <c r="A1478" s="6">
        <v>2023</v>
      </c>
      <c r="B1478" s="6">
        <v>6</v>
      </c>
      <c r="C1478" s="6" t="s">
        <v>64</v>
      </c>
      <c r="D1478" s="6" t="s">
        <v>880</v>
      </c>
      <c r="E1478" s="6" t="s">
        <v>881</v>
      </c>
      <c r="F1478" s="6" t="str">
        <f>IF($M1478="PADD I","PADD 1",IF($M1478="PADD II","PADD 2",IF($M1478="PADD III","PADD 3",IF($M1478="PADD IV","PADD 4",IF($M1478="PADD V","PADD 5","")))))</f>
        <v>PADD 3</v>
      </c>
      <c r="G1478" s="6">
        <f>IF(AND($H1478="ATMOS DISTILLATION",ISNUMBER(SEARCH("VPS",$I1478))=FALSE,LEFT($I1478,6)&lt;&gt;"VACUUM"),"CDU",IF($H1478="FLUID CAT CRACKING","FCC",IF(OR($H1478="HYDROCRACKING",$H1478="RESID_HYDROCRACKING"),"Hydrocracker",IF($H1478="REFORMING","Reformer",""))))</f>
        <v/>
      </c>
      <c r="H1478" s="6" t="s">
        <v>43</v>
      </c>
      <c r="I1478" s="6" t="s">
        <v>891</v>
      </c>
      <c r="J1478" s="6" t="s">
        <v>349</v>
      </c>
      <c r="K1478" s="10">
        <v>5</v>
      </c>
      <c r="L1478" s="10">
        <v>5</v>
      </c>
      <c r="M1478" s="6" t="s">
        <v>371</v>
      </c>
    </row>
    <row r="1479" spans="1:13">
      <c r="A1479" s="6">
        <v>2023</v>
      </c>
      <c r="B1479" s="6">
        <v>6</v>
      </c>
      <c r="C1479" s="6" t="s">
        <v>64</v>
      </c>
      <c r="D1479" s="6" t="s">
        <v>50</v>
      </c>
      <c r="E1479" s="6" t="s">
        <v>381</v>
      </c>
      <c r="F1479" s="6" t="str">
        <f>IF($M1479="PADD I","PADD 1",IF($M1479="PADD II","PADD 2",IF($M1479="PADD III","PADD 3",IF($M1479="PADD IV","PADD 4",IF($M1479="PADD V","PADD 5","")))))</f>
        <v>PADD 3</v>
      </c>
      <c r="G1479" s="6" t="str">
        <f>IF(AND($H1479="ATMOS DISTILLATION",ISNUMBER(SEARCH("VPS",$I1479))=FALSE,LEFT($I1479,6)&lt;&gt;"VACUUM"),"CDU",IF($H1479="FLUID CAT CRACKING","FCC",IF(OR($H1479="HYDROCRACKING",$H1479="RESID_HYDROCRACKING"),"Hydrocracker",IF($H1479="REFORMING","Reformer",""))))</f>
        <v>Reformer</v>
      </c>
      <c r="H1479" s="6" t="s">
        <v>421</v>
      </c>
      <c r="I1479" s="6" t="s">
        <v>892</v>
      </c>
      <c r="J1479" s="6" t="s">
        <v>345</v>
      </c>
      <c r="K1479" s="10">
        <v>4.55</v>
      </c>
      <c r="L1479" s="10">
        <v>65</v>
      </c>
      <c r="M1479" s="6" t="s">
        <v>371</v>
      </c>
    </row>
    <row r="1480" spans="1:13">
      <c r="A1480" s="6">
        <v>2023</v>
      </c>
      <c r="B1480" s="6">
        <v>6</v>
      </c>
      <c r="C1480" s="6" t="s">
        <v>64</v>
      </c>
      <c r="D1480" s="6" t="s">
        <v>770</v>
      </c>
      <c r="E1480" s="6" t="s">
        <v>660</v>
      </c>
      <c r="F1480" s="6" t="str">
        <f>IF($M1480="PADD I","PADD 1",IF($M1480="PADD II","PADD 2",IF($M1480="PADD III","PADD 3",IF($M1480="PADD IV","PADD 4",IF($M1480="PADD V","PADD 5","")))))</f>
        <v>PADD 3</v>
      </c>
      <c r="G1480" s="6" t="str">
        <f>IF(AND($H1480="ATMOS DISTILLATION",ISNUMBER(SEARCH("VPS",$I1480))=FALSE,LEFT($I1480,6)&lt;&gt;"VACUUM"),"CDU",IF($H1480="FLUID CAT CRACKING","FCC",IF(OR($H1480="HYDROCRACKING",$H1480="RESID_HYDROCRACKING"),"Hydrocracker",IF($H1480="REFORMING","Reformer",""))))</f>
        <v>CDU</v>
      </c>
      <c r="H1480" s="6" t="s">
        <v>38</v>
      </c>
      <c r="I1480" s="6" t="s">
        <v>771</v>
      </c>
      <c r="J1480" s="6" t="s">
        <v>349</v>
      </c>
      <c r="K1480" s="10">
        <v>4.41</v>
      </c>
      <c r="L1480" s="10">
        <v>63</v>
      </c>
      <c r="M1480" s="6" t="s">
        <v>371</v>
      </c>
    </row>
    <row r="1481" spans="1:13">
      <c r="A1481" s="6">
        <v>2023</v>
      </c>
      <c r="B1481" s="6">
        <v>6</v>
      </c>
      <c r="C1481" s="6" t="s">
        <v>64</v>
      </c>
      <c r="D1481" s="6" t="s">
        <v>830</v>
      </c>
      <c r="E1481" s="6" t="s">
        <v>388</v>
      </c>
      <c r="F1481" s="6" t="str">
        <f>IF($M1481="PADD I","PADD 1",IF($M1481="PADD II","PADD 2",IF($M1481="PADD III","PADD 3",IF($M1481="PADD IV","PADD 4",IF($M1481="PADD V","PADD 5","")))))</f>
        <v>PADD 2</v>
      </c>
      <c r="G1481" s="6">
        <f>IF(AND($H1481="ATMOS DISTILLATION",ISNUMBER(SEARCH("VPS",$I1481))=FALSE,LEFT($I1481,6)&lt;&gt;"VACUUM"),"CDU",IF($H1481="FLUID CAT CRACKING","FCC",IF(OR($H1481="HYDROCRACKING",$H1481="RESID_HYDROCRACKING"),"Hydrocracker",IF($H1481="REFORMING","Reformer",""))))</f>
        <v/>
      </c>
      <c r="H1481" s="6" t="s">
        <v>43</v>
      </c>
      <c r="I1481" s="6" t="s">
        <v>485</v>
      </c>
      <c r="J1481" s="6" t="s">
        <v>345</v>
      </c>
      <c r="K1481" s="10">
        <v>4.38</v>
      </c>
      <c r="L1481" s="10">
        <v>6</v>
      </c>
      <c r="M1481" s="6" t="s">
        <v>375</v>
      </c>
    </row>
    <row r="1482" spans="1:13">
      <c r="A1482" s="6">
        <v>2023</v>
      </c>
      <c r="B1482" s="6">
        <v>6</v>
      </c>
      <c r="C1482" s="6" t="s">
        <v>64</v>
      </c>
      <c r="D1482" s="6" t="s">
        <v>334</v>
      </c>
      <c r="E1482" s="6" t="s">
        <v>552</v>
      </c>
      <c r="F1482" s="6" t="str">
        <f>IF($M1482="PADD I","PADD 1",IF($M1482="PADD II","PADD 2",IF($M1482="PADD III","PADD 3",IF($M1482="PADD IV","PADD 4",IF($M1482="PADD V","PADD 5","")))))</f>
        <v>PADD 3</v>
      </c>
      <c r="G1482" s="6">
        <f>IF(AND($H1482="ATMOS DISTILLATION",ISNUMBER(SEARCH("VPS",$I1482))=FALSE,LEFT($I1482,6)&lt;&gt;"VACUUM"),"CDU",IF($H1482="FLUID CAT CRACKING","FCC",IF(OR($H1482="HYDROCRACKING",$H1482="RESID_HYDROCRACKING"),"Hydrocracker",IF($H1482="REFORMING","Reformer",""))))</f>
        <v/>
      </c>
      <c r="H1482" s="6" t="s">
        <v>43</v>
      </c>
      <c r="I1482" s="6" t="s">
        <v>607</v>
      </c>
      <c r="J1482" s="6" t="s">
        <v>345</v>
      </c>
      <c r="K1482" s="10">
        <v>4.347</v>
      </c>
      <c r="L1482" s="10">
        <v>18.9</v>
      </c>
      <c r="M1482" s="6" t="s">
        <v>371</v>
      </c>
    </row>
    <row r="1483" spans="1:13">
      <c r="A1483" s="6">
        <v>2023</v>
      </c>
      <c r="B1483" s="6">
        <v>6</v>
      </c>
      <c r="C1483" s="6" t="s">
        <v>64</v>
      </c>
      <c r="D1483" s="6" t="s">
        <v>878</v>
      </c>
      <c r="E1483" s="6" t="s">
        <v>452</v>
      </c>
      <c r="F1483" s="6" t="str">
        <f>IF($M1483="PADD I","PADD 1",IF($M1483="PADD II","PADD 2",IF($M1483="PADD III","PADD 3",IF($M1483="PADD IV","PADD 4",IF($M1483="PADD V","PADD 5","")))))</f>
        <v>PADD 2</v>
      </c>
      <c r="G1483" s="6">
        <f>IF(AND($H1483="ATMOS DISTILLATION",ISNUMBER(SEARCH("VPS",$I1483))=FALSE,LEFT($I1483,6)&lt;&gt;"VACUUM"),"CDU",IF($H1483="FLUID CAT CRACKING","FCC",IF(OR($H1483="HYDROCRACKING",$H1483="RESID_HYDROCRACKING"),"Hydrocracker",IF($H1483="REFORMING","Reformer",""))))</f>
        <v/>
      </c>
      <c r="H1483" s="6" t="s">
        <v>43</v>
      </c>
      <c r="I1483" s="6" t="s">
        <v>893</v>
      </c>
      <c r="J1483" s="6" t="s">
        <v>345</v>
      </c>
      <c r="K1483" s="10">
        <v>4.08</v>
      </c>
      <c r="L1483" s="10">
        <v>24</v>
      </c>
      <c r="M1483" s="6" t="s">
        <v>375</v>
      </c>
    </row>
    <row r="1484" spans="1:13">
      <c r="A1484" s="6">
        <v>2023</v>
      </c>
      <c r="B1484" s="6">
        <v>6</v>
      </c>
      <c r="C1484" s="6" t="s">
        <v>64</v>
      </c>
      <c r="D1484" s="6" t="s">
        <v>801</v>
      </c>
      <c r="E1484" s="6" t="s">
        <v>779</v>
      </c>
      <c r="F1484" s="6" t="str">
        <f>IF($M1484="PADD I","PADD 1",IF($M1484="PADD II","PADD 2",IF($M1484="PADD III","PADD 3",IF($M1484="PADD IV","PADD 4",IF($M1484="PADD V","PADD 5","")))))</f>
        <v>PADD 2</v>
      </c>
      <c r="G1484" s="6">
        <f>IF(AND($H1484="ATMOS DISTILLATION",ISNUMBER(SEARCH("VPS",$I1484))=FALSE,LEFT($I1484,6)&lt;&gt;"VACUUM"),"CDU",IF($H1484="FLUID CAT CRACKING","FCC",IF(OR($H1484="HYDROCRACKING",$H1484="RESID_HYDROCRACKING"),"Hydrocracker",IF($H1484="REFORMING","Reformer",""))))</f>
        <v/>
      </c>
      <c r="H1484" s="6" t="s">
        <v>435</v>
      </c>
      <c r="I1484" s="6" t="s">
        <v>894</v>
      </c>
      <c r="J1484" s="6" t="s">
        <v>345</v>
      </c>
      <c r="K1484" s="10">
        <v>4.08</v>
      </c>
      <c r="L1484" s="10">
        <v>24</v>
      </c>
      <c r="M1484" s="6" t="s">
        <v>375</v>
      </c>
    </row>
    <row r="1485" spans="1:13">
      <c r="A1485" s="6">
        <v>2023</v>
      </c>
      <c r="B1485" s="6">
        <v>6</v>
      </c>
      <c r="C1485" s="6" t="s">
        <v>64</v>
      </c>
      <c r="D1485" s="6" t="s">
        <v>788</v>
      </c>
      <c r="E1485" s="6" t="s">
        <v>405</v>
      </c>
      <c r="F1485" s="6" t="str">
        <f>IF($M1485="PADD I","PADD 1",IF($M1485="PADD II","PADD 2",IF($M1485="PADD III","PADD 3",IF($M1485="PADD IV","PADD 4",IF($M1485="PADD V","PADD 5","")))))</f>
        <v>PADD 3</v>
      </c>
      <c r="G1485" s="6" t="str">
        <f>IF(AND($H1485="ATMOS DISTILLATION",ISNUMBER(SEARCH("VPS",$I1485))=FALSE,LEFT($I1485,6)&lt;&gt;"VACUUM"),"CDU",IF($H1485="FLUID CAT CRACKING","FCC",IF(OR($H1485="HYDROCRACKING",$H1485="RESID_HYDROCRACKING"),"Hydrocracker",IF($H1485="REFORMING","Reformer",""))))</f>
        <v>CDU</v>
      </c>
      <c r="H1485" s="6" t="s">
        <v>38</v>
      </c>
      <c r="I1485" s="6" t="s">
        <v>135</v>
      </c>
      <c r="J1485" s="6" t="s">
        <v>345</v>
      </c>
      <c r="K1485" s="10">
        <v>4.05</v>
      </c>
      <c r="L1485" s="10">
        <v>135</v>
      </c>
      <c r="M1485" s="6" t="s">
        <v>371</v>
      </c>
    </row>
    <row r="1486" spans="1:13">
      <c r="A1486" s="6">
        <v>2023</v>
      </c>
      <c r="B1486" s="6">
        <v>6</v>
      </c>
      <c r="C1486" s="6" t="s">
        <v>64</v>
      </c>
      <c r="D1486" s="6" t="s">
        <v>451</v>
      </c>
      <c r="E1486" s="6" t="s">
        <v>452</v>
      </c>
      <c r="F1486" s="6" t="str">
        <f>IF($M1486="PADD I","PADD 1",IF($M1486="PADD II","PADD 2",IF($M1486="PADD III","PADD 3",IF($M1486="PADD IV","PADD 4",IF($M1486="PADD V","PADD 5","")))))</f>
        <v>PADD 2</v>
      </c>
      <c r="G1486" s="6" t="str">
        <f>IF(AND($H1486="ATMOS DISTILLATION",ISNUMBER(SEARCH("VPS",$I1486))=FALSE,LEFT($I1486,6)&lt;&gt;"VACUUM"),"CDU",IF($H1486="FLUID CAT CRACKING","FCC",IF(OR($H1486="HYDROCRACKING",$H1486="RESID_HYDROCRACKING"),"Hydrocracker",IF($H1486="REFORMING","Reformer",""))))</f>
        <v>CDU</v>
      </c>
      <c r="H1486" s="6" t="s">
        <v>38</v>
      </c>
      <c r="I1486" s="6" t="s">
        <v>481</v>
      </c>
      <c r="J1486" s="6" t="s">
        <v>345</v>
      </c>
      <c r="K1486" s="10">
        <v>4</v>
      </c>
      <c r="L1486" s="10">
        <v>40</v>
      </c>
      <c r="M1486" s="6" t="s">
        <v>375</v>
      </c>
    </row>
    <row r="1487" spans="1:13">
      <c r="A1487" s="6">
        <v>2023</v>
      </c>
      <c r="B1487" s="6">
        <v>6</v>
      </c>
      <c r="C1487" s="6" t="s">
        <v>64</v>
      </c>
      <c r="D1487" s="6" t="s">
        <v>334</v>
      </c>
      <c r="E1487" s="6" t="s">
        <v>552</v>
      </c>
      <c r="F1487" s="6" t="str">
        <f>IF($M1487="PADD I","PADD 1",IF($M1487="PADD II","PADD 2",IF($M1487="PADD III","PADD 3",IF($M1487="PADD IV","PADD 4",IF($M1487="PADD V","PADD 5","")))))</f>
        <v>PADD 3</v>
      </c>
      <c r="G1487" s="6" t="str">
        <f>IF(AND($H1487="ATMOS DISTILLATION",ISNUMBER(SEARCH("VPS",$I1487))=FALSE,LEFT($I1487,6)&lt;&gt;"VACUUM"),"CDU",IF($H1487="FLUID CAT CRACKING","FCC",IF(OR($H1487="HYDROCRACKING",$H1487="RESID_HYDROCRACKING"),"Hydrocracker",IF($H1487="REFORMING","Reformer",""))))</f>
        <v>FCC</v>
      </c>
      <c r="H1487" s="6" t="s">
        <v>376</v>
      </c>
      <c r="I1487" s="6" t="s">
        <v>613</v>
      </c>
      <c r="J1487" s="6" t="s">
        <v>345</v>
      </c>
      <c r="K1487" s="10">
        <v>4</v>
      </c>
      <c r="L1487" s="10">
        <v>20</v>
      </c>
      <c r="M1487" s="6" t="s">
        <v>371</v>
      </c>
    </row>
    <row r="1488" spans="1:13">
      <c r="A1488" s="6">
        <v>2023</v>
      </c>
      <c r="B1488" s="6">
        <v>6</v>
      </c>
      <c r="C1488" s="6" t="s">
        <v>64</v>
      </c>
      <c r="D1488" s="6" t="s">
        <v>434</v>
      </c>
      <c r="E1488" s="6" t="s">
        <v>388</v>
      </c>
      <c r="F1488" s="6" t="str">
        <f>IF($M1488="PADD I","PADD 1",IF($M1488="PADD II","PADD 2",IF($M1488="PADD III","PADD 3",IF($M1488="PADD IV","PADD 4",IF($M1488="PADD V","PADD 5","")))))</f>
        <v>PADD 5</v>
      </c>
      <c r="G1488" s="6">
        <f>IF(AND($H1488="ATMOS DISTILLATION",ISNUMBER(SEARCH("VPS",$I1488))=FALSE,LEFT($I1488,6)&lt;&gt;"VACUUM"),"CDU",IF($H1488="FLUID CAT CRACKING","FCC",IF(OR($H1488="HYDROCRACKING",$H1488="RESID_HYDROCRACKING"),"Hydrocracker",IF($H1488="REFORMING","Reformer",""))))</f>
        <v/>
      </c>
      <c r="H1488" s="6" t="s">
        <v>378</v>
      </c>
      <c r="I1488" s="6" t="s">
        <v>895</v>
      </c>
      <c r="J1488" s="6" t="s">
        <v>345</v>
      </c>
      <c r="K1488" s="10">
        <v>3.72</v>
      </c>
      <c r="L1488" s="10">
        <v>12.4</v>
      </c>
      <c r="M1488" s="6" t="s">
        <v>386</v>
      </c>
    </row>
    <row r="1489" spans="1:13">
      <c r="A1489" s="6">
        <v>2023</v>
      </c>
      <c r="B1489" s="6">
        <v>6</v>
      </c>
      <c r="C1489" s="6" t="s">
        <v>64</v>
      </c>
      <c r="D1489" s="6" t="s">
        <v>334</v>
      </c>
      <c r="E1489" s="6" t="s">
        <v>552</v>
      </c>
      <c r="F1489" s="6" t="str">
        <f>IF($M1489="PADD I","PADD 1",IF($M1489="PADD II","PADD 2",IF($M1489="PADD III","PADD 3",IF($M1489="PADD IV","PADD 4",IF($M1489="PADD V","PADD 5","")))))</f>
        <v>PADD 3</v>
      </c>
      <c r="G1489" s="6">
        <f>IF(AND($H1489="ATMOS DISTILLATION",ISNUMBER(SEARCH("VPS",$I1489))=FALSE,LEFT($I1489,6)&lt;&gt;"VACUUM"),"CDU",IF($H1489="FLUID CAT CRACKING","FCC",IF(OR($H1489="HYDROCRACKING",$H1489="RESID_HYDROCRACKING"),"Hydrocracker",IF($H1489="REFORMING","Reformer",""))))</f>
        <v/>
      </c>
      <c r="H1489" s="6" t="s">
        <v>378</v>
      </c>
      <c r="I1489" s="6" t="s">
        <v>555</v>
      </c>
      <c r="J1489" s="6" t="s">
        <v>345</v>
      </c>
      <c r="K1489" s="10">
        <v>3.706</v>
      </c>
      <c r="L1489" s="10">
        <v>18.53</v>
      </c>
      <c r="M1489" s="6" t="s">
        <v>371</v>
      </c>
    </row>
    <row r="1490" spans="1:13">
      <c r="A1490" s="6">
        <v>2023</v>
      </c>
      <c r="B1490" s="6">
        <v>6</v>
      </c>
      <c r="C1490" s="6" t="s">
        <v>64</v>
      </c>
      <c r="D1490" s="6" t="s">
        <v>762</v>
      </c>
      <c r="E1490" s="6" t="s">
        <v>763</v>
      </c>
      <c r="F1490" s="6" t="str">
        <f>IF($M1490="PADD I","PADD 1",IF($M1490="PADD II","PADD 2",IF($M1490="PADD III","PADD 3",IF($M1490="PADD IV","PADD 4",IF($M1490="PADD V","PADD 5","")))))</f>
        <v>PADD 2</v>
      </c>
      <c r="G1490" s="6" t="str">
        <f>IF(AND($H1490="ATMOS DISTILLATION",ISNUMBER(SEARCH("VPS",$I1490))=FALSE,LEFT($I1490,6)&lt;&gt;"VACUUM"),"CDU",IF($H1490="FLUID CAT CRACKING","FCC",IF(OR($H1490="HYDROCRACKING",$H1490="RESID_HYDROCRACKING"),"Hydrocracker",IF($H1490="REFORMING","Reformer",""))))</f>
        <v>FCC</v>
      </c>
      <c r="H1490" s="6" t="s">
        <v>376</v>
      </c>
      <c r="I1490" s="6" t="s">
        <v>105</v>
      </c>
      <c r="J1490" s="6" t="s">
        <v>345</v>
      </c>
      <c r="K1490" s="10">
        <v>3.57</v>
      </c>
      <c r="L1490" s="10">
        <v>21</v>
      </c>
      <c r="M1490" s="6" t="s">
        <v>375</v>
      </c>
    </row>
    <row r="1491" spans="1:13">
      <c r="A1491" s="6">
        <v>2023</v>
      </c>
      <c r="B1491" s="6">
        <v>6</v>
      </c>
      <c r="C1491" s="6" t="s">
        <v>64</v>
      </c>
      <c r="D1491" s="6" t="s">
        <v>434</v>
      </c>
      <c r="E1491" s="6" t="s">
        <v>388</v>
      </c>
      <c r="F1491" s="6" t="str">
        <f>IF($M1491="PADD I","PADD 1",IF($M1491="PADD II","PADD 2",IF($M1491="PADD III","PADD 3",IF($M1491="PADD IV","PADD 4",IF($M1491="PADD V","PADD 5","")))))</f>
        <v>PADD 5</v>
      </c>
      <c r="G1491" s="6" t="str">
        <f>IF(AND($H1491="ATMOS DISTILLATION",ISNUMBER(SEARCH("VPS",$I1491))=FALSE,LEFT($I1491,6)&lt;&gt;"VACUUM"),"CDU",IF($H1491="FLUID CAT CRACKING","FCC",IF(OR($H1491="HYDROCRACKING",$H1491="RESID_HYDROCRACKING"),"Hydrocracker",IF($H1491="REFORMING","Reformer",""))))</f>
        <v>CDU</v>
      </c>
      <c r="H1491" s="6" t="s">
        <v>38</v>
      </c>
      <c r="I1491" s="6" t="s">
        <v>663</v>
      </c>
      <c r="J1491" s="6" t="s">
        <v>345</v>
      </c>
      <c r="K1491" s="10">
        <v>3.502</v>
      </c>
      <c r="L1491" s="10">
        <v>20.6</v>
      </c>
      <c r="M1491" s="6" t="s">
        <v>386</v>
      </c>
    </row>
    <row r="1492" spans="1:13">
      <c r="A1492" s="6">
        <v>2023</v>
      </c>
      <c r="B1492" s="6">
        <v>6</v>
      </c>
      <c r="C1492" s="6" t="s">
        <v>64</v>
      </c>
      <c r="D1492" s="6" t="s">
        <v>451</v>
      </c>
      <c r="E1492" s="6" t="s">
        <v>452</v>
      </c>
      <c r="F1492" s="6" t="str">
        <f>IF($M1492="PADD I","PADD 1",IF($M1492="PADD II","PADD 2",IF($M1492="PADD III","PADD 3",IF($M1492="PADD IV","PADD 4",IF($M1492="PADD V","PADD 5","")))))</f>
        <v>PADD 2</v>
      </c>
      <c r="G1492" s="6">
        <f>IF(AND($H1492="ATMOS DISTILLATION",ISNUMBER(SEARCH("VPS",$I1492))=FALSE,LEFT($I1492,6)&lt;&gt;"VACUUM"),"CDU",IF($H1492="FLUID CAT CRACKING","FCC",IF(OR($H1492="HYDROCRACKING",$H1492="RESID_HYDROCRACKING"),"Hydrocracker",IF($H1492="REFORMING","Reformer",""))))</f>
        <v/>
      </c>
      <c r="H1492" s="6" t="s">
        <v>43</v>
      </c>
      <c r="I1492" s="6" t="s">
        <v>896</v>
      </c>
      <c r="J1492" s="6" t="s">
        <v>345</v>
      </c>
      <c r="K1492" s="10">
        <v>3.5</v>
      </c>
      <c r="L1492" s="10">
        <v>35</v>
      </c>
      <c r="M1492" s="6" t="s">
        <v>375</v>
      </c>
    </row>
    <row r="1493" spans="1:13">
      <c r="A1493" s="6">
        <v>2023</v>
      </c>
      <c r="B1493" s="6">
        <v>6</v>
      </c>
      <c r="C1493" s="6" t="s">
        <v>64</v>
      </c>
      <c r="D1493" s="6" t="s">
        <v>319</v>
      </c>
      <c r="E1493" s="6" t="s">
        <v>665</v>
      </c>
      <c r="F1493" s="6" t="str">
        <f>IF($M1493="PADD I","PADD 1",IF($M1493="PADD II","PADD 2",IF($M1493="PADD III","PADD 3",IF($M1493="PADD IV","PADD 4",IF($M1493="PADD V","PADD 5","")))))</f>
        <v>PADD 3</v>
      </c>
      <c r="G1493" s="6">
        <f>IF(AND($H1493="ATMOS DISTILLATION",ISNUMBER(SEARCH("VPS",$I1493))=FALSE,LEFT($I1493,6)&lt;&gt;"VACUUM"),"CDU",IF($H1493="FLUID CAT CRACKING","FCC",IF(OR($H1493="HYDROCRACKING",$H1493="RESID_HYDROCRACKING"),"Hydrocracker",IF($H1493="REFORMING","Reformer",""))))</f>
        <v/>
      </c>
      <c r="H1493" s="6" t="s">
        <v>460</v>
      </c>
      <c r="I1493" s="6" t="s">
        <v>461</v>
      </c>
      <c r="J1493" s="6" t="s">
        <v>345</v>
      </c>
      <c r="K1493" s="10">
        <v>3.404</v>
      </c>
      <c r="L1493" s="10">
        <v>14.8</v>
      </c>
      <c r="M1493" s="6" t="s">
        <v>371</v>
      </c>
    </row>
    <row r="1494" spans="1:13">
      <c r="A1494" s="6">
        <v>2023</v>
      </c>
      <c r="B1494" s="6">
        <v>6</v>
      </c>
      <c r="C1494" s="6" t="s">
        <v>64</v>
      </c>
      <c r="D1494" s="6" t="s">
        <v>468</v>
      </c>
      <c r="E1494" s="6" t="s">
        <v>369</v>
      </c>
      <c r="F1494" s="6" t="str">
        <f>IF($M1494="PADD I","PADD 1",IF($M1494="PADD II","PADD 2",IF($M1494="PADD III","PADD 3",IF($M1494="PADD IV","PADD 4",IF($M1494="PADD V","PADD 5","")))))</f>
        <v>PADD 3</v>
      </c>
      <c r="G1494" s="6" t="str">
        <f>IF(AND($H1494="ATMOS DISTILLATION",ISNUMBER(SEARCH("VPS",$I1494))=FALSE,LEFT($I1494,6)&lt;&gt;"VACUUM"),"CDU",IF($H1494="FLUID CAT CRACKING","FCC",IF(OR($H1494="HYDROCRACKING",$H1494="RESID_HYDROCRACKING"),"Hydrocracker",IF($H1494="REFORMING","Reformer",""))))</f>
        <v>Reformer</v>
      </c>
      <c r="H1494" s="6" t="s">
        <v>421</v>
      </c>
      <c r="I1494" s="6" t="s">
        <v>858</v>
      </c>
      <c r="J1494" s="6" t="s">
        <v>345</v>
      </c>
      <c r="K1494" s="10">
        <v>3.4</v>
      </c>
      <c r="L1494" s="10">
        <v>20</v>
      </c>
      <c r="M1494" s="6" t="s">
        <v>371</v>
      </c>
    </row>
    <row r="1495" spans="1:13">
      <c r="A1495" s="6">
        <v>2023</v>
      </c>
      <c r="B1495" s="6">
        <v>6</v>
      </c>
      <c r="C1495" s="6" t="s">
        <v>64</v>
      </c>
      <c r="D1495" s="6" t="s">
        <v>334</v>
      </c>
      <c r="E1495" s="6" t="s">
        <v>552</v>
      </c>
      <c r="F1495" s="6" t="str">
        <f>IF($M1495="PADD I","PADD 1",IF($M1495="PADD II","PADD 2",IF($M1495="PADD III","PADD 3",IF($M1495="PADD IV","PADD 4",IF($M1495="PADD V","PADD 5","")))))</f>
        <v>PADD 3</v>
      </c>
      <c r="G1495" s="6" t="str">
        <f>IF(AND($H1495="ATMOS DISTILLATION",ISNUMBER(SEARCH("VPS",$I1495))=FALSE,LEFT($I1495,6)&lt;&gt;"VACUUM"),"CDU",IF($H1495="FLUID CAT CRACKING","FCC",IF(OR($H1495="HYDROCRACKING",$H1495="RESID_HYDROCRACKING"),"Hydrocracker",IF($H1495="REFORMING","Reformer",""))))</f>
        <v>Reformer</v>
      </c>
      <c r="H1495" s="6" t="s">
        <v>421</v>
      </c>
      <c r="I1495" s="6" t="s">
        <v>592</v>
      </c>
      <c r="J1495" s="6" t="s">
        <v>345</v>
      </c>
      <c r="K1495" s="10">
        <v>3.2</v>
      </c>
      <c r="L1495" s="10">
        <v>16</v>
      </c>
      <c r="M1495" s="6" t="s">
        <v>371</v>
      </c>
    </row>
    <row r="1496" spans="1:13">
      <c r="A1496" s="6">
        <v>2023</v>
      </c>
      <c r="B1496" s="6">
        <v>6</v>
      </c>
      <c r="C1496" s="6" t="s">
        <v>64</v>
      </c>
      <c r="D1496" s="6" t="s">
        <v>334</v>
      </c>
      <c r="E1496" s="6" t="s">
        <v>552</v>
      </c>
      <c r="F1496" s="6" t="str">
        <f>IF($M1496="PADD I","PADD 1",IF($M1496="PADD II","PADD 2",IF($M1496="PADD III","PADD 3",IF($M1496="PADD IV","PADD 4",IF($M1496="PADD V","PADD 5","")))))</f>
        <v>PADD 3</v>
      </c>
      <c r="G1496" s="6">
        <f>IF(AND($H1496="ATMOS DISTILLATION",ISNUMBER(SEARCH("VPS",$I1496))=FALSE,LEFT($I1496,6)&lt;&gt;"VACUUM"),"CDU",IF($H1496="FLUID CAT CRACKING","FCC",IF(OR($H1496="HYDROCRACKING",$H1496="RESID_HYDROCRACKING"),"Hydrocracker",IF($H1496="REFORMING","Reformer",""))))</f>
        <v/>
      </c>
      <c r="H1496" s="6" t="s">
        <v>43</v>
      </c>
      <c r="I1496" s="6" t="s">
        <v>501</v>
      </c>
      <c r="J1496" s="6" t="s">
        <v>345</v>
      </c>
      <c r="K1496" s="10">
        <v>3.105</v>
      </c>
      <c r="L1496" s="10">
        <v>13.5</v>
      </c>
      <c r="M1496" s="6" t="s">
        <v>371</v>
      </c>
    </row>
    <row r="1497" spans="1:13">
      <c r="A1497" s="6">
        <v>2023</v>
      </c>
      <c r="B1497" s="6">
        <v>6</v>
      </c>
      <c r="C1497" s="6" t="s">
        <v>64</v>
      </c>
      <c r="D1497" s="6" t="s">
        <v>451</v>
      </c>
      <c r="E1497" s="6" t="s">
        <v>452</v>
      </c>
      <c r="F1497" s="6" t="str">
        <f>IF($M1497="PADD I","PADD 1",IF($M1497="PADD II","PADD 2",IF($M1497="PADD III","PADD 3",IF($M1497="PADD IV","PADD 4",IF($M1497="PADD V","PADD 5","")))))</f>
        <v>PADD 2</v>
      </c>
      <c r="G1497" s="6" t="str">
        <f>IF(AND($H1497="ATMOS DISTILLATION",ISNUMBER(SEARCH("VPS",$I1497))=FALSE,LEFT($I1497,6)&lt;&gt;"VACUUM"),"CDU",IF($H1497="FLUID CAT CRACKING","FCC",IF(OR($H1497="HYDROCRACKING",$H1497="RESID_HYDROCRACKING"),"Hydrocracker",IF($H1497="REFORMING","Reformer",""))))</f>
        <v>FCC</v>
      </c>
      <c r="H1497" s="6" t="s">
        <v>376</v>
      </c>
      <c r="I1497" s="6" t="s">
        <v>105</v>
      </c>
      <c r="J1497" s="6" t="s">
        <v>345</v>
      </c>
      <c r="K1497" s="10">
        <v>2.9</v>
      </c>
      <c r="L1497" s="10">
        <v>29</v>
      </c>
      <c r="M1497" s="6" t="s">
        <v>375</v>
      </c>
    </row>
    <row r="1498" spans="1:13">
      <c r="A1498" s="6">
        <v>2023</v>
      </c>
      <c r="B1498" s="6">
        <v>6</v>
      </c>
      <c r="C1498" s="6" t="s">
        <v>64</v>
      </c>
      <c r="D1498" s="6" t="s">
        <v>632</v>
      </c>
      <c r="E1498" s="6" t="s">
        <v>633</v>
      </c>
      <c r="F1498" s="6" t="str">
        <f>IF($M1498="PADD I","PADD 1",IF($M1498="PADD II","PADD 2",IF($M1498="PADD III","PADD 3",IF($M1498="PADD IV","PADD 4",IF($M1498="PADD V","PADD 5","")))))</f>
        <v>PADD 4</v>
      </c>
      <c r="G1498" s="6" t="str">
        <f>IF(AND($H1498="ATMOS DISTILLATION",ISNUMBER(SEARCH("VPS",$I1498))=FALSE,LEFT($I1498,6)&lt;&gt;"VACUUM"),"CDU",IF($H1498="FLUID CAT CRACKING","FCC",IF(OR($H1498="HYDROCRACKING",$H1498="RESID_HYDROCRACKING"),"Hydrocracker",IF($H1498="REFORMING","Reformer",""))))</f>
        <v>FCC</v>
      </c>
      <c r="H1498" s="6" t="s">
        <v>376</v>
      </c>
      <c r="I1498" s="6" t="s">
        <v>634</v>
      </c>
      <c r="J1498" s="6" t="s">
        <v>345</v>
      </c>
      <c r="K1498" s="10">
        <v>2.5</v>
      </c>
      <c r="L1498" s="10">
        <v>12.5</v>
      </c>
      <c r="M1498" s="6" t="s">
        <v>430</v>
      </c>
    </row>
    <row r="1499" spans="1:13">
      <c r="A1499" s="6">
        <v>2023</v>
      </c>
      <c r="B1499" s="6">
        <v>6</v>
      </c>
      <c r="C1499" s="6" t="s">
        <v>64</v>
      </c>
      <c r="D1499" s="6" t="s">
        <v>699</v>
      </c>
      <c r="E1499" s="6" t="s">
        <v>700</v>
      </c>
      <c r="F1499" s="6" t="str">
        <f>IF($M1499="PADD I","PADD 1",IF($M1499="PADD II","PADD 2",IF($M1499="PADD III","PADD 3",IF($M1499="PADD IV","PADD 4",IF($M1499="PADD V","PADD 5","")))))</f>
        <v>PADD 5</v>
      </c>
      <c r="G1499" s="6" t="str">
        <f>IF(AND($H1499="ATMOS DISTILLATION",ISNUMBER(SEARCH("VPS",$I1499))=FALSE,LEFT($I1499,6)&lt;&gt;"VACUUM"),"CDU",IF($H1499="FLUID CAT CRACKING","FCC",IF(OR($H1499="HYDROCRACKING",$H1499="RESID_HYDROCRACKING"),"Hydrocracker",IF($H1499="REFORMING","Reformer",""))))</f>
        <v>Reformer</v>
      </c>
      <c r="H1499" s="6" t="s">
        <v>421</v>
      </c>
      <c r="I1499" s="6" t="s">
        <v>15</v>
      </c>
      <c r="J1499" s="6" t="s">
        <v>349</v>
      </c>
      <c r="K1499" s="10">
        <v>2.49</v>
      </c>
      <c r="L1499" s="10">
        <v>3</v>
      </c>
      <c r="M1499" s="6" t="s">
        <v>386</v>
      </c>
    </row>
    <row r="1500" spans="1:13">
      <c r="A1500" s="6">
        <v>2023</v>
      </c>
      <c r="B1500" s="6">
        <v>6</v>
      </c>
      <c r="C1500" s="6" t="s">
        <v>64</v>
      </c>
      <c r="D1500" s="6" t="s">
        <v>434</v>
      </c>
      <c r="E1500" s="6" t="s">
        <v>388</v>
      </c>
      <c r="F1500" s="6" t="str">
        <f>IF($M1500="PADD I","PADD 1",IF($M1500="PADD II","PADD 2",IF($M1500="PADD III","PADD 3",IF($M1500="PADD IV","PADD 4",IF($M1500="PADD V","PADD 5","")))))</f>
        <v>PADD 5</v>
      </c>
      <c r="G1500" s="6">
        <f>IF(AND($H1500="ATMOS DISTILLATION",ISNUMBER(SEARCH("VPS",$I1500))=FALSE,LEFT($I1500,6)&lt;&gt;"VACUUM"),"CDU",IF($H1500="FLUID CAT CRACKING","FCC",IF(OR($H1500="HYDROCRACKING",$H1500="RESID_HYDROCRACKING"),"Hydrocracker",IF($H1500="REFORMING","Reformer",""))))</f>
        <v/>
      </c>
      <c r="H1500" s="6" t="s">
        <v>435</v>
      </c>
      <c r="I1500" s="6" t="s">
        <v>436</v>
      </c>
      <c r="J1500" s="6" t="s">
        <v>345</v>
      </c>
      <c r="K1500" s="10">
        <v>2.46</v>
      </c>
      <c r="L1500" s="10">
        <v>8.199999999999999</v>
      </c>
      <c r="M1500" s="6" t="s">
        <v>386</v>
      </c>
    </row>
    <row r="1501" spans="1:13">
      <c r="A1501" s="6">
        <v>2023</v>
      </c>
      <c r="B1501" s="6">
        <v>6</v>
      </c>
      <c r="C1501" s="6" t="s">
        <v>64</v>
      </c>
      <c r="D1501" s="6" t="s">
        <v>437</v>
      </c>
      <c r="E1501" s="6" t="s">
        <v>438</v>
      </c>
      <c r="F1501" s="6" t="str">
        <f>IF($M1501="PADD I","PADD 1",IF($M1501="PADD II","PADD 2",IF($M1501="PADD III","PADD 3",IF($M1501="PADD IV","PADD 4",IF($M1501="PADD V","PADD 5","")))))</f>
        <v>PADD 4</v>
      </c>
      <c r="G1501" s="6">
        <f>IF(AND($H1501="ATMOS DISTILLATION",ISNUMBER(SEARCH("VPS",$I1501))=FALSE,LEFT($I1501,6)&lt;&gt;"VACUUM"),"CDU",IF($H1501="FLUID CAT CRACKING","FCC",IF(OR($H1501="HYDROCRACKING",$H1501="RESID_HYDROCRACKING"),"Hydrocracker",IF($H1501="REFORMING","Reformer",""))))</f>
        <v/>
      </c>
      <c r="H1501" s="6" t="s">
        <v>43</v>
      </c>
      <c r="I1501" s="6" t="s">
        <v>493</v>
      </c>
      <c r="J1501" s="6" t="s">
        <v>349</v>
      </c>
      <c r="K1501" s="10">
        <v>2.3</v>
      </c>
      <c r="L1501" s="10">
        <v>10</v>
      </c>
      <c r="M1501" s="6" t="s">
        <v>430</v>
      </c>
    </row>
    <row r="1502" spans="1:13">
      <c r="A1502" s="6">
        <v>2023</v>
      </c>
      <c r="B1502" s="6">
        <v>6</v>
      </c>
      <c r="C1502" s="6" t="s">
        <v>64</v>
      </c>
      <c r="D1502" s="6" t="s">
        <v>612</v>
      </c>
      <c r="E1502" s="6" t="s">
        <v>416</v>
      </c>
      <c r="F1502" s="6" t="str">
        <f>IF($M1502="PADD I","PADD 1",IF($M1502="PADD II","PADD 2",IF($M1502="PADD III","PADD 3",IF($M1502="PADD IV","PADD 4",IF($M1502="PADD V","PADD 5","")))))</f>
        <v>PADD 3</v>
      </c>
      <c r="G1502" s="6">
        <f>IF(AND($H1502="ATMOS DISTILLATION",ISNUMBER(SEARCH("VPS",$I1502))=FALSE,LEFT($I1502,6)&lt;&gt;"VACUUM"),"CDU",IF($H1502="FLUID CAT CRACKING","FCC",IF(OR($H1502="HYDROCRACKING",$H1502="RESID_HYDROCRACKING"),"Hydrocracker",IF($H1502="REFORMING","Reformer",""))))</f>
        <v/>
      </c>
      <c r="H1502" s="6" t="s">
        <v>897</v>
      </c>
      <c r="I1502" s="6" t="s">
        <v>898</v>
      </c>
      <c r="J1502" s="6" t="s">
        <v>349</v>
      </c>
      <c r="K1502" s="10">
        <v>2.268</v>
      </c>
      <c r="L1502" s="10">
        <v>3.6</v>
      </c>
      <c r="M1502" s="6" t="s">
        <v>371</v>
      </c>
    </row>
    <row r="1503" spans="1:13">
      <c r="A1503" s="6">
        <v>2023</v>
      </c>
      <c r="B1503" s="6">
        <v>6</v>
      </c>
      <c r="C1503" s="6" t="s">
        <v>64</v>
      </c>
      <c r="D1503" s="6" t="s">
        <v>770</v>
      </c>
      <c r="E1503" s="6" t="s">
        <v>660</v>
      </c>
      <c r="F1503" s="6" t="str">
        <f>IF($M1503="PADD I","PADD 1",IF($M1503="PADD II","PADD 2",IF($M1503="PADD III","PADD 3",IF($M1503="PADD IV","PADD 4",IF($M1503="PADD V","PADD 5","")))))</f>
        <v>PADD 3</v>
      </c>
      <c r="G1503" s="6">
        <f>IF(AND($H1503="ATMOS DISTILLATION",ISNUMBER(SEARCH("VPS",$I1503))=FALSE,LEFT($I1503,6)&lt;&gt;"VACUUM"),"CDU",IF($H1503="FLUID CAT CRACKING","FCC",IF(OR($H1503="HYDROCRACKING",$H1503="RESID_HYDROCRACKING"),"Hydrocracker",IF($H1503="REFORMING","Reformer",""))))</f>
        <v/>
      </c>
      <c r="H1503" s="6" t="s">
        <v>435</v>
      </c>
      <c r="I1503" s="6" t="s">
        <v>441</v>
      </c>
      <c r="J1503" s="6" t="s">
        <v>349</v>
      </c>
      <c r="K1503" s="10">
        <v>2.24</v>
      </c>
      <c r="L1503" s="10">
        <v>32</v>
      </c>
      <c r="M1503" s="6" t="s">
        <v>371</v>
      </c>
    </row>
    <row r="1504" spans="1:13">
      <c r="A1504" s="6">
        <v>2023</v>
      </c>
      <c r="B1504" s="6">
        <v>6</v>
      </c>
      <c r="C1504" s="6" t="s">
        <v>64</v>
      </c>
      <c r="D1504" s="6" t="s">
        <v>451</v>
      </c>
      <c r="E1504" s="6" t="s">
        <v>452</v>
      </c>
      <c r="F1504" s="6" t="str">
        <f>IF($M1504="PADD I","PADD 1",IF($M1504="PADD II","PADD 2",IF($M1504="PADD III","PADD 3",IF($M1504="PADD IV","PADD 4",IF($M1504="PADD V","PADD 5","")))))</f>
        <v>PADD 2</v>
      </c>
      <c r="G1504" s="6" t="str">
        <f>IF(AND($H1504="ATMOS DISTILLATION",ISNUMBER(SEARCH("VPS",$I1504))=FALSE,LEFT($I1504,6)&lt;&gt;"VACUUM"),"CDU",IF($H1504="FLUID CAT CRACKING","FCC",IF(OR($H1504="HYDROCRACKING",$H1504="RESID_HYDROCRACKING"),"Hydrocracker",IF($H1504="REFORMING","Reformer",""))))</f>
        <v>Reformer</v>
      </c>
      <c r="H1504" s="6" t="s">
        <v>421</v>
      </c>
      <c r="I1504" s="6" t="s">
        <v>899</v>
      </c>
      <c r="J1504" s="6" t="s">
        <v>345</v>
      </c>
      <c r="K1504" s="10">
        <v>2.2</v>
      </c>
      <c r="L1504" s="10">
        <v>22</v>
      </c>
      <c r="M1504" s="6" t="s">
        <v>375</v>
      </c>
    </row>
    <row r="1505" spans="1:13">
      <c r="A1505" s="6">
        <v>2023</v>
      </c>
      <c r="B1505" s="6">
        <v>6</v>
      </c>
      <c r="C1505" s="6" t="s">
        <v>64</v>
      </c>
      <c r="D1505" s="6" t="s">
        <v>451</v>
      </c>
      <c r="E1505" s="6" t="s">
        <v>452</v>
      </c>
      <c r="F1505" s="6" t="str">
        <f>IF($M1505="PADD I","PADD 1",IF($M1505="PADD II","PADD 2",IF($M1505="PADD III","PADD 3",IF($M1505="PADD IV","PADD 4",IF($M1505="PADD V","PADD 5","")))))</f>
        <v>PADD 2</v>
      </c>
      <c r="G1505" s="6">
        <f>IF(AND($H1505="ATMOS DISTILLATION",ISNUMBER(SEARCH("VPS",$I1505))=FALSE,LEFT($I1505,6)&lt;&gt;"VACUUM"),"CDU",IF($H1505="FLUID CAT CRACKING","FCC",IF(OR($H1505="HYDROCRACKING",$H1505="RESID_HYDROCRACKING"),"Hydrocracker",IF($H1505="REFORMING","Reformer",""))))</f>
        <v/>
      </c>
      <c r="H1505" s="6" t="s">
        <v>43</v>
      </c>
      <c r="I1505" s="6" t="s">
        <v>900</v>
      </c>
      <c r="J1505" s="6" t="s">
        <v>345</v>
      </c>
      <c r="K1505" s="10">
        <v>2.2</v>
      </c>
      <c r="L1505" s="10">
        <v>22</v>
      </c>
      <c r="M1505" s="6" t="s">
        <v>375</v>
      </c>
    </row>
    <row r="1506" spans="1:13">
      <c r="A1506" s="6">
        <v>2023</v>
      </c>
      <c r="B1506" s="6">
        <v>6</v>
      </c>
      <c r="C1506" s="6" t="s">
        <v>64</v>
      </c>
      <c r="D1506" s="6" t="s">
        <v>437</v>
      </c>
      <c r="E1506" s="6" t="s">
        <v>438</v>
      </c>
      <c r="F1506" s="6" t="str">
        <f>IF($M1506="PADD I","PADD 1",IF($M1506="PADD II","PADD 2",IF($M1506="PADD III","PADD 3",IF($M1506="PADD IV","PADD 4",IF($M1506="PADD V","PADD 5","")))))</f>
        <v>PADD 4</v>
      </c>
      <c r="G1506" s="6" t="str">
        <f>IF(AND($H1506="ATMOS DISTILLATION",ISNUMBER(SEARCH("VPS",$I1506))=FALSE,LEFT($I1506,6)&lt;&gt;"VACUUM"),"CDU",IF($H1506="FLUID CAT CRACKING","FCC",IF(OR($H1506="HYDROCRACKING",$H1506="RESID_HYDROCRACKING"),"Hydrocracker",IF($H1506="REFORMING","Reformer",""))))</f>
        <v>Reformer</v>
      </c>
      <c r="H1506" s="6" t="s">
        <v>421</v>
      </c>
      <c r="I1506" s="6" t="s">
        <v>557</v>
      </c>
      <c r="J1506" s="6" t="s">
        <v>345</v>
      </c>
      <c r="K1506" s="10">
        <v>2.2</v>
      </c>
      <c r="L1506" s="10">
        <v>5.5</v>
      </c>
      <c r="M1506" s="6" t="s">
        <v>430</v>
      </c>
    </row>
    <row r="1507" spans="1:13">
      <c r="A1507" s="6">
        <v>2023</v>
      </c>
      <c r="B1507" s="6">
        <v>6</v>
      </c>
      <c r="C1507" s="6" t="s">
        <v>64</v>
      </c>
      <c r="D1507" s="6" t="s">
        <v>434</v>
      </c>
      <c r="E1507" s="6" t="s">
        <v>388</v>
      </c>
      <c r="F1507" s="6" t="str">
        <f>IF($M1507="PADD I","PADD 1",IF($M1507="PADD II","PADD 2",IF($M1507="PADD III","PADD 3",IF($M1507="PADD IV","PADD 4",IF($M1507="PADD V","PADD 5","")))))</f>
        <v>PADD 5</v>
      </c>
      <c r="G1507" s="6">
        <f>IF(AND($H1507="ATMOS DISTILLATION",ISNUMBER(SEARCH("VPS",$I1507))=FALSE,LEFT($I1507,6)&lt;&gt;"VACUUM"),"CDU",IF($H1507="FLUID CAT CRACKING","FCC",IF(OR($H1507="HYDROCRACKING",$H1507="RESID_HYDROCRACKING"),"Hydrocracker",IF($H1507="REFORMING","Reformer",""))))</f>
        <v/>
      </c>
      <c r="H1507" s="6" t="s">
        <v>378</v>
      </c>
      <c r="I1507" s="6" t="s">
        <v>895</v>
      </c>
      <c r="J1507" s="6" t="s">
        <v>345</v>
      </c>
      <c r="K1507" s="10">
        <v>2.108</v>
      </c>
      <c r="L1507" s="10">
        <v>12.4</v>
      </c>
      <c r="M1507" s="6" t="s">
        <v>386</v>
      </c>
    </row>
    <row r="1508" spans="1:13">
      <c r="A1508" s="6">
        <v>2023</v>
      </c>
      <c r="B1508" s="6">
        <v>6</v>
      </c>
      <c r="C1508" s="6" t="s">
        <v>64</v>
      </c>
      <c r="D1508" s="6" t="s">
        <v>334</v>
      </c>
      <c r="E1508" s="6" t="s">
        <v>552</v>
      </c>
      <c r="F1508" s="6" t="str">
        <f>IF($M1508="PADD I","PADD 1",IF($M1508="PADD II","PADD 2",IF($M1508="PADD III","PADD 3",IF($M1508="PADD IV","PADD 4",IF($M1508="PADD V","PADD 5","")))))</f>
        <v>PADD 3</v>
      </c>
      <c r="G1508" s="6">
        <f>IF(AND($H1508="ATMOS DISTILLATION",ISNUMBER(SEARCH("VPS",$I1508))=FALSE,LEFT($I1508,6)&lt;&gt;"VACUUM"),"CDU",IF($H1508="FLUID CAT CRACKING","FCC",IF(OR($H1508="HYDROCRACKING",$H1508="RESID_HYDROCRACKING"),"Hydrocracker",IF($H1508="REFORMING","Reformer",""))))</f>
        <v/>
      </c>
      <c r="H1508" s="6" t="s">
        <v>43</v>
      </c>
      <c r="I1508" s="6" t="s">
        <v>594</v>
      </c>
      <c r="J1508" s="6" t="s">
        <v>345</v>
      </c>
      <c r="K1508" s="10">
        <v>2.1</v>
      </c>
      <c r="L1508" s="10">
        <v>30</v>
      </c>
      <c r="M1508" s="6" t="s">
        <v>371</v>
      </c>
    </row>
    <row r="1509" spans="1:13">
      <c r="A1509" s="6">
        <v>2023</v>
      </c>
      <c r="B1509" s="6">
        <v>6</v>
      </c>
      <c r="C1509" s="6" t="s">
        <v>64</v>
      </c>
      <c r="D1509" s="6" t="s">
        <v>420</v>
      </c>
      <c r="E1509" s="6" t="s">
        <v>373</v>
      </c>
      <c r="F1509" s="6" t="str">
        <f>IF($M1509="PADD I","PADD 1",IF($M1509="PADD II","PADD 2",IF($M1509="PADD III","PADD 3",IF($M1509="PADD IV","PADD 4",IF($M1509="PADD V","PADD 5","")))))</f>
        <v>PADD 2</v>
      </c>
      <c r="G1509" s="6">
        <f>IF(AND($H1509="ATMOS DISTILLATION",ISNUMBER(SEARCH("VPS",$I1509))=FALSE,LEFT($I1509,6)&lt;&gt;"VACUUM"),"CDU",IF($H1509="FLUID CAT CRACKING","FCC",IF(OR($H1509="HYDROCRACKING",$H1509="RESID_HYDROCRACKING"),"Hydrocracker",IF($H1509="REFORMING","Reformer",""))))</f>
        <v/>
      </c>
      <c r="H1509" s="6" t="s">
        <v>568</v>
      </c>
      <c r="I1509" s="6" t="s">
        <v>604</v>
      </c>
      <c r="J1509" s="6" t="s">
        <v>345</v>
      </c>
      <c r="K1509" s="10">
        <v>2</v>
      </c>
      <c r="L1509" s="10">
        <v>2</v>
      </c>
      <c r="M1509" s="6" t="s">
        <v>375</v>
      </c>
    </row>
    <row r="1510" spans="1:13">
      <c r="A1510" s="6">
        <v>2023</v>
      </c>
      <c r="B1510" s="6">
        <v>6</v>
      </c>
      <c r="C1510" s="6" t="s">
        <v>64</v>
      </c>
      <c r="D1510" s="6" t="s">
        <v>437</v>
      </c>
      <c r="E1510" s="6" t="s">
        <v>438</v>
      </c>
      <c r="F1510" s="6" t="str">
        <f>IF($M1510="PADD I","PADD 1",IF($M1510="PADD II","PADD 2",IF($M1510="PADD III","PADD 3",IF($M1510="PADD IV","PADD 4",IF($M1510="PADD V","PADD 5","")))))</f>
        <v>PADD 4</v>
      </c>
      <c r="G1510" s="6" t="str">
        <f>IF(AND($H1510="ATMOS DISTILLATION",ISNUMBER(SEARCH("VPS",$I1510))=FALSE,LEFT($I1510,6)&lt;&gt;"VACUUM"),"CDU",IF($H1510="FLUID CAT CRACKING","FCC",IF(OR($H1510="HYDROCRACKING",$H1510="RESID_HYDROCRACKING"),"Hydrocracker",IF($H1510="REFORMING","Reformer",""))))</f>
        <v>FCC</v>
      </c>
      <c r="H1510" s="6" t="s">
        <v>376</v>
      </c>
      <c r="I1510" s="6" t="s">
        <v>428</v>
      </c>
      <c r="J1510" s="6" t="s">
        <v>349</v>
      </c>
      <c r="K1510" s="10">
        <v>1.955</v>
      </c>
      <c r="L1510" s="10">
        <v>8.5</v>
      </c>
      <c r="M1510" s="6" t="s">
        <v>430</v>
      </c>
    </row>
    <row r="1511" spans="1:13">
      <c r="A1511" s="6">
        <v>2023</v>
      </c>
      <c r="B1511" s="6">
        <v>6</v>
      </c>
      <c r="C1511" s="6" t="s">
        <v>64</v>
      </c>
      <c r="D1511" s="6" t="s">
        <v>451</v>
      </c>
      <c r="E1511" s="6" t="s">
        <v>452</v>
      </c>
      <c r="F1511" s="6" t="str">
        <f>IF($M1511="PADD I","PADD 1",IF($M1511="PADD II","PADD 2",IF($M1511="PADD III","PADD 3",IF($M1511="PADD IV","PADD 4",IF($M1511="PADD V","PADD 5","")))))</f>
        <v>PADD 2</v>
      </c>
      <c r="G1511" s="6">
        <f>IF(AND($H1511="ATMOS DISTILLATION",ISNUMBER(SEARCH("VPS",$I1511))=FALSE,LEFT($I1511,6)&lt;&gt;"VACUUM"),"CDU",IF($H1511="FLUID CAT CRACKING","FCC",IF(OR($H1511="HYDROCRACKING",$H1511="RESID_HYDROCRACKING"),"Hydrocracker",IF($H1511="REFORMING","Reformer",""))))</f>
        <v/>
      </c>
      <c r="H1511" s="6" t="s">
        <v>43</v>
      </c>
      <c r="I1511" s="6" t="s">
        <v>901</v>
      </c>
      <c r="J1511" s="6" t="s">
        <v>345</v>
      </c>
      <c r="K1511" s="10">
        <v>1.95</v>
      </c>
      <c r="L1511" s="10">
        <v>19.5</v>
      </c>
      <c r="M1511" s="6" t="s">
        <v>375</v>
      </c>
    </row>
    <row r="1512" spans="1:13">
      <c r="A1512" s="6">
        <v>2023</v>
      </c>
      <c r="B1512" s="6">
        <v>6</v>
      </c>
      <c r="C1512" s="6" t="s">
        <v>64</v>
      </c>
      <c r="D1512" s="6" t="s">
        <v>334</v>
      </c>
      <c r="E1512" s="6" t="s">
        <v>552</v>
      </c>
      <c r="F1512" s="6" t="str">
        <f>IF($M1512="PADD I","PADD 1",IF($M1512="PADD II","PADD 2",IF($M1512="PADD III","PADD 3",IF($M1512="PADD IV","PADD 4",IF($M1512="PADD V","PADD 5","")))))</f>
        <v>PADD 3</v>
      </c>
      <c r="G1512" s="6">
        <f>IF(AND($H1512="ATMOS DISTILLATION",ISNUMBER(SEARCH("VPS",$I1512))=FALSE,LEFT($I1512,6)&lt;&gt;"VACUUM"),"CDU",IF($H1512="FLUID CAT CRACKING","FCC",IF(OR($H1512="HYDROCRACKING",$H1512="RESID_HYDROCRACKING"),"Hydrocracker",IF($H1512="REFORMING","Reformer",""))))</f>
        <v/>
      </c>
      <c r="H1512" s="6" t="s">
        <v>43</v>
      </c>
      <c r="I1512" s="6" t="s">
        <v>619</v>
      </c>
      <c r="J1512" s="6" t="s">
        <v>345</v>
      </c>
      <c r="K1512" s="10">
        <v>1.84</v>
      </c>
      <c r="L1512" s="10">
        <v>8</v>
      </c>
      <c r="M1512" s="6" t="s">
        <v>371</v>
      </c>
    </row>
    <row r="1513" spans="1:13">
      <c r="A1513" s="6">
        <v>2023</v>
      </c>
      <c r="B1513" s="6">
        <v>6</v>
      </c>
      <c r="C1513" s="6" t="s">
        <v>64</v>
      </c>
      <c r="D1513" s="6" t="s">
        <v>437</v>
      </c>
      <c r="E1513" s="6" t="s">
        <v>438</v>
      </c>
      <c r="F1513" s="6" t="str">
        <f>IF($M1513="PADD I","PADD 1",IF($M1513="PADD II","PADD 2",IF($M1513="PADD III","PADD 3",IF($M1513="PADD IV","PADD 4",IF($M1513="PADD V","PADD 5","")))))</f>
        <v>PADD 4</v>
      </c>
      <c r="G1513" s="6" t="str">
        <f>IF(AND($H1513="ATMOS DISTILLATION",ISNUMBER(SEARCH("VPS",$I1513))=FALSE,LEFT($I1513,6)&lt;&gt;"VACUUM"),"CDU",IF($H1513="FLUID CAT CRACKING","FCC",IF(OR($H1513="HYDROCRACKING",$H1513="RESID_HYDROCRACKING"),"Hydrocracker",IF($H1513="REFORMING","Reformer",""))))</f>
        <v>FCC</v>
      </c>
      <c r="H1513" s="6" t="s">
        <v>376</v>
      </c>
      <c r="I1513" s="6" t="s">
        <v>428</v>
      </c>
      <c r="J1513" s="6" t="s">
        <v>345</v>
      </c>
      <c r="K1513" s="10">
        <v>1.8275</v>
      </c>
      <c r="L1513" s="10">
        <v>4.25</v>
      </c>
      <c r="M1513" s="6" t="s">
        <v>430</v>
      </c>
    </row>
    <row r="1514" spans="1:13">
      <c r="A1514" s="6">
        <v>2023</v>
      </c>
      <c r="B1514" s="6">
        <v>6</v>
      </c>
      <c r="C1514" s="6" t="s">
        <v>64</v>
      </c>
      <c r="D1514" s="6" t="s">
        <v>334</v>
      </c>
      <c r="E1514" s="6" t="s">
        <v>552</v>
      </c>
      <c r="F1514" s="6" t="str">
        <f>IF($M1514="PADD I","PADD 1",IF($M1514="PADD II","PADD 2",IF($M1514="PADD III","PADD 3",IF($M1514="PADD IV","PADD 4",IF($M1514="PADD V","PADD 5","")))))</f>
        <v>PADD 3</v>
      </c>
      <c r="G1514" s="6">
        <f>IF(AND($H1514="ATMOS DISTILLATION",ISNUMBER(SEARCH("VPS",$I1514))=FALSE,LEFT($I1514,6)&lt;&gt;"VACUUM"),"CDU",IF($H1514="FLUID CAT CRACKING","FCC",IF(OR($H1514="HYDROCRACKING",$H1514="RESID_HYDROCRACKING"),"Hydrocracker",IF($H1514="REFORMING","Reformer",""))))</f>
        <v/>
      </c>
      <c r="H1514" s="6" t="s">
        <v>43</v>
      </c>
      <c r="I1514" s="6" t="s">
        <v>598</v>
      </c>
      <c r="J1514" s="6" t="s">
        <v>345</v>
      </c>
      <c r="K1514" s="10">
        <v>1.75</v>
      </c>
      <c r="L1514" s="10">
        <v>25</v>
      </c>
      <c r="M1514" s="6" t="s">
        <v>371</v>
      </c>
    </row>
    <row r="1515" spans="1:13">
      <c r="A1515" s="6">
        <v>2023</v>
      </c>
      <c r="B1515" s="6">
        <v>6</v>
      </c>
      <c r="C1515" s="6" t="s">
        <v>64</v>
      </c>
      <c r="D1515" s="6" t="s">
        <v>451</v>
      </c>
      <c r="E1515" s="6" t="s">
        <v>452</v>
      </c>
      <c r="F1515" s="6" t="str">
        <f>IF($M1515="PADD I","PADD 1",IF($M1515="PADD II","PADD 2",IF($M1515="PADD III","PADD 3",IF($M1515="PADD IV","PADD 4",IF($M1515="PADD V","PADD 5","")))))</f>
        <v>PADD 2</v>
      </c>
      <c r="G1515" s="6">
        <f>IF(AND($H1515="ATMOS DISTILLATION",ISNUMBER(SEARCH("VPS",$I1515))=FALSE,LEFT($I1515,6)&lt;&gt;"VACUUM"),"CDU",IF($H1515="FLUID CAT CRACKING","FCC",IF(OR($H1515="HYDROCRACKING",$H1515="RESID_HYDROCRACKING"),"Hydrocracker",IF($H1515="REFORMING","Reformer",""))))</f>
        <v/>
      </c>
      <c r="H1515" s="6" t="s">
        <v>43</v>
      </c>
      <c r="I1515" s="6" t="s">
        <v>902</v>
      </c>
      <c r="J1515" s="6" t="s">
        <v>345</v>
      </c>
      <c r="K1515" s="10">
        <v>1.6</v>
      </c>
      <c r="L1515" s="10">
        <v>16</v>
      </c>
      <c r="M1515" s="6" t="s">
        <v>375</v>
      </c>
    </row>
    <row r="1516" spans="1:13">
      <c r="A1516" s="6">
        <v>2023</v>
      </c>
      <c r="B1516" s="6">
        <v>6</v>
      </c>
      <c r="C1516" s="6" t="s">
        <v>64</v>
      </c>
      <c r="D1516" s="6" t="s">
        <v>334</v>
      </c>
      <c r="E1516" s="6" t="s">
        <v>552</v>
      </c>
      <c r="F1516" s="6" t="str">
        <f>IF($M1516="PADD I","PADD 1",IF($M1516="PADD II","PADD 2",IF($M1516="PADD III","PADD 3",IF($M1516="PADD IV","PADD 4",IF($M1516="PADD V","PADD 5","")))))</f>
        <v>PADD 3</v>
      </c>
      <c r="G1516" s="6">
        <f>IF(AND($H1516="ATMOS DISTILLATION",ISNUMBER(SEARCH("VPS",$I1516))=FALSE,LEFT($I1516,6)&lt;&gt;"VACUUM"),"CDU",IF($H1516="FLUID CAT CRACKING","FCC",IF(OR($H1516="HYDROCRACKING",$H1516="RESID_HYDROCRACKING"),"Hydrocracker",IF($H1516="REFORMING","Reformer",""))))</f>
        <v/>
      </c>
      <c r="H1516" s="6" t="s">
        <v>523</v>
      </c>
      <c r="I1516" s="6" t="s">
        <v>524</v>
      </c>
      <c r="J1516" s="6" t="s">
        <v>345</v>
      </c>
      <c r="K1516" s="10">
        <v>1.5939</v>
      </c>
      <c r="L1516" s="10">
        <v>6.93</v>
      </c>
      <c r="M1516" s="6" t="s">
        <v>371</v>
      </c>
    </row>
    <row r="1517" spans="1:13">
      <c r="A1517" s="6">
        <v>2023</v>
      </c>
      <c r="B1517" s="6">
        <v>6</v>
      </c>
      <c r="C1517" s="6" t="s">
        <v>64</v>
      </c>
      <c r="D1517" s="6" t="s">
        <v>770</v>
      </c>
      <c r="E1517" s="6" t="s">
        <v>660</v>
      </c>
      <c r="F1517" s="6" t="str">
        <f>IF($M1517="PADD I","PADD 1",IF($M1517="PADD II","PADD 2",IF($M1517="PADD III","PADD 3",IF($M1517="PADD IV","PADD 4",IF($M1517="PADD V","PADD 5","")))))</f>
        <v>PADD 3</v>
      </c>
      <c r="G1517" s="6">
        <f>IF(AND($H1517="ATMOS DISTILLATION",ISNUMBER(SEARCH("VPS",$I1517))=FALSE,LEFT($I1517,6)&lt;&gt;"VACUUM"),"CDU",IF($H1517="FLUID CAT CRACKING","FCC",IF(OR($H1517="HYDROCRACKING",$H1517="RESID_HYDROCRACKING"),"Hydrocracker",IF($H1517="REFORMING","Reformer",""))))</f>
        <v/>
      </c>
      <c r="H1517" s="6" t="s">
        <v>43</v>
      </c>
      <c r="I1517" s="6" t="s">
        <v>626</v>
      </c>
      <c r="J1517" s="6" t="s">
        <v>349</v>
      </c>
      <c r="K1517" s="10">
        <v>1.54</v>
      </c>
      <c r="L1517" s="10">
        <v>22</v>
      </c>
      <c r="M1517" s="6" t="s">
        <v>371</v>
      </c>
    </row>
    <row r="1518" spans="1:13">
      <c r="A1518" s="6">
        <v>2023</v>
      </c>
      <c r="B1518" s="6">
        <v>6</v>
      </c>
      <c r="C1518" s="6" t="s">
        <v>64</v>
      </c>
      <c r="D1518" s="6" t="s">
        <v>770</v>
      </c>
      <c r="E1518" s="6" t="s">
        <v>660</v>
      </c>
      <c r="F1518" s="6" t="str">
        <f>IF($M1518="PADD I","PADD 1",IF($M1518="PADD II","PADD 2",IF($M1518="PADD III","PADD 3",IF($M1518="PADD IV","PADD 4",IF($M1518="PADD V","PADD 5","")))))</f>
        <v>PADD 3</v>
      </c>
      <c r="G1518" s="6">
        <f>IF(AND($H1518="ATMOS DISTILLATION",ISNUMBER(SEARCH("VPS",$I1518))=FALSE,LEFT($I1518,6)&lt;&gt;"VACUUM"),"CDU",IF($H1518="FLUID CAT CRACKING","FCC",IF(OR($H1518="HYDROCRACKING",$H1518="RESID_HYDROCRACKING"),"Hydrocracker",IF($H1518="REFORMING","Reformer",""))))</f>
        <v/>
      </c>
      <c r="H1518" s="6" t="s">
        <v>43</v>
      </c>
      <c r="I1518" s="6" t="s">
        <v>781</v>
      </c>
      <c r="J1518" s="6" t="s">
        <v>349</v>
      </c>
      <c r="K1518" s="10">
        <v>1.54</v>
      </c>
      <c r="L1518" s="10">
        <v>22</v>
      </c>
      <c r="M1518" s="6" t="s">
        <v>371</v>
      </c>
    </row>
    <row r="1519" spans="1:13">
      <c r="A1519" s="6">
        <v>2023</v>
      </c>
      <c r="B1519" s="6">
        <v>6</v>
      </c>
      <c r="C1519" s="6" t="s">
        <v>64</v>
      </c>
      <c r="D1519" s="6" t="s">
        <v>878</v>
      </c>
      <c r="E1519" s="6" t="s">
        <v>452</v>
      </c>
      <c r="F1519" s="6" t="str">
        <f>IF($M1519="PADD I","PADD 1",IF($M1519="PADD II","PADD 2",IF($M1519="PADD III","PADD 3",IF($M1519="PADD IV","PADD 4",IF($M1519="PADD V","PADD 5","")))))</f>
        <v>PADD 2</v>
      </c>
      <c r="G1519" s="6">
        <f>IF(AND($H1519="ATMOS DISTILLATION",ISNUMBER(SEARCH("VPS",$I1519))=FALSE,LEFT($I1519,6)&lt;&gt;"VACUUM"),"CDU",IF($H1519="FLUID CAT CRACKING","FCC",IF(OR($H1519="HYDROCRACKING",$H1519="RESID_HYDROCRACKING"),"Hydrocracker",IF($H1519="REFORMING","Reformer",""))))</f>
        <v/>
      </c>
      <c r="H1519" s="6" t="s">
        <v>435</v>
      </c>
      <c r="I1519" s="6" t="s">
        <v>441</v>
      </c>
      <c r="J1519" s="6" t="s">
        <v>345</v>
      </c>
      <c r="K1519" s="10">
        <v>1.53</v>
      </c>
      <c r="L1519" s="10">
        <v>9</v>
      </c>
      <c r="M1519" s="6" t="s">
        <v>375</v>
      </c>
    </row>
    <row r="1520" spans="1:13">
      <c r="A1520" s="6">
        <v>2023</v>
      </c>
      <c r="B1520" s="6">
        <v>6</v>
      </c>
      <c r="C1520" s="6" t="s">
        <v>64</v>
      </c>
      <c r="D1520" s="6" t="s">
        <v>434</v>
      </c>
      <c r="E1520" s="6" t="s">
        <v>388</v>
      </c>
      <c r="F1520" s="6" t="str">
        <f>IF($M1520="PADD I","PADD 1",IF($M1520="PADD II","PADD 2",IF($M1520="PADD III","PADD 3",IF($M1520="PADD IV","PADD 4",IF($M1520="PADD V","PADD 5","")))))</f>
        <v>PADD 5</v>
      </c>
      <c r="G1520" s="6">
        <f>IF(AND($H1520="ATMOS DISTILLATION",ISNUMBER(SEARCH("VPS",$I1520))=FALSE,LEFT($I1520,6)&lt;&gt;"VACUUM"),"CDU",IF($H1520="FLUID CAT CRACKING","FCC",IF(OR($H1520="HYDROCRACKING",$H1520="RESID_HYDROCRACKING"),"Hydrocracker",IF($H1520="REFORMING","Reformer",""))))</f>
        <v/>
      </c>
      <c r="H1520" s="6" t="s">
        <v>43</v>
      </c>
      <c r="I1520" s="6" t="s">
        <v>903</v>
      </c>
      <c r="J1520" s="6" t="s">
        <v>345</v>
      </c>
      <c r="K1520" s="10">
        <v>1.5</v>
      </c>
      <c r="L1520" s="10">
        <v>5</v>
      </c>
      <c r="M1520" s="6" t="s">
        <v>386</v>
      </c>
    </row>
    <row r="1521" spans="1:13">
      <c r="A1521" s="6">
        <v>2023</v>
      </c>
      <c r="B1521" s="6">
        <v>6</v>
      </c>
      <c r="C1521" s="6" t="s">
        <v>64</v>
      </c>
      <c r="D1521" s="6" t="s">
        <v>788</v>
      </c>
      <c r="E1521" s="6" t="s">
        <v>405</v>
      </c>
      <c r="F1521" s="6" t="str">
        <f>IF($M1521="PADD I","PADD 1",IF($M1521="PADD II","PADD 2",IF($M1521="PADD III","PADD 3",IF($M1521="PADD IV","PADD 4",IF($M1521="PADD V","PADD 5","")))))</f>
        <v>PADD 3</v>
      </c>
      <c r="G1521" s="6">
        <f>IF(AND($H1521="ATMOS DISTILLATION",ISNUMBER(SEARCH("VPS",$I1521))=FALSE,LEFT($I1521,6)&lt;&gt;"VACUUM"),"CDU",IF($H1521="FLUID CAT CRACKING","FCC",IF(OR($H1521="HYDROCRACKING",$H1521="RESID_HYDROCRACKING"),"Hydrocracker",IF($H1521="REFORMING","Reformer",""))))</f>
        <v/>
      </c>
      <c r="H1521" s="6" t="s">
        <v>378</v>
      </c>
      <c r="I1521" s="6" t="s">
        <v>812</v>
      </c>
      <c r="J1521" s="6" t="s">
        <v>345</v>
      </c>
      <c r="K1521" s="10">
        <v>1.5</v>
      </c>
      <c r="L1521" s="10">
        <v>50</v>
      </c>
      <c r="M1521" s="6" t="s">
        <v>371</v>
      </c>
    </row>
    <row r="1522" spans="1:13">
      <c r="A1522" s="6">
        <v>2023</v>
      </c>
      <c r="B1522" s="6">
        <v>6</v>
      </c>
      <c r="C1522" s="6" t="s">
        <v>64</v>
      </c>
      <c r="D1522" s="6" t="s">
        <v>434</v>
      </c>
      <c r="E1522" s="6" t="s">
        <v>388</v>
      </c>
      <c r="F1522" s="6" t="str">
        <f>IF($M1522="PADD I","PADD 1",IF($M1522="PADD II","PADD 2",IF($M1522="PADD III","PADD 3",IF($M1522="PADD IV","PADD 4",IF($M1522="PADD V","PADD 5","")))))</f>
        <v>PADD 5</v>
      </c>
      <c r="G1522" s="6">
        <f>IF(AND($H1522="ATMOS DISTILLATION",ISNUMBER(SEARCH("VPS",$I1522))=FALSE,LEFT($I1522,6)&lt;&gt;"VACUUM"),"CDU",IF($H1522="FLUID CAT CRACKING","FCC",IF(OR($H1522="HYDROCRACKING",$H1522="RESID_HYDROCRACKING"),"Hydrocracker",IF($H1522="REFORMING","Reformer",""))))</f>
        <v/>
      </c>
      <c r="H1522" s="6" t="s">
        <v>435</v>
      </c>
      <c r="I1522" s="6" t="s">
        <v>436</v>
      </c>
      <c r="J1522" s="6" t="s">
        <v>345</v>
      </c>
      <c r="K1522" s="10">
        <v>1.394</v>
      </c>
      <c r="L1522" s="10">
        <v>8.199999999999999</v>
      </c>
      <c r="M1522" s="6" t="s">
        <v>386</v>
      </c>
    </row>
    <row r="1523" spans="1:13">
      <c r="A1523" s="6">
        <v>2023</v>
      </c>
      <c r="B1523" s="6">
        <v>6</v>
      </c>
      <c r="C1523" s="6" t="s">
        <v>64</v>
      </c>
      <c r="D1523" s="6" t="s">
        <v>334</v>
      </c>
      <c r="E1523" s="6" t="s">
        <v>552</v>
      </c>
      <c r="F1523" s="6" t="str">
        <f>IF($M1523="PADD I","PADD 1",IF($M1523="PADD II","PADD 2",IF($M1523="PADD III","PADD 3",IF($M1523="PADD IV","PADD 4",IF($M1523="PADD V","PADD 5","")))))</f>
        <v>PADD 3</v>
      </c>
      <c r="G1523" s="6">
        <f>IF(AND($H1523="ATMOS DISTILLATION",ISNUMBER(SEARCH("VPS",$I1523))=FALSE,LEFT($I1523,6)&lt;&gt;"VACUUM"),"CDU",IF($H1523="FLUID CAT CRACKING","FCC",IF(OR($H1523="HYDROCRACKING",$H1523="RESID_HYDROCRACKING"),"Hydrocracker",IF($H1523="REFORMING","Reformer",""))))</f>
        <v/>
      </c>
      <c r="H1523" s="6" t="s">
        <v>568</v>
      </c>
      <c r="I1523" s="6" t="s">
        <v>623</v>
      </c>
      <c r="J1523" s="6" t="s">
        <v>345</v>
      </c>
      <c r="K1523" s="10">
        <v>1.38</v>
      </c>
      <c r="L1523" s="10">
        <v>6</v>
      </c>
      <c r="M1523" s="6" t="s">
        <v>371</v>
      </c>
    </row>
    <row r="1524" spans="1:13">
      <c r="A1524" s="6">
        <v>2023</v>
      </c>
      <c r="B1524" s="6">
        <v>6</v>
      </c>
      <c r="C1524" s="6" t="s">
        <v>64</v>
      </c>
      <c r="D1524" s="6" t="s">
        <v>334</v>
      </c>
      <c r="E1524" s="6" t="s">
        <v>552</v>
      </c>
      <c r="F1524" s="6" t="str">
        <f>IF($M1524="PADD I","PADD 1",IF($M1524="PADD II","PADD 2",IF($M1524="PADD III","PADD 3",IF($M1524="PADD IV","PADD 4",IF($M1524="PADD V","PADD 5","")))))</f>
        <v>PADD 3</v>
      </c>
      <c r="G1524" s="6">
        <f>IF(AND($H1524="ATMOS DISTILLATION",ISNUMBER(SEARCH("VPS",$I1524))=FALSE,LEFT($I1524,6)&lt;&gt;"VACUUM"),"CDU",IF($H1524="FLUID CAT CRACKING","FCC",IF(OR($H1524="HYDROCRACKING",$H1524="RESID_HYDROCRACKING"),"Hydrocracker",IF($H1524="REFORMING","Reformer",""))))</f>
        <v/>
      </c>
      <c r="H1524" s="6" t="s">
        <v>43</v>
      </c>
      <c r="I1524" s="6" t="s">
        <v>607</v>
      </c>
      <c r="J1524" s="6" t="s">
        <v>345</v>
      </c>
      <c r="K1524" s="10">
        <v>1.323</v>
      </c>
      <c r="L1524" s="10">
        <v>18.9</v>
      </c>
      <c r="M1524" s="6" t="s">
        <v>371</v>
      </c>
    </row>
    <row r="1525" spans="1:13">
      <c r="A1525" s="6">
        <v>2023</v>
      </c>
      <c r="B1525" s="6">
        <v>6</v>
      </c>
      <c r="C1525" s="6" t="s">
        <v>64</v>
      </c>
      <c r="D1525" s="6" t="s">
        <v>770</v>
      </c>
      <c r="E1525" s="6" t="s">
        <v>660</v>
      </c>
      <c r="F1525" s="6" t="str">
        <f>IF($M1525="PADD I","PADD 1",IF($M1525="PADD II","PADD 2",IF($M1525="PADD III","PADD 3",IF($M1525="PADD IV","PADD 4",IF($M1525="PADD V","PADD 5","")))))</f>
        <v>PADD 3</v>
      </c>
      <c r="G1525" s="6" t="str">
        <f>IF(AND($H1525="ATMOS DISTILLATION",ISNUMBER(SEARCH("VPS",$I1525))=FALSE,LEFT($I1525,6)&lt;&gt;"VACUUM"),"CDU",IF($H1525="FLUID CAT CRACKING","FCC",IF(OR($H1525="HYDROCRACKING",$H1525="RESID_HYDROCRACKING"),"Hydrocracker",IF($H1525="REFORMING","Reformer",""))))</f>
        <v>Hydrocracker</v>
      </c>
      <c r="H1525" s="6" t="s">
        <v>444</v>
      </c>
      <c r="I1525" s="6" t="s">
        <v>14</v>
      </c>
      <c r="J1525" s="6" t="s">
        <v>349</v>
      </c>
      <c r="K1525" s="10">
        <v>1.295</v>
      </c>
      <c r="L1525" s="10">
        <v>18.5</v>
      </c>
      <c r="M1525" s="6" t="s">
        <v>371</v>
      </c>
    </row>
    <row r="1526" spans="1:13">
      <c r="A1526" s="6">
        <v>2023</v>
      </c>
      <c r="B1526" s="6">
        <v>6</v>
      </c>
      <c r="C1526" s="6" t="s">
        <v>64</v>
      </c>
      <c r="D1526" s="6" t="s">
        <v>372</v>
      </c>
      <c r="E1526" s="6" t="s">
        <v>373</v>
      </c>
      <c r="F1526" s="6" t="str">
        <f>IF($M1526="PADD I","PADD 1",IF($M1526="PADD II","PADD 2",IF($M1526="PADD III","PADD 3",IF($M1526="PADD IV","PADD 4",IF($M1526="PADD V","PADD 5","")))))</f>
        <v>PADD 2</v>
      </c>
      <c r="G1526" s="6">
        <f>IF(AND($H1526="ATMOS DISTILLATION",ISNUMBER(SEARCH("VPS",$I1526))=FALSE,LEFT($I1526,6)&lt;&gt;"VACUUM"),"CDU",IF($H1526="FLUID CAT CRACKING","FCC",IF(OR($H1526="HYDROCRACKING",$H1526="RESID_HYDROCRACKING"),"Hydrocracker",IF($H1526="REFORMING","Reformer",""))))</f>
        <v/>
      </c>
      <c r="H1526" s="6" t="s">
        <v>460</v>
      </c>
      <c r="I1526" s="6" t="s">
        <v>541</v>
      </c>
      <c r="J1526" s="6" t="s">
        <v>345</v>
      </c>
      <c r="K1526" s="10">
        <v>1.29</v>
      </c>
      <c r="L1526" s="10">
        <v>3</v>
      </c>
      <c r="M1526" s="6" t="s">
        <v>375</v>
      </c>
    </row>
    <row r="1527" spans="1:13">
      <c r="A1527" s="6">
        <v>2023</v>
      </c>
      <c r="B1527" s="6">
        <v>6</v>
      </c>
      <c r="C1527" s="6" t="s">
        <v>64</v>
      </c>
      <c r="D1527" s="6" t="s">
        <v>372</v>
      </c>
      <c r="E1527" s="6" t="s">
        <v>373</v>
      </c>
      <c r="F1527" s="6" t="str">
        <f>IF($M1527="PADD I","PADD 1",IF($M1527="PADD II","PADD 2",IF($M1527="PADD III","PADD 3",IF($M1527="PADD IV","PADD 4",IF($M1527="PADD V","PADD 5","")))))</f>
        <v>PADD 2</v>
      </c>
      <c r="G1527" s="6">
        <f>IF(AND($H1527="ATMOS DISTILLATION",ISNUMBER(SEARCH("VPS",$I1527))=FALSE,LEFT($I1527,6)&lt;&gt;"VACUUM"),"CDU",IF($H1527="FLUID CAT CRACKING","FCC",IF(OR($H1527="HYDROCRACKING",$H1527="RESID_HYDROCRACKING"),"Hydrocracker",IF($H1527="REFORMING","Reformer",""))))</f>
        <v/>
      </c>
      <c r="H1527" s="6" t="s">
        <v>460</v>
      </c>
      <c r="I1527" s="6" t="s">
        <v>608</v>
      </c>
      <c r="J1527" s="6" t="s">
        <v>345</v>
      </c>
      <c r="K1527" s="10">
        <v>1.29</v>
      </c>
      <c r="L1527" s="10">
        <v>3</v>
      </c>
      <c r="M1527" s="6" t="s">
        <v>375</v>
      </c>
    </row>
    <row r="1528" spans="1:13">
      <c r="A1528" s="6">
        <v>2023</v>
      </c>
      <c r="B1528" s="6">
        <v>6</v>
      </c>
      <c r="C1528" s="6" t="s">
        <v>64</v>
      </c>
      <c r="D1528" s="6" t="s">
        <v>878</v>
      </c>
      <c r="E1528" s="6" t="s">
        <v>452</v>
      </c>
      <c r="F1528" s="6" t="str">
        <f>IF($M1528="PADD I","PADD 1",IF($M1528="PADD II","PADD 2",IF($M1528="PADD III","PADD 3",IF($M1528="PADD IV","PADD 4",IF($M1528="PADD V","PADD 5","")))))</f>
        <v>PADD 2</v>
      </c>
      <c r="G1528" s="6">
        <f>IF(AND($H1528="ATMOS DISTILLATION",ISNUMBER(SEARCH("VPS",$I1528))=FALSE,LEFT($I1528,6)&lt;&gt;"VACUUM"),"CDU",IF($H1528="FLUID CAT CRACKING","FCC",IF(OR($H1528="HYDROCRACKING",$H1528="RESID_HYDROCRACKING"),"Hydrocracker",IF($H1528="REFORMING","Reformer",""))))</f>
        <v/>
      </c>
      <c r="H1528" s="6" t="s">
        <v>43</v>
      </c>
      <c r="I1528" s="6" t="s">
        <v>904</v>
      </c>
      <c r="J1528" s="6" t="s">
        <v>345</v>
      </c>
      <c r="K1528" s="10">
        <v>1.275</v>
      </c>
      <c r="L1528" s="10">
        <v>7.5</v>
      </c>
      <c r="M1528" s="6" t="s">
        <v>375</v>
      </c>
    </row>
    <row r="1529" spans="1:13">
      <c r="A1529" s="6">
        <v>2023</v>
      </c>
      <c r="B1529" s="6">
        <v>6</v>
      </c>
      <c r="C1529" s="6" t="s">
        <v>64</v>
      </c>
      <c r="D1529" s="6" t="s">
        <v>434</v>
      </c>
      <c r="E1529" s="6" t="s">
        <v>388</v>
      </c>
      <c r="F1529" s="6" t="str">
        <f>IF($M1529="PADD I","PADD 1",IF($M1529="PADD II","PADD 2",IF($M1529="PADD III","PADD 3",IF($M1529="PADD IV","PADD 4",IF($M1529="PADD V","PADD 5","")))))</f>
        <v>PADD 5</v>
      </c>
      <c r="G1529" s="6" t="str">
        <f>IF(AND($H1529="ATMOS DISTILLATION",ISNUMBER(SEARCH("VPS",$I1529))=FALSE,LEFT($I1529,6)&lt;&gt;"VACUUM"),"CDU",IF($H1529="FLUID CAT CRACKING","FCC",IF(OR($H1529="HYDROCRACKING",$H1529="RESID_HYDROCRACKING"),"Hydrocracker",IF($H1529="REFORMING","Reformer",""))))</f>
        <v>Hydrocracker</v>
      </c>
      <c r="H1529" s="6" t="s">
        <v>444</v>
      </c>
      <c r="I1529" s="6" t="s">
        <v>14</v>
      </c>
      <c r="J1529" s="6" t="s">
        <v>345</v>
      </c>
      <c r="K1529" s="10">
        <v>1.2512</v>
      </c>
      <c r="L1529" s="10">
        <v>7.36</v>
      </c>
      <c r="M1529" s="6" t="s">
        <v>386</v>
      </c>
    </row>
    <row r="1530" spans="1:13">
      <c r="A1530" s="6">
        <v>2023</v>
      </c>
      <c r="B1530" s="6">
        <v>6</v>
      </c>
      <c r="C1530" s="6" t="s">
        <v>64</v>
      </c>
      <c r="D1530" s="6" t="s">
        <v>770</v>
      </c>
      <c r="E1530" s="6" t="s">
        <v>660</v>
      </c>
      <c r="F1530" s="6" t="str">
        <f>IF($M1530="PADD I","PADD 1",IF($M1530="PADD II","PADD 2",IF($M1530="PADD III","PADD 3",IF($M1530="PADD IV","PADD 4",IF($M1530="PADD V","PADD 5","")))))</f>
        <v>PADD 3</v>
      </c>
      <c r="G1530" s="6" t="str">
        <f>IF(AND($H1530="ATMOS DISTILLATION",ISNUMBER(SEARCH("VPS",$I1530))=FALSE,LEFT($I1530,6)&lt;&gt;"VACUUM"),"CDU",IF($H1530="FLUID CAT CRACKING","FCC",IF(OR($H1530="HYDROCRACKING",$H1530="RESID_HYDROCRACKING"),"Hydrocracker",IF($H1530="REFORMING","Reformer",""))))</f>
        <v>Reformer</v>
      </c>
      <c r="H1530" s="6" t="s">
        <v>421</v>
      </c>
      <c r="I1530" s="6" t="s">
        <v>783</v>
      </c>
      <c r="J1530" s="6" t="s">
        <v>349</v>
      </c>
      <c r="K1530" s="10">
        <v>1.12</v>
      </c>
      <c r="L1530" s="10">
        <v>16</v>
      </c>
      <c r="M1530" s="6" t="s">
        <v>371</v>
      </c>
    </row>
    <row r="1531" spans="1:13">
      <c r="A1531" s="6">
        <v>2023</v>
      </c>
      <c r="B1531" s="6">
        <v>6</v>
      </c>
      <c r="C1531" s="6" t="s">
        <v>64</v>
      </c>
      <c r="D1531" s="6" t="s">
        <v>770</v>
      </c>
      <c r="E1531" s="6" t="s">
        <v>660</v>
      </c>
      <c r="F1531" s="6" t="str">
        <f>IF($M1531="PADD I","PADD 1",IF($M1531="PADD II","PADD 2",IF($M1531="PADD III","PADD 3",IF($M1531="PADD IV","PADD 4",IF($M1531="PADD V","PADD 5","")))))</f>
        <v>PADD 3</v>
      </c>
      <c r="G1531" s="6">
        <f>IF(AND($H1531="ATMOS DISTILLATION",ISNUMBER(SEARCH("VPS",$I1531))=FALSE,LEFT($I1531,6)&lt;&gt;"VACUUM"),"CDU",IF($H1531="FLUID CAT CRACKING","FCC",IF(OR($H1531="HYDROCRACKING",$H1531="RESID_HYDROCRACKING"),"Hydrocracker",IF($H1531="REFORMING","Reformer",""))))</f>
        <v/>
      </c>
      <c r="H1531" s="6" t="s">
        <v>43</v>
      </c>
      <c r="I1531" s="6" t="s">
        <v>784</v>
      </c>
      <c r="J1531" s="6" t="s">
        <v>349</v>
      </c>
      <c r="K1531" s="10">
        <v>1.05</v>
      </c>
      <c r="L1531" s="10">
        <v>15</v>
      </c>
      <c r="M1531" s="6" t="s">
        <v>371</v>
      </c>
    </row>
    <row r="1532" spans="1:13">
      <c r="A1532" s="6">
        <v>2023</v>
      </c>
      <c r="B1532" s="6">
        <v>6</v>
      </c>
      <c r="C1532" s="6" t="s">
        <v>64</v>
      </c>
      <c r="D1532" s="6" t="s">
        <v>770</v>
      </c>
      <c r="E1532" s="6" t="s">
        <v>660</v>
      </c>
      <c r="F1532" s="6" t="str">
        <f>IF($M1532="PADD I","PADD 1",IF($M1532="PADD II","PADD 2",IF($M1532="PADD III","PADD 3",IF($M1532="PADD IV","PADD 4",IF($M1532="PADD V","PADD 5","")))))</f>
        <v>PADD 3</v>
      </c>
      <c r="G1532" s="6">
        <f>IF(AND($H1532="ATMOS DISTILLATION",ISNUMBER(SEARCH("VPS",$I1532))=FALSE,LEFT($I1532,6)&lt;&gt;"VACUUM"),"CDU",IF($H1532="FLUID CAT CRACKING","FCC",IF(OR($H1532="HYDROCRACKING",$H1532="RESID_HYDROCRACKING"),"Hydrocracker",IF($H1532="REFORMING","Reformer",""))))</f>
        <v/>
      </c>
      <c r="H1532" s="6" t="s">
        <v>378</v>
      </c>
      <c r="I1532" s="6" t="s">
        <v>431</v>
      </c>
      <c r="J1532" s="6" t="s">
        <v>349</v>
      </c>
      <c r="K1532" s="10">
        <v>1.05</v>
      </c>
      <c r="L1532" s="10">
        <v>15</v>
      </c>
      <c r="M1532" s="6" t="s">
        <v>371</v>
      </c>
    </row>
    <row r="1533" spans="1:13">
      <c r="A1533" s="6">
        <v>2023</v>
      </c>
      <c r="B1533" s="6">
        <v>6</v>
      </c>
      <c r="C1533" s="6" t="s">
        <v>64</v>
      </c>
      <c r="D1533" s="6" t="s">
        <v>462</v>
      </c>
      <c r="E1533" s="6" t="s">
        <v>438</v>
      </c>
      <c r="F1533" s="6" t="str">
        <f>IF($M1533="PADD I","PADD 1",IF($M1533="PADD II","PADD 2",IF($M1533="PADD III","PADD 3",IF($M1533="PADD IV","PADD 4",IF($M1533="PADD V","PADD 5","")))))</f>
        <v>PADD 4</v>
      </c>
      <c r="G1533" s="6" t="str">
        <f>IF(AND($H1533="ATMOS DISTILLATION",ISNUMBER(SEARCH("VPS",$I1533))=FALSE,LEFT($I1533,6)&lt;&gt;"VACUUM"),"CDU",IF($H1533="FLUID CAT CRACKING","FCC",IF(OR($H1533="HYDROCRACKING",$H1533="RESID_HYDROCRACKING"),"Hydrocracker",IF($H1533="REFORMING","Reformer",""))))</f>
        <v>CDU</v>
      </c>
      <c r="H1533" s="6" t="s">
        <v>38</v>
      </c>
      <c r="I1533" s="6" t="s">
        <v>123</v>
      </c>
      <c r="J1533" s="6" t="s">
        <v>345</v>
      </c>
      <c r="K1533" s="10">
        <v>0.96</v>
      </c>
      <c r="L1533" s="10">
        <v>32</v>
      </c>
      <c r="M1533" s="6" t="s">
        <v>430</v>
      </c>
    </row>
    <row r="1534" spans="1:13">
      <c r="A1534" s="6">
        <v>2023</v>
      </c>
      <c r="B1534" s="6">
        <v>6</v>
      </c>
      <c r="C1534" s="6" t="s">
        <v>64</v>
      </c>
      <c r="D1534" s="6" t="s">
        <v>788</v>
      </c>
      <c r="E1534" s="6" t="s">
        <v>405</v>
      </c>
      <c r="F1534" s="6" t="str">
        <f>IF($M1534="PADD I","PADD 1",IF($M1534="PADD II","PADD 2",IF($M1534="PADD III","PADD 3",IF($M1534="PADD IV","PADD 4",IF($M1534="PADD V","PADD 5","")))))</f>
        <v>PADD 3</v>
      </c>
      <c r="G1534" s="6" t="str">
        <f>IF(AND($H1534="ATMOS DISTILLATION",ISNUMBER(SEARCH("VPS",$I1534))=FALSE,LEFT($I1534,6)&lt;&gt;"VACUUM"),"CDU",IF($H1534="FLUID CAT CRACKING","FCC",IF(OR($H1534="HYDROCRACKING",$H1534="RESID_HYDROCRACKING"),"Hydrocracker",IF($H1534="REFORMING","Reformer",""))))</f>
        <v>Reformer</v>
      </c>
      <c r="H1534" s="6" t="s">
        <v>421</v>
      </c>
      <c r="I1534" s="6" t="s">
        <v>782</v>
      </c>
      <c r="J1534" s="6" t="s">
        <v>345</v>
      </c>
      <c r="K1534" s="10">
        <v>0.96</v>
      </c>
      <c r="L1534" s="10">
        <v>32</v>
      </c>
      <c r="M1534" s="6" t="s">
        <v>371</v>
      </c>
    </row>
    <row r="1535" spans="1:13">
      <c r="A1535" s="6">
        <v>2023</v>
      </c>
      <c r="B1535" s="6">
        <v>6</v>
      </c>
      <c r="C1535" s="6" t="s">
        <v>64</v>
      </c>
      <c r="D1535" s="6" t="s">
        <v>334</v>
      </c>
      <c r="E1535" s="6" t="s">
        <v>552</v>
      </c>
      <c r="F1535" s="6" t="str">
        <f>IF($M1535="PADD I","PADD 1",IF($M1535="PADD II","PADD 2",IF($M1535="PADD III","PADD 3",IF($M1535="PADD IV","PADD 4",IF($M1535="PADD V","PADD 5","")))))</f>
        <v>PADD 3</v>
      </c>
      <c r="G1535" s="6">
        <f>IF(AND($H1535="ATMOS DISTILLATION",ISNUMBER(SEARCH("VPS",$I1535))=FALSE,LEFT($I1535,6)&lt;&gt;"VACUUM"),"CDU",IF($H1535="FLUID CAT CRACKING","FCC",IF(OR($H1535="HYDROCRACKING",$H1535="RESID_HYDROCRACKING"),"Hydrocracker",IF($H1535="REFORMING","Reformer",""))))</f>
        <v/>
      </c>
      <c r="H1535" s="6" t="s">
        <v>43</v>
      </c>
      <c r="I1535" s="6" t="s">
        <v>501</v>
      </c>
      <c r="J1535" s="6" t="s">
        <v>345</v>
      </c>
      <c r="K1535" s="10">
        <v>0.945</v>
      </c>
      <c r="L1535" s="10">
        <v>13.5</v>
      </c>
      <c r="M1535" s="6" t="s">
        <v>371</v>
      </c>
    </row>
    <row r="1536" spans="1:13">
      <c r="A1536" s="6">
        <v>2023</v>
      </c>
      <c r="B1536" s="6">
        <v>6</v>
      </c>
      <c r="C1536" s="6" t="s">
        <v>64</v>
      </c>
      <c r="D1536" s="6" t="s">
        <v>334</v>
      </c>
      <c r="E1536" s="6" t="s">
        <v>552</v>
      </c>
      <c r="F1536" s="6" t="str">
        <f>IF($M1536="PADD I","PADD 1",IF($M1536="PADD II","PADD 2",IF($M1536="PADD III","PADD 3",IF($M1536="PADD IV","PADD 4",IF($M1536="PADD V","PADD 5","")))))</f>
        <v>PADD 3</v>
      </c>
      <c r="G1536" s="6">
        <f>IF(AND($H1536="ATMOS DISTILLATION",ISNUMBER(SEARCH("VPS",$I1536))=FALSE,LEFT($I1536,6)&lt;&gt;"VACUUM"),"CDU",IF($H1536="FLUID CAT CRACKING","FCC",IF(OR($H1536="HYDROCRACKING",$H1536="RESID_HYDROCRACKING"),"Hydrocracker",IF($H1536="REFORMING","Reformer",""))))</f>
        <v/>
      </c>
      <c r="H1536" s="6" t="s">
        <v>460</v>
      </c>
      <c r="I1536" s="6" t="s">
        <v>461</v>
      </c>
      <c r="J1536" s="6" t="s">
        <v>345</v>
      </c>
      <c r="K1536" s="10">
        <v>0.92</v>
      </c>
      <c r="L1536" s="10">
        <v>4</v>
      </c>
      <c r="M1536" s="6" t="s">
        <v>371</v>
      </c>
    </row>
    <row r="1537" spans="1:13">
      <c r="A1537" s="6">
        <v>2023</v>
      </c>
      <c r="B1537" s="6">
        <v>6</v>
      </c>
      <c r="C1537" s="6" t="s">
        <v>64</v>
      </c>
      <c r="D1537" s="6" t="s">
        <v>434</v>
      </c>
      <c r="E1537" s="6" t="s">
        <v>388</v>
      </c>
      <c r="F1537" s="6" t="str">
        <f>IF($M1537="PADD I","PADD 1",IF($M1537="PADD II","PADD 2",IF($M1537="PADD III","PADD 3",IF($M1537="PADD IV","PADD 4",IF($M1537="PADD V","PADD 5","")))))</f>
        <v>PADD 5</v>
      </c>
      <c r="G1537" s="6" t="str">
        <f>IF(AND($H1537="ATMOS DISTILLATION",ISNUMBER(SEARCH("VPS",$I1537))=FALSE,LEFT($I1537,6)&lt;&gt;"VACUUM"),"CDU",IF($H1537="FLUID CAT CRACKING","FCC",IF(OR($H1537="HYDROCRACKING",$H1537="RESID_HYDROCRACKING"),"Hydrocracker",IF($H1537="REFORMING","Reformer",""))))</f>
        <v>Reformer</v>
      </c>
      <c r="H1537" s="6" t="s">
        <v>421</v>
      </c>
      <c r="I1537" s="6" t="s">
        <v>671</v>
      </c>
      <c r="J1537" s="6" t="s">
        <v>345</v>
      </c>
      <c r="K1537" s="10">
        <v>0.9</v>
      </c>
      <c r="L1537" s="10">
        <v>3</v>
      </c>
      <c r="M1537" s="6" t="s">
        <v>386</v>
      </c>
    </row>
    <row r="1538" spans="1:13">
      <c r="A1538" s="6">
        <v>2023</v>
      </c>
      <c r="B1538" s="6">
        <v>6</v>
      </c>
      <c r="C1538" s="6" t="s">
        <v>64</v>
      </c>
      <c r="D1538" s="6" t="s">
        <v>434</v>
      </c>
      <c r="E1538" s="6" t="s">
        <v>388</v>
      </c>
      <c r="F1538" s="6" t="str">
        <f>IF($M1538="PADD I","PADD 1",IF($M1538="PADD II","PADD 2",IF($M1538="PADD III","PADD 3",IF($M1538="PADD IV","PADD 4",IF($M1538="PADD V","PADD 5","")))))</f>
        <v>PADD 5</v>
      </c>
      <c r="G1538" s="6">
        <f>IF(AND($H1538="ATMOS DISTILLATION",ISNUMBER(SEARCH("VPS",$I1538))=FALSE,LEFT($I1538,6)&lt;&gt;"VACUUM"),"CDU",IF($H1538="FLUID CAT CRACKING","FCC",IF(OR($H1538="HYDROCRACKING",$H1538="RESID_HYDROCRACKING"),"Hydrocracker",IF($H1538="REFORMING","Reformer",""))))</f>
        <v/>
      </c>
      <c r="H1538" s="6" t="s">
        <v>43</v>
      </c>
      <c r="I1538" s="6" t="s">
        <v>905</v>
      </c>
      <c r="J1538" s="6" t="s">
        <v>345</v>
      </c>
      <c r="K1538" s="10">
        <v>0.9</v>
      </c>
      <c r="L1538" s="10">
        <v>3</v>
      </c>
      <c r="M1538" s="6" t="s">
        <v>386</v>
      </c>
    </row>
    <row r="1539" spans="1:13">
      <c r="A1539" s="6">
        <v>2023</v>
      </c>
      <c r="B1539" s="6">
        <v>6</v>
      </c>
      <c r="C1539" s="6" t="s">
        <v>64</v>
      </c>
      <c r="D1539" s="6" t="s">
        <v>334</v>
      </c>
      <c r="E1539" s="6" t="s">
        <v>552</v>
      </c>
      <c r="F1539" s="6" t="str">
        <f>IF($M1539="PADD I","PADD 1",IF($M1539="PADD II","PADD 2",IF($M1539="PADD III","PADD 3",IF($M1539="PADD IV","PADD 4",IF($M1539="PADD V","PADD 5","")))))</f>
        <v>PADD 3</v>
      </c>
      <c r="G1539" s="6">
        <f>IF(AND($H1539="ATMOS DISTILLATION",ISNUMBER(SEARCH("VPS",$I1539))=FALSE,LEFT($I1539,6)&lt;&gt;"VACUUM"),"CDU",IF($H1539="FLUID CAT CRACKING","FCC",IF(OR($H1539="HYDROCRACKING",$H1539="RESID_HYDROCRACKING"),"Hydrocracker",IF($H1539="REFORMING","Reformer",""))))</f>
        <v/>
      </c>
      <c r="H1539" s="6" t="s">
        <v>43</v>
      </c>
      <c r="I1539" s="6" t="s">
        <v>594</v>
      </c>
      <c r="J1539" s="6" t="s">
        <v>345</v>
      </c>
      <c r="K1539" s="10">
        <v>0.9</v>
      </c>
      <c r="L1539" s="10">
        <v>30</v>
      </c>
      <c r="M1539" s="6" t="s">
        <v>371</v>
      </c>
    </row>
    <row r="1540" spans="1:13">
      <c r="A1540" s="6">
        <v>2023</v>
      </c>
      <c r="B1540" s="6">
        <v>6</v>
      </c>
      <c r="C1540" s="6" t="s">
        <v>64</v>
      </c>
      <c r="D1540" s="6" t="s">
        <v>468</v>
      </c>
      <c r="E1540" s="6" t="s">
        <v>369</v>
      </c>
      <c r="F1540" s="6" t="str">
        <f>IF($M1540="PADD I","PADD 1",IF($M1540="PADD II","PADD 2",IF($M1540="PADD III","PADD 3",IF($M1540="PADD IV","PADD 4",IF($M1540="PADD V","PADD 5","")))))</f>
        <v>PADD 3</v>
      </c>
      <c r="G1540" s="6" t="str">
        <f>IF(AND($H1540="ATMOS DISTILLATION",ISNUMBER(SEARCH("VPS",$I1540))=FALSE,LEFT($I1540,6)&lt;&gt;"VACUUM"),"CDU",IF($H1540="FLUID CAT CRACKING","FCC",IF(OR($H1540="HYDROCRACKING",$H1540="RESID_HYDROCRACKING"),"Hydrocracker",IF($H1540="REFORMING","Reformer",""))))</f>
        <v>FCC</v>
      </c>
      <c r="H1540" s="6" t="s">
        <v>376</v>
      </c>
      <c r="I1540" s="6" t="s">
        <v>469</v>
      </c>
      <c r="J1540" s="6" t="s">
        <v>345</v>
      </c>
      <c r="K1540" s="10">
        <v>0.9</v>
      </c>
      <c r="L1540" s="10">
        <v>30</v>
      </c>
      <c r="M1540" s="6" t="s">
        <v>371</v>
      </c>
    </row>
    <row r="1541" spans="1:13">
      <c r="A1541" s="6">
        <v>2023</v>
      </c>
      <c r="B1541" s="6">
        <v>6</v>
      </c>
      <c r="C1541" s="6" t="s">
        <v>64</v>
      </c>
      <c r="D1541" s="6" t="s">
        <v>632</v>
      </c>
      <c r="E1541" s="6" t="s">
        <v>633</v>
      </c>
      <c r="F1541" s="6" t="str">
        <f>IF($M1541="PADD I","PADD 1",IF($M1541="PADD II","PADD 2",IF($M1541="PADD III","PADD 3",IF($M1541="PADD IV","PADD 4",IF($M1541="PADD V","PADD 5","")))))</f>
        <v>PADD 4</v>
      </c>
      <c r="G1541" s="6" t="str">
        <f>IF(AND($H1541="ATMOS DISTILLATION",ISNUMBER(SEARCH("VPS",$I1541))=FALSE,LEFT($I1541,6)&lt;&gt;"VACUUM"),"CDU",IF($H1541="FLUID CAT CRACKING","FCC",IF(OR($H1541="HYDROCRACKING",$H1541="RESID_HYDROCRACKING"),"Hydrocracker",IF($H1541="REFORMING","Reformer",""))))</f>
        <v>FCC</v>
      </c>
      <c r="H1541" s="6" t="s">
        <v>376</v>
      </c>
      <c r="I1541" s="6" t="s">
        <v>634</v>
      </c>
      <c r="J1541" s="6" t="s">
        <v>345</v>
      </c>
      <c r="K1541" s="10">
        <v>0.875</v>
      </c>
      <c r="L1541" s="10">
        <v>12.5</v>
      </c>
      <c r="M1541" s="6" t="s">
        <v>430</v>
      </c>
    </row>
    <row r="1542" spans="1:13">
      <c r="A1542" s="6">
        <v>2023</v>
      </c>
      <c r="B1542" s="6">
        <v>6</v>
      </c>
      <c r="C1542" s="6" t="s">
        <v>64</v>
      </c>
      <c r="D1542" s="6" t="s">
        <v>434</v>
      </c>
      <c r="E1542" s="6" t="s">
        <v>388</v>
      </c>
      <c r="F1542" s="6" t="str">
        <f>IF($M1542="PADD I","PADD 1",IF($M1542="PADD II","PADD 2",IF($M1542="PADD III","PADD 3",IF($M1542="PADD IV","PADD 4",IF($M1542="PADD V","PADD 5","")))))</f>
        <v>PADD 5</v>
      </c>
      <c r="G1542" s="6">
        <f>IF(AND($H1542="ATMOS DISTILLATION",ISNUMBER(SEARCH("VPS",$I1542))=FALSE,LEFT($I1542,6)&lt;&gt;"VACUUM"),"CDU",IF($H1542="FLUID CAT CRACKING","FCC",IF(OR($H1542="HYDROCRACKING",$H1542="RESID_HYDROCRACKING"),"Hydrocracker",IF($H1542="REFORMING","Reformer",""))))</f>
        <v/>
      </c>
      <c r="H1542" s="6" t="s">
        <v>43</v>
      </c>
      <c r="I1542" s="6" t="s">
        <v>903</v>
      </c>
      <c r="J1542" s="6" t="s">
        <v>345</v>
      </c>
      <c r="K1542" s="10">
        <v>0.85</v>
      </c>
      <c r="L1542" s="10">
        <v>5</v>
      </c>
      <c r="M1542" s="6" t="s">
        <v>386</v>
      </c>
    </row>
    <row r="1543" spans="1:13">
      <c r="A1543" s="6">
        <v>2023</v>
      </c>
      <c r="B1543" s="6">
        <v>6</v>
      </c>
      <c r="C1543" s="6" t="s">
        <v>64</v>
      </c>
      <c r="D1543" s="6" t="s">
        <v>762</v>
      </c>
      <c r="E1543" s="6" t="s">
        <v>763</v>
      </c>
      <c r="F1543" s="6" t="str">
        <f>IF($M1543="PADD I","PADD 1",IF($M1543="PADD II","PADD 2",IF($M1543="PADD III","PADD 3",IF($M1543="PADD IV","PADD 4",IF($M1543="PADD V","PADD 5","")))))</f>
        <v>PADD 2</v>
      </c>
      <c r="G1543" s="6">
        <f>IF(AND($H1543="ATMOS DISTILLATION",ISNUMBER(SEARCH("VPS",$I1543))=FALSE,LEFT($I1543,6)&lt;&gt;"VACUUM"),"CDU",IF($H1543="FLUID CAT CRACKING","FCC",IF(OR($H1543="HYDROCRACKING",$H1543="RESID_HYDROCRACKING"),"Hydrocracker",IF($H1543="REFORMING","Reformer",""))))</f>
        <v/>
      </c>
      <c r="H1543" s="6" t="s">
        <v>460</v>
      </c>
      <c r="I1543" s="6" t="s">
        <v>616</v>
      </c>
      <c r="J1543" s="6" t="s">
        <v>345</v>
      </c>
      <c r="K1543" s="10">
        <v>0.85</v>
      </c>
      <c r="L1543" s="10">
        <v>5</v>
      </c>
      <c r="M1543" s="6" t="s">
        <v>375</v>
      </c>
    </row>
    <row r="1544" spans="1:13">
      <c r="A1544" s="6">
        <v>2023</v>
      </c>
      <c r="B1544" s="6">
        <v>6</v>
      </c>
      <c r="C1544" s="6" t="s">
        <v>64</v>
      </c>
      <c r="D1544" s="6" t="s">
        <v>770</v>
      </c>
      <c r="E1544" s="6" t="s">
        <v>660</v>
      </c>
      <c r="F1544" s="6" t="str">
        <f>IF($M1544="PADD I","PADD 1",IF($M1544="PADD II","PADD 2",IF($M1544="PADD III","PADD 3",IF($M1544="PADD IV","PADD 4",IF($M1544="PADD V","PADD 5","")))))</f>
        <v>PADD 3</v>
      </c>
      <c r="G1544" s="6">
        <f>IF(AND($H1544="ATMOS DISTILLATION",ISNUMBER(SEARCH("VPS",$I1544))=FALSE,LEFT($I1544,6)&lt;&gt;"VACUUM"),"CDU",IF($H1544="FLUID CAT CRACKING","FCC",IF(OR($H1544="HYDROCRACKING",$H1544="RESID_HYDROCRACKING"),"Hydrocracker",IF($H1544="REFORMING","Reformer",""))))</f>
        <v/>
      </c>
      <c r="H1544" s="6" t="s">
        <v>43</v>
      </c>
      <c r="I1544" s="6" t="s">
        <v>793</v>
      </c>
      <c r="J1544" s="6" t="s">
        <v>349</v>
      </c>
      <c r="K1544" s="10">
        <v>0.84</v>
      </c>
      <c r="L1544" s="10">
        <v>12</v>
      </c>
      <c r="M1544" s="6" t="s">
        <v>371</v>
      </c>
    </row>
    <row r="1545" spans="1:13">
      <c r="A1545" s="6">
        <v>2023</v>
      </c>
      <c r="B1545" s="6">
        <v>6</v>
      </c>
      <c r="C1545" s="6" t="s">
        <v>64</v>
      </c>
      <c r="D1545" s="6" t="s">
        <v>770</v>
      </c>
      <c r="E1545" s="6" t="s">
        <v>660</v>
      </c>
      <c r="F1545" s="6" t="str">
        <f>IF($M1545="PADD I","PADD 1",IF($M1545="PADD II","PADD 2",IF($M1545="PADD III","PADD 3",IF($M1545="PADD IV","PADD 4",IF($M1545="PADD V","PADD 5","")))))</f>
        <v>PADD 3</v>
      </c>
      <c r="G1545" s="6">
        <f>IF(AND($H1545="ATMOS DISTILLATION",ISNUMBER(SEARCH("VPS",$I1545))=FALSE,LEFT($I1545,6)&lt;&gt;"VACUUM"),"CDU",IF($H1545="FLUID CAT CRACKING","FCC",IF(OR($H1545="HYDROCRACKING",$H1545="RESID_HYDROCRACKING"),"Hydrocracker",IF($H1545="REFORMING","Reformer",""))))</f>
        <v/>
      </c>
      <c r="H1545" s="6" t="s">
        <v>43</v>
      </c>
      <c r="I1545" s="6" t="s">
        <v>794</v>
      </c>
      <c r="J1545" s="6" t="s">
        <v>349</v>
      </c>
      <c r="K1545" s="10">
        <v>0.84</v>
      </c>
      <c r="L1545" s="10">
        <v>12</v>
      </c>
      <c r="M1545" s="6" t="s">
        <v>371</v>
      </c>
    </row>
    <row r="1546" spans="1:13">
      <c r="A1546" s="6">
        <v>2023</v>
      </c>
      <c r="B1546" s="6">
        <v>6</v>
      </c>
      <c r="C1546" s="6" t="s">
        <v>64</v>
      </c>
      <c r="D1546" s="6" t="s">
        <v>434</v>
      </c>
      <c r="E1546" s="6" t="s">
        <v>388</v>
      </c>
      <c r="F1546" s="6" t="str">
        <f>IF($M1546="PADD I","PADD 1",IF($M1546="PADD II","PADD 2",IF($M1546="PADD III","PADD 3",IF($M1546="PADD IV","PADD 4",IF($M1546="PADD V","PADD 5","")))))</f>
        <v>PADD 5</v>
      </c>
      <c r="G1546" s="6" t="str">
        <f>IF(AND($H1546="ATMOS DISTILLATION",ISNUMBER(SEARCH("VPS",$I1546))=FALSE,LEFT($I1546,6)&lt;&gt;"VACUUM"),"CDU",IF($H1546="FLUID CAT CRACKING","FCC",IF(OR($H1546="HYDROCRACKING",$H1546="RESID_HYDROCRACKING"),"Hydrocracker",IF($H1546="REFORMING","Reformer",""))))</f>
        <v>Reformer</v>
      </c>
      <c r="H1546" s="6" t="s">
        <v>421</v>
      </c>
      <c r="I1546" s="6" t="s">
        <v>906</v>
      </c>
      <c r="J1546" s="6" t="s">
        <v>345</v>
      </c>
      <c r="K1546" s="10">
        <v>0.78</v>
      </c>
      <c r="L1546" s="10">
        <v>2.6</v>
      </c>
      <c r="M1546" s="6" t="s">
        <v>386</v>
      </c>
    </row>
    <row r="1547" spans="1:13">
      <c r="A1547" s="6">
        <v>2023</v>
      </c>
      <c r="B1547" s="6">
        <v>6</v>
      </c>
      <c r="C1547" s="6" t="s">
        <v>64</v>
      </c>
      <c r="D1547" s="6" t="s">
        <v>770</v>
      </c>
      <c r="E1547" s="6" t="s">
        <v>660</v>
      </c>
      <c r="F1547" s="6" t="str">
        <f>IF($M1547="PADD I","PADD 1",IF($M1547="PADD II","PADD 2",IF($M1547="PADD III","PADD 3",IF($M1547="PADD IV","PADD 4",IF($M1547="PADD V","PADD 5","")))))</f>
        <v>PADD 3</v>
      </c>
      <c r="G1547" s="6">
        <f>IF(AND($H1547="ATMOS DISTILLATION",ISNUMBER(SEARCH("VPS",$I1547))=FALSE,LEFT($I1547,6)&lt;&gt;"VACUUM"),"CDU",IF($H1547="FLUID CAT CRACKING","FCC",IF(OR($H1547="HYDROCRACKING",$H1547="RESID_HYDROCRACKING"),"Hydrocracker",IF($H1547="REFORMING","Reformer",""))))</f>
        <v/>
      </c>
      <c r="H1547" s="6" t="s">
        <v>43</v>
      </c>
      <c r="I1547" s="6" t="s">
        <v>796</v>
      </c>
      <c r="J1547" s="6" t="s">
        <v>349</v>
      </c>
      <c r="K1547" s="10">
        <v>0.77</v>
      </c>
      <c r="L1547" s="10">
        <v>11</v>
      </c>
      <c r="M1547" s="6" t="s">
        <v>371</v>
      </c>
    </row>
    <row r="1548" spans="1:13">
      <c r="A1548" s="6">
        <v>2023</v>
      </c>
      <c r="B1548" s="6">
        <v>6</v>
      </c>
      <c r="C1548" s="6" t="s">
        <v>64</v>
      </c>
      <c r="D1548" s="6" t="s">
        <v>770</v>
      </c>
      <c r="E1548" s="6" t="s">
        <v>660</v>
      </c>
      <c r="F1548" s="6" t="str">
        <f>IF($M1548="PADD I","PADD 1",IF($M1548="PADD II","PADD 2",IF($M1548="PADD III","PADD 3",IF($M1548="PADD IV","PADD 4",IF($M1548="PADD V","PADD 5","")))))</f>
        <v>PADD 3</v>
      </c>
      <c r="G1548" s="6">
        <f>IF(AND($H1548="ATMOS DISTILLATION",ISNUMBER(SEARCH("VPS",$I1548))=FALSE,LEFT($I1548,6)&lt;&gt;"VACUUM"),"CDU",IF($H1548="FLUID CAT CRACKING","FCC",IF(OR($H1548="HYDROCRACKING",$H1548="RESID_HYDROCRACKING"),"Hydrocracker",IF($H1548="REFORMING","Reformer",""))))</f>
        <v/>
      </c>
      <c r="H1548" s="6" t="s">
        <v>523</v>
      </c>
      <c r="I1548" s="6" t="s">
        <v>524</v>
      </c>
      <c r="J1548" s="6" t="s">
        <v>349</v>
      </c>
      <c r="K1548" s="10">
        <v>0.756</v>
      </c>
      <c r="L1548" s="10">
        <v>10.8</v>
      </c>
      <c r="M1548" s="6" t="s">
        <v>371</v>
      </c>
    </row>
    <row r="1549" spans="1:13">
      <c r="A1549" s="6">
        <v>2023</v>
      </c>
      <c r="B1549" s="6">
        <v>6</v>
      </c>
      <c r="C1549" s="6" t="s">
        <v>64</v>
      </c>
      <c r="D1549" s="6" t="s">
        <v>334</v>
      </c>
      <c r="E1549" s="6" t="s">
        <v>552</v>
      </c>
      <c r="F1549" s="6" t="str">
        <f>IF($M1549="PADD I","PADD 1",IF($M1549="PADD II","PADD 2",IF($M1549="PADD III","PADD 3",IF($M1549="PADD IV","PADD 4",IF($M1549="PADD V","PADD 5","")))))</f>
        <v>PADD 3</v>
      </c>
      <c r="G1549" s="6">
        <f>IF(AND($H1549="ATMOS DISTILLATION",ISNUMBER(SEARCH("VPS",$I1549))=FALSE,LEFT($I1549,6)&lt;&gt;"VACUUM"),"CDU",IF($H1549="FLUID CAT CRACKING","FCC",IF(OR($H1549="HYDROCRACKING",$H1549="RESID_HYDROCRACKING"),"Hydrocracker",IF($H1549="REFORMING","Reformer",""))))</f>
        <v/>
      </c>
      <c r="H1549" s="6" t="s">
        <v>43</v>
      </c>
      <c r="I1549" s="6" t="s">
        <v>598</v>
      </c>
      <c r="J1549" s="6" t="s">
        <v>345</v>
      </c>
      <c r="K1549" s="10">
        <v>0.75</v>
      </c>
      <c r="L1549" s="10">
        <v>25</v>
      </c>
      <c r="M1549" s="6" t="s">
        <v>371</v>
      </c>
    </row>
    <row r="1550" spans="1:13">
      <c r="A1550" s="6">
        <v>2023</v>
      </c>
      <c r="B1550" s="6">
        <v>6</v>
      </c>
      <c r="C1550" s="6" t="s">
        <v>64</v>
      </c>
      <c r="D1550" s="6" t="s">
        <v>434</v>
      </c>
      <c r="E1550" s="6" t="s">
        <v>388</v>
      </c>
      <c r="F1550" s="6" t="str">
        <f>IF($M1550="PADD I","PADD 1",IF($M1550="PADD II","PADD 2",IF($M1550="PADD III","PADD 3",IF($M1550="PADD IV","PADD 4",IF($M1550="PADD V","PADD 5","")))))</f>
        <v>PADD 5</v>
      </c>
      <c r="G1550" s="6">
        <f>IF(AND($H1550="ATMOS DISTILLATION",ISNUMBER(SEARCH("VPS",$I1550))=FALSE,LEFT($I1550,6)&lt;&gt;"VACUUM"),"CDU",IF($H1550="FLUID CAT CRACKING","FCC",IF(OR($H1550="HYDROCRACKING",$H1550="RESID_HYDROCRACKING"),"Hydrocracker",IF($H1550="REFORMING","Reformer",""))))</f>
        <v/>
      </c>
      <c r="H1550" s="6" t="s">
        <v>460</v>
      </c>
      <c r="I1550" s="6" t="s">
        <v>461</v>
      </c>
      <c r="J1550" s="6" t="s">
        <v>345</v>
      </c>
      <c r="K1550" s="10">
        <v>0.72</v>
      </c>
      <c r="L1550" s="10">
        <v>2.4</v>
      </c>
      <c r="M1550" s="6" t="s">
        <v>386</v>
      </c>
    </row>
    <row r="1551" spans="1:13">
      <c r="A1551" s="6">
        <v>2023</v>
      </c>
      <c r="B1551" s="6">
        <v>6</v>
      </c>
      <c r="C1551" s="6" t="s">
        <v>64</v>
      </c>
      <c r="D1551" s="6" t="s">
        <v>434</v>
      </c>
      <c r="E1551" s="6" t="s">
        <v>388</v>
      </c>
      <c r="F1551" s="6" t="str">
        <f>IF($M1551="PADD I","PADD 1",IF($M1551="PADD II","PADD 2",IF($M1551="PADD III","PADD 3",IF($M1551="PADD IV","PADD 4",IF($M1551="PADD V","PADD 5","")))))</f>
        <v>PADD 5</v>
      </c>
      <c r="G1551" s="6">
        <f>IF(AND($H1551="ATMOS DISTILLATION",ISNUMBER(SEARCH("VPS",$I1551))=FALSE,LEFT($I1551,6)&lt;&gt;"VACUUM"),"CDU",IF($H1551="FLUID CAT CRACKING","FCC",IF(OR($H1551="HYDROCRACKING",$H1551="RESID_HYDROCRACKING"),"Hydrocracker",IF($H1551="REFORMING","Reformer",""))))</f>
        <v/>
      </c>
      <c r="H1551" s="6" t="s">
        <v>43</v>
      </c>
      <c r="I1551" s="6" t="s">
        <v>907</v>
      </c>
      <c r="J1551" s="6" t="s">
        <v>345</v>
      </c>
      <c r="K1551" s="10">
        <v>0.66</v>
      </c>
      <c r="L1551" s="10">
        <v>2.2</v>
      </c>
      <c r="M1551" s="6" t="s">
        <v>386</v>
      </c>
    </row>
    <row r="1552" spans="1:13">
      <c r="A1552" s="6">
        <v>2023</v>
      </c>
      <c r="B1552" s="6">
        <v>6</v>
      </c>
      <c r="C1552" s="6" t="s">
        <v>64</v>
      </c>
      <c r="D1552" s="6" t="s">
        <v>334</v>
      </c>
      <c r="E1552" s="6" t="s">
        <v>552</v>
      </c>
      <c r="F1552" s="6" t="str">
        <f>IF($M1552="PADD I","PADD 1",IF($M1552="PADD II","PADD 2",IF($M1552="PADD III","PADD 3",IF($M1552="PADD IV","PADD 4",IF($M1552="PADD V","PADD 5","")))))</f>
        <v>PADD 3</v>
      </c>
      <c r="G1552" s="6" t="str">
        <f>IF(AND($H1552="ATMOS DISTILLATION",ISNUMBER(SEARCH("VPS",$I1552))=FALSE,LEFT($I1552,6)&lt;&gt;"VACUUM"),"CDU",IF($H1552="FLUID CAT CRACKING","FCC",IF(OR($H1552="HYDROCRACKING",$H1552="RESID_HYDROCRACKING"),"Hydrocracker",IF($H1552="REFORMING","Reformer",""))))</f>
        <v>FCC</v>
      </c>
      <c r="H1552" s="6" t="s">
        <v>376</v>
      </c>
      <c r="I1552" s="6" t="s">
        <v>613</v>
      </c>
      <c r="J1552" s="6" t="s">
        <v>345</v>
      </c>
      <c r="K1552" s="10">
        <v>0.6</v>
      </c>
      <c r="L1552" s="10">
        <v>20</v>
      </c>
      <c r="M1552" s="6" t="s">
        <v>371</v>
      </c>
    </row>
    <row r="1553" spans="1:13">
      <c r="A1553" s="6">
        <v>2023</v>
      </c>
      <c r="B1553" s="6">
        <v>6</v>
      </c>
      <c r="C1553" s="6" t="s">
        <v>64</v>
      </c>
      <c r="D1553" s="6" t="s">
        <v>334</v>
      </c>
      <c r="E1553" s="6" t="s">
        <v>552</v>
      </c>
      <c r="F1553" s="6" t="str">
        <f>IF($M1553="PADD I","PADD 1",IF($M1553="PADD II","PADD 2",IF($M1553="PADD III","PADD 3",IF($M1553="PADD IV","PADD 4",IF($M1553="PADD V","PADD 5","")))))</f>
        <v>PADD 3</v>
      </c>
      <c r="G1553" s="6" t="str">
        <f>IF(AND($H1553="ATMOS DISTILLATION",ISNUMBER(SEARCH("VPS",$I1553))=FALSE,LEFT($I1553,6)&lt;&gt;"VACUUM"),"CDU",IF($H1553="FLUID CAT CRACKING","FCC",IF(OR($H1553="HYDROCRACKING",$H1553="RESID_HYDROCRACKING"),"Hydrocracker",IF($H1553="REFORMING","Reformer",""))))</f>
        <v>FCC</v>
      </c>
      <c r="H1553" s="6" t="s">
        <v>376</v>
      </c>
      <c r="I1553" s="6" t="s">
        <v>613</v>
      </c>
      <c r="J1553" s="6" t="s">
        <v>345</v>
      </c>
      <c r="K1553" s="10">
        <v>0.6</v>
      </c>
      <c r="L1553" s="10">
        <v>20</v>
      </c>
      <c r="M1553" s="6" t="s">
        <v>371</v>
      </c>
    </row>
    <row r="1554" spans="1:13">
      <c r="A1554" s="6">
        <v>2023</v>
      </c>
      <c r="B1554" s="6">
        <v>6</v>
      </c>
      <c r="C1554" s="6" t="s">
        <v>64</v>
      </c>
      <c r="D1554" s="6" t="s">
        <v>334</v>
      </c>
      <c r="E1554" s="6" t="s">
        <v>552</v>
      </c>
      <c r="F1554" s="6" t="str">
        <f>IF($M1554="PADD I","PADD 1",IF($M1554="PADD II","PADD 2",IF($M1554="PADD III","PADD 3",IF($M1554="PADD IV","PADD 4",IF($M1554="PADD V","PADD 5","")))))</f>
        <v>PADD 3</v>
      </c>
      <c r="G1554" s="6">
        <f>IF(AND($H1554="ATMOS DISTILLATION",ISNUMBER(SEARCH("VPS",$I1554))=FALSE,LEFT($I1554,6)&lt;&gt;"VACUUM"),"CDU",IF($H1554="FLUID CAT CRACKING","FCC",IF(OR($H1554="HYDROCRACKING",$H1554="RESID_HYDROCRACKING"),"Hydrocracker",IF($H1554="REFORMING","Reformer",""))))</f>
        <v/>
      </c>
      <c r="H1554" s="6" t="s">
        <v>43</v>
      </c>
      <c r="I1554" s="6" t="s">
        <v>607</v>
      </c>
      <c r="J1554" s="6" t="s">
        <v>345</v>
      </c>
      <c r="K1554" s="10">
        <v>0.5669999999999999</v>
      </c>
      <c r="L1554" s="10">
        <v>18.9</v>
      </c>
      <c r="M1554" s="6" t="s">
        <v>371</v>
      </c>
    </row>
    <row r="1555" spans="1:13">
      <c r="A1555" s="6">
        <v>2023</v>
      </c>
      <c r="B1555" s="6">
        <v>6</v>
      </c>
      <c r="C1555" s="6" t="s">
        <v>64</v>
      </c>
      <c r="D1555" s="6" t="s">
        <v>799</v>
      </c>
      <c r="E1555" s="6" t="s">
        <v>391</v>
      </c>
      <c r="F1555" s="6" t="str">
        <f>IF($M1555="PADD I","PADD 1",IF($M1555="PADD II","PADD 2",IF($M1555="PADD III","PADD 3",IF($M1555="PADD IV","PADD 4",IF($M1555="PADD V","PADD 5","")))))</f>
        <v>PADD 4</v>
      </c>
      <c r="G1555" s="6">
        <f>IF(AND($H1555="ATMOS DISTILLATION",ISNUMBER(SEARCH("VPS",$I1555))=FALSE,LEFT($I1555,6)&lt;&gt;"VACUUM"),"CDU",IF($H1555="FLUID CAT CRACKING","FCC",IF(OR($H1555="HYDROCRACKING",$H1555="RESID_HYDROCRACKING"),"Hydrocracker",IF($H1555="REFORMING","Reformer",""))))</f>
        <v/>
      </c>
      <c r="H1555" s="6" t="s">
        <v>460</v>
      </c>
      <c r="I1555" s="6" t="s">
        <v>908</v>
      </c>
      <c r="J1555" s="6" t="s">
        <v>345</v>
      </c>
      <c r="K1555" s="10">
        <v>0.5600000000000001</v>
      </c>
      <c r="L1555" s="10">
        <v>5.6</v>
      </c>
      <c r="M1555" s="6" t="s">
        <v>430</v>
      </c>
    </row>
    <row r="1556" spans="1:13">
      <c r="A1556" s="6">
        <v>2023</v>
      </c>
      <c r="B1556" s="6">
        <v>6</v>
      </c>
      <c r="C1556" s="6" t="s">
        <v>64</v>
      </c>
      <c r="D1556" s="6" t="s">
        <v>451</v>
      </c>
      <c r="E1556" s="6" t="s">
        <v>452</v>
      </c>
      <c r="F1556" s="6" t="str">
        <f>IF($M1556="PADD I","PADD 1",IF($M1556="PADD II","PADD 2",IF($M1556="PADD III","PADD 3",IF($M1556="PADD IV","PADD 4",IF($M1556="PADD V","PADD 5","")))))</f>
        <v>PADD 2</v>
      </c>
      <c r="G1556" s="6">
        <f>IF(AND($H1556="ATMOS DISTILLATION",ISNUMBER(SEARCH("VPS",$I1556))=FALSE,LEFT($I1556,6)&lt;&gt;"VACUUM"),"CDU",IF($H1556="FLUID CAT CRACKING","FCC",IF(OR($H1556="HYDROCRACKING",$H1556="RESID_HYDROCRACKING"),"Hydrocracker",IF($H1556="REFORMING","Reformer",""))))</f>
        <v/>
      </c>
      <c r="H1556" s="6" t="s">
        <v>568</v>
      </c>
      <c r="I1556" s="6" t="s">
        <v>604</v>
      </c>
      <c r="J1556" s="6" t="s">
        <v>345</v>
      </c>
      <c r="K1556" s="10">
        <v>0.55</v>
      </c>
      <c r="L1556" s="10">
        <v>5.5</v>
      </c>
      <c r="M1556" s="6" t="s">
        <v>375</v>
      </c>
    </row>
    <row r="1557" spans="1:13">
      <c r="A1557" s="6">
        <v>2023</v>
      </c>
      <c r="B1557" s="6">
        <v>6</v>
      </c>
      <c r="C1557" s="6" t="s">
        <v>64</v>
      </c>
      <c r="D1557" s="6" t="s">
        <v>434</v>
      </c>
      <c r="E1557" s="6" t="s">
        <v>388</v>
      </c>
      <c r="F1557" s="6" t="str">
        <f>IF($M1557="PADD I","PADD 1",IF($M1557="PADD II","PADD 2",IF($M1557="PADD III","PADD 3",IF($M1557="PADD IV","PADD 4",IF($M1557="PADD V","PADD 5","")))))</f>
        <v>PADD 5</v>
      </c>
      <c r="G1557" s="6" t="str">
        <f>IF(AND($H1557="ATMOS DISTILLATION",ISNUMBER(SEARCH("VPS",$I1557))=FALSE,LEFT($I1557,6)&lt;&gt;"VACUUM"),"CDU",IF($H1557="FLUID CAT CRACKING","FCC",IF(OR($H1557="HYDROCRACKING",$H1557="RESID_HYDROCRACKING"),"Hydrocracker",IF($H1557="REFORMING","Reformer",""))))</f>
        <v>Reformer</v>
      </c>
      <c r="H1557" s="6" t="s">
        <v>421</v>
      </c>
      <c r="I1557" s="6" t="s">
        <v>671</v>
      </c>
      <c r="J1557" s="6" t="s">
        <v>345</v>
      </c>
      <c r="K1557" s="10">
        <v>0.51</v>
      </c>
      <c r="L1557" s="10">
        <v>3</v>
      </c>
      <c r="M1557" s="6" t="s">
        <v>386</v>
      </c>
    </row>
    <row r="1558" spans="1:13">
      <c r="A1558" s="6">
        <v>2023</v>
      </c>
      <c r="B1558" s="6">
        <v>6</v>
      </c>
      <c r="C1558" s="6" t="s">
        <v>64</v>
      </c>
      <c r="D1558" s="6" t="s">
        <v>434</v>
      </c>
      <c r="E1558" s="6" t="s">
        <v>388</v>
      </c>
      <c r="F1558" s="6" t="str">
        <f>IF($M1558="PADD I","PADD 1",IF($M1558="PADD II","PADD 2",IF($M1558="PADD III","PADD 3",IF($M1558="PADD IV","PADD 4",IF($M1558="PADD V","PADD 5","")))))</f>
        <v>PADD 5</v>
      </c>
      <c r="G1558" s="6">
        <f>IF(AND($H1558="ATMOS DISTILLATION",ISNUMBER(SEARCH("VPS",$I1558))=FALSE,LEFT($I1558,6)&lt;&gt;"VACUUM"),"CDU",IF($H1558="FLUID CAT CRACKING","FCC",IF(OR($H1558="HYDROCRACKING",$H1558="RESID_HYDROCRACKING"),"Hydrocracker",IF($H1558="REFORMING","Reformer",""))))</f>
        <v/>
      </c>
      <c r="H1558" s="6" t="s">
        <v>43</v>
      </c>
      <c r="I1558" s="6" t="s">
        <v>905</v>
      </c>
      <c r="J1558" s="6" t="s">
        <v>345</v>
      </c>
      <c r="K1558" s="10">
        <v>0.51</v>
      </c>
      <c r="L1558" s="10">
        <v>3</v>
      </c>
      <c r="M1558" s="6" t="s">
        <v>386</v>
      </c>
    </row>
    <row r="1559" spans="1:13">
      <c r="A1559" s="6">
        <v>2023</v>
      </c>
      <c r="B1559" s="6">
        <v>6</v>
      </c>
      <c r="C1559" s="6" t="s">
        <v>64</v>
      </c>
      <c r="D1559" s="6" t="s">
        <v>880</v>
      </c>
      <c r="E1559" s="6" t="s">
        <v>881</v>
      </c>
      <c r="F1559" s="6" t="str">
        <f>IF($M1559="PADD I","PADD 1",IF($M1559="PADD II","PADD 2",IF($M1559="PADD III","PADD 3",IF($M1559="PADD IV","PADD 4",IF($M1559="PADD V","PADD 5","")))))</f>
        <v>PADD 3</v>
      </c>
      <c r="G1559" s="6">
        <f>IF(AND($H1559="ATMOS DISTILLATION",ISNUMBER(SEARCH("VPS",$I1559))=FALSE,LEFT($I1559,6)&lt;&gt;"VACUUM"),"CDU",IF($H1559="FLUID CAT CRACKING","FCC",IF(OR($H1559="HYDROCRACKING",$H1559="RESID_HYDROCRACKING"),"Hydrocracker",IF($H1559="REFORMING","Reformer",""))))</f>
        <v/>
      </c>
      <c r="H1559" s="6" t="s">
        <v>568</v>
      </c>
      <c r="I1559" s="6" t="s">
        <v>604</v>
      </c>
      <c r="J1559" s="6" t="s">
        <v>349</v>
      </c>
      <c r="K1559" s="10">
        <v>0.5</v>
      </c>
      <c r="L1559" s="10">
        <v>0.5</v>
      </c>
      <c r="M1559" s="6" t="s">
        <v>371</v>
      </c>
    </row>
    <row r="1560" spans="1:13">
      <c r="A1560" s="6">
        <v>2023</v>
      </c>
      <c r="B1560" s="6">
        <v>6</v>
      </c>
      <c r="C1560" s="6" t="s">
        <v>64</v>
      </c>
      <c r="D1560" s="6" t="s">
        <v>662</v>
      </c>
      <c r="E1560" s="6" t="s">
        <v>552</v>
      </c>
      <c r="F1560" s="6" t="str">
        <f>IF($M1560="PADD I","PADD 1",IF($M1560="PADD II","PADD 2",IF($M1560="PADD III","PADD 3",IF($M1560="PADD IV","PADD 4",IF($M1560="PADD V","PADD 5","")))))</f>
        <v>PADD 3</v>
      </c>
      <c r="G1560" s="6">
        <f>IF(AND($H1560="ATMOS DISTILLATION",ISNUMBER(SEARCH("VPS",$I1560))=FALSE,LEFT($I1560,6)&lt;&gt;"VACUUM"),"CDU",IF($H1560="FLUID CAT CRACKING","FCC",IF(OR($H1560="HYDROCRACKING",$H1560="RESID_HYDROCRACKING"),"Hydrocracker",IF($H1560="REFORMING","Reformer",""))))</f>
        <v/>
      </c>
      <c r="H1560" s="6" t="s">
        <v>43</v>
      </c>
      <c r="I1560" s="6" t="s">
        <v>844</v>
      </c>
      <c r="J1560" s="6" t="s">
        <v>349</v>
      </c>
      <c r="K1560" s="10">
        <v>0.5</v>
      </c>
      <c r="L1560" s="10">
        <v>5</v>
      </c>
      <c r="M1560" s="6" t="s">
        <v>371</v>
      </c>
    </row>
    <row r="1561" spans="1:13">
      <c r="A1561" s="6">
        <v>2023</v>
      </c>
      <c r="B1561" s="6">
        <v>6</v>
      </c>
      <c r="C1561" s="6" t="s">
        <v>64</v>
      </c>
      <c r="D1561" s="6" t="s">
        <v>334</v>
      </c>
      <c r="E1561" s="6" t="s">
        <v>552</v>
      </c>
      <c r="F1561" s="6" t="str">
        <f>IF($M1561="PADD I","PADD 1",IF($M1561="PADD II","PADD 2",IF($M1561="PADD III","PADD 3",IF($M1561="PADD IV","PADD 4",IF($M1561="PADD V","PADD 5","")))))</f>
        <v>PADD 3</v>
      </c>
      <c r="G1561" s="6">
        <f>IF(AND($H1561="ATMOS DISTILLATION",ISNUMBER(SEARCH("VPS",$I1561))=FALSE,LEFT($I1561,6)&lt;&gt;"VACUUM"),"CDU",IF($H1561="FLUID CAT CRACKING","FCC",IF(OR($H1561="HYDROCRACKING",$H1561="RESID_HYDROCRACKING"),"Hydrocracker",IF($H1561="REFORMING","Reformer",""))))</f>
        <v/>
      </c>
      <c r="H1561" s="6" t="s">
        <v>523</v>
      </c>
      <c r="I1561" s="6" t="s">
        <v>524</v>
      </c>
      <c r="J1561" s="6" t="s">
        <v>345</v>
      </c>
      <c r="K1561" s="10">
        <v>0.4851</v>
      </c>
      <c r="L1561" s="10">
        <v>6.93</v>
      </c>
      <c r="M1561" s="6" t="s">
        <v>371</v>
      </c>
    </row>
    <row r="1562" spans="1:13">
      <c r="A1562" s="6">
        <v>2023</v>
      </c>
      <c r="B1562" s="6">
        <v>6</v>
      </c>
      <c r="C1562" s="6" t="s">
        <v>64</v>
      </c>
      <c r="D1562" s="6" t="s">
        <v>434</v>
      </c>
      <c r="E1562" s="6" t="s">
        <v>388</v>
      </c>
      <c r="F1562" s="6" t="str">
        <f>IF($M1562="PADD I","PADD 1",IF($M1562="PADD II","PADD 2",IF($M1562="PADD III","PADD 3",IF($M1562="PADD IV","PADD 4",IF($M1562="PADD V","PADD 5","")))))</f>
        <v>PADD 5</v>
      </c>
      <c r="G1562" s="6">
        <f>IF(AND($H1562="ATMOS DISTILLATION",ISNUMBER(SEARCH("VPS",$I1562))=FALSE,LEFT($I1562,6)&lt;&gt;"VACUUM"),"CDU",IF($H1562="FLUID CAT CRACKING","FCC",IF(OR($H1562="HYDROCRACKING",$H1562="RESID_HYDROCRACKING"),"Hydrocracker",IF($H1562="REFORMING","Reformer",""))))</f>
        <v/>
      </c>
      <c r="H1562" s="6" t="s">
        <v>568</v>
      </c>
      <c r="I1562" s="6" t="s">
        <v>909</v>
      </c>
      <c r="J1562" s="6" t="s">
        <v>345</v>
      </c>
      <c r="K1562" s="10">
        <v>0.48</v>
      </c>
      <c r="L1562" s="10">
        <v>1.6</v>
      </c>
      <c r="M1562" s="6" t="s">
        <v>386</v>
      </c>
    </row>
    <row r="1563" spans="1:13">
      <c r="A1563" s="6">
        <v>2023</v>
      </c>
      <c r="B1563" s="6">
        <v>6</v>
      </c>
      <c r="C1563" s="6" t="s">
        <v>64</v>
      </c>
      <c r="D1563" s="6" t="s">
        <v>770</v>
      </c>
      <c r="E1563" s="6" t="s">
        <v>660</v>
      </c>
      <c r="F1563" s="6" t="str">
        <f>IF($M1563="PADD I","PADD 1",IF($M1563="PADD II","PADD 2",IF($M1563="PADD III","PADD 3",IF($M1563="PADD IV","PADD 4",IF($M1563="PADD V","PADD 5","")))))</f>
        <v>PADD 3</v>
      </c>
      <c r="G1563" s="6" t="str">
        <f>IF(AND($H1563="ATMOS DISTILLATION",ISNUMBER(SEARCH("VPS",$I1563))=FALSE,LEFT($I1563,6)&lt;&gt;"VACUUM"),"CDU",IF($H1563="FLUID CAT CRACKING","FCC",IF(OR($H1563="HYDROCRACKING",$H1563="RESID_HYDROCRACKING"),"Hydrocracker",IF($H1563="REFORMING","Reformer",""))))</f>
        <v>Reformer</v>
      </c>
      <c r="H1563" s="6" t="s">
        <v>421</v>
      </c>
      <c r="I1563" s="6" t="s">
        <v>810</v>
      </c>
      <c r="J1563" s="6" t="s">
        <v>349</v>
      </c>
      <c r="K1563" s="10">
        <v>0.448</v>
      </c>
      <c r="L1563" s="10">
        <v>6.4</v>
      </c>
      <c r="M1563" s="6" t="s">
        <v>371</v>
      </c>
    </row>
    <row r="1564" spans="1:13">
      <c r="A1564" s="6">
        <v>2023</v>
      </c>
      <c r="B1564" s="6">
        <v>6</v>
      </c>
      <c r="C1564" s="6" t="s">
        <v>64</v>
      </c>
      <c r="D1564" s="6" t="s">
        <v>434</v>
      </c>
      <c r="E1564" s="6" t="s">
        <v>388</v>
      </c>
      <c r="F1564" s="6" t="str">
        <f>IF($M1564="PADD I","PADD 1",IF($M1564="PADD II","PADD 2",IF($M1564="PADD III","PADD 3",IF($M1564="PADD IV","PADD 4",IF($M1564="PADD V","PADD 5","")))))</f>
        <v>PADD 5</v>
      </c>
      <c r="G1564" s="6" t="str">
        <f>IF(AND($H1564="ATMOS DISTILLATION",ISNUMBER(SEARCH("VPS",$I1564))=FALSE,LEFT($I1564,6)&lt;&gt;"VACUUM"),"CDU",IF($H1564="FLUID CAT CRACKING","FCC",IF(OR($H1564="HYDROCRACKING",$H1564="RESID_HYDROCRACKING"),"Hydrocracker",IF($H1564="REFORMING","Reformer",""))))</f>
        <v>Reformer</v>
      </c>
      <c r="H1564" s="6" t="s">
        <v>421</v>
      </c>
      <c r="I1564" s="6" t="s">
        <v>906</v>
      </c>
      <c r="J1564" s="6" t="s">
        <v>345</v>
      </c>
      <c r="K1564" s="10">
        <v>0.442</v>
      </c>
      <c r="L1564" s="10">
        <v>2.6</v>
      </c>
      <c r="M1564" s="6" t="s">
        <v>386</v>
      </c>
    </row>
    <row r="1565" spans="1:13">
      <c r="A1565" s="6">
        <v>2023</v>
      </c>
      <c r="B1565" s="6">
        <v>6</v>
      </c>
      <c r="C1565" s="6" t="s">
        <v>64</v>
      </c>
      <c r="D1565" s="6" t="s">
        <v>334</v>
      </c>
      <c r="E1565" s="6" t="s">
        <v>552</v>
      </c>
      <c r="F1565" s="6" t="str">
        <f>IF($M1565="PADD I","PADD 1",IF($M1565="PADD II","PADD 2",IF($M1565="PADD III","PADD 3",IF($M1565="PADD IV","PADD 4",IF($M1565="PADD V","PADD 5","")))))</f>
        <v>PADD 3</v>
      </c>
      <c r="G1565" s="6">
        <f>IF(AND($H1565="ATMOS DISTILLATION",ISNUMBER(SEARCH("VPS",$I1565))=FALSE,LEFT($I1565,6)&lt;&gt;"VACUUM"),"CDU",IF($H1565="FLUID CAT CRACKING","FCC",IF(OR($H1565="HYDROCRACKING",$H1565="RESID_HYDROCRACKING"),"Hydrocracker",IF($H1565="REFORMING","Reformer",""))))</f>
        <v/>
      </c>
      <c r="H1565" s="6" t="s">
        <v>568</v>
      </c>
      <c r="I1565" s="6" t="s">
        <v>623</v>
      </c>
      <c r="J1565" s="6" t="s">
        <v>345</v>
      </c>
      <c r="K1565" s="10">
        <v>0.42</v>
      </c>
      <c r="L1565" s="10">
        <v>6</v>
      </c>
      <c r="M1565" s="6" t="s">
        <v>371</v>
      </c>
    </row>
    <row r="1566" spans="1:13">
      <c r="A1566" s="6">
        <v>2023</v>
      </c>
      <c r="B1566" s="6">
        <v>6</v>
      </c>
      <c r="C1566" s="6" t="s">
        <v>64</v>
      </c>
      <c r="D1566" s="6" t="s">
        <v>434</v>
      </c>
      <c r="E1566" s="6" t="s">
        <v>388</v>
      </c>
      <c r="F1566" s="6" t="str">
        <f>IF($M1566="PADD I","PADD 1",IF($M1566="PADD II","PADD 2",IF($M1566="PADD III","PADD 3",IF($M1566="PADD IV","PADD 4",IF($M1566="PADD V","PADD 5","")))))</f>
        <v>PADD 5</v>
      </c>
      <c r="G1566" s="6">
        <f>IF(AND($H1566="ATMOS DISTILLATION",ISNUMBER(SEARCH("VPS",$I1566))=FALSE,LEFT($I1566,6)&lt;&gt;"VACUUM"),"CDU",IF($H1566="FLUID CAT CRACKING","FCC",IF(OR($H1566="HYDROCRACKING",$H1566="RESID_HYDROCRACKING"),"Hydrocracker",IF($H1566="REFORMING","Reformer",""))))</f>
        <v/>
      </c>
      <c r="H1566" s="6" t="s">
        <v>460</v>
      </c>
      <c r="I1566" s="6" t="s">
        <v>461</v>
      </c>
      <c r="J1566" s="6" t="s">
        <v>345</v>
      </c>
      <c r="K1566" s="10">
        <v>0.408</v>
      </c>
      <c r="L1566" s="10">
        <v>2.4</v>
      </c>
      <c r="M1566" s="6" t="s">
        <v>386</v>
      </c>
    </row>
    <row r="1567" spans="1:13">
      <c r="A1567" s="6">
        <v>2023</v>
      </c>
      <c r="B1567" s="6">
        <v>6</v>
      </c>
      <c r="C1567" s="6" t="s">
        <v>64</v>
      </c>
      <c r="D1567" s="6" t="s">
        <v>387</v>
      </c>
      <c r="E1567" s="6" t="s">
        <v>388</v>
      </c>
      <c r="F1567" s="6" t="str">
        <f>IF($M1567="PADD I","PADD 1",IF($M1567="PADD II","PADD 2",IF($M1567="PADD III","PADD 3",IF($M1567="PADD IV","PADD 4",IF($M1567="PADD V","PADD 5","")))))</f>
        <v>PADD 3</v>
      </c>
      <c r="G1567" s="6">
        <f>IF(AND($H1567="ATMOS DISTILLATION",ISNUMBER(SEARCH("VPS",$I1567))=FALSE,LEFT($I1567,6)&lt;&gt;"VACUUM"),"CDU",IF($H1567="FLUID CAT CRACKING","FCC",IF(OR($H1567="HYDROCRACKING",$H1567="RESID_HYDROCRACKING"),"Hydrocracker",IF($H1567="REFORMING","Reformer",""))))</f>
        <v/>
      </c>
      <c r="H1567" s="6" t="s">
        <v>435</v>
      </c>
      <c r="I1567" s="6" t="s">
        <v>590</v>
      </c>
      <c r="J1567" s="6" t="s">
        <v>345</v>
      </c>
      <c r="K1567" s="10">
        <v>0.405</v>
      </c>
      <c r="L1567" s="10">
        <v>13.5</v>
      </c>
      <c r="M1567" s="6" t="s">
        <v>371</v>
      </c>
    </row>
    <row r="1568" spans="1:13">
      <c r="A1568" s="6">
        <v>2023</v>
      </c>
      <c r="B1568" s="6">
        <v>6</v>
      </c>
      <c r="C1568" s="6" t="s">
        <v>64</v>
      </c>
      <c r="D1568" s="6" t="s">
        <v>334</v>
      </c>
      <c r="E1568" s="6" t="s">
        <v>552</v>
      </c>
      <c r="F1568" s="6" t="str">
        <f>IF($M1568="PADD I","PADD 1",IF($M1568="PADD II","PADD 2",IF($M1568="PADD III","PADD 3",IF($M1568="PADD IV","PADD 4",IF($M1568="PADD V","PADD 5","")))))</f>
        <v>PADD 3</v>
      </c>
      <c r="G1568" s="6">
        <f>IF(AND($H1568="ATMOS DISTILLATION",ISNUMBER(SEARCH("VPS",$I1568))=FALSE,LEFT($I1568,6)&lt;&gt;"VACUUM"),"CDU",IF($H1568="FLUID CAT CRACKING","FCC",IF(OR($H1568="HYDROCRACKING",$H1568="RESID_HYDROCRACKING"),"Hydrocracker",IF($H1568="REFORMING","Reformer",""))))</f>
        <v/>
      </c>
      <c r="H1568" s="6" t="s">
        <v>43</v>
      </c>
      <c r="I1568" s="6" t="s">
        <v>501</v>
      </c>
      <c r="J1568" s="6" t="s">
        <v>345</v>
      </c>
      <c r="K1568" s="10">
        <v>0.405</v>
      </c>
      <c r="L1568" s="10">
        <v>13.5</v>
      </c>
      <c r="M1568" s="6" t="s">
        <v>371</v>
      </c>
    </row>
    <row r="1569" spans="1:13">
      <c r="A1569" s="6">
        <v>2023</v>
      </c>
      <c r="B1569" s="6">
        <v>6</v>
      </c>
      <c r="C1569" s="6" t="s">
        <v>64</v>
      </c>
      <c r="D1569" s="6" t="s">
        <v>434</v>
      </c>
      <c r="E1569" s="6" t="s">
        <v>388</v>
      </c>
      <c r="F1569" s="6" t="str">
        <f>IF($M1569="PADD I","PADD 1",IF($M1569="PADD II","PADD 2",IF($M1569="PADD III","PADD 3",IF($M1569="PADD IV","PADD 4",IF($M1569="PADD V","PADD 5","")))))</f>
        <v>PADD 5</v>
      </c>
      <c r="G1569" s="6">
        <f>IF(AND($H1569="ATMOS DISTILLATION",ISNUMBER(SEARCH("VPS",$I1569))=FALSE,LEFT($I1569,6)&lt;&gt;"VACUUM"),"CDU",IF($H1569="FLUID CAT CRACKING","FCC",IF(OR($H1569="HYDROCRACKING",$H1569="RESID_HYDROCRACKING"),"Hydrocracker",IF($H1569="REFORMING","Reformer",""))))</f>
        <v/>
      </c>
      <c r="H1569" s="6" t="s">
        <v>43</v>
      </c>
      <c r="I1569" s="6" t="s">
        <v>907</v>
      </c>
      <c r="J1569" s="6" t="s">
        <v>345</v>
      </c>
      <c r="K1569" s="10">
        <v>0.374</v>
      </c>
      <c r="L1569" s="10">
        <v>2.2</v>
      </c>
      <c r="M1569" s="6" t="s">
        <v>386</v>
      </c>
    </row>
    <row r="1570" spans="1:13">
      <c r="A1570" s="6">
        <v>2023</v>
      </c>
      <c r="B1570" s="6">
        <v>6</v>
      </c>
      <c r="C1570" s="6" t="s">
        <v>64</v>
      </c>
      <c r="D1570" s="6" t="s">
        <v>770</v>
      </c>
      <c r="E1570" s="6" t="s">
        <v>660</v>
      </c>
      <c r="F1570" s="6" t="str">
        <f>IF($M1570="PADD I","PADD 1",IF($M1570="PADD II","PADD 2",IF($M1570="PADD III","PADD 3",IF($M1570="PADD IV","PADD 4",IF($M1570="PADD V","PADD 5","")))))</f>
        <v>PADD 3</v>
      </c>
      <c r="G1570" s="6">
        <f>IF(AND($H1570="ATMOS DISTILLATION",ISNUMBER(SEARCH("VPS",$I1570))=FALSE,LEFT($I1570,6)&lt;&gt;"VACUUM"),"CDU",IF($H1570="FLUID CAT CRACKING","FCC",IF(OR($H1570="HYDROCRACKING",$H1570="RESID_HYDROCRACKING"),"Hydrocracker",IF($H1570="REFORMING","Reformer",""))))</f>
        <v/>
      </c>
      <c r="H1570" s="6" t="s">
        <v>568</v>
      </c>
      <c r="I1570" s="6" t="s">
        <v>604</v>
      </c>
      <c r="J1570" s="6" t="s">
        <v>349</v>
      </c>
      <c r="K1570" s="10">
        <v>0.315</v>
      </c>
      <c r="L1570" s="10">
        <v>4.5</v>
      </c>
      <c r="M1570" s="6" t="s">
        <v>371</v>
      </c>
    </row>
    <row r="1571" spans="1:13">
      <c r="A1571" s="6">
        <v>2023</v>
      </c>
      <c r="B1571" s="6">
        <v>6</v>
      </c>
      <c r="C1571" s="6" t="s">
        <v>64</v>
      </c>
      <c r="D1571" s="6" t="s">
        <v>462</v>
      </c>
      <c r="E1571" s="6" t="s">
        <v>438</v>
      </c>
      <c r="F1571" s="6" t="str">
        <f>IF($M1571="PADD I","PADD 1",IF($M1571="PADD II","PADD 2",IF($M1571="PADD III","PADD 3",IF($M1571="PADD IV","PADD 4",IF($M1571="PADD V","PADD 5","")))))</f>
        <v>PADD 4</v>
      </c>
      <c r="G1571" s="6">
        <f>IF(AND($H1571="ATMOS DISTILLATION",ISNUMBER(SEARCH("VPS",$I1571))=FALSE,LEFT($I1571,6)&lt;&gt;"VACUUM"),"CDU",IF($H1571="FLUID CAT CRACKING","FCC",IF(OR($H1571="HYDROCRACKING",$H1571="RESID_HYDROCRACKING"),"Hydrocracker",IF($H1571="REFORMING","Reformer",""))))</f>
        <v/>
      </c>
      <c r="H1571" s="6" t="s">
        <v>378</v>
      </c>
      <c r="I1571" s="6" t="s">
        <v>555</v>
      </c>
      <c r="J1571" s="6" t="s">
        <v>345</v>
      </c>
      <c r="K1571" s="10">
        <v>0.3</v>
      </c>
      <c r="L1571" s="10">
        <v>10</v>
      </c>
      <c r="M1571" s="6" t="s">
        <v>430</v>
      </c>
    </row>
    <row r="1572" spans="1:13">
      <c r="A1572" s="6">
        <v>2023</v>
      </c>
      <c r="B1572" s="6">
        <v>6</v>
      </c>
      <c r="C1572" s="6" t="s">
        <v>64</v>
      </c>
      <c r="D1572" s="6" t="s">
        <v>451</v>
      </c>
      <c r="E1572" s="6" t="s">
        <v>452</v>
      </c>
      <c r="F1572" s="6" t="str">
        <f>IF($M1572="PADD I","PADD 1",IF($M1572="PADD II","PADD 2",IF($M1572="PADD III","PADD 3",IF($M1572="PADD IV","PADD 4",IF($M1572="PADD V","PADD 5","")))))</f>
        <v>PADD 2</v>
      </c>
      <c r="G1572" s="6">
        <f>IF(AND($H1572="ATMOS DISTILLATION",ISNUMBER(SEARCH("VPS",$I1572))=FALSE,LEFT($I1572,6)&lt;&gt;"VACUUM"),"CDU",IF($H1572="FLUID CAT CRACKING","FCC",IF(OR($H1572="HYDROCRACKING",$H1572="RESID_HYDROCRACKING"),"Hydrocracker",IF($H1572="REFORMING","Reformer",""))))</f>
        <v/>
      </c>
      <c r="H1572" s="6" t="s">
        <v>460</v>
      </c>
      <c r="I1572" s="6" t="s">
        <v>461</v>
      </c>
      <c r="J1572" s="6" t="s">
        <v>345</v>
      </c>
      <c r="K1572" s="10">
        <v>0.3</v>
      </c>
      <c r="L1572" s="10">
        <v>3</v>
      </c>
      <c r="M1572" s="6" t="s">
        <v>375</v>
      </c>
    </row>
    <row r="1573" spans="1:13">
      <c r="A1573" s="6">
        <v>2023</v>
      </c>
      <c r="B1573" s="6">
        <v>6</v>
      </c>
      <c r="C1573" s="6" t="s">
        <v>64</v>
      </c>
      <c r="D1573" s="6" t="s">
        <v>334</v>
      </c>
      <c r="E1573" s="6" t="s">
        <v>552</v>
      </c>
      <c r="F1573" s="6" t="str">
        <f>IF($M1573="PADD I","PADD 1",IF($M1573="PADD II","PADD 2",IF($M1573="PADD III","PADD 3",IF($M1573="PADD IV","PADD 4",IF($M1573="PADD V","PADD 5","")))))</f>
        <v>PADD 3</v>
      </c>
      <c r="G1573" s="6">
        <f>IF(AND($H1573="ATMOS DISTILLATION",ISNUMBER(SEARCH("VPS",$I1573))=FALSE,LEFT($I1573,6)&lt;&gt;"VACUUM"),"CDU",IF($H1573="FLUID CAT CRACKING","FCC",IF(OR($H1573="HYDROCRACKING",$H1573="RESID_HYDROCRACKING"),"Hydrocracker",IF($H1573="REFORMING","Reformer",""))))</f>
        <v/>
      </c>
      <c r="H1573" s="6" t="s">
        <v>460</v>
      </c>
      <c r="I1573" s="6" t="s">
        <v>461</v>
      </c>
      <c r="J1573" s="6" t="s">
        <v>345</v>
      </c>
      <c r="K1573" s="10">
        <v>0.28</v>
      </c>
      <c r="L1573" s="10">
        <v>4</v>
      </c>
      <c r="M1573" s="6" t="s">
        <v>371</v>
      </c>
    </row>
    <row r="1574" spans="1:13">
      <c r="A1574" s="6">
        <v>2023</v>
      </c>
      <c r="B1574" s="6">
        <v>6</v>
      </c>
      <c r="C1574" s="6" t="s">
        <v>64</v>
      </c>
      <c r="D1574" s="6" t="s">
        <v>434</v>
      </c>
      <c r="E1574" s="6" t="s">
        <v>388</v>
      </c>
      <c r="F1574" s="6" t="str">
        <f>IF($M1574="PADD I","PADD 1",IF($M1574="PADD II","PADD 2",IF($M1574="PADD III","PADD 3",IF($M1574="PADD IV","PADD 4",IF($M1574="PADD V","PADD 5","")))))</f>
        <v>PADD 5</v>
      </c>
      <c r="G1574" s="6">
        <f>IF(AND($H1574="ATMOS DISTILLATION",ISNUMBER(SEARCH("VPS",$I1574))=FALSE,LEFT($I1574,6)&lt;&gt;"VACUUM"),"CDU",IF($H1574="FLUID CAT CRACKING","FCC",IF(OR($H1574="HYDROCRACKING",$H1574="RESID_HYDROCRACKING"),"Hydrocracker",IF($H1574="REFORMING","Reformer",""))))</f>
        <v/>
      </c>
      <c r="H1574" s="6" t="s">
        <v>568</v>
      </c>
      <c r="I1574" s="6" t="s">
        <v>909</v>
      </c>
      <c r="J1574" s="6" t="s">
        <v>345</v>
      </c>
      <c r="K1574" s="10">
        <v>0.272</v>
      </c>
      <c r="L1574" s="10">
        <v>1.6</v>
      </c>
      <c r="M1574" s="6" t="s">
        <v>386</v>
      </c>
    </row>
    <row r="1575" spans="1:13">
      <c r="A1575" s="6">
        <v>2023</v>
      </c>
      <c r="B1575" s="6">
        <v>6</v>
      </c>
      <c r="C1575" s="6" t="s">
        <v>64</v>
      </c>
      <c r="D1575" s="6" t="s">
        <v>334</v>
      </c>
      <c r="E1575" s="6" t="s">
        <v>552</v>
      </c>
      <c r="F1575" s="6" t="str">
        <f>IF($M1575="PADD I","PADD 1",IF($M1575="PADD II","PADD 2",IF($M1575="PADD III","PADD 3",IF($M1575="PADD IV","PADD 4",IF($M1575="PADD V","PADD 5","")))))</f>
        <v>PADD 3</v>
      </c>
      <c r="G1575" s="6">
        <f>IF(AND($H1575="ATMOS DISTILLATION",ISNUMBER(SEARCH("VPS",$I1575))=FALSE,LEFT($I1575,6)&lt;&gt;"VACUUM"),"CDU",IF($H1575="FLUID CAT CRACKING","FCC",IF(OR($H1575="HYDROCRACKING",$H1575="RESID_HYDROCRACKING"),"Hydrocracker",IF($H1575="REFORMING","Reformer",""))))</f>
        <v/>
      </c>
      <c r="H1575" s="6" t="s">
        <v>43</v>
      </c>
      <c r="I1575" s="6" t="s">
        <v>619</v>
      </c>
      <c r="J1575" s="6" t="s">
        <v>345</v>
      </c>
      <c r="K1575" s="10">
        <v>0.24</v>
      </c>
      <c r="L1575" s="10">
        <v>8</v>
      </c>
      <c r="M1575" s="6" t="s">
        <v>371</v>
      </c>
    </row>
    <row r="1576" spans="1:13">
      <c r="A1576" s="6">
        <v>2023</v>
      </c>
      <c r="B1576" s="6">
        <v>6</v>
      </c>
      <c r="C1576" s="6" t="s">
        <v>64</v>
      </c>
      <c r="D1576" s="6" t="s">
        <v>334</v>
      </c>
      <c r="E1576" s="6" t="s">
        <v>552</v>
      </c>
      <c r="F1576" s="6" t="str">
        <f>IF($M1576="PADD I","PADD 1",IF($M1576="PADD II","PADD 2",IF($M1576="PADD III","PADD 3",IF($M1576="PADD IV","PADD 4",IF($M1576="PADD V","PADD 5","")))))</f>
        <v>PADD 3</v>
      </c>
      <c r="G1576" s="6">
        <f>IF(AND($H1576="ATMOS DISTILLATION",ISNUMBER(SEARCH("VPS",$I1576))=FALSE,LEFT($I1576,6)&lt;&gt;"VACUUM"),"CDU",IF($H1576="FLUID CAT CRACKING","FCC",IF(OR($H1576="HYDROCRACKING",$H1576="RESID_HYDROCRACKING"),"Hydrocracker",IF($H1576="REFORMING","Reformer",""))))</f>
        <v/>
      </c>
      <c r="H1576" s="6" t="s">
        <v>523</v>
      </c>
      <c r="I1576" s="6" t="s">
        <v>524</v>
      </c>
      <c r="J1576" s="6" t="s">
        <v>345</v>
      </c>
      <c r="K1576" s="10">
        <v>0.2079</v>
      </c>
      <c r="L1576" s="10">
        <v>6.93</v>
      </c>
      <c r="M1576" s="6" t="s">
        <v>371</v>
      </c>
    </row>
    <row r="1577" spans="1:13">
      <c r="A1577" s="6">
        <v>2023</v>
      </c>
      <c r="B1577" s="6">
        <v>6</v>
      </c>
      <c r="C1577" s="6" t="s">
        <v>64</v>
      </c>
      <c r="D1577" s="6" t="s">
        <v>334</v>
      </c>
      <c r="E1577" s="6" t="s">
        <v>552</v>
      </c>
      <c r="F1577" s="6" t="str">
        <f>IF($M1577="PADD I","PADD 1",IF($M1577="PADD II","PADD 2",IF($M1577="PADD III","PADD 3",IF($M1577="PADD IV","PADD 4",IF($M1577="PADD V","PADD 5","")))))</f>
        <v>PADD 3</v>
      </c>
      <c r="G1577" s="6">
        <f>IF(AND($H1577="ATMOS DISTILLATION",ISNUMBER(SEARCH("VPS",$I1577))=FALSE,LEFT($I1577,6)&lt;&gt;"VACUUM"),"CDU",IF($H1577="FLUID CAT CRACKING","FCC",IF(OR($H1577="HYDROCRACKING",$H1577="RESID_HYDROCRACKING"),"Hydrocracker",IF($H1577="REFORMING","Reformer",""))))</f>
        <v/>
      </c>
      <c r="H1577" s="6" t="s">
        <v>568</v>
      </c>
      <c r="I1577" s="6" t="s">
        <v>623</v>
      </c>
      <c r="J1577" s="6" t="s">
        <v>345</v>
      </c>
      <c r="K1577" s="10">
        <v>0.18</v>
      </c>
      <c r="L1577" s="10">
        <v>6</v>
      </c>
      <c r="M1577" s="6" t="s">
        <v>371</v>
      </c>
    </row>
    <row r="1578" spans="1:13">
      <c r="A1578" s="6">
        <v>2023</v>
      </c>
      <c r="B1578" s="6">
        <v>6</v>
      </c>
      <c r="C1578" s="6" t="s">
        <v>64</v>
      </c>
      <c r="D1578" s="6" t="s">
        <v>334</v>
      </c>
      <c r="E1578" s="6" t="s">
        <v>552</v>
      </c>
      <c r="F1578" s="6" t="str">
        <f>IF($M1578="PADD I","PADD 1",IF($M1578="PADD II","PADD 2",IF($M1578="PADD III","PADD 3",IF($M1578="PADD IV","PADD 4",IF($M1578="PADD V","PADD 5","")))))</f>
        <v>PADD 3</v>
      </c>
      <c r="G1578" s="6">
        <f>IF(AND($H1578="ATMOS DISTILLATION",ISNUMBER(SEARCH("VPS",$I1578))=FALSE,LEFT($I1578,6)&lt;&gt;"VACUUM"),"CDU",IF($H1578="FLUID CAT CRACKING","FCC",IF(OR($H1578="HYDROCRACKING",$H1578="RESID_HYDROCRACKING"),"Hydrocracker",IF($H1578="REFORMING","Reformer",""))))</f>
        <v/>
      </c>
      <c r="H1578" s="6" t="s">
        <v>460</v>
      </c>
      <c r="I1578" s="6" t="s">
        <v>461</v>
      </c>
      <c r="J1578" s="6" t="s">
        <v>345</v>
      </c>
      <c r="K1578" s="10">
        <v>0.12</v>
      </c>
      <c r="L1578" s="10">
        <v>4</v>
      </c>
      <c r="M1578" s="6" t="s">
        <v>371</v>
      </c>
    </row>
    <row r="1579" spans="1:13">
      <c r="A1579" s="6">
        <v>2023</v>
      </c>
      <c r="B1579" s="6">
        <v>7</v>
      </c>
      <c r="C1579" s="6" t="s">
        <v>65</v>
      </c>
      <c r="D1579" s="6" t="s">
        <v>411</v>
      </c>
      <c r="E1579" s="6" t="s">
        <v>369</v>
      </c>
      <c r="F1579" s="6" t="str">
        <f>IF($M1579="PADD I","PADD 1",IF($M1579="PADD II","PADD 2",IF($M1579="PADD III","PADD 3",IF($M1579="PADD IV","PADD 4",IF($M1579="PADD V","PADD 5","")))))</f>
        <v>PADD 1</v>
      </c>
      <c r="G1579" s="6" t="str">
        <f>IF(AND($H1579="ATMOS DISTILLATION",ISNUMBER(SEARCH("VPS",$I1579))=FALSE,LEFT($I1579,6)&lt;&gt;"VACUUM"),"CDU",IF($H1579="FLUID CAT CRACKING","FCC",IF(OR($H1579="HYDROCRACKING",$H1579="RESID_HYDROCRACKING"),"Hydrocracker",IF($H1579="REFORMING","Reformer",""))))</f>
        <v>FCC</v>
      </c>
      <c r="H1579" s="6" t="s">
        <v>376</v>
      </c>
      <c r="I1579" s="6" t="s">
        <v>105</v>
      </c>
      <c r="J1579" s="6" t="s">
        <v>345</v>
      </c>
      <c r="K1579" s="10">
        <v>87</v>
      </c>
      <c r="L1579" s="10">
        <v>150</v>
      </c>
      <c r="M1579" s="6" t="s">
        <v>413</v>
      </c>
    </row>
    <row r="1580" spans="1:13">
      <c r="A1580" s="6">
        <v>2023</v>
      </c>
      <c r="B1580" s="6">
        <v>7</v>
      </c>
      <c r="C1580" s="6" t="s">
        <v>65</v>
      </c>
      <c r="D1580" s="6" t="s">
        <v>387</v>
      </c>
      <c r="E1580" s="6" t="s">
        <v>388</v>
      </c>
      <c r="F1580" s="6" t="str">
        <f>IF($M1580="PADD I","PADD 1",IF($M1580="PADD II","PADD 2",IF($M1580="PADD III","PADD 3",IF($M1580="PADD IV","PADD 4",IF($M1580="PADD V","PADD 5","")))))</f>
        <v>PADD 3</v>
      </c>
      <c r="G1580" s="6" t="str">
        <f>IF(AND($H1580="ATMOS DISTILLATION",ISNUMBER(SEARCH("VPS",$I1580))=FALSE,LEFT($I1580,6)&lt;&gt;"VACUUM"),"CDU",IF($H1580="FLUID CAT CRACKING","FCC",IF(OR($H1580="HYDROCRACKING",$H1580="RESID_HYDROCRACKING"),"Hydrocracker",IF($H1580="REFORMING","Reformer",""))))</f>
        <v>Reformer</v>
      </c>
      <c r="H1580" s="6" t="s">
        <v>421</v>
      </c>
      <c r="I1580" s="6" t="s">
        <v>443</v>
      </c>
      <c r="J1580" s="6" t="s">
        <v>345</v>
      </c>
      <c r="K1580" s="10">
        <v>77.5</v>
      </c>
      <c r="L1580" s="10">
        <v>77.5</v>
      </c>
      <c r="M1580" s="6" t="s">
        <v>371</v>
      </c>
    </row>
    <row r="1581" spans="1:13">
      <c r="A1581" s="6">
        <v>2023</v>
      </c>
      <c r="B1581" s="6">
        <v>7</v>
      </c>
      <c r="C1581" s="6" t="s">
        <v>65</v>
      </c>
      <c r="D1581" s="6" t="s">
        <v>851</v>
      </c>
      <c r="E1581" s="6" t="s">
        <v>852</v>
      </c>
      <c r="F1581" s="6" t="str">
        <f>IF($M1581="PADD I","PADD 1",IF($M1581="PADD II","PADD 2",IF($M1581="PADD III","PADD 3",IF($M1581="PADD IV","PADD 4",IF($M1581="PADD V","PADD 5","")))))</f>
        <v>PADD 3</v>
      </c>
      <c r="G1581" s="6" t="str">
        <f>IF(AND($H1581="ATMOS DISTILLATION",ISNUMBER(SEARCH("VPS",$I1581))=FALSE,LEFT($I1581,6)&lt;&gt;"VACUUM"),"CDU",IF($H1581="FLUID CAT CRACKING","FCC",IF(OR($H1581="HYDROCRACKING",$H1581="RESID_HYDROCRACKING"),"Hydrocracker",IF($H1581="REFORMING","Reformer",""))))</f>
        <v>CDU</v>
      </c>
      <c r="H1581" s="6" t="s">
        <v>38</v>
      </c>
      <c r="I1581" s="6" t="s">
        <v>854</v>
      </c>
      <c r="J1581" s="6" t="s">
        <v>345</v>
      </c>
      <c r="K1581" s="10">
        <v>73</v>
      </c>
      <c r="L1581" s="10">
        <v>73</v>
      </c>
      <c r="M1581" s="6" t="s">
        <v>371</v>
      </c>
    </row>
    <row r="1582" spans="1:13">
      <c r="A1582" s="6">
        <v>2023</v>
      </c>
      <c r="B1582" s="6">
        <v>7</v>
      </c>
      <c r="C1582" s="6" t="s">
        <v>65</v>
      </c>
      <c r="D1582" s="6" t="s">
        <v>851</v>
      </c>
      <c r="E1582" s="6" t="s">
        <v>852</v>
      </c>
      <c r="F1582" s="6" t="str">
        <f>IF($M1582="PADD I","PADD 1",IF($M1582="PADD II","PADD 2",IF($M1582="PADD III","PADD 3",IF($M1582="PADD IV","PADD 4",IF($M1582="PADD V","PADD 5","")))))</f>
        <v>PADD 3</v>
      </c>
      <c r="G1582" s="6" t="str">
        <f>IF(AND($H1582="ATMOS DISTILLATION",ISNUMBER(SEARCH("VPS",$I1582))=FALSE,LEFT($I1582,6)&lt;&gt;"VACUUM"),"CDU",IF($H1582="FLUID CAT CRACKING","FCC",IF(OR($H1582="HYDROCRACKING",$H1582="RESID_HYDROCRACKING"),"Hydrocracker",IF($H1582="REFORMING","Reformer",""))))</f>
        <v>CDU</v>
      </c>
      <c r="H1582" s="6" t="s">
        <v>38</v>
      </c>
      <c r="I1582" s="6" t="s">
        <v>853</v>
      </c>
      <c r="J1582" s="6" t="s">
        <v>345</v>
      </c>
      <c r="K1582" s="10">
        <v>65</v>
      </c>
      <c r="L1582" s="10">
        <v>65</v>
      </c>
      <c r="M1582" s="6" t="s">
        <v>371</v>
      </c>
    </row>
    <row r="1583" spans="1:13">
      <c r="A1583" s="6">
        <v>2023</v>
      </c>
      <c r="B1583" s="6">
        <v>7</v>
      </c>
      <c r="C1583" s="6" t="s">
        <v>65</v>
      </c>
      <c r="D1583" s="6" t="s">
        <v>851</v>
      </c>
      <c r="E1583" s="6" t="s">
        <v>852</v>
      </c>
      <c r="F1583" s="6" t="str">
        <f>IF($M1583="PADD I","PADD 1",IF($M1583="PADD II","PADD 2",IF($M1583="PADD III","PADD 3",IF($M1583="PADD IV","PADD 4",IF($M1583="PADD V","PADD 5","")))))</f>
        <v>PADD 3</v>
      </c>
      <c r="G1583" s="6" t="str">
        <f>IF(AND($H1583="ATMOS DISTILLATION",ISNUMBER(SEARCH("VPS",$I1583))=FALSE,LEFT($I1583,6)&lt;&gt;"VACUUM"),"CDU",IF($H1583="FLUID CAT CRACKING","FCC",IF(OR($H1583="HYDROCRACKING",$H1583="RESID_HYDROCRACKING"),"Hydrocracker",IF($H1583="REFORMING","Reformer",""))))</f>
        <v>CDU</v>
      </c>
      <c r="H1583" s="6" t="s">
        <v>38</v>
      </c>
      <c r="I1583" s="6" t="s">
        <v>854</v>
      </c>
      <c r="J1583" s="6" t="s">
        <v>345</v>
      </c>
      <c r="K1583" s="10">
        <v>65</v>
      </c>
      <c r="L1583" s="10">
        <v>65</v>
      </c>
      <c r="M1583" s="6" t="s">
        <v>371</v>
      </c>
    </row>
    <row r="1584" spans="1:13">
      <c r="A1584" s="6">
        <v>2023</v>
      </c>
      <c r="B1584" s="6">
        <v>7</v>
      </c>
      <c r="C1584" s="6" t="s">
        <v>65</v>
      </c>
      <c r="D1584" s="6" t="s">
        <v>387</v>
      </c>
      <c r="E1584" s="6" t="s">
        <v>388</v>
      </c>
      <c r="F1584" s="6" t="str">
        <f>IF($M1584="PADD I","PADD 1",IF($M1584="PADD II","PADD 2",IF($M1584="PADD III","PADD 3",IF($M1584="PADD IV","PADD 4",IF($M1584="PADD V","PADD 5","")))))</f>
        <v>PADD 3</v>
      </c>
      <c r="G1584" s="6">
        <f>IF(AND($H1584="ATMOS DISTILLATION",ISNUMBER(SEARCH("VPS",$I1584))=FALSE,LEFT($I1584,6)&lt;&gt;"VACUUM"),"CDU",IF($H1584="FLUID CAT CRACKING","FCC",IF(OR($H1584="HYDROCRACKING",$H1584="RESID_HYDROCRACKING"),"Hydrocracker",IF($H1584="REFORMING","Reformer",""))))</f>
        <v/>
      </c>
      <c r="H1584" s="6" t="s">
        <v>43</v>
      </c>
      <c r="I1584" s="6" t="s">
        <v>848</v>
      </c>
      <c r="J1584" s="6" t="s">
        <v>345</v>
      </c>
      <c r="K1584" s="10">
        <v>50</v>
      </c>
      <c r="L1584" s="10">
        <v>50</v>
      </c>
      <c r="M1584" s="6" t="s">
        <v>371</v>
      </c>
    </row>
    <row r="1585" spans="1:13">
      <c r="A1585" s="6">
        <v>2023</v>
      </c>
      <c r="B1585" s="6">
        <v>7</v>
      </c>
      <c r="C1585" s="6" t="s">
        <v>65</v>
      </c>
      <c r="D1585" s="6" t="s">
        <v>415</v>
      </c>
      <c r="E1585" s="6" t="s">
        <v>416</v>
      </c>
      <c r="F1585" s="6" t="str">
        <f>IF($M1585="PADD I","PADD 1",IF($M1585="PADD II","PADD 2",IF($M1585="PADD III","PADD 3",IF($M1585="PADD IV","PADD 4",IF($M1585="PADD V","PADD 5","")))))</f>
        <v>PADD 3</v>
      </c>
      <c r="G1585" s="6">
        <f>IF(AND($H1585="ATMOS DISTILLATION",ISNUMBER(SEARCH("VPS",$I1585))=FALSE,LEFT($I1585,6)&lt;&gt;"VACUUM"),"CDU",IF($H1585="FLUID CAT CRACKING","FCC",IF(OR($H1585="HYDROCRACKING",$H1585="RESID_HYDROCRACKING"),"Hydrocracker",IF($H1585="REFORMING","Reformer",""))))</f>
        <v/>
      </c>
      <c r="H1585" s="6" t="s">
        <v>378</v>
      </c>
      <c r="I1585" s="6" t="s">
        <v>417</v>
      </c>
      <c r="J1585" s="6" t="s">
        <v>345</v>
      </c>
      <c r="K1585" s="10">
        <v>50</v>
      </c>
      <c r="L1585" s="10">
        <v>50</v>
      </c>
      <c r="M1585" s="6" t="s">
        <v>371</v>
      </c>
    </row>
    <row r="1586" spans="1:13">
      <c r="A1586" s="6">
        <v>2023</v>
      </c>
      <c r="B1586" s="6">
        <v>7</v>
      </c>
      <c r="C1586" s="6" t="s">
        <v>65</v>
      </c>
      <c r="D1586" s="6" t="s">
        <v>411</v>
      </c>
      <c r="E1586" s="6" t="s">
        <v>369</v>
      </c>
      <c r="F1586" s="6" t="str">
        <f>IF($M1586="PADD I","PADD 1",IF($M1586="PADD II","PADD 2",IF($M1586="PADD III","PADD 3",IF($M1586="PADD IV","PADD 4",IF($M1586="PADD V","PADD 5","")))))</f>
        <v>PADD 1</v>
      </c>
      <c r="G1586" s="6" t="str">
        <f>IF(AND($H1586="ATMOS DISTILLATION",ISNUMBER(SEARCH("VPS",$I1586))=FALSE,LEFT($I1586,6)&lt;&gt;"VACUUM"),"CDU",IF($H1586="FLUID CAT CRACKING","FCC",IF(OR($H1586="HYDROCRACKING",$H1586="RESID_HYDROCRACKING"),"Hydrocracker",IF($H1586="REFORMING","Reformer",""))))</f>
        <v>CDU</v>
      </c>
      <c r="H1586" s="6" t="s">
        <v>38</v>
      </c>
      <c r="I1586" s="6" t="s">
        <v>529</v>
      </c>
      <c r="J1586" s="6" t="s">
        <v>345</v>
      </c>
      <c r="K1586" s="10">
        <v>44.03</v>
      </c>
      <c r="L1586" s="10">
        <v>64.75</v>
      </c>
      <c r="M1586" s="6" t="s">
        <v>413</v>
      </c>
    </row>
    <row r="1587" spans="1:13">
      <c r="A1587" s="6">
        <v>2023</v>
      </c>
      <c r="B1587" s="6">
        <v>7</v>
      </c>
      <c r="C1587" s="6" t="s">
        <v>65</v>
      </c>
      <c r="D1587" s="6" t="s">
        <v>411</v>
      </c>
      <c r="E1587" s="6" t="s">
        <v>369</v>
      </c>
      <c r="F1587" s="6" t="str">
        <f>IF($M1587="PADD I","PADD 1",IF($M1587="PADD II","PADD 2",IF($M1587="PADD III","PADD 3",IF($M1587="PADD IV","PADD 4",IF($M1587="PADD V","PADD 5","")))))</f>
        <v>PADD 1</v>
      </c>
      <c r="G1587" s="6" t="str">
        <f>IF(AND($H1587="ATMOS DISTILLATION",ISNUMBER(SEARCH("VPS",$I1587))=FALSE,LEFT($I1587,6)&lt;&gt;"VACUUM"),"CDU",IF($H1587="FLUID CAT CRACKING","FCC",IF(OR($H1587="HYDROCRACKING",$H1587="RESID_HYDROCRACKING"),"Hydrocracker",IF($H1587="REFORMING","Reformer",""))))</f>
        <v>CDU</v>
      </c>
      <c r="H1587" s="6" t="s">
        <v>38</v>
      </c>
      <c r="I1587" s="6" t="s">
        <v>412</v>
      </c>
      <c r="J1587" s="6" t="s">
        <v>345</v>
      </c>
      <c r="K1587" s="10">
        <v>43.86</v>
      </c>
      <c r="L1587" s="10">
        <v>64.5</v>
      </c>
      <c r="M1587" s="6" t="s">
        <v>413</v>
      </c>
    </row>
    <row r="1588" spans="1:13">
      <c r="A1588" s="6">
        <v>2023</v>
      </c>
      <c r="B1588" s="6">
        <v>7</v>
      </c>
      <c r="C1588" s="6" t="s">
        <v>65</v>
      </c>
      <c r="D1588" s="6" t="s">
        <v>380</v>
      </c>
      <c r="E1588" s="6" t="s">
        <v>381</v>
      </c>
      <c r="F1588" s="6" t="str">
        <f>IF($M1588="PADD I","PADD 1",IF($M1588="PADD II","PADD 2",IF($M1588="PADD III","PADD 3",IF($M1588="PADD IV","PADD 4",IF($M1588="PADD V","PADD 5","")))))</f>
        <v>PADD 3</v>
      </c>
      <c r="G1588" s="6" t="str">
        <f>IF(AND($H1588="ATMOS DISTILLATION",ISNUMBER(SEARCH("VPS",$I1588))=FALSE,LEFT($I1588,6)&lt;&gt;"VACUUM"),"CDU",IF($H1588="FLUID CAT CRACKING","FCC",IF(OR($H1588="HYDROCRACKING",$H1588="RESID_HYDROCRACKING"),"Hydrocracker",IF($H1588="REFORMING","Reformer",""))))</f>
        <v>FCC</v>
      </c>
      <c r="H1588" s="6" t="s">
        <v>376</v>
      </c>
      <c r="I1588" s="6" t="s">
        <v>850</v>
      </c>
      <c r="J1588" s="6" t="s">
        <v>345</v>
      </c>
      <c r="K1588" s="10">
        <v>42.9</v>
      </c>
      <c r="L1588" s="10">
        <v>110</v>
      </c>
      <c r="M1588" s="6" t="s">
        <v>371</v>
      </c>
    </row>
    <row r="1589" spans="1:13">
      <c r="A1589" s="6">
        <v>2023</v>
      </c>
      <c r="B1589" s="6">
        <v>7</v>
      </c>
      <c r="C1589" s="6" t="s">
        <v>65</v>
      </c>
      <c r="D1589" s="6" t="s">
        <v>851</v>
      </c>
      <c r="E1589" s="6" t="s">
        <v>852</v>
      </c>
      <c r="F1589" s="6" t="str">
        <f>IF($M1589="PADD I","PADD 1",IF($M1589="PADD II","PADD 2",IF($M1589="PADD III","PADD 3",IF($M1589="PADD IV","PADD 4",IF($M1589="PADD V","PADD 5","")))))</f>
        <v>PADD 3</v>
      </c>
      <c r="G1589" s="6">
        <f>IF(AND($H1589="ATMOS DISTILLATION",ISNUMBER(SEARCH("VPS",$I1589))=FALSE,LEFT($I1589,6)&lt;&gt;"VACUUM"),"CDU",IF($H1589="FLUID CAT CRACKING","FCC",IF(OR($H1589="HYDROCRACKING",$H1589="RESID_HYDROCRACKING"),"Hydrocracker",IF($H1589="REFORMING","Reformer",""))))</f>
        <v/>
      </c>
      <c r="H1589" s="6" t="s">
        <v>378</v>
      </c>
      <c r="I1589" s="6" t="s">
        <v>860</v>
      </c>
      <c r="J1589" s="6" t="s">
        <v>345</v>
      </c>
      <c r="K1589" s="10">
        <v>36</v>
      </c>
      <c r="L1589" s="10">
        <v>36</v>
      </c>
      <c r="M1589" s="6" t="s">
        <v>371</v>
      </c>
    </row>
    <row r="1590" spans="1:13">
      <c r="A1590" s="6">
        <v>2023</v>
      </c>
      <c r="B1590" s="6">
        <v>7</v>
      </c>
      <c r="C1590" s="6" t="s">
        <v>65</v>
      </c>
      <c r="D1590" s="6" t="s">
        <v>446</v>
      </c>
      <c r="E1590" s="6" t="s">
        <v>391</v>
      </c>
      <c r="F1590" s="6" t="str">
        <f>IF($M1590="PADD I","PADD 1",IF($M1590="PADD II","PADD 2",IF($M1590="PADD III","PADD 3",IF($M1590="PADD IV","PADD 4",IF($M1590="PADD V","PADD 5","")))))</f>
        <v>PADD 3</v>
      </c>
      <c r="G1590" s="6">
        <f>IF(AND($H1590="ATMOS DISTILLATION",ISNUMBER(SEARCH("VPS",$I1590))=FALSE,LEFT($I1590,6)&lt;&gt;"VACUUM"),"CDU",IF($H1590="FLUID CAT CRACKING","FCC",IF(OR($H1590="HYDROCRACKING",$H1590="RESID_HYDROCRACKING"),"Hydrocracker",IF($H1590="REFORMING","Reformer",""))))</f>
        <v/>
      </c>
      <c r="H1590" s="6" t="s">
        <v>43</v>
      </c>
      <c r="I1590" s="6" t="s">
        <v>447</v>
      </c>
      <c r="J1590" s="6" t="s">
        <v>349</v>
      </c>
      <c r="K1590" s="10">
        <v>35</v>
      </c>
      <c r="L1590" s="10">
        <v>35</v>
      </c>
      <c r="M1590" s="6" t="s">
        <v>371</v>
      </c>
    </row>
    <row r="1591" spans="1:13">
      <c r="A1591" s="6">
        <v>2023</v>
      </c>
      <c r="B1591" s="6">
        <v>7</v>
      </c>
      <c r="C1591" s="6" t="s">
        <v>65</v>
      </c>
      <c r="D1591" s="6" t="s">
        <v>448</v>
      </c>
      <c r="E1591" s="6" t="s">
        <v>391</v>
      </c>
      <c r="F1591" s="6" t="str">
        <f>IF($M1591="PADD I","PADD 1",IF($M1591="PADD II","PADD 2",IF($M1591="PADD III","PADD 3",IF($M1591="PADD IV","PADD 4",IF($M1591="PADD V","PADD 5","")))))</f>
        <v>PADD 3</v>
      </c>
      <c r="G1591" s="6">
        <f>IF(AND($H1591="ATMOS DISTILLATION",ISNUMBER(SEARCH("VPS",$I1591))=FALSE,LEFT($I1591,6)&lt;&gt;"VACUUM"),"CDU",IF($H1591="FLUID CAT CRACKING","FCC",IF(OR($H1591="HYDROCRACKING",$H1591="RESID_HYDROCRACKING"),"Hydrocracker",IF($H1591="REFORMING","Reformer",""))))</f>
        <v/>
      </c>
      <c r="H1591" s="6" t="s">
        <v>43</v>
      </c>
      <c r="I1591" s="6" t="s">
        <v>449</v>
      </c>
      <c r="J1591" s="6" t="s">
        <v>345</v>
      </c>
      <c r="K1591" s="10">
        <v>35</v>
      </c>
      <c r="L1591" s="10">
        <v>35</v>
      </c>
      <c r="M1591" s="6" t="s">
        <v>371</v>
      </c>
    </row>
    <row r="1592" spans="1:13">
      <c r="A1592" s="6">
        <v>2023</v>
      </c>
      <c r="B1592" s="6">
        <v>7</v>
      </c>
      <c r="C1592" s="6" t="s">
        <v>65</v>
      </c>
      <c r="D1592" s="6" t="s">
        <v>395</v>
      </c>
      <c r="E1592" s="6" t="s">
        <v>396</v>
      </c>
      <c r="F1592" s="6" t="str">
        <f>IF($M1592="PADD I","PADD 1",IF($M1592="PADD II","PADD 2",IF($M1592="PADD III","PADD 3",IF($M1592="PADD IV","PADD 4",IF($M1592="PADD V","PADD 5","")))))</f>
        <v>PADD 3</v>
      </c>
      <c r="G1592" s="6">
        <f>IF(AND($H1592="ATMOS DISTILLATION",ISNUMBER(SEARCH("VPS",$I1592))=FALSE,LEFT($I1592,6)&lt;&gt;"VACUUM"),"CDU",IF($H1592="FLUID CAT CRACKING","FCC",IF(OR($H1592="HYDROCRACKING",$H1592="RESID_HYDROCRACKING"),"Hydrocracker",IF($H1592="REFORMING","Reformer",""))))</f>
        <v/>
      </c>
      <c r="H1592" s="6" t="s">
        <v>378</v>
      </c>
      <c r="I1592" s="6" t="s">
        <v>575</v>
      </c>
      <c r="J1592" s="6" t="s">
        <v>345</v>
      </c>
      <c r="K1592" s="10">
        <v>35</v>
      </c>
      <c r="L1592" s="10">
        <v>35</v>
      </c>
      <c r="M1592" s="6" t="s">
        <v>371</v>
      </c>
    </row>
    <row r="1593" spans="1:13">
      <c r="A1593" s="6">
        <v>2023</v>
      </c>
      <c r="B1593" s="6">
        <v>7</v>
      </c>
      <c r="C1593" s="6" t="s">
        <v>65</v>
      </c>
      <c r="D1593" s="6" t="s">
        <v>415</v>
      </c>
      <c r="E1593" s="6" t="s">
        <v>416</v>
      </c>
      <c r="F1593" s="6" t="str">
        <f>IF($M1593="PADD I","PADD 1",IF($M1593="PADD II","PADD 2",IF($M1593="PADD III","PADD 3",IF($M1593="PADD IV","PADD 4",IF($M1593="PADD V","PADD 5","")))))</f>
        <v>PADD 3</v>
      </c>
      <c r="G1593" s="6">
        <f>IF(AND($H1593="ATMOS DISTILLATION",ISNUMBER(SEARCH("VPS",$I1593))=FALSE,LEFT($I1593,6)&lt;&gt;"VACUUM"),"CDU",IF($H1593="FLUID CAT CRACKING","FCC",IF(OR($H1593="HYDROCRACKING",$H1593="RESID_HYDROCRACKING"),"Hydrocracker",IF($H1593="REFORMING","Reformer",""))))</f>
        <v/>
      </c>
      <c r="H1593" s="6" t="s">
        <v>435</v>
      </c>
      <c r="I1593" s="6" t="s">
        <v>453</v>
      </c>
      <c r="J1593" s="6" t="s">
        <v>345</v>
      </c>
      <c r="K1593" s="10">
        <v>34</v>
      </c>
      <c r="L1593" s="10">
        <v>34</v>
      </c>
      <c r="M1593" s="6" t="s">
        <v>371</v>
      </c>
    </row>
    <row r="1594" spans="1:13">
      <c r="A1594" s="6">
        <v>2023</v>
      </c>
      <c r="B1594" s="6">
        <v>7</v>
      </c>
      <c r="C1594" s="6" t="s">
        <v>65</v>
      </c>
      <c r="D1594" s="6" t="s">
        <v>415</v>
      </c>
      <c r="E1594" s="6" t="s">
        <v>416</v>
      </c>
      <c r="F1594" s="6" t="str">
        <f>IF($M1594="PADD I","PADD 1",IF($M1594="PADD II","PADD 2",IF($M1594="PADD III","PADD 3",IF($M1594="PADD IV","PADD 4",IF($M1594="PADD V","PADD 5","")))))</f>
        <v>PADD 3</v>
      </c>
      <c r="G1594" s="6">
        <f>IF(AND($H1594="ATMOS DISTILLATION",ISNUMBER(SEARCH("VPS",$I1594))=FALSE,LEFT($I1594,6)&lt;&gt;"VACUUM"),"CDU",IF($H1594="FLUID CAT CRACKING","FCC",IF(OR($H1594="HYDROCRACKING",$H1594="RESID_HYDROCRACKING"),"Hydrocracker",IF($H1594="REFORMING","Reformer",""))))</f>
        <v/>
      </c>
      <c r="H1594" s="6" t="s">
        <v>435</v>
      </c>
      <c r="I1594" s="6" t="s">
        <v>453</v>
      </c>
      <c r="J1594" s="6" t="s">
        <v>345</v>
      </c>
      <c r="K1594" s="10">
        <v>34</v>
      </c>
      <c r="L1594" s="10">
        <v>34</v>
      </c>
      <c r="M1594" s="6" t="s">
        <v>371</v>
      </c>
    </row>
    <row r="1595" spans="1:13">
      <c r="A1595" s="6">
        <v>2023</v>
      </c>
      <c r="B1595" s="6">
        <v>7</v>
      </c>
      <c r="C1595" s="6" t="s">
        <v>65</v>
      </c>
      <c r="D1595" s="6" t="s">
        <v>331</v>
      </c>
      <c r="E1595" s="6" t="s">
        <v>373</v>
      </c>
      <c r="F1595" s="6" t="str">
        <f>IF($M1595="PADD I","PADD 1",IF($M1595="PADD II","PADD 2",IF($M1595="PADD III","PADD 3",IF($M1595="PADD IV","PADD 4",IF($M1595="PADD V","PADD 5","")))))</f>
        <v>PADD 2</v>
      </c>
      <c r="G1595" s="6" t="str">
        <f>IF(AND($H1595="ATMOS DISTILLATION",ISNUMBER(SEARCH("VPS",$I1595))=FALSE,LEFT($I1595,6)&lt;&gt;"VACUUM"),"CDU",IF($H1595="FLUID CAT CRACKING","FCC",IF(OR($H1595="HYDROCRACKING",$H1595="RESID_HYDROCRACKING"),"Hydrocracker",IF($H1595="REFORMING","Reformer",""))))</f>
        <v>CDU</v>
      </c>
      <c r="H1595" s="6" t="s">
        <v>38</v>
      </c>
      <c r="I1595" s="6" t="s">
        <v>332</v>
      </c>
      <c r="J1595" s="6" t="s">
        <v>345</v>
      </c>
      <c r="K1595" s="10">
        <v>32.68</v>
      </c>
      <c r="L1595" s="10">
        <v>172</v>
      </c>
      <c r="M1595" s="6" t="s">
        <v>375</v>
      </c>
    </row>
    <row r="1596" spans="1:13">
      <c r="A1596" s="6">
        <v>2023</v>
      </c>
      <c r="B1596" s="6">
        <v>7</v>
      </c>
      <c r="C1596" s="6" t="s">
        <v>65</v>
      </c>
      <c r="D1596" s="6" t="s">
        <v>411</v>
      </c>
      <c r="E1596" s="6" t="s">
        <v>369</v>
      </c>
      <c r="F1596" s="6" t="str">
        <f>IF($M1596="PADD I","PADD 1",IF($M1596="PADD II","PADD 2",IF($M1596="PADD III","PADD 3",IF($M1596="PADD IV","PADD 4",IF($M1596="PADD V","PADD 5","")))))</f>
        <v>PADD 1</v>
      </c>
      <c r="G1596" s="6">
        <f>IF(AND($H1596="ATMOS DISTILLATION",ISNUMBER(SEARCH("VPS",$I1596))=FALSE,LEFT($I1596,6)&lt;&gt;"VACUUM"),"CDU",IF($H1596="FLUID CAT CRACKING","FCC",IF(OR($H1596="HYDROCRACKING",$H1596="RESID_HYDROCRACKING"),"Hydrocracker",IF($H1596="REFORMING","Reformer",""))))</f>
        <v/>
      </c>
      <c r="H1596" s="6" t="s">
        <v>43</v>
      </c>
      <c r="I1596" s="6" t="s">
        <v>458</v>
      </c>
      <c r="J1596" s="6" t="s">
        <v>345</v>
      </c>
      <c r="K1596" s="10">
        <v>28.9</v>
      </c>
      <c r="L1596" s="10">
        <v>42.5</v>
      </c>
      <c r="M1596" s="6" t="s">
        <v>413</v>
      </c>
    </row>
    <row r="1597" spans="1:13">
      <c r="A1597" s="6">
        <v>2023</v>
      </c>
      <c r="B1597" s="6">
        <v>7</v>
      </c>
      <c r="C1597" s="6" t="s">
        <v>65</v>
      </c>
      <c r="D1597" s="6" t="s">
        <v>53</v>
      </c>
      <c r="E1597" s="6" t="s">
        <v>543</v>
      </c>
      <c r="F1597" s="6" t="str">
        <f>IF($M1597="PADD I","PADD 1",IF($M1597="PADD II","PADD 2",IF($M1597="PADD III","PADD 3",IF($M1597="PADD IV","PADD 4",IF($M1597="PADD V","PADD 5","")))))</f>
        <v>PADD 5</v>
      </c>
      <c r="G1597" s="6" t="str">
        <f>IF(AND($H1597="ATMOS DISTILLATION",ISNUMBER(SEARCH("VPS",$I1597))=FALSE,LEFT($I1597,6)&lt;&gt;"VACUUM"),"CDU",IF($H1597="FLUID CAT CRACKING","FCC",IF(OR($H1597="HYDROCRACKING",$H1597="RESID_HYDROCRACKING"),"Hydrocracker",IF($H1597="REFORMING","Reformer",""))))</f>
        <v>Hydrocracker</v>
      </c>
      <c r="H1597" s="6" t="s">
        <v>444</v>
      </c>
      <c r="I1597" s="6" t="s">
        <v>14</v>
      </c>
      <c r="J1597" s="6" t="s">
        <v>345</v>
      </c>
      <c r="K1597" s="10">
        <v>28.6</v>
      </c>
      <c r="L1597" s="10">
        <v>55</v>
      </c>
      <c r="M1597" s="6" t="s">
        <v>386</v>
      </c>
    </row>
    <row r="1598" spans="1:13">
      <c r="A1598" s="6">
        <v>2023</v>
      </c>
      <c r="B1598" s="6">
        <v>7</v>
      </c>
      <c r="C1598" s="6" t="s">
        <v>65</v>
      </c>
      <c r="D1598" s="6" t="s">
        <v>500</v>
      </c>
      <c r="E1598" s="6" t="s">
        <v>388</v>
      </c>
      <c r="F1598" s="6" t="str">
        <f>IF($M1598="PADD I","PADD 1",IF($M1598="PADD II","PADD 2",IF($M1598="PADD III","PADD 3",IF($M1598="PADD IV","PADD 4",IF($M1598="PADD V","PADD 5","")))))</f>
        <v>PADD 2</v>
      </c>
      <c r="G1598" s="6" t="str">
        <f>IF(AND($H1598="ATMOS DISTILLATION",ISNUMBER(SEARCH("VPS",$I1598))=FALSE,LEFT($I1598,6)&lt;&gt;"VACUUM"),"CDU",IF($H1598="FLUID CAT CRACKING","FCC",IF(OR($H1598="HYDROCRACKING",$H1598="RESID_HYDROCRACKING"),"Hydrocracker",IF($H1598="REFORMING","Reformer",""))))</f>
        <v>CDU</v>
      </c>
      <c r="H1598" s="6" t="s">
        <v>38</v>
      </c>
      <c r="I1598" s="6" t="s">
        <v>530</v>
      </c>
      <c r="J1598" s="6" t="s">
        <v>349</v>
      </c>
      <c r="K1598" s="10">
        <v>26.68</v>
      </c>
      <c r="L1598" s="10">
        <v>92</v>
      </c>
      <c r="M1598" s="6" t="s">
        <v>375</v>
      </c>
    </row>
    <row r="1599" spans="1:13">
      <c r="A1599" s="6">
        <v>2023</v>
      </c>
      <c r="B1599" s="6">
        <v>7</v>
      </c>
      <c r="C1599" s="6" t="s">
        <v>65</v>
      </c>
      <c r="D1599" s="6" t="s">
        <v>411</v>
      </c>
      <c r="E1599" s="6" t="s">
        <v>369</v>
      </c>
      <c r="F1599" s="6" t="str">
        <f>IF($M1599="PADD I","PADD 1",IF($M1599="PADD II","PADD 2",IF($M1599="PADD III","PADD 3",IF($M1599="PADD IV","PADD 4",IF($M1599="PADD V","PADD 5","")))))</f>
        <v>PADD 1</v>
      </c>
      <c r="G1599" s="6">
        <f>IF(AND($H1599="ATMOS DISTILLATION",ISNUMBER(SEARCH("VPS",$I1599))=FALSE,LEFT($I1599,6)&lt;&gt;"VACUUM"),"CDU",IF($H1599="FLUID CAT CRACKING","FCC",IF(OR($H1599="HYDROCRACKING",$H1599="RESID_HYDROCRACKING"),"Hydrocracker",IF($H1599="REFORMING","Reformer",""))))</f>
        <v/>
      </c>
      <c r="H1599" s="6" t="s">
        <v>378</v>
      </c>
      <c r="I1599" s="6" t="s">
        <v>431</v>
      </c>
      <c r="J1599" s="6" t="s">
        <v>345</v>
      </c>
      <c r="K1599" s="10">
        <v>25.5</v>
      </c>
      <c r="L1599" s="10">
        <v>37.5</v>
      </c>
      <c r="M1599" s="6" t="s">
        <v>413</v>
      </c>
    </row>
    <row r="1600" spans="1:13">
      <c r="A1600" s="6">
        <v>2023</v>
      </c>
      <c r="B1600" s="6">
        <v>7</v>
      </c>
      <c r="C1600" s="6" t="s">
        <v>65</v>
      </c>
      <c r="D1600" s="6" t="s">
        <v>420</v>
      </c>
      <c r="E1600" s="6" t="s">
        <v>373</v>
      </c>
      <c r="F1600" s="6" t="str">
        <f>IF($M1600="PADD I","PADD 1",IF($M1600="PADD II","PADD 2",IF($M1600="PADD III","PADD 3",IF($M1600="PADD IV","PADD 4",IF($M1600="PADD V","PADD 5","")))))</f>
        <v>PADD 2</v>
      </c>
      <c r="G1600" s="6" t="str">
        <f>IF(AND($H1600="ATMOS DISTILLATION",ISNUMBER(SEARCH("VPS",$I1600))=FALSE,LEFT($I1600,6)&lt;&gt;"VACUUM"),"CDU",IF($H1600="FLUID CAT CRACKING","FCC",IF(OR($H1600="HYDROCRACKING",$H1600="RESID_HYDROCRACKING"),"Hydrocracker",IF($H1600="REFORMING","Reformer",""))))</f>
        <v>CDU</v>
      </c>
      <c r="H1600" s="6" t="s">
        <v>38</v>
      </c>
      <c r="I1600" s="6" t="s">
        <v>81</v>
      </c>
      <c r="J1600" s="6" t="s">
        <v>345</v>
      </c>
      <c r="K1600" s="10">
        <v>24.5</v>
      </c>
      <c r="L1600" s="10">
        <v>24.5</v>
      </c>
      <c r="M1600" s="6" t="s">
        <v>375</v>
      </c>
    </row>
    <row r="1601" spans="1:13">
      <c r="A1601" s="6">
        <v>2023</v>
      </c>
      <c r="B1601" s="6">
        <v>7</v>
      </c>
      <c r="C1601" s="6" t="s">
        <v>65</v>
      </c>
      <c r="D1601" s="6" t="s">
        <v>387</v>
      </c>
      <c r="E1601" s="6" t="s">
        <v>388</v>
      </c>
      <c r="F1601" s="6" t="str">
        <f>IF($M1601="PADD I","PADD 1",IF($M1601="PADD II","PADD 2",IF($M1601="PADD III","PADD 3",IF($M1601="PADD IV","PADD 4",IF($M1601="PADD V","PADD 5","")))))</f>
        <v>PADD 3</v>
      </c>
      <c r="G1601" s="6" t="str">
        <f>IF(AND($H1601="ATMOS DISTILLATION",ISNUMBER(SEARCH("VPS",$I1601))=FALSE,LEFT($I1601,6)&lt;&gt;"VACUUM"),"CDU",IF($H1601="FLUID CAT CRACKING","FCC",IF(OR($H1601="HYDROCRACKING",$H1601="RESID_HYDROCRACKING"),"Hydrocracker",IF($H1601="REFORMING","Reformer",""))))</f>
        <v>FCC</v>
      </c>
      <c r="H1601" s="6" t="s">
        <v>376</v>
      </c>
      <c r="I1601" s="6" t="s">
        <v>472</v>
      </c>
      <c r="J1601" s="6" t="s">
        <v>345</v>
      </c>
      <c r="K1601" s="10">
        <v>22.4</v>
      </c>
      <c r="L1601" s="10">
        <v>140</v>
      </c>
      <c r="M1601" s="6" t="s">
        <v>371</v>
      </c>
    </row>
    <row r="1602" spans="1:13">
      <c r="A1602" s="6">
        <v>2023</v>
      </c>
      <c r="B1602" s="6">
        <v>7</v>
      </c>
      <c r="C1602" s="6" t="s">
        <v>65</v>
      </c>
      <c r="D1602" s="6" t="s">
        <v>420</v>
      </c>
      <c r="E1602" s="6" t="s">
        <v>373</v>
      </c>
      <c r="F1602" s="6" t="str">
        <f>IF($M1602="PADD I","PADD 1",IF($M1602="PADD II","PADD 2",IF($M1602="PADD III","PADD 3",IF($M1602="PADD IV","PADD 4",IF($M1602="PADD V","PADD 5","")))))</f>
        <v>PADD 2</v>
      </c>
      <c r="G1602" s="6">
        <f>IF(AND($H1602="ATMOS DISTILLATION",ISNUMBER(SEARCH("VPS",$I1602))=FALSE,LEFT($I1602,6)&lt;&gt;"VACUUM"),"CDU",IF($H1602="FLUID CAT CRACKING","FCC",IF(OR($H1602="HYDROCRACKING",$H1602="RESID_HYDROCRACKING"),"Hydrocracker",IF($H1602="REFORMING","Reformer",""))))</f>
        <v/>
      </c>
      <c r="H1602" s="6" t="s">
        <v>378</v>
      </c>
      <c r="I1602" s="6" t="s">
        <v>431</v>
      </c>
      <c r="J1602" s="6" t="s">
        <v>345</v>
      </c>
      <c r="K1602" s="10">
        <v>20.5</v>
      </c>
      <c r="L1602" s="10">
        <v>20.5</v>
      </c>
      <c r="M1602" s="6" t="s">
        <v>375</v>
      </c>
    </row>
    <row r="1603" spans="1:13">
      <c r="A1603" s="6">
        <v>2023</v>
      </c>
      <c r="B1603" s="6">
        <v>7</v>
      </c>
      <c r="C1603" s="6" t="s">
        <v>65</v>
      </c>
      <c r="D1603" s="6" t="s">
        <v>496</v>
      </c>
      <c r="E1603" s="6" t="s">
        <v>388</v>
      </c>
      <c r="F1603" s="6" t="str">
        <f>IF($M1603="PADD I","PADD 1",IF($M1603="PADD II","PADD 2",IF($M1603="PADD III","PADD 3",IF($M1603="PADD IV","PADD 4",IF($M1603="PADD V","PADD 5","")))))</f>
        <v>PADD 2</v>
      </c>
      <c r="G1603" s="6" t="str">
        <f>IF(AND($H1603="ATMOS DISTILLATION",ISNUMBER(SEARCH("VPS",$I1603))=FALSE,LEFT($I1603,6)&lt;&gt;"VACUUM"),"CDU",IF($H1603="FLUID CAT CRACKING","FCC",IF(OR($H1603="HYDROCRACKING",$H1603="RESID_HYDROCRACKING"),"Hydrocracker",IF($H1603="REFORMING","Reformer",""))))</f>
        <v>CDU</v>
      </c>
      <c r="H1603" s="6" t="s">
        <v>38</v>
      </c>
      <c r="I1603" s="6" t="s">
        <v>81</v>
      </c>
      <c r="J1603" s="6" t="s">
        <v>349</v>
      </c>
      <c r="K1603" s="10">
        <v>20</v>
      </c>
      <c r="L1603" s="10">
        <v>20</v>
      </c>
      <c r="M1603" s="6" t="s">
        <v>375</v>
      </c>
    </row>
    <row r="1604" spans="1:13">
      <c r="A1604" s="6">
        <v>2023</v>
      </c>
      <c r="B1604" s="6">
        <v>7</v>
      </c>
      <c r="C1604" s="6" t="s">
        <v>65</v>
      </c>
      <c r="D1604" s="6" t="s">
        <v>670</v>
      </c>
      <c r="E1604" s="6" t="s">
        <v>405</v>
      </c>
      <c r="F1604" s="6" t="str">
        <f>IF($M1604="PADD I","PADD 1",IF($M1604="PADD II","PADD 2",IF($M1604="PADD III","PADD 3",IF($M1604="PADD IV","PADD 4",IF($M1604="PADD V","PADD 5","")))))</f>
        <v>PADD 2</v>
      </c>
      <c r="G1604" s="6" t="str">
        <f>IF(AND($H1604="ATMOS DISTILLATION",ISNUMBER(SEARCH("VPS",$I1604))=FALSE,LEFT($I1604,6)&lt;&gt;"VACUUM"),"CDU",IF($H1604="FLUID CAT CRACKING","FCC",IF(OR($H1604="HYDROCRACKING",$H1604="RESID_HYDROCRACKING"),"Hydrocracker",IF($H1604="REFORMING","Reformer",""))))</f>
        <v>CDU</v>
      </c>
      <c r="H1604" s="6" t="s">
        <v>38</v>
      </c>
      <c r="I1604" s="6" t="s">
        <v>107</v>
      </c>
      <c r="J1604" s="6" t="s">
        <v>345</v>
      </c>
      <c r="K1604" s="10">
        <v>19.95</v>
      </c>
      <c r="L1604" s="10">
        <v>105</v>
      </c>
      <c r="M1604" s="6" t="s">
        <v>375</v>
      </c>
    </row>
    <row r="1605" spans="1:13">
      <c r="A1605" s="6">
        <v>2023</v>
      </c>
      <c r="B1605" s="6">
        <v>7</v>
      </c>
      <c r="C1605" s="6" t="s">
        <v>65</v>
      </c>
      <c r="D1605" s="6" t="s">
        <v>411</v>
      </c>
      <c r="E1605" s="6" t="s">
        <v>369</v>
      </c>
      <c r="F1605" s="6" t="str">
        <f>IF($M1605="PADD I","PADD 1",IF($M1605="PADD II","PADD 2",IF($M1605="PADD III","PADD 3",IF($M1605="PADD IV","PADD 4",IF($M1605="PADD V","PADD 5","")))))</f>
        <v>PADD 1</v>
      </c>
      <c r="G1605" s="6">
        <f>IF(AND($H1605="ATMOS DISTILLATION",ISNUMBER(SEARCH("VPS",$I1605))=FALSE,LEFT($I1605,6)&lt;&gt;"VACUUM"),"CDU",IF($H1605="FLUID CAT CRACKING","FCC",IF(OR($H1605="HYDROCRACKING",$H1605="RESID_HYDROCRACKING"),"Hydrocracker",IF($H1605="REFORMING","Reformer",""))))</f>
        <v/>
      </c>
      <c r="H1605" s="6" t="s">
        <v>43</v>
      </c>
      <c r="I1605" s="6" t="s">
        <v>488</v>
      </c>
      <c r="J1605" s="6" t="s">
        <v>345</v>
      </c>
      <c r="K1605" s="10">
        <v>18.36</v>
      </c>
      <c r="L1605" s="10">
        <v>27</v>
      </c>
      <c r="M1605" s="6" t="s">
        <v>413</v>
      </c>
    </row>
    <row r="1606" spans="1:13">
      <c r="A1606" s="6">
        <v>2023</v>
      </c>
      <c r="B1606" s="6">
        <v>7</v>
      </c>
      <c r="C1606" s="6" t="s">
        <v>65</v>
      </c>
      <c r="D1606" s="6" t="s">
        <v>335</v>
      </c>
      <c r="E1606" s="6" t="s">
        <v>369</v>
      </c>
      <c r="F1606" s="6" t="str">
        <f>IF($M1606="PADD I","PADD 1",IF($M1606="PADD II","PADD 2",IF($M1606="PADD III","PADD 3",IF($M1606="PADD IV","PADD 4",IF($M1606="PADD V","PADD 5","")))))</f>
        <v>PADD 3</v>
      </c>
      <c r="G1606" s="6" t="str">
        <f>IF(AND($H1606="ATMOS DISTILLATION",ISNUMBER(SEARCH("VPS",$I1606))=FALSE,LEFT($I1606,6)&lt;&gt;"VACUUM"),"CDU",IF($H1606="FLUID CAT CRACKING","FCC",IF(OR($H1606="HYDROCRACKING",$H1606="RESID_HYDROCRACKING"),"Hydrocracker",IF($H1606="REFORMING","Reformer",""))))</f>
        <v>FCC</v>
      </c>
      <c r="H1606" s="6" t="s">
        <v>376</v>
      </c>
      <c r="I1606" s="6" t="s">
        <v>472</v>
      </c>
      <c r="J1606" s="6" t="s">
        <v>345</v>
      </c>
      <c r="K1606" s="10">
        <v>16.5</v>
      </c>
      <c r="L1606" s="10">
        <v>30</v>
      </c>
      <c r="M1606" s="6" t="s">
        <v>371</v>
      </c>
    </row>
    <row r="1607" spans="1:13">
      <c r="A1607" s="6">
        <v>2023</v>
      </c>
      <c r="B1607" s="6">
        <v>7</v>
      </c>
      <c r="C1607" s="6" t="s">
        <v>65</v>
      </c>
      <c r="D1607" s="6" t="s">
        <v>645</v>
      </c>
      <c r="E1607" s="6" t="s">
        <v>388</v>
      </c>
      <c r="F1607" s="6" t="str">
        <f>IF($M1607="PADD I","PADD 1",IF($M1607="PADD II","PADD 2",IF($M1607="PADD III","PADD 3",IF($M1607="PADD IV","PADD 4",IF($M1607="PADD V","PADD 5","")))))</f>
        <v>PADD 3</v>
      </c>
      <c r="G1607" s="6">
        <f>IF(AND($H1607="ATMOS DISTILLATION",ISNUMBER(SEARCH("VPS",$I1607))=FALSE,LEFT($I1607,6)&lt;&gt;"VACUUM"),"CDU",IF($H1607="FLUID CAT CRACKING","FCC",IF(OR($H1607="HYDROCRACKING",$H1607="RESID_HYDROCRACKING"),"Hydrocracker",IF($H1607="REFORMING","Reformer",""))))</f>
        <v/>
      </c>
      <c r="H1607" s="6" t="s">
        <v>43</v>
      </c>
      <c r="I1607" s="6" t="s">
        <v>449</v>
      </c>
      <c r="J1607" s="6" t="s">
        <v>345</v>
      </c>
      <c r="K1607" s="10">
        <v>15.2</v>
      </c>
      <c r="L1607" s="10">
        <v>80</v>
      </c>
      <c r="M1607" s="6" t="s">
        <v>371</v>
      </c>
    </row>
    <row r="1608" spans="1:13">
      <c r="A1608" s="6">
        <v>2023</v>
      </c>
      <c r="B1608" s="6">
        <v>7</v>
      </c>
      <c r="C1608" s="6" t="s">
        <v>65</v>
      </c>
      <c r="D1608" s="6" t="s">
        <v>542</v>
      </c>
      <c r="E1608" s="6" t="s">
        <v>543</v>
      </c>
      <c r="F1608" s="6" t="str">
        <f>IF($M1608="PADD I","PADD 1",IF($M1608="PADD II","PADD 2",IF($M1608="PADD III","PADD 3",IF($M1608="PADD IV","PADD 4",IF($M1608="PADD V","PADD 5","")))))</f>
        <v>PADD 2</v>
      </c>
      <c r="G1608" s="6" t="str">
        <f>IF(AND($H1608="ATMOS DISTILLATION",ISNUMBER(SEARCH("VPS",$I1608))=FALSE,LEFT($I1608,6)&lt;&gt;"VACUUM"),"CDU",IF($H1608="FLUID CAT CRACKING","FCC",IF(OR($H1608="HYDROCRACKING",$H1608="RESID_HYDROCRACKING"),"Hydrocracker",IF($H1608="REFORMING","Reformer",""))))</f>
        <v>CDU</v>
      </c>
      <c r="H1608" s="6" t="s">
        <v>38</v>
      </c>
      <c r="I1608" s="6" t="s">
        <v>874</v>
      </c>
      <c r="J1608" s="6" t="s">
        <v>345</v>
      </c>
      <c r="K1608" s="10">
        <v>15</v>
      </c>
      <c r="L1608" s="10">
        <v>250</v>
      </c>
      <c r="M1608" s="6" t="s">
        <v>375</v>
      </c>
    </row>
    <row r="1609" spans="1:13">
      <c r="A1609" s="6">
        <v>2023</v>
      </c>
      <c r="B1609" s="6">
        <v>7</v>
      </c>
      <c r="C1609" s="6" t="s">
        <v>65</v>
      </c>
      <c r="D1609" s="6" t="s">
        <v>333</v>
      </c>
      <c r="E1609" s="6" t="s">
        <v>381</v>
      </c>
      <c r="F1609" s="6" t="str">
        <f>IF($M1609="PADD I","PADD 1",IF($M1609="PADD II","PADD 2",IF($M1609="PADD III","PADD 3",IF($M1609="PADD IV","PADD 4",IF($M1609="PADD V","PADD 5","")))))</f>
        <v>PADD 3</v>
      </c>
      <c r="G1609" s="6" t="str">
        <f>IF(AND($H1609="ATMOS DISTILLATION",ISNUMBER(SEARCH("VPS",$I1609))=FALSE,LEFT($I1609,6)&lt;&gt;"VACUUM"),"CDU",IF($H1609="FLUID CAT CRACKING","FCC",IF(OR($H1609="HYDROCRACKING",$H1609="RESID_HYDROCRACKING"),"Hydrocracker",IF($H1609="REFORMING","Reformer",""))))</f>
        <v>CDU</v>
      </c>
      <c r="H1609" s="6" t="s">
        <v>38</v>
      </c>
      <c r="I1609" s="6" t="s">
        <v>679</v>
      </c>
      <c r="J1609" s="6" t="s">
        <v>345</v>
      </c>
      <c r="K1609" s="10">
        <v>15</v>
      </c>
      <c r="L1609" s="10">
        <v>250</v>
      </c>
      <c r="M1609" s="6" t="s">
        <v>371</v>
      </c>
    </row>
    <row r="1610" spans="1:13">
      <c r="A1610" s="6">
        <v>2023</v>
      </c>
      <c r="B1610" s="6">
        <v>7</v>
      </c>
      <c r="C1610" s="6" t="s">
        <v>65</v>
      </c>
      <c r="D1610" s="6" t="s">
        <v>420</v>
      </c>
      <c r="E1610" s="6" t="s">
        <v>373</v>
      </c>
      <c r="F1610" s="6" t="str">
        <f>IF($M1610="PADD I","PADD 1",IF($M1610="PADD II","PADD 2",IF($M1610="PADD III","PADD 3",IF($M1610="PADD IV","PADD 4",IF($M1610="PADD V","PADD 5","")))))</f>
        <v>PADD 2</v>
      </c>
      <c r="G1610" s="6" t="str">
        <f>IF(AND($H1610="ATMOS DISTILLATION",ISNUMBER(SEARCH("VPS",$I1610))=FALSE,LEFT($I1610,6)&lt;&gt;"VACUUM"),"CDU",IF($H1610="FLUID CAT CRACKING","FCC",IF(OR($H1610="HYDROCRACKING",$H1610="RESID_HYDROCRACKING"),"Hydrocracker",IF($H1610="REFORMING","Reformer",""))))</f>
        <v>FCC</v>
      </c>
      <c r="H1610" s="6" t="s">
        <v>376</v>
      </c>
      <c r="I1610" s="6" t="s">
        <v>105</v>
      </c>
      <c r="J1610" s="6" t="s">
        <v>345</v>
      </c>
      <c r="K1610" s="10">
        <v>13</v>
      </c>
      <c r="L1610" s="10">
        <v>13</v>
      </c>
      <c r="M1610" s="6" t="s">
        <v>375</v>
      </c>
    </row>
    <row r="1611" spans="1:13">
      <c r="A1611" s="6">
        <v>2023</v>
      </c>
      <c r="B1611" s="6">
        <v>7</v>
      </c>
      <c r="C1611" s="6" t="s">
        <v>65</v>
      </c>
      <c r="D1611" s="6" t="s">
        <v>762</v>
      </c>
      <c r="E1611" s="6" t="s">
        <v>763</v>
      </c>
      <c r="F1611" s="6" t="str">
        <f>IF($M1611="PADD I","PADD 1",IF($M1611="PADD II","PADD 2",IF($M1611="PADD III","PADD 3",IF($M1611="PADD IV","PADD 4",IF($M1611="PADD V","PADD 5","")))))</f>
        <v>PADD 2</v>
      </c>
      <c r="G1611" s="6">
        <f>IF(AND($H1611="ATMOS DISTILLATION",ISNUMBER(SEARCH("VPS",$I1611))=FALSE,LEFT($I1611,6)&lt;&gt;"VACUUM"),"CDU",IF($H1611="FLUID CAT CRACKING","FCC",IF(OR($H1611="HYDROCRACKING",$H1611="RESID_HYDROCRACKING"),"Hydrocracker",IF($H1611="REFORMING","Reformer",""))))</f>
        <v/>
      </c>
      <c r="H1611" s="6" t="s">
        <v>43</v>
      </c>
      <c r="I1611" s="6" t="s">
        <v>458</v>
      </c>
      <c r="J1611" s="6" t="s">
        <v>345</v>
      </c>
      <c r="K1611" s="10">
        <v>13</v>
      </c>
      <c r="L1611" s="10">
        <v>13</v>
      </c>
      <c r="M1611" s="6" t="s">
        <v>375</v>
      </c>
    </row>
    <row r="1612" spans="1:13">
      <c r="A1612" s="6">
        <v>2023</v>
      </c>
      <c r="B1612" s="6">
        <v>7</v>
      </c>
      <c r="C1612" s="6" t="s">
        <v>65</v>
      </c>
      <c r="D1612" s="6" t="s">
        <v>670</v>
      </c>
      <c r="E1612" s="6" t="s">
        <v>405</v>
      </c>
      <c r="F1612" s="6" t="str">
        <f>IF($M1612="PADD I","PADD 1",IF($M1612="PADD II","PADD 2",IF($M1612="PADD III","PADD 3",IF($M1612="PADD IV","PADD 4",IF($M1612="PADD V","PADD 5","")))))</f>
        <v>PADD 2</v>
      </c>
      <c r="G1612" s="6" t="str">
        <f>IF(AND($H1612="ATMOS DISTILLATION",ISNUMBER(SEARCH("VPS",$I1612))=FALSE,LEFT($I1612,6)&lt;&gt;"VACUUM"),"CDU",IF($H1612="FLUID CAT CRACKING","FCC",IF(OR($H1612="HYDROCRACKING",$H1612="RESID_HYDROCRACKING"),"Hydrocracker",IF($H1612="REFORMING","Reformer",""))))</f>
        <v>CDU</v>
      </c>
      <c r="H1612" s="6" t="s">
        <v>38</v>
      </c>
      <c r="I1612" s="6" t="s">
        <v>138</v>
      </c>
      <c r="J1612" s="6" t="s">
        <v>345</v>
      </c>
      <c r="K1612" s="10">
        <v>12.8</v>
      </c>
      <c r="L1612" s="10">
        <v>80</v>
      </c>
      <c r="M1612" s="6" t="s">
        <v>375</v>
      </c>
    </row>
    <row r="1613" spans="1:13">
      <c r="A1613" s="6">
        <v>2023</v>
      </c>
      <c r="B1613" s="6">
        <v>7</v>
      </c>
      <c r="C1613" s="6" t="s">
        <v>65</v>
      </c>
      <c r="D1613" s="6" t="s">
        <v>496</v>
      </c>
      <c r="E1613" s="6" t="s">
        <v>388</v>
      </c>
      <c r="F1613" s="6" t="str">
        <f>IF($M1613="PADD I","PADD 1",IF($M1613="PADD II","PADD 2",IF($M1613="PADD III","PADD 3",IF($M1613="PADD IV","PADD 4",IF($M1613="PADD V","PADD 5","")))))</f>
        <v>PADD 2</v>
      </c>
      <c r="G1613" s="6">
        <f>IF(AND($H1613="ATMOS DISTILLATION",ISNUMBER(SEARCH("VPS",$I1613))=FALSE,LEFT($I1613,6)&lt;&gt;"VACUUM"),"CDU",IF($H1613="FLUID CAT CRACKING","FCC",IF(OR($H1613="HYDROCRACKING",$H1613="RESID_HYDROCRACKING"),"Hydrocracker",IF($H1613="REFORMING","Reformer",""))))</f>
        <v/>
      </c>
      <c r="H1613" s="6" t="s">
        <v>378</v>
      </c>
      <c r="I1613" s="6" t="s">
        <v>536</v>
      </c>
      <c r="J1613" s="6" t="s">
        <v>349</v>
      </c>
      <c r="K1613" s="10">
        <v>12</v>
      </c>
      <c r="L1613" s="10">
        <v>12</v>
      </c>
      <c r="M1613" s="6" t="s">
        <v>375</v>
      </c>
    </row>
    <row r="1614" spans="1:13">
      <c r="A1614" s="6">
        <v>2023</v>
      </c>
      <c r="B1614" s="6">
        <v>7</v>
      </c>
      <c r="C1614" s="6" t="s">
        <v>65</v>
      </c>
      <c r="D1614" s="6" t="s">
        <v>331</v>
      </c>
      <c r="E1614" s="6" t="s">
        <v>373</v>
      </c>
      <c r="F1614" s="6" t="str">
        <f>IF($M1614="PADD I","PADD 1",IF($M1614="PADD II","PADD 2",IF($M1614="PADD III","PADD 3",IF($M1614="PADD IV","PADD 4",IF($M1614="PADD V","PADD 5","")))))</f>
        <v>PADD 2</v>
      </c>
      <c r="G1614" s="6">
        <f>IF(AND($H1614="ATMOS DISTILLATION",ISNUMBER(SEARCH("VPS",$I1614))=FALSE,LEFT($I1614,6)&lt;&gt;"VACUUM"),"CDU",IF($H1614="FLUID CAT CRACKING","FCC",IF(OR($H1614="HYDROCRACKING",$H1614="RESID_HYDROCRACKING"),"Hydrocracker",IF($H1614="REFORMING","Reformer",""))))</f>
        <v/>
      </c>
      <c r="H1614" s="6" t="s">
        <v>43</v>
      </c>
      <c r="I1614" s="6" t="s">
        <v>910</v>
      </c>
      <c r="J1614" s="6" t="s">
        <v>345</v>
      </c>
      <c r="K1614" s="10">
        <v>11.97</v>
      </c>
      <c r="L1614" s="10">
        <v>63</v>
      </c>
      <c r="M1614" s="6" t="s">
        <v>375</v>
      </c>
    </row>
    <row r="1615" spans="1:13">
      <c r="A1615" s="6">
        <v>2023</v>
      </c>
      <c r="B1615" s="6">
        <v>7</v>
      </c>
      <c r="C1615" s="6" t="s">
        <v>65</v>
      </c>
      <c r="D1615" s="6" t="s">
        <v>547</v>
      </c>
      <c r="E1615" s="6" t="s">
        <v>391</v>
      </c>
      <c r="F1615" s="6" t="str">
        <f>IF($M1615="PADD I","PADD 1",IF($M1615="PADD II","PADD 2",IF($M1615="PADD III","PADD 3",IF($M1615="PADD IV","PADD 4",IF($M1615="PADD V","PADD 5","")))))</f>
        <v>PADD 5</v>
      </c>
      <c r="G1615" s="6" t="str">
        <f>IF(AND($H1615="ATMOS DISTILLATION",ISNUMBER(SEARCH("VPS",$I1615))=FALSE,LEFT($I1615,6)&lt;&gt;"VACUUM"),"CDU",IF($H1615="FLUID CAT CRACKING","FCC",IF(OR($H1615="HYDROCRACKING",$H1615="RESID_HYDROCRACKING"),"Hydrocracker",IF($H1615="REFORMING","Reformer",""))))</f>
        <v>CDU</v>
      </c>
      <c r="H1615" s="6" t="s">
        <v>38</v>
      </c>
      <c r="I1615" s="6" t="s">
        <v>81</v>
      </c>
      <c r="J1615" s="6" t="s">
        <v>345</v>
      </c>
      <c r="K1615" s="10">
        <v>11.04</v>
      </c>
      <c r="L1615" s="10">
        <v>48</v>
      </c>
      <c r="M1615" s="6" t="s">
        <v>386</v>
      </c>
    </row>
    <row r="1616" spans="1:13">
      <c r="A1616" s="6">
        <v>2023</v>
      </c>
      <c r="B1616" s="6">
        <v>7</v>
      </c>
      <c r="C1616" s="6" t="s">
        <v>65</v>
      </c>
      <c r="D1616" s="6" t="s">
        <v>420</v>
      </c>
      <c r="E1616" s="6" t="s">
        <v>373</v>
      </c>
      <c r="F1616" s="6" t="str">
        <f>IF($M1616="PADD I","PADD 1",IF($M1616="PADD II","PADD 2",IF($M1616="PADD III","PADD 3",IF($M1616="PADD IV","PADD 4",IF($M1616="PADD V","PADD 5","")))))</f>
        <v>PADD 2</v>
      </c>
      <c r="G1616" s="6">
        <f>IF(AND($H1616="ATMOS DISTILLATION",ISNUMBER(SEARCH("VPS",$I1616))=FALSE,LEFT($I1616,6)&lt;&gt;"VACUUM"),"CDU",IF($H1616="FLUID CAT CRACKING","FCC",IF(OR($H1616="HYDROCRACKING",$H1616="RESID_HYDROCRACKING"),"Hydrocracker",IF($H1616="REFORMING","Reformer",""))))</f>
        <v/>
      </c>
      <c r="H1616" s="6" t="s">
        <v>43</v>
      </c>
      <c r="I1616" s="6" t="s">
        <v>546</v>
      </c>
      <c r="J1616" s="6" t="s">
        <v>345</v>
      </c>
      <c r="K1616" s="10">
        <v>11</v>
      </c>
      <c r="L1616" s="10">
        <v>11</v>
      </c>
      <c r="M1616" s="6" t="s">
        <v>375</v>
      </c>
    </row>
    <row r="1617" spans="1:13">
      <c r="A1617" s="6">
        <v>2023</v>
      </c>
      <c r="B1617" s="6">
        <v>7</v>
      </c>
      <c r="C1617" s="6" t="s">
        <v>65</v>
      </c>
      <c r="D1617" s="6" t="s">
        <v>322</v>
      </c>
      <c r="E1617" s="6" t="s">
        <v>369</v>
      </c>
      <c r="F1617" s="6" t="str">
        <f>IF($M1617="PADD I","PADD 1",IF($M1617="PADD II","PADD 2",IF($M1617="PADD III","PADD 3",IF($M1617="PADD IV","PADD 4",IF($M1617="PADD V","PADD 5","")))))</f>
        <v>PADD 2</v>
      </c>
      <c r="G1617" s="6" t="str">
        <f>IF(AND($H1617="ATMOS DISTILLATION",ISNUMBER(SEARCH("VPS",$I1617))=FALSE,LEFT($I1617,6)&lt;&gt;"VACUUM"),"CDU",IF($H1617="FLUID CAT CRACKING","FCC",IF(OR($H1617="HYDROCRACKING",$H1617="RESID_HYDROCRACKING"),"Hydrocracker",IF($H1617="REFORMING","Reformer",""))))</f>
        <v>CDU</v>
      </c>
      <c r="H1617" s="6" t="s">
        <v>38</v>
      </c>
      <c r="I1617" s="6" t="s">
        <v>911</v>
      </c>
      <c r="J1617" s="6" t="s">
        <v>345</v>
      </c>
      <c r="K1617" s="10">
        <v>10.56</v>
      </c>
      <c r="L1617" s="10">
        <v>66</v>
      </c>
      <c r="M1617" s="6" t="s">
        <v>375</v>
      </c>
    </row>
    <row r="1618" spans="1:13">
      <c r="A1618" s="6">
        <v>2023</v>
      </c>
      <c r="B1618" s="6">
        <v>7</v>
      </c>
      <c r="C1618" s="6" t="s">
        <v>65</v>
      </c>
      <c r="D1618" s="6" t="s">
        <v>670</v>
      </c>
      <c r="E1618" s="6" t="s">
        <v>405</v>
      </c>
      <c r="F1618" s="6" t="str">
        <f>IF($M1618="PADD I","PADD 1",IF($M1618="PADD II","PADD 2",IF($M1618="PADD III","PADD 3",IF($M1618="PADD IV","PADD 4",IF($M1618="PADD V","PADD 5","")))))</f>
        <v>PADD 2</v>
      </c>
      <c r="G1618" s="6" t="str">
        <f>IF(AND($H1618="ATMOS DISTILLATION",ISNUMBER(SEARCH("VPS",$I1618))=FALSE,LEFT($I1618,6)&lt;&gt;"VACUUM"),"CDU",IF($H1618="FLUID CAT CRACKING","FCC",IF(OR($H1618="HYDROCRACKING",$H1618="RESID_HYDROCRACKING"),"Hydrocracker",IF($H1618="REFORMING","Reformer",""))))</f>
        <v>FCC</v>
      </c>
      <c r="H1618" s="6" t="s">
        <v>376</v>
      </c>
      <c r="I1618" s="6" t="s">
        <v>105</v>
      </c>
      <c r="J1618" s="6" t="s">
        <v>345</v>
      </c>
      <c r="K1618" s="10">
        <v>10.4</v>
      </c>
      <c r="L1618" s="10">
        <v>65</v>
      </c>
      <c r="M1618" s="6" t="s">
        <v>375</v>
      </c>
    </row>
    <row r="1619" spans="1:13">
      <c r="A1619" s="6">
        <v>2023</v>
      </c>
      <c r="B1619" s="6">
        <v>7</v>
      </c>
      <c r="C1619" s="6" t="s">
        <v>65</v>
      </c>
      <c r="D1619" s="6" t="s">
        <v>670</v>
      </c>
      <c r="E1619" s="6" t="s">
        <v>405</v>
      </c>
      <c r="F1619" s="6" t="str">
        <f>IF($M1619="PADD I","PADD 1",IF($M1619="PADD II","PADD 2",IF($M1619="PADD III","PADD 3",IF($M1619="PADD IV","PADD 4",IF($M1619="PADD V","PADD 5","")))))</f>
        <v>PADD 2</v>
      </c>
      <c r="G1619" s="6">
        <f>IF(AND($H1619="ATMOS DISTILLATION",ISNUMBER(SEARCH("VPS",$I1619))=FALSE,LEFT($I1619,6)&lt;&gt;"VACUUM"),"CDU",IF($H1619="FLUID CAT CRACKING","FCC",IF(OR($H1619="HYDROCRACKING",$H1619="RESID_HYDROCRACKING"),"Hydrocracker",IF($H1619="REFORMING","Reformer",""))))</f>
        <v/>
      </c>
      <c r="H1619" s="6" t="s">
        <v>43</v>
      </c>
      <c r="I1619" s="6" t="s">
        <v>912</v>
      </c>
      <c r="J1619" s="6" t="s">
        <v>345</v>
      </c>
      <c r="K1619" s="10">
        <v>10.07</v>
      </c>
      <c r="L1619" s="10">
        <v>53</v>
      </c>
      <c r="M1619" s="6" t="s">
        <v>375</v>
      </c>
    </row>
    <row r="1620" spans="1:13">
      <c r="A1620" s="6">
        <v>2023</v>
      </c>
      <c r="B1620" s="6">
        <v>7</v>
      </c>
      <c r="C1620" s="6" t="s">
        <v>65</v>
      </c>
      <c r="D1620" s="6" t="s">
        <v>331</v>
      </c>
      <c r="E1620" s="6" t="s">
        <v>373</v>
      </c>
      <c r="F1620" s="6" t="str">
        <f>IF($M1620="PADD I","PADD 1",IF($M1620="PADD II","PADD 2",IF($M1620="PADD III","PADD 3",IF($M1620="PADD IV","PADD 4",IF($M1620="PADD V","PADD 5","")))))</f>
        <v>PADD 2</v>
      </c>
      <c r="G1620" s="6">
        <f>IF(AND($H1620="ATMOS DISTILLATION",ISNUMBER(SEARCH("VPS",$I1620))=FALSE,LEFT($I1620,6)&lt;&gt;"VACUUM"),"CDU",IF($H1620="FLUID CAT CRACKING","FCC",IF(OR($H1620="HYDROCRACKING",$H1620="RESID_HYDROCRACKING"),"Hydrocracker",IF($H1620="REFORMING","Reformer",""))))</f>
        <v/>
      </c>
      <c r="H1620" s="6" t="s">
        <v>378</v>
      </c>
      <c r="I1620" s="6" t="s">
        <v>431</v>
      </c>
      <c r="J1620" s="6" t="s">
        <v>345</v>
      </c>
      <c r="K1620" s="10">
        <v>9.880000000000001</v>
      </c>
      <c r="L1620" s="10">
        <v>52</v>
      </c>
      <c r="M1620" s="6" t="s">
        <v>375</v>
      </c>
    </row>
    <row r="1621" spans="1:13">
      <c r="A1621" s="6">
        <v>2023</v>
      </c>
      <c r="B1621" s="6">
        <v>7</v>
      </c>
      <c r="C1621" s="6" t="s">
        <v>65</v>
      </c>
      <c r="D1621" s="6" t="s">
        <v>411</v>
      </c>
      <c r="E1621" s="6" t="s">
        <v>369</v>
      </c>
      <c r="F1621" s="6" t="str">
        <f>IF($M1621="PADD I","PADD 1",IF($M1621="PADD II","PADD 2",IF($M1621="PADD III","PADD 3",IF($M1621="PADD IV","PADD 4",IF($M1621="PADD V","PADD 5","")))))</f>
        <v>PADD 1</v>
      </c>
      <c r="G1621" s="6">
        <f>IF(AND($H1621="ATMOS DISTILLATION",ISNUMBER(SEARCH("VPS",$I1621))=FALSE,LEFT($I1621,6)&lt;&gt;"VACUUM"),"CDU",IF($H1621="FLUID CAT CRACKING","FCC",IF(OR($H1621="HYDROCRACKING",$H1621="RESID_HYDROCRACKING"),"Hydrocracker",IF($H1621="REFORMING","Reformer",""))))</f>
        <v/>
      </c>
      <c r="H1621" s="6" t="s">
        <v>43</v>
      </c>
      <c r="I1621" s="6" t="s">
        <v>884</v>
      </c>
      <c r="J1621" s="6" t="s">
        <v>345</v>
      </c>
      <c r="K1621" s="10">
        <v>9.859999999999999</v>
      </c>
      <c r="L1621" s="10">
        <v>14.5</v>
      </c>
      <c r="M1621" s="6" t="s">
        <v>413</v>
      </c>
    </row>
    <row r="1622" spans="1:13">
      <c r="A1622" s="6">
        <v>2023</v>
      </c>
      <c r="B1622" s="6">
        <v>7</v>
      </c>
      <c r="C1622" s="6" t="s">
        <v>65</v>
      </c>
      <c r="D1622" s="6" t="s">
        <v>51</v>
      </c>
      <c r="E1622" s="6" t="s">
        <v>391</v>
      </c>
      <c r="F1622" s="6" t="str">
        <f>IF($M1622="PADD I","PADD 1",IF($M1622="PADD II","PADD 2",IF($M1622="PADD III","PADD 3",IF($M1622="PADD IV","PADD 4",IF($M1622="PADD V","PADD 5","")))))</f>
        <v>PADD 5</v>
      </c>
      <c r="G1622" s="6" t="str">
        <f>IF(AND($H1622="ATMOS DISTILLATION",ISNUMBER(SEARCH("VPS",$I1622))=FALSE,LEFT($I1622,6)&lt;&gt;"VACUUM"),"CDU",IF($H1622="FLUID CAT CRACKING","FCC",IF(OR($H1622="HYDROCRACKING",$H1622="RESID_HYDROCRACKING"),"Hydrocracker",IF($H1622="REFORMING","Reformer",""))))</f>
        <v>Reformer</v>
      </c>
      <c r="H1622" s="6" t="s">
        <v>421</v>
      </c>
      <c r="I1622" s="6" t="s">
        <v>539</v>
      </c>
      <c r="J1622" s="6" t="s">
        <v>345</v>
      </c>
      <c r="K1622" s="10">
        <v>9.6</v>
      </c>
      <c r="L1622" s="10">
        <v>60</v>
      </c>
      <c r="M1622" s="6" t="s">
        <v>386</v>
      </c>
    </row>
    <row r="1623" spans="1:13">
      <c r="A1623" s="6">
        <v>2023</v>
      </c>
      <c r="B1623" s="6">
        <v>7</v>
      </c>
      <c r="C1623" s="6" t="s">
        <v>65</v>
      </c>
      <c r="D1623" s="6" t="s">
        <v>411</v>
      </c>
      <c r="E1623" s="6" t="s">
        <v>369</v>
      </c>
      <c r="F1623" s="6" t="str">
        <f>IF($M1623="PADD I","PADD 1",IF($M1623="PADD II","PADD 2",IF($M1623="PADD III","PADD 3",IF($M1623="PADD IV","PADD 4",IF($M1623="PADD V","PADD 5","")))))</f>
        <v>PADD 1</v>
      </c>
      <c r="G1623" s="6">
        <f>IF(AND($H1623="ATMOS DISTILLATION",ISNUMBER(SEARCH("VPS",$I1623))=FALSE,LEFT($I1623,6)&lt;&gt;"VACUUM"),"CDU",IF($H1623="FLUID CAT CRACKING","FCC",IF(OR($H1623="HYDROCRACKING",$H1623="RESID_HYDROCRACKING"),"Hydrocracker",IF($H1623="REFORMING","Reformer",""))))</f>
        <v/>
      </c>
      <c r="H1623" s="6" t="s">
        <v>43</v>
      </c>
      <c r="I1623" s="6" t="s">
        <v>885</v>
      </c>
      <c r="J1623" s="6" t="s">
        <v>345</v>
      </c>
      <c r="K1623" s="10">
        <v>9.52</v>
      </c>
      <c r="L1623" s="10">
        <v>14</v>
      </c>
      <c r="M1623" s="6" t="s">
        <v>413</v>
      </c>
    </row>
    <row r="1624" spans="1:13">
      <c r="A1624" s="6">
        <v>2023</v>
      </c>
      <c r="B1624" s="6">
        <v>7</v>
      </c>
      <c r="C1624" s="6" t="s">
        <v>65</v>
      </c>
      <c r="D1624" s="6" t="s">
        <v>542</v>
      </c>
      <c r="E1624" s="6" t="s">
        <v>543</v>
      </c>
      <c r="F1624" s="6" t="str">
        <f>IF($M1624="PADD I","PADD 1",IF($M1624="PADD II","PADD 2",IF($M1624="PADD III","PADD 3",IF($M1624="PADD IV","PADD 4",IF($M1624="PADD V","PADD 5","")))))</f>
        <v>PADD 2</v>
      </c>
      <c r="G1624" s="6">
        <f>IF(AND($H1624="ATMOS DISTILLATION",ISNUMBER(SEARCH("VPS",$I1624))=FALSE,LEFT($I1624,6)&lt;&gt;"VACUUM"),"CDU",IF($H1624="FLUID CAT CRACKING","FCC",IF(OR($H1624="HYDROCRACKING",$H1624="RESID_HYDROCRACKING"),"Hydrocracker",IF($H1624="REFORMING","Reformer",""))))</f>
        <v/>
      </c>
      <c r="H1624" s="6" t="s">
        <v>43</v>
      </c>
      <c r="I1624" s="6" t="s">
        <v>913</v>
      </c>
      <c r="J1624" s="6" t="s">
        <v>345</v>
      </c>
      <c r="K1624" s="10">
        <v>8.880000000000001</v>
      </c>
      <c r="L1624" s="10">
        <v>55.5</v>
      </c>
      <c r="M1624" s="6" t="s">
        <v>375</v>
      </c>
    </row>
    <row r="1625" spans="1:13">
      <c r="A1625" s="6">
        <v>2023</v>
      </c>
      <c r="B1625" s="6">
        <v>7</v>
      </c>
      <c r="C1625" s="6" t="s">
        <v>65</v>
      </c>
      <c r="D1625" s="6" t="s">
        <v>411</v>
      </c>
      <c r="E1625" s="6" t="s">
        <v>369</v>
      </c>
      <c r="F1625" s="6" t="str">
        <f>IF($M1625="PADD I","PADD 1",IF($M1625="PADD II","PADD 2",IF($M1625="PADD III","PADD 3",IF($M1625="PADD IV","PADD 4",IF($M1625="PADD V","PADD 5","")))))</f>
        <v>PADD 1</v>
      </c>
      <c r="G1625" s="6" t="str">
        <f>IF(AND($H1625="ATMOS DISTILLATION",ISNUMBER(SEARCH("VPS",$I1625))=FALSE,LEFT($I1625,6)&lt;&gt;"VACUUM"),"CDU",IF($H1625="FLUID CAT CRACKING","FCC",IF(OR($H1625="HYDROCRACKING",$H1625="RESID_HYDROCRACKING"),"Hydrocracker",IF($H1625="REFORMING","Reformer",""))))</f>
        <v>Reformer</v>
      </c>
      <c r="H1625" s="6" t="s">
        <v>421</v>
      </c>
      <c r="I1625" s="6" t="s">
        <v>886</v>
      </c>
      <c r="J1625" s="6" t="s">
        <v>345</v>
      </c>
      <c r="K1625" s="10">
        <v>8.84</v>
      </c>
      <c r="L1625" s="10">
        <v>13</v>
      </c>
      <c r="M1625" s="6" t="s">
        <v>413</v>
      </c>
    </row>
    <row r="1626" spans="1:13">
      <c r="A1626" s="6">
        <v>2023</v>
      </c>
      <c r="B1626" s="6">
        <v>7</v>
      </c>
      <c r="C1626" s="6" t="s">
        <v>65</v>
      </c>
      <c r="D1626" s="6" t="s">
        <v>468</v>
      </c>
      <c r="E1626" s="6" t="s">
        <v>369</v>
      </c>
      <c r="F1626" s="6" t="str">
        <f>IF($M1626="PADD I","PADD 1",IF($M1626="PADD II","PADD 2",IF($M1626="PADD III","PADD 3",IF($M1626="PADD IV","PADD 4",IF($M1626="PADD V","PADD 5","")))))</f>
        <v>PADD 3</v>
      </c>
      <c r="G1626" s="6" t="str">
        <f>IF(AND($H1626="ATMOS DISTILLATION",ISNUMBER(SEARCH("VPS",$I1626))=FALSE,LEFT($I1626,6)&lt;&gt;"VACUUM"),"CDU",IF($H1626="FLUID CAT CRACKING","FCC",IF(OR($H1626="HYDROCRACKING",$H1626="RESID_HYDROCRACKING"),"Hydrocracker",IF($H1626="REFORMING","Reformer",""))))</f>
        <v>FCC</v>
      </c>
      <c r="H1626" s="6" t="s">
        <v>376</v>
      </c>
      <c r="I1626" s="6" t="s">
        <v>469</v>
      </c>
      <c r="J1626" s="6" t="s">
        <v>345</v>
      </c>
      <c r="K1626" s="10">
        <v>8.699999999999999</v>
      </c>
      <c r="L1626" s="10">
        <v>30</v>
      </c>
      <c r="M1626" s="6" t="s">
        <v>371</v>
      </c>
    </row>
    <row r="1627" spans="1:13">
      <c r="A1627" s="6">
        <v>2023</v>
      </c>
      <c r="B1627" s="6">
        <v>7</v>
      </c>
      <c r="C1627" s="6" t="s">
        <v>65</v>
      </c>
      <c r="D1627" s="6" t="s">
        <v>468</v>
      </c>
      <c r="E1627" s="6" t="s">
        <v>369</v>
      </c>
      <c r="F1627" s="6" t="str">
        <f>IF($M1627="PADD I","PADD 1",IF($M1627="PADD II","PADD 2",IF($M1627="PADD III","PADD 3",IF($M1627="PADD IV","PADD 4",IF($M1627="PADD V","PADD 5","")))))</f>
        <v>PADD 3</v>
      </c>
      <c r="G1627" s="6" t="str">
        <f>IF(AND($H1627="ATMOS DISTILLATION",ISNUMBER(SEARCH("VPS",$I1627))=FALSE,LEFT($I1627,6)&lt;&gt;"VACUUM"),"CDU",IF($H1627="FLUID CAT CRACKING","FCC",IF(OR($H1627="HYDROCRACKING",$H1627="RESID_HYDROCRACKING"),"Hydrocracker",IF($H1627="REFORMING","Reformer",""))))</f>
        <v>FCC</v>
      </c>
      <c r="H1627" s="6" t="s">
        <v>376</v>
      </c>
      <c r="I1627" s="6" t="s">
        <v>473</v>
      </c>
      <c r="J1627" s="6" t="s">
        <v>345</v>
      </c>
      <c r="K1627" s="10">
        <v>8.699999999999999</v>
      </c>
      <c r="L1627" s="10">
        <v>30</v>
      </c>
      <c r="M1627" s="6" t="s">
        <v>371</v>
      </c>
    </row>
    <row r="1628" spans="1:13">
      <c r="A1628" s="6">
        <v>2023</v>
      </c>
      <c r="B1628" s="6">
        <v>7</v>
      </c>
      <c r="C1628" s="6" t="s">
        <v>65</v>
      </c>
      <c r="D1628" s="6" t="s">
        <v>670</v>
      </c>
      <c r="E1628" s="6" t="s">
        <v>405</v>
      </c>
      <c r="F1628" s="6" t="str">
        <f>IF($M1628="PADD I","PADD 1",IF($M1628="PADD II","PADD 2",IF($M1628="PADD III","PADD 3",IF($M1628="PADD IV","PADD 4",IF($M1628="PADD V","PADD 5","")))))</f>
        <v>PADD 2</v>
      </c>
      <c r="G1628" s="6">
        <f>IF(AND($H1628="ATMOS DISTILLATION",ISNUMBER(SEARCH("VPS",$I1628))=FALSE,LEFT($I1628,6)&lt;&gt;"VACUUM"),"CDU",IF($H1628="FLUID CAT CRACKING","FCC",IF(OR($H1628="HYDROCRACKING",$H1628="RESID_HYDROCRACKING"),"Hydrocracker",IF($H1628="REFORMING","Reformer",""))))</f>
        <v/>
      </c>
      <c r="H1628" s="6" t="s">
        <v>43</v>
      </c>
      <c r="I1628" s="6" t="s">
        <v>914</v>
      </c>
      <c r="J1628" s="6" t="s">
        <v>345</v>
      </c>
      <c r="K1628" s="10">
        <v>8.550000000000001</v>
      </c>
      <c r="L1628" s="10">
        <v>45</v>
      </c>
      <c r="M1628" s="6" t="s">
        <v>375</v>
      </c>
    </row>
    <row r="1629" spans="1:13">
      <c r="A1629" s="6">
        <v>2023</v>
      </c>
      <c r="B1629" s="6">
        <v>7</v>
      </c>
      <c r="C1629" s="6" t="s">
        <v>65</v>
      </c>
      <c r="D1629" s="6" t="s">
        <v>500</v>
      </c>
      <c r="E1629" s="6" t="s">
        <v>388</v>
      </c>
      <c r="F1629" s="6" t="str">
        <f>IF($M1629="PADD I","PADD 1",IF($M1629="PADD II","PADD 2",IF($M1629="PADD III","PADD 3",IF($M1629="PADD IV","PADD 4",IF($M1629="PADD V","PADD 5","")))))</f>
        <v>PADD 2</v>
      </c>
      <c r="G1629" s="6">
        <f>IF(AND($H1629="ATMOS DISTILLATION",ISNUMBER(SEARCH("VPS",$I1629))=FALSE,LEFT($I1629,6)&lt;&gt;"VACUUM"),"CDU",IF($H1629="FLUID CAT CRACKING","FCC",IF(OR($H1629="HYDROCRACKING",$H1629="RESID_HYDROCRACKING"),"Hydrocracker",IF($H1629="REFORMING","Reformer",""))))</f>
        <v/>
      </c>
      <c r="H1629" s="6" t="s">
        <v>378</v>
      </c>
      <c r="I1629" s="6" t="s">
        <v>431</v>
      </c>
      <c r="J1629" s="6" t="s">
        <v>349</v>
      </c>
      <c r="K1629" s="10">
        <v>8.32</v>
      </c>
      <c r="L1629" s="10">
        <v>32</v>
      </c>
      <c r="M1629" s="6" t="s">
        <v>375</v>
      </c>
    </row>
    <row r="1630" spans="1:13">
      <c r="A1630" s="6">
        <v>2023</v>
      </c>
      <c r="B1630" s="6">
        <v>7</v>
      </c>
      <c r="C1630" s="6" t="s">
        <v>65</v>
      </c>
      <c r="D1630" s="6" t="s">
        <v>420</v>
      </c>
      <c r="E1630" s="6" t="s">
        <v>373</v>
      </c>
      <c r="F1630" s="6" t="str">
        <f>IF($M1630="PADD I","PADD 1",IF($M1630="PADD II","PADD 2",IF($M1630="PADD III","PADD 3",IF($M1630="PADD IV","PADD 4",IF($M1630="PADD V","PADD 5","")))))</f>
        <v>PADD 2</v>
      </c>
      <c r="G1630" s="6" t="str">
        <f>IF(AND($H1630="ATMOS DISTILLATION",ISNUMBER(SEARCH("VPS",$I1630))=FALSE,LEFT($I1630,6)&lt;&gt;"VACUUM"),"CDU",IF($H1630="FLUID CAT CRACKING","FCC",IF(OR($H1630="HYDROCRACKING",$H1630="RESID_HYDROCRACKING"),"Hydrocracker",IF($H1630="REFORMING","Reformer",""))))</f>
        <v>Reformer</v>
      </c>
      <c r="H1630" s="6" t="s">
        <v>421</v>
      </c>
      <c r="I1630" s="6" t="s">
        <v>571</v>
      </c>
      <c r="J1630" s="6" t="s">
        <v>345</v>
      </c>
      <c r="K1630" s="10">
        <v>8</v>
      </c>
      <c r="L1630" s="10">
        <v>8</v>
      </c>
      <c r="M1630" s="6" t="s">
        <v>375</v>
      </c>
    </row>
    <row r="1631" spans="1:13">
      <c r="A1631" s="6">
        <v>2023</v>
      </c>
      <c r="B1631" s="6">
        <v>7</v>
      </c>
      <c r="C1631" s="6" t="s">
        <v>65</v>
      </c>
      <c r="D1631" s="6" t="s">
        <v>420</v>
      </c>
      <c r="E1631" s="6" t="s">
        <v>373</v>
      </c>
      <c r="F1631" s="6" t="str">
        <f>IF($M1631="PADD I","PADD 1",IF($M1631="PADD II","PADD 2",IF($M1631="PADD III","PADD 3",IF($M1631="PADD IV","PADD 4",IF($M1631="PADD V","PADD 5","")))))</f>
        <v>PADD 2</v>
      </c>
      <c r="G1631" s="6">
        <f>IF(AND($H1631="ATMOS DISTILLATION",ISNUMBER(SEARCH("VPS",$I1631))=FALSE,LEFT($I1631,6)&lt;&gt;"VACUUM"),"CDU",IF($H1631="FLUID CAT CRACKING","FCC",IF(OR($H1631="HYDROCRACKING",$H1631="RESID_HYDROCRACKING"),"Hydrocracker",IF($H1631="REFORMING","Reformer",""))))</f>
        <v/>
      </c>
      <c r="H1631" s="6" t="s">
        <v>43</v>
      </c>
      <c r="I1631" s="6" t="s">
        <v>577</v>
      </c>
      <c r="J1631" s="6" t="s">
        <v>345</v>
      </c>
      <c r="K1631" s="10">
        <v>7.7</v>
      </c>
      <c r="L1631" s="10">
        <v>7.7</v>
      </c>
      <c r="M1631" s="6" t="s">
        <v>375</v>
      </c>
    </row>
    <row r="1632" spans="1:13">
      <c r="A1632" s="6">
        <v>2023</v>
      </c>
      <c r="B1632" s="6">
        <v>7</v>
      </c>
      <c r="C1632" s="6" t="s">
        <v>65</v>
      </c>
      <c r="D1632" s="6" t="s">
        <v>670</v>
      </c>
      <c r="E1632" s="6" t="s">
        <v>405</v>
      </c>
      <c r="F1632" s="6" t="str">
        <f>IF($M1632="PADD I","PADD 1",IF($M1632="PADD II","PADD 2",IF($M1632="PADD III","PADD 3",IF($M1632="PADD IV","PADD 4",IF($M1632="PADD V","PADD 5","")))))</f>
        <v>PADD 2</v>
      </c>
      <c r="G1632" s="6">
        <f>IF(AND($H1632="ATMOS DISTILLATION",ISNUMBER(SEARCH("VPS",$I1632))=FALSE,LEFT($I1632,6)&lt;&gt;"VACUUM"),"CDU",IF($H1632="FLUID CAT CRACKING","FCC",IF(OR($H1632="HYDROCRACKING",$H1632="RESID_HYDROCRACKING"),"Hydrocracker",IF($H1632="REFORMING","Reformer",""))))</f>
        <v/>
      </c>
      <c r="H1632" s="6" t="s">
        <v>43</v>
      </c>
      <c r="I1632" s="6" t="s">
        <v>458</v>
      </c>
      <c r="J1632" s="6" t="s">
        <v>345</v>
      </c>
      <c r="K1632" s="10">
        <v>7.6</v>
      </c>
      <c r="L1632" s="10">
        <v>40</v>
      </c>
      <c r="M1632" s="6" t="s">
        <v>375</v>
      </c>
    </row>
    <row r="1633" spans="1:13">
      <c r="A1633" s="6">
        <v>2023</v>
      </c>
      <c r="B1633" s="6">
        <v>7</v>
      </c>
      <c r="C1633" s="6" t="s">
        <v>65</v>
      </c>
      <c r="D1633" s="6" t="s">
        <v>331</v>
      </c>
      <c r="E1633" s="6" t="s">
        <v>373</v>
      </c>
      <c r="F1633" s="6" t="str">
        <f>IF($M1633="PADD I","PADD 1",IF($M1633="PADD II","PADD 2",IF($M1633="PADD III","PADD 3",IF($M1633="PADD IV","PADD 4",IF($M1633="PADD V","PADD 5","")))))</f>
        <v>PADD 2</v>
      </c>
      <c r="G1633" s="6" t="str">
        <f>IF(AND($H1633="ATMOS DISTILLATION",ISNUMBER(SEARCH("VPS",$I1633))=FALSE,LEFT($I1633,6)&lt;&gt;"VACUUM"),"CDU",IF($H1633="FLUID CAT CRACKING","FCC",IF(OR($H1633="HYDROCRACKING",$H1633="RESID_HYDROCRACKING"),"Hydrocracker",IF($H1633="REFORMING","Reformer",""))))</f>
        <v>FCC</v>
      </c>
      <c r="H1633" s="6" t="s">
        <v>376</v>
      </c>
      <c r="I1633" s="6" t="s">
        <v>105</v>
      </c>
      <c r="J1633" s="6" t="s">
        <v>345</v>
      </c>
      <c r="K1633" s="10">
        <v>7.6</v>
      </c>
      <c r="L1633" s="10">
        <v>40</v>
      </c>
      <c r="M1633" s="6" t="s">
        <v>375</v>
      </c>
    </row>
    <row r="1634" spans="1:13">
      <c r="A1634" s="6">
        <v>2023</v>
      </c>
      <c r="B1634" s="6">
        <v>7</v>
      </c>
      <c r="C1634" s="6" t="s">
        <v>65</v>
      </c>
      <c r="D1634" s="6" t="s">
        <v>542</v>
      </c>
      <c r="E1634" s="6" t="s">
        <v>543</v>
      </c>
      <c r="F1634" s="6" t="str">
        <f>IF($M1634="PADD I","PADD 1",IF($M1634="PADD II","PADD 2",IF($M1634="PADD III","PADD 3",IF($M1634="PADD IV","PADD 4",IF($M1634="PADD V","PADD 5","")))))</f>
        <v>PADD 2</v>
      </c>
      <c r="G1634" s="6">
        <f>IF(AND($H1634="ATMOS DISTILLATION",ISNUMBER(SEARCH("VPS",$I1634))=FALSE,LEFT($I1634,6)&lt;&gt;"VACUUM"),"CDU",IF($H1634="FLUID CAT CRACKING","FCC",IF(OR($H1634="HYDROCRACKING",$H1634="RESID_HYDROCRACKING"),"Hydrocracker",IF($H1634="REFORMING","Reformer",""))))</f>
        <v/>
      </c>
      <c r="H1634" s="6" t="s">
        <v>43</v>
      </c>
      <c r="I1634" s="6" t="s">
        <v>915</v>
      </c>
      <c r="J1634" s="6" t="s">
        <v>349</v>
      </c>
      <c r="K1634" s="10">
        <v>7.6</v>
      </c>
      <c r="L1634" s="10">
        <v>40</v>
      </c>
      <c r="M1634" s="6" t="s">
        <v>375</v>
      </c>
    </row>
    <row r="1635" spans="1:13">
      <c r="A1635" s="6">
        <v>2023</v>
      </c>
      <c r="B1635" s="6">
        <v>7</v>
      </c>
      <c r="C1635" s="6" t="s">
        <v>65</v>
      </c>
      <c r="D1635" s="6" t="s">
        <v>331</v>
      </c>
      <c r="E1635" s="6" t="s">
        <v>373</v>
      </c>
      <c r="F1635" s="6" t="str">
        <f>IF($M1635="PADD I","PADD 1",IF($M1635="PADD II","PADD 2",IF($M1635="PADD III","PADD 3",IF($M1635="PADD IV","PADD 4",IF($M1635="PADD V","PADD 5","")))))</f>
        <v>PADD 2</v>
      </c>
      <c r="G1635" s="6" t="str">
        <f>IF(AND($H1635="ATMOS DISTILLATION",ISNUMBER(SEARCH("VPS",$I1635))=FALSE,LEFT($I1635,6)&lt;&gt;"VACUUM"),"CDU",IF($H1635="FLUID CAT CRACKING","FCC",IF(OR($H1635="HYDROCRACKING",$H1635="RESID_HYDROCRACKING"),"Hydrocracker",IF($H1635="REFORMING","Reformer",""))))</f>
        <v>Reformer</v>
      </c>
      <c r="H1635" s="6" t="s">
        <v>421</v>
      </c>
      <c r="I1635" s="6" t="s">
        <v>916</v>
      </c>
      <c r="J1635" s="6" t="s">
        <v>345</v>
      </c>
      <c r="K1635" s="10">
        <v>7.6</v>
      </c>
      <c r="L1635" s="10">
        <v>40</v>
      </c>
      <c r="M1635" s="6" t="s">
        <v>375</v>
      </c>
    </row>
    <row r="1636" spans="1:13">
      <c r="A1636" s="6">
        <v>2023</v>
      </c>
      <c r="B1636" s="6">
        <v>7</v>
      </c>
      <c r="C1636" s="6" t="s">
        <v>65</v>
      </c>
      <c r="D1636" s="6" t="s">
        <v>500</v>
      </c>
      <c r="E1636" s="6" t="s">
        <v>388</v>
      </c>
      <c r="F1636" s="6" t="str">
        <f>IF($M1636="PADD I","PADD 1",IF($M1636="PADD II","PADD 2",IF($M1636="PADD III","PADD 3",IF($M1636="PADD IV","PADD 4",IF($M1636="PADD V","PADD 5","")))))</f>
        <v>PADD 2</v>
      </c>
      <c r="G1636" s="6" t="str">
        <f>IF(AND($H1636="ATMOS DISTILLATION",ISNUMBER(SEARCH("VPS",$I1636))=FALSE,LEFT($I1636,6)&lt;&gt;"VACUUM"),"CDU",IF($H1636="FLUID CAT CRACKING","FCC",IF(OR($H1636="HYDROCRACKING",$H1636="RESID_HYDROCRACKING"),"Hydrocracker",IF($H1636="REFORMING","Reformer",""))))</f>
        <v>FCC</v>
      </c>
      <c r="H1636" s="6" t="s">
        <v>376</v>
      </c>
      <c r="I1636" s="6" t="s">
        <v>105</v>
      </c>
      <c r="J1636" s="6" t="s">
        <v>349</v>
      </c>
      <c r="K1636" s="10">
        <v>7.54</v>
      </c>
      <c r="L1636" s="10">
        <v>26</v>
      </c>
      <c r="M1636" s="6" t="s">
        <v>375</v>
      </c>
    </row>
    <row r="1637" spans="1:13">
      <c r="A1637" s="6">
        <v>2023</v>
      </c>
      <c r="B1637" s="6">
        <v>7</v>
      </c>
      <c r="C1637" s="6" t="s">
        <v>65</v>
      </c>
      <c r="D1637" s="6" t="s">
        <v>420</v>
      </c>
      <c r="E1637" s="6" t="s">
        <v>373</v>
      </c>
      <c r="F1637" s="6" t="str">
        <f>IF($M1637="PADD I","PADD 1",IF($M1637="PADD II","PADD 2",IF($M1637="PADD III","PADD 3",IF($M1637="PADD IV","PADD 4",IF($M1637="PADD V","PADD 5","")))))</f>
        <v>PADD 2</v>
      </c>
      <c r="G1637" s="6">
        <f>IF(AND($H1637="ATMOS DISTILLATION",ISNUMBER(SEARCH("VPS",$I1637))=FALSE,LEFT($I1637,6)&lt;&gt;"VACUUM"),"CDU",IF($H1637="FLUID CAT CRACKING","FCC",IF(OR($H1637="HYDROCRACKING",$H1637="RESID_HYDROCRACKING"),"Hydrocracker",IF($H1637="REFORMING","Reformer",""))))</f>
        <v/>
      </c>
      <c r="H1637" s="6" t="s">
        <v>43</v>
      </c>
      <c r="I1637" s="6" t="s">
        <v>458</v>
      </c>
      <c r="J1637" s="6" t="s">
        <v>345</v>
      </c>
      <c r="K1637" s="10">
        <v>7.5</v>
      </c>
      <c r="L1637" s="10">
        <v>7.5</v>
      </c>
      <c r="M1637" s="6" t="s">
        <v>375</v>
      </c>
    </row>
    <row r="1638" spans="1:13">
      <c r="A1638" s="6">
        <v>2023</v>
      </c>
      <c r="B1638" s="6">
        <v>7</v>
      </c>
      <c r="C1638" s="6" t="s">
        <v>65</v>
      </c>
      <c r="D1638" s="6" t="s">
        <v>411</v>
      </c>
      <c r="E1638" s="6" t="s">
        <v>369</v>
      </c>
      <c r="F1638" s="6" t="str">
        <f>IF($M1638="PADD I","PADD 1",IF($M1638="PADD II","PADD 2",IF($M1638="PADD III","PADD 3",IF($M1638="PADD IV","PADD 4",IF($M1638="PADD V","PADD 5","")))))</f>
        <v>PADD 1</v>
      </c>
      <c r="G1638" s="6">
        <f>IF(AND($H1638="ATMOS DISTILLATION",ISNUMBER(SEARCH("VPS",$I1638))=FALSE,LEFT($I1638,6)&lt;&gt;"VACUUM"),"CDU",IF($H1638="FLUID CAT CRACKING","FCC",IF(OR($H1638="HYDROCRACKING",$H1638="RESID_HYDROCRACKING"),"Hydrocracker",IF($H1638="REFORMING","Reformer",""))))</f>
        <v/>
      </c>
      <c r="H1638" s="6" t="s">
        <v>460</v>
      </c>
      <c r="I1638" s="6" t="s">
        <v>566</v>
      </c>
      <c r="J1638" s="6" t="s">
        <v>345</v>
      </c>
      <c r="K1638" s="10">
        <v>7.48</v>
      </c>
      <c r="L1638" s="10">
        <v>11</v>
      </c>
      <c r="M1638" s="6" t="s">
        <v>413</v>
      </c>
    </row>
    <row r="1639" spans="1:13">
      <c r="A1639" s="6">
        <v>2023</v>
      </c>
      <c r="B1639" s="6">
        <v>7</v>
      </c>
      <c r="C1639" s="6" t="s">
        <v>65</v>
      </c>
      <c r="D1639" s="6" t="s">
        <v>446</v>
      </c>
      <c r="E1639" s="6" t="s">
        <v>391</v>
      </c>
      <c r="F1639" s="6" t="str">
        <f>IF($M1639="PADD I","PADD 1",IF($M1639="PADD II","PADD 2",IF($M1639="PADD III","PADD 3",IF($M1639="PADD IV","PADD 4",IF($M1639="PADD V","PADD 5","")))))</f>
        <v>PADD 3</v>
      </c>
      <c r="G1639" s="6">
        <f>IF(AND($H1639="ATMOS DISTILLATION",ISNUMBER(SEARCH("VPS",$I1639))=FALSE,LEFT($I1639,6)&lt;&gt;"VACUUM"),"CDU",IF($H1639="FLUID CAT CRACKING","FCC",IF(OR($H1639="HYDROCRACKING",$H1639="RESID_HYDROCRACKING"),"Hydrocracker",IF($H1639="REFORMING","Reformer",""))))</f>
        <v/>
      </c>
      <c r="H1639" s="6" t="s">
        <v>460</v>
      </c>
      <c r="I1639" s="6" t="s">
        <v>580</v>
      </c>
      <c r="J1639" s="6" t="s">
        <v>345</v>
      </c>
      <c r="K1639" s="10">
        <v>7.2</v>
      </c>
      <c r="L1639" s="10">
        <v>7.2</v>
      </c>
      <c r="M1639" s="6" t="s">
        <v>371</v>
      </c>
    </row>
    <row r="1640" spans="1:13">
      <c r="A1640" s="6">
        <v>2023</v>
      </c>
      <c r="B1640" s="6">
        <v>7</v>
      </c>
      <c r="C1640" s="6" t="s">
        <v>65</v>
      </c>
      <c r="D1640" s="6" t="s">
        <v>865</v>
      </c>
      <c r="E1640" s="6" t="s">
        <v>369</v>
      </c>
      <c r="F1640" s="6" t="str">
        <f>IF($M1640="PADD I","PADD 1",IF($M1640="PADD II","PADD 2",IF($M1640="PADD III","PADD 3",IF($M1640="PADD IV","PADD 4",IF($M1640="PADD V","PADD 5","")))))</f>
        <v>PADD 4</v>
      </c>
      <c r="G1640" s="6" t="str">
        <f>IF(AND($H1640="ATMOS DISTILLATION",ISNUMBER(SEARCH("VPS",$I1640))=FALSE,LEFT($I1640,6)&lt;&gt;"VACUUM"),"CDU",IF($H1640="FLUID CAT CRACKING","FCC",IF(OR($H1640="HYDROCRACKING",$H1640="RESID_HYDROCRACKING"),"Hydrocracker",IF($H1640="REFORMING","Reformer",""))))</f>
        <v>CDU</v>
      </c>
      <c r="H1640" s="6" t="s">
        <v>38</v>
      </c>
      <c r="I1640" s="6" t="s">
        <v>866</v>
      </c>
      <c r="J1640" s="6" t="s">
        <v>345</v>
      </c>
      <c r="K1640" s="10">
        <v>7.2</v>
      </c>
      <c r="L1640" s="10">
        <v>45</v>
      </c>
      <c r="M1640" s="6" t="s">
        <v>430</v>
      </c>
    </row>
    <row r="1641" spans="1:13">
      <c r="A1641" s="6">
        <v>2023</v>
      </c>
      <c r="B1641" s="6">
        <v>7</v>
      </c>
      <c r="C1641" s="6" t="s">
        <v>65</v>
      </c>
      <c r="D1641" s="6" t="s">
        <v>576</v>
      </c>
      <c r="E1641" s="6" t="s">
        <v>369</v>
      </c>
      <c r="F1641" s="6" t="str">
        <f>IF($M1641="PADD I","PADD 1",IF($M1641="PADD II","PADD 2",IF($M1641="PADD III","PADD 3",IF($M1641="PADD IV","PADD 4",IF($M1641="PADD V","PADD 5","")))))</f>
        <v>PADD 3</v>
      </c>
      <c r="G1641" s="6" t="str">
        <f>IF(AND($H1641="ATMOS DISTILLATION",ISNUMBER(SEARCH("VPS",$I1641))=FALSE,LEFT($I1641,6)&lt;&gt;"VACUUM"),"CDU",IF($H1641="FLUID CAT CRACKING","FCC",IF(OR($H1641="HYDROCRACKING",$H1641="RESID_HYDROCRACKING"),"Hydrocracker",IF($H1641="REFORMING","Reformer",""))))</f>
        <v>Reformer</v>
      </c>
      <c r="H1641" s="6" t="s">
        <v>421</v>
      </c>
      <c r="I1641" s="6" t="s">
        <v>483</v>
      </c>
      <c r="J1641" s="6" t="s">
        <v>345</v>
      </c>
      <c r="K1641" s="10">
        <v>6.96</v>
      </c>
      <c r="L1641" s="10">
        <v>12</v>
      </c>
      <c r="M1641" s="6" t="s">
        <v>371</v>
      </c>
    </row>
    <row r="1642" spans="1:13">
      <c r="A1642" s="6">
        <v>2023</v>
      </c>
      <c r="B1642" s="6">
        <v>7</v>
      </c>
      <c r="C1642" s="6" t="s">
        <v>65</v>
      </c>
      <c r="D1642" s="6" t="s">
        <v>331</v>
      </c>
      <c r="E1642" s="6" t="s">
        <v>373</v>
      </c>
      <c r="F1642" s="6" t="str">
        <f>IF($M1642="PADD I","PADD 1",IF($M1642="PADD II","PADD 2",IF($M1642="PADD III","PADD 3",IF($M1642="PADD IV","PADD 4",IF($M1642="PADD V","PADD 5","")))))</f>
        <v>PADD 2</v>
      </c>
      <c r="G1642" s="6">
        <f>IF(AND($H1642="ATMOS DISTILLATION",ISNUMBER(SEARCH("VPS",$I1642))=FALSE,LEFT($I1642,6)&lt;&gt;"VACUUM"),"CDU",IF($H1642="FLUID CAT CRACKING","FCC",IF(OR($H1642="HYDROCRACKING",$H1642="RESID_HYDROCRACKING"),"Hydrocracker",IF($H1642="REFORMING","Reformer",""))))</f>
        <v/>
      </c>
      <c r="H1642" s="6" t="s">
        <v>43</v>
      </c>
      <c r="I1642" s="6" t="s">
        <v>458</v>
      </c>
      <c r="J1642" s="6" t="s">
        <v>345</v>
      </c>
      <c r="K1642" s="10">
        <v>6.65</v>
      </c>
      <c r="L1642" s="10">
        <v>35</v>
      </c>
      <c r="M1642" s="6" t="s">
        <v>375</v>
      </c>
    </row>
    <row r="1643" spans="1:13">
      <c r="A1643" s="6">
        <v>2023</v>
      </c>
      <c r="B1643" s="6">
        <v>7</v>
      </c>
      <c r="C1643" s="6" t="s">
        <v>65</v>
      </c>
      <c r="D1643" s="6" t="s">
        <v>865</v>
      </c>
      <c r="E1643" s="6" t="s">
        <v>369</v>
      </c>
      <c r="F1643" s="6" t="str">
        <f>IF($M1643="PADD I","PADD 1",IF($M1643="PADD II","PADD 2",IF($M1643="PADD III","PADD 3",IF($M1643="PADD IV","PADD 4",IF($M1643="PADD V","PADD 5","")))))</f>
        <v>PADD 4</v>
      </c>
      <c r="G1643" s="6" t="str">
        <f>IF(AND($H1643="ATMOS DISTILLATION",ISNUMBER(SEARCH("VPS",$I1643))=FALSE,LEFT($I1643,6)&lt;&gt;"VACUUM"),"CDU",IF($H1643="FLUID CAT CRACKING","FCC",IF(OR($H1643="HYDROCRACKING",$H1643="RESID_HYDROCRACKING"),"Hydrocracker",IF($H1643="REFORMING","Reformer",""))))</f>
        <v>CDU</v>
      </c>
      <c r="H1643" s="6" t="s">
        <v>38</v>
      </c>
      <c r="I1643" s="6" t="s">
        <v>866</v>
      </c>
      <c r="J1643" s="6" t="s">
        <v>345</v>
      </c>
      <c r="K1643" s="10">
        <v>6.65</v>
      </c>
      <c r="L1643" s="10">
        <v>35</v>
      </c>
      <c r="M1643" s="6" t="s">
        <v>430</v>
      </c>
    </row>
    <row r="1644" spans="1:13">
      <c r="A1644" s="6">
        <v>2023</v>
      </c>
      <c r="B1644" s="6">
        <v>7</v>
      </c>
      <c r="C1644" s="6" t="s">
        <v>65</v>
      </c>
      <c r="D1644" s="6" t="s">
        <v>500</v>
      </c>
      <c r="E1644" s="6" t="s">
        <v>388</v>
      </c>
      <c r="F1644" s="6" t="str">
        <f>IF($M1644="PADD I","PADD 1",IF($M1644="PADD II","PADD 2",IF($M1644="PADD III","PADD 3",IF($M1644="PADD IV","PADD 4",IF($M1644="PADD V","PADD 5","")))))</f>
        <v>PADD 2</v>
      </c>
      <c r="G1644" s="6" t="str">
        <f>IF(AND($H1644="ATMOS DISTILLATION",ISNUMBER(SEARCH("VPS",$I1644))=FALSE,LEFT($I1644,6)&lt;&gt;"VACUUM"),"CDU",IF($H1644="FLUID CAT CRACKING","FCC",IF(OR($H1644="HYDROCRACKING",$H1644="RESID_HYDROCRACKING"),"Hydrocracker",IF($H1644="REFORMING","Reformer",""))))</f>
        <v>CDU</v>
      </c>
      <c r="H1644" s="6" t="s">
        <v>38</v>
      </c>
      <c r="I1644" s="6" t="s">
        <v>917</v>
      </c>
      <c r="J1644" s="6" t="s">
        <v>349</v>
      </c>
      <c r="K1644" s="10">
        <v>6.5</v>
      </c>
      <c r="L1644" s="10">
        <v>25</v>
      </c>
      <c r="M1644" s="6" t="s">
        <v>375</v>
      </c>
    </row>
    <row r="1645" spans="1:13">
      <c r="A1645" s="6">
        <v>2023</v>
      </c>
      <c r="B1645" s="6">
        <v>7</v>
      </c>
      <c r="C1645" s="6" t="s">
        <v>65</v>
      </c>
      <c r="D1645" s="6" t="s">
        <v>500</v>
      </c>
      <c r="E1645" s="6" t="s">
        <v>388</v>
      </c>
      <c r="F1645" s="6" t="str">
        <f>IF($M1645="PADD I","PADD 1",IF($M1645="PADD II","PADD 2",IF($M1645="PADD III","PADD 3",IF($M1645="PADD IV","PADD 4",IF($M1645="PADD V","PADD 5","")))))</f>
        <v>PADD 2</v>
      </c>
      <c r="G1645" s="6">
        <f>IF(AND($H1645="ATMOS DISTILLATION",ISNUMBER(SEARCH("VPS",$I1645))=FALSE,LEFT($I1645,6)&lt;&gt;"VACUUM"),"CDU",IF($H1645="FLUID CAT CRACKING","FCC",IF(OR($H1645="HYDROCRACKING",$H1645="RESID_HYDROCRACKING"),"Hydrocracker",IF($H1645="REFORMING","Reformer",""))))</f>
        <v/>
      </c>
      <c r="H1645" s="6" t="s">
        <v>43</v>
      </c>
      <c r="I1645" s="6" t="s">
        <v>918</v>
      </c>
      <c r="J1645" s="6" t="s">
        <v>349</v>
      </c>
      <c r="K1645" s="10">
        <v>6.5</v>
      </c>
      <c r="L1645" s="10">
        <v>25</v>
      </c>
      <c r="M1645" s="6" t="s">
        <v>375</v>
      </c>
    </row>
    <row r="1646" spans="1:13">
      <c r="A1646" s="6">
        <v>2023</v>
      </c>
      <c r="B1646" s="6">
        <v>7</v>
      </c>
      <c r="C1646" s="6" t="s">
        <v>65</v>
      </c>
      <c r="D1646" s="6" t="s">
        <v>333</v>
      </c>
      <c r="E1646" s="6" t="s">
        <v>381</v>
      </c>
      <c r="F1646" s="6" t="str">
        <f>IF($M1646="PADD I","PADD 1",IF($M1646="PADD II","PADD 2",IF($M1646="PADD III","PADD 3",IF($M1646="PADD IV","PADD 4",IF($M1646="PADD V","PADD 5","")))))</f>
        <v>PADD 3</v>
      </c>
      <c r="G1646" s="6">
        <f>IF(AND($H1646="ATMOS DISTILLATION",ISNUMBER(SEARCH("VPS",$I1646))=FALSE,LEFT($I1646,6)&lt;&gt;"VACUUM"),"CDU",IF($H1646="FLUID CAT CRACKING","FCC",IF(OR($H1646="HYDROCRACKING",$H1646="RESID_HYDROCRACKING"),"Hydrocracker",IF($H1646="REFORMING","Reformer",""))))</f>
        <v/>
      </c>
      <c r="H1646" s="6" t="s">
        <v>378</v>
      </c>
      <c r="I1646" s="6" t="s">
        <v>919</v>
      </c>
      <c r="J1646" s="6" t="s">
        <v>345</v>
      </c>
      <c r="K1646" s="10">
        <v>6</v>
      </c>
      <c r="L1646" s="10">
        <v>100</v>
      </c>
      <c r="M1646" s="6" t="s">
        <v>371</v>
      </c>
    </row>
    <row r="1647" spans="1:13">
      <c r="A1647" s="6">
        <v>2023</v>
      </c>
      <c r="B1647" s="6">
        <v>7</v>
      </c>
      <c r="C1647" s="6" t="s">
        <v>65</v>
      </c>
      <c r="D1647" s="6" t="s">
        <v>331</v>
      </c>
      <c r="E1647" s="6" t="s">
        <v>373</v>
      </c>
      <c r="F1647" s="6" t="str">
        <f>IF($M1647="PADD I","PADD 1",IF($M1647="PADD II","PADD 2",IF($M1647="PADD III","PADD 3",IF($M1647="PADD IV","PADD 4",IF($M1647="PADD V","PADD 5","")))))</f>
        <v>PADD 2</v>
      </c>
      <c r="G1647" s="6">
        <f>IF(AND($H1647="ATMOS DISTILLATION",ISNUMBER(SEARCH("VPS",$I1647))=FALSE,LEFT($I1647,6)&lt;&gt;"VACUUM"),"CDU",IF($H1647="FLUID CAT CRACKING","FCC",IF(OR($H1647="HYDROCRACKING",$H1647="RESID_HYDROCRACKING"),"Hydrocracker",IF($H1647="REFORMING","Reformer",""))))</f>
        <v/>
      </c>
      <c r="H1647" s="6" t="s">
        <v>435</v>
      </c>
      <c r="I1647" s="6" t="s">
        <v>441</v>
      </c>
      <c r="J1647" s="6" t="s">
        <v>345</v>
      </c>
      <c r="K1647" s="10">
        <v>5.947</v>
      </c>
      <c r="L1647" s="10">
        <v>31.3</v>
      </c>
      <c r="M1647" s="6" t="s">
        <v>375</v>
      </c>
    </row>
    <row r="1648" spans="1:13">
      <c r="A1648" s="6">
        <v>2023</v>
      </c>
      <c r="B1648" s="6">
        <v>7</v>
      </c>
      <c r="C1648" s="6" t="s">
        <v>65</v>
      </c>
      <c r="D1648" s="6" t="s">
        <v>500</v>
      </c>
      <c r="E1648" s="6" t="s">
        <v>388</v>
      </c>
      <c r="F1648" s="6" t="str">
        <f>IF($M1648="PADD I","PADD 1",IF($M1648="PADD II","PADD 2",IF($M1648="PADD III","PADD 3",IF($M1648="PADD IV","PADD 4",IF($M1648="PADD V","PADD 5","")))))</f>
        <v>PADD 2</v>
      </c>
      <c r="G1648" s="6">
        <f>IF(AND($H1648="ATMOS DISTILLATION",ISNUMBER(SEARCH("VPS",$I1648))=FALSE,LEFT($I1648,6)&lt;&gt;"VACUUM"),"CDU",IF($H1648="FLUID CAT CRACKING","FCC",IF(OR($H1648="HYDROCRACKING",$H1648="RESID_HYDROCRACKING"),"Hydrocracker",IF($H1648="REFORMING","Reformer",""))))</f>
        <v/>
      </c>
      <c r="H1648" s="6" t="s">
        <v>43</v>
      </c>
      <c r="I1648" s="6" t="s">
        <v>501</v>
      </c>
      <c r="J1648" s="6" t="s">
        <v>345</v>
      </c>
      <c r="K1648" s="10">
        <v>5.795</v>
      </c>
      <c r="L1648" s="10">
        <v>30.5</v>
      </c>
      <c r="M1648" s="6" t="s">
        <v>375</v>
      </c>
    </row>
    <row r="1649" spans="1:13">
      <c r="A1649" s="6">
        <v>2023</v>
      </c>
      <c r="B1649" s="6">
        <v>7</v>
      </c>
      <c r="C1649" s="6" t="s">
        <v>65</v>
      </c>
      <c r="D1649" s="6" t="s">
        <v>670</v>
      </c>
      <c r="E1649" s="6" t="s">
        <v>405</v>
      </c>
      <c r="F1649" s="6" t="str">
        <f>IF($M1649="PADD I","PADD 1",IF($M1649="PADD II","PADD 2",IF($M1649="PADD III","PADD 3",IF($M1649="PADD IV","PADD 4",IF($M1649="PADD V","PADD 5","")))))</f>
        <v>PADD 2</v>
      </c>
      <c r="G1649" s="6" t="str">
        <f>IF(AND($H1649="ATMOS DISTILLATION",ISNUMBER(SEARCH("VPS",$I1649))=FALSE,LEFT($I1649,6)&lt;&gt;"VACUUM"),"CDU",IF($H1649="FLUID CAT CRACKING","FCC",IF(OR($H1649="HYDROCRACKING",$H1649="RESID_HYDROCRACKING"),"Hydrocracker",IF($H1649="REFORMING","Reformer",""))))</f>
        <v>Reformer</v>
      </c>
      <c r="H1649" s="6" t="s">
        <v>421</v>
      </c>
      <c r="I1649" s="6" t="s">
        <v>228</v>
      </c>
      <c r="J1649" s="6" t="s">
        <v>345</v>
      </c>
      <c r="K1649" s="10">
        <v>5.76</v>
      </c>
      <c r="L1649" s="10">
        <v>36</v>
      </c>
      <c r="M1649" s="6" t="s">
        <v>375</v>
      </c>
    </row>
    <row r="1650" spans="1:13">
      <c r="A1650" s="6">
        <v>2023</v>
      </c>
      <c r="B1650" s="6">
        <v>7</v>
      </c>
      <c r="C1650" s="6" t="s">
        <v>65</v>
      </c>
      <c r="D1650" s="6" t="s">
        <v>331</v>
      </c>
      <c r="E1650" s="6" t="s">
        <v>373</v>
      </c>
      <c r="F1650" s="6" t="str">
        <f>IF($M1650="PADD I","PADD 1",IF($M1650="PADD II","PADD 2",IF($M1650="PADD III","PADD 3",IF($M1650="PADD IV","PADD 4",IF($M1650="PADD V","PADD 5","")))))</f>
        <v>PADD 2</v>
      </c>
      <c r="G1650" s="6">
        <f>IF(AND($H1650="ATMOS DISTILLATION",ISNUMBER(SEARCH("VPS",$I1650))=FALSE,LEFT($I1650,6)&lt;&gt;"VACUUM"),"CDU",IF($H1650="FLUID CAT CRACKING","FCC",IF(OR($H1650="HYDROCRACKING",$H1650="RESID_HYDROCRACKING"),"Hydrocracker",IF($H1650="REFORMING","Reformer",""))))</f>
        <v/>
      </c>
      <c r="H1650" s="6" t="s">
        <v>43</v>
      </c>
      <c r="I1650" s="6" t="s">
        <v>920</v>
      </c>
      <c r="J1650" s="6" t="s">
        <v>345</v>
      </c>
      <c r="K1650" s="10">
        <v>5.7</v>
      </c>
      <c r="L1650" s="10">
        <v>30</v>
      </c>
      <c r="M1650" s="6" t="s">
        <v>375</v>
      </c>
    </row>
    <row r="1651" spans="1:13">
      <c r="A1651" s="6">
        <v>2023</v>
      </c>
      <c r="B1651" s="6">
        <v>7</v>
      </c>
      <c r="C1651" s="6" t="s">
        <v>65</v>
      </c>
      <c r="D1651" s="6" t="s">
        <v>547</v>
      </c>
      <c r="E1651" s="6" t="s">
        <v>391</v>
      </c>
      <c r="F1651" s="6" t="str">
        <f>IF($M1651="PADD I","PADD 1",IF($M1651="PADD II","PADD 2",IF($M1651="PADD III","PADD 3",IF($M1651="PADD IV","PADD 4",IF($M1651="PADD V","PADD 5","")))))</f>
        <v>PADD 5</v>
      </c>
      <c r="G1651" s="6">
        <f>IF(AND($H1651="ATMOS DISTILLATION",ISNUMBER(SEARCH("VPS",$I1651))=FALSE,LEFT($I1651,6)&lt;&gt;"VACUUM"),"CDU",IF($H1651="FLUID CAT CRACKING","FCC",IF(OR($H1651="HYDROCRACKING",$H1651="RESID_HYDROCRACKING"),"Hydrocracker",IF($H1651="REFORMING","Reformer",""))))</f>
        <v/>
      </c>
      <c r="H1651" s="6" t="s">
        <v>378</v>
      </c>
      <c r="I1651" s="6" t="s">
        <v>431</v>
      </c>
      <c r="J1651" s="6" t="s">
        <v>345</v>
      </c>
      <c r="K1651" s="10">
        <v>5.658</v>
      </c>
      <c r="L1651" s="10">
        <v>24.6</v>
      </c>
      <c r="M1651" s="6" t="s">
        <v>386</v>
      </c>
    </row>
    <row r="1652" spans="1:13">
      <c r="A1652" s="6">
        <v>2023</v>
      </c>
      <c r="B1652" s="6">
        <v>7</v>
      </c>
      <c r="C1652" s="6" t="s">
        <v>65</v>
      </c>
      <c r="D1652" s="6" t="s">
        <v>865</v>
      </c>
      <c r="E1652" s="6" t="s">
        <v>369</v>
      </c>
      <c r="F1652" s="6" t="str">
        <f>IF($M1652="PADD I","PADD 1",IF($M1652="PADD II","PADD 2",IF($M1652="PADD III","PADD 3",IF($M1652="PADD IV","PADD 4",IF($M1652="PADD V","PADD 5","")))))</f>
        <v>PADD 4</v>
      </c>
      <c r="G1652" s="6">
        <f>IF(AND($H1652="ATMOS DISTILLATION",ISNUMBER(SEARCH("VPS",$I1652))=FALSE,LEFT($I1652,6)&lt;&gt;"VACUUM"),"CDU",IF($H1652="FLUID CAT CRACKING","FCC",IF(OR($H1652="HYDROCRACKING",$H1652="RESID_HYDROCRACKING"),"Hydrocracker",IF($H1652="REFORMING","Reformer",""))))</f>
        <v/>
      </c>
      <c r="H1652" s="6" t="s">
        <v>378</v>
      </c>
      <c r="I1652" s="6" t="s">
        <v>867</v>
      </c>
      <c r="J1652" s="6" t="s">
        <v>345</v>
      </c>
      <c r="K1652" s="10">
        <v>5.6</v>
      </c>
      <c r="L1652" s="10">
        <v>35</v>
      </c>
      <c r="M1652" s="6" t="s">
        <v>430</v>
      </c>
    </row>
    <row r="1653" spans="1:13">
      <c r="A1653" s="6">
        <v>2023</v>
      </c>
      <c r="B1653" s="6">
        <v>7</v>
      </c>
      <c r="C1653" s="6" t="s">
        <v>65</v>
      </c>
      <c r="D1653" s="6" t="s">
        <v>500</v>
      </c>
      <c r="E1653" s="6" t="s">
        <v>388</v>
      </c>
      <c r="F1653" s="6" t="str">
        <f>IF($M1653="PADD I","PADD 1",IF($M1653="PADD II","PADD 2",IF($M1653="PADD III","PADD 3",IF($M1653="PADD IV","PADD 4",IF($M1653="PADD V","PADD 5","")))))</f>
        <v>PADD 2</v>
      </c>
      <c r="G1653" s="6" t="str">
        <f>IF(AND($H1653="ATMOS DISTILLATION",ISNUMBER(SEARCH("VPS",$I1653))=FALSE,LEFT($I1653,6)&lt;&gt;"VACUUM"),"CDU",IF($H1653="FLUID CAT CRACKING","FCC",IF(OR($H1653="HYDROCRACKING",$H1653="RESID_HYDROCRACKING"),"Hydrocracker",IF($H1653="REFORMING","Reformer",""))))</f>
        <v>Reformer</v>
      </c>
      <c r="H1653" s="6" t="s">
        <v>421</v>
      </c>
      <c r="I1653" s="6" t="s">
        <v>539</v>
      </c>
      <c r="J1653" s="6" t="s">
        <v>349</v>
      </c>
      <c r="K1653" s="10">
        <v>5.51</v>
      </c>
      <c r="L1653" s="10">
        <v>19</v>
      </c>
      <c r="M1653" s="6" t="s">
        <v>375</v>
      </c>
    </row>
    <row r="1654" spans="1:13">
      <c r="A1654" s="6">
        <v>2023</v>
      </c>
      <c r="B1654" s="6">
        <v>7</v>
      </c>
      <c r="C1654" s="6" t="s">
        <v>65</v>
      </c>
      <c r="D1654" s="6" t="s">
        <v>420</v>
      </c>
      <c r="E1654" s="6" t="s">
        <v>373</v>
      </c>
      <c r="F1654" s="6" t="str">
        <f>IF($M1654="PADD I","PADD 1",IF($M1654="PADD II","PADD 2",IF($M1654="PADD III","PADD 3",IF($M1654="PADD IV","PADD 4",IF($M1654="PADD V","PADD 5","")))))</f>
        <v>PADD 2</v>
      </c>
      <c r="G1654" s="6">
        <f>IF(AND($H1654="ATMOS DISTILLATION",ISNUMBER(SEARCH("VPS",$I1654))=FALSE,LEFT($I1654,6)&lt;&gt;"VACUUM"),"CDU",IF($H1654="FLUID CAT CRACKING","FCC",IF(OR($H1654="HYDROCRACKING",$H1654="RESID_HYDROCRACKING"),"Hydrocracker",IF($H1654="REFORMING","Reformer",""))))</f>
        <v/>
      </c>
      <c r="H1654" s="6" t="s">
        <v>43</v>
      </c>
      <c r="I1654" s="6" t="s">
        <v>588</v>
      </c>
      <c r="J1654" s="6" t="s">
        <v>345</v>
      </c>
      <c r="K1654" s="10">
        <v>5.5</v>
      </c>
      <c r="L1654" s="10">
        <v>5.5</v>
      </c>
      <c r="M1654" s="6" t="s">
        <v>375</v>
      </c>
    </row>
    <row r="1655" spans="1:13">
      <c r="A1655" s="6">
        <v>2023</v>
      </c>
      <c r="B1655" s="6">
        <v>7</v>
      </c>
      <c r="C1655" s="6" t="s">
        <v>65</v>
      </c>
      <c r="D1655" s="6" t="s">
        <v>500</v>
      </c>
      <c r="E1655" s="6" t="s">
        <v>388</v>
      </c>
      <c r="F1655" s="6" t="str">
        <f>IF($M1655="PADD I","PADD 1",IF($M1655="PADD II","PADD 2",IF($M1655="PADD III","PADD 3",IF($M1655="PADD IV","PADD 4",IF($M1655="PADD V","PADD 5","")))))</f>
        <v>PADD 2</v>
      </c>
      <c r="G1655" s="6">
        <f>IF(AND($H1655="ATMOS DISTILLATION",ISNUMBER(SEARCH("VPS",$I1655))=FALSE,LEFT($I1655,6)&lt;&gt;"VACUUM"),"CDU",IF($H1655="FLUID CAT CRACKING","FCC",IF(OR($H1655="HYDROCRACKING",$H1655="RESID_HYDROCRACKING"),"Hydrocracker",IF($H1655="REFORMING","Reformer",""))))</f>
        <v/>
      </c>
      <c r="H1655" s="6" t="s">
        <v>43</v>
      </c>
      <c r="I1655" s="6" t="s">
        <v>921</v>
      </c>
      <c r="J1655" s="6" t="s">
        <v>349</v>
      </c>
      <c r="K1655" s="10">
        <v>5.2</v>
      </c>
      <c r="L1655" s="10">
        <v>20</v>
      </c>
      <c r="M1655" s="6" t="s">
        <v>375</v>
      </c>
    </row>
    <row r="1656" spans="1:13">
      <c r="A1656" s="6">
        <v>2023</v>
      </c>
      <c r="B1656" s="6">
        <v>7</v>
      </c>
      <c r="C1656" s="6" t="s">
        <v>65</v>
      </c>
      <c r="D1656" s="6" t="s">
        <v>830</v>
      </c>
      <c r="E1656" s="6" t="s">
        <v>388</v>
      </c>
      <c r="F1656" s="6" t="str">
        <f>IF($M1656="PADD I","PADD 1",IF($M1656="PADD II","PADD 2",IF($M1656="PADD III","PADD 3",IF($M1656="PADD IV","PADD 4",IF($M1656="PADD V","PADD 5","")))))</f>
        <v>PADD 2</v>
      </c>
      <c r="G1656" s="6">
        <f>IF(AND($H1656="ATMOS DISTILLATION",ISNUMBER(SEARCH("VPS",$I1656))=FALSE,LEFT($I1656,6)&lt;&gt;"VACUUM"),"CDU",IF($H1656="FLUID CAT CRACKING","FCC",IF(OR($H1656="HYDROCRACKING",$H1656="RESID_HYDROCRACKING"),"Hydrocracker",IF($H1656="REFORMING","Reformer",""))))</f>
        <v/>
      </c>
      <c r="H1656" s="6" t="s">
        <v>43</v>
      </c>
      <c r="I1656" s="6" t="s">
        <v>485</v>
      </c>
      <c r="J1656" s="6" t="s">
        <v>345</v>
      </c>
      <c r="K1656" s="10">
        <v>5.04</v>
      </c>
      <c r="L1656" s="10">
        <v>6</v>
      </c>
      <c r="M1656" s="6" t="s">
        <v>375</v>
      </c>
    </row>
    <row r="1657" spans="1:13">
      <c r="A1657" s="6">
        <v>2023</v>
      </c>
      <c r="B1657" s="6">
        <v>7</v>
      </c>
      <c r="C1657" s="6" t="s">
        <v>65</v>
      </c>
      <c r="D1657" s="6" t="s">
        <v>429</v>
      </c>
      <c r="E1657" s="6" t="s">
        <v>388</v>
      </c>
      <c r="F1657" s="6" t="str">
        <f>IF($M1657="PADD I","PADD 1",IF($M1657="PADD II","PADD 2",IF($M1657="PADD III","PADD 3",IF($M1657="PADD IV","PADD 4",IF($M1657="PADD V","PADD 5","")))))</f>
        <v>PADD 4</v>
      </c>
      <c r="G1657" s="6">
        <f>IF(AND($H1657="ATMOS DISTILLATION",ISNUMBER(SEARCH("VPS",$I1657))=FALSE,LEFT($I1657,6)&lt;&gt;"VACUUM"),"CDU",IF($H1657="FLUID CAT CRACKING","FCC",IF(OR($H1657="HYDROCRACKING",$H1657="RESID_HYDROCRACKING"),"Hydrocracker",IF($H1657="REFORMING","Reformer",""))))</f>
        <v/>
      </c>
      <c r="H1657" s="6" t="s">
        <v>43</v>
      </c>
      <c r="I1657" s="6" t="s">
        <v>514</v>
      </c>
      <c r="J1657" s="6" t="s">
        <v>345</v>
      </c>
      <c r="K1657" s="10">
        <v>4.959</v>
      </c>
      <c r="L1657" s="10">
        <v>17.1</v>
      </c>
      <c r="M1657" s="6" t="s">
        <v>430</v>
      </c>
    </row>
    <row r="1658" spans="1:13">
      <c r="A1658" s="6">
        <v>2023</v>
      </c>
      <c r="B1658" s="6">
        <v>7</v>
      </c>
      <c r="C1658" s="6" t="s">
        <v>65</v>
      </c>
      <c r="D1658" s="6" t="s">
        <v>331</v>
      </c>
      <c r="E1658" s="6" t="s">
        <v>373</v>
      </c>
      <c r="F1658" s="6" t="str">
        <f>IF($M1658="PADD I","PADD 1",IF($M1658="PADD II","PADD 2",IF($M1658="PADD III","PADD 3",IF($M1658="PADD IV","PADD 4",IF($M1658="PADD V","PADD 5","")))))</f>
        <v>PADD 2</v>
      </c>
      <c r="G1658" s="6" t="str">
        <f>IF(AND($H1658="ATMOS DISTILLATION",ISNUMBER(SEARCH("VPS",$I1658))=FALSE,LEFT($I1658,6)&lt;&gt;"VACUUM"),"CDU",IF($H1658="FLUID CAT CRACKING","FCC",IF(OR($H1658="HYDROCRACKING",$H1658="RESID_HYDROCRACKING"),"Hydrocracker",IF($H1658="REFORMING","Reformer",""))))</f>
        <v>Hydrocracker</v>
      </c>
      <c r="H1658" s="6" t="s">
        <v>444</v>
      </c>
      <c r="I1658" s="6" t="s">
        <v>445</v>
      </c>
      <c r="J1658" s="6" t="s">
        <v>345</v>
      </c>
      <c r="K1658" s="10">
        <v>4.94</v>
      </c>
      <c r="L1658" s="10">
        <v>26</v>
      </c>
      <c r="M1658" s="6" t="s">
        <v>375</v>
      </c>
    </row>
    <row r="1659" spans="1:13">
      <c r="A1659" s="6">
        <v>2023</v>
      </c>
      <c r="B1659" s="6">
        <v>7</v>
      </c>
      <c r="C1659" s="6" t="s">
        <v>65</v>
      </c>
      <c r="D1659" s="6" t="s">
        <v>922</v>
      </c>
      <c r="E1659" s="6" t="s">
        <v>452</v>
      </c>
      <c r="F1659" s="6" t="str">
        <f>IF($M1659="PADD I","PADD 1",IF($M1659="PADD II","PADD 2",IF($M1659="PADD III","PADD 3",IF($M1659="PADD IV","PADD 4",IF($M1659="PADD V","PADD 5","")))))</f>
        <v>PADD 4</v>
      </c>
      <c r="G1659" s="6" t="str">
        <f>IF(AND($H1659="ATMOS DISTILLATION",ISNUMBER(SEARCH("VPS",$I1659))=FALSE,LEFT($I1659,6)&lt;&gt;"VACUUM"),"CDU",IF($H1659="FLUID CAT CRACKING","FCC",IF(OR($H1659="HYDROCRACKING",$H1659="RESID_HYDROCRACKING"),"Hydrocracker",IF($H1659="REFORMING","Reformer",""))))</f>
        <v>CDU</v>
      </c>
      <c r="H1659" s="6" t="s">
        <v>38</v>
      </c>
      <c r="I1659" s="6" t="s">
        <v>923</v>
      </c>
      <c r="J1659" s="6" t="s">
        <v>349</v>
      </c>
      <c r="K1659" s="10">
        <v>4.75</v>
      </c>
      <c r="L1659" s="10">
        <v>25</v>
      </c>
      <c r="M1659" s="6" t="s">
        <v>430</v>
      </c>
    </row>
    <row r="1660" spans="1:13">
      <c r="A1660" s="6">
        <v>2023</v>
      </c>
      <c r="B1660" s="6">
        <v>7</v>
      </c>
      <c r="C1660" s="6" t="s">
        <v>65</v>
      </c>
      <c r="D1660" s="6" t="s">
        <v>326</v>
      </c>
      <c r="E1660" s="6" t="s">
        <v>385</v>
      </c>
      <c r="F1660" s="6" t="str">
        <f>IF($M1660="PADD I","PADD 1",IF($M1660="PADD II","PADD 2",IF($M1660="PADD III","PADD 3",IF($M1660="PADD IV","PADD 4",IF($M1660="PADD V","PADD 5","")))))</f>
        <v>PADD 5</v>
      </c>
      <c r="G1660" s="6">
        <f>IF(AND($H1660="ATMOS DISTILLATION",ISNUMBER(SEARCH("VPS",$I1660))=FALSE,LEFT($I1660,6)&lt;&gt;"VACUUM"),"CDU",IF($H1660="FLUID CAT CRACKING","FCC",IF(OR($H1660="HYDROCRACKING",$H1660="RESID_HYDROCRACKING"),"Hydrocracker",IF($H1660="REFORMING","Reformer",""))))</f>
        <v/>
      </c>
      <c r="H1660" s="6" t="s">
        <v>435</v>
      </c>
      <c r="I1660" s="6" t="s">
        <v>813</v>
      </c>
      <c r="J1660" s="6" t="s">
        <v>345</v>
      </c>
      <c r="K1660" s="10">
        <v>4.75</v>
      </c>
      <c r="L1660" s="10">
        <v>25</v>
      </c>
      <c r="M1660" s="6" t="s">
        <v>386</v>
      </c>
    </row>
    <row r="1661" spans="1:13">
      <c r="A1661" s="6">
        <v>2023</v>
      </c>
      <c r="B1661" s="6">
        <v>7</v>
      </c>
      <c r="C1661" s="6" t="s">
        <v>65</v>
      </c>
      <c r="D1661" s="6" t="s">
        <v>778</v>
      </c>
      <c r="E1661" s="6" t="s">
        <v>779</v>
      </c>
      <c r="F1661" s="6" t="str">
        <f>IF($M1661="PADD I","PADD 1",IF($M1661="PADD II","PADD 2",IF($M1661="PADD III","PADD 3",IF($M1661="PADD IV","PADD 4",IF($M1661="PADD V","PADD 5","")))))</f>
        <v>PADD 3</v>
      </c>
      <c r="G1661" s="6" t="str">
        <f>IF(AND($H1661="ATMOS DISTILLATION",ISNUMBER(SEARCH("VPS",$I1661))=FALSE,LEFT($I1661,6)&lt;&gt;"VACUUM"),"CDU",IF($H1661="FLUID CAT CRACKING","FCC",IF(OR($H1661="HYDROCRACKING",$H1661="RESID_HYDROCRACKING"),"Hydrocracker",IF($H1661="REFORMING","Reformer",""))))</f>
        <v>CDU</v>
      </c>
      <c r="H1661" s="6" t="s">
        <v>38</v>
      </c>
      <c r="I1661" s="6" t="s">
        <v>805</v>
      </c>
      <c r="J1661" s="6" t="s">
        <v>345</v>
      </c>
      <c r="K1661" s="10">
        <v>4.5</v>
      </c>
      <c r="L1661" s="10">
        <v>75</v>
      </c>
      <c r="M1661" s="6" t="s">
        <v>371</v>
      </c>
    </row>
    <row r="1662" spans="1:13">
      <c r="A1662" s="6">
        <v>2023</v>
      </c>
      <c r="B1662" s="6">
        <v>7</v>
      </c>
      <c r="C1662" s="6" t="s">
        <v>65</v>
      </c>
      <c r="D1662" s="6" t="s">
        <v>500</v>
      </c>
      <c r="E1662" s="6" t="s">
        <v>388</v>
      </c>
      <c r="F1662" s="6" t="str">
        <f>IF($M1662="PADD I","PADD 1",IF($M1662="PADD II","PADD 2",IF($M1662="PADD III","PADD 3",IF($M1662="PADD IV","PADD 4",IF($M1662="PADD V","PADD 5","")))))</f>
        <v>PADD 2</v>
      </c>
      <c r="G1662" s="6">
        <f>IF(AND($H1662="ATMOS DISTILLATION",ISNUMBER(SEARCH("VPS",$I1662))=FALSE,LEFT($I1662,6)&lt;&gt;"VACUUM"),"CDU",IF($H1662="FLUID CAT CRACKING","FCC",IF(OR($H1662="HYDROCRACKING",$H1662="RESID_HYDROCRACKING"),"Hydrocracker",IF($H1662="REFORMING","Reformer",""))))</f>
        <v/>
      </c>
      <c r="H1662" s="6" t="s">
        <v>43</v>
      </c>
      <c r="I1662" s="6" t="s">
        <v>520</v>
      </c>
      <c r="J1662" s="6" t="s">
        <v>345</v>
      </c>
      <c r="K1662" s="10">
        <v>4.465</v>
      </c>
      <c r="L1662" s="10">
        <v>23.5</v>
      </c>
      <c r="M1662" s="6" t="s">
        <v>375</v>
      </c>
    </row>
    <row r="1663" spans="1:13">
      <c r="A1663" s="6">
        <v>2023</v>
      </c>
      <c r="B1663" s="6">
        <v>7</v>
      </c>
      <c r="C1663" s="6" t="s">
        <v>65</v>
      </c>
      <c r="D1663" s="6" t="s">
        <v>500</v>
      </c>
      <c r="E1663" s="6" t="s">
        <v>388</v>
      </c>
      <c r="F1663" s="6" t="str">
        <f>IF($M1663="PADD I","PADD 1",IF($M1663="PADD II","PADD 2",IF($M1663="PADD III","PADD 3",IF($M1663="PADD IV","PADD 4",IF($M1663="PADD V","PADD 5","")))))</f>
        <v>PADD 2</v>
      </c>
      <c r="G1663" s="6">
        <f>IF(AND($H1663="ATMOS DISTILLATION",ISNUMBER(SEARCH("VPS",$I1663))=FALSE,LEFT($I1663,6)&lt;&gt;"VACUUM"),"CDU",IF($H1663="FLUID CAT CRACKING","FCC",IF(OR($H1663="HYDROCRACKING",$H1663="RESID_HYDROCRACKING"),"Hydrocracker",IF($H1663="REFORMING","Reformer",""))))</f>
        <v/>
      </c>
      <c r="H1663" s="6" t="s">
        <v>43</v>
      </c>
      <c r="I1663" s="6" t="s">
        <v>924</v>
      </c>
      <c r="J1663" s="6" t="s">
        <v>349</v>
      </c>
      <c r="K1663" s="10">
        <v>3.9</v>
      </c>
      <c r="L1663" s="10">
        <v>15</v>
      </c>
      <c r="M1663" s="6" t="s">
        <v>375</v>
      </c>
    </row>
    <row r="1664" spans="1:13">
      <c r="A1664" s="6">
        <v>2023</v>
      </c>
      <c r="B1664" s="6">
        <v>7</v>
      </c>
      <c r="C1664" s="6" t="s">
        <v>65</v>
      </c>
      <c r="D1664" s="6" t="s">
        <v>331</v>
      </c>
      <c r="E1664" s="6" t="s">
        <v>373</v>
      </c>
      <c r="F1664" s="6" t="str">
        <f>IF($M1664="PADD I","PADD 1",IF($M1664="PADD II","PADD 2",IF($M1664="PADD III","PADD 3",IF($M1664="PADD IV","PADD 4",IF($M1664="PADD V","PADD 5","")))))</f>
        <v>PADD 2</v>
      </c>
      <c r="G1664" s="6">
        <f>IF(AND($H1664="ATMOS DISTILLATION",ISNUMBER(SEARCH("VPS",$I1664))=FALSE,LEFT($I1664,6)&lt;&gt;"VACUUM"),"CDU",IF($H1664="FLUID CAT CRACKING","FCC",IF(OR($H1664="HYDROCRACKING",$H1664="RESID_HYDROCRACKING"),"Hydrocracker",IF($H1664="REFORMING","Reformer",""))))</f>
        <v/>
      </c>
      <c r="H1664" s="6" t="s">
        <v>43</v>
      </c>
      <c r="I1664" s="6" t="s">
        <v>925</v>
      </c>
      <c r="J1664" s="6" t="s">
        <v>345</v>
      </c>
      <c r="K1664" s="10">
        <v>3.8</v>
      </c>
      <c r="L1664" s="10">
        <v>20</v>
      </c>
      <c r="M1664" s="6" t="s">
        <v>375</v>
      </c>
    </row>
    <row r="1665" spans="1:13">
      <c r="A1665" s="6">
        <v>2023</v>
      </c>
      <c r="B1665" s="6">
        <v>7</v>
      </c>
      <c r="C1665" s="6" t="s">
        <v>65</v>
      </c>
      <c r="D1665" s="6" t="s">
        <v>547</v>
      </c>
      <c r="E1665" s="6" t="s">
        <v>391</v>
      </c>
      <c r="F1665" s="6" t="str">
        <f>IF($M1665="PADD I","PADD 1",IF($M1665="PADD II","PADD 2",IF($M1665="PADD III","PADD 3",IF($M1665="PADD IV","PADD 4",IF($M1665="PADD V","PADD 5","")))))</f>
        <v>PADD 5</v>
      </c>
      <c r="G1665" s="6" t="str">
        <f>IF(AND($H1665="ATMOS DISTILLATION",ISNUMBER(SEARCH("VPS",$I1665))=FALSE,LEFT($I1665,6)&lt;&gt;"VACUUM"),"CDU",IF($H1665="FLUID CAT CRACKING","FCC",IF(OR($H1665="HYDROCRACKING",$H1665="RESID_HYDROCRACKING"),"Hydrocracker",IF($H1665="REFORMING","Reformer",""))))</f>
        <v>FCC</v>
      </c>
      <c r="H1665" s="6" t="s">
        <v>376</v>
      </c>
      <c r="I1665" s="6" t="s">
        <v>105</v>
      </c>
      <c r="J1665" s="6" t="s">
        <v>345</v>
      </c>
      <c r="K1665" s="10">
        <v>3.68</v>
      </c>
      <c r="L1665" s="10">
        <v>16</v>
      </c>
      <c r="M1665" s="6" t="s">
        <v>386</v>
      </c>
    </row>
    <row r="1666" spans="1:13">
      <c r="A1666" s="6">
        <v>2023</v>
      </c>
      <c r="B1666" s="6">
        <v>7</v>
      </c>
      <c r="C1666" s="6" t="s">
        <v>65</v>
      </c>
      <c r="D1666" s="6" t="s">
        <v>547</v>
      </c>
      <c r="E1666" s="6" t="s">
        <v>391</v>
      </c>
      <c r="F1666" s="6" t="str">
        <f>IF($M1666="PADD I","PADD 1",IF($M1666="PADD II","PADD 2",IF($M1666="PADD III","PADD 3",IF($M1666="PADD IV","PADD 4",IF($M1666="PADD V","PADD 5","")))))</f>
        <v>PADD 5</v>
      </c>
      <c r="G1666" s="6">
        <f>IF(AND($H1666="ATMOS DISTILLATION",ISNUMBER(SEARCH("VPS",$I1666))=FALSE,LEFT($I1666,6)&lt;&gt;"VACUUM"),"CDU",IF($H1666="FLUID CAT CRACKING","FCC",IF(OR($H1666="HYDROCRACKING",$H1666="RESID_HYDROCRACKING"),"Hydrocracker",IF($H1666="REFORMING","Reformer",""))))</f>
        <v/>
      </c>
      <c r="H1666" s="6" t="s">
        <v>43</v>
      </c>
      <c r="I1666" s="6" t="s">
        <v>926</v>
      </c>
      <c r="J1666" s="6" t="s">
        <v>345</v>
      </c>
      <c r="K1666" s="10">
        <v>3.68</v>
      </c>
      <c r="L1666" s="10">
        <v>16</v>
      </c>
      <c r="M1666" s="6" t="s">
        <v>386</v>
      </c>
    </row>
    <row r="1667" spans="1:13">
      <c r="A1667" s="6">
        <v>2023</v>
      </c>
      <c r="B1667" s="6">
        <v>7</v>
      </c>
      <c r="C1667" s="6" t="s">
        <v>65</v>
      </c>
      <c r="D1667" s="6" t="s">
        <v>51</v>
      </c>
      <c r="E1667" s="6" t="s">
        <v>391</v>
      </c>
      <c r="F1667" s="6" t="str">
        <f>IF($M1667="PADD I","PADD 1",IF($M1667="PADD II","PADD 2",IF($M1667="PADD III","PADD 3",IF($M1667="PADD IV","PADD 4",IF($M1667="PADD V","PADD 5","")))))</f>
        <v>PADD 5</v>
      </c>
      <c r="G1667" s="6" t="str">
        <f>IF(AND($H1667="ATMOS DISTILLATION",ISNUMBER(SEARCH("VPS",$I1667))=FALSE,LEFT($I1667,6)&lt;&gt;"VACUUM"),"CDU",IF($H1667="FLUID CAT CRACKING","FCC",IF(OR($H1667="HYDROCRACKING",$H1667="RESID_HYDROCRACKING"),"Hydrocracker",IF($H1667="REFORMING","Reformer",""))))</f>
        <v>Reformer</v>
      </c>
      <c r="H1667" s="6" t="s">
        <v>421</v>
      </c>
      <c r="I1667" s="6" t="s">
        <v>539</v>
      </c>
      <c r="J1667" s="6" t="s">
        <v>345</v>
      </c>
      <c r="K1667" s="10">
        <v>3.6</v>
      </c>
      <c r="L1667" s="10">
        <v>60</v>
      </c>
      <c r="M1667" s="6" t="s">
        <v>386</v>
      </c>
    </row>
    <row r="1668" spans="1:13">
      <c r="A1668" s="6">
        <v>2023</v>
      </c>
      <c r="B1668" s="6">
        <v>7</v>
      </c>
      <c r="C1668" s="6" t="s">
        <v>65</v>
      </c>
      <c r="D1668" s="6" t="s">
        <v>662</v>
      </c>
      <c r="E1668" s="6" t="s">
        <v>552</v>
      </c>
      <c r="F1668" s="6" t="str">
        <f>IF($M1668="PADD I","PADD 1",IF($M1668="PADD II","PADD 2",IF($M1668="PADD III","PADD 3",IF($M1668="PADD IV","PADD 4",IF($M1668="PADD V","PADD 5","")))))</f>
        <v>PADD 3</v>
      </c>
      <c r="G1668" s="6">
        <f>IF(AND($H1668="ATMOS DISTILLATION",ISNUMBER(SEARCH("VPS",$I1668))=FALSE,LEFT($I1668,6)&lt;&gt;"VACUUM"),"CDU",IF($H1668="FLUID CAT CRACKING","FCC",IF(OR($H1668="HYDROCRACKING",$H1668="RESID_HYDROCRACKING"),"Hydrocracker",IF($H1668="REFORMING","Reformer",""))))</f>
        <v/>
      </c>
      <c r="H1668" s="6" t="s">
        <v>43</v>
      </c>
      <c r="I1668" s="6" t="s">
        <v>927</v>
      </c>
      <c r="J1668" s="6" t="s">
        <v>349</v>
      </c>
      <c r="K1668" s="10">
        <v>3.315</v>
      </c>
      <c r="L1668" s="10">
        <v>25.5</v>
      </c>
      <c r="M1668" s="6" t="s">
        <v>371</v>
      </c>
    </row>
    <row r="1669" spans="1:13">
      <c r="A1669" s="6">
        <v>2023</v>
      </c>
      <c r="B1669" s="6">
        <v>7</v>
      </c>
      <c r="C1669" s="6" t="s">
        <v>65</v>
      </c>
      <c r="D1669" s="6" t="s">
        <v>440</v>
      </c>
      <c r="E1669" s="6" t="s">
        <v>369</v>
      </c>
      <c r="F1669" s="6" t="str">
        <f>IF($M1669="PADD I","PADD 1",IF($M1669="PADD II","PADD 2",IF($M1669="PADD III","PADD 3",IF($M1669="PADD IV","PADD 4",IF($M1669="PADD V","PADD 5","")))))</f>
        <v>PADD 5</v>
      </c>
      <c r="G1669" s="6">
        <f>IF(AND($H1669="ATMOS DISTILLATION",ISNUMBER(SEARCH("VPS",$I1669))=FALSE,LEFT($I1669,6)&lt;&gt;"VACUUM"),"CDU",IF($H1669="FLUID CAT CRACKING","FCC",IF(OR($H1669="HYDROCRACKING",$H1669="RESID_HYDROCRACKING"),"Hydrocracker",IF($H1669="REFORMING","Reformer",""))))</f>
        <v/>
      </c>
      <c r="H1669" s="6" t="s">
        <v>435</v>
      </c>
      <c r="I1669" s="6" t="s">
        <v>441</v>
      </c>
      <c r="J1669" s="6" t="s">
        <v>345</v>
      </c>
      <c r="K1669" s="10">
        <v>3.18</v>
      </c>
      <c r="L1669" s="10">
        <v>53</v>
      </c>
      <c r="M1669" s="6" t="s">
        <v>386</v>
      </c>
    </row>
    <row r="1670" spans="1:13">
      <c r="A1670" s="6">
        <v>2023</v>
      </c>
      <c r="B1670" s="6">
        <v>7</v>
      </c>
      <c r="C1670" s="6" t="s">
        <v>65</v>
      </c>
      <c r="D1670" s="6" t="s">
        <v>526</v>
      </c>
      <c r="E1670" s="6" t="s">
        <v>405</v>
      </c>
      <c r="F1670" s="6" t="str">
        <f>IF($M1670="PADD I","PADD 1",IF($M1670="PADD II","PADD 2",IF($M1670="PADD III","PADD 3",IF($M1670="PADD IV","PADD 4",IF($M1670="PADD V","PADD 5","")))))</f>
        <v>PADD 3</v>
      </c>
      <c r="G1670" s="6" t="str">
        <f>IF(AND($H1670="ATMOS DISTILLATION",ISNUMBER(SEARCH("VPS",$I1670))=FALSE,LEFT($I1670,6)&lt;&gt;"VACUUM"),"CDU",IF($H1670="FLUID CAT CRACKING","FCC",IF(OR($H1670="HYDROCRACKING",$H1670="RESID_HYDROCRACKING"),"Hydrocracker",IF($H1670="REFORMING","Reformer",""))))</f>
        <v>Reformer</v>
      </c>
      <c r="H1670" s="6" t="s">
        <v>421</v>
      </c>
      <c r="I1670" s="6" t="s">
        <v>597</v>
      </c>
      <c r="J1670" s="6" t="s">
        <v>345</v>
      </c>
      <c r="K1670" s="10">
        <v>3.18</v>
      </c>
      <c r="L1670" s="10">
        <v>53</v>
      </c>
      <c r="M1670" s="6" t="s">
        <v>371</v>
      </c>
    </row>
    <row r="1671" spans="1:13">
      <c r="A1671" s="6">
        <v>2023</v>
      </c>
      <c r="B1671" s="6">
        <v>7</v>
      </c>
      <c r="C1671" s="6" t="s">
        <v>65</v>
      </c>
      <c r="D1671" s="6" t="s">
        <v>526</v>
      </c>
      <c r="E1671" s="6" t="s">
        <v>405</v>
      </c>
      <c r="F1671" s="6" t="str">
        <f>IF($M1671="PADD I","PADD 1",IF($M1671="PADD II","PADD 2",IF($M1671="PADD III","PADD 3",IF($M1671="PADD IV","PADD 4",IF($M1671="PADD V","PADD 5","")))))</f>
        <v>PADD 3</v>
      </c>
      <c r="G1671" s="6" t="str">
        <f>IF(AND($H1671="ATMOS DISTILLATION",ISNUMBER(SEARCH("VPS",$I1671))=FALSE,LEFT($I1671,6)&lt;&gt;"VACUUM"),"CDU",IF($H1671="FLUID CAT CRACKING","FCC",IF(OR($H1671="HYDROCRACKING",$H1671="RESID_HYDROCRACKING"),"Hydrocracker",IF($H1671="REFORMING","Reformer",""))))</f>
        <v>Reformer</v>
      </c>
      <c r="H1671" s="6" t="s">
        <v>421</v>
      </c>
      <c r="I1671" s="6" t="s">
        <v>928</v>
      </c>
      <c r="J1671" s="6" t="s">
        <v>345</v>
      </c>
      <c r="K1671" s="10">
        <v>3</v>
      </c>
      <c r="L1671" s="10">
        <v>50</v>
      </c>
      <c r="M1671" s="6" t="s">
        <v>371</v>
      </c>
    </row>
    <row r="1672" spans="1:13">
      <c r="A1672" s="6">
        <v>2023</v>
      </c>
      <c r="B1672" s="6">
        <v>7</v>
      </c>
      <c r="C1672" s="6" t="s">
        <v>65</v>
      </c>
      <c r="D1672" s="6" t="s">
        <v>542</v>
      </c>
      <c r="E1672" s="6" t="s">
        <v>543</v>
      </c>
      <c r="F1672" s="6" t="str">
        <f>IF($M1672="PADD I","PADD 1",IF($M1672="PADD II","PADD 2",IF($M1672="PADD III","PADD 3",IF($M1672="PADD IV","PADD 4",IF($M1672="PADD V","PADD 5","")))))</f>
        <v>PADD 2</v>
      </c>
      <c r="G1672" s="6">
        <f>IF(AND($H1672="ATMOS DISTILLATION",ISNUMBER(SEARCH("VPS",$I1672))=FALSE,LEFT($I1672,6)&lt;&gt;"VACUUM"),"CDU",IF($H1672="FLUID CAT CRACKING","FCC",IF(OR($H1672="HYDROCRACKING",$H1672="RESID_HYDROCRACKING"),"Hydrocracker",IF($H1672="REFORMING","Reformer",""))))</f>
        <v/>
      </c>
      <c r="H1672" s="6" t="s">
        <v>43</v>
      </c>
      <c r="I1672" s="6" t="s">
        <v>551</v>
      </c>
      <c r="J1672" s="6" t="s">
        <v>345</v>
      </c>
      <c r="K1672" s="10">
        <v>3</v>
      </c>
      <c r="L1672" s="10">
        <v>100</v>
      </c>
      <c r="M1672" s="6" t="s">
        <v>375</v>
      </c>
    </row>
    <row r="1673" spans="1:13">
      <c r="A1673" s="6">
        <v>2023</v>
      </c>
      <c r="B1673" s="6">
        <v>7</v>
      </c>
      <c r="C1673" s="6" t="s">
        <v>65</v>
      </c>
      <c r="D1673" s="6" t="s">
        <v>518</v>
      </c>
      <c r="E1673" s="6" t="s">
        <v>369</v>
      </c>
      <c r="F1673" s="6" t="str">
        <f>IF($M1673="PADD I","PADD 1",IF($M1673="PADD II","PADD 2",IF($M1673="PADD III","PADD 3",IF($M1673="PADD IV","PADD 4",IF($M1673="PADD V","PADD 5","")))))</f>
        <v>PADD 5</v>
      </c>
      <c r="G1673" s="6" t="str">
        <f>IF(AND($H1673="ATMOS DISTILLATION",ISNUMBER(SEARCH("VPS",$I1673))=FALSE,LEFT($I1673,6)&lt;&gt;"VACUUM"),"CDU",IF($H1673="FLUID CAT CRACKING","FCC",IF(OR($H1673="HYDROCRACKING",$H1673="RESID_HYDROCRACKING"),"Hydrocracker",IF($H1673="REFORMING","Reformer",""))))</f>
        <v>Hydrocracker</v>
      </c>
      <c r="H1673" s="6" t="s">
        <v>444</v>
      </c>
      <c r="I1673" s="6" t="s">
        <v>582</v>
      </c>
      <c r="J1673" s="6" t="s">
        <v>345</v>
      </c>
      <c r="K1673" s="10">
        <v>2.99</v>
      </c>
      <c r="L1673" s="10">
        <v>23</v>
      </c>
      <c r="M1673" s="6" t="s">
        <v>386</v>
      </c>
    </row>
    <row r="1674" spans="1:13">
      <c r="A1674" s="6">
        <v>2023</v>
      </c>
      <c r="B1674" s="6">
        <v>7</v>
      </c>
      <c r="C1674" s="6" t="s">
        <v>65</v>
      </c>
      <c r="D1674" s="6" t="s">
        <v>662</v>
      </c>
      <c r="E1674" s="6" t="s">
        <v>552</v>
      </c>
      <c r="F1674" s="6" t="str">
        <f>IF($M1674="PADD I","PADD 1",IF($M1674="PADD II","PADD 2",IF($M1674="PADD III","PADD 3",IF($M1674="PADD IV","PADD 4",IF($M1674="PADD V","PADD 5","")))))</f>
        <v>PADD 3</v>
      </c>
      <c r="G1674" s="6">
        <f>IF(AND($H1674="ATMOS DISTILLATION",ISNUMBER(SEARCH("VPS",$I1674))=FALSE,LEFT($I1674,6)&lt;&gt;"VACUUM"),"CDU",IF($H1674="FLUID CAT CRACKING","FCC",IF(OR($H1674="HYDROCRACKING",$H1674="RESID_HYDROCRACKING"),"Hydrocracker",IF($H1674="REFORMING","Reformer",""))))</f>
        <v/>
      </c>
      <c r="H1674" s="6" t="s">
        <v>43</v>
      </c>
      <c r="I1674" s="6" t="s">
        <v>735</v>
      </c>
      <c r="J1674" s="6" t="s">
        <v>349</v>
      </c>
      <c r="K1674" s="10">
        <v>2.99</v>
      </c>
      <c r="L1674" s="10">
        <v>23</v>
      </c>
      <c r="M1674" s="6" t="s">
        <v>371</v>
      </c>
    </row>
    <row r="1675" spans="1:13">
      <c r="A1675" s="6">
        <v>2023</v>
      </c>
      <c r="B1675" s="6">
        <v>7</v>
      </c>
      <c r="C1675" s="6" t="s">
        <v>65</v>
      </c>
      <c r="D1675" s="6" t="s">
        <v>547</v>
      </c>
      <c r="E1675" s="6" t="s">
        <v>391</v>
      </c>
      <c r="F1675" s="6" t="str">
        <f>IF($M1675="PADD I","PADD 1",IF($M1675="PADD II","PADD 2",IF($M1675="PADD III","PADD 3",IF($M1675="PADD IV","PADD 4",IF($M1675="PADD V","PADD 5","")))))</f>
        <v>PADD 5</v>
      </c>
      <c r="G1675" s="6">
        <f>IF(AND($H1675="ATMOS DISTILLATION",ISNUMBER(SEARCH("VPS",$I1675))=FALSE,LEFT($I1675,6)&lt;&gt;"VACUUM"),"CDU",IF($H1675="FLUID CAT CRACKING","FCC",IF(OR($H1675="HYDROCRACKING",$H1675="RESID_HYDROCRACKING"),"Hydrocracker",IF($H1675="REFORMING","Reformer",""))))</f>
        <v/>
      </c>
      <c r="H1675" s="6" t="s">
        <v>43</v>
      </c>
      <c r="I1675" s="6" t="s">
        <v>929</v>
      </c>
      <c r="J1675" s="6" t="s">
        <v>345</v>
      </c>
      <c r="K1675" s="10">
        <v>2.9808</v>
      </c>
      <c r="L1675" s="10">
        <v>12.96</v>
      </c>
      <c r="M1675" s="6" t="s">
        <v>386</v>
      </c>
    </row>
    <row r="1676" spans="1:13">
      <c r="A1676" s="6">
        <v>2023</v>
      </c>
      <c r="B1676" s="6">
        <v>7</v>
      </c>
      <c r="C1676" s="6" t="s">
        <v>65</v>
      </c>
      <c r="D1676" s="6" t="s">
        <v>319</v>
      </c>
      <c r="E1676" s="6" t="s">
        <v>665</v>
      </c>
      <c r="F1676" s="6" t="str">
        <f>IF($M1676="PADD I","PADD 1",IF($M1676="PADD II","PADD 2",IF($M1676="PADD III","PADD 3",IF($M1676="PADD IV","PADD 4",IF($M1676="PADD V","PADD 5","")))))</f>
        <v>PADD 3</v>
      </c>
      <c r="G1676" s="6">
        <f>IF(AND($H1676="ATMOS DISTILLATION",ISNUMBER(SEARCH("VPS",$I1676))=FALSE,LEFT($I1676,6)&lt;&gt;"VACUUM"),"CDU",IF($H1676="FLUID CAT CRACKING","FCC",IF(OR($H1676="HYDROCRACKING",$H1676="RESID_HYDROCRACKING"),"Hydrocracker",IF($H1676="REFORMING","Reformer",""))))</f>
        <v/>
      </c>
      <c r="H1676" s="6" t="s">
        <v>435</v>
      </c>
      <c r="I1676" s="6" t="s">
        <v>441</v>
      </c>
      <c r="J1676" s="6" t="s">
        <v>345</v>
      </c>
      <c r="K1676" s="10">
        <v>2.7794</v>
      </c>
      <c r="L1676" s="10">
        <v>21.38</v>
      </c>
      <c r="M1676" s="6" t="s">
        <v>371</v>
      </c>
    </row>
    <row r="1677" spans="1:13">
      <c r="A1677" s="6">
        <v>2023</v>
      </c>
      <c r="B1677" s="6">
        <v>7</v>
      </c>
      <c r="C1677" s="6" t="s">
        <v>65</v>
      </c>
      <c r="D1677" s="6" t="s">
        <v>547</v>
      </c>
      <c r="E1677" s="6" t="s">
        <v>391</v>
      </c>
      <c r="F1677" s="6" t="str">
        <f>IF($M1677="PADD I","PADD 1",IF($M1677="PADD II","PADD 2",IF($M1677="PADD III","PADD 3",IF($M1677="PADD IV","PADD 4",IF($M1677="PADD V","PADD 5","")))))</f>
        <v>PADD 5</v>
      </c>
      <c r="G1677" s="6" t="str">
        <f>IF(AND($H1677="ATMOS DISTILLATION",ISNUMBER(SEARCH("VPS",$I1677))=FALSE,LEFT($I1677,6)&lt;&gt;"VACUUM"),"CDU",IF($H1677="FLUID CAT CRACKING","FCC",IF(OR($H1677="HYDROCRACKING",$H1677="RESID_HYDROCRACKING"),"Hydrocracker",IF($H1677="REFORMING","Reformer",""))))</f>
        <v>Hydrocracker</v>
      </c>
      <c r="H1677" s="6" t="s">
        <v>444</v>
      </c>
      <c r="I1677" s="6" t="s">
        <v>734</v>
      </c>
      <c r="J1677" s="6" t="s">
        <v>345</v>
      </c>
      <c r="K1677" s="10">
        <v>2.76</v>
      </c>
      <c r="L1677" s="10">
        <v>12</v>
      </c>
      <c r="M1677" s="6" t="s">
        <v>386</v>
      </c>
    </row>
    <row r="1678" spans="1:13">
      <c r="A1678" s="6">
        <v>2023</v>
      </c>
      <c r="B1678" s="6">
        <v>7</v>
      </c>
      <c r="C1678" s="6" t="s">
        <v>65</v>
      </c>
      <c r="D1678" s="6" t="s">
        <v>547</v>
      </c>
      <c r="E1678" s="6" t="s">
        <v>391</v>
      </c>
      <c r="F1678" s="6" t="str">
        <f>IF($M1678="PADD I","PADD 1",IF($M1678="PADD II","PADD 2",IF($M1678="PADD III","PADD 3",IF($M1678="PADD IV","PADD 4",IF($M1678="PADD V","PADD 5","")))))</f>
        <v>PADD 5</v>
      </c>
      <c r="G1678" s="6">
        <f>IF(AND($H1678="ATMOS DISTILLATION",ISNUMBER(SEARCH("VPS",$I1678))=FALSE,LEFT($I1678,6)&lt;&gt;"VACUUM"),"CDU",IF($H1678="FLUID CAT CRACKING","FCC",IF(OR($H1678="HYDROCRACKING",$H1678="RESID_HYDROCRACKING"),"Hydrocracker",IF($H1678="REFORMING","Reformer",""))))</f>
        <v/>
      </c>
      <c r="H1678" s="6" t="s">
        <v>43</v>
      </c>
      <c r="I1678" s="6" t="s">
        <v>930</v>
      </c>
      <c r="J1678" s="6" t="s">
        <v>345</v>
      </c>
      <c r="K1678" s="10">
        <v>2.714</v>
      </c>
      <c r="L1678" s="10">
        <v>11.8</v>
      </c>
      <c r="M1678" s="6" t="s">
        <v>386</v>
      </c>
    </row>
    <row r="1679" spans="1:13">
      <c r="A1679" s="6">
        <v>2023</v>
      </c>
      <c r="B1679" s="6">
        <v>7</v>
      </c>
      <c r="C1679" s="6" t="s">
        <v>65</v>
      </c>
      <c r="D1679" s="6" t="s">
        <v>547</v>
      </c>
      <c r="E1679" s="6" t="s">
        <v>391</v>
      </c>
      <c r="F1679" s="6" t="str">
        <f>IF($M1679="PADD I","PADD 1",IF($M1679="PADD II","PADD 2",IF($M1679="PADD III","PADD 3",IF($M1679="PADD IV","PADD 4",IF($M1679="PADD V","PADD 5","")))))</f>
        <v>PADD 5</v>
      </c>
      <c r="G1679" s="6">
        <f>IF(AND($H1679="ATMOS DISTILLATION",ISNUMBER(SEARCH("VPS",$I1679))=FALSE,LEFT($I1679,6)&lt;&gt;"VACUUM"),"CDU",IF($H1679="FLUID CAT CRACKING","FCC",IF(OR($H1679="HYDROCRACKING",$H1679="RESID_HYDROCRACKING"),"Hydrocracker",IF($H1679="REFORMING","Reformer",""))))</f>
        <v/>
      </c>
      <c r="H1679" s="6" t="s">
        <v>43</v>
      </c>
      <c r="I1679" s="6" t="s">
        <v>931</v>
      </c>
      <c r="J1679" s="6" t="s">
        <v>345</v>
      </c>
      <c r="K1679" s="10">
        <v>2.6496</v>
      </c>
      <c r="L1679" s="10">
        <v>11.52</v>
      </c>
      <c r="M1679" s="6" t="s">
        <v>386</v>
      </c>
    </row>
    <row r="1680" spans="1:13">
      <c r="A1680" s="6">
        <v>2023</v>
      </c>
      <c r="B1680" s="6">
        <v>7</v>
      </c>
      <c r="C1680" s="6" t="s">
        <v>65</v>
      </c>
      <c r="D1680" s="6" t="s">
        <v>922</v>
      </c>
      <c r="E1680" s="6" t="s">
        <v>452</v>
      </c>
      <c r="F1680" s="6" t="str">
        <f>IF($M1680="PADD I","PADD 1",IF($M1680="PADD II","PADD 2",IF($M1680="PADD III","PADD 3",IF($M1680="PADD IV","PADD 4",IF($M1680="PADD V","PADD 5","")))))</f>
        <v>PADD 4</v>
      </c>
      <c r="G1680" s="6" t="str">
        <f>IF(AND($H1680="ATMOS DISTILLATION",ISNUMBER(SEARCH("VPS",$I1680))=FALSE,LEFT($I1680,6)&lt;&gt;"VACUUM"),"CDU",IF($H1680="FLUID CAT CRACKING","FCC",IF(OR($H1680="HYDROCRACKING",$H1680="RESID_HYDROCRACKING"),"Hydrocracker",IF($H1680="REFORMING","Reformer",""))))</f>
        <v>FCC</v>
      </c>
      <c r="H1680" s="6" t="s">
        <v>376</v>
      </c>
      <c r="I1680" s="6" t="s">
        <v>105</v>
      </c>
      <c r="J1680" s="6" t="s">
        <v>349</v>
      </c>
      <c r="K1680" s="10">
        <v>2.47</v>
      </c>
      <c r="L1680" s="10">
        <v>13</v>
      </c>
      <c r="M1680" s="6" t="s">
        <v>430</v>
      </c>
    </row>
    <row r="1681" spans="1:13">
      <c r="A1681" s="6">
        <v>2023</v>
      </c>
      <c r="B1681" s="6">
        <v>7</v>
      </c>
      <c r="C1681" s="6" t="s">
        <v>65</v>
      </c>
      <c r="D1681" s="6" t="s">
        <v>645</v>
      </c>
      <c r="E1681" s="6" t="s">
        <v>388</v>
      </c>
      <c r="F1681" s="6" t="str">
        <f>IF($M1681="PADD I","PADD 1",IF($M1681="PADD II","PADD 2",IF($M1681="PADD III","PADD 3",IF($M1681="PADD IV","PADD 4",IF($M1681="PADD V","PADD 5","")))))</f>
        <v>PADD 3</v>
      </c>
      <c r="G1681" s="6">
        <f>IF(AND($H1681="ATMOS DISTILLATION",ISNUMBER(SEARCH("VPS",$I1681))=FALSE,LEFT($I1681,6)&lt;&gt;"VACUUM"),"CDU",IF($H1681="FLUID CAT CRACKING","FCC",IF(OR($H1681="HYDROCRACKING",$H1681="RESID_HYDROCRACKING"),"Hydrocracker",IF($H1681="REFORMING","Reformer",""))))</f>
        <v/>
      </c>
      <c r="H1681" s="6" t="s">
        <v>43</v>
      </c>
      <c r="I1681" s="6" t="s">
        <v>449</v>
      </c>
      <c r="J1681" s="6" t="s">
        <v>345</v>
      </c>
      <c r="K1681" s="10">
        <v>2.4</v>
      </c>
      <c r="L1681" s="10">
        <v>80</v>
      </c>
      <c r="M1681" s="6" t="s">
        <v>371</v>
      </c>
    </row>
    <row r="1682" spans="1:13">
      <c r="A1682" s="6">
        <v>2023</v>
      </c>
      <c r="B1682" s="6">
        <v>7</v>
      </c>
      <c r="C1682" s="6" t="s">
        <v>65</v>
      </c>
      <c r="D1682" s="6" t="s">
        <v>670</v>
      </c>
      <c r="E1682" s="6" t="s">
        <v>405</v>
      </c>
      <c r="F1682" s="6" t="str">
        <f>IF($M1682="PADD I","PADD 1",IF($M1682="PADD II","PADD 2",IF($M1682="PADD III","PADD 3",IF($M1682="PADD IV","PADD 4",IF($M1682="PADD V","PADD 5","")))))</f>
        <v>PADD 2</v>
      </c>
      <c r="G1682" s="6">
        <f>IF(AND($H1682="ATMOS DISTILLATION",ISNUMBER(SEARCH("VPS",$I1682))=FALSE,LEFT($I1682,6)&lt;&gt;"VACUUM"),"CDU",IF($H1682="FLUID CAT CRACKING","FCC",IF(OR($H1682="HYDROCRACKING",$H1682="RESID_HYDROCRACKING"),"Hydrocracker",IF($H1682="REFORMING","Reformer",""))))</f>
        <v/>
      </c>
      <c r="H1682" s="6" t="s">
        <v>460</v>
      </c>
      <c r="I1682" s="6" t="s">
        <v>616</v>
      </c>
      <c r="J1682" s="6" t="s">
        <v>345</v>
      </c>
      <c r="K1682" s="10">
        <v>2.28</v>
      </c>
      <c r="L1682" s="10">
        <v>12</v>
      </c>
      <c r="M1682" s="6" t="s">
        <v>375</v>
      </c>
    </row>
    <row r="1683" spans="1:13">
      <c r="A1683" s="6">
        <v>2023</v>
      </c>
      <c r="B1683" s="6">
        <v>7</v>
      </c>
      <c r="C1683" s="6" t="s">
        <v>65</v>
      </c>
      <c r="D1683" s="6" t="s">
        <v>420</v>
      </c>
      <c r="E1683" s="6" t="s">
        <v>373</v>
      </c>
      <c r="F1683" s="6" t="str">
        <f>IF($M1683="PADD I","PADD 1",IF($M1683="PADD II","PADD 2",IF($M1683="PADD III","PADD 3",IF($M1683="PADD IV","PADD 4",IF($M1683="PADD V","PADD 5","")))))</f>
        <v>PADD 2</v>
      </c>
      <c r="G1683" s="6">
        <f>IF(AND($H1683="ATMOS DISTILLATION",ISNUMBER(SEARCH("VPS",$I1683))=FALSE,LEFT($I1683,6)&lt;&gt;"VACUUM"),"CDU",IF($H1683="FLUID CAT CRACKING","FCC",IF(OR($H1683="HYDROCRACKING",$H1683="RESID_HYDROCRACKING"),"Hydrocracker",IF($H1683="REFORMING","Reformer",""))))</f>
        <v/>
      </c>
      <c r="H1683" s="6" t="s">
        <v>568</v>
      </c>
      <c r="I1683" s="6" t="s">
        <v>604</v>
      </c>
      <c r="J1683" s="6" t="s">
        <v>345</v>
      </c>
      <c r="K1683" s="10">
        <v>2</v>
      </c>
      <c r="L1683" s="10">
        <v>2</v>
      </c>
      <c r="M1683" s="6" t="s">
        <v>375</v>
      </c>
    </row>
    <row r="1684" spans="1:13">
      <c r="A1684" s="6">
        <v>2023</v>
      </c>
      <c r="B1684" s="6">
        <v>7</v>
      </c>
      <c r="C1684" s="6" t="s">
        <v>65</v>
      </c>
      <c r="D1684" s="6" t="s">
        <v>547</v>
      </c>
      <c r="E1684" s="6" t="s">
        <v>391</v>
      </c>
      <c r="F1684" s="6" t="str">
        <f>IF($M1684="PADD I","PADD 1",IF($M1684="PADD II","PADD 2",IF($M1684="PADD III","PADD 3",IF($M1684="PADD IV","PADD 4",IF($M1684="PADD V","PADD 5","")))))</f>
        <v>PADD 5</v>
      </c>
      <c r="G1684" s="6" t="str">
        <f>IF(AND($H1684="ATMOS DISTILLATION",ISNUMBER(SEARCH("VPS",$I1684))=FALSE,LEFT($I1684,6)&lt;&gt;"VACUUM"),"CDU",IF($H1684="FLUID CAT CRACKING","FCC",IF(OR($H1684="HYDROCRACKING",$H1684="RESID_HYDROCRACKING"),"Hydrocracker",IF($H1684="REFORMING","Reformer",""))))</f>
        <v>Reformer</v>
      </c>
      <c r="H1684" s="6" t="s">
        <v>421</v>
      </c>
      <c r="I1684" s="6" t="s">
        <v>932</v>
      </c>
      <c r="J1684" s="6" t="s">
        <v>345</v>
      </c>
      <c r="K1684" s="10">
        <v>1.84</v>
      </c>
      <c r="L1684" s="10">
        <v>8</v>
      </c>
      <c r="M1684" s="6" t="s">
        <v>386</v>
      </c>
    </row>
    <row r="1685" spans="1:13">
      <c r="A1685" s="6">
        <v>2023</v>
      </c>
      <c r="B1685" s="6">
        <v>7</v>
      </c>
      <c r="C1685" s="6" t="s">
        <v>65</v>
      </c>
      <c r="D1685" s="6" t="s">
        <v>468</v>
      </c>
      <c r="E1685" s="6" t="s">
        <v>369</v>
      </c>
      <c r="F1685" s="6" t="str">
        <f>IF($M1685="PADD I","PADD 1",IF($M1685="PADD II","PADD 2",IF($M1685="PADD III","PADD 3",IF($M1685="PADD IV","PADD 4",IF($M1685="PADD V","PADD 5","")))))</f>
        <v>PADD 3</v>
      </c>
      <c r="G1685" s="6">
        <f>IF(AND($H1685="ATMOS DISTILLATION",ISNUMBER(SEARCH("VPS",$I1685))=FALSE,LEFT($I1685,6)&lt;&gt;"VACUUM"),"CDU",IF($H1685="FLUID CAT CRACKING","FCC",IF(OR($H1685="HYDROCRACKING",$H1685="RESID_HYDROCRACKING"),"Hydrocracker",IF($H1685="REFORMING","Reformer",""))))</f>
        <v/>
      </c>
      <c r="H1685" s="6" t="s">
        <v>460</v>
      </c>
      <c r="I1685" s="6" t="s">
        <v>890</v>
      </c>
      <c r="J1685" s="6" t="s">
        <v>345</v>
      </c>
      <c r="K1685" s="10">
        <v>1.82</v>
      </c>
      <c r="L1685" s="10">
        <v>14</v>
      </c>
      <c r="M1685" s="6" t="s">
        <v>371</v>
      </c>
    </row>
    <row r="1686" spans="1:13">
      <c r="A1686" s="6">
        <v>2023</v>
      </c>
      <c r="B1686" s="6">
        <v>7</v>
      </c>
      <c r="C1686" s="6" t="s">
        <v>65</v>
      </c>
      <c r="D1686" s="6" t="s">
        <v>922</v>
      </c>
      <c r="E1686" s="6" t="s">
        <v>452</v>
      </c>
      <c r="F1686" s="6" t="str">
        <f>IF($M1686="PADD I","PADD 1",IF($M1686="PADD II","PADD 2",IF($M1686="PADD III","PADD 3",IF($M1686="PADD IV","PADD 4",IF($M1686="PADD V","PADD 5","")))))</f>
        <v>PADD 4</v>
      </c>
      <c r="G1686" s="6">
        <f>IF(AND($H1686="ATMOS DISTILLATION",ISNUMBER(SEARCH("VPS",$I1686))=FALSE,LEFT($I1686,6)&lt;&gt;"VACUUM"),"CDU",IF($H1686="FLUID CAT CRACKING","FCC",IF(OR($H1686="HYDROCRACKING",$H1686="RESID_HYDROCRACKING"),"Hydrocracker",IF($H1686="REFORMING","Reformer",""))))</f>
        <v/>
      </c>
      <c r="H1686" s="6" t="s">
        <v>43</v>
      </c>
      <c r="I1686" s="6" t="s">
        <v>933</v>
      </c>
      <c r="J1686" s="6" t="s">
        <v>349</v>
      </c>
      <c r="K1686" s="10">
        <v>1.805</v>
      </c>
      <c r="L1686" s="10">
        <v>9.5</v>
      </c>
      <c r="M1686" s="6" t="s">
        <v>430</v>
      </c>
    </row>
    <row r="1687" spans="1:13">
      <c r="A1687" s="6">
        <v>2023</v>
      </c>
      <c r="B1687" s="6">
        <v>7</v>
      </c>
      <c r="C1687" s="6" t="s">
        <v>65</v>
      </c>
      <c r="D1687" s="6" t="s">
        <v>51</v>
      </c>
      <c r="E1687" s="6" t="s">
        <v>391</v>
      </c>
      <c r="F1687" s="6" t="str">
        <f>IF($M1687="PADD I","PADD 1",IF($M1687="PADD II","PADD 2",IF($M1687="PADD III","PADD 3",IF($M1687="PADD IV","PADD 4",IF($M1687="PADD V","PADD 5","")))))</f>
        <v>PADD 5</v>
      </c>
      <c r="G1687" s="6" t="str">
        <f>IF(AND($H1687="ATMOS DISTILLATION",ISNUMBER(SEARCH("VPS",$I1687))=FALSE,LEFT($I1687,6)&lt;&gt;"VACUUM"),"CDU",IF($H1687="FLUID CAT CRACKING","FCC",IF(OR($H1687="HYDROCRACKING",$H1687="RESID_HYDROCRACKING"),"Hydrocracker",IF($H1687="REFORMING","Reformer",""))))</f>
        <v>Reformer</v>
      </c>
      <c r="H1687" s="6" t="s">
        <v>421</v>
      </c>
      <c r="I1687" s="6" t="s">
        <v>539</v>
      </c>
      <c r="J1687" s="6" t="s">
        <v>345</v>
      </c>
      <c r="K1687" s="10">
        <v>1.8</v>
      </c>
      <c r="L1687" s="10">
        <v>60</v>
      </c>
      <c r="M1687" s="6" t="s">
        <v>386</v>
      </c>
    </row>
    <row r="1688" spans="1:13">
      <c r="A1688" s="6">
        <v>2023</v>
      </c>
      <c r="B1688" s="6">
        <v>7</v>
      </c>
      <c r="C1688" s="6" t="s">
        <v>65</v>
      </c>
      <c r="D1688" s="6" t="s">
        <v>934</v>
      </c>
      <c r="E1688" s="6" t="s">
        <v>388</v>
      </c>
      <c r="F1688" s="6" t="str">
        <f>IF($M1688="PADD I","PADD 1",IF($M1688="PADD II","PADD 2",IF($M1688="PADD III","PADD 3",IF($M1688="PADD IV","PADD 4",IF($M1688="PADD V","PADD 5","")))))</f>
        <v>PADD 3</v>
      </c>
      <c r="G1688" s="6" t="str">
        <f>IF(AND($H1688="ATMOS DISTILLATION",ISNUMBER(SEARCH("VPS",$I1688))=FALSE,LEFT($I1688,6)&lt;&gt;"VACUUM"),"CDU",IF($H1688="FLUID CAT CRACKING","FCC",IF(OR($H1688="HYDROCRACKING",$H1688="RESID_HYDROCRACKING"),"Hydrocracker",IF($H1688="REFORMING","Reformer",""))))</f>
        <v>FCC</v>
      </c>
      <c r="H1688" s="6" t="s">
        <v>376</v>
      </c>
      <c r="I1688" s="6" t="s">
        <v>105</v>
      </c>
      <c r="J1688" s="6" t="s">
        <v>349</v>
      </c>
      <c r="K1688" s="10">
        <v>1.77</v>
      </c>
      <c r="L1688" s="10">
        <v>29.5</v>
      </c>
      <c r="M1688" s="6" t="s">
        <v>371</v>
      </c>
    </row>
    <row r="1689" spans="1:13">
      <c r="A1689" s="6">
        <v>2023</v>
      </c>
      <c r="B1689" s="6">
        <v>7</v>
      </c>
      <c r="C1689" s="6" t="s">
        <v>65</v>
      </c>
      <c r="D1689" s="6" t="s">
        <v>922</v>
      </c>
      <c r="E1689" s="6" t="s">
        <v>452</v>
      </c>
      <c r="F1689" s="6" t="str">
        <f>IF($M1689="PADD I","PADD 1",IF($M1689="PADD II","PADD 2",IF($M1689="PADD III","PADD 3",IF($M1689="PADD IV","PADD 4",IF($M1689="PADD V","PADD 5","")))))</f>
        <v>PADD 4</v>
      </c>
      <c r="G1689" s="6">
        <f>IF(AND($H1689="ATMOS DISTILLATION",ISNUMBER(SEARCH("VPS",$I1689))=FALSE,LEFT($I1689,6)&lt;&gt;"VACUUM"),"CDU",IF($H1689="FLUID CAT CRACKING","FCC",IF(OR($H1689="HYDROCRACKING",$H1689="RESID_HYDROCRACKING"),"Hydrocracker",IF($H1689="REFORMING","Reformer",""))))</f>
        <v/>
      </c>
      <c r="H1689" s="6" t="s">
        <v>43</v>
      </c>
      <c r="I1689" s="6" t="s">
        <v>726</v>
      </c>
      <c r="J1689" s="6" t="s">
        <v>349</v>
      </c>
      <c r="K1689" s="10">
        <v>1.71</v>
      </c>
      <c r="L1689" s="10">
        <v>9</v>
      </c>
      <c r="M1689" s="6" t="s">
        <v>430</v>
      </c>
    </row>
    <row r="1690" spans="1:13">
      <c r="A1690" s="6">
        <v>2023</v>
      </c>
      <c r="B1690" s="6">
        <v>7</v>
      </c>
      <c r="C1690" s="6" t="s">
        <v>65</v>
      </c>
      <c r="D1690" s="6" t="s">
        <v>799</v>
      </c>
      <c r="E1690" s="6" t="s">
        <v>391</v>
      </c>
      <c r="F1690" s="6" t="str">
        <f>IF($M1690="PADD I","PADD 1",IF($M1690="PADD II","PADD 2",IF($M1690="PADD III","PADD 3",IF($M1690="PADD IV","PADD 4",IF($M1690="PADD V","PADD 5","")))))</f>
        <v>PADD 4</v>
      </c>
      <c r="G1690" s="6">
        <f>IF(AND($H1690="ATMOS DISTILLATION",ISNUMBER(SEARCH("VPS",$I1690))=FALSE,LEFT($I1690,6)&lt;&gt;"VACUUM"),"CDU",IF($H1690="FLUID CAT CRACKING","FCC",IF(OR($H1690="HYDROCRACKING",$H1690="RESID_HYDROCRACKING"),"Hydrocracker",IF($H1690="REFORMING","Reformer",""))))</f>
        <v/>
      </c>
      <c r="H1690" s="6" t="s">
        <v>378</v>
      </c>
      <c r="I1690" s="6" t="s">
        <v>379</v>
      </c>
      <c r="J1690" s="6" t="s">
        <v>345</v>
      </c>
      <c r="K1690" s="10">
        <v>1.65</v>
      </c>
      <c r="L1690" s="10">
        <v>27.5</v>
      </c>
      <c r="M1690" s="6" t="s">
        <v>430</v>
      </c>
    </row>
    <row r="1691" spans="1:13">
      <c r="A1691" s="6">
        <v>2023</v>
      </c>
      <c r="B1691" s="6">
        <v>7</v>
      </c>
      <c r="C1691" s="6" t="s">
        <v>65</v>
      </c>
      <c r="D1691" s="6" t="s">
        <v>500</v>
      </c>
      <c r="E1691" s="6" t="s">
        <v>388</v>
      </c>
      <c r="F1691" s="6" t="str">
        <f>IF($M1691="PADD I","PADD 1",IF($M1691="PADD II","PADD 2",IF($M1691="PADD III","PADD 3",IF($M1691="PADD IV","PADD 4",IF($M1691="PADD V","PADD 5","")))))</f>
        <v>PADD 2</v>
      </c>
      <c r="G1691" s="6">
        <f>IF(AND($H1691="ATMOS DISTILLATION",ISNUMBER(SEARCH("VPS",$I1691))=FALSE,LEFT($I1691,6)&lt;&gt;"VACUUM"),"CDU",IF($H1691="FLUID CAT CRACKING","FCC",IF(OR($H1691="HYDROCRACKING",$H1691="RESID_HYDROCRACKING"),"Hydrocracker",IF($H1691="REFORMING","Reformer",""))))</f>
        <v/>
      </c>
      <c r="H1691" s="6" t="s">
        <v>460</v>
      </c>
      <c r="I1691" s="6" t="s">
        <v>616</v>
      </c>
      <c r="J1691" s="6" t="s">
        <v>349</v>
      </c>
      <c r="K1691" s="10">
        <v>1.56</v>
      </c>
      <c r="L1691" s="10">
        <v>6</v>
      </c>
      <c r="M1691" s="6" t="s">
        <v>375</v>
      </c>
    </row>
    <row r="1692" spans="1:13">
      <c r="A1692" s="6">
        <v>2023</v>
      </c>
      <c r="B1692" s="6">
        <v>7</v>
      </c>
      <c r="C1692" s="6" t="s">
        <v>65</v>
      </c>
      <c r="D1692" s="6" t="s">
        <v>662</v>
      </c>
      <c r="E1692" s="6" t="s">
        <v>552</v>
      </c>
      <c r="F1692" s="6" t="str">
        <f>IF($M1692="PADD I","PADD 1",IF($M1692="PADD II","PADD 2",IF($M1692="PADD III","PADD 3",IF($M1692="PADD IV","PADD 4",IF($M1692="PADD V","PADD 5","")))))</f>
        <v>PADD 3</v>
      </c>
      <c r="G1692" s="6">
        <f>IF(AND($H1692="ATMOS DISTILLATION",ISNUMBER(SEARCH("VPS",$I1692))=FALSE,LEFT($I1692,6)&lt;&gt;"VACUUM"),"CDU",IF($H1692="FLUID CAT CRACKING","FCC",IF(OR($H1692="HYDROCRACKING",$H1692="RESID_HYDROCRACKING"),"Hydrocracker",IF($H1692="REFORMING","Reformer",""))))</f>
        <v/>
      </c>
      <c r="H1692" s="6" t="s">
        <v>43</v>
      </c>
      <c r="I1692" s="6" t="s">
        <v>828</v>
      </c>
      <c r="J1692" s="6" t="s">
        <v>349</v>
      </c>
      <c r="K1692" s="10">
        <v>1.56</v>
      </c>
      <c r="L1692" s="10">
        <v>12</v>
      </c>
      <c r="M1692" s="6" t="s">
        <v>371</v>
      </c>
    </row>
    <row r="1693" spans="1:13">
      <c r="A1693" s="6">
        <v>2023</v>
      </c>
      <c r="B1693" s="6">
        <v>7</v>
      </c>
      <c r="C1693" s="6" t="s">
        <v>65</v>
      </c>
      <c r="D1693" s="6" t="s">
        <v>572</v>
      </c>
      <c r="E1693" s="6" t="s">
        <v>573</v>
      </c>
      <c r="F1693" s="6" t="str">
        <f>IF($M1693="PADD I","PADD 1",IF($M1693="PADD II","PADD 2",IF($M1693="PADD III","PADD 3",IF($M1693="PADD IV","PADD 4",IF($M1693="PADD V","PADD 5","")))))</f>
        <v>PADD 3</v>
      </c>
      <c r="G1693" s="6" t="str">
        <f>IF(AND($H1693="ATMOS DISTILLATION",ISNUMBER(SEARCH("VPS",$I1693))=FALSE,LEFT($I1693,6)&lt;&gt;"VACUUM"),"CDU",IF($H1693="FLUID CAT CRACKING","FCC",IF(OR($H1693="HYDROCRACKING",$H1693="RESID_HYDROCRACKING"),"Hydrocracker",IF($H1693="REFORMING","Reformer",""))))</f>
        <v>CDU</v>
      </c>
      <c r="H1693" s="6" t="s">
        <v>38</v>
      </c>
      <c r="I1693" s="6" t="s">
        <v>574</v>
      </c>
      <c r="J1693" s="6" t="s">
        <v>345</v>
      </c>
      <c r="K1693" s="10">
        <v>1.5</v>
      </c>
      <c r="L1693" s="10">
        <v>50</v>
      </c>
      <c r="M1693" s="6" t="s">
        <v>371</v>
      </c>
    </row>
    <row r="1694" spans="1:13">
      <c r="A1694" s="6">
        <v>2023</v>
      </c>
      <c r="B1694" s="6">
        <v>7</v>
      </c>
      <c r="C1694" s="6" t="s">
        <v>65</v>
      </c>
      <c r="D1694" s="6" t="s">
        <v>922</v>
      </c>
      <c r="E1694" s="6" t="s">
        <v>452</v>
      </c>
      <c r="F1694" s="6" t="str">
        <f>IF($M1694="PADD I","PADD 1",IF($M1694="PADD II","PADD 2",IF($M1694="PADD III","PADD 3",IF($M1694="PADD IV","PADD 4",IF($M1694="PADD V","PADD 5","")))))</f>
        <v>PADD 4</v>
      </c>
      <c r="G1694" s="6">
        <f>IF(AND($H1694="ATMOS DISTILLATION",ISNUMBER(SEARCH("VPS",$I1694))=FALSE,LEFT($I1694,6)&lt;&gt;"VACUUM"),"CDU",IF($H1694="FLUID CAT CRACKING","FCC",IF(OR($H1694="HYDROCRACKING",$H1694="RESID_HYDROCRACKING"),"Hydrocracker",IF($H1694="REFORMING","Reformer",""))))</f>
        <v/>
      </c>
      <c r="H1694" s="6" t="s">
        <v>378</v>
      </c>
      <c r="I1694" s="6" t="s">
        <v>935</v>
      </c>
      <c r="J1694" s="6" t="s">
        <v>349</v>
      </c>
      <c r="K1694" s="10">
        <v>1.482</v>
      </c>
      <c r="L1694" s="10">
        <v>7.8</v>
      </c>
      <c r="M1694" s="6" t="s">
        <v>430</v>
      </c>
    </row>
    <row r="1695" spans="1:13">
      <c r="A1695" s="6">
        <v>2023</v>
      </c>
      <c r="B1695" s="6">
        <v>7</v>
      </c>
      <c r="C1695" s="6" t="s">
        <v>65</v>
      </c>
      <c r="D1695" s="6" t="s">
        <v>922</v>
      </c>
      <c r="E1695" s="6" t="s">
        <v>452</v>
      </c>
      <c r="F1695" s="6" t="str">
        <f>IF($M1695="PADD I","PADD 1",IF($M1695="PADD II","PADD 2",IF($M1695="PADD III","PADD 3",IF($M1695="PADD IV","PADD 4",IF($M1695="PADD V","PADD 5","")))))</f>
        <v>PADD 4</v>
      </c>
      <c r="G1695" s="6" t="str">
        <f>IF(AND($H1695="ATMOS DISTILLATION",ISNUMBER(SEARCH("VPS",$I1695))=FALSE,LEFT($I1695,6)&lt;&gt;"VACUUM"),"CDU",IF($H1695="FLUID CAT CRACKING","FCC",IF(OR($H1695="HYDROCRACKING",$H1695="RESID_HYDROCRACKING"),"Hydrocracker",IF($H1695="REFORMING","Reformer",""))))</f>
        <v>Reformer</v>
      </c>
      <c r="H1695" s="6" t="s">
        <v>421</v>
      </c>
      <c r="I1695" s="6" t="s">
        <v>15</v>
      </c>
      <c r="J1695" s="6" t="s">
        <v>349</v>
      </c>
      <c r="K1695" s="10">
        <v>1.425</v>
      </c>
      <c r="L1695" s="10">
        <v>7.5</v>
      </c>
      <c r="M1695" s="6" t="s">
        <v>430</v>
      </c>
    </row>
    <row r="1696" spans="1:13">
      <c r="A1696" s="6">
        <v>2023</v>
      </c>
      <c r="B1696" s="6">
        <v>7</v>
      </c>
      <c r="C1696" s="6" t="s">
        <v>65</v>
      </c>
      <c r="D1696" s="6" t="s">
        <v>434</v>
      </c>
      <c r="E1696" s="6" t="s">
        <v>388</v>
      </c>
      <c r="F1696" s="6" t="str">
        <f>IF($M1696="PADD I","PADD 1",IF($M1696="PADD II","PADD 2",IF($M1696="PADD III","PADD 3",IF($M1696="PADD IV","PADD 4",IF($M1696="PADD V","PADD 5","")))))</f>
        <v>PADD 5</v>
      </c>
      <c r="G1696" s="6" t="str">
        <f>IF(AND($H1696="ATMOS DISTILLATION",ISNUMBER(SEARCH("VPS",$I1696))=FALSE,LEFT($I1696,6)&lt;&gt;"VACUUM"),"CDU",IF($H1696="FLUID CAT CRACKING","FCC",IF(OR($H1696="HYDROCRACKING",$H1696="RESID_HYDROCRACKING"),"Hydrocracker",IF($H1696="REFORMING","Reformer",""))))</f>
        <v>Hydrocracker</v>
      </c>
      <c r="H1696" s="6" t="s">
        <v>444</v>
      </c>
      <c r="I1696" s="6" t="s">
        <v>14</v>
      </c>
      <c r="J1696" s="6" t="s">
        <v>345</v>
      </c>
      <c r="K1696" s="10">
        <v>1.3984</v>
      </c>
      <c r="L1696" s="10">
        <v>7.36</v>
      </c>
      <c r="M1696" s="6" t="s">
        <v>386</v>
      </c>
    </row>
    <row r="1697" spans="1:13">
      <c r="A1697" s="6">
        <v>2023</v>
      </c>
      <c r="B1697" s="6">
        <v>7</v>
      </c>
      <c r="C1697" s="6" t="s">
        <v>65</v>
      </c>
      <c r="D1697" s="6" t="s">
        <v>778</v>
      </c>
      <c r="E1697" s="6" t="s">
        <v>779</v>
      </c>
      <c r="F1697" s="6" t="str">
        <f>IF($M1697="PADD I","PADD 1",IF($M1697="PADD II","PADD 2",IF($M1697="PADD III","PADD 3",IF($M1697="PADD IV","PADD 4",IF($M1697="PADD V","PADD 5","")))))</f>
        <v>PADD 3</v>
      </c>
      <c r="G1697" s="6">
        <f>IF(AND($H1697="ATMOS DISTILLATION",ISNUMBER(SEARCH("VPS",$I1697))=FALSE,LEFT($I1697,6)&lt;&gt;"VACUUM"),"CDU",IF($H1697="FLUID CAT CRACKING","FCC",IF(OR($H1697="HYDROCRACKING",$H1697="RESID_HYDROCRACKING"),"Hydrocracker",IF($H1697="REFORMING","Reformer",""))))</f>
        <v/>
      </c>
      <c r="H1697" s="6" t="s">
        <v>378</v>
      </c>
      <c r="I1697" s="6" t="s">
        <v>797</v>
      </c>
      <c r="J1697" s="6" t="s">
        <v>345</v>
      </c>
      <c r="K1697" s="10">
        <v>1.38</v>
      </c>
      <c r="L1697" s="10">
        <v>23</v>
      </c>
      <c r="M1697" s="6" t="s">
        <v>371</v>
      </c>
    </row>
    <row r="1698" spans="1:13">
      <c r="A1698" s="6">
        <v>2023</v>
      </c>
      <c r="B1698" s="6">
        <v>7</v>
      </c>
      <c r="C1698" s="6" t="s">
        <v>65</v>
      </c>
      <c r="D1698" s="6" t="s">
        <v>468</v>
      </c>
      <c r="E1698" s="6" t="s">
        <v>369</v>
      </c>
      <c r="F1698" s="6" t="str">
        <f>IF($M1698="PADD I","PADD 1",IF($M1698="PADD II","PADD 2",IF($M1698="PADD III","PADD 3",IF($M1698="PADD IV","PADD 4",IF($M1698="PADD V","PADD 5","")))))</f>
        <v>PADD 3</v>
      </c>
      <c r="G1698" s="6" t="str">
        <f>IF(AND($H1698="ATMOS DISTILLATION",ISNUMBER(SEARCH("VPS",$I1698))=FALSE,LEFT($I1698,6)&lt;&gt;"VACUUM"),"CDU",IF($H1698="FLUID CAT CRACKING","FCC",IF(OR($H1698="HYDROCRACKING",$H1698="RESID_HYDROCRACKING"),"Hydrocracker",IF($H1698="REFORMING","Reformer",""))))</f>
        <v>Reformer</v>
      </c>
      <c r="H1698" s="6" t="s">
        <v>421</v>
      </c>
      <c r="I1698" s="6" t="s">
        <v>635</v>
      </c>
      <c r="J1698" s="6" t="s">
        <v>345</v>
      </c>
      <c r="K1698" s="10">
        <v>1.33</v>
      </c>
      <c r="L1698" s="10">
        <v>7</v>
      </c>
      <c r="M1698" s="6" t="s">
        <v>371</v>
      </c>
    </row>
    <row r="1699" spans="1:13">
      <c r="A1699" s="6">
        <v>2023</v>
      </c>
      <c r="B1699" s="6">
        <v>7</v>
      </c>
      <c r="C1699" s="6" t="s">
        <v>65</v>
      </c>
      <c r="D1699" s="6" t="s">
        <v>547</v>
      </c>
      <c r="E1699" s="6" t="s">
        <v>391</v>
      </c>
      <c r="F1699" s="6" t="str">
        <f>IF($M1699="PADD I","PADD 1",IF($M1699="PADD II","PADD 2",IF($M1699="PADD III","PADD 3",IF($M1699="PADD IV","PADD 4",IF($M1699="PADD V","PADD 5","")))))</f>
        <v>PADD 5</v>
      </c>
      <c r="G1699" s="6" t="str">
        <f>IF(AND($H1699="ATMOS DISTILLATION",ISNUMBER(SEARCH("VPS",$I1699))=FALSE,LEFT($I1699,6)&lt;&gt;"VACUUM"),"CDU",IF($H1699="FLUID CAT CRACKING","FCC",IF(OR($H1699="HYDROCRACKING",$H1699="RESID_HYDROCRACKING"),"Hydrocracker",IF($H1699="REFORMING","Reformer",""))))</f>
        <v>Reformer</v>
      </c>
      <c r="H1699" s="6" t="s">
        <v>421</v>
      </c>
      <c r="I1699" s="6" t="s">
        <v>936</v>
      </c>
      <c r="J1699" s="6" t="s">
        <v>345</v>
      </c>
      <c r="K1699" s="10">
        <v>1.288</v>
      </c>
      <c r="L1699" s="10">
        <v>5.6</v>
      </c>
      <c r="M1699" s="6" t="s">
        <v>386</v>
      </c>
    </row>
    <row r="1700" spans="1:13">
      <c r="A1700" s="6">
        <v>2023</v>
      </c>
      <c r="B1700" s="6">
        <v>7</v>
      </c>
      <c r="C1700" s="6" t="s">
        <v>65</v>
      </c>
      <c r="D1700" s="6" t="s">
        <v>547</v>
      </c>
      <c r="E1700" s="6" t="s">
        <v>391</v>
      </c>
      <c r="F1700" s="6" t="str">
        <f>IF($M1700="PADD I","PADD 1",IF($M1700="PADD II","PADD 2",IF($M1700="PADD III","PADD 3",IF($M1700="PADD IV","PADD 4",IF($M1700="PADD V","PADD 5","")))))</f>
        <v>PADD 5</v>
      </c>
      <c r="G1700" s="6">
        <f>IF(AND($H1700="ATMOS DISTILLATION",ISNUMBER(SEARCH("VPS",$I1700))=FALSE,LEFT($I1700,6)&lt;&gt;"VACUUM"),"CDU",IF($H1700="FLUID CAT CRACKING","FCC",IF(OR($H1700="HYDROCRACKING",$H1700="RESID_HYDROCRACKING"),"Hydrocracker",IF($H1700="REFORMING","Reformer",""))))</f>
        <v/>
      </c>
      <c r="H1700" s="6" t="s">
        <v>43</v>
      </c>
      <c r="I1700" s="6" t="s">
        <v>904</v>
      </c>
      <c r="J1700" s="6" t="s">
        <v>345</v>
      </c>
      <c r="K1700" s="10">
        <v>1.242</v>
      </c>
      <c r="L1700" s="10">
        <v>5.4</v>
      </c>
      <c r="M1700" s="6" t="s">
        <v>386</v>
      </c>
    </row>
    <row r="1701" spans="1:13">
      <c r="A1701" s="6">
        <v>2023</v>
      </c>
      <c r="B1701" s="6">
        <v>7</v>
      </c>
      <c r="C1701" s="6" t="s">
        <v>65</v>
      </c>
      <c r="D1701" s="6" t="s">
        <v>48</v>
      </c>
      <c r="E1701" s="6" t="s">
        <v>388</v>
      </c>
      <c r="F1701" s="6" t="str">
        <f>IF($M1701="PADD I","PADD 1",IF($M1701="PADD II","PADD 2",IF($M1701="PADD III","PADD 3",IF($M1701="PADD IV","PADD 4",IF($M1701="PADD V","PADD 5","")))))</f>
        <v>PADD 2</v>
      </c>
      <c r="G1701" s="6">
        <f>IF(AND($H1701="ATMOS DISTILLATION",ISNUMBER(SEARCH("VPS",$I1701))=FALSE,LEFT($I1701,6)&lt;&gt;"VACUUM"),"CDU",IF($H1701="FLUID CAT CRACKING","FCC",IF(OR($H1701="HYDROCRACKING",$H1701="RESID_HYDROCRACKING"),"Hydrocracker",IF($H1701="REFORMING","Reformer",""))))</f>
        <v/>
      </c>
      <c r="H1701" s="6" t="s">
        <v>435</v>
      </c>
      <c r="I1701" s="6" t="s">
        <v>631</v>
      </c>
      <c r="J1701" s="6" t="s">
        <v>345</v>
      </c>
      <c r="K1701" s="10">
        <v>1.2</v>
      </c>
      <c r="L1701" s="10">
        <v>12</v>
      </c>
      <c r="M1701" s="6" t="s">
        <v>375</v>
      </c>
    </row>
    <row r="1702" spans="1:13">
      <c r="A1702" s="6">
        <v>2023</v>
      </c>
      <c r="B1702" s="6">
        <v>7</v>
      </c>
      <c r="C1702" s="6" t="s">
        <v>65</v>
      </c>
      <c r="D1702" s="6" t="s">
        <v>922</v>
      </c>
      <c r="E1702" s="6" t="s">
        <v>452</v>
      </c>
      <c r="F1702" s="6" t="str">
        <f>IF($M1702="PADD I","PADD 1",IF($M1702="PADD II","PADD 2",IF($M1702="PADD III","PADD 3",IF($M1702="PADD IV","PADD 4",IF($M1702="PADD V","PADD 5","")))))</f>
        <v>PADD 4</v>
      </c>
      <c r="G1702" s="6">
        <f>IF(AND($H1702="ATMOS DISTILLATION",ISNUMBER(SEARCH("VPS",$I1702))=FALSE,LEFT($I1702,6)&lt;&gt;"VACUUM"),"CDU",IF($H1702="FLUID CAT CRACKING","FCC",IF(OR($H1702="HYDROCRACKING",$H1702="RESID_HYDROCRACKING"),"Hydrocracker",IF($H1702="REFORMING","Reformer",""))))</f>
        <v/>
      </c>
      <c r="H1702" s="6" t="s">
        <v>43</v>
      </c>
      <c r="I1702" s="6" t="s">
        <v>937</v>
      </c>
      <c r="J1702" s="6" t="s">
        <v>349</v>
      </c>
      <c r="K1702" s="10">
        <v>0.95</v>
      </c>
      <c r="L1702" s="10">
        <v>5</v>
      </c>
      <c r="M1702" s="6" t="s">
        <v>430</v>
      </c>
    </row>
    <row r="1703" spans="1:13">
      <c r="A1703" s="6">
        <v>2023</v>
      </c>
      <c r="B1703" s="6">
        <v>7</v>
      </c>
      <c r="C1703" s="6" t="s">
        <v>65</v>
      </c>
      <c r="D1703" s="6" t="s">
        <v>547</v>
      </c>
      <c r="E1703" s="6" t="s">
        <v>391</v>
      </c>
      <c r="F1703" s="6" t="str">
        <f>IF($M1703="PADD I","PADD 1",IF($M1703="PADD II","PADD 2",IF($M1703="PADD III","PADD 3",IF($M1703="PADD IV","PADD 4",IF($M1703="PADD V","PADD 5","")))))</f>
        <v>PADD 5</v>
      </c>
      <c r="G1703" s="6">
        <f>IF(AND($H1703="ATMOS DISTILLATION",ISNUMBER(SEARCH("VPS",$I1703))=FALSE,LEFT($I1703,6)&lt;&gt;"VACUUM"),"CDU",IF($H1703="FLUID CAT CRACKING","FCC",IF(OR($H1703="HYDROCRACKING",$H1703="RESID_HYDROCRACKING"),"Hydrocracker",IF($H1703="REFORMING","Reformer",""))))</f>
        <v/>
      </c>
      <c r="H1703" s="6" t="s">
        <v>460</v>
      </c>
      <c r="I1703" s="6" t="s">
        <v>461</v>
      </c>
      <c r="J1703" s="6" t="s">
        <v>345</v>
      </c>
      <c r="K1703" s="10">
        <v>0.92</v>
      </c>
      <c r="L1703" s="10">
        <v>4</v>
      </c>
      <c r="M1703" s="6" t="s">
        <v>386</v>
      </c>
    </row>
    <row r="1704" spans="1:13">
      <c r="A1704" s="6">
        <v>2023</v>
      </c>
      <c r="B1704" s="6">
        <v>7</v>
      </c>
      <c r="C1704" s="6" t="s">
        <v>65</v>
      </c>
      <c r="D1704" s="6" t="s">
        <v>662</v>
      </c>
      <c r="E1704" s="6" t="s">
        <v>552</v>
      </c>
      <c r="F1704" s="6" t="str">
        <f>IF($M1704="PADD I","PADD 1",IF($M1704="PADD II","PADD 2",IF($M1704="PADD III","PADD 3",IF($M1704="PADD IV","PADD 4",IF($M1704="PADD V","PADD 5","")))))</f>
        <v>PADD 3</v>
      </c>
      <c r="G1704" s="6">
        <f>IF(AND($H1704="ATMOS DISTILLATION",ISNUMBER(SEARCH("VPS",$I1704))=FALSE,LEFT($I1704,6)&lt;&gt;"VACUUM"),"CDU",IF($H1704="FLUID CAT CRACKING","FCC",IF(OR($H1704="HYDROCRACKING",$H1704="RESID_HYDROCRACKING"),"Hydrocracker",IF($H1704="REFORMING","Reformer",""))))</f>
        <v/>
      </c>
      <c r="H1704" s="6" t="s">
        <v>43</v>
      </c>
      <c r="I1704" s="6" t="s">
        <v>844</v>
      </c>
      <c r="J1704" s="6" t="s">
        <v>349</v>
      </c>
      <c r="K1704" s="10">
        <v>0.8</v>
      </c>
      <c r="L1704" s="10">
        <v>5</v>
      </c>
      <c r="M1704" s="6" t="s">
        <v>371</v>
      </c>
    </row>
    <row r="1705" spans="1:13">
      <c r="A1705" s="6">
        <v>2023</v>
      </c>
      <c r="B1705" s="6">
        <v>7</v>
      </c>
      <c r="C1705" s="6" t="s">
        <v>65</v>
      </c>
      <c r="D1705" s="6" t="s">
        <v>670</v>
      </c>
      <c r="E1705" s="6" t="s">
        <v>405</v>
      </c>
      <c r="F1705" s="6" t="str">
        <f>IF($M1705="PADD I","PADD 1",IF($M1705="PADD II","PADD 2",IF($M1705="PADD III","PADD 3",IF($M1705="PADD IV","PADD 4",IF($M1705="PADD V","PADD 5","")))))</f>
        <v>PADD 2</v>
      </c>
      <c r="G1705" s="6">
        <f>IF(AND($H1705="ATMOS DISTILLATION",ISNUMBER(SEARCH("VPS",$I1705))=FALSE,LEFT($I1705,6)&lt;&gt;"VACUUM"),"CDU",IF($H1705="FLUID CAT CRACKING","FCC",IF(OR($H1705="HYDROCRACKING",$H1705="RESID_HYDROCRACKING"),"Hydrocracker",IF($H1705="REFORMING","Reformer",""))))</f>
        <v/>
      </c>
      <c r="H1705" s="6" t="s">
        <v>568</v>
      </c>
      <c r="I1705" s="6" t="s">
        <v>604</v>
      </c>
      <c r="J1705" s="6" t="s">
        <v>345</v>
      </c>
      <c r="K1705" s="10">
        <v>0.76</v>
      </c>
      <c r="L1705" s="10">
        <v>4</v>
      </c>
      <c r="M1705" s="6" t="s">
        <v>375</v>
      </c>
    </row>
    <row r="1706" spans="1:13">
      <c r="A1706" s="6">
        <v>2023</v>
      </c>
      <c r="B1706" s="6">
        <v>7</v>
      </c>
      <c r="C1706" s="6" t="s">
        <v>65</v>
      </c>
      <c r="D1706" s="6" t="s">
        <v>934</v>
      </c>
      <c r="E1706" s="6" t="s">
        <v>388</v>
      </c>
      <c r="F1706" s="6" t="str">
        <f>IF($M1706="PADD I","PADD 1",IF($M1706="PADD II","PADD 2",IF($M1706="PADD III","PADD 3",IF($M1706="PADD IV","PADD 4",IF($M1706="PADD V","PADD 5","")))))</f>
        <v>PADD 3</v>
      </c>
      <c r="G1706" s="6">
        <f>IF(AND($H1706="ATMOS DISTILLATION",ISNUMBER(SEARCH("VPS",$I1706))=FALSE,LEFT($I1706,6)&lt;&gt;"VACUUM"),"CDU",IF($H1706="FLUID CAT CRACKING","FCC",IF(OR($H1706="HYDROCRACKING",$H1706="RESID_HYDROCRACKING"),"Hydrocracker",IF($H1706="REFORMING","Reformer",""))))</f>
        <v/>
      </c>
      <c r="H1706" s="6" t="s">
        <v>460</v>
      </c>
      <c r="I1706" s="6" t="s">
        <v>461</v>
      </c>
      <c r="J1706" s="6" t="s">
        <v>349</v>
      </c>
      <c r="K1706" s="10">
        <v>0.6</v>
      </c>
      <c r="L1706" s="10">
        <v>10</v>
      </c>
      <c r="M1706" s="6" t="s">
        <v>371</v>
      </c>
    </row>
    <row r="1707" spans="1:13">
      <c r="A1707" s="6">
        <v>2023</v>
      </c>
      <c r="B1707" s="6">
        <v>7</v>
      </c>
      <c r="C1707" s="6" t="s">
        <v>65</v>
      </c>
      <c r="D1707" s="6" t="s">
        <v>830</v>
      </c>
      <c r="E1707" s="6" t="s">
        <v>388</v>
      </c>
      <c r="F1707" s="6" t="str">
        <f>IF($M1707="PADD I","PADD 1",IF($M1707="PADD II","PADD 2",IF($M1707="PADD III","PADD 3",IF($M1707="PADD IV","PADD 4",IF($M1707="PADD V","PADD 5","")))))</f>
        <v>PADD 2</v>
      </c>
      <c r="G1707" s="6">
        <f>IF(AND($H1707="ATMOS DISTILLATION",ISNUMBER(SEARCH("VPS",$I1707))=FALSE,LEFT($I1707,6)&lt;&gt;"VACUUM"),"CDU",IF($H1707="FLUID CAT CRACKING","FCC",IF(OR($H1707="HYDROCRACKING",$H1707="RESID_HYDROCRACKING"),"Hydrocracker",IF($H1707="REFORMING","Reformer",""))))</f>
        <v/>
      </c>
      <c r="H1707" s="6" t="s">
        <v>43</v>
      </c>
      <c r="I1707" s="6" t="s">
        <v>485</v>
      </c>
      <c r="J1707" s="6" t="s">
        <v>345</v>
      </c>
      <c r="K1707" s="10">
        <v>0.6</v>
      </c>
      <c r="L1707" s="10">
        <v>6</v>
      </c>
      <c r="M1707" s="6" t="s">
        <v>375</v>
      </c>
    </row>
    <row r="1708" spans="1:13">
      <c r="A1708" s="6">
        <v>2023</v>
      </c>
      <c r="B1708" s="6">
        <v>7</v>
      </c>
      <c r="C1708" s="6" t="s">
        <v>65</v>
      </c>
      <c r="D1708" s="6" t="s">
        <v>756</v>
      </c>
      <c r="E1708" s="6" t="s">
        <v>757</v>
      </c>
      <c r="F1708" s="6" t="str">
        <f>IF($M1708="PADD I","PADD 1",IF($M1708="PADD II","PADD 2",IF($M1708="PADD III","PADD 3",IF($M1708="PADD IV","PADD 4",IF($M1708="PADD V","PADD 5","")))))</f>
        <v>PADD 3</v>
      </c>
      <c r="G1708" s="6" t="str">
        <f>IF(AND($H1708="ATMOS DISTILLATION",ISNUMBER(SEARCH("VPS",$I1708))=FALSE,LEFT($I1708,6)&lt;&gt;"VACUUM"),"CDU",IF($H1708="FLUID CAT CRACKING","FCC",IF(OR($H1708="HYDROCRACKING",$H1708="RESID_HYDROCRACKING"),"Hydrocracker",IF($H1708="REFORMING","Reformer",""))))</f>
        <v>CDU</v>
      </c>
      <c r="H1708" s="6" t="s">
        <v>38</v>
      </c>
      <c r="I1708" s="6" t="s">
        <v>81</v>
      </c>
      <c r="J1708" s="6" t="s">
        <v>345</v>
      </c>
      <c r="K1708" s="10">
        <v>0.45</v>
      </c>
      <c r="L1708" s="10">
        <v>15</v>
      </c>
      <c r="M1708" s="6" t="s">
        <v>371</v>
      </c>
    </row>
    <row r="1709" spans="1:13">
      <c r="A1709" s="6">
        <v>2023</v>
      </c>
      <c r="B1709" s="6">
        <v>7</v>
      </c>
      <c r="C1709" s="6" t="s">
        <v>65</v>
      </c>
      <c r="D1709" s="6" t="s">
        <v>547</v>
      </c>
      <c r="E1709" s="6" t="s">
        <v>391</v>
      </c>
      <c r="F1709" s="6" t="str">
        <f>IF($M1709="PADD I","PADD 1",IF($M1709="PADD II","PADD 2",IF($M1709="PADD III","PADD 3",IF($M1709="PADD IV","PADD 4",IF($M1709="PADD V","PADD 5","")))))</f>
        <v>PADD 5</v>
      </c>
      <c r="G1709" s="6">
        <f>IF(AND($H1709="ATMOS DISTILLATION",ISNUMBER(SEARCH("VPS",$I1709))=FALSE,LEFT($I1709,6)&lt;&gt;"VACUUM"),"CDU",IF($H1709="FLUID CAT CRACKING","FCC",IF(OR($H1709="HYDROCRACKING",$H1709="RESID_HYDROCRACKING"),"Hydrocracker",IF($H1709="REFORMING","Reformer",""))))</f>
        <v/>
      </c>
      <c r="H1709" s="6" t="s">
        <v>568</v>
      </c>
      <c r="I1709" s="6" t="s">
        <v>938</v>
      </c>
      <c r="J1709" s="6" t="s">
        <v>345</v>
      </c>
      <c r="K1709" s="10">
        <v>0.3956</v>
      </c>
      <c r="L1709" s="10">
        <v>1.72</v>
      </c>
      <c r="M1709" s="6" t="s">
        <v>386</v>
      </c>
    </row>
    <row r="1710" spans="1:13">
      <c r="A1710" s="6">
        <v>2023</v>
      </c>
      <c r="B1710" s="6">
        <v>7</v>
      </c>
      <c r="C1710" s="6" t="s">
        <v>65</v>
      </c>
      <c r="D1710" s="6" t="s">
        <v>468</v>
      </c>
      <c r="E1710" s="6" t="s">
        <v>369</v>
      </c>
      <c r="F1710" s="6" t="str">
        <f>IF($M1710="PADD I","PADD 1",IF($M1710="PADD II","PADD 2",IF($M1710="PADD III","PADD 3",IF($M1710="PADD IV","PADD 4",IF($M1710="PADD V","PADD 5","")))))</f>
        <v>PADD 3</v>
      </c>
      <c r="G1710" s="6">
        <f>IF(AND($H1710="ATMOS DISTILLATION",ISNUMBER(SEARCH("VPS",$I1710))=FALSE,LEFT($I1710,6)&lt;&gt;"VACUUM"),"CDU",IF($H1710="FLUID CAT CRACKING","FCC",IF(OR($H1710="HYDROCRACKING",$H1710="RESID_HYDROCRACKING"),"Hydrocracker",IF($H1710="REFORMING","Reformer",""))))</f>
        <v/>
      </c>
      <c r="H1710" s="6" t="s">
        <v>435</v>
      </c>
      <c r="I1710" s="6" t="s">
        <v>939</v>
      </c>
      <c r="J1710" s="6" t="s">
        <v>345</v>
      </c>
      <c r="K1710" s="10">
        <v>0.375</v>
      </c>
      <c r="L1710" s="10">
        <v>12.5</v>
      </c>
      <c r="M1710" s="6" t="s">
        <v>371</v>
      </c>
    </row>
    <row r="1711" spans="1:13">
      <c r="A1711" s="6">
        <v>2023</v>
      </c>
      <c r="B1711" s="6">
        <v>8</v>
      </c>
      <c r="C1711" s="6" t="s">
        <v>66</v>
      </c>
      <c r="D1711" s="6" t="s">
        <v>387</v>
      </c>
      <c r="E1711" s="6" t="s">
        <v>388</v>
      </c>
      <c r="F1711" s="6" t="str">
        <f>IF($M1711="PADD I","PADD 1",IF($M1711="PADD II","PADD 2",IF($M1711="PADD III","PADD 3",IF($M1711="PADD IV","PADD 4",IF($M1711="PADD V","PADD 5","")))))</f>
        <v>PADD 3</v>
      </c>
      <c r="G1711" s="6" t="str">
        <f>IF(AND($H1711="ATMOS DISTILLATION",ISNUMBER(SEARCH("VPS",$I1711))=FALSE,LEFT($I1711,6)&lt;&gt;"VACUUM"),"CDU",IF($H1711="FLUID CAT CRACKING","FCC",IF(OR($H1711="HYDROCRACKING",$H1711="RESID_HYDROCRACKING"),"Hydrocracker",IF($H1711="REFORMING","Reformer",""))))</f>
        <v>Reformer</v>
      </c>
      <c r="H1711" s="6" t="s">
        <v>421</v>
      </c>
      <c r="I1711" s="6" t="s">
        <v>443</v>
      </c>
      <c r="J1711" s="6" t="s">
        <v>345</v>
      </c>
      <c r="K1711" s="10">
        <v>77.5</v>
      </c>
      <c r="L1711" s="10">
        <v>77.5</v>
      </c>
      <c r="M1711" s="6" t="s">
        <v>371</v>
      </c>
    </row>
    <row r="1712" spans="1:13">
      <c r="A1712" s="6">
        <v>2023</v>
      </c>
      <c r="B1712" s="6">
        <v>8</v>
      </c>
      <c r="C1712" s="6" t="s">
        <v>66</v>
      </c>
      <c r="D1712" s="6" t="s">
        <v>408</v>
      </c>
      <c r="E1712" s="6" t="s">
        <v>409</v>
      </c>
      <c r="F1712" s="6" t="str">
        <f>IF($M1712="PADD I","PADD 1",IF($M1712="PADD II","PADD 2",IF($M1712="PADD III","PADD 3",IF($M1712="PADD IV","PADD 4",IF($M1712="PADD V","PADD 5","")))))</f>
        <v>PADD 3</v>
      </c>
      <c r="G1712" s="6" t="str">
        <f>IF(AND($H1712="ATMOS DISTILLATION",ISNUMBER(SEARCH("VPS",$I1712))=FALSE,LEFT($I1712,6)&lt;&gt;"VACUUM"),"CDU",IF($H1712="FLUID CAT CRACKING","FCC",IF(OR($H1712="HYDROCRACKING",$H1712="RESID_HYDROCRACKING"),"Hydrocracker",IF($H1712="REFORMING","Reformer",""))))</f>
        <v>CDU</v>
      </c>
      <c r="H1712" s="6" t="s">
        <v>38</v>
      </c>
      <c r="I1712" s="6" t="s">
        <v>410</v>
      </c>
      <c r="J1712" s="6" t="s">
        <v>345</v>
      </c>
      <c r="K1712" s="10">
        <v>75.2</v>
      </c>
      <c r="L1712" s="10">
        <v>80</v>
      </c>
      <c r="M1712" s="6" t="s">
        <v>371</v>
      </c>
    </row>
    <row r="1713" spans="1:13">
      <c r="A1713" s="6">
        <v>2023</v>
      </c>
      <c r="B1713" s="6">
        <v>8</v>
      </c>
      <c r="C1713" s="6" t="s">
        <v>66</v>
      </c>
      <c r="D1713" s="6" t="s">
        <v>851</v>
      </c>
      <c r="E1713" s="6" t="s">
        <v>852</v>
      </c>
      <c r="F1713" s="6" t="str">
        <f>IF($M1713="PADD I","PADD 1",IF($M1713="PADD II","PADD 2",IF($M1713="PADD III","PADD 3",IF($M1713="PADD IV","PADD 4",IF($M1713="PADD V","PADD 5","")))))</f>
        <v>PADD 3</v>
      </c>
      <c r="G1713" s="6" t="str">
        <f>IF(AND($H1713="ATMOS DISTILLATION",ISNUMBER(SEARCH("VPS",$I1713))=FALSE,LEFT($I1713,6)&lt;&gt;"VACUUM"),"CDU",IF($H1713="FLUID CAT CRACKING","FCC",IF(OR($H1713="HYDROCRACKING",$H1713="RESID_HYDROCRACKING"),"Hydrocracker",IF($H1713="REFORMING","Reformer",""))))</f>
        <v>CDU</v>
      </c>
      <c r="H1713" s="6" t="s">
        <v>38</v>
      </c>
      <c r="I1713" s="6" t="s">
        <v>854</v>
      </c>
      <c r="J1713" s="6" t="s">
        <v>345</v>
      </c>
      <c r="K1713" s="10">
        <v>73</v>
      </c>
      <c r="L1713" s="10">
        <v>73</v>
      </c>
      <c r="M1713" s="6" t="s">
        <v>371</v>
      </c>
    </row>
    <row r="1714" spans="1:13">
      <c r="A1714" s="6">
        <v>2023</v>
      </c>
      <c r="B1714" s="6">
        <v>8</v>
      </c>
      <c r="C1714" s="6" t="s">
        <v>66</v>
      </c>
      <c r="D1714" s="6" t="s">
        <v>408</v>
      </c>
      <c r="E1714" s="6" t="s">
        <v>409</v>
      </c>
      <c r="F1714" s="6" t="str">
        <f>IF($M1714="PADD I","PADD 1",IF($M1714="PADD II","PADD 2",IF($M1714="PADD III","PADD 3",IF($M1714="PADD IV","PADD 4",IF($M1714="PADD V","PADD 5","")))))</f>
        <v>PADD 3</v>
      </c>
      <c r="G1714" s="6" t="str">
        <f>IF(AND($H1714="ATMOS DISTILLATION",ISNUMBER(SEARCH("VPS",$I1714))=FALSE,LEFT($I1714,6)&lt;&gt;"VACUUM"),"CDU",IF($H1714="FLUID CAT CRACKING","FCC",IF(OR($H1714="HYDROCRACKING",$H1714="RESID_HYDROCRACKING"),"Hydrocracker",IF($H1714="REFORMING","Reformer",""))))</f>
        <v>CDU</v>
      </c>
      <c r="H1714" s="6" t="s">
        <v>38</v>
      </c>
      <c r="I1714" s="6" t="s">
        <v>410</v>
      </c>
      <c r="J1714" s="6" t="s">
        <v>345</v>
      </c>
      <c r="K1714" s="10">
        <v>67.5</v>
      </c>
      <c r="L1714" s="10">
        <v>150</v>
      </c>
      <c r="M1714" s="6" t="s">
        <v>371</v>
      </c>
    </row>
    <row r="1715" spans="1:13">
      <c r="A1715" s="6">
        <v>2023</v>
      </c>
      <c r="B1715" s="6">
        <v>8</v>
      </c>
      <c r="C1715" s="6" t="s">
        <v>66</v>
      </c>
      <c r="D1715" s="6" t="s">
        <v>324</v>
      </c>
      <c r="E1715" s="6" t="s">
        <v>388</v>
      </c>
      <c r="F1715" s="6" t="str">
        <f>IF($M1715="PADD I","PADD 1",IF($M1715="PADD II","PADD 2",IF($M1715="PADD III","PADD 3",IF($M1715="PADD IV","PADD 4",IF($M1715="PADD V","PADD 5","")))))</f>
        <v>PADD 3</v>
      </c>
      <c r="G1715" s="6" t="str">
        <f>IF(AND($H1715="ATMOS DISTILLATION",ISNUMBER(SEARCH("VPS",$I1715))=FALSE,LEFT($I1715,6)&lt;&gt;"VACUUM"),"CDU",IF($H1715="FLUID CAT CRACKING","FCC",IF(OR($H1715="HYDROCRACKING",$H1715="RESID_HYDROCRACKING"),"Hydrocracker",IF($H1715="REFORMING","Reformer",""))))</f>
        <v>CDU</v>
      </c>
      <c r="H1715" s="6" t="s">
        <v>38</v>
      </c>
      <c r="I1715" s="6" t="s">
        <v>99</v>
      </c>
      <c r="J1715" s="6" t="s">
        <v>345</v>
      </c>
      <c r="K1715" s="10">
        <v>52.25</v>
      </c>
      <c r="L1715" s="10">
        <v>275</v>
      </c>
      <c r="M1715" s="6" t="s">
        <v>371</v>
      </c>
    </row>
    <row r="1716" spans="1:13">
      <c r="A1716" s="6">
        <v>2023</v>
      </c>
      <c r="B1716" s="6">
        <v>8</v>
      </c>
      <c r="C1716" s="6" t="s">
        <v>66</v>
      </c>
      <c r="D1716" s="6" t="s">
        <v>387</v>
      </c>
      <c r="E1716" s="6" t="s">
        <v>388</v>
      </c>
      <c r="F1716" s="6" t="str">
        <f>IF($M1716="PADD I","PADD 1",IF($M1716="PADD II","PADD 2",IF($M1716="PADD III","PADD 3",IF($M1716="PADD IV","PADD 4",IF($M1716="PADD V","PADD 5","")))))</f>
        <v>PADD 3</v>
      </c>
      <c r="G1716" s="6">
        <f>IF(AND($H1716="ATMOS DISTILLATION",ISNUMBER(SEARCH("VPS",$I1716))=FALSE,LEFT($I1716,6)&lt;&gt;"VACUUM"),"CDU",IF($H1716="FLUID CAT CRACKING","FCC",IF(OR($H1716="HYDROCRACKING",$H1716="RESID_HYDROCRACKING"),"Hydrocracker",IF($H1716="REFORMING","Reformer",""))))</f>
        <v/>
      </c>
      <c r="H1716" s="6" t="s">
        <v>43</v>
      </c>
      <c r="I1716" s="6" t="s">
        <v>848</v>
      </c>
      <c r="J1716" s="6" t="s">
        <v>345</v>
      </c>
      <c r="K1716" s="10">
        <v>50</v>
      </c>
      <c r="L1716" s="10">
        <v>50</v>
      </c>
      <c r="M1716" s="6" t="s">
        <v>371</v>
      </c>
    </row>
    <row r="1717" spans="1:13">
      <c r="A1717" s="6">
        <v>2023</v>
      </c>
      <c r="B1717" s="6">
        <v>8</v>
      </c>
      <c r="C1717" s="6" t="s">
        <v>66</v>
      </c>
      <c r="D1717" s="6" t="s">
        <v>415</v>
      </c>
      <c r="E1717" s="6" t="s">
        <v>416</v>
      </c>
      <c r="F1717" s="6" t="str">
        <f>IF($M1717="PADD I","PADD 1",IF($M1717="PADD II","PADD 2",IF($M1717="PADD III","PADD 3",IF($M1717="PADD IV","PADD 4",IF($M1717="PADD V","PADD 5","")))))</f>
        <v>PADD 3</v>
      </c>
      <c r="G1717" s="6">
        <f>IF(AND($H1717="ATMOS DISTILLATION",ISNUMBER(SEARCH("VPS",$I1717))=FALSE,LEFT($I1717,6)&lt;&gt;"VACUUM"),"CDU",IF($H1717="FLUID CAT CRACKING","FCC",IF(OR($H1717="HYDROCRACKING",$H1717="RESID_HYDROCRACKING"),"Hydrocracker",IF($H1717="REFORMING","Reformer",""))))</f>
        <v/>
      </c>
      <c r="H1717" s="6" t="s">
        <v>378</v>
      </c>
      <c r="I1717" s="6" t="s">
        <v>417</v>
      </c>
      <c r="J1717" s="6" t="s">
        <v>345</v>
      </c>
      <c r="K1717" s="10">
        <v>50</v>
      </c>
      <c r="L1717" s="10">
        <v>50</v>
      </c>
      <c r="M1717" s="6" t="s">
        <v>371</v>
      </c>
    </row>
    <row r="1718" spans="1:13">
      <c r="A1718" s="6">
        <v>2023</v>
      </c>
      <c r="B1718" s="6">
        <v>8</v>
      </c>
      <c r="C1718" s="6" t="s">
        <v>66</v>
      </c>
      <c r="D1718" s="6" t="s">
        <v>408</v>
      </c>
      <c r="E1718" s="6" t="s">
        <v>409</v>
      </c>
      <c r="F1718" s="6" t="str">
        <f>IF($M1718="PADD I","PADD 1",IF($M1718="PADD II","PADD 2",IF($M1718="PADD III","PADD 3",IF($M1718="PADD IV","PADD 4",IF($M1718="PADD V","PADD 5","")))))</f>
        <v>PADD 3</v>
      </c>
      <c r="G1718" s="6">
        <f>IF(AND($H1718="ATMOS DISTILLATION",ISNUMBER(SEARCH("VPS",$I1718))=FALSE,LEFT($I1718,6)&lt;&gt;"VACUUM"),"CDU",IF($H1718="FLUID CAT CRACKING","FCC",IF(OR($H1718="HYDROCRACKING",$H1718="RESID_HYDROCRACKING"),"Hydrocracker",IF($H1718="REFORMING","Reformer",""))))</f>
        <v/>
      </c>
      <c r="H1718" s="6" t="s">
        <v>378</v>
      </c>
      <c r="I1718" s="6" t="s">
        <v>506</v>
      </c>
      <c r="J1718" s="6" t="s">
        <v>345</v>
      </c>
      <c r="K1718" s="10">
        <v>48.88</v>
      </c>
      <c r="L1718" s="10">
        <v>52</v>
      </c>
      <c r="M1718" s="6" t="s">
        <v>371</v>
      </c>
    </row>
    <row r="1719" spans="1:13">
      <c r="A1719" s="6">
        <v>2023</v>
      </c>
      <c r="B1719" s="6">
        <v>8</v>
      </c>
      <c r="C1719" s="6" t="s">
        <v>66</v>
      </c>
      <c r="D1719" s="6" t="s">
        <v>851</v>
      </c>
      <c r="E1719" s="6" t="s">
        <v>852</v>
      </c>
      <c r="F1719" s="6" t="str">
        <f>IF($M1719="PADD I","PADD 1",IF($M1719="PADD II","PADD 2",IF($M1719="PADD III","PADD 3",IF($M1719="PADD IV","PADD 4",IF($M1719="PADD V","PADD 5","")))))</f>
        <v>PADD 3</v>
      </c>
      <c r="G1719" s="6" t="str">
        <f>IF(AND($H1719="ATMOS DISTILLATION",ISNUMBER(SEARCH("VPS",$I1719))=FALSE,LEFT($I1719,6)&lt;&gt;"VACUUM"),"CDU",IF($H1719="FLUID CAT CRACKING","FCC",IF(OR($H1719="HYDROCRACKING",$H1719="RESID_HYDROCRACKING"),"Hydrocracker",IF($H1719="REFORMING","Reformer",""))))</f>
        <v>CDU</v>
      </c>
      <c r="H1719" s="6" t="s">
        <v>38</v>
      </c>
      <c r="I1719" s="6" t="s">
        <v>853</v>
      </c>
      <c r="J1719" s="6" t="s">
        <v>345</v>
      </c>
      <c r="K1719" s="10">
        <v>46.15</v>
      </c>
      <c r="L1719" s="10">
        <v>65</v>
      </c>
      <c r="M1719" s="6" t="s">
        <v>371</v>
      </c>
    </row>
    <row r="1720" spans="1:13">
      <c r="A1720" s="6">
        <v>2023</v>
      </c>
      <c r="B1720" s="6">
        <v>8</v>
      </c>
      <c r="C1720" s="6" t="s">
        <v>66</v>
      </c>
      <c r="D1720" s="6" t="s">
        <v>851</v>
      </c>
      <c r="E1720" s="6" t="s">
        <v>852</v>
      </c>
      <c r="F1720" s="6" t="str">
        <f>IF($M1720="PADD I","PADD 1",IF($M1720="PADD II","PADD 2",IF($M1720="PADD III","PADD 3",IF($M1720="PADD IV","PADD 4",IF($M1720="PADD V","PADD 5","")))))</f>
        <v>PADD 3</v>
      </c>
      <c r="G1720" s="6" t="str">
        <f>IF(AND($H1720="ATMOS DISTILLATION",ISNUMBER(SEARCH("VPS",$I1720))=FALSE,LEFT($I1720,6)&lt;&gt;"VACUUM"),"CDU",IF($H1720="FLUID CAT CRACKING","FCC",IF(OR($H1720="HYDROCRACKING",$H1720="RESID_HYDROCRACKING"),"Hydrocracker",IF($H1720="REFORMING","Reformer",""))))</f>
        <v>CDU</v>
      </c>
      <c r="H1720" s="6" t="s">
        <v>38</v>
      </c>
      <c r="I1720" s="6" t="s">
        <v>854</v>
      </c>
      <c r="J1720" s="6" t="s">
        <v>345</v>
      </c>
      <c r="K1720" s="10">
        <v>46.15</v>
      </c>
      <c r="L1720" s="10">
        <v>65</v>
      </c>
      <c r="M1720" s="6" t="s">
        <v>371</v>
      </c>
    </row>
    <row r="1721" spans="1:13">
      <c r="A1721" s="6">
        <v>2023</v>
      </c>
      <c r="B1721" s="6">
        <v>8</v>
      </c>
      <c r="C1721" s="6" t="s">
        <v>66</v>
      </c>
      <c r="D1721" s="6" t="s">
        <v>415</v>
      </c>
      <c r="E1721" s="6" t="s">
        <v>416</v>
      </c>
      <c r="F1721" s="6" t="str">
        <f>IF($M1721="PADD I","PADD 1",IF($M1721="PADD II","PADD 2",IF($M1721="PADD III","PADD 3",IF($M1721="PADD IV","PADD 4",IF($M1721="PADD V","PADD 5","")))))</f>
        <v>PADD 3</v>
      </c>
      <c r="G1721" s="6" t="str">
        <f>IF(AND($H1721="ATMOS DISTILLATION",ISNUMBER(SEARCH("VPS",$I1721))=FALSE,LEFT($I1721,6)&lt;&gt;"VACUUM"),"CDU",IF($H1721="FLUID CAT CRACKING","FCC",IF(OR($H1721="HYDROCRACKING",$H1721="RESID_HYDROCRACKING"),"Hydrocracker",IF($H1721="REFORMING","Reformer",""))))</f>
        <v>Hydrocracker</v>
      </c>
      <c r="H1721" s="6" t="s">
        <v>444</v>
      </c>
      <c r="I1721" s="6" t="s">
        <v>940</v>
      </c>
      <c r="J1721" s="6" t="s">
        <v>345</v>
      </c>
      <c r="K1721" s="10">
        <v>37.888</v>
      </c>
      <c r="L1721" s="10">
        <v>51.2</v>
      </c>
      <c r="M1721" s="6" t="s">
        <v>371</v>
      </c>
    </row>
    <row r="1722" spans="1:13">
      <c r="A1722" s="6">
        <v>2023</v>
      </c>
      <c r="B1722" s="6">
        <v>8</v>
      </c>
      <c r="C1722" s="6" t="s">
        <v>66</v>
      </c>
      <c r="D1722" s="6" t="s">
        <v>333</v>
      </c>
      <c r="E1722" s="6" t="s">
        <v>381</v>
      </c>
      <c r="F1722" s="6" t="str">
        <f>IF($M1722="PADD I","PADD 1",IF($M1722="PADD II","PADD 2",IF($M1722="PADD III","PADD 3",IF($M1722="PADD IV","PADD 4",IF($M1722="PADD V","PADD 5","")))))</f>
        <v>PADD 3</v>
      </c>
      <c r="G1722" s="6" t="str">
        <f>IF(AND($H1722="ATMOS DISTILLATION",ISNUMBER(SEARCH("VPS",$I1722))=FALSE,LEFT($I1722,6)&lt;&gt;"VACUUM"),"CDU",IF($H1722="FLUID CAT CRACKING","FCC",IF(OR($H1722="HYDROCRACKING",$H1722="RESID_HYDROCRACKING"),"Hydrocracker",IF($H1722="REFORMING","Reformer",""))))</f>
        <v>Reformer</v>
      </c>
      <c r="H1722" s="6" t="s">
        <v>421</v>
      </c>
      <c r="I1722" s="6" t="s">
        <v>941</v>
      </c>
      <c r="J1722" s="6" t="s">
        <v>349</v>
      </c>
      <c r="K1722" s="10">
        <v>36</v>
      </c>
      <c r="L1722" s="10">
        <v>80</v>
      </c>
      <c r="M1722" s="6" t="s">
        <v>371</v>
      </c>
    </row>
    <row r="1723" spans="1:13">
      <c r="A1723" s="6">
        <v>2023</v>
      </c>
      <c r="B1723" s="6">
        <v>8</v>
      </c>
      <c r="C1723" s="6" t="s">
        <v>66</v>
      </c>
      <c r="D1723" s="6" t="s">
        <v>446</v>
      </c>
      <c r="E1723" s="6" t="s">
        <v>391</v>
      </c>
      <c r="F1723" s="6" t="str">
        <f>IF($M1723="PADD I","PADD 1",IF($M1723="PADD II","PADD 2",IF($M1723="PADD III","PADD 3",IF($M1723="PADD IV","PADD 4",IF($M1723="PADD V","PADD 5","")))))</f>
        <v>PADD 3</v>
      </c>
      <c r="G1723" s="6">
        <f>IF(AND($H1723="ATMOS DISTILLATION",ISNUMBER(SEARCH("VPS",$I1723))=FALSE,LEFT($I1723,6)&lt;&gt;"VACUUM"),"CDU",IF($H1723="FLUID CAT CRACKING","FCC",IF(OR($H1723="HYDROCRACKING",$H1723="RESID_HYDROCRACKING"),"Hydrocracker",IF($H1723="REFORMING","Reformer",""))))</f>
        <v/>
      </c>
      <c r="H1723" s="6" t="s">
        <v>43</v>
      </c>
      <c r="I1723" s="6" t="s">
        <v>447</v>
      </c>
      <c r="J1723" s="6" t="s">
        <v>349</v>
      </c>
      <c r="K1723" s="10">
        <v>35</v>
      </c>
      <c r="L1723" s="10">
        <v>35</v>
      </c>
      <c r="M1723" s="6" t="s">
        <v>371</v>
      </c>
    </row>
    <row r="1724" spans="1:13">
      <c r="A1724" s="6">
        <v>2023</v>
      </c>
      <c r="B1724" s="6">
        <v>8</v>
      </c>
      <c r="C1724" s="6" t="s">
        <v>66</v>
      </c>
      <c r="D1724" s="6" t="s">
        <v>448</v>
      </c>
      <c r="E1724" s="6" t="s">
        <v>391</v>
      </c>
      <c r="F1724" s="6" t="str">
        <f>IF($M1724="PADD I","PADD 1",IF($M1724="PADD II","PADD 2",IF($M1724="PADD III","PADD 3",IF($M1724="PADD IV","PADD 4",IF($M1724="PADD V","PADD 5","")))))</f>
        <v>PADD 3</v>
      </c>
      <c r="G1724" s="6">
        <f>IF(AND($H1724="ATMOS DISTILLATION",ISNUMBER(SEARCH("VPS",$I1724))=FALSE,LEFT($I1724,6)&lt;&gt;"VACUUM"),"CDU",IF($H1724="FLUID CAT CRACKING","FCC",IF(OR($H1724="HYDROCRACKING",$H1724="RESID_HYDROCRACKING"),"Hydrocracker",IF($H1724="REFORMING","Reformer",""))))</f>
        <v/>
      </c>
      <c r="H1724" s="6" t="s">
        <v>43</v>
      </c>
      <c r="I1724" s="6" t="s">
        <v>449</v>
      </c>
      <c r="J1724" s="6" t="s">
        <v>345</v>
      </c>
      <c r="K1724" s="10">
        <v>35</v>
      </c>
      <c r="L1724" s="10">
        <v>35</v>
      </c>
      <c r="M1724" s="6" t="s">
        <v>371</v>
      </c>
    </row>
    <row r="1725" spans="1:13">
      <c r="A1725" s="6">
        <v>2023</v>
      </c>
      <c r="B1725" s="6">
        <v>8</v>
      </c>
      <c r="C1725" s="6" t="s">
        <v>66</v>
      </c>
      <c r="D1725" s="6" t="s">
        <v>408</v>
      </c>
      <c r="E1725" s="6" t="s">
        <v>409</v>
      </c>
      <c r="F1725" s="6" t="str">
        <f>IF($M1725="PADD I","PADD 1",IF($M1725="PADD II","PADD 2",IF($M1725="PADD III","PADD 3",IF($M1725="PADD IV","PADD 4",IF($M1725="PADD V","PADD 5","")))))</f>
        <v>PADD 3</v>
      </c>
      <c r="G1725" s="6" t="str">
        <f>IF(AND($H1725="ATMOS DISTILLATION",ISNUMBER(SEARCH("VPS",$I1725))=FALSE,LEFT($I1725,6)&lt;&gt;"VACUUM"),"CDU",IF($H1725="FLUID CAT CRACKING","FCC",IF(OR($H1725="HYDROCRACKING",$H1725="RESID_HYDROCRACKING"),"Hydrocracker",IF($H1725="REFORMING","Reformer",""))))</f>
        <v>FCC</v>
      </c>
      <c r="H1725" s="6" t="s">
        <v>376</v>
      </c>
      <c r="I1725" s="6" t="s">
        <v>426</v>
      </c>
      <c r="J1725" s="6" t="s">
        <v>349</v>
      </c>
      <c r="K1725" s="10">
        <v>34.2</v>
      </c>
      <c r="L1725" s="10">
        <v>76</v>
      </c>
      <c r="M1725" s="6" t="s">
        <v>371</v>
      </c>
    </row>
    <row r="1726" spans="1:13">
      <c r="A1726" s="6">
        <v>2023</v>
      </c>
      <c r="B1726" s="6">
        <v>8</v>
      </c>
      <c r="C1726" s="6" t="s">
        <v>66</v>
      </c>
      <c r="D1726" s="6" t="s">
        <v>415</v>
      </c>
      <c r="E1726" s="6" t="s">
        <v>416</v>
      </c>
      <c r="F1726" s="6" t="str">
        <f>IF($M1726="PADD I","PADD 1",IF($M1726="PADD II","PADD 2",IF($M1726="PADD III","PADD 3",IF($M1726="PADD IV","PADD 4",IF($M1726="PADD V","PADD 5","")))))</f>
        <v>PADD 3</v>
      </c>
      <c r="G1726" s="6">
        <f>IF(AND($H1726="ATMOS DISTILLATION",ISNUMBER(SEARCH("VPS",$I1726))=FALSE,LEFT($I1726,6)&lt;&gt;"VACUUM"),"CDU",IF($H1726="FLUID CAT CRACKING","FCC",IF(OR($H1726="HYDROCRACKING",$H1726="RESID_HYDROCRACKING"),"Hydrocracker",IF($H1726="REFORMING","Reformer",""))))</f>
        <v/>
      </c>
      <c r="H1726" s="6" t="s">
        <v>435</v>
      </c>
      <c r="I1726" s="6" t="s">
        <v>453</v>
      </c>
      <c r="J1726" s="6" t="s">
        <v>345</v>
      </c>
      <c r="K1726" s="10">
        <v>34</v>
      </c>
      <c r="L1726" s="10">
        <v>34</v>
      </c>
      <c r="M1726" s="6" t="s">
        <v>371</v>
      </c>
    </row>
    <row r="1727" spans="1:13">
      <c r="A1727" s="6">
        <v>2023</v>
      </c>
      <c r="B1727" s="6">
        <v>8</v>
      </c>
      <c r="C1727" s="6" t="s">
        <v>66</v>
      </c>
      <c r="D1727" s="6" t="s">
        <v>415</v>
      </c>
      <c r="E1727" s="6" t="s">
        <v>416</v>
      </c>
      <c r="F1727" s="6" t="str">
        <f>IF($M1727="PADD I","PADD 1",IF($M1727="PADD II","PADD 2",IF($M1727="PADD III","PADD 3",IF($M1727="PADD IV","PADD 4",IF($M1727="PADD V","PADD 5","")))))</f>
        <v>PADD 3</v>
      </c>
      <c r="G1727" s="6">
        <f>IF(AND($H1727="ATMOS DISTILLATION",ISNUMBER(SEARCH("VPS",$I1727))=FALSE,LEFT($I1727,6)&lt;&gt;"VACUUM"),"CDU",IF($H1727="FLUID CAT CRACKING","FCC",IF(OR($H1727="HYDROCRACKING",$H1727="RESID_HYDROCRACKING"),"Hydrocracker",IF($H1727="REFORMING","Reformer",""))))</f>
        <v/>
      </c>
      <c r="H1727" s="6" t="s">
        <v>435</v>
      </c>
      <c r="I1727" s="6" t="s">
        <v>453</v>
      </c>
      <c r="J1727" s="6" t="s">
        <v>345</v>
      </c>
      <c r="K1727" s="10">
        <v>34</v>
      </c>
      <c r="L1727" s="10">
        <v>34</v>
      </c>
      <c r="M1727" s="6" t="s">
        <v>371</v>
      </c>
    </row>
    <row r="1728" spans="1:13">
      <c r="A1728" s="6">
        <v>2023</v>
      </c>
      <c r="B1728" s="6">
        <v>8</v>
      </c>
      <c r="C1728" s="6" t="s">
        <v>66</v>
      </c>
      <c r="D1728" s="6" t="s">
        <v>333</v>
      </c>
      <c r="E1728" s="6" t="s">
        <v>381</v>
      </c>
      <c r="F1728" s="6" t="str">
        <f>IF($M1728="PADD I","PADD 1",IF($M1728="PADD II","PADD 2",IF($M1728="PADD III","PADD 3",IF($M1728="PADD IV","PADD 4",IF($M1728="PADD V","PADD 5","")))))</f>
        <v>PADD 3</v>
      </c>
      <c r="G1728" s="6" t="str">
        <f>IF(AND($H1728="ATMOS DISTILLATION",ISNUMBER(SEARCH("VPS",$I1728))=FALSE,LEFT($I1728,6)&lt;&gt;"VACUUM"),"CDU",IF($H1728="FLUID CAT CRACKING","FCC",IF(OR($H1728="HYDROCRACKING",$H1728="RESID_HYDROCRACKING"),"Hydrocracker",IF($H1728="REFORMING","Reformer",""))))</f>
        <v>Reformer</v>
      </c>
      <c r="H1728" s="6" t="s">
        <v>421</v>
      </c>
      <c r="I1728" s="6" t="s">
        <v>548</v>
      </c>
      <c r="J1728" s="6" t="s">
        <v>345</v>
      </c>
      <c r="K1728" s="10">
        <v>31.2</v>
      </c>
      <c r="L1728" s="10">
        <v>80</v>
      </c>
      <c r="M1728" s="6" t="s">
        <v>371</v>
      </c>
    </row>
    <row r="1729" spans="1:13">
      <c r="A1729" s="6">
        <v>2023</v>
      </c>
      <c r="B1729" s="6">
        <v>8</v>
      </c>
      <c r="C1729" s="6" t="s">
        <v>66</v>
      </c>
      <c r="D1729" s="6" t="s">
        <v>395</v>
      </c>
      <c r="E1729" s="6" t="s">
        <v>396</v>
      </c>
      <c r="F1729" s="6" t="str">
        <f>IF($M1729="PADD I","PADD 1",IF($M1729="PADD II","PADD 2",IF($M1729="PADD III","PADD 3",IF($M1729="PADD IV","PADD 4",IF($M1729="PADD V","PADD 5","")))))</f>
        <v>PADD 3</v>
      </c>
      <c r="G1729" s="6">
        <f>IF(AND($H1729="ATMOS DISTILLATION",ISNUMBER(SEARCH("VPS",$I1729))=FALSE,LEFT($I1729,6)&lt;&gt;"VACUUM"),"CDU",IF($H1729="FLUID CAT CRACKING","FCC",IF(OR($H1729="HYDROCRACKING",$H1729="RESID_HYDROCRACKING"),"Hydrocracker",IF($H1729="REFORMING","Reformer",""))))</f>
        <v/>
      </c>
      <c r="H1729" s="6" t="s">
        <v>378</v>
      </c>
      <c r="I1729" s="6" t="s">
        <v>575</v>
      </c>
      <c r="J1729" s="6" t="s">
        <v>345</v>
      </c>
      <c r="K1729" s="10">
        <v>30.45</v>
      </c>
      <c r="L1729" s="10">
        <v>35</v>
      </c>
      <c r="M1729" s="6" t="s">
        <v>371</v>
      </c>
    </row>
    <row r="1730" spans="1:13">
      <c r="A1730" s="6">
        <v>2023</v>
      </c>
      <c r="B1730" s="6">
        <v>8</v>
      </c>
      <c r="C1730" s="6" t="s">
        <v>66</v>
      </c>
      <c r="D1730" s="6" t="s">
        <v>51</v>
      </c>
      <c r="E1730" s="6" t="s">
        <v>391</v>
      </c>
      <c r="F1730" s="6" t="str">
        <f>IF($M1730="PADD I","PADD 1",IF($M1730="PADD II","PADD 2",IF($M1730="PADD III","PADD 3",IF($M1730="PADD IV","PADD 4",IF($M1730="PADD V","PADD 5","")))))</f>
        <v>PADD 5</v>
      </c>
      <c r="G1730" s="6" t="str">
        <f>IF(AND($H1730="ATMOS DISTILLATION",ISNUMBER(SEARCH("VPS",$I1730))=FALSE,LEFT($I1730,6)&lt;&gt;"VACUUM"),"CDU",IF($H1730="FLUID CAT CRACKING","FCC",IF(OR($H1730="HYDROCRACKING",$H1730="RESID_HYDROCRACKING"),"Hydrocracker",IF($H1730="REFORMING","Reformer",""))))</f>
        <v>Reformer</v>
      </c>
      <c r="H1730" s="6" t="s">
        <v>421</v>
      </c>
      <c r="I1730" s="6" t="s">
        <v>539</v>
      </c>
      <c r="J1730" s="6" t="s">
        <v>345</v>
      </c>
      <c r="K1730" s="10">
        <v>28.8</v>
      </c>
      <c r="L1730" s="10">
        <v>60</v>
      </c>
      <c r="M1730" s="6" t="s">
        <v>386</v>
      </c>
    </row>
    <row r="1731" spans="1:13">
      <c r="A1731" s="6">
        <v>2023</v>
      </c>
      <c r="B1731" s="6">
        <v>8</v>
      </c>
      <c r="C1731" s="6" t="s">
        <v>66</v>
      </c>
      <c r="D1731" s="6" t="s">
        <v>324</v>
      </c>
      <c r="E1731" s="6" t="s">
        <v>388</v>
      </c>
      <c r="F1731" s="6" t="str">
        <f>IF($M1731="PADD I","PADD 1",IF($M1731="PADD II","PADD 2",IF($M1731="PADD III","PADD 3",IF($M1731="PADD IV","PADD 4",IF($M1731="PADD V","PADD 5","")))))</f>
        <v>PADD 3</v>
      </c>
      <c r="G1731" s="6">
        <f>IF(AND($H1731="ATMOS DISTILLATION",ISNUMBER(SEARCH("VPS",$I1731))=FALSE,LEFT($I1731,6)&lt;&gt;"VACUUM"),"CDU",IF($H1731="FLUID CAT CRACKING","FCC",IF(OR($H1731="HYDROCRACKING",$H1731="RESID_HYDROCRACKING"),"Hydrocracker",IF($H1731="REFORMING","Reformer",""))))</f>
        <v/>
      </c>
      <c r="H1731" s="6" t="s">
        <v>378</v>
      </c>
      <c r="I1731" s="6" t="s">
        <v>942</v>
      </c>
      <c r="J1731" s="6" t="s">
        <v>345</v>
      </c>
      <c r="K1731" s="10">
        <v>28.215</v>
      </c>
      <c r="L1731" s="10">
        <v>148.5</v>
      </c>
      <c r="M1731" s="6" t="s">
        <v>371</v>
      </c>
    </row>
    <row r="1732" spans="1:13">
      <c r="A1732" s="6">
        <v>2023</v>
      </c>
      <c r="B1732" s="6">
        <v>8</v>
      </c>
      <c r="C1732" s="6" t="s">
        <v>66</v>
      </c>
      <c r="D1732" s="6" t="s">
        <v>324</v>
      </c>
      <c r="E1732" s="6" t="s">
        <v>388</v>
      </c>
      <c r="F1732" s="6" t="str">
        <f>IF($M1732="PADD I","PADD 1",IF($M1732="PADD II","PADD 2",IF($M1732="PADD III","PADD 3",IF($M1732="PADD IV","PADD 4",IF($M1732="PADD V","PADD 5","")))))</f>
        <v>PADD 3</v>
      </c>
      <c r="G1732" s="6" t="str">
        <f>IF(AND($H1732="ATMOS DISTILLATION",ISNUMBER(SEARCH("VPS",$I1732))=FALSE,LEFT($I1732,6)&lt;&gt;"VACUUM"),"CDU",IF($H1732="FLUID CAT CRACKING","FCC",IF(OR($H1732="HYDROCRACKING",$H1732="RESID_HYDROCRACKING"),"Hydrocracker",IF($H1732="REFORMING","Reformer",""))))</f>
        <v>CDU</v>
      </c>
      <c r="H1732" s="6" t="s">
        <v>38</v>
      </c>
      <c r="I1732" s="6" t="s">
        <v>96</v>
      </c>
      <c r="J1732" s="6" t="s">
        <v>345</v>
      </c>
      <c r="K1732" s="10">
        <v>27.55</v>
      </c>
      <c r="L1732" s="10">
        <v>145</v>
      </c>
      <c r="M1732" s="6" t="s">
        <v>371</v>
      </c>
    </row>
    <row r="1733" spans="1:13">
      <c r="A1733" s="6">
        <v>2023</v>
      </c>
      <c r="B1733" s="6">
        <v>8</v>
      </c>
      <c r="C1733" s="6" t="s">
        <v>66</v>
      </c>
      <c r="D1733" s="6" t="s">
        <v>408</v>
      </c>
      <c r="E1733" s="6" t="s">
        <v>409</v>
      </c>
      <c r="F1733" s="6" t="str">
        <f>IF($M1733="PADD I","PADD 1",IF($M1733="PADD II","PADD 2",IF($M1733="PADD III","PADD 3",IF($M1733="PADD IV","PADD 4",IF($M1733="PADD V","PADD 5","")))))</f>
        <v>PADD 3</v>
      </c>
      <c r="G1733" s="6">
        <f>IF(AND($H1733="ATMOS DISTILLATION",ISNUMBER(SEARCH("VPS",$I1733))=FALSE,LEFT($I1733,6)&lt;&gt;"VACUUM"),"CDU",IF($H1733="FLUID CAT CRACKING","FCC",IF(OR($H1733="HYDROCRACKING",$H1733="RESID_HYDROCRACKING"),"Hydrocracker",IF($H1733="REFORMING","Reformer",""))))</f>
        <v/>
      </c>
      <c r="H1733" s="6" t="s">
        <v>378</v>
      </c>
      <c r="I1733" s="6" t="s">
        <v>489</v>
      </c>
      <c r="J1733" s="6" t="s">
        <v>349</v>
      </c>
      <c r="K1733" s="10">
        <v>27</v>
      </c>
      <c r="L1733" s="10">
        <v>60</v>
      </c>
      <c r="M1733" s="6" t="s">
        <v>371</v>
      </c>
    </row>
    <row r="1734" spans="1:13">
      <c r="A1734" s="6">
        <v>2023</v>
      </c>
      <c r="B1734" s="6">
        <v>8</v>
      </c>
      <c r="C1734" s="6" t="s">
        <v>66</v>
      </c>
      <c r="D1734" s="6" t="s">
        <v>333</v>
      </c>
      <c r="E1734" s="6" t="s">
        <v>381</v>
      </c>
      <c r="F1734" s="6" t="str">
        <f>IF($M1734="PADD I","PADD 1",IF($M1734="PADD II","PADD 2",IF($M1734="PADD III","PADD 3",IF($M1734="PADD IV","PADD 4",IF($M1734="PADD V","PADD 5","")))))</f>
        <v>PADD 3</v>
      </c>
      <c r="G1734" s="6">
        <f>IF(AND($H1734="ATMOS DISTILLATION",ISNUMBER(SEARCH("VPS",$I1734))=FALSE,LEFT($I1734,6)&lt;&gt;"VACUUM"),"CDU",IF($H1734="FLUID CAT CRACKING","FCC",IF(OR($H1734="HYDROCRACKING",$H1734="RESID_HYDROCRACKING"),"Hydrocracker",IF($H1734="REFORMING","Reformer",""))))</f>
        <v/>
      </c>
      <c r="H1734" s="6" t="s">
        <v>43</v>
      </c>
      <c r="I1734" s="6" t="s">
        <v>943</v>
      </c>
      <c r="J1734" s="6" t="s">
        <v>345</v>
      </c>
      <c r="K1734" s="10">
        <v>26</v>
      </c>
      <c r="L1734" s="10">
        <v>40</v>
      </c>
      <c r="M1734" s="6" t="s">
        <v>371</v>
      </c>
    </row>
    <row r="1735" spans="1:13">
      <c r="A1735" s="6">
        <v>2023</v>
      </c>
      <c r="B1735" s="6">
        <v>8</v>
      </c>
      <c r="C1735" s="6" t="s">
        <v>66</v>
      </c>
      <c r="D1735" s="6" t="s">
        <v>851</v>
      </c>
      <c r="E1735" s="6" t="s">
        <v>852</v>
      </c>
      <c r="F1735" s="6" t="str">
        <f>IF($M1735="PADD I","PADD 1",IF($M1735="PADD II","PADD 2",IF($M1735="PADD III","PADD 3",IF($M1735="PADD IV","PADD 4",IF($M1735="PADD V","PADD 5","")))))</f>
        <v>PADD 3</v>
      </c>
      <c r="G1735" s="6">
        <f>IF(AND($H1735="ATMOS DISTILLATION",ISNUMBER(SEARCH("VPS",$I1735))=FALSE,LEFT($I1735,6)&lt;&gt;"VACUUM"),"CDU",IF($H1735="FLUID CAT CRACKING","FCC",IF(OR($H1735="HYDROCRACKING",$H1735="RESID_HYDROCRACKING"),"Hydrocracker",IF($H1735="REFORMING","Reformer",""))))</f>
        <v/>
      </c>
      <c r="H1735" s="6" t="s">
        <v>378</v>
      </c>
      <c r="I1735" s="6" t="s">
        <v>860</v>
      </c>
      <c r="J1735" s="6" t="s">
        <v>345</v>
      </c>
      <c r="K1735" s="10">
        <v>25.56</v>
      </c>
      <c r="L1735" s="10">
        <v>36</v>
      </c>
      <c r="M1735" s="6" t="s">
        <v>371</v>
      </c>
    </row>
    <row r="1736" spans="1:13">
      <c r="A1736" s="6">
        <v>2023</v>
      </c>
      <c r="B1736" s="6">
        <v>8</v>
      </c>
      <c r="C1736" s="6" t="s">
        <v>66</v>
      </c>
      <c r="D1736" s="6" t="s">
        <v>922</v>
      </c>
      <c r="E1736" s="6" t="s">
        <v>452</v>
      </c>
      <c r="F1736" s="6" t="str">
        <f>IF($M1736="PADD I","PADD 1",IF($M1736="PADD II","PADD 2",IF($M1736="PADD III","PADD 3",IF($M1736="PADD IV","PADD 4",IF($M1736="PADD V","PADD 5","")))))</f>
        <v>PADD 4</v>
      </c>
      <c r="G1736" s="6" t="str">
        <f>IF(AND($H1736="ATMOS DISTILLATION",ISNUMBER(SEARCH("VPS",$I1736))=FALSE,LEFT($I1736,6)&lt;&gt;"VACUUM"),"CDU",IF($H1736="FLUID CAT CRACKING","FCC",IF(OR($H1736="HYDROCRACKING",$H1736="RESID_HYDROCRACKING"),"Hydrocracker",IF($H1736="REFORMING","Reformer",""))))</f>
        <v>CDU</v>
      </c>
      <c r="H1736" s="6" t="s">
        <v>38</v>
      </c>
      <c r="I1736" s="6" t="s">
        <v>923</v>
      </c>
      <c r="J1736" s="6" t="s">
        <v>349</v>
      </c>
      <c r="K1736" s="10">
        <v>25</v>
      </c>
      <c r="L1736" s="10">
        <v>25</v>
      </c>
      <c r="M1736" s="6" t="s">
        <v>430</v>
      </c>
    </row>
    <row r="1737" spans="1:13">
      <c r="A1737" s="6">
        <v>2023</v>
      </c>
      <c r="B1737" s="6">
        <v>8</v>
      </c>
      <c r="C1737" s="6" t="s">
        <v>66</v>
      </c>
      <c r="D1737" s="6" t="s">
        <v>420</v>
      </c>
      <c r="E1737" s="6" t="s">
        <v>373</v>
      </c>
      <c r="F1737" s="6" t="str">
        <f>IF($M1737="PADD I","PADD 1",IF($M1737="PADD II","PADD 2",IF($M1737="PADD III","PADD 3",IF($M1737="PADD IV","PADD 4",IF($M1737="PADD V","PADD 5","")))))</f>
        <v>PADD 2</v>
      </c>
      <c r="G1737" s="6" t="str">
        <f>IF(AND($H1737="ATMOS DISTILLATION",ISNUMBER(SEARCH("VPS",$I1737))=FALSE,LEFT($I1737,6)&lt;&gt;"VACUUM"),"CDU",IF($H1737="FLUID CAT CRACKING","FCC",IF(OR($H1737="HYDROCRACKING",$H1737="RESID_HYDROCRACKING"),"Hydrocracker",IF($H1737="REFORMING","Reformer",""))))</f>
        <v>CDU</v>
      </c>
      <c r="H1737" s="6" t="s">
        <v>38</v>
      </c>
      <c r="I1737" s="6" t="s">
        <v>81</v>
      </c>
      <c r="J1737" s="6" t="s">
        <v>345</v>
      </c>
      <c r="K1737" s="10">
        <v>24.5</v>
      </c>
      <c r="L1737" s="10">
        <v>24.5</v>
      </c>
      <c r="M1737" s="6" t="s">
        <v>375</v>
      </c>
    </row>
    <row r="1738" spans="1:13">
      <c r="A1738" s="6">
        <v>2023</v>
      </c>
      <c r="B1738" s="6">
        <v>8</v>
      </c>
      <c r="C1738" s="6" t="s">
        <v>66</v>
      </c>
      <c r="D1738" s="6" t="s">
        <v>408</v>
      </c>
      <c r="E1738" s="6" t="s">
        <v>409</v>
      </c>
      <c r="F1738" s="6" t="str">
        <f>IF($M1738="PADD I","PADD 1",IF($M1738="PADD II","PADD 2",IF($M1738="PADD III","PADD 3",IF($M1738="PADD IV","PADD 4",IF($M1738="PADD V","PADD 5","")))))</f>
        <v>PADD 3</v>
      </c>
      <c r="G1738" s="6">
        <f>IF(AND($H1738="ATMOS DISTILLATION",ISNUMBER(SEARCH("VPS",$I1738))=FALSE,LEFT($I1738,6)&lt;&gt;"VACUUM"),"CDU",IF($H1738="FLUID CAT CRACKING","FCC",IF(OR($H1738="HYDROCRACKING",$H1738="RESID_HYDROCRACKING"),"Hydrocracker",IF($H1738="REFORMING","Reformer",""))))</f>
        <v/>
      </c>
      <c r="H1738" s="6" t="s">
        <v>378</v>
      </c>
      <c r="I1738" s="6" t="s">
        <v>506</v>
      </c>
      <c r="J1738" s="6" t="s">
        <v>345</v>
      </c>
      <c r="K1738" s="10">
        <v>22.95</v>
      </c>
      <c r="L1738" s="10">
        <v>51</v>
      </c>
      <c r="M1738" s="6" t="s">
        <v>371</v>
      </c>
    </row>
    <row r="1739" spans="1:13">
      <c r="A1739" s="6">
        <v>2023</v>
      </c>
      <c r="B1739" s="6">
        <v>8</v>
      </c>
      <c r="C1739" s="6" t="s">
        <v>66</v>
      </c>
      <c r="D1739" s="6" t="s">
        <v>51</v>
      </c>
      <c r="E1739" s="6" t="s">
        <v>391</v>
      </c>
      <c r="F1739" s="6" t="str">
        <f>IF($M1739="PADD I","PADD 1",IF($M1739="PADD II","PADD 2",IF($M1739="PADD III","PADD 3",IF($M1739="PADD IV","PADD 4",IF($M1739="PADD V","PADD 5","")))))</f>
        <v>PADD 5</v>
      </c>
      <c r="G1739" s="6">
        <f>IF(AND($H1739="ATMOS DISTILLATION",ISNUMBER(SEARCH("VPS",$I1739))=FALSE,LEFT($I1739,6)&lt;&gt;"VACUUM"),"CDU",IF($H1739="FLUID CAT CRACKING","FCC",IF(OR($H1739="HYDROCRACKING",$H1739="RESID_HYDROCRACKING"),"Hydrocracker",IF($H1739="REFORMING","Reformer",""))))</f>
        <v/>
      </c>
      <c r="H1739" s="6" t="s">
        <v>43</v>
      </c>
      <c r="I1739" s="6" t="s">
        <v>859</v>
      </c>
      <c r="J1739" s="6" t="s">
        <v>349</v>
      </c>
      <c r="K1739" s="10">
        <v>20.8</v>
      </c>
      <c r="L1739" s="10">
        <v>40</v>
      </c>
      <c r="M1739" s="6" t="s">
        <v>386</v>
      </c>
    </row>
    <row r="1740" spans="1:13">
      <c r="A1740" s="6">
        <v>2023</v>
      </c>
      <c r="B1740" s="6">
        <v>8</v>
      </c>
      <c r="C1740" s="6" t="s">
        <v>66</v>
      </c>
      <c r="D1740" s="6" t="s">
        <v>420</v>
      </c>
      <c r="E1740" s="6" t="s">
        <v>373</v>
      </c>
      <c r="F1740" s="6" t="str">
        <f>IF($M1740="PADD I","PADD 1",IF($M1740="PADD II","PADD 2",IF($M1740="PADD III","PADD 3",IF($M1740="PADD IV","PADD 4",IF($M1740="PADD V","PADD 5","")))))</f>
        <v>PADD 2</v>
      </c>
      <c r="G1740" s="6">
        <f>IF(AND($H1740="ATMOS DISTILLATION",ISNUMBER(SEARCH("VPS",$I1740))=FALSE,LEFT($I1740,6)&lt;&gt;"VACUUM"),"CDU",IF($H1740="FLUID CAT CRACKING","FCC",IF(OR($H1740="HYDROCRACKING",$H1740="RESID_HYDROCRACKING"),"Hydrocracker",IF($H1740="REFORMING","Reformer",""))))</f>
        <v/>
      </c>
      <c r="H1740" s="6" t="s">
        <v>378</v>
      </c>
      <c r="I1740" s="6" t="s">
        <v>431</v>
      </c>
      <c r="J1740" s="6" t="s">
        <v>345</v>
      </c>
      <c r="K1740" s="10">
        <v>20.5</v>
      </c>
      <c r="L1740" s="10">
        <v>20.5</v>
      </c>
      <c r="M1740" s="6" t="s">
        <v>375</v>
      </c>
    </row>
    <row r="1741" spans="1:13">
      <c r="A1741" s="6">
        <v>2023</v>
      </c>
      <c r="B1741" s="6">
        <v>8</v>
      </c>
      <c r="C1741" s="6" t="s">
        <v>66</v>
      </c>
      <c r="D1741" s="6" t="s">
        <v>496</v>
      </c>
      <c r="E1741" s="6" t="s">
        <v>388</v>
      </c>
      <c r="F1741" s="6" t="str">
        <f>IF($M1741="PADD I","PADD 1",IF($M1741="PADD II","PADD 2",IF($M1741="PADD III","PADD 3",IF($M1741="PADD IV","PADD 4",IF($M1741="PADD V","PADD 5","")))))</f>
        <v>PADD 2</v>
      </c>
      <c r="G1741" s="6" t="str">
        <f>IF(AND($H1741="ATMOS DISTILLATION",ISNUMBER(SEARCH("VPS",$I1741))=FALSE,LEFT($I1741,6)&lt;&gt;"VACUUM"),"CDU",IF($H1741="FLUID CAT CRACKING","FCC",IF(OR($H1741="HYDROCRACKING",$H1741="RESID_HYDROCRACKING"),"Hydrocracker",IF($H1741="REFORMING","Reformer",""))))</f>
        <v>CDU</v>
      </c>
      <c r="H1741" s="6" t="s">
        <v>38</v>
      </c>
      <c r="I1741" s="6" t="s">
        <v>81</v>
      </c>
      <c r="J1741" s="6" t="s">
        <v>349</v>
      </c>
      <c r="K1741" s="10">
        <v>20</v>
      </c>
      <c r="L1741" s="10">
        <v>20</v>
      </c>
      <c r="M1741" s="6" t="s">
        <v>375</v>
      </c>
    </row>
    <row r="1742" spans="1:13">
      <c r="A1742" s="6">
        <v>2023</v>
      </c>
      <c r="B1742" s="6">
        <v>8</v>
      </c>
      <c r="C1742" s="6" t="s">
        <v>66</v>
      </c>
      <c r="D1742" s="6" t="s">
        <v>408</v>
      </c>
      <c r="E1742" s="6" t="s">
        <v>409</v>
      </c>
      <c r="F1742" s="6" t="str">
        <f>IF($M1742="PADD I","PADD 1",IF($M1742="PADD II","PADD 2",IF($M1742="PADD III","PADD 3",IF($M1742="PADD IV","PADD 4",IF($M1742="PADD V","PADD 5","")))))</f>
        <v>PADD 3</v>
      </c>
      <c r="G1742" s="6" t="str">
        <f>IF(AND($H1742="ATMOS DISTILLATION",ISNUMBER(SEARCH("VPS",$I1742))=FALSE,LEFT($I1742,6)&lt;&gt;"VACUUM"),"CDU",IF($H1742="FLUID CAT CRACKING","FCC",IF(OR($H1742="HYDROCRACKING",$H1742="RESID_HYDROCRACKING"),"Hydrocracker",IF($H1742="REFORMING","Reformer",""))))</f>
        <v>CDU</v>
      </c>
      <c r="H1742" s="6" t="s">
        <v>38</v>
      </c>
      <c r="I1742" s="6" t="s">
        <v>522</v>
      </c>
      <c r="J1742" s="6" t="s">
        <v>349</v>
      </c>
      <c r="K1742" s="10">
        <v>18</v>
      </c>
      <c r="L1742" s="10">
        <v>40</v>
      </c>
      <c r="M1742" s="6" t="s">
        <v>371</v>
      </c>
    </row>
    <row r="1743" spans="1:13">
      <c r="A1743" s="6">
        <v>2023</v>
      </c>
      <c r="B1743" s="6">
        <v>8</v>
      </c>
      <c r="C1743" s="6" t="s">
        <v>66</v>
      </c>
      <c r="D1743" s="6" t="s">
        <v>380</v>
      </c>
      <c r="E1743" s="6" t="s">
        <v>381</v>
      </c>
      <c r="F1743" s="6" t="str">
        <f>IF($M1743="PADD I","PADD 1",IF($M1743="PADD II","PADD 2",IF($M1743="PADD III","PADD 3",IF($M1743="PADD IV","PADD 4",IF($M1743="PADD V","PADD 5","")))))</f>
        <v>PADD 3</v>
      </c>
      <c r="G1743" s="6" t="str">
        <f>IF(AND($H1743="ATMOS DISTILLATION",ISNUMBER(SEARCH("VPS",$I1743))=FALSE,LEFT($I1743,6)&lt;&gt;"VACUUM"),"CDU",IF($H1743="FLUID CAT CRACKING","FCC",IF(OR($H1743="HYDROCRACKING",$H1743="RESID_HYDROCRACKING"),"Hydrocracker",IF($H1743="REFORMING","Reformer",""))))</f>
        <v>FCC</v>
      </c>
      <c r="H1743" s="6" t="s">
        <v>376</v>
      </c>
      <c r="I1743" s="6" t="s">
        <v>850</v>
      </c>
      <c r="J1743" s="6" t="s">
        <v>345</v>
      </c>
      <c r="K1743" s="10">
        <v>17.6</v>
      </c>
      <c r="L1743" s="10">
        <v>110</v>
      </c>
      <c r="M1743" s="6" t="s">
        <v>371</v>
      </c>
    </row>
    <row r="1744" spans="1:13">
      <c r="A1744" s="6">
        <v>2023</v>
      </c>
      <c r="B1744" s="6">
        <v>8</v>
      </c>
      <c r="C1744" s="6" t="s">
        <v>66</v>
      </c>
      <c r="D1744" s="6" t="s">
        <v>490</v>
      </c>
      <c r="E1744" s="6" t="s">
        <v>491</v>
      </c>
      <c r="F1744" s="6" t="str">
        <f>IF($M1744="PADD I","PADD 1",IF($M1744="PADD II","PADD 2",IF($M1744="PADD III","PADD 3",IF($M1744="PADD IV","PADD 4",IF($M1744="PADD V","PADD 5","")))))</f>
        <v>PADD 3</v>
      </c>
      <c r="G1744" s="6">
        <f>IF(AND($H1744="ATMOS DISTILLATION",ISNUMBER(SEARCH("VPS",$I1744))=FALSE,LEFT($I1744,6)&lt;&gt;"VACUUM"),"CDU",IF($H1744="FLUID CAT CRACKING","FCC",IF(OR($H1744="HYDROCRACKING",$H1744="RESID_HYDROCRACKING"),"Hydrocracker",IF($H1744="REFORMING","Reformer",""))))</f>
        <v/>
      </c>
      <c r="H1744" s="6" t="s">
        <v>435</v>
      </c>
      <c r="I1744" s="6" t="s">
        <v>643</v>
      </c>
      <c r="J1744" s="6" t="s">
        <v>345</v>
      </c>
      <c r="K1744" s="10">
        <v>17.6</v>
      </c>
      <c r="L1744" s="10">
        <v>110</v>
      </c>
      <c r="M1744" s="6" t="s">
        <v>371</v>
      </c>
    </row>
    <row r="1745" spans="1:13">
      <c r="A1745" s="6">
        <v>2023</v>
      </c>
      <c r="B1745" s="6">
        <v>8</v>
      </c>
      <c r="C1745" s="6" t="s">
        <v>66</v>
      </c>
      <c r="D1745" s="6" t="s">
        <v>324</v>
      </c>
      <c r="E1745" s="6" t="s">
        <v>388</v>
      </c>
      <c r="F1745" s="6" t="str">
        <f>IF($M1745="PADD I","PADD 1",IF($M1745="PADD II","PADD 2",IF($M1745="PADD III","PADD 3",IF($M1745="PADD IV","PADD 4",IF($M1745="PADD V","PADD 5","")))))</f>
        <v>PADD 3</v>
      </c>
      <c r="G1745" s="6" t="str">
        <f>IF(AND($H1745="ATMOS DISTILLATION",ISNUMBER(SEARCH("VPS",$I1745))=FALSE,LEFT($I1745,6)&lt;&gt;"VACUUM"),"CDU",IF($H1745="FLUID CAT CRACKING","FCC",IF(OR($H1745="HYDROCRACKING",$H1745="RESID_HYDROCRACKING"),"Hydrocracker",IF($H1745="REFORMING","Reformer",""))))</f>
        <v>FCC</v>
      </c>
      <c r="H1745" s="6" t="s">
        <v>376</v>
      </c>
      <c r="I1745" s="6" t="s">
        <v>944</v>
      </c>
      <c r="J1745" s="6" t="s">
        <v>345</v>
      </c>
      <c r="K1745" s="10">
        <v>13.4</v>
      </c>
      <c r="L1745" s="10">
        <v>134</v>
      </c>
      <c r="M1745" s="6" t="s">
        <v>371</v>
      </c>
    </row>
    <row r="1746" spans="1:13">
      <c r="A1746" s="6">
        <v>2023</v>
      </c>
      <c r="B1746" s="6">
        <v>8</v>
      </c>
      <c r="C1746" s="6" t="s">
        <v>66</v>
      </c>
      <c r="D1746" s="6" t="s">
        <v>922</v>
      </c>
      <c r="E1746" s="6" t="s">
        <v>452</v>
      </c>
      <c r="F1746" s="6" t="str">
        <f>IF($M1746="PADD I","PADD 1",IF($M1746="PADD II","PADD 2",IF($M1746="PADD III","PADD 3",IF($M1746="PADD IV","PADD 4",IF($M1746="PADD V","PADD 5","")))))</f>
        <v>PADD 4</v>
      </c>
      <c r="G1746" s="6" t="str">
        <f>IF(AND($H1746="ATMOS DISTILLATION",ISNUMBER(SEARCH("VPS",$I1746))=FALSE,LEFT($I1746,6)&lt;&gt;"VACUUM"),"CDU",IF($H1746="FLUID CAT CRACKING","FCC",IF(OR($H1746="HYDROCRACKING",$H1746="RESID_HYDROCRACKING"),"Hydrocracker",IF($H1746="REFORMING","Reformer",""))))</f>
        <v>FCC</v>
      </c>
      <c r="H1746" s="6" t="s">
        <v>376</v>
      </c>
      <c r="I1746" s="6" t="s">
        <v>105</v>
      </c>
      <c r="J1746" s="6" t="s">
        <v>349</v>
      </c>
      <c r="K1746" s="10">
        <v>13</v>
      </c>
      <c r="L1746" s="10">
        <v>13</v>
      </c>
      <c r="M1746" s="6" t="s">
        <v>430</v>
      </c>
    </row>
    <row r="1747" spans="1:13">
      <c r="A1747" s="6">
        <v>2023</v>
      </c>
      <c r="B1747" s="6">
        <v>8</v>
      </c>
      <c r="C1747" s="6" t="s">
        <v>66</v>
      </c>
      <c r="D1747" s="6" t="s">
        <v>420</v>
      </c>
      <c r="E1747" s="6" t="s">
        <v>373</v>
      </c>
      <c r="F1747" s="6" t="str">
        <f>IF($M1747="PADD I","PADD 1",IF($M1747="PADD II","PADD 2",IF($M1747="PADD III","PADD 3",IF($M1747="PADD IV","PADD 4",IF($M1747="PADD V","PADD 5","")))))</f>
        <v>PADD 2</v>
      </c>
      <c r="G1747" s="6" t="str">
        <f>IF(AND($H1747="ATMOS DISTILLATION",ISNUMBER(SEARCH("VPS",$I1747))=FALSE,LEFT($I1747,6)&lt;&gt;"VACUUM"),"CDU",IF($H1747="FLUID CAT CRACKING","FCC",IF(OR($H1747="HYDROCRACKING",$H1747="RESID_HYDROCRACKING"),"Hydrocracker",IF($H1747="REFORMING","Reformer",""))))</f>
        <v>FCC</v>
      </c>
      <c r="H1747" s="6" t="s">
        <v>376</v>
      </c>
      <c r="I1747" s="6" t="s">
        <v>105</v>
      </c>
      <c r="J1747" s="6" t="s">
        <v>345</v>
      </c>
      <c r="K1747" s="10">
        <v>13</v>
      </c>
      <c r="L1747" s="10">
        <v>13</v>
      </c>
      <c r="M1747" s="6" t="s">
        <v>375</v>
      </c>
    </row>
    <row r="1748" spans="1:13">
      <c r="A1748" s="6">
        <v>2023</v>
      </c>
      <c r="B1748" s="6">
        <v>8</v>
      </c>
      <c r="C1748" s="6" t="s">
        <v>66</v>
      </c>
      <c r="D1748" s="6" t="s">
        <v>531</v>
      </c>
      <c r="E1748" s="6" t="s">
        <v>532</v>
      </c>
      <c r="F1748" s="6" t="str">
        <f>IF($M1748="PADD I","PADD 1",IF($M1748="PADD II","PADD 2",IF($M1748="PADD III","PADD 3",IF($M1748="PADD IV","PADD 4",IF($M1748="PADD V","PADD 5","")))))</f>
        <v>PADD 5</v>
      </c>
      <c r="G1748" s="6">
        <f>IF(AND($H1748="ATMOS DISTILLATION",ISNUMBER(SEARCH("VPS",$I1748))=FALSE,LEFT($I1748,6)&lt;&gt;"VACUUM"),"CDU",IF($H1748="FLUID CAT CRACKING","FCC",IF(OR($H1748="HYDROCRACKING",$H1748="RESID_HYDROCRACKING"),"Hydrocracker",IF($H1748="REFORMING","Reformer",""))))</f>
        <v/>
      </c>
      <c r="H1748" s="6" t="s">
        <v>435</v>
      </c>
      <c r="I1748" s="6" t="s">
        <v>599</v>
      </c>
      <c r="J1748" s="6" t="s">
        <v>345</v>
      </c>
      <c r="K1748" s="10">
        <v>13</v>
      </c>
      <c r="L1748" s="10">
        <v>25</v>
      </c>
      <c r="M1748" s="6" t="s">
        <v>386</v>
      </c>
    </row>
    <row r="1749" spans="1:13">
      <c r="A1749" s="6">
        <v>2023</v>
      </c>
      <c r="B1749" s="6">
        <v>8</v>
      </c>
      <c r="C1749" s="6" t="s">
        <v>66</v>
      </c>
      <c r="D1749" s="6" t="s">
        <v>490</v>
      </c>
      <c r="E1749" s="6" t="s">
        <v>491</v>
      </c>
      <c r="F1749" s="6" t="str">
        <f>IF($M1749="PADD I","PADD 1",IF($M1749="PADD II","PADD 2",IF($M1749="PADD III","PADD 3",IF($M1749="PADD IV","PADD 4",IF($M1749="PADD V","PADD 5","")))))</f>
        <v>PADD 3</v>
      </c>
      <c r="G1749" s="6" t="str">
        <f>IF(AND($H1749="ATMOS DISTILLATION",ISNUMBER(SEARCH("VPS",$I1749))=FALSE,LEFT($I1749,6)&lt;&gt;"VACUUM"),"CDU",IF($H1749="FLUID CAT CRACKING","FCC",IF(OR($H1749="HYDROCRACKING",$H1749="RESID_HYDROCRACKING"),"Hydrocracker",IF($H1749="REFORMING","Reformer",""))))</f>
        <v>FCC</v>
      </c>
      <c r="H1749" s="6" t="s">
        <v>376</v>
      </c>
      <c r="I1749" s="6" t="s">
        <v>472</v>
      </c>
      <c r="J1749" s="6" t="s">
        <v>345</v>
      </c>
      <c r="K1749" s="10">
        <v>12.96</v>
      </c>
      <c r="L1749" s="10">
        <v>81</v>
      </c>
      <c r="M1749" s="6" t="s">
        <v>371</v>
      </c>
    </row>
    <row r="1750" spans="1:13">
      <c r="A1750" s="6">
        <v>2023</v>
      </c>
      <c r="B1750" s="6">
        <v>8</v>
      </c>
      <c r="C1750" s="6" t="s">
        <v>66</v>
      </c>
      <c r="D1750" s="6" t="s">
        <v>440</v>
      </c>
      <c r="E1750" s="6" t="s">
        <v>369</v>
      </c>
      <c r="F1750" s="6" t="str">
        <f>IF($M1750="PADD I","PADD 1",IF($M1750="PADD II","PADD 2",IF($M1750="PADD III","PADD 3",IF($M1750="PADD IV","PADD 4",IF($M1750="PADD V","PADD 5","")))))</f>
        <v>PADD 5</v>
      </c>
      <c r="G1750" s="6">
        <f>IF(AND($H1750="ATMOS DISTILLATION",ISNUMBER(SEARCH("VPS",$I1750))=FALSE,LEFT($I1750,6)&lt;&gt;"VACUUM"),"CDU",IF($H1750="FLUID CAT CRACKING","FCC",IF(OR($H1750="HYDROCRACKING",$H1750="RESID_HYDROCRACKING"),"Hydrocracker",IF($H1750="REFORMING","Reformer",""))))</f>
        <v/>
      </c>
      <c r="H1750" s="6" t="s">
        <v>435</v>
      </c>
      <c r="I1750" s="6" t="s">
        <v>441</v>
      </c>
      <c r="J1750" s="6" t="s">
        <v>345</v>
      </c>
      <c r="K1750" s="10">
        <v>12.19</v>
      </c>
      <c r="L1750" s="10">
        <v>53</v>
      </c>
      <c r="M1750" s="6" t="s">
        <v>386</v>
      </c>
    </row>
    <row r="1751" spans="1:13">
      <c r="A1751" s="6">
        <v>2023</v>
      </c>
      <c r="B1751" s="6">
        <v>8</v>
      </c>
      <c r="C1751" s="6" t="s">
        <v>66</v>
      </c>
      <c r="D1751" s="6" t="s">
        <v>714</v>
      </c>
      <c r="E1751" s="6" t="s">
        <v>405</v>
      </c>
      <c r="F1751" s="6" t="str">
        <f>IF($M1751="PADD I","PADD 1",IF($M1751="PADD II","PADD 2",IF($M1751="PADD III","PADD 3",IF($M1751="PADD IV","PADD 4",IF($M1751="PADD V","PADD 5","")))))</f>
        <v>PADD 3</v>
      </c>
      <c r="G1751" s="6" t="str">
        <f>IF(AND($H1751="ATMOS DISTILLATION",ISNUMBER(SEARCH("VPS",$I1751))=FALSE,LEFT($I1751,6)&lt;&gt;"VACUUM"),"CDU",IF($H1751="FLUID CAT CRACKING","FCC",IF(OR($H1751="HYDROCRACKING",$H1751="RESID_HYDROCRACKING"),"Hydrocracker",IF($H1751="REFORMING","Reformer",""))))</f>
        <v>FCC</v>
      </c>
      <c r="H1751" s="6" t="s">
        <v>376</v>
      </c>
      <c r="I1751" s="6" t="s">
        <v>105</v>
      </c>
      <c r="J1751" s="6" t="s">
        <v>345</v>
      </c>
      <c r="K1751" s="10">
        <v>12.16</v>
      </c>
      <c r="L1751" s="10">
        <v>76</v>
      </c>
      <c r="M1751" s="6" t="s">
        <v>371</v>
      </c>
    </row>
    <row r="1752" spans="1:13">
      <c r="A1752" s="6">
        <v>2023</v>
      </c>
      <c r="B1752" s="6">
        <v>8</v>
      </c>
      <c r="C1752" s="6" t="s">
        <v>66</v>
      </c>
      <c r="D1752" s="6" t="s">
        <v>496</v>
      </c>
      <c r="E1752" s="6" t="s">
        <v>388</v>
      </c>
      <c r="F1752" s="6" t="str">
        <f>IF($M1752="PADD I","PADD 1",IF($M1752="PADD II","PADD 2",IF($M1752="PADD III","PADD 3",IF($M1752="PADD IV","PADD 4",IF($M1752="PADD V","PADD 5","")))))</f>
        <v>PADD 2</v>
      </c>
      <c r="G1752" s="6">
        <f>IF(AND($H1752="ATMOS DISTILLATION",ISNUMBER(SEARCH("VPS",$I1752))=FALSE,LEFT($I1752,6)&lt;&gt;"VACUUM"),"CDU",IF($H1752="FLUID CAT CRACKING","FCC",IF(OR($H1752="HYDROCRACKING",$H1752="RESID_HYDROCRACKING"),"Hydrocracker",IF($H1752="REFORMING","Reformer",""))))</f>
        <v/>
      </c>
      <c r="H1752" s="6" t="s">
        <v>378</v>
      </c>
      <c r="I1752" s="6" t="s">
        <v>536</v>
      </c>
      <c r="J1752" s="6" t="s">
        <v>349</v>
      </c>
      <c r="K1752" s="10">
        <v>12</v>
      </c>
      <c r="L1752" s="10">
        <v>12</v>
      </c>
      <c r="M1752" s="6" t="s">
        <v>375</v>
      </c>
    </row>
    <row r="1753" spans="1:13">
      <c r="A1753" s="6">
        <v>2023</v>
      </c>
      <c r="B1753" s="6">
        <v>8</v>
      </c>
      <c r="C1753" s="6" t="s">
        <v>66</v>
      </c>
      <c r="D1753" s="6" t="s">
        <v>324</v>
      </c>
      <c r="E1753" s="6" t="s">
        <v>388</v>
      </c>
      <c r="F1753" s="6" t="str">
        <f>IF($M1753="PADD I","PADD 1",IF($M1753="PADD II","PADD 2",IF($M1753="PADD III","PADD 3",IF($M1753="PADD IV","PADD 4",IF($M1753="PADD V","PADD 5","")))))</f>
        <v>PADD 3</v>
      </c>
      <c r="G1753" s="6" t="str">
        <f>IF(AND($H1753="ATMOS DISTILLATION",ISNUMBER(SEARCH("VPS",$I1753))=FALSE,LEFT($I1753,6)&lt;&gt;"VACUUM"),"CDU",IF($H1753="FLUID CAT CRACKING","FCC",IF(OR($H1753="HYDROCRACKING",$H1753="RESID_HYDROCRACKING"),"Hydrocracker",IF($H1753="REFORMING","Reformer",""))))</f>
        <v>Hydrocracker</v>
      </c>
      <c r="H1753" s="6" t="s">
        <v>444</v>
      </c>
      <c r="I1753" s="6" t="s">
        <v>945</v>
      </c>
      <c r="J1753" s="6" t="s">
        <v>345</v>
      </c>
      <c r="K1753" s="10">
        <v>11</v>
      </c>
      <c r="L1753" s="10">
        <v>110</v>
      </c>
      <c r="M1753" s="6" t="s">
        <v>371</v>
      </c>
    </row>
    <row r="1754" spans="1:13">
      <c r="A1754" s="6">
        <v>2023</v>
      </c>
      <c r="B1754" s="6">
        <v>8</v>
      </c>
      <c r="C1754" s="6" t="s">
        <v>66</v>
      </c>
      <c r="D1754" s="6" t="s">
        <v>420</v>
      </c>
      <c r="E1754" s="6" t="s">
        <v>373</v>
      </c>
      <c r="F1754" s="6" t="str">
        <f>IF($M1754="PADD I","PADD 1",IF($M1754="PADD II","PADD 2",IF($M1754="PADD III","PADD 3",IF($M1754="PADD IV","PADD 4",IF($M1754="PADD V","PADD 5","")))))</f>
        <v>PADD 2</v>
      </c>
      <c r="G1754" s="6">
        <f>IF(AND($H1754="ATMOS DISTILLATION",ISNUMBER(SEARCH("VPS",$I1754))=FALSE,LEFT($I1754,6)&lt;&gt;"VACUUM"),"CDU",IF($H1754="FLUID CAT CRACKING","FCC",IF(OR($H1754="HYDROCRACKING",$H1754="RESID_HYDROCRACKING"),"Hydrocracker",IF($H1754="REFORMING","Reformer",""))))</f>
        <v/>
      </c>
      <c r="H1754" s="6" t="s">
        <v>43</v>
      </c>
      <c r="I1754" s="6" t="s">
        <v>546</v>
      </c>
      <c r="J1754" s="6" t="s">
        <v>345</v>
      </c>
      <c r="K1754" s="10">
        <v>11</v>
      </c>
      <c r="L1754" s="10">
        <v>11</v>
      </c>
      <c r="M1754" s="6" t="s">
        <v>375</v>
      </c>
    </row>
    <row r="1755" spans="1:13">
      <c r="A1755" s="6">
        <v>2023</v>
      </c>
      <c r="B1755" s="6">
        <v>8</v>
      </c>
      <c r="C1755" s="6" t="s">
        <v>66</v>
      </c>
      <c r="D1755" s="6" t="s">
        <v>465</v>
      </c>
      <c r="E1755" s="6" t="s">
        <v>369</v>
      </c>
      <c r="F1755" s="6" t="str">
        <f>IF($M1755="PADD I","PADD 1",IF($M1755="PADD II","PADD 2",IF($M1755="PADD III","PADD 3",IF($M1755="PADD IV","PADD 4",IF($M1755="PADD V","PADD 5","")))))</f>
        <v>PADD 5</v>
      </c>
      <c r="G1755" s="6">
        <f>IF(AND($H1755="ATMOS DISTILLATION",ISNUMBER(SEARCH("VPS",$I1755))=FALSE,LEFT($I1755,6)&lt;&gt;"VACUUM"),"CDU",IF($H1755="FLUID CAT CRACKING","FCC",IF(OR($H1755="HYDROCRACKING",$H1755="RESID_HYDROCRACKING"),"Hydrocracker",IF($H1755="REFORMING","Reformer",""))))</f>
        <v/>
      </c>
      <c r="H1755" s="6" t="s">
        <v>43</v>
      </c>
      <c r="I1755" s="6" t="s">
        <v>669</v>
      </c>
      <c r="J1755" s="6" t="s">
        <v>349</v>
      </c>
      <c r="K1755" s="10">
        <v>10.45</v>
      </c>
      <c r="L1755" s="10">
        <v>19</v>
      </c>
      <c r="M1755" s="6" t="s">
        <v>386</v>
      </c>
    </row>
    <row r="1756" spans="1:13">
      <c r="A1756" s="6">
        <v>2023</v>
      </c>
      <c r="B1756" s="6">
        <v>8</v>
      </c>
      <c r="C1756" s="6" t="s">
        <v>66</v>
      </c>
      <c r="D1756" s="6" t="s">
        <v>946</v>
      </c>
      <c r="E1756" s="6" t="s">
        <v>405</v>
      </c>
      <c r="F1756" s="6" t="str">
        <f>IF($M1756="PADD I","PADD 1",IF($M1756="PADD II","PADD 2",IF($M1756="PADD III","PADD 3",IF($M1756="PADD IV","PADD 4",IF($M1756="PADD V","PADD 5","")))))</f>
        <v>PADD 5</v>
      </c>
      <c r="G1756" s="6" t="str">
        <f>IF(AND($H1756="ATMOS DISTILLATION",ISNUMBER(SEARCH("VPS",$I1756))=FALSE,LEFT($I1756,6)&lt;&gt;"VACUUM"),"CDU",IF($H1756="FLUID CAT CRACKING","FCC",IF(OR($H1756="HYDROCRACKING",$H1756="RESID_HYDROCRACKING"),"Hydrocracker",IF($H1756="REFORMING","Reformer",""))))</f>
        <v>FCC</v>
      </c>
      <c r="H1756" s="6" t="s">
        <v>376</v>
      </c>
      <c r="I1756" s="6" t="s">
        <v>947</v>
      </c>
      <c r="J1756" s="6" t="s">
        <v>345</v>
      </c>
      <c r="K1756" s="10">
        <v>10.26</v>
      </c>
      <c r="L1756" s="10">
        <v>54</v>
      </c>
      <c r="M1756" s="6" t="s">
        <v>386</v>
      </c>
    </row>
    <row r="1757" spans="1:13">
      <c r="A1757" s="6">
        <v>2023</v>
      </c>
      <c r="B1757" s="6">
        <v>8</v>
      </c>
      <c r="C1757" s="6" t="s">
        <v>66</v>
      </c>
      <c r="D1757" s="6" t="s">
        <v>610</v>
      </c>
      <c r="E1757" s="6" t="s">
        <v>611</v>
      </c>
      <c r="F1757" s="6" t="str">
        <f>IF($M1757="PADD I","PADD 1",IF($M1757="PADD II","PADD 2",IF($M1757="PADD III","PADD 3",IF($M1757="PADD IV","PADD 4",IF($M1757="PADD V","PADD 5","")))))</f>
        <v>PADD 2</v>
      </c>
      <c r="G1757" s="6" t="str">
        <f>IF(AND($H1757="ATMOS DISTILLATION",ISNUMBER(SEARCH("VPS",$I1757))=FALSE,LEFT($I1757,6)&lt;&gt;"VACUUM"),"CDU",IF($H1757="FLUID CAT CRACKING","FCC",IF(OR($H1757="HYDROCRACKING",$H1757="RESID_HYDROCRACKING"),"Hydrocracker",IF($H1757="REFORMING","Reformer",""))))</f>
        <v>CDU</v>
      </c>
      <c r="H1757" s="6" t="s">
        <v>38</v>
      </c>
      <c r="I1757" s="6" t="s">
        <v>374</v>
      </c>
      <c r="J1757" s="6" t="s">
        <v>345</v>
      </c>
      <c r="K1757" s="10">
        <v>9.75</v>
      </c>
      <c r="L1757" s="10">
        <v>75</v>
      </c>
      <c r="M1757" s="6" t="s">
        <v>375</v>
      </c>
    </row>
    <row r="1758" spans="1:13">
      <c r="A1758" s="6">
        <v>2023</v>
      </c>
      <c r="B1758" s="6">
        <v>8</v>
      </c>
      <c r="C1758" s="6" t="s">
        <v>66</v>
      </c>
      <c r="D1758" s="6" t="s">
        <v>934</v>
      </c>
      <c r="E1758" s="6" t="s">
        <v>388</v>
      </c>
      <c r="F1758" s="6" t="str">
        <f>IF($M1758="PADD I","PADD 1",IF($M1758="PADD II","PADD 2",IF($M1758="PADD III","PADD 3",IF($M1758="PADD IV","PADD 4",IF($M1758="PADD V","PADD 5","")))))</f>
        <v>PADD 3</v>
      </c>
      <c r="G1758" s="6" t="str">
        <f>IF(AND($H1758="ATMOS DISTILLATION",ISNUMBER(SEARCH("VPS",$I1758))=FALSE,LEFT($I1758,6)&lt;&gt;"VACUUM"),"CDU",IF($H1758="FLUID CAT CRACKING","FCC",IF(OR($H1758="HYDROCRACKING",$H1758="RESID_HYDROCRACKING"),"Hydrocracker",IF($H1758="REFORMING","Reformer",""))))</f>
        <v>CDU</v>
      </c>
      <c r="H1758" s="6" t="s">
        <v>38</v>
      </c>
      <c r="I1758" s="6" t="s">
        <v>135</v>
      </c>
      <c r="J1758" s="6" t="s">
        <v>345</v>
      </c>
      <c r="K1758" s="10">
        <v>9.75</v>
      </c>
      <c r="L1758" s="10">
        <v>75</v>
      </c>
      <c r="M1758" s="6" t="s">
        <v>371</v>
      </c>
    </row>
    <row r="1759" spans="1:13">
      <c r="A1759" s="6">
        <v>2023</v>
      </c>
      <c r="B1759" s="6">
        <v>8</v>
      </c>
      <c r="C1759" s="6" t="s">
        <v>66</v>
      </c>
      <c r="D1759" s="6" t="s">
        <v>922</v>
      </c>
      <c r="E1759" s="6" t="s">
        <v>452</v>
      </c>
      <c r="F1759" s="6" t="str">
        <f>IF($M1759="PADD I","PADD 1",IF($M1759="PADD II","PADD 2",IF($M1759="PADD III","PADD 3",IF($M1759="PADD IV","PADD 4",IF($M1759="PADD V","PADD 5","")))))</f>
        <v>PADD 4</v>
      </c>
      <c r="G1759" s="6">
        <f>IF(AND($H1759="ATMOS DISTILLATION",ISNUMBER(SEARCH("VPS",$I1759))=FALSE,LEFT($I1759,6)&lt;&gt;"VACUUM"),"CDU",IF($H1759="FLUID CAT CRACKING","FCC",IF(OR($H1759="HYDROCRACKING",$H1759="RESID_HYDROCRACKING"),"Hydrocracker",IF($H1759="REFORMING","Reformer",""))))</f>
        <v/>
      </c>
      <c r="H1759" s="6" t="s">
        <v>43</v>
      </c>
      <c r="I1759" s="6" t="s">
        <v>933</v>
      </c>
      <c r="J1759" s="6" t="s">
        <v>349</v>
      </c>
      <c r="K1759" s="10">
        <v>9.5</v>
      </c>
      <c r="L1759" s="10">
        <v>9.5</v>
      </c>
      <c r="M1759" s="6" t="s">
        <v>430</v>
      </c>
    </row>
    <row r="1760" spans="1:13">
      <c r="A1760" s="6">
        <v>2023</v>
      </c>
      <c r="B1760" s="6">
        <v>8</v>
      </c>
      <c r="C1760" s="6" t="s">
        <v>66</v>
      </c>
      <c r="D1760" s="6" t="s">
        <v>468</v>
      </c>
      <c r="E1760" s="6" t="s">
        <v>369</v>
      </c>
      <c r="F1760" s="6" t="str">
        <f>IF($M1760="PADD I","PADD 1",IF($M1760="PADD II","PADD 2",IF($M1760="PADD III","PADD 3",IF($M1760="PADD IV","PADD 4",IF($M1760="PADD V","PADD 5","")))))</f>
        <v>PADD 3</v>
      </c>
      <c r="G1760" s="6">
        <f>IF(AND($H1760="ATMOS DISTILLATION",ISNUMBER(SEARCH("VPS",$I1760))=FALSE,LEFT($I1760,6)&lt;&gt;"VACUUM"),"CDU",IF($H1760="FLUID CAT CRACKING","FCC",IF(OR($H1760="HYDROCRACKING",$H1760="RESID_HYDROCRACKING"),"Hydrocracker",IF($H1760="REFORMING","Reformer",""))))</f>
        <v/>
      </c>
      <c r="H1760" s="6" t="s">
        <v>43</v>
      </c>
      <c r="I1760" s="6" t="s">
        <v>849</v>
      </c>
      <c r="J1760" s="6" t="s">
        <v>345</v>
      </c>
      <c r="K1760" s="10">
        <v>9.49</v>
      </c>
      <c r="L1760" s="10">
        <v>73</v>
      </c>
      <c r="M1760" s="6" t="s">
        <v>371</v>
      </c>
    </row>
    <row r="1761" spans="1:13">
      <c r="A1761" s="6">
        <v>2023</v>
      </c>
      <c r="B1761" s="6">
        <v>8</v>
      </c>
      <c r="C1761" s="6" t="s">
        <v>66</v>
      </c>
      <c r="D1761" s="6" t="s">
        <v>324</v>
      </c>
      <c r="E1761" s="6" t="s">
        <v>388</v>
      </c>
      <c r="F1761" s="6" t="str">
        <f>IF($M1761="PADD I","PADD 1",IF($M1761="PADD II","PADD 2",IF($M1761="PADD III","PADD 3",IF($M1761="PADD IV","PADD 4",IF($M1761="PADD V","PADD 5","")))))</f>
        <v>PADD 3</v>
      </c>
      <c r="G1761" s="6">
        <f>IF(AND($H1761="ATMOS DISTILLATION",ISNUMBER(SEARCH("VPS",$I1761))=FALSE,LEFT($I1761,6)&lt;&gt;"VACUUM"),"CDU",IF($H1761="FLUID CAT CRACKING","FCC",IF(OR($H1761="HYDROCRACKING",$H1761="RESID_HYDROCRACKING"),"Hydrocracker",IF($H1761="REFORMING","Reformer",""))))</f>
        <v/>
      </c>
      <c r="H1761" s="6" t="s">
        <v>43</v>
      </c>
      <c r="I1761" s="6" t="s">
        <v>948</v>
      </c>
      <c r="J1761" s="6" t="s">
        <v>345</v>
      </c>
      <c r="K1761" s="10">
        <v>9.4</v>
      </c>
      <c r="L1761" s="10">
        <v>94</v>
      </c>
      <c r="M1761" s="6" t="s">
        <v>371</v>
      </c>
    </row>
    <row r="1762" spans="1:13">
      <c r="A1762" s="6">
        <v>2023</v>
      </c>
      <c r="B1762" s="6">
        <v>8</v>
      </c>
      <c r="C1762" s="6" t="s">
        <v>66</v>
      </c>
      <c r="D1762" s="6" t="s">
        <v>922</v>
      </c>
      <c r="E1762" s="6" t="s">
        <v>452</v>
      </c>
      <c r="F1762" s="6" t="str">
        <f>IF($M1762="PADD I","PADD 1",IF($M1762="PADD II","PADD 2",IF($M1762="PADD III","PADD 3",IF($M1762="PADD IV","PADD 4",IF($M1762="PADD V","PADD 5","")))))</f>
        <v>PADD 4</v>
      </c>
      <c r="G1762" s="6">
        <f>IF(AND($H1762="ATMOS DISTILLATION",ISNUMBER(SEARCH("VPS",$I1762))=FALSE,LEFT($I1762,6)&lt;&gt;"VACUUM"),"CDU",IF($H1762="FLUID CAT CRACKING","FCC",IF(OR($H1762="HYDROCRACKING",$H1762="RESID_HYDROCRACKING"),"Hydrocracker",IF($H1762="REFORMING","Reformer",""))))</f>
        <v/>
      </c>
      <c r="H1762" s="6" t="s">
        <v>43</v>
      </c>
      <c r="I1762" s="6" t="s">
        <v>726</v>
      </c>
      <c r="J1762" s="6" t="s">
        <v>349</v>
      </c>
      <c r="K1762" s="10">
        <v>9</v>
      </c>
      <c r="L1762" s="10">
        <v>9</v>
      </c>
      <c r="M1762" s="6" t="s">
        <v>430</v>
      </c>
    </row>
    <row r="1763" spans="1:13">
      <c r="A1763" s="6">
        <v>2023</v>
      </c>
      <c r="B1763" s="6">
        <v>8</v>
      </c>
      <c r="C1763" s="6" t="s">
        <v>66</v>
      </c>
      <c r="D1763" s="6" t="s">
        <v>465</v>
      </c>
      <c r="E1763" s="6" t="s">
        <v>369</v>
      </c>
      <c r="F1763" s="6" t="str">
        <f>IF($M1763="PADD I","PADD 1",IF($M1763="PADD II","PADD 2",IF($M1763="PADD III","PADD 3",IF($M1763="PADD IV","PADD 4",IF($M1763="PADD V","PADD 5","")))))</f>
        <v>PADD 5</v>
      </c>
      <c r="G1763" s="6" t="str">
        <f>IF(AND($H1763="ATMOS DISTILLATION",ISNUMBER(SEARCH("VPS",$I1763))=FALSE,LEFT($I1763,6)&lt;&gt;"VACUUM"),"CDU",IF($H1763="FLUID CAT CRACKING","FCC",IF(OR($H1763="HYDROCRACKING",$H1763="RESID_HYDROCRACKING"),"Hydrocracker",IF($H1763="REFORMING","Reformer",""))))</f>
        <v>Reformer</v>
      </c>
      <c r="H1763" s="6" t="s">
        <v>421</v>
      </c>
      <c r="I1763" s="6" t="s">
        <v>673</v>
      </c>
      <c r="J1763" s="6" t="s">
        <v>349</v>
      </c>
      <c r="K1763" s="10">
        <v>8.800000000000001</v>
      </c>
      <c r="L1763" s="10">
        <v>16</v>
      </c>
      <c r="M1763" s="6" t="s">
        <v>386</v>
      </c>
    </row>
    <row r="1764" spans="1:13">
      <c r="A1764" s="6">
        <v>2023</v>
      </c>
      <c r="B1764" s="6">
        <v>8</v>
      </c>
      <c r="C1764" s="6" t="s">
        <v>66</v>
      </c>
      <c r="D1764" s="6" t="s">
        <v>324</v>
      </c>
      <c r="E1764" s="6" t="s">
        <v>388</v>
      </c>
      <c r="F1764" s="6" t="str">
        <f>IF($M1764="PADD I","PADD 1",IF($M1764="PADD II","PADD 2",IF($M1764="PADD III","PADD 3",IF($M1764="PADD IV","PADD 4",IF($M1764="PADD V","PADD 5","")))))</f>
        <v>PADD 3</v>
      </c>
      <c r="G1764" s="6">
        <f>IF(AND($H1764="ATMOS DISTILLATION",ISNUMBER(SEARCH("VPS",$I1764))=FALSE,LEFT($I1764,6)&lt;&gt;"VACUUM"),"CDU",IF($H1764="FLUID CAT CRACKING","FCC",IF(OR($H1764="HYDROCRACKING",$H1764="RESID_HYDROCRACKING"),"Hydrocracker",IF($H1764="REFORMING","Reformer",""))))</f>
        <v/>
      </c>
      <c r="H1764" s="6" t="s">
        <v>43</v>
      </c>
      <c r="I1764" s="6" t="s">
        <v>949</v>
      </c>
      <c r="J1764" s="6" t="s">
        <v>345</v>
      </c>
      <c r="K1764" s="10">
        <v>8.699999999999999</v>
      </c>
      <c r="L1764" s="10">
        <v>87</v>
      </c>
      <c r="M1764" s="6" t="s">
        <v>371</v>
      </c>
    </row>
    <row r="1765" spans="1:13">
      <c r="A1765" s="6">
        <v>2023</v>
      </c>
      <c r="B1765" s="6">
        <v>8</v>
      </c>
      <c r="C1765" s="6" t="s">
        <v>66</v>
      </c>
      <c r="D1765" s="6" t="s">
        <v>490</v>
      </c>
      <c r="E1765" s="6" t="s">
        <v>491</v>
      </c>
      <c r="F1765" s="6" t="str">
        <f>IF($M1765="PADD I","PADD 1",IF($M1765="PADD II","PADD 2",IF($M1765="PADD III","PADD 3",IF($M1765="PADD IV","PADD 4",IF($M1765="PADD V","PADD 5","")))))</f>
        <v>PADD 3</v>
      </c>
      <c r="G1765" s="6">
        <f>IF(AND($H1765="ATMOS DISTILLATION",ISNUMBER(SEARCH("VPS",$I1765))=FALSE,LEFT($I1765,6)&lt;&gt;"VACUUM"),"CDU",IF($H1765="FLUID CAT CRACKING","FCC",IF(OR($H1765="HYDROCRACKING",$H1765="RESID_HYDROCRACKING"),"Hydrocracker",IF($H1765="REFORMING","Reformer",""))))</f>
        <v/>
      </c>
      <c r="H1765" s="6" t="s">
        <v>435</v>
      </c>
      <c r="I1765" s="6" t="s">
        <v>687</v>
      </c>
      <c r="J1765" s="6" t="s">
        <v>345</v>
      </c>
      <c r="K1765" s="10">
        <v>8.640000000000001</v>
      </c>
      <c r="L1765" s="10">
        <v>54</v>
      </c>
      <c r="M1765" s="6" t="s">
        <v>371</v>
      </c>
    </row>
    <row r="1766" spans="1:13">
      <c r="A1766" s="6">
        <v>2023</v>
      </c>
      <c r="B1766" s="6">
        <v>8</v>
      </c>
      <c r="C1766" s="6" t="s">
        <v>66</v>
      </c>
      <c r="D1766" s="6" t="s">
        <v>324</v>
      </c>
      <c r="E1766" s="6" t="s">
        <v>388</v>
      </c>
      <c r="F1766" s="6" t="str">
        <f>IF($M1766="PADD I","PADD 1",IF($M1766="PADD II","PADD 2",IF($M1766="PADD III","PADD 3",IF($M1766="PADD IV","PADD 4",IF($M1766="PADD V","PADD 5","")))))</f>
        <v>PADD 3</v>
      </c>
      <c r="G1766" s="6">
        <f>IF(AND($H1766="ATMOS DISTILLATION",ISNUMBER(SEARCH("VPS",$I1766))=FALSE,LEFT($I1766,6)&lt;&gt;"VACUUM"),"CDU",IF($H1766="FLUID CAT CRACKING","FCC",IF(OR($H1766="HYDROCRACKING",$H1766="RESID_HYDROCRACKING"),"Hydrocracker",IF($H1766="REFORMING","Reformer",""))))</f>
        <v/>
      </c>
      <c r="H1766" s="6" t="s">
        <v>43</v>
      </c>
      <c r="I1766" s="6" t="s">
        <v>682</v>
      </c>
      <c r="J1766" s="6" t="s">
        <v>345</v>
      </c>
      <c r="K1766" s="10">
        <v>8.6</v>
      </c>
      <c r="L1766" s="10">
        <v>86</v>
      </c>
      <c r="M1766" s="6" t="s">
        <v>371</v>
      </c>
    </row>
    <row r="1767" spans="1:13">
      <c r="A1767" s="6">
        <v>2023</v>
      </c>
      <c r="B1767" s="6">
        <v>8</v>
      </c>
      <c r="C1767" s="6" t="s">
        <v>66</v>
      </c>
      <c r="D1767" s="6" t="s">
        <v>50</v>
      </c>
      <c r="E1767" s="6" t="s">
        <v>381</v>
      </c>
      <c r="F1767" s="6" t="str">
        <f>IF($M1767="PADD I","PADD 1",IF($M1767="PADD II","PADD 2",IF($M1767="PADD III","PADD 3",IF($M1767="PADD IV","PADD 4",IF($M1767="PADD V","PADD 5","")))))</f>
        <v>PADD 3</v>
      </c>
      <c r="G1767" s="6" t="str">
        <f>IF(AND($H1767="ATMOS DISTILLATION",ISNUMBER(SEARCH("VPS",$I1767))=FALSE,LEFT($I1767,6)&lt;&gt;"VACUUM"),"CDU",IF($H1767="FLUID CAT CRACKING","FCC",IF(OR($H1767="HYDROCRACKING",$H1767="RESID_HYDROCRACKING"),"Hydrocracker",IF($H1767="REFORMING","Reformer",""))))</f>
        <v>Reformer</v>
      </c>
      <c r="H1767" s="6" t="s">
        <v>421</v>
      </c>
      <c r="I1767" s="6" t="s">
        <v>892</v>
      </c>
      <c r="J1767" s="6" t="s">
        <v>345</v>
      </c>
      <c r="K1767" s="10">
        <v>8.449999999999999</v>
      </c>
      <c r="L1767" s="10">
        <v>65</v>
      </c>
      <c r="M1767" s="6" t="s">
        <v>371</v>
      </c>
    </row>
    <row r="1768" spans="1:13">
      <c r="A1768" s="6">
        <v>2023</v>
      </c>
      <c r="B1768" s="6">
        <v>8</v>
      </c>
      <c r="C1768" s="6" t="s">
        <v>66</v>
      </c>
      <c r="D1768" s="6" t="s">
        <v>500</v>
      </c>
      <c r="E1768" s="6" t="s">
        <v>388</v>
      </c>
      <c r="F1768" s="6" t="str">
        <f>IF($M1768="PADD I","PADD 1",IF($M1768="PADD II","PADD 2",IF($M1768="PADD III","PADD 3",IF($M1768="PADD IV","PADD 4",IF($M1768="PADD V","PADD 5","")))))</f>
        <v>PADD 2</v>
      </c>
      <c r="G1768" s="6">
        <f>IF(AND($H1768="ATMOS DISTILLATION",ISNUMBER(SEARCH("VPS",$I1768))=FALSE,LEFT($I1768,6)&lt;&gt;"VACUUM"),"CDU",IF($H1768="FLUID CAT CRACKING","FCC",IF(OR($H1768="HYDROCRACKING",$H1768="RESID_HYDROCRACKING"),"Hydrocracker",IF($H1768="REFORMING","Reformer",""))))</f>
        <v/>
      </c>
      <c r="H1768" s="6" t="s">
        <v>43</v>
      </c>
      <c r="I1768" s="6" t="s">
        <v>520</v>
      </c>
      <c r="J1768" s="6" t="s">
        <v>345</v>
      </c>
      <c r="K1768" s="10">
        <v>8.225</v>
      </c>
      <c r="L1768" s="10">
        <v>23.5</v>
      </c>
      <c r="M1768" s="6" t="s">
        <v>375</v>
      </c>
    </row>
    <row r="1769" spans="1:13">
      <c r="A1769" s="6">
        <v>2023</v>
      </c>
      <c r="B1769" s="6">
        <v>8</v>
      </c>
      <c r="C1769" s="6" t="s">
        <v>66</v>
      </c>
      <c r="D1769" s="6" t="s">
        <v>420</v>
      </c>
      <c r="E1769" s="6" t="s">
        <v>373</v>
      </c>
      <c r="F1769" s="6" t="str">
        <f>IF($M1769="PADD I","PADD 1",IF($M1769="PADD II","PADD 2",IF($M1769="PADD III","PADD 3",IF($M1769="PADD IV","PADD 4",IF($M1769="PADD V","PADD 5","")))))</f>
        <v>PADD 2</v>
      </c>
      <c r="G1769" s="6" t="str">
        <f>IF(AND($H1769="ATMOS DISTILLATION",ISNUMBER(SEARCH("VPS",$I1769))=FALSE,LEFT($I1769,6)&lt;&gt;"VACUUM"),"CDU",IF($H1769="FLUID CAT CRACKING","FCC",IF(OR($H1769="HYDROCRACKING",$H1769="RESID_HYDROCRACKING"),"Hydrocracker",IF($H1769="REFORMING","Reformer",""))))</f>
        <v>Reformer</v>
      </c>
      <c r="H1769" s="6" t="s">
        <v>421</v>
      </c>
      <c r="I1769" s="6" t="s">
        <v>571</v>
      </c>
      <c r="J1769" s="6" t="s">
        <v>345</v>
      </c>
      <c r="K1769" s="10">
        <v>8</v>
      </c>
      <c r="L1769" s="10">
        <v>8</v>
      </c>
      <c r="M1769" s="6" t="s">
        <v>375</v>
      </c>
    </row>
    <row r="1770" spans="1:13">
      <c r="A1770" s="6">
        <v>2023</v>
      </c>
      <c r="B1770" s="6">
        <v>8</v>
      </c>
      <c r="C1770" s="6" t="s">
        <v>66</v>
      </c>
      <c r="D1770" s="6" t="s">
        <v>490</v>
      </c>
      <c r="E1770" s="6" t="s">
        <v>491</v>
      </c>
      <c r="F1770" s="6" t="str">
        <f>IF($M1770="PADD I","PADD 1",IF($M1770="PADD II","PADD 2",IF($M1770="PADD III","PADD 3",IF($M1770="PADD IV","PADD 4",IF($M1770="PADD V","PADD 5","")))))</f>
        <v>PADD 3</v>
      </c>
      <c r="G1770" s="6" t="str">
        <f>IF(AND($H1770="ATMOS DISTILLATION",ISNUMBER(SEARCH("VPS",$I1770))=FALSE,LEFT($I1770,6)&lt;&gt;"VACUUM"),"CDU",IF($H1770="FLUID CAT CRACKING","FCC",IF(OR($H1770="HYDROCRACKING",$H1770="RESID_HYDROCRACKING"),"Hydrocracker",IF($H1770="REFORMING","Reformer",""))))</f>
        <v>Reformer</v>
      </c>
      <c r="H1770" s="6" t="s">
        <v>421</v>
      </c>
      <c r="I1770" s="6" t="s">
        <v>950</v>
      </c>
      <c r="J1770" s="6" t="s">
        <v>345</v>
      </c>
      <c r="K1770" s="10">
        <v>7.84</v>
      </c>
      <c r="L1770" s="10">
        <v>49</v>
      </c>
      <c r="M1770" s="6" t="s">
        <v>371</v>
      </c>
    </row>
    <row r="1771" spans="1:13">
      <c r="A1771" s="6">
        <v>2023</v>
      </c>
      <c r="B1771" s="6">
        <v>8</v>
      </c>
      <c r="C1771" s="6" t="s">
        <v>66</v>
      </c>
      <c r="D1771" s="6" t="s">
        <v>922</v>
      </c>
      <c r="E1771" s="6" t="s">
        <v>452</v>
      </c>
      <c r="F1771" s="6" t="str">
        <f>IF($M1771="PADD I","PADD 1",IF($M1771="PADD II","PADD 2",IF($M1771="PADD III","PADD 3",IF($M1771="PADD IV","PADD 4",IF($M1771="PADD V","PADD 5","")))))</f>
        <v>PADD 4</v>
      </c>
      <c r="G1771" s="6">
        <f>IF(AND($H1771="ATMOS DISTILLATION",ISNUMBER(SEARCH("VPS",$I1771))=FALSE,LEFT($I1771,6)&lt;&gt;"VACUUM"),"CDU",IF($H1771="FLUID CAT CRACKING","FCC",IF(OR($H1771="HYDROCRACKING",$H1771="RESID_HYDROCRACKING"),"Hydrocracker",IF($H1771="REFORMING","Reformer",""))))</f>
        <v/>
      </c>
      <c r="H1771" s="6" t="s">
        <v>378</v>
      </c>
      <c r="I1771" s="6" t="s">
        <v>935</v>
      </c>
      <c r="J1771" s="6" t="s">
        <v>349</v>
      </c>
      <c r="K1771" s="10">
        <v>7.8</v>
      </c>
      <c r="L1771" s="10">
        <v>7.8</v>
      </c>
      <c r="M1771" s="6" t="s">
        <v>430</v>
      </c>
    </row>
    <row r="1772" spans="1:13">
      <c r="A1772" s="6">
        <v>2023</v>
      </c>
      <c r="B1772" s="6">
        <v>8</v>
      </c>
      <c r="C1772" s="6" t="s">
        <v>66</v>
      </c>
      <c r="D1772" s="6" t="s">
        <v>547</v>
      </c>
      <c r="E1772" s="6" t="s">
        <v>391</v>
      </c>
      <c r="F1772" s="6" t="str">
        <f>IF($M1772="PADD I","PADD 1",IF($M1772="PADD II","PADD 2",IF($M1772="PADD III","PADD 3",IF($M1772="PADD IV","PADD 4",IF($M1772="PADD V","PADD 5","")))))</f>
        <v>PADD 5</v>
      </c>
      <c r="G1772" s="6" t="str">
        <f>IF(AND($H1772="ATMOS DISTILLATION",ISNUMBER(SEARCH("VPS",$I1772))=FALSE,LEFT($I1772,6)&lt;&gt;"VACUUM"),"CDU",IF($H1772="FLUID CAT CRACKING","FCC",IF(OR($H1772="HYDROCRACKING",$H1772="RESID_HYDROCRACKING"),"Hydrocracker",IF($H1772="REFORMING","Reformer",""))))</f>
        <v>Hydrocracker</v>
      </c>
      <c r="H1772" s="6" t="s">
        <v>444</v>
      </c>
      <c r="I1772" s="6" t="s">
        <v>734</v>
      </c>
      <c r="J1772" s="6" t="s">
        <v>345</v>
      </c>
      <c r="K1772" s="10">
        <v>7.8</v>
      </c>
      <c r="L1772" s="10">
        <v>60</v>
      </c>
      <c r="M1772" s="6" t="s">
        <v>386</v>
      </c>
    </row>
    <row r="1773" spans="1:13">
      <c r="A1773" s="6">
        <v>2023</v>
      </c>
      <c r="B1773" s="6">
        <v>8</v>
      </c>
      <c r="C1773" s="6" t="s">
        <v>66</v>
      </c>
      <c r="D1773" s="6" t="s">
        <v>420</v>
      </c>
      <c r="E1773" s="6" t="s">
        <v>373</v>
      </c>
      <c r="F1773" s="6" t="str">
        <f>IF($M1773="PADD I","PADD 1",IF($M1773="PADD II","PADD 2",IF($M1773="PADD III","PADD 3",IF($M1773="PADD IV","PADD 4",IF($M1773="PADD V","PADD 5","")))))</f>
        <v>PADD 2</v>
      </c>
      <c r="G1773" s="6">
        <f>IF(AND($H1773="ATMOS DISTILLATION",ISNUMBER(SEARCH("VPS",$I1773))=FALSE,LEFT($I1773,6)&lt;&gt;"VACUUM"),"CDU",IF($H1773="FLUID CAT CRACKING","FCC",IF(OR($H1773="HYDROCRACKING",$H1773="RESID_HYDROCRACKING"),"Hydrocracker",IF($H1773="REFORMING","Reformer",""))))</f>
        <v/>
      </c>
      <c r="H1773" s="6" t="s">
        <v>43</v>
      </c>
      <c r="I1773" s="6" t="s">
        <v>577</v>
      </c>
      <c r="J1773" s="6" t="s">
        <v>345</v>
      </c>
      <c r="K1773" s="10">
        <v>7.7</v>
      </c>
      <c r="L1773" s="10">
        <v>7.7</v>
      </c>
      <c r="M1773" s="6" t="s">
        <v>375</v>
      </c>
    </row>
    <row r="1774" spans="1:13">
      <c r="A1774" s="6">
        <v>2023</v>
      </c>
      <c r="B1774" s="6">
        <v>8</v>
      </c>
      <c r="C1774" s="6" t="s">
        <v>66</v>
      </c>
      <c r="D1774" s="6" t="s">
        <v>324</v>
      </c>
      <c r="E1774" s="6" t="s">
        <v>388</v>
      </c>
      <c r="F1774" s="6" t="str">
        <f>IF($M1774="PADD I","PADD 1",IF($M1774="PADD II","PADD 2",IF($M1774="PADD III","PADD 3",IF($M1774="PADD IV","PADD 4",IF($M1774="PADD V","PADD 5","")))))</f>
        <v>PADD 3</v>
      </c>
      <c r="G1774" s="6">
        <f>IF(AND($H1774="ATMOS DISTILLATION",ISNUMBER(SEARCH("VPS",$I1774))=FALSE,LEFT($I1774,6)&lt;&gt;"VACUUM"),"CDU",IF($H1774="FLUID CAT CRACKING","FCC",IF(OR($H1774="HYDROCRACKING",$H1774="RESID_HYDROCRACKING"),"Hydrocracker",IF($H1774="REFORMING","Reformer",""))))</f>
        <v/>
      </c>
      <c r="H1774" s="6" t="s">
        <v>43</v>
      </c>
      <c r="I1774" s="6" t="s">
        <v>951</v>
      </c>
      <c r="J1774" s="6" t="s">
        <v>345</v>
      </c>
      <c r="K1774" s="10">
        <v>7.54</v>
      </c>
      <c r="L1774" s="10">
        <v>58</v>
      </c>
      <c r="M1774" s="6" t="s">
        <v>371</v>
      </c>
    </row>
    <row r="1775" spans="1:13">
      <c r="A1775" s="6">
        <v>2023</v>
      </c>
      <c r="B1775" s="6">
        <v>8</v>
      </c>
      <c r="C1775" s="6" t="s">
        <v>66</v>
      </c>
      <c r="D1775" s="6" t="s">
        <v>922</v>
      </c>
      <c r="E1775" s="6" t="s">
        <v>452</v>
      </c>
      <c r="F1775" s="6" t="str">
        <f>IF($M1775="PADD I","PADD 1",IF($M1775="PADD II","PADD 2",IF($M1775="PADD III","PADD 3",IF($M1775="PADD IV","PADD 4",IF($M1775="PADD V","PADD 5","")))))</f>
        <v>PADD 4</v>
      </c>
      <c r="G1775" s="6" t="str">
        <f>IF(AND($H1775="ATMOS DISTILLATION",ISNUMBER(SEARCH("VPS",$I1775))=FALSE,LEFT($I1775,6)&lt;&gt;"VACUUM"),"CDU",IF($H1775="FLUID CAT CRACKING","FCC",IF(OR($H1775="HYDROCRACKING",$H1775="RESID_HYDROCRACKING"),"Hydrocracker",IF($H1775="REFORMING","Reformer",""))))</f>
        <v>Reformer</v>
      </c>
      <c r="H1775" s="6" t="s">
        <v>421</v>
      </c>
      <c r="I1775" s="6" t="s">
        <v>15</v>
      </c>
      <c r="J1775" s="6" t="s">
        <v>349</v>
      </c>
      <c r="K1775" s="10">
        <v>7.5</v>
      </c>
      <c r="L1775" s="10">
        <v>7.5</v>
      </c>
      <c r="M1775" s="6" t="s">
        <v>430</v>
      </c>
    </row>
    <row r="1776" spans="1:13">
      <c r="A1776" s="6">
        <v>2023</v>
      </c>
      <c r="B1776" s="6">
        <v>8</v>
      </c>
      <c r="C1776" s="6" t="s">
        <v>66</v>
      </c>
      <c r="D1776" s="6" t="s">
        <v>420</v>
      </c>
      <c r="E1776" s="6" t="s">
        <v>373</v>
      </c>
      <c r="F1776" s="6" t="str">
        <f>IF($M1776="PADD I","PADD 1",IF($M1776="PADD II","PADD 2",IF($M1776="PADD III","PADD 3",IF($M1776="PADD IV","PADD 4",IF($M1776="PADD V","PADD 5","")))))</f>
        <v>PADD 2</v>
      </c>
      <c r="G1776" s="6">
        <f>IF(AND($H1776="ATMOS DISTILLATION",ISNUMBER(SEARCH("VPS",$I1776))=FALSE,LEFT($I1776,6)&lt;&gt;"VACUUM"),"CDU",IF($H1776="FLUID CAT CRACKING","FCC",IF(OR($H1776="HYDROCRACKING",$H1776="RESID_HYDROCRACKING"),"Hydrocracker",IF($H1776="REFORMING","Reformer",""))))</f>
        <v/>
      </c>
      <c r="H1776" s="6" t="s">
        <v>43</v>
      </c>
      <c r="I1776" s="6" t="s">
        <v>458</v>
      </c>
      <c r="J1776" s="6" t="s">
        <v>345</v>
      </c>
      <c r="K1776" s="10">
        <v>7.5</v>
      </c>
      <c r="L1776" s="10">
        <v>7.5</v>
      </c>
      <c r="M1776" s="6" t="s">
        <v>375</v>
      </c>
    </row>
    <row r="1777" spans="1:13">
      <c r="A1777" s="6">
        <v>2023</v>
      </c>
      <c r="B1777" s="6">
        <v>8</v>
      </c>
      <c r="C1777" s="6" t="s">
        <v>66</v>
      </c>
      <c r="D1777" s="6" t="s">
        <v>662</v>
      </c>
      <c r="E1777" s="6" t="s">
        <v>552</v>
      </c>
      <c r="F1777" s="6" t="str">
        <f>IF($M1777="PADD I","PADD 1",IF($M1777="PADD II","PADD 2",IF($M1777="PADD III","PADD 3",IF($M1777="PADD IV","PADD 4",IF($M1777="PADD V","PADD 5","")))))</f>
        <v>PADD 3</v>
      </c>
      <c r="G1777" s="6" t="str">
        <f>IF(AND($H1777="ATMOS DISTILLATION",ISNUMBER(SEARCH("VPS",$I1777))=FALSE,LEFT($I1777,6)&lt;&gt;"VACUUM"),"CDU",IF($H1777="FLUID CAT CRACKING","FCC",IF(OR($H1777="HYDROCRACKING",$H1777="RESID_HYDROCRACKING"),"Hydrocracker",IF($H1777="REFORMING","Reformer",""))))</f>
        <v>FCC</v>
      </c>
      <c r="H1777" s="6" t="s">
        <v>376</v>
      </c>
      <c r="I1777" s="6" t="s">
        <v>105</v>
      </c>
      <c r="J1777" s="6" t="s">
        <v>345</v>
      </c>
      <c r="K1777" s="10">
        <v>7.25</v>
      </c>
      <c r="L1777" s="10">
        <v>25</v>
      </c>
      <c r="M1777" s="6" t="s">
        <v>371</v>
      </c>
    </row>
    <row r="1778" spans="1:13">
      <c r="A1778" s="6">
        <v>2023</v>
      </c>
      <c r="B1778" s="6">
        <v>8</v>
      </c>
      <c r="C1778" s="6" t="s">
        <v>66</v>
      </c>
      <c r="D1778" s="6" t="s">
        <v>446</v>
      </c>
      <c r="E1778" s="6" t="s">
        <v>391</v>
      </c>
      <c r="F1778" s="6" t="str">
        <f>IF($M1778="PADD I","PADD 1",IF($M1778="PADD II","PADD 2",IF($M1778="PADD III","PADD 3",IF($M1778="PADD IV","PADD 4",IF($M1778="PADD V","PADD 5","")))))</f>
        <v>PADD 3</v>
      </c>
      <c r="G1778" s="6">
        <f>IF(AND($H1778="ATMOS DISTILLATION",ISNUMBER(SEARCH("VPS",$I1778))=FALSE,LEFT($I1778,6)&lt;&gt;"VACUUM"),"CDU",IF($H1778="FLUID CAT CRACKING","FCC",IF(OR($H1778="HYDROCRACKING",$H1778="RESID_HYDROCRACKING"),"Hydrocracker",IF($H1778="REFORMING","Reformer",""))))</f>
        <v/>
      </c>
      <c r="H1778" s="6" t="s">
        <v>460</v>
      </c>
      <c r="I1778" s="6" t="s">
        <v>580</v>
      </c>
      <c r="J1778" s="6" t="s">
        <v>345</v>
      </c>
      <c r="K1778" s="10">
        <v>7.2</v>
      </c>
      <c r="L1778" s="10">
        <v>7.2</v>
      </c>
      <c r="M1778" s="6" t="s">
        <v>371</v>
      </c>
    </row>
    <row r="1779" spans="1:13">
      <c r="A1779" s="6">
        <v>2023</v>
      </c>
      <c r="B1779" s="6">
        <v>8</v>
      </c>
      <c r="C1779" s="6" t="s">
        <v>66</v>
      </c>
      <c r="D1779" s="6" t="s">
        <v>468</v>
      </c>
      <c r="E1779" s="6" t="s">
        <v>369</v>
      </c>
      <c r="F1779" s="6" t="str">
        <f>IF($M1779="PADD I","PADD 1",IF($M1779="PADD II","PADD 2",IF($M1779="PADD III","PADD 3",IF($M1779="PADD IV","PADD 4",IF($M1779="PADD V","PADD 5","")))))</f>
        <v>PADD 3</v>
      </c>
      <c r="G1779" s="6" t="str">
        <f>IF(AND($H1779="ATMOS DISTILLATION",ISNUMBER(SEARCH("VPS",$I1779))=FALSE,LEFT($I1779,6)&lt;&gt;"VACUUM"),"CDU",IF($H1779="FLUID CAT CRACKING","FCC",IF(OR($H1779="HYDROCRACKING",$H1779="RESID_HYDROCRACKING"),"Hydrocracker",IF($H1779="REFORMING","Reformer",""))))</f>
        <v>Reformer</v>
      </c>
      <c r="H1779" s="6" t="s">
        <v>421</v>
      </c>
      <c r="I1779" s="6" t="s">
        <v>635</v>
      </c>
      <c r="J1779" s="6" t="s">
        <v>345</v>
      </c>
      <c r="K1779" s="10">
        <v>6.79</v>
      </c>
      <c r="L1779" s="10">
        <v>7</v>
      </c>
      <c r="M1779" s="6" t="s">
        <v>371</v>
      </c>
    </row>
    <row r="1780" spans="1:13">
      <c r="A1780" s="6">
        <v>2023</v>
      </c>
      <c r="B1780" s="6">
        <v>8</v>
      </c>
      <c r="C1780" s="6" t="s">
        <v>66</v>
      </c>
      <c r="D1780" s="6" t="s">
        <v>319</v>
      </c>
      <c r="E1780" s="6" t="s">
        <v>665</v>
      </c>
      <c r="F1780" s="6" t="str">
        <f>IF($M1780="PADD I","PADD 1",IF($M1780="PADD II","PADD 2",IF($M1780="PADD III","PADD 3",IF($M1780="PADD IV","PADD 4",IF($M1780="PADD V","PADD 5","")))))</f>
        <v>PADD 3</v>
      </c>
      <c r="G1780" s="6" t="str">
        <f>IF(AND($H1780="ATMOS DISTILLATION",ISNUMBER(SEARCH("VPS",$I1780))=FALSE,LEFT($I1780,6)&lt;&gt;"VACUUM"),"CDU",IF($H1780="FLUID CAT CRACKING","FCC",IF(OR($H1780="HYDROCRACKING",$H1780="RESID_HYDROCRACKING"),"Hydrocracker",IF($H1780="REFORMING","Reformer",""))))</f>
        <v>FCC</v>
      </c>
      <c r="H1780" s="6" t="s">
        <v>376</v>
      </c>
      <c r="I1780" s="6" t="s">
        <v>875</v>
      </c>
      <c r="J1780" s="6" t="s">
        <v>345</v>
      </c>
      <c r="K1780" s="10">
        <v>6.72</v>
      </c>
      <c r="L1780" s="10">
        <v>112</v>
      </c>
      <c r="M1780" s="6" t="s">
        <v>371</v>
      </c>
    </row>
    <row r="1781" spans="1:13">
      <c r="A1781" s="6">
        <v>2023</v>
      </c>
      <c r="B1781" s="6">
        <v>8</v>
      </c>
      <c r="C1781" s="6" t="s">
        <v>66</v>
      </c>
      <c r="D1781" s="6" t="s">
        <v>324</v>
      </c>
      <c r="E1781" s="6" t="s">
        <v>388</v>
      </c>
      <c r="F1781" s="6" t="str">
        <f>IF($M1781="PADD I","PADD 1",IF($M1781="PADD II","PADD 2",IF($M1781="PADD III","PADD 3",IF($M1781="PADD IV","PADD 4",IF($M1781="PADD V","PADD 5","")))))</f>
        <v>PADD 3</v>
      </c>
      <c r="G1781" s="6" t="str">
        <f>IF(AND($H1781="ATMOS DISTILLATION",ISNUMBER(SEARCH("VPS",$I1781))=FALSE,LEFT($I1781,6)&lt;&gt;"VACUUM"),"CDU",IF($H1781="FLUID CAT CRACKING","FCC",IF(OR($H1781="HYDROCRACKING",$H1781="RESID_HYDROCRACKING"),"Hydrocracker",IF($H1781="REFORMING","Reformer",""))))</f>
        <v>Reformer</v>
      </c>
      <c r="H1781" s="6" t="s">
        <v>421</v>
      </c>
      <c r="I1781" s="6" t="s">
        <v>642</v>
      </c>
      <c r="J1781" s="6" t="s">
        <v>345</v>
      </c>
      <c r="K1781" s="10">
        <v>6.5</v>
      </c>
      <c r="L1781" s="10">
        <v>65</v>
      </c>
      <c r="M1781" s="6" t="s">
        <v>371</v>
      </c>
    </row>
    <row r="1782" spans="1:13">
      <c r="A1782" s="6">
        <v>2023</v>
      </c>
      <c r="B1782" s="6">
        <v>8</v>
      </c>
      <c r="C1782" s="6" t="s">
        <v>66</v>
      </c>
      <c r="D1782" s="6" t="s">
        <v>670</v>
      </c>
      <c r="E1782" s="6" t="s">
        <v>405</v>
      </c>
      <c r="F1782" s="6" t="str">
        <f>IF($M1782="PADD I","PADD 1",IF($M1782="PADD II","PADD 2",IF($M1782="PADD III","PADD 3",IF($M1782="PADD IV","PADD 4",IF($M1782="PADD V","PADD 5","")))))</f>
        <v>PADD 2</v>
      </c>
      <c r="G1782" s="6" t="str">
        <f>IF(AND($H1782="ATMOS DISTILLATION",ISNUMBER(SEARCH("VPS",$I1782))=FALSE,LEFT($I1782,6)&lt;&gt;"VACUUM"),"CDU",IF($H1782="FLUID CAT CRACKING","FCC",IF(OR($H1782="HYDROCRACKING",$H1782="RESID_HYDROCRACKING"),"Hydrocracker",IF($H1782="REFORMING","Reformer",""))))</f>
        <v>CDU</v>
      </c>
      <c r="H1782" s="6" t="s">
        <v>38</v>
      </c>
      <c r="I1782" s="6" t="s">
        <v>107</v>
      </c>
      <c r="J1782" s="6" t="s">
        <v>345</v>
      </c>
      <c r="K1782" s="10">
        <v>6.3</v>
      </c>
      <c r="L1782" s="10">
        <v>105</v>
      </c>
      <c r="M1782" s="6" t="s">
        <v>375</v>
      </c>
    </row>
    <row r="1783" spans="1:13">
      <c r="A1783" s="6">
        <v>2023</v>
      </c>
      <c r="B1783" s="6">
        <v>8</v>
      </c>
      <c r="C1783" s="6" t="s">
        <v>66</v>
      </c>
      <c r="D1783" s="6" t="s">
        <v>324</v>
      </c>
      <c r="E1783" s="6" t="s">
        <v>388</v>
      </c>
      <c r="F1783" s="6" t="str">
        <f>IF($M1783="PADD I","PADD 1",IF($M1783="PADD II","PADD 2",IF($M1783="PADD III","PADD 3",IF($M1783="PADD IV","PADD 4",IF($M1783="PADD V","PADD 5","")))))</f>
        <v>PADD 3</v>
      </c>
      <c r="G1783" s="6">
        <f>IF(AND($H1783="ATMOS DISTILLATION",ISNUMBER(SEARCH("VPS",$I1783))=FALSE,LEFT($I1783,6)&lt;&gt;"VACUUM"),"CDU",IF($H1783="FLUID CAT CRACKING","FCC",IF(OR($H1783="HYDROCRACKING",$H1783="RESID_HYDROCRACKING"),"Hydrocracker",IF($H1783="REFORMING","Reformer",""))))</f>
        <v/>
      </c>
      <c r="H1783" s="6" t="s">
        <v>43</v>
      </c>
      <c r="I1783" s="6" t="s">
        <v>644</v>
      </c>
      <c r="J1783" s="6" t="s">
        <v>345</v>
      </c>
      <c r="K1783" s="10">
        <v>6</v>
      </c>
      <c r="L1783" s="10">
        <v>60</v>
      </c>
      <c r="M1783" s="6" t="s">
        <v>371</v>
      </c>
    </row>
    <row r="1784" spans="1:13">
      <c r="A1784" s="6">
        <v>2023</v>
      </c>
      <c r="B1784" s="6">
        <v>8</v>
      </c>
      <c r="C1784" s="6" t="s">
        <v>66</v>
      </c>
      <c r="D1784" s="6" t="s">
        <v>408</v>
      </c>
      <c r="E1784" s="6" t="s">
        <v>409</v>
      </c>
      <c r="F1784" s="6" t="str">
        <f>IF($M1784="PADD I","PADD 1",IF($M1784="PADD II","PADD 2",IF($M1784="PADD III","PADD 3",IF($M1784="PADD IV","PADD 4",IF($M1784="PADD V","PADD 5","")))))</f>
        <v>PADD 3</v>
      </c>
      <c r="G1784" s="6" t="str">
        <f>IF(AND($H1784="ATMOS DISTILLATION",ISNUMBER(SEARCH("VPS",$I1784))=FALSE,LEFT($I1784,6)&lt;&gt;"VACUUM"),"CDU",IF($H1784="FLUID CAT CRACKING","FCC",IF(OR($H1784="HYDROCRACKING",$H1784="RESID_HYDROCRACKING"),"Hydrocracker",IF($H1784="REFORMING","Reformer",""))))</f>
        <v>Reformer</v>
      </c>
      <c r="H1784" s="6" t="s">
        <v>421</v>
      </c>
      <c r="I1784" s="6" t="s">
        <v>533</v>
      </c>
      <c r="J1784" s="6" t="s">
        <v>345</v>
      </c>
      <c r="K1784" s="10">
        <v>5.6</v>
      </c>
      <c r="L1784" s="10">
        <v>35</v>
      </c>
      <c r="M1784" s="6" t="s">
        <v>371</v>
      </c>
    </row>
    <row r="1785" spans="1:13">
      <c r="A1785" s="6">
        <v>2023</v>
      </c>
      <c r="B1785" s="6">
        <v>8</v>
      </c>
      <c r="C1785" s="6" t="s">
        <v>66</v>
      </c>
      <c r="D1785" s="6" t="s">
        <v>420</v>
      </c>
      <c r="E1785" s="6" t="s">
        <v>373</v>
      </c>
      <c r="F1785" s="6" t="str">
        <f>IF($M1785="PADD I","PADD 1",IF($M1785="PADD II","PADD 2",IF($M1785="PADD III","PADD 3",IF($M1785="PADD IV","PADD 4",IF($M1785="PADD V","PADD 5","")))))</f>
        <v>PADD 2</v>
      </c>
      <c r="G1785" s="6">
        <f>IF(AND($H1785="ATMOS DISTILLATION",ISNUMBER(SEARCH("VPS",$I1785))=FALSE,LEFT($I1785,6)&lt;&gt;"VACUUM"),"CDU",IF($H1785="FLUID CAT CRACKING","FCC",IF(OR($H1785="HYDROCRACKING",$H1785="RESID_HYDROCRACKING"),"Hydrocracker",IF($H1785="REFORMING","Reformer",""))))</f>
        <v/>
      </c>
      <c r="H1785" s="6" t="s">
        <v>43</v>
      </c>
      <c r="I1785" s="6" t="s">
        <v>588</v>
      </c>
      <c r="J1785" s="6" t="s">
        <v>345</v>
      </c>
      <c r="K1785" s="10">
        <v>5.5</v>
      </c>
      <c r="L1785" s="10">
        <v>5.5</v>
      </c>
      <c r="M1785" s="6" t="s">
        <v>375</v>
      </c>
    </row>
    <row r="1786" spans="1:13">
      <c r="A1786" s="6">
        <v>2023</v>
      </c>
      <c r="B1786" s="6">
        <v>8</v>
      </c>
      <c r="C1786" s="6" t="s">
        <v>66</v>
      </c>
      <c r="D1786" s="6" t="s">
        <v>946</v>
      </c>
      <c r="E1786" s="6" t="s">
        <v>405</v>
      </c>
      <c r="F1786" s="6" t="str">
        <f>IF($M1786="PADD I","PADD 1",IF($M1786="PADD II","PADD 2",IF($M1786="PADD III","PADD 3",IF($M1786="PADD IV","PADD 4",IF($M1786="PADD V","PADD 5","")))))</f>
        <v>PADD 5</v>
      </c>
      <c r="G1786" s="6">
        <f>IF(AND($H1786="ATMOS DISTILLATION",ISNUMBER(SEARCH("VPS",$I1786))=FALSE,LEFT($I1786,6)&lt;&gt;"VACUUM"),"CDU",IF($H1786="FLUID CAT CRACKING","FCC",IF(OR($H1786="HYDROCRACKING",$H1786="RESID_HYDROCRACKING"),"Hydrocracker",IF($H1786="REFORMING","Reformer",""))))</f>
        <v/>
      </c>
      <c r="H1786" s="6" t="s">
        <v>460</v>
      </c>
      <c r="I1786" s="6" t="s">
        <v>952</v>
      </c>
      <c r="J1786" s="6" t="s">
        <v>345</v>
      </c>
      <c r="K1786" s="10">
        <v>5.06</v>
      </c>
      <c r="L1786" s="10">
        <v>22</v>
      </c>
      <c r="M1786" s="6" t="s">
        <v>386</v>
      </c>
    </row>
    <row r="1787" spans="1:13">
      <c r="A1787" s="6">
        <v>2023</v>
      </c>
      <c r="B1787" s="6">
        <v>8</v>
      </c>
      <c r="C1787" s="6" t="s">
        <v>66</v>
      </c>
      <c r="D1787" s="6" t="s">
        <v>953</v>
      </c>
      <c r="E1787" s="6" t="s">
        <v>733</v>
      </c>
      <c r="F1787" s="6" t="str">
        <f>IF($M1787="PADD I","PADD 1",IF($M1787="PADD II","PADD 2",IF($M1787="PADD III","PADD 3",IF($M1787="PADD IV","PADD 4",IF($M1787="PADD V","PADD 5","")))))</f>
        <v>PADD 2</v>
      </c>
      <c r="G1787" s="6" t="str">
        <f>IF(AND($H1787="ATMOS DISTILLATION",ISNUMBER(SEARCH("VPS",$I1787))=FALSE,LEFT($I1787,6)&lt;&gt;"VACUUM"),"CDU",IF($H1787="FLUID CAT CRACKING","FCC",IF(OR($H1787="HYDROCRACKING",$H1787="RESID_HYDROCRACKING"),"Hydrocracker",IF($H1787="REFORMING","Reformer",""))))</f>
        <v>Hydrocracker</v>
      </c>
      <c r="H1787" s="6" t="s">
        <v>444</v>
      </c>
      <c r="I1787" s="6" t="s">
        <v>14</v>
      </c>
      <c r="J1787" s="6" t="s">
        <v>345</v>
      </c>
      <c r="K1787" s="10">
        <v>5.005</v>
      </c>
      <c r="L1787" s="10">
        <v>38.5</v>
      </c>
      <c r="M1787" s="6" t="s">
        <v>375</v>
      </c>
    </row>
    <row r="1788" spans="1:13">
      <c r="A1788" s="6">
        <v>2023</v>
      </c>
      <c r="B1788" s="6">
        <v>8</v>
      </c>
      <c r="C1788" s="6" t="s">
        <v>66</v>
      </c>
      <c r="D1788" s="6" t="s">
        <v>468</v>
      </c>
      <c r="E1788" s="6" t="s">
        <v>369</v>
      </c>
      <c r="F1788" s="6" t="str">
        <f>IF($M1788="PADD I","PADD 1",IF($M1788="PADD II","PADD 2",IF($M1788="PADD III","PADD 3",IF($M1788="PADD IV","PADD 4",IF($M1788="PADD V","PADD 5","")))))</f>
        <v>PADD 3</v>
      </c>
      <c r="G1788" s="6">
        <f>IF(AND($H1788="ATMOS DISTILLATION",ISNUMBER(SEARCH("VPS",$I1788))=FALSE,LEFT($I1788,6)&lt;&gt;"VACUUM"),"CDU",IF($H1788="FLUID CAT CRACKING","FCC",IF(OR($H1788="HYDROCRACKING",$H1788="RESID_HYDROCRACKING"),"Hydrocracker",IF($H1788="REFORMING","Reformer",""))))</f>
        <v/>
      </c>
      <c r="H1788" s="6" t="s">
        <v>43</v>
      </c>
      <c r="I1788" s="6" t="s">
        <v>482</v>
      </c>
      <c r="J1788" s="6" t="s">
        <v>345</v>
      </c>
      <c r="K1788" s="10">
        <v>5</v>
      </c>
      <c r="L1788" s="10">
        <v>50</v>
      </c>
      <c r="M1788" s="6" t="s">
        <v>371</v>
      </c>
    </row>
    <row r="1789" spans="1:13">
      <c r="A1789" s="6">
        <v>2023</v>
      </c>
      <c r="B1789" s="6">
        <v>8</v>
      </c>
      <c r="C1789" s="6" t="s">
        <v>66</v>
      </c>
      <c r="D1789" s="6" t="s">
        <v>526</v>
      </c>
      <c r="E1789" s="6" t="s">
        <v>405</v>
      </c>
      <c r="F1789" s="6" t="str">
        <f>IF($M1789="PADD I","PADD 1",IF($M1789="PADD II","PADD 2",IF($M1789="PADD III","PADD 3",IF($M1789="PADD IV","PADD 4",IF($M1789="PADD V","PADD 5","")))))</f>
        <v>PADD 3</v>
      </c>
      <c r="G1789" s="6">
        <f>IF(AND($H1789="ATMOS DISTILLATION",ISNUMBER(SEARCH("VPS",$I1789))=FALSE,LEFT($I1789,6)&lt;&gt;"VACUUM"),"CDU",IF($H1789="FLUID CAT CRACKING","FCC",IF(OR($H1789="HYDROCRACKING",$H1789="RESID_HYDROCRACKING"),"Hydrocracker",IF($H1789="REFORMING","Reformer",""))))</f>
        <v/>
      </c>
      <c r="H1789" s="6" t="s">
        <v>435</v>
      </c>
      <c r="I1789" s="6" t="s">
        <v>954</v>
      </c>
      <c r="J1789" s="6" t="s">
        <v>345</v>
      </c>
      <c r="K1789" s="10">
        <v>5</v>
      </c>
      <c r="L1789" s="10">
        <v>50</v>
      </c>
      <c r="M1789" s="6" t="s">
        <v>371</v>
      </c>
    </row>
    <row r="1790" spans="1:13">
      <c r="A1790" s="6">
        <v>2023</v>
      </c>
      <c r="B1790" s="6">
        <v>8</v>
      </c>
      <c r="C1790" s="6" t="s">
        <v>66</v>
      </c>
      <c r="D1790" s="6" t="s">
        <v>922</v>
      </c>
      <c r="E1790" s="6" t="s">
        <v>452</v>
      </c>
      <c r="F1790" s="6" t="str">
        <f>IF($M1790="PADD I","PADD 1",IF($M1790="PADD II","PADD 2",IF($M1790="PADD III","PADD 3",IF($M1790="PADD IV","PADD 4",IF($M1790="PADD V","PADD 5","")))))</f>
        <v>PADD 4</v>
      </c>
      <c r="G1790" s="6">
        <f>IF(AND($H1790="ATMOS DISTILLATION",ISNUMBER(SEARCH("VPS",$I1790))=FALSE,LEFT($I1790,6)&lt;&gt;"VACUUM"),"CDU",IF($H1790="FLUID CAT CRACKING","FCC",IF(OR($H1790="HYDROCRACKING",$H1790="RESID_HYDROCRACKING"),"Hydrocracker",IF($H1790="REFORMING","Reformer",""))))</f>
        <v/>
      </c>
      <c r="H1790" s="6" t="s">
        <v>43</v>
      </c>
      <c r="I1790" s="6" t="s">
        <v>937</v>
      </c>
      <c r="J1790" s="6" t="s">
        <v>349</v>
      </c>
      <c r="K1790" s="10">
        <v>5</v>
      </c>
      <c r="L1790" s="10">
        <v>5</v>
      </c>
      <c r="M1790" s="6" t="s">
        <v>430</v>
      </c>
    </row>
    <row r="1791" spans="1:13">
      <c r="A1791" s="6">
        <v>2023</v>
      </c>
      <c r="B1791" s="6">
        <v>8</v>
      </c>
      <c r="C1791" s="6" t="s">
        <v>66</v>
      </c>
      <c r="D1791" s="6" t="s">
        <v>612</v>
      </c>
      <c r="E1791" s="6" t="s">
        <v>416</v>
      </c>
      <c r="F1791" s="6" t="str">
        <f>IF($M1791="PADD I","PADD 1",IF($M1791="PADD II","PADD 2",IF($M1791="PADD III","PADD 3",IF($M1791="PADD IV","PADD 4",IF($M1791="PADD V","PADD 5","")))))</f>
        <v>PADD 3</v>
      </c>
      <c r="G1791" s="6" t="str">
        <f>IF(AND($H1791="ATMOS DISTILLATION",ISNUMBER(SEARCH("VPS",$I1791))=FALSE,LEFT($I1791,6)&lt;&gt;"VACUUM"),"CDU",IF($H1791="FLUID CAT CRACKING","FCC",IF(OR($H1791="HYDROCRACKING",$H1791="RESID_HYDROCRACKING"),"Hydrocracker",IF($H1791="REFORMING","Reformer",""))))</f>
        <v>CDU</v>
      </c>
      <c r="H1791" s="6" t="s">
        <v>38</v>
      </c>
      <c r="I1791" s="6" t="s">
        <v>81</v>
      </c>
      <c r="J1791" s="6" t="s">
        <v>345</v>
      </c>
      <c r="K1791" s="10">
        <v>4.95</v>
      </c>
      <c r="L1791" s="10">
        <v>165</v>
      </c>
      <c r="M1791" s="6" t="s">
        <v>371</v>
      </c>
    </row>
    <row r="1792" spans="1:13">
      <c r="A1792" s="6">
        <v>2023</v>
      </c>
      <c r="B1792" s="6">
        <v>8</v>
      </c>
      <c r="C1792" s="6" t="s">
        <v>66</v>
      </c>
      <c r="D1792" s="6" t="s">
        <v>680</v>
      </c>
      <c r="E1792" s="6" t="s">
        <v>681</v>
      </c>
      <c r="F1792" s="6" t="str">
        <f>IF($M1792="PADD I","PADD 1",IF($M1792="PADD II","PADD 2",IF($M1792="PADD III","PADD 3",IF($M1792="PADD IV","PADD 4",IF($M1792="PADD V","PADD 5","")))))</f>
        <v>PADD 3</v>
      </c>
      <c r="G1792" s="6" t="str">
        <f>IF(AND($H1792="ATMOS DISTILLATION",ISNUMBER(SEARCH("VPS",$I1792))=FALSE,LEFT($I1792,6)&lt;&gt;"VACUUM"),"CDU",IF($H1792="FLUID CAT CRACKING","FCC",IF(OR($H1792="HYDROCRACKING",$H1792="RESID_HYDROCRACKING"),"Hydrocracker",IF($H1792="REFORMING","Reformer",""))))</f>
        <v>FCC</v>
      </c>
      <c r="H1792" s="6" t="s">
        <v>376</v>
      </c>
      <c r="I1792" s="6" t="s">
        <v>105</v>
      </c>
      <c r="J1792" s="6" t="s">
        <v>345</v>
      </c>
      <c r="K1792" s="10">
        <v>4.75</v>
      </c>
      <c r="L1792" s="10">
        <v>25</v>
      </c>
      <c r="M1792" s="6" t="s">
        <v>371</v>
      </c>
    </row>
    <row r="1793" spans="1:13">
      <c r="A1793" s="6">
        <v>2023</v>
      </c>
      <c r="B1793" s="6">
        <v>8</v>
      </c>
      <c r="C1793" s="6" t="s">
        <v>66</v>
      </c>
      <c r="D1793" s="6" t="s">
        <v>934</v>
      </c>
      <c r="E1793" s="6" t="s">
        <v>388</v>
      </c>
      <c r="F1793" s="6" t="str">
        <f>IF($M1793="PADD I","PADD 1",IF($M1793="PADD II","PADD 2",IF($M1793="PADD III","PADD 3",IF($M1793="PADD IV","PADD 4",IF($M1793="PADD V","PADD 5","")))))</f>
        <v>PADD 3</v>
      </c>
      <c r="G1793" s="6" t="str">
        <f>IF(AND($H1793="ATMOS DISTILLATION",ISNUMBER(SEARCH("VPS",$I1793))=FALSE,LEFT($I1793,6)&lt;&gt;"VACUUM"),"CDU",IF($H1793="FLUID CAT CRACKING","FCC",IF(OR($H1793="HYDROCRACKING",$H1793="RESID_HYDROCRACKING"),"Hydrocracker",IF($H1793="REFORMING","Reformer",""))))</f>
        <v>FCC</v>
      </c>
      <c r="H1793" s="6" t="s">
        <v>376</v>
      </c>
      <c r="I1793" s="6" t="s">
        <v>105</v>
      </c>
      <c r="J1793" s="6" t="s">
        <v>349</v>
      </c>
      <c r="K1793" s="10">
        <v>4.72</v>
      </c>
      <c r="L1793" s="10">
        <v>29.5</v>
      </c>
      <c r="M1793" s="6" t="s">
        <v>371</v>
      </c>
    </row>
    <row r="1794" spans="1:13">
      <c r="A1794" s="6">
        <v>2023</v>
      </c>
      <c r="B1794" s="6">
        <v>8</v>
      </c>
      <c r="C1794" s="6" t="s">
        <v>66</v>
      </c>
      <c r="D1794" s="6" t="s">
        <v>496</v>
      </c>
      <c r="E1794" s="6" t="s">
        <v>388</v>
      </c>
      <c r="F1794" s="6" t="str">
        <f>IF($M1794="PADD I","PADD 1",IF($M1794="PADD II","PADD 2",IF($M1794="PADD III","PADD 3",IF($M1794="PADD IV","PADD 4",IF($M1794="PADD V","PADD 5","")))))</f>
        <v>PADD 2</v>
      </c>
      <c r="G1794" s="6">
        <f>IF(AND($H1794="ATMOS DISTILLATION",ISNUMBER(SEARCH("VPS",$I1794))=FALSE,LEFT($I1794,6)&lt;&gt;"VACUUM"),"CDU",IF($H1794="FLUID CAT CRACKING","FCC",IF(OR($H1794="HYDROCRACKING",$H1794="RESID_HYDROCRACKING"),"Hydrocracker",IF($H1794="REFORMING","Reformer",""))))</f>
        <v/>
      </c>
      <c r="H1794" s="6" t="s">
        <v>43</v>
      </c>
      <c r="I1794" s="6" t="s">
        <v>955</v>
      </c>
      <c r="J1794" s="6" t="s">
        <v>349</v>
      </c>
      <c r="K1794" s="10">
        <v>4.44</v>
      </c>
      <c r="L1794" s="10">
        <v>6</v>
      </c>
      <c r="M1794" s="6" t="s">
        <v>375</v>
      </c>
    </row>
    <row r="1795" spans="1:13">
      <c r="A1795" s="6">
        <v>2023</v>
      </c>
      <c r="B1795" s="6">
        <v>8</v>
      </c>
      <c r="C1795" s="6" t="s">
        <v>66</v>
      </c>
      <c r="D1795" s="6" t="s">
        <v>324</v>
      </c>
      <c r="E1795" s="6" t="s">
        <v>388</v>
      </c>
      <c r="F1795" s="6" t="str">
        <f>IF($M1795="PADD I","PADD 1",IF($M1795="PADD II","PADD 2",IF($M1795="PADD III","PADD 3",IF($M1795="PADD IV","PADD 4",IF($M1795="PADD V","PADD 5","")))))</f>
        <v>PADD 3</v>
      </c>
      <c r="G1795" s="6">
        <f>IF(AND($H1795="ATMOS DISTILLATION",ISNUMBER(SEARCH("VPS",$I1795))=FALSE,LEFT($I1795,6)&lt;&gt;"VACUUM"),"CDU",IF($H1795="FLUID CAT CRACKING","FCC",IF(OR($H1795="HYDROCRACKING",$H1795="RESID_HYDROCRACKING"),"Hydrocracker",IF($H1795="REFORMING","Reformer",""))))</f>
        <v/>
      </c>
      <c r="H1795" s="6" t="s">
        <v>435</v>
      </c>
      <c r="I1795" s="6" t="s">
        <v>956</v>
      </c>
      <c r="J1795" s="6" t="s">
        <v>345</v>
      </c>
      <c r="K1795" s="10">
        <v>4.4</v>
      </c>
      <c r="L1795" s="10">
        <v>44</v>
      </c>
      <c r="M1795" s="6" t="s">
        <v>371</v>
      </c>
    </row>
    <row r="1796" spans="1:13">
      <c r="A1796" s="6">
        <v>2023</v>
      </c>
      <c r="B1796" s="6">
        <v>8</v>
      </c>
      <c r="C1796" s="6" t="s">
        <v>66</v>
      </c>
      <c r="D1796" s="6" t="s">
        <v>324</v>
      </c>
      <c r="E1796" s="6" t="s">
        <v>388</v>
      </c>
      <c r="F1796" s="6" t="str">
        <f>IF($M1796="PADD I","PADD 1",IF($M1796="PADD II","PADD 2",IF($M1796="PADD III","PADD 3",IF($M1796="PADD IV","PADD 4",IF($M1796="PADD V","PADD 5","")))))</f>
        <v>PADD 3</v>
      </c>
      <c r="G1796" s="6">
        <f>IF(AND($H1796="ATMOS DISTILLATION",ISNUMBER(SEARCH("VPS",$I1796))=FALSE,LEFT($I1796,6)&lt;&gt;"VACUUM"),"CDU",IF($H1796="FLUID CAT CRACKING","FCC",IF(OR($H1796="HYDROCRACKING",$H1796="RESID_HYDROCRACKING"),"Hydrocracker",IF($H1796="REFORMING","Reformer",""))))</f>
        <v/>
      </c>
      <c r="H1796" s="6" t="s">
        <v>43</v>
      </c>
      <c r="I1796" s="6" t="s">
        <v>693</v>
      </c>
      <c r="J1796" s="6" t="s">
        <v>345</v>
      </c>
      <c r="K1796" s="10">
        <v>4.3</v>
      </c>
      <c r="L1796" s="10">
        <v>43</v>
      </c>
      <c r="M1796" s="6" t="s">
        <v>371</v>
      </c>
    </row>
    <row r="1797" spans="1:13">
      <c r="A1797" s="6">
        <v>2023</v>
      </c>
      <c r="B1797" s="6">
        <v>8</v>
      </c>
      <c r="C1797" s="6" t="s">
        <v>66</v>
      </c>
      <c r="D1797" s="6" t="s">
        <v>490</v>
      </c>
      <c r="E1797" s="6" t="s">
        <v>491</v>
      </c>
      <c r="F1797" s="6" t="str">
        <f>IF($M1797="PADD I","PADD 1",IF($M1797="PADD II","PADD 2",IF($M1797="PADD III","PADD 3",IF($M1797="PADD IV","PADD 4",IF($M1797="PADD V","PADD 5","")))))</f>
        <v>PADD 3</v>
      </c>
      <c r="G1797" s="6">
        <f>IF(AND($H1797="ATMOS DISTILLATION",ISNUMBER(SEARCH("VPS",$I1797))=FALSE,LEFT($I1797,6)&lt;&gt;"VACUUM"),"CDU",IF($H1797="FLUID CAT CRACKING","FCC",IF(OR($H1797="HYDROCRACKING",$H1797="RESID_HYDROCRACKING"),"Hydrocracker",IF($H1797="REFORMING","Reformer",""))))</f>
        <v/>
      </c>
      <c r="H1797" s="6" t="s">
        <v>43</v>
      </c>
      <c r="I1797" s="6" t="s">
        <v>957</v>
      </c>
      <c r="J1797" s="6" t="s">
        <v>345</v>
      </c>
      <c r="K1797" s="10">
        <v>4.032</v>
      </c>
      <c r="L1797" s="10">
        <v>25.2</v>
      </c>
      <c r="M1797" s="6" t="s">
        <v>371</v>
      </c>
    </row>
    <row r="1798" spans="1:13">
      <c r="A1798" s="6">
        <v>2023</v>
      </c>
      <c r="B1798" s="6">
        <v>8</v>
      </c>
      <c r="C1798" s="6" t="s">
        <v>66</v>
      </c>
      <c r="D1798" s="6" t="s">
        <v>324</v>
      </c>
      <c r="E1798" s="6" t="s">
        <v>388</v>
      </c>
      <c r="F1798" s="6" t="str">
        <f>IF($M1798="PADD I","PADD 1",IF($M1798="PADD II","PADD 2",IF($M1798="PADD III","PADD 3",IF($M1798="PADD IV","PADD 4",IF($M1798="PADD V","PADD 5","")))))</f>
        <v>PADD 3</v>
      </c>
      <c r="G1798" s="6">
        <f>IF(AND($H1798="ATMOS DISTILLATION",ISNUMBER(SEARCH("VPS",$I1798))=FALSE,LEFT($I1798,6)&lt;&gt;"VACUUM"),"CDU",IF($H1798="FLUID CAT CRACKING","FCC",IF(OR($H1798="HYDROCRACKING",$H1798="RESID_HYDROCRACKING"),"Hydrocracker",IF($H1798="REFORMING","Reformer",""))))</f>
        <v/>
      </c>
      <c r="H1798" s="6" t="s">
        <v>43</v>
      </c>
      <c r="I1798" s="6" t="s">
        <v>958</v>
      </c>
      <c r="J1798" s="6" t="s">
        <v>345</v>
      </c>
      <c r="K1798" s="10">
        <v>4</v>
      </c>
      <c r="L1798" s="10">
        <v>40</v>
      </c>
      <c r="M1798" s="6" t="s">
        <v>371</v>
      </c>
    </row>
    <row r="1799" spans="1:13">
      <c r="A1799" s="6">
        <v>2023</v>
      </c>
      <c r="B1799" s="6">
        <v>8</v>
      </c>
      <c r="C1799" s="6" t="s">
        <v>66</v>
      </c>
      <c r="D1799" s="6" t="s">
        <v>324</v>
      </c>
      <c r="E1799" s="6" t="s">
        <v>388</v>
      </c>
      <c r="F1799" s="6" t="str">
        <f>IF($M1799="PADD I","PADD 1",IF($M1799="PADD II","PADD 2",IF($M1799="PADD III","PADD 3",IF($M1799="PADD IV","PADD 4",IF($M1799="PADD V","PADD 5","")))))</f>
        <v>PADD 3</v>
      </c>
      <c r="G1799" s="6">
        <f>IF(AND($H1799="ATMOS DISTILLATION",ISNUMBER(SEARCH("VPS",$I1799))=FALSE,LEFT($I1799,6)&lt;&gt;"VACUUM"),"CDU",IF($H1799="FLUID CAT CRACKING","FCC",IF(OR($H1799="HYDROCRACKING",$H1799="RESID_HYDROCRACKING"),"Hydrocracker",IF($H1799="REFORMING","Reformer",""))))</f>
        <v/>
      </c>
      <c r="H1799" s="6" t="s">
        <v>460</v>
      </c>
      <c r="I1799" s="6" t="s">
        <v>959</v>
      </c>
      <c r="J1799" s="6" t="s">
        <v>345</v>
      </c>
      <c r="K1799" s="10">
        <v>3.96</v>
      </c>
      <c r="L1799" s="10">
        <v>39.6</v>
      </c>
      <c r="M1799" s="6" t="s">
        <v>371</v>
      </c>
    </row>
    <row r="1800" spans="1:13">
      <c r="A1800" s="6">
        <v>2023</v>
      </c>
      <c r="B1800" s="6">
        <v>8</v>
      </c>
      <c r="C1800" s="6" t="s">
        <v>66</v>
      </c>
      <c r="D1800" s="6" t="s">
        <v>934</v>
      </c>
      <c r="E1800" s="6" t="s">
        <v>388</v>
      </c>
      <c r="F1800" s="6" t="str">
        <f>IF($M1800="PADD I","PADD 1",IF($M1800="PADD II","PADD 2",IF($M1800="PADD III","PADD 3",IF($M1800="PADD IV","PADD 4",IF($M1800="PADD V","PADD 5","")))))</f>
        <v>PADD 3</v>
      </c>
      <c r="G1800" s="6" t="str">
        <f>IF(AND($H1800="ATMOS DISTILLATION",ISNUMBER(SEARCH("VPS",$I1800))=FALSE,LEFT($I1800,6)&lt;&gt;"VACUUM"),"CDU",IF($H1800="FLUID CAT CRACKING","FCC",IF(OR($H1800="HYDROCRACKING",$H1800="RESID_HYDROCRACKING"),"Hydrocracker",IF($H1800="REFORMING","Reformer",""))))</f>
        <v>FCC</v>
      </c>
      <c r="H1800" s="6" t="s">
        <v>376</v>
      </c>
      <c r="I1800" s="6" t="s">
        <v>105</v>
      </c>
      <c r="J1800" s="6" t="s">
        <v>345</v>
      </c>
      <c r="K1800" s="10">
        <v>3.835</v>
      </c>
      <c r="L1800" s="10">
        <v>29.5</v>
      </c>
      <c r="M1800" s="6" t="s">
        <v>371</v>
      </c>
    </row>
    <row r="1801" spans="1:13">
      <c r="A1801" s="6">
        <v>2023</v>
      </c>
      <c r="B1801" s="6">
        <v>8</v>
      </c>
      <c r="C1801" s="6" t="s">
        <v>66</v>
      </c>
      <c r="D1801" s="6" t="s">
        <v>762</v>
      </c>
      <c r="E1801" s="6" t="s">
        <v>763</v>
      </c>
      <c r="F1801" s="6" t="str">
        <f>IF($M1801="PADD I","PADD 1",IF($M1801="PADD II","PADD 2",IF($M1801="PADD III","PADD 3",IF($M1801="PADD IV","PADD 4",IF($M1801="PADD V","PADD 5","")))))</f>
        <v>PADD 2</v>
      </c>
      <c r="G1801" s="6">
        <f>IF(AND($H1801="ATMOS DISTILLATION",ISNUMBER(SEARCH("VPS",$I1801))=FALSE,LEFT($I1801,6)&lt;&gt;"VACUUM"),"CDU",IF($H1801="FLUID CAT CRACKING","FCC",IF(OR($H1801="HYDROCRACKING",$H1801="RESID_HYDROCRACKING"),"Hydrocracker",IF($H1801="REFORMING","Reformer",""))))</f>
        <v/>
      </c>
      <c r="H1801" s="6" t="s">
        <v>43</v>
      </c>
      <c r="I1801" s="6" t="s">
        <v>458</v>
      </c>
      <c r="J1801" s="6" t="s">
        <v>345</v>
      </c>
      <c r="K1801" s="10">
        <v>3.77</v>
      </c>
      <c r="L1801" s="10">
        <v>13</v>
      </c>
      <c r="M1801" s="6" t="s">
        <v>375</v>
      </c>
    </row>
    <row r="1802" spans="1:13">
      <c r="A1802" s="6">
        <v>2023</v>
      </c>
      <c r="B1802" s="6">
        <v>8</v>
      </c>
      <c r="C1802" s="6" t="s">
        <v>66</v>
      </c>
      <c r="D1802" s="6" t="s">
        <v>960</v>
      </c>
      <c r="E1802" s="6" t="s">
        <v>881</v>
      </c>
      <c r="F1802" s="6" t="str">
        <f>IF($M1802="PADD I","PADD 1",IF($M1802="PADD II","PADD 2",IF($M1802="PADD III","PADD 3",IF($M1802="PADD IV","PADD 4",IF($M1802="PADD V","PADD 5","")))))</f>
        <v>PADD 3</v>
      </c>
      <c r="G1802" s="6">
        <f>IF(AND($H1802="ATMOS DISTILLATION",ISNUMBER(SEARCH("VPS",$I1802))=FALSE,LEFT($I1802,6)&lt;&gt;"VACUUM"),"CDU",IF($H1802="FLUID CAT CRACKING","FCC",IF(OR($H1802="HYDROCRACKING",$H1802="RESID_HYDROCRACKING"),"Hydrocracker",IF($H1802="REFORMING","Reformer",""))))</f>
        <v/>
      </c>
      <c r="H1802" s="6" t="s">
        <v>43</v>
      </c>
      <c r="I1802" s="6" t="s">
        <v>961</v>
      </c>
      <c r="J1802" s="6" t="s">
        <v>345</v>
      </c>
      <c r="K1802" s="10">
        <v>3.6</v>
      </c>
      <c r="L1802" s="10">
        <v>8</v>
      </c>
      <c r="M1802" s="6" t="s">
        <v>371</v>
      </c>
    </row>
    <row r="1803" spans="1:13">
      <c r="A1803" s="6">
        <v>2023</v>
      </c>
      <c r="B1803" s="6">
        <v>8</v>
      </c>
      <c r="C1803" s="6" t="s">
        <v>66</v>
      </c>
      <c r="D1803" s="6" t="s">
        <v>324</v>
      </c>
      <c r="E1803" s="6" t="s">
        <v>388</v>
      </c>
      <c r="F1803" s="6" t="str">
        <f>IF($M1803="PADD I","PADD 1",IF($M1803="PADD II","PADD 2",IF($M1803="PADD III","PADD 3",IF($M1803="PADD IV","PADD 4",IF($M1803="PADD V","PADD 5","")))))</f>
        <v>PADD 3</v>
      </c>
      <c r="G1803" s="6">
        <f>IF(AND($H1803="ATMOS DISTILLATION",ISNUMBER(SEARCH("VPS",$I1803))=FALSE,LEFT($I1803,6)&lt;&gt;"VACUUM"),"CDU",IF($H1803="FLUID CAT CRACKING","FCC",IF(OR($H1803="HYDROCRACKING",$H1803="RESID_HYDROCRACKING"),"Hydrocracker",IF($H1803="REFORMING","Reformer",""))))</f>
        <v/>
      </c>
      <c r="H1803" s="6" t="s">
        <v>435</v>
      </c>
      <c r="I1803" s="6" t="s">
        <v>962</v>
      </c>
      <c r="J1803" s="6" t="s">
        <v>345</v>
      </c>
      <c r="K1803" s="10">
        <v>3.45</v>
      </c>
      <c r="L1803" s="10">
        <v>34.5</v>
      </c>
      <c r="M1803" s="6" t="s">
        <v>371</v>
      </c>
    </row>
    <row r="1804" spans="1:13">
      <c r="A1804" s="6">
        <v>2023</v>
      </c>
      <c r="B1804" s="6">
        <v>8</v>
      </c>
      <c r="C1804" s="6" t="s">
        <v>66</v>
      </c>
      <c r="D1804" s="6" t="s">
        <v>468</v>
      </c>
      <c r="E1804" s="6" t="s">
        <v>369</v>
      </c>
      <c r="F1804" s="6" t="str">
        <f>IF($M1804="PADD I","PADD 1",IF($M1804="PADD II","PADD 2",IF($M1804="PADD III","PADD 3",IF($M1804="PADD IV","PADD 4",IF($M1804="PADD V","PADD 5","")))))</f>
        <v>PADD 3</v>
      </c>
      <c r="G1804" s="6">
        <f>IF(AND($H1804="ATMOS DISTILLATION",ISNUMBER(SEARCH("VPS",$I1804))=FALSE,LEFT($I1804,6)&lt;&gt;"VACUUM"),"CDU",IF($H1804="FLUID CAT CRACKING","FCC",IF(OR($H1804="HYDROCRACKING",$H1804="RESID_HYDROCRACKING"),"Hydrocracker",IF($H1804="REFORMING","Reformer",""))))</f>
        <v/>
      </c>
      <c r="H1804" s="6" t="s">
        <v>435</v>
      </c>
      <c r="I1804" s="6" t="s">
        <v>939</v>
      </c>
      <c r="J1804" s="6" t="s">
        <v>345</v>
      </c>
      <c r="K1804" s="10">
        <v>3.25</v>
      </c>
      <c r="L1804" s="10">
        <v>12.5</v>
      </c>
      <c r="M1804" s="6" t="s">
        <v>371</v>
      </c>
    </row>
    <row r="1805" spans="1:13">
      <c r="A1805" s="6">
        <v>2023</v>
      </c>
      <c r="B1805" s="6">
        <v>8</v>
      </c>
      <c r="C1805" s="6" t="s">
        <v>66</v>
      </c>
      <c r="D1805" s="6" t="s">
        <v>934</v>
      </c>
      <c r="E1805" s="6" t="s">
        <v>388</v>
      </c>
      <c r="F1805" s="6" t="str">
        <f>IF($M1805="PADD I","PADD 1",IF($M1805="PADD II","PADD 2",IF($M1805="PADD III","PADD 3",IF($M1805="PADD IV","PADD 4",IF($M1805="PADD V","PADD 5","")))))</f>
        <v>PADD 3</v>
      </c>
      <c r="G1805" s="6">
        <f>IF(AND($H1805="ATMOS DISTILLATION",ISNUMBER(SEARCH("VPS",$I1805))=FALSE,LEFT($I1805,6)&lt;&gt;"VACUUM"),"CDU",IF($H1805="FLUID CAT CRACKING","FCC",IF(OR($H1805="HYDROCRACKING",$H1805="RESID_HYDROCRACKING"),"Hydrocracker",IF($H1805="REFORMING","Reformer",""))))</f>
        <v/>
      </c>
      <c r="H1805" s="6" t="s">
        <v>43</v>
      </c>
      <c r="I1805" s="6" t="s">
        <v>458</v>
      </c>
      <c r="J1805" s="6" t="s">
        <v>345</v>
      </c>
      <c r="K1805" s="10">
        <v>3.25</v>
      </c>
      <c r="L1805" s="10">
        <v>25</v>
      </c>
      <c r="M1805" s="6" t="s">
        <v>371</v>
      </c>
    </row>
    <row r="1806" spans="1:13">
      <c r="A1806" s="6">
        <v>2023</v>
      </c>
      <c r="B1806" s="6">
        <v>8</v>
      </c>
      <c r="C1806" s="6" t="s">
        <v>66</v>
      </c>
      <c r="D1806" s="6" t="s">
        <v>610</v>
      </c>
      <c r="E1806" s="6" t="s">
        <v>611</v>
      </c>
      <c r="F1806" s="6" t="str">
        <f>IF($M1806="PADD I","PADD 1",IF($M1806="PADD II","PADD 2",IF($M1806="PADD III","PADD 3",IF($M1806="PADD IV","PADD 4",IF($M1806="PADD V","PADD 5","")))))</f>
        <v>PADD 2</v>
      </c>
      <c r="G1806" s="6">
        <f>IF(AND($H1806="ATMOS DISTILLATION",ISNUMBER(SEARCH("VPS",$I1806))=FALSE,LEFT($I1806,6)&lt;&gt;"VACUUM"),"CDU",IF($H1806="FLUID CAT CRACKING","FCC",IF(OR($H1806="HYDROCRACKING",$H1806="RESID_HYDROCRACKING"),"Hydrocracker",IF($H1806="REFORMING","Reformer",""))))</f>
        <v/>
      </c>
      <c r="H1806" s="6" t="s">
        <v>378</v>
      </c>
      <c r="I1806" s="6" t="s">
        <v>494</v>
      </c>
      <c r="J1806" s="6" t="s">
        <v>345</v>
      </c>
      <c r="K1806" s="10">
        <v>2.86</v>
      </c>
      <c r="L1806" s="10">
        <v>22</v>
      </c>
      <c r="M1806" s="6" t="s">
        <v>375</v>
      </c>
    </row>
    <row r="1807" spans="1:13">
      <c r="A1807" s="6">
        <v>2023</v>
      </c>
      <c r="B1807" s="6">
        <v>8</v>
      </c>
      <c r="C1807" s="6" t="s">
        <v>66</v>
      </c>
      <c r="D1807" s="6" t="s">
        <v>547</v>
      </c>
      <c r="E1807" s="6" t="s">
        <v>391</v>
      </c>
      <c r="F1807" s="6" t="str">
        <f>IF($M1807="PADD I","PADD 1",IF($M1807="PADD II","PADD 2",IF($M1807="PADD III","PADD 3",IF($M1807="PADD IV","PADD 4",IF($M1807="PADD V","PADD 5","")))))</f>
        <v>PADD 5</v>
      </c>
      <c r="G1807" s="6" t="str">
        <f>IF(AND($H1807="ATMOS DISTILLATION",ISNUMBER(SEARCH("VPS",$I1807))=FALSE,LEFT($I1807,6)&lt;&gt;"VACUUM"),"CDU",IF($H1807="FLUID CAT CRACKING","FCC",IF(OR($H1807="HYDROCRACKING",$H1807="RESID_HYDROCRACKING"),"Hydrocracker",IF($H1807="REFORMING","Reformer",""))))</f>
        <v>Reformer</v>
      </c>
      <c r="H1807" s="6" t="s">
        <v>421</v>
      </c>
      <c r="I1807" s="6" t="s">
        <v>548</v>
      </c>
      <c r="J1807" s="6" t="s">
        <v>345</v>
      </c>
      <c r="K1807" s="10">
        <v>2.8</v>
      </c>
      <c r="L1807" s="10">
        <v>28</v>
      </c>
      <c r="M1807" s="6" t="s">
        <v>386</v>
      </c>
    </row>
    <row r="1808" spans="1:13">
      <c r="A1808" s="6">
        <v>2023</v>
      </c>
      <c r="B1808" s="6">
        <v>8</v>
      </c>
      <c r="C1808" s="6" t="s">
        <v>66</v>
      </c>
      <c r="D1808" s="6" t="s">
        <v>40</v>
      </c>
      <c r="E1808" s="6" t="s">
        <v>736</v>
      </c>
      <c r="F1808" s="6" t="str">
        <f>IF($M1808="PADD I","PADD 1",IF($M1808="PADD II","PADD 2",IF($M1808="PADD III","PADD 3",IF($M1808="PADD IV","PADD 4",IF($M1808="PADD V","PADD 5","")))))</f>
        <v>PADD 1</v>
      </c>
      <c r="G1808" s="6">
        <f>IF(AND($H1808="ATMOS DISTILLATION",ISNUMBER(SEARCH("VPS",$I1808))=FALSE,LEFT($I1808,6)&lt;&gt;"VACUUM"),"CDU",IF($H1808="FLUID CAT CRACKING","FCC",IF(OR($H1808="HYDROCRACKING",$H1808="RESID_HYDROCRACKING"),"Hydrocracker",IF($H1808="REFORMING","Reformer",""))))</f>
        <v/>
      </c>
      <c r="H1808" s="6" t="s">
        <v>378</v>
      </c>
      <c r="I1808" s="6" t="s">
        <v>963</v>
      </c>
      <c r="J1808" s="6" t="s">
        <v>345</v>
      </c>
      <c r="K1808" s="10">
        <v>2.6</v>
      </c>
      <c r="L1808" s="10">
        <v>26</v>
      </c>
      <c r="M1808" s="6" t="s">
        <v>413</v>
      </c>
    </row>
    <row r="1809" spans="1:13">
      <c r="A1809" s="6">
        <v>2023</v>
      </c>
      <c r="B1809" s="6">
        <v>8</v>
      </c>
      <c r="C1809" s="6" t="s">
        <v>66</v>
      </c>
      <c r="D1809" s="6" t="s">
        <v>612</v>
      </c>
      <c r="E1809" s="6" t="s">
        <v>416</v>
      </c>
      <c r="F1809" s="6" t="str">
        <f>IF($M1809="PADD I","PADD 1",IF($M1809="PADD II","PADD 2",IF($M1809="PADD III","PADD 3",IF($M1809="PADD IV","PADD 4",IF($M1809="PADD V","PADD 5","")))))</f>
        <v>PADD 3</v>
      </c>
      <c r="G1809" s="6">
        <f>IF(AND($H1809="ATMOS DISTILLATION",ISNUMBER(SEARCH("VPS",$I1809))=FALSE,LEFT($I1809,6)&lt;&gt;"VACUUM"),"CDU",IF($H1809="FLUID CAT CRACKING","FCC",IF(OR($H1809="HYDROCRACKING",$H1809="RESID_HYDROCRACKING"),"Hydrocracker",IF($H1809="REFORMING","Reformer",""))))</f>
        <v/>
      </c>
      <c r="H1809" s="6" t="s">
        <v>378</v>
      </c>
      <c r="I1809" s="6" t="s">
        <v>431</v>
      </c>
      <c r="J1809" s="6" t="s">
        <v>345</v>
      </c>
      <c r="K1809" s="10">
        <v>2.559</v>
      </c>
      <c r="L1809" s="10">
        <v>85.3</v>
      </c>
      <c r="M1809" s="6" t="s">
        <v>371</v>
      </c>
    </row>
    <row r="1810" spans="1:13">
      <c r="A1810" s="6">
        <v>2023</v>
      </c>
      <c r="B1810" s="6">
        <v>8</v>
      </c>
      <c r="C1810" s="6" t="s">
        <v>66</v>
      </c>
      <c r="D1810" s="6" t="s">
        <v>887</v>
      </c>
      <c r="E1810" s="6" t="s">
        <v>405</v>
      </c>
      <c r="F1810" s="6" t="str">
        <f>IF($M1810="PADD I","PADD 1",IF($M1810="PADD II","PADD 2",IF($M1810="PADD III","PADD 3",IF($M1810="PADD IV","PADD 4",IF($M1810="PADD V","PADD 5","")))))</f>
        <v>PADD 3</v>
      </c>
      <c r="G1810" s="6" t="str">
        <f>IF(AND($H1810="ATMOS DISTILLATION",ISNUMBER(SEARCH("VPS",$I1810))=FALSE,LEFT($I1810,6)&lt;&gt;"VACUUM"),"CDU",IF($H1810="FLUID CAT CRACKING","FCC",IF(OR($H1810="HYDROCRACKING",$H1810="RESID_HYDROCRACKING"),"Hydrocracker",IF($H1810="REFORMING","Reformer",""))))</f>
        <v>FCC</v>
      </c>
      <c r="H1810" s="6" t="s">
        <v>376</v>
      </c>
      <c r="I1810" s="6" t="s">
        <v>806</v>
      </c>
      <c r="J1810" s="6" t="s">
        <v>345</v>
      </c>
      <c r="K1810" s="10">
        <v>2.4</v>
      </c>
      <c r="L1810" s="10">
        <v>24</v>
      </c>
      <c r="M1810" s="6" t="s">
        <v>371</v>
      </c>
    </row>
    <row r="1811" spans="1:13">
      <c r="A1811" s="6">
        <v>2023</v>
      </c>
      <c r="B1811" s="6">
        <v>8</v>
      </c>
      <c r="C1811" s="6" t="s">
        <v>66</v>
      </c>
      <c r="D1811" s="6" t="s">
        <v>408</v>
      </c>
      <c r="E1811" s="6" t="s">
        <v>409</v>
      </c>
      <c r="F1811" s="6" t="str">
        <f>IF($M1811="PADD I","PADD 1",IF($M1811="PADD II","PADD 2",IF($M1811="PADD III","PADD 3",IF($M1811="PADD IV","PADD 4",IF($M1811="PADD V","PADD 5","")))))</f>
        <v>PADD 3</v>
      </c>
      <c r="G1811" s="6">
        <f>IF(AND($H1811="ATMOS DISTILLATION",ISNUMBER(SEARCH("VPS",$I1811))=FALSE,LEFT($I1811,6)&lt;&gt;"VACUUM"),"CDU",IF($H1811="FLUID CAT CRACKING","FCC",IF(OR($H1811="HYDROCRACKING",$H1811="RESID_HYDROCRACKING"),"Hydrocracker",IF($H1811="REFORMING","Reformer",""))))</f>
        <v/>
      </c>
      <c r="H1811" s="6" t="s">
        <v>460</v>
      </c>
      <c r="I1811" s="6" t="s">
        <v>606</v>
      </c>
      <c r="J1811" s="6" t="s">
        <v>349</v>
      </c>
      <c r="K1811" s="10">
        <v>2.25</v>
      </c>
      <c r="L1811" s="10">
        <v>5</v>
      </c>
      <c r="M1811" s="6" t="s">
        <v>371</v>
      </c>
    </row>
    <row r="1812" spans="1:13">
      <c r="A1812" s="6">
        <v>2023</v>
      </c>
      <c r="B1812" s="6">
        <v>8</v>
      </c>
      <c r="C1812" s="6" t="s">
        <v>66</v>
      </c>
      <c r="D1812" s="6" t="s">
        <v>934</v>
      </c>
      <c r="E1812" s="6" t="s">
        <v>388</v>
      </c>
      <c r="F1812" s="6" t="str">
        <f>IF($M1812="PADD I","PADD 1",IF($M1812="PADD II","PADD 2",IF($M1812="PADD III","PADD 3",IF($M1812="PADD IV","PADD 4",IF($M1812="PADD V","PADD 5","")))))</f>
        <v>PADD 3</v>
      </c>
      <c r="G1812" s="6">
        <f>IF(AND($H1812="ATMOS DISTILLATION",ISNUMBER(SEARCH("VPS",$I1812))=FALSE,LEFT($I1812,6)&lt;&gt;"VACUUM"),"CDU",IF($H1812="FLUID CAT CRACKING","FCC",IF(OR($H1812="HYDROCRACKING",$H1812="RESID_HYDROCRACKING"),"Hydrocracker",IF($H1812="REFORMING","Reformer",""))))</f>
        <v/>
      </c>
      <c r="H1812" s="6" t="s">
        <v>378</v>
      </c>
      <c r="I1812" s="6" t="s">
        <v>964</v>
      </c>
      <c r="J1812" s="6" t="s">
        <v>345</v>
      </c>
      <c r="K1812" s="10">
        <v>2.21</v>
      </c>
      <c r="L1812" s="10">
        <v>17</v>
      </c>
      <c r="M1812" s="6" t="s">
        <v>371</v>
      </c>
    </row>
    <row r="1813" spans="1:13">
      <c r="A1813" s="6">
        <v>2023</v>
      </c>
      <c r="B1813" s="6">
        <v>8</v>
      </c>
      <c r="C1813" s="6" t="s">
        <v>66</v>
      </c>
      <c r="D1813" s="6" t="s">
        <v>420</v>
      </c>
      <c r="E1813" s="6" t="s">
        <v>373</v>
      </c>
      <c r="F1813" s="6" t="str">
        <f>IF($M1813="PADD I","PADD 1",IF($M1813="PADD II","PADD 2",IF($M1813="PADD III","PADD 3",IF($M1813="PADD IV","PADD 4",IF($M1813="PADD V","PADD 5","")))))</f>
        <v>PADD 2</v>
      </c>
      <c r="G1813" s="6">
        <f>IF(AND($H1813="ATMOS DISTILLATION",ISNUMBER(SEARCH("VPS",$I1813))=FALSE,LEFT($I1813,6)&lt;&gt;"VACUUM"),"CDU",IF($H1813="FLUID CAT CRACKING","FCC",IF(OR($H1813="HYDROCRACKING",$H1813="RESID_HYDROCRACKING"),"Hydrocracker",IF($H1813="REFORMING","Reformer",""))))</f>
        <v/>
      </c>
      <c r="H1813" s="6" t="s">
        <v>568</v>
      </c>
      <c r="I1813" s="6" t="s">
        <v>604</v>
      </c>
      <c r="J1813" s="6" t="s">
        <v>345</v>
      </c>
      <c r="K1813" s="10">
        <v>2</v>
      </c>
      <c r="L1813" s="10">
        <v>2</v>
      </c>
      <c r="M1813" s="6" t="s">
        <v>375</v>
      </c>
    </row>
    <row r="1814" spans="1:13">
      <c r="A1814" s="6">
        <v>2023</v>
      </c>
      <c r="B1814" s="6">
        <v>8</v>
      </c>
      <c r="C1814" s="6" t="s">
        <v>66</v>
      </c>
      <c r="D1814" s="6" t="s">
        <v>946</v>
      </c>
      <c r="E1814" s="6" t="s">
        <v>405</v>
      </c>
      <c r="F1814" s="6" t="str">
        <f>IF($M1814="PADD I","PADD 1",IF($M1814="PADD II","PADD 2",IF($M1814="PADD III","PADD 3",IF($M1814="PADD IV","PADD 4",IF($M1814="PADD V","PADD 5","")))))</f>
        <v>PADD 5</v>
      </c>
      <c r="G1814" s="6">
        <f>IF(AND($H1814="ATMOS DISTILLATION",ISNUMBER(SEARCH("VPS",$I1814))=FALSE,LEFT($I1814,6)&lt;&gt;"VACUUM"),"CDU",IF($H1814="FLUID CAT CRACKING","FCC",IF(OR($H1814="HYDROCRACKING",$H1814="RESID_HYDROCRACKING"),"Hydrocracker",IF($H1814="REFORMING","Reformer",""))))</f>
        <v/>
      </c>
      <c r="H1814" s="6" t="s">
        <v>43</v>
      </c>
      <c r="I1814" s="6" t="s">
        <v>965</v>
      </c>
      <c r="J1814" s="6" t="s">
        <v>345</v>
      </c>
      <c r="K1814" s="10">
        <v>1.92</v>
      </c>
      <c r="L1814" s="10">
        <v>64</v>
      </c>
      <c r="M1814" s="6" t="s">
        <v>386</v>
      </c>
    </row>
    <row r="1815" spans="1:13">
      <c r="A1815" s="6">
        <v>2023</v>
      </c>
      <c r="B1815" s="6">
        <v>8</v>
      </c>
      <c r="C1815" s="6" t="s">
        <v>66</v>
      </c>
      <c r="D1815" s="6" t="s">
        <v>331</v>
      </c>
      <c r="E1815" s="6" t="s">
        <v>373</v>
      </c>
      <c r="F1815" s="6" t="str">
        <f>IF($M1815="PADD I","PADD 1",IF($M1815="PADD II","PADD 2",IF($M1815="PADD III","PADD 3",IF($M1815="PADD IV","PADD 4",IF($M1815="PADD V","PADD 5","")))))</f>
        <v>PADD 2</v>
      </c>
      <c r="G1815" s="6">
        <f>IF(AND($H1815="ATMOS DISTILLATION",ISNUMBER(SEARCH("VPS",$I1815))=FALSE,LEFT($I1815,6)&lt;&gt;"VACUUM"),"CDU",IF($H1815="FLUID CAT CRACKING","FCC",IF(OR($H1815="HYDROCRACKING",$H1815="RESID_HYDROCRACKING"),"Hydrocracker",IF($H1815="REFORMING","Reformer",""))))</f>
        <v/>
      </c>
      <c r="H1815" s="6" t="s">
        <v>43</v>
      </c>
      <c r="I1815" s="6" t="s">
        <v>910</v>
      </c>
      <c r="J1815" s="6" t="s">
        <v>345</v>
      </c>
      <c r="K1815" s="10">
        <v>1.89</v>
      </c>
      <c r="L1815" s="10">
        <v>63</v>
      </c>
      <c r="M1815" s="6" t="s">
        <v>375</v>
      </c>
    </row>
    <row r="1816" spans="1:13">
      <c r="A1816" s="6">
        <v>2023</v>
      </c>
      <c r="B1816" s="6">
        <v>8</v>
      </c>
      <c r="C1816" s="6" t="s">
        <v>66</v>
      </c>
      <c r="D1816" s="6" t="s">
        <v>319</v>
      </c>
      <c r="E1816" s="6" t="s">
        <v>665</v>
      </c>
      <c r="F1816" s="6" t="str">
        <f>IF($M1816="PADD I","PADD 1",IF($M1816="PADD II","PADD 2",IF($M1816="PADD III","PADD 3",IF($M1816="PADD IV","PADD 4",IF($M1816="PADD V","PADD 5","")))))</f>
        <v>PADD 3</v>
      </c>
      <c r="G1816" s="6" t="str">
        <f>IF(AND($H1816="ATMOS DISTILLATION",ISNUMBER(SEARCH("VPS",$I1816))=FALSE,LEFT($I1816,6)&lt;&gt;"VACUUM"),"CDU",IF($H1816="FLUID CAT CRACKING","FCC",IF(OR($H1816="HYDROCRACKING",$H1816="RESID_HYDROCRACKING"),"Hydrocracker",IF($H1816="REFORMING","Reformer",""))))</f>
        <v>Hydrocracker</v>
      </c>
      <c r="H1816" s="6" t="s">
        <v>444</v>
      </c>
      <c r="I1816" s="6" t="s">
        <v>14</v>
      </c>
      <c r="J1816" s="6" t="s">
        <v>345</v>
      </c>
      <c r="K1816" s="10">
        <v>1.84</v>
      </c>
      <c r="L1816" s="10">
        <v>8</v>
      </c>
      <c r="M1816" s="6" t="s">
        <v>371</v>
      </c>
    </row>
    <row r="1817" spans="1:13">
      <c r="A1817" s="6">
        <v>2023</v>
      </c>
      <c r="B1817" s="6">
        <v>8</v>
      </c>
      <c r="C1817" s="6" t="s">
        <v>66</v>
      </c>
      <c r="D1817" s="6" t="s">
        <v>468</v>
      </c>
      <c r="E1817" s="6" t="s">
        <v>369</v>
      </c>
      <c r="F1817" s="6" t="str">
        <f>IF($M1817="PADD I","PADD 1",IF($M1817="PADD II","PADD 2",IF($M1817="PADD III","PADD 3",IF($M1817="PADD IV","PADD 4",IF($M1817="PADD V","PADD 5","")))))</f>
        <v>PADD 3</v>
      </c>
      <c r="G1817" s="6" t="str">
        <f>IF(AND($H1817="ATMOS DISTILLATION",ISNUMBER(SEARCH("VPS",$I1817))=FALSE,LEFT($I1817,6)&lt;&gt;"VACUUM"),"CDU",IF($H1817="FLUID CAT CRACKING","FCC",IF(OR($H1817="HYDROCRACKING",$H1817="RESID_HYDROCRACKING"),"Hydrocracker",IF($H1817="REFORMING","Reformer",""))))</f>
        <v>FCC</v>
      </c>
      <c r="H1817" s="6" t="s">
        <v>376</v>
      </c>
      <c r="I1817" s="6" t="s">
        <v>473</v>
      </c>
      <c r="J1817" s="6" t="s">
        <v>345</v>
      </c>
      <c r="K1817" s="10">
        <v>1.8</v>
      </c>
      <c r="L1817" s="10">
        <v>30</v>
      </c>
      <c r="M1817" s="6" t="s">
        <v>371</v>
      </c>
    </row>
    <row r="1818" spans="1:13">
      <c r="A1818" s="6">
        <v>2023</v>
      </c>
      <c r="B1818" s="6">
        <v>8</v>
      </c>
      <c r="C1818" s="6" t="s">
        <v>66</v>
      </c>
      <c r="D1818" s="6" t="s">
        <v>468</v>
      </c>
      <c r="E1818" s="6" t="s">
        <v>369</v>
      </c>
      <c r="F1818" s="6" t="str">
        <f>IF($M1818="PADD I","PADD 1",IF($M1818="PADD II","PADD 2",IF($M1818="PADD III","PADD 3",IF($M1818="PADD IV","PADD 4",IF($M1818="PADD V","PADD 5","")))))</f>
        <v>PADD 3</v>
      </c>
      <c r="G1818" s="6" t="str">
        <f>IF(AND($H1818="ATMOS DISTILLATION",ISNUMBER(SEARCH("VPS",$I1818))=FALSE,LEFT($I1818,6)&lt;&gt;"VACUUM"),"CDU",IF($H1818="FLUID CAT CRACKING","FCC",IF(OR($H1818="HYDROCRACKING",$H1818="RESID_HYDROCRACKING"),"Hydrocracker",IF($H1818="REFORMING","Reformer",""))))</f>
        <v>FCC</v>
      </c>
      <c r="H1818" s="6" t="s">
        <v>376</v>
      </c>
      <c r="I1818" s="6" t="s">
        <v>469</v>
      </c>
      <c r="J1818" s="6" t="s">
        <v>345</v>
      </c>
      <c r="K1818" s="10">
        <v>1.8</v>
      </c>
      <c r="L1818" s="10">
        <v>30</v>
      </c>
      <c r="M1818" s="6" t="s">
        <v>371</v>
      </c>
    </row>
    <row r="1819" spans="1:13">
      <c r="A1819" s="6">
        <v>2023</v>
      </c>
      <c r="B1819" s="6">
        <v>8</v>
      </c>
      <c r="C1819" s="6" t="s">
        <v>66</v>
      </c>
      <c r="D1819" s="6" t="s">
        <v>934</v>
      </c>
      <c r="E1819" s="6" t="s">
        <v>388</v>
      </c>
      <c r="F1819" s="6" t="str">
        <f>IF($M1819="PADD I","PADD 1",IF($M1819="PADD II","PADD 2",IF($M1819="PADD III","PADD 3",IF($M1819="PADD IV","PADD 4",IF($M1819="PADD V","PADD 5","")))))</f>
        <v>PADD 3</v>
      </c>
      <c r="G1819" s="6">
        <f>IF(AND($H1819="ATMOS DISTILLATION",ISNUMBER(SEARCH("VPS",$I1819))=FALSE,LEFT($I1819,6)&lt;&gt;"VACUUM"),"CDU",IF($H1819="FLUID CAT CRACKING","FCC",IF(OR($H1819="HYDROCRACKING",$H1819="RESID_HYDROCRACKING"),"Hydrocracker",IF($H1819="REFORMING","Reformer",""))))</f>
        <v/>
      </c>
      <c r="H1819" s="6" t="s">
        <v>460</v>
      </c>
      <c r="I1819" s="6" t="s">
        <v>461</v>
      </c>
      <c r="J1819" s="6" t="s">
        <v>349</v>
      </c>
      <c r="K1819" s="10">
        <v>1.6</v>
      </c>
      <c r="L1819" s="10">
        <v>10</v>
      </c>
      <c r="M1819" s="6" t="s">
        <v>371</v>
      </c>
    </row>
    <row r="1820" spans="1:13">
      <c r="A1820" s="6">
        <v>2023</v>
      </c>
      <c r="B1820" s="6">
        <v>8</v>
      </c>
      <c r="C1820" s="6" t="s">
        <v>66</v>
      </c>
      <c r="D1820" s="6" t="s">
        <v>324</v>
      </c>
      <c r="E1820" s="6" t="s">
        <v>388</v>
      </c>
      <c r="F1820" s="6" t="str">
        <f>IF($M1820="PADD I","PADD 1",IF($M1820="PADD II","PADD 2",IF($M1820="PADD III","PADD 3",IF($M1820="PADD IV","PADD 4",IF($M1820="PADD V","PADD 5","")))))</f>
        <v>PADD 3</v>
      </c>
      <c r="G1820" s="6">
        <f>IF(AND($H1820="ATMOS DISTILLATION",ISNUMBER(SEARCH("VPS",$I1820))=FALSE,LEFT($I1820,6)&lt;&gt;"VACUUM"),"CDU",IF($H1820="FLUID CAT CRACKING","FCC",IF(OR($H1820="HYDROCRACKING",$H1820="RESID_HYDROCRACKING"),"Hydrocracker",IF($H1820="REFORMING","Reformer",""))))</f>
        <v/>
      </c>
      <c r="H1820" s="6" t="s">
        <v>43</v>
      </c>
      <c r="I1820" s="6" t="s">
        <v>966</v>
      </c>
      <c r="J1820" s="6" t="s">
        <v>345</v>
      </c>
      <c r="K1820" s="10">
        <v>1.6</v>
      </c>
      <c r="L1820" s="10">
        <v>16</v>
      </c>
      <c r="M1820" s="6" t="s">
        <v>371</v>
      </c>
    </row>
    <row r="1821" spans="1:13">
      <c r="A1821" s="6">
        <v>2023</v>
      </c>
      <c r="B1821" s="6">
        <v>8</v>
      </c>
      <c r="C1821" s="6" t="s">
        <v>66</v>
      </c>
      <c r="D1821" s="6" t="s">
        <v>468</v>
      </c>
      <c r="E1821" s="6" t="s">
        <v>369</v>
      </c>
      <c r="F1821" s="6" t="str">
        <f>IF($M1821="PADD I","PADD 1",IF($M1821="PADD II","PADD 2",IF($M1821="PADD III","PADD 3",IF($M1821="PADD IV","PADD 4",IF($M1821="PADD V","PADD 5","")))))</f>
        <v>PADD 3</v>
      </c>
      <c r="G1821" s="6">
        <f>IF(AND($H1821="ATMOS DISTILLATION",ISNUMBER(SEARCH("VPS",$I1821))=FALSE,LEFT($I1821,6)&lt;&gt;"VACUUM"),"CDU",IF($H1821="FLUID CAT CRACKING","FCC",IF(OR($H1821="HYDROCRACKING",$H1821="RESID_HYDROCRACKING"),"Hydrocracker",IF($H1821="REFORMING","Reformer",""))))</f>
        <v/>
      </c>
      <c r="H1821" s="6" t="s">
        <v>435</v>
      </c>
      <c r="I1821" s="6" t="s">
        <v>939</v>
      </c>
      <c r="J1821" s="6" t="s">
        <v>345</v>
      </c>
      <c r="K1821" s="10">
        <v>1.5</v>
      </c>
      <c r="L1821" s="10">
        <v>25</v>
      </c>
      <c r="M1821" s="6" t="s">
        <v>371</v>
      </c>
    </row>
    <row r="1822" spans="1:13">
      <c r="A1822" s="6">
        <v>2023</v>
      </c>
      <c r="B1822" s="6">
        <v>8</v>
      </c>
      <c r="C1822" s="6" t="s">
        <v>66</v>
      </c>
      <c r="D1822" s="6" t="s">
        <v>518</v>
      </c>
      <c r="E1822" s="6" t="s">
        <v>369</v>
      </c>
      <c r="F1822" s="6" t="str">
        <f>IF($M1822="PADD I","PADD 1",IF($M1822="PADD II","PADD 2",IF($M1822="PADD III","PADD 3",IF($M1822="PADD IV","PADD 4",IF($M1822="PADD V","PADD 5","")))))</f>
        <v>PADD 5</v>
      </c>
      <c r="G1822" s="6">
        <f>IF(AND($H1822="ATMOS DISTILLATION",ISNUMBER(SEARCH("VPS",$I1822))=FALSE,LEFT($I1822,6)&lt;&gt;"VACUUM"),"CDU",IF($H1822="FLUID CAT CRACKING","FCC",IF(OR($H1822="HYDROCRACKING",$H1822="RESID_HYDROCRACKING"),"Hydrocracker",IF($H1822="REFORMING","Reformer",""))))</f>
        <v/>
      </c>
      <c r="H1822" s="6" t="s">
        <v>43</v>
      </c>
      <c r="I1822" s="6" t="s">
        <v>579</v>
      </c>
      <c r="J1822" s="6" t="s">
        <v>349</v>
      </c>
      <c r="K1822" s="10">
        <v>1.5</v>
      </c>
      <c r="L1822" s="10">
        <v>25</v>
      </c>
      <c r="M1822" s="6" t="s">
        <v>386</v>
      </c>
    </row>
    <row r="1823" spans="1:13">
      <c r="A1823" s="6">
        <v>2023</v>
      </c>
      <c r="B1823" s="6">
        <v>8</v>
      </c>
      <c r="C1823" s="6" t="s">
        <v>66</v>
      </c>
      <c r="D1823" s="6" t="s">
        <v>756</v>
      </c>
      <c r="E1823" s="6" t="s">
        <v>757</v>
      </c>
      <c r="F1823" s="6" t="str">
        <f>IF($M1823="PADD I","PADD 1",IF($M1823="PADD II","PADD 2",IF($M1823="PADD III","PADD 3",IF($M1823="PADD IV","PADD 4",IF($M1823="PADD V","PADD 5","")))))</f>
        <v>PADD 3</v>
      </c>
      <c r="G1823" s="6" t="str">
        <f>IF(AND($H1823="ATMOS DISTILLATION",ISNUMBER(SEARCH("VPS",$I1823))=FALSE,LEFT($I1823,6)&lt;&gt;"VACUUM"),"CDU",IF($H1823="FLUID CAT CRACKING","FCC",IF(OR($H1823="HYDROCRACKING",$H1823="RESID_HYDROCRACKING"),"Hydrocracker",IF($H1823="REFORMING","Reformer",""))))</f>
        <v>CDU</v>
      </c>
      <c r="H1823" s="6" t="s">
        <v>38</v>
      </c>
      <c r="I1823" s="6" t="s">
        <v>81</v>
      </c>
      <c r="J1823" s="6" t="s">
        <v>345</v>
      </c>
      <c r="K1823" s="10">
        <v>1.5</v>
      </c>
      <c r="L1823" s="10">
        <v>15</v>
      </c>
      <c r="M1823" s="6" t="s">
        <v>371</v>
      </c>
    </row>
    <row r="1824" spans="1:13">
      <c r="A1824" s="6">
        <v>2023</v>
      </c>
      <c r="B1824" s="6">
        <v>8</v>
      </c>
      <c r="C1824" s="6" t="s">
        <v>66</v>
      </c>
      <c r="D1824" s="6" t="s">
        <v>934</v>
      </c>
      <c r="E1824" s="6" t="s">
        <v>388</v>
      </c>
      <c r="F1824" s="6" t="str">
        <f>IF($M1824="PADD I","PADD 1",IF($M1824="PADD II","PADD 2",IF($M1824="PADD III","PADD 3",IF($M1824="PADD IV","PADD 4",IF($M1824="PADD V","PADD 5","")))))</f>
        <v>PADD 3</v>
      </c>
      <c r="G1824" s="6">
        <f>IF(AND($H1824="ATMOS DISTILLATION",ISNUMBER(SEARCH("VPS",$I1824))=FALSE,LEFT($I1824,6)&lt;&gt;"VACUUM"),"CDU",IF($H1824="FLUID CAT CRACKING","FCC",IF(OR($H1824="HYDROCRACKING",$H1824="RESID_HYDROCRACKING"),"Hydrocracker",IF($H1824="REFORMING","Reformer",""))))</f>
        <v/>
      </c>
      <c r="H1824" s="6" t="s">
        <v>460</v>
      </c>
      <c r="I1824" s="6" t="s">
        <v>461</v>
      </c>
      <c r="J1824" s="6" t="s">
        <v>345</v>
      </c>
      <c r="K1824" s="10">
        <v>1.3</v>
      </c>
      <c r="L1824" s="10">
        <v>10</v>
      </c>
      <c r="M1824" s="6" t="s">
        <v>371</v>
      </c>
    </row>
    <row r="1825" spans="1:13">
      <c r="A1825" s="6">
        <v>2023</v>
      </c>
      <c r="B1825" s="6">
        <v>8</v>
      </c>
      <c r="C1825" s="6" t="s">
        <v>66</v>
      </c>
      <c r="D1825" s="6" t="s">
        <v>48</v>
      </c>
      <c r="E1825" s="6" t="s">
        <v>388</v>
      </c>
      <c r="F1825" s="6" t="str">
        <f>IF($M1825="PADD I","PADD 1",IF($M1825="PADD II","PADD 2",IF($M1825="PADD III","PADD 3",IF($M1825="PADD IV","PADD 4",IF($M1825="PADD V","PADD 5","")))))</f>
        <v>PADD 2</v>
      </c>
      <c r="G1825" s="6">
        <f>IF(AND($H1825="ATMOS DISTILLATION",ISNUMBER(SEARCH("VPS",$I1825))=FALSE,LEFT($I1825,6)&lt;&gt;"VACUUM"),"CDU",IF($H1825="FLUID CAT CRACKING","FCC",IF(OR($H1825="HYDROCRACKING",$H1825="RESID_HYDROCRACKING"),"Hydrocracker",IF($H1825="REFORMING","Reformer",""))))</f>
        <v/>
      </c>
      <c r="H1825" s="6" t="s">
        <v>460</v>
      </c>
      <c r="I1825" s="6" t="s">
        <v>616</v>
      </c>
      <c r="J1825" s="6" t="s">
        <v>345</v>
      </c>
      <c r="K1825" s="10">
        <v>1.25</v>
      </c>
      <c r="L1825" s="10">
        <v>12.5</v>
      </c>
      <c r="M1825" s="6" t="s">
        <v>375</v>
      </c>
    </row>
    <row r="1826" spans="1:13">
      <c r="A1826" s="6">
        <v>2023</v>
      </c>
      <c r="B1826" s="6">
        <v>8</v>
      </c>
      <c r="C1826" s="6" t="s">
        <v>66</v>
      </c>
      <c r="D1826" s="6" t="s">
        <v>395</v>
      </c>
      <c r="E1826" s="6" t="s">
        <v>396</v>
      </c>
      <c r="F1826" s="6" t="str">
        <f>IF($M1826="PADD I","PADD 1",IF($M1826="PADD II","PADD 2",IF($M1826="PADD III","PADD 3",IF($M1826="PADD IV","PADD 4",IF($M1826="PADD V","PADD 5","")))))</f>
        <v>PADD 3</v>
      </c>
      <c r="G1826" s="6">
        <f>IF(AND($H1826="ATMOS DISTILLATION",ISNUMBER(SEARCH("VPS",$I1826))=FALSE,LEFT($I1826,6)&lt;&gt;"VACUUM"),"CDU",IF($H1826="FLUID CAT CRACKING","FCC",IF(OR($H1826="HYDROCRACKING",$H1826="RESID_HYDROCRACKING"),"Hydrocracker",IF($H1826="REFORMING","Reformer",""))))</f>
        <v/>
      </c>
      <c r="H1826" s="6" t="s">
        <v>43</v>
      </c>
      <c r="I1826" s="6" t="s">
        <v>550</v>
      </c>
      <c r="J1826" s="6" t="s">
        <v>345</v>
      </c>
      <c r="K1826" s="10">
        <v>1.233</v>
      </c>
      <c r="L1826" s="10">
        <v>41.1</v>
      </c>
      <c r="M1826" s="6" t="s">
        <v>371</v>
      </c>
    </row>
    <row r="1827" spans="1:13">
      <c r="A1827" s="6">
        <v>2023</v>
      </c>
      <c r="B1827" s="6">
        <v>8</v>
      </c>
      <c r="C1827" s="6" t="s">
        <v>66</v>
      </c>
      <c r="D1827" s="6" t="s">
        <v>331</v>
      </c>
      <c r="E1827" s="6" t="s">
        <v>373</v>
      </c>
      <c r="F1827" s="6" t="str">
        <f>IF($M1827="PADD I","PADD 1",IF($M1827="PADD II","PADD 2",IF($M1827="PADD III","PADD 3",IF($M1827="PADD IV","PADD 4",IF($M1827="PADD V","PADD 5","")))))</f>
        <v>PADD 2</v>
      </c>
      <c r="G1827" s="6" t="str">
        <f>IF(AND($H1827="ATMOS DISTILLATION",ISNUMBER(SEARCH("VPS",$I1827))=FALSE,LEFT($I1827,6)&lt;&gt;"VACUUM"),"CDU",IF($H1827="FLUID CAT CRACKING","FCC",IF(OR($H1827="HYDROCRACKING",$H1827="RESID_HYDROCRACKING"),"Hydrocracker",IF($H1827="REFORMING","Reformer",""))))</f>
        <v>FCC</v>
      </c>
      <c r="H1827" s="6" t="s">
        <v>376</v>
      </c>
      <c r="I1827" s="6" t="s">
        <v>105</v>
      </c>
      <c r="J1827" s="6" t="s">
        <v>345</v>
      </c>
      <c r="K1827" s="10">
        <v>1.2</v>
      </c>
      <c r="L1827" s="10">
        <v>40</v>
      </c>
      <c r="M1827" s="6" t="s">
        <v>375</v>
      </c>
    </row>
    <row r="1828" spans="1:13">
      <c r="A1828" s="6">
        <v>2023</v>
      </c>
      <c r="B1828" s="6">
        <v>8</v>
      </c>
      <c r="C1828" s="6" t="s">
        <v>66</v>
      </c>
      <c r="D1828" s="6" t="s">
        <v>946</v>
      </c>
      <c r="E1828" s="6" t="s">
        <v>405</v>
      </c>
      <c r="F1828" s="6" t="str">
        <f>IF($M1828="PADD I","PADD 1",IF($M1828="PADD II","PADD 2",IF($M1828="PADD III","PADD 3",IF($M1828="PADD IV","PADD 4",IF($M1828="PADD V","PADD 5","")))))</f>
        <v>PADD 5</v>
      </c>
      <c r="G1828" s="6" t="str">
        <f>IF(AND($H1828="ATMOS DISTILLATION",ISNUMBER(SEARCH("VPS",$I1828))=FALSE,LEFT($I1828,6)&lt;&gt;"VACUUM"),"CDU",IF($H1828="FLUID CAT CRACKING","FCC",IF(OR($H1828="HYDROCRACKING",$H1828="RESID_HYDROCRACKING"),"Hydrocracker",IF($H1828="REFORMING","Reformer",""))))</f>
        <v>CDU</v>
      </c>
      <c r="H1828" s="6" t="s">
        <v>38</v>
      </c>
      <c r="I1828" s="6" t="s">
        <v>967</v>
      </c>
      <c r="J1828" s="6" t="s">
        <v>345</v>
      </c>
      <c r="K1828" s="10">
        <v>1.2</v>
      </c>
      <c r="L1828" s="10">
        <v>40</v>
      </c>
      <c r="M1828" s="6" t="s">
        <v>386</v>
      </c>
    </row>
    <row r="1829" spans="1:13">
      <c r="A1829" s="6">
        <v>2023</v>
      </c>
      <c r="B1829" s="6">
        <v>8</v>
      </c>
      <c r="C1829" s="6" t="s">
        <v>66</v>
      </c>
      <c r="D1829" s="6" t="s">
        <v>946</v>
      </c>
      <c r="E1829" s="6" t="s">
        <v>405</v>
      </c>
      <c r="F1829" s="6" t="str">
        <f>IF($M1829="PADD I","PADD 1",IF($M1829="PADD II","PADD 2",IF($M1829="PADD III","PADD 3",IF($M1829="PADD IV","PADD 4",IF($M1829="PADD V","PADD 5","")))))</f>
        <v>PADD 5</v>
      </c>
      <c r="G1829" s="6" t="str">
        <f>IF(AND($H1829="ATMOS DISTILLATION",ISNUMBER(SEARCH("VPS",$I1829))=FALSE,LEFT($I1829,6)&lt;&gt;"VACUUM"),"CDU",IF($H1829="FLUID CAT CRACKING","FCC",IF(OR($H1829="HYDROCRACKING",$H1829="RESID_HYDROCRACKING"),"Hydrocracker",IF($H1829="REFORMING","Reformer",""))))</f>
        <v>CDU</v>
      </c>
      <c r="H1829" s="6" t="s">
        <v>38</v>
      </c>
      <c r="I1829" s="6" t="s">
        <v>968</v>
      </c>
      <c r="J1829" s="6" t="s">
        <v>345</v>
      </c>
      <c r="K1829" s="10">
        <v>1.2</v>
      </c>
      <c r="L1829" s="10">
        <v>40</v>
      </c>
      <c r="M1829" s="6" t="s">
        <v>386</v>
      </c>
    </row>
    <row r="1830" spans="1:13">
      <c r="A1830" s="6">
        <v>2023</v>
      </c>
      <c r="B1830" s="6">
        <v>8</v>
      </c>
      <c r="C1830" s="6" t="s">
        <v>66</v>
      </c>
      <c r="D1830" s="6" t="s">
        <v>331</v>
      </c>
      <c r="E1830" s="6" t="s">
        <v>373</v>
      </c>
      <c r="F1830" s="6" t="str">
        <f>IF($M1830="PADD I","PADD 1",IF($M1830="PADD II","PADD 2",IF($M1830="PADD III","PADD 3",IF($M1830="PADD IV","PADD 4",IF($M1830="PADD V","PADD 5","")))))</f>
        <v>PADD 2</v>
      </c>
      <c r="G1830" s="6" t="str">
        <f>IF(AND($H1830="ATMOS DISTILLATION",ISNUMBER(SEARCH("VPS",$I1830))=FALSE,LEFT($I1830,6)&lt;&gt;"VACUUM"),"CDU",IF($H1830="FLUID CAT CRACKING","FCC",IF(OR($H1830="HYDROCRACKING",$H1830="RESID_HYDROCRACKING"),"Hydrocracker",IF($H1830="REFORMING","Reformer",""))))</f>
        <v>Reformer</v>
      </c>
      <c r="H1830" s="6" t="s">
        <v>421</v>
      </c>
      <c r="I1830" s="6" t="s">
        <v>916</v>
      </c>
      <c r="J1830" s="6" t="s">
        <v>345</v>
      </c>
      <c r="K1830" s="10">
        <v>1.2</v>
      </c>
      <c r="L1830" s="10">
        <v>40</v>
      </c>
      <c r="M1830" s="6" t="s">
        <v>375</v>
      </c>
    </row>
    <row r="1831" spans="1:13">
      <c r="A1831" s="6">
        <v>2023</v>
      </c>
      <c r="B1831" s="6">
        <v>8</v>
      </c>
      <c r="C1831" s="6" t="s">
        <v>66</v>
      </c>
      <c r="D1831" s="6" t="s">
        <v>662</v>
      </c>
      <c r="E1831" s="6" t="s">
        <v>552</v>
      </c>
      <c r="F1831" s="6" t="str">
        <f>IF($M1831="PADD I","PADD 1",IF($M1831="PADD II","PADD 2",IF($M1831="PADD III","PADD 3",IF($M1831="PADD IV","PADD 4",IF($M1831="PADD V","PADD 5","")))))</f>
        <v>PADD 3</v>
      </c>
      <c r="G1831" s="6">
        <f>IF(AND($H1831="ATMOS DISTILLATION",ISNUMBER(SEARCH("VPS",$I1831))=FALSE,LEFT($I1831,6)&lt;&gt;"VACUUM"),"CDU",IF($H1831="FLUID CAT CRACKING","FCC",IF(OR($H1831="HYDROCRACKING",$H1831="RESID_HYDROCRACKING"),"Hydrocracker",IF($H1831="REFORMING","Reformer",""))))</f>
        <v/>
      </c>
      <c r="H1831" s="6" t="s">
        <v>43</v>
      </c>
      <c r="I1831" s="6" t="s">
        <v>828</v>
      </c>
      <c r="J1831" s="6" t="s">
        <v>349</v>
      </c>
      <c r="K1831" s="10">
        <v>1.2</v>
      </c>
      <c r="L1831" s="10">
        <v>12</v>
      </c>
      <c r="M1831" s="6" t="s">
        <v>371</v>
      </c>
    </row>
    <row r="1832" spans="1:13">
      <c r="A1832" s="6">
        <v>2023</v>
      </c>
      <c r="B1832" s="6">
        <v>8</v>
      </c>
      <c r="C1832" s="6" t="s">
        <v>66</v>
      </c>
      <c r="D1832" s="6" t="s">
        <v>946</v>
      </c>
      <c r="E1832" s="6" t="s">
        <v>405</v>
      </c>
      <c r="F1832" s="6" t="str">
        <f>IF($M1832="PADD I","PADD 1",IF($M1832="PADD II","PADD 2",IF($M1832="PADD III","PADD 3",IF($M1832="PADD IV","PADD 4",IF($M1832="PADD V","PADD 5","")))))</f>
        <v>PADD 5</v>
      </c>
      <c r="G1832" s="6">
        <f>IF(AND($H1832="ATMOS DISTILLATION",ISNUMBER(SEARCH("VPS",$I1832))=FALSE,LEFT($I1832,6)&lt;&gt;"VACUUM"),"CDU",IF($H1832="FLUID CAT CRACKING","FCC",IF(OR($H1832="HYDROCRACKING",$H1832="RESID_HYDROCRACKING"),"Hydrocracker",IF($H1832="REFORMING","Reformer",""))))</f>
        <v/>
      </c>
      <c r="H1832" s="6" t="s">
        <v>378</v>
      </c>
      <c r="I1832" s="6" t="s">
        <v>969</v>
      </c>
      <c r="J1832" s="6" t="s">
        <v>345</v>
      </c>
      <c r="K1832" s="10">
        <v>1.17</v>
      </c>
      <c r="L1832" s="10">
        <v>39</v>
      </c>
      <c r="M1832" s="6" t="s">
        <v>386</v>
      </c>
    </row>
    <row r="1833" spans="1:13">
      <c r="A1833" s="6">
        <v>2023</v>
      </c>
      <c r="B1833" s="6">
        <v>8</v>
      </c>
      <c r="C1833" s="6" t="s">
        <v>66</v>
      </c>
      <c r="D1833" s="6" t="s">
        <v>830</v>
      </c>
      <c r="E1833" s="6" t="s">
        <v>388</v>
      </c>
      <c r="F1833" s="6" t="str">
        <f>IF($M1833="PADD I","PADD 1",IF($M1833="PADD II","PADD 2",IF($M1833="PADD III","PADD 3",IF($M1833="PADD IV","PADD 4",IF($M1833="PADD V","PADD 5","")))))</f>
        <v>PADD 2</v>
      </c>
      <c r="G1833" s="6">
        <f>IF(AND($H1833="ATMOS DISTILLATION",ISNUMBER(SEARCH("VPS",$I1833))=FALSE,LEFT($I1833,6)&lt;&gt;"VACUUM"),"CDU",IF($H1833="FLUID CAT CRACKING","FCC",IF(OR($H1833="HYDROCRACKING",$H1833="RESID_HYDROCRACKING"),"Hydrocracker",IF($H1833="REFORMING","Reformer",""))))</f>
        <v/>
      </c>
      <c r="H1833" s="6" t="s">
        <v>43</v>
      </c>
      <c r="I1833" s="6" t="s">
        <v>485</v>
      </c>
      <c r="J1833" s="6" t="s">
        <v>345</v>
      </c>
      <c r="K1833" s="10">
        <v>1.14</v>
      </c>
      <c r="L1833" s="10">
        <v>6</v>
      </c>
      <c r="M1833" s="6" t="s">
        <v>375</v>
      </c>
    </row>
    <row r="1834" spans="1:13">
      <c r="A1834" s="6">
        <v>2023</v>
      </c>
      <c r="B1834" s="6">
        <v>8</v>
      </c>
      <c r="C1834" s="6" t="s">
        <v>66</v>
      </c>
      <c r="D1834" s="6" t="s">
        <v>331</v>
      </c>
      <c r="E1834" s="6" t="s">
        <v>373</v>
      </c>
      <c r="F1834" s="6" t="str">
        <f>IF($M1834="PADD I","PADD 1",IF($M1834="PADD II","PADD 2",IF($M1834="PADD III","PADD 3",IF($M1834="PADD IV","PADD 4",IF($M1834="PADD V","PADD 5","")))))</f>
        <v>PADD 2</v>
      </c>
      <c r="G1834" s="6">
        <f>IF(AND($H1834="ATMOS DISTILLATION",ISNUMBER(SEARCH("VPS",$I1834))=FALSE,LEFT($I1834,6)&lt;&gt;"VACUUM"),"CDU",IF($H1834="FLUID CAT CRACKING","FCC",IF(OR($H1834="HYDROCRACKING",$H1834="RESID_HYDROCRACKING"),"Hydrocracker",IF($H1834="REFORMING","Reformer",""))))</f>
        <v/>
      </c>
      <c r="H1834" s="6" t="s">
        <v>43</v>
      </c>
      <c r="I1834" s="6" t="s">
        <v>458</v>
      </c>
      <c r="J1834" s="6" t="s">
        <v>345</v>
      </c>
      <c r="K1834" s="10">
        <v>1.05</v>
      </c>
      <c r="L1834" s="10">
        <v>35</v>
      </c>
      <c r="M1834" s="6" t="s">
        <v>375</v>
      </c>
    </row>
    <row r="1835" spans="1:13">
      <c r="A1835" s="6">
        <v>2023</v>
      </c>
      <c r="B1835" s="6">
        <v>8</v>
      </c>
      <c r="C1835" s="6" t="s">
        <v>66</v>
      </c>
      <c r="D1835" s="6" t="s">
        <v>946</v>
      </c>
      <c r="E1835" s="6" t="s">
        <v>405</v>
      </c>
      <c r="F1835" s="6" t="str">
        <f>IF($M1835="PADD I","PADD 1",IF($M1835="PADD II","PADD 2",IF($M1835="PADD III","PADD 3",IF($M1835="PADD IV","PADD 4",IF($M1835="PADD V","PADD 5","")))))</f>
        <v>PADD 5</v>
      </c>
      <c r="G1835" s="6">
        <f>IF(AND($H1835="ATMOS DISTILLATION",ISNUMBER(SEARCH("VPS",$I1835))=FALSE,LEFT($I1835,6)&lt;&gt;"VACUUM"),"CDU",IF($H1835="FLUID CAT CRACKING","FCC",IF(OR($H1835="HYDROCRACKING",$H1835="RESID_HYDROCRACKING"),"Hydrocracker",IF($H1835="REFORMING","Reformer",""))))</f>
        <v/>
      </c>
      <c r="H1835" s="6" t="s">
        <v>43</v>
      </c>
      <c r="I1835" s="6" t="s">
        <v>970</v>
      </c>
      <c r="J1835" s="6" t="s">
        <v>345</v>
      </c>
      <c r="K1835" s="10">
        <v>0.99</v>
      </c>
      <c r="L1835" s="10">
        <v>33</v>
      </c>
      <c r="M1835" s="6" t="s">
        <v>386</v>
      </c>
    </row>
    <row r="1836" spans="1:13">
      <c r="A1836" s="6">
        <v>2023</v>
      </c>
      <c r="B1836" s="6">
        <v>8</v>
      </c>
      <c r="C1836" s="6" t="s">
        <v>66</v>
      </c>
      <c r="D1836" s="6" t="s">
        <v>331</v>
      </c>
      <c r="E1836" s="6" t="s">
        <v>373</v>
      </c>
      <c r="F1836" s="6" t="str">
        <f>IF($M1836="PADD I","PADD 1",IF($M1836="PADD II","PADD 2",IF($M1836="PADD III","PADD 3",IF($M1836="PADD IV","PADD 4",IF($M1836="PADD V","PADD 5","")))))</f>
        <v>PADD 2</v>
      </c>
      <c r="G1836" s="6">
        <f>IF(AND($H1836="ATMOS DISTILLATION",ISNUMBER(SEARCH("VPS",$I1836))=FALSE,LEFT($I1836,6)&lt;&gt;"VACUUM"),"CDU",IF($H1836="FLUID CAT CRACKING","FCC",IF(OR($H1836="HYDROCRACKING",$H1836="RESID_HYDROCRACKING"),"Hydrocracker",IF($H1836="REFORMING","Reformer",""))))</f>
        <v/>
      </c>
      <c r="H1836" s="6" t="s">
        <v>435</v>
      </c>
      <c r="I1836" s="6" t="s">
        <v>441</v>
      </c>
      <c r="J1836" s="6" t="s">
        <v>345</v>
      </c>
      <c r="K1836" s="10">
        <v>0.9389999999999999</v>
      </c>
      <c r="L1836" s="10">
        <v>31.3</v>
      </c>
      <c r="M1836" s="6" t="s">
        <v>375</v>
      </c>
    </row>
    <row r="1837" spans="1:13">
      <c r="A1837" s="6">
        <v>2023</v>
      </c>
      <c r="B1837" s="6">
        <v>8</v>
      </c>
      <c r="C1837" s="6" t="s">
        <v>66</v>
      </c>
      <c r="D1837" s="6" t="s">
        <v>331</v>
      </c>
      <c r="E1837" s="6" t="s">
        <v>373</v>
      </c>
      <c r="F1837" s="6" t="str">
        <f>IF($M1837="PADD I","PADD 1",IF($M1837="PADD II","PADD 2",IF($M1837="PADD III","PADD 3",IF($M1837="PADD IV","PADD 4",IF($M1837="PADD V","PADD 5","")))))</f>
        <v>PADD 2</v>
      </c>
      <c r="G1837" s="6">
        <f>IF(AND($H1837="ATMOS DISTILLATION",ISNUMBER(SEARCH("VPS",$I1837))=FALSE,LEFT($I1837,6)&lt;&gt;"VACUUM"),"CDU",IF($H1837="FLUID CAT CRACKING","FCC",IF(OR($H1837="HYDROCRACKING",$H1837="RESID_HYDROCRACKING"),"Hydrocracker",IF($H1837="REFORMING","Reformer",""))))</f>
        <v/>
      </c>
      <c r="H1837" s="6" t="s">
        <v>43</v>
      </c>
      <c r="I1837" s="6" t="s">
        <v>920</v>
      </c>
      <c r="J1837" s="6" t="s">
        <v>345</v>
      </c>
      <c r="K1837" s="10">
        <v>0.9</v>
      </c>
      <c r="L1837" s="10">
        <v>30</v>
      </c>
      <c r="M1837" s="6" t="s">
        <v>375</v>
      </c>
    </row>
    <row r="1838" spans="1:13">
      <c r="A1838" s="6">
        <v>2023</v>
      </c>
      <c r="B1838" s="6">
        <v>8</v>
      </c>
      <c r="C1838" s="6" t="s">
        <v>66</v>
      </c>
      <c r="D1838" s="6" t="s">
        <v>946</v>
      </c>
      <c r="E1838" s="6" t="s">
        <v>405</v>
      </c>
      <c r="F1838" s="6" t="str">
        <f>IF($M1838="PADD I","PADD 1",IF($M1838="PADD II","PADD 2",IF($M1838="PADD III","PADD 3",IF($M1838="PADD IV","PADD 4",IF($M1838="PADD V","PADD 5","")))))</f>
        <v>PADD 5</v>
      </c>
      <c r="G1838" s="6">
        <f>IF(AND($H1838="ATMOS DISTILLATION",ISNUMBER(SEARCH("VPS",$I1838))=FALSE,LEFT($I1838,6)&lt;&gt;"VACUUM"),"CDU",IF($H1838="FLUID CAT CRACKING","FCC",IF(OR($H1838="HYDROCRACKING",$H1838="RESID_HYDROCRACKING"),"Hydrocracker",IF($H1838="REFORMING","Reformer",""))))</f>
        <v/>
      </c>
      <c r="H1838" s="6" t="s">
        <v>43</v>
      </c>
      <c r="I1838" s="6" t="s">
        <v>971</v>
      </c>
      <c r="J1838" s="6" t="s">
        <v>345</v>
      </c>
      <c r="K1838" s="10">
        <v>0.9</v>
      </c>
      <c r="L1838" s="10">
        <v>30</v>
      </c>
      <c r="M1838" s="6" t="s">
        <v>386</v>
      </c>
    </row>
    <row r="1839" spans="1:13">
      <c r="A1839" s="6">
        <v>2023</v>
      </c>
      <c r="B1839" s="6">
        <v>8</v>
      </c>
      <c r="C1839" s="6" t="s">
        <v>66</v>
      </c>
      <c r="D1839" s="6" t="s">
        <v>662</v>
      </c>
      <c r="E1839" s="6" t="s">
        <v>552</v>
      </c>
      <c r="F1839" s="6" t="str">
        <f>IF($M1839="PADD I","PADD 1",IF($M1839="PADD II","PADD 2",IF($M1839="PADD III","PADD 3",IF($M1839="PADD IV","PADD 4",IF($M1839="PADD V","PADD 5","")))))</f>
        <v>PADD 3</v>
      </c>
      <c r="G1839" s="6">
        <f>IF(AND($H1839="ATMOS DISTILLATION",ISNUMBER(SEARCH("VPS",$I1839))=FALSE,LEFT($I1839,6)&lt;&gt;"VACUUM"),"CDU",IF($H1839="FLUID CAT CRACKING","FCC",IF(OR($H1839="HYDROCRACKING",$H1839="RESID_HYDROCRACKING"),"Hydrocracker",IF($H1839="REFORMING","Reformer",""))))</f>
        <v/>
      </c>
      <c r="H1839" s="6" t="s">
        <v>43</v>
      </c>
      <c r="I1839" s="6" t="s">
        <v>844</v>
      </c>
      <c r="J1839" s="6" t="s">
        <v>349</v>
      </c>
      <c r="K1839" s="10">
        <v>0.8</v>
      </c>
      <c r="L1839" s="10">
        <v>5</v>
      </c>
      <c r="M1839" s="6" t="s">
        <v>371</v>
      </c>
    </row>
    <row r="1840" spans="1:13">
      <c r="A1840" s="6">
        <v>2023</v>
      </c>
      <c r="B1840" s="6">
        <v>8</v>
      </c>
      <c r="C1840" s="6" t="s">
        <v>66</v>
      </c>
      <c r="D1840" s="6" t="s">
        <v>331</v>
      </c>
      <c r="E1840" s="6" t="s">
        <v>373</v>
      </c>
      <c r="F1840" s="6" t="str">
        <f>IF($M1840="PADD I","PADD 1",IF($M1840="PADD II","PADD 2",IF($M1840="PADD III","PADD 3",IF($M1840="PADD IV","PADD 4",IF($M1840="PADD V","PADD 5","")))))</f>
        <v>PADD 2</v>
      </c>
      <c r="G1840" s="6" t="str">
        <f>IF(AND($H1840="ATMOS DISTILLATION",ISNUMBER(SEARCH("VPS",$I1840))=FALSE,LEFT($I1840,6)&lt;&gt;"VACUUM"),"CDU",IF($H1840="FLUID CAT CRACKING","FCC",IF(OR($H1840="HYDROCRACKING",$H1840="RESID_HYDROCRACKING"),"Hydrocracker",IF($H1840="REFORMING","Reformer",""))))</f>
        <v>Hydrocracker</v>
      </c>
      <c r="H1840" s="6" t="s">
        <v>444</v>
      </c>
      <c r="I1840" s="6" t="s">
        <v>445</v>
      </c>
      <c r="J1840" s="6" t="s">
        <v>345</v>
      </c>
      <c r="K1840" s="10">
        <v>0.78</v>
      </c>
      <c r="L1840" s="10">
        <v>26</v>
      </c>
      <c r="M1840" s="6" t="s">
        <v>375</v>
      </c>
    </row>
    <row r="1841" spans="1:13">
      <c r="A1841" s="6">
        <v>2023</v>
      </c>
      <c r="B1841" s="6">
        <v>8</v>
      </c>
      <c r="C1841" s="6" t="s">
        <v>66</v>
      </c>
      <c r="D1841" s="6" t="s">
        <v>730</v>
      </c>
      <c r="E1841" s="6" t="s">
        <v>731</v>
      </c>
      <c r="F1841" s="6" t="str">
        <f>IF($M1841="PADD I","PADD 1",IF($M1841="PADD II","PADD 2",IF($M1841="PADD III","PADD 3",IF($M1841="PADD IV","PADD 4",IF($M1841="PADD V","PADD 5","")))))</f>
        <v>PADD 3</v>
      </c>
      <c r="G1841" s="6" t="str">
        <f>IF(AND($H1841="ATMOS DISTILLATION",ISNUMBER(SEARCH("VPS",$I1841))=FALSE,LEFT($I1841,6)&lt;&gt;"VACUUM"),"CDU",IF($H1841="FLUID CAT CRACKING","FCC",IF(OR($H1841="HYDROCRACKING",$H1841="RESID_HYDROCRACKING"),"Hydrocracker",IF($H1841="REFORMING","Reformer",""))))</f>
        <v>Reformer</v>
      </c>
      <c r="H1841" s="6" t="s">
        <v>421</v>
      </c>
      <c r="I1841" s="6" t="s">
        <v>15</v>
      </c>
      <c r="J1841" s="6" t="s">
        <v>345</v>
      </c>
      <c r="K1841" s="10">
        <v>0.66</v>
      </c>
      <c r="L1841" s="10">
        <v>11</v>
      </c>
      <c r="M1841" s="6" t="s">
        <v>371</v>
      </c>
    </row>
    <row r="1842" spans="1:13">
      <c r="A1842" s="6">
        <v>2023</v>
      </c>
      <c r="B1842" s="6">
        <v>8</v>
      </c>
      <c r="C1842" s="6" t="s">
        <v>66</v>
      </c>
      <c r="D1842" s="6" t="s">
        <v>331</v>
      </c>
      <c r="E1842" s="6" t="s">
        <v>373</v>
      </c>
      <c r="F1842" s="6" t="str">
        <f>IF($M1842="PADD I","PADD 1",IF($M1842="PADD II","PADD 2",IF($M1842="PADD III","PADD 3",IF($M1842="PADD IV","PADD 4",IF($M1842="PADD V","PADD 5","")))))</f>
        <v>PADD 2</v>
      </c>
      <c r="G1842" s="6">
        <f>IF(AND($H1842="ATMOS DISTILLATION",ISNUMBER(SEARCH("VPS",$I1842))=FALSE,LEFT($I1842,6)&lt;&gt;"VACUUM"),"CDU",IF($H1842="FLUID CAT CRACKING","FCC",IF(OR($H1842="HYDROCRACKING",$H1842="RESID_HYDROCRACKING"),"Hydrocracker",IF($H1842="REFORMING","Reformer",""))))</f>
        <v/>
      </c>
      <c r="H1842" s="6" t="s">
        <v>43</v>
      </c>
      <c r="I1842" s="6" t="s">
        <v>925</v>
      </c>
      <c r="J1842" s="6" t="s">
        <v>345</v>
      </c>
      <c r="K1842" s="10">
        <v>0.6</v>
      </c>
      <c r="L1842" s="10">
        <v>20</v>
      </c>
      <c r="M1842" s="6" t="s">
        <v>375</v>
      </c>
    </row>
    <row r="1843" spans="1:13">
      <c r="A1843" s="6">
        <v>2023</v>
      </c>
      <c r="B1843" s="6">
        <v>8</v>
      </c>
      <c r="C1843" s="6" t="s">
        <v>66</v>
      </c>
      <c r="D1843" s="6" t="s">
        <v>946</v>
      </c>
      <c r="E1843" s="6" t="s">
        <v>405</v>
      </c>
      <c r="F1843" s="6" t="str">
        <f>IF($M1843="PADD I","PADD 1",IF($M1843="PADD II","PADD 2",IF($M1843="PADD III","PADD 3",IF($M1843="PADD IV","PADD 4",IF($M1843="PADD V","PADD 5","")))))</f>
        <v>PADD 5</v>
      </c>
      <c r="G1843" s="6">
        <f>IF(AND($H1843="ATMOS DISTILLATION",ISNUMBER(SEARCH("VPS",$I1843))=FALSE,LEFT($I1843,6)&lt;&gt;"VACUUM"),"CDU",IF($H1843="FLUID CAT CRACKING","FCC",IF(OR($H1843="HYDROCRACKING",$H1843="RESID_HYDROCRACKING"),"Hydrocracker",IF($H1843="REFORMING","Reformer",""))))</f>
        <v/>
      </c>
      <c r="H1843" s="6" t="s">
        <v>435</v>
      </c>
      <c r="I1843" s="6" t="s">
        <v>972</v>
      </c>
      <c r="J1843" s="6" t="s">
        <v>345</v>
      </c>
      <c r="K1843" s="10">
        <v>0.54</v>
      </c>
      <c r="L1843" s="10">
        <v>18</v>
      </c>
      <c r="M1843" s="6" t="s">
        <v>386</v>
      </c>
    </row>
    <row r="1844" spans="1:13">
      <c r="A1844" s="6">
        <v>2023</v>
      </c>
      <c r="B1844" s="6">
        <v>8</v>
      </c>
      <c r="C1844" s="6" t="s">
        <v>66</v>
      </c>
      <c r="D1844" s="6" t="s">
        <v>946</v>
      </c>
      <c r="E1844" s="6" t="s">
        <v>405</v>
      </c>
      <c r="F1844" s="6" t="str">
        <f>IF($M1844="PADD I","PADD 1",IF($M1844="PADD II","PADD 2",IF($M1844="PADD III","PADD 3",IF($M1844="PADD IV","PADD 4",IF($M1844="PADD V","PADD 5","")))))</f>
        <v>PADD 5</v>
      </c>
      <c r="G1844" s="6" t="str">
        <f>IF(AND($H1844="ATMOS DISTILLATION",ISNUMBER(SEARCH("VPS",$I1844))=FALSE,LEFT($I1844,6)&lt;&gt;"VACUUM"),"CDU",IF($H1844="FLUID CAT CRACKING","FCC",IF(OR($H1844="HYDROCRACKING",$H1844="RESID_HYDROCRACKING"),"Hydrocracker",IF($H1844="REFORMING","Reformer",""))))</f>
        <v>Reformer</v>
      </c>
      <c r="H1844" s="6" t="s">
        <v>421</v>
      </c>
      <c r="I1844" s="6" t="s">
        <v>973</v>
      </c>
      <c r="J1844" s="6" t="s">
        <v>345</v>
      </c>
      <c r="K1844" s="10">
        <v>0.54</v>
      </c>
      <c r="L1844" s="10">
        <v>18</v>
      </c>
      <c r="M1844" s="6" t="s">
        <v>386</v>
      </c>
    </row>
    <row r="1845" spans="1:13">
      <c r="A1845" s="6">
        <v>2023</v>
      </c>
      <c r="B1845" s="6">
        <v>8</v>
      </c>
      <c r="C1845" s="6" t="s">
        <v>66</v>
      </c>
      <c r="D1845" s="6" t="s">
        <v>946</v>
      </c>
      <c r="E1845" s="6" t="s">
        <v>405</v>
      </c>
      <c r="F1845" s="6" t="str">
        <f>IF($M1845="PADD I","PADD 1",IF($M1845="PADD II","PADD 2",IF($M1845="PADD III","PADD 3",IF($M1845="PADD IV","PADD 4",IF($M1845="PADD V","PADD 5","")))))</f>
        <v>PADD 5</v>
      </c>
      <c r="G1845" s="6">
        <f>IF(AND($H1845="ATMOS DISTILLATION",ISNUMBER(SEARCH("VPS",$I1845))=FALSE,LEFT($I1845,6)&lt;&gt;"VACUUM"),"CDU",IF($H1845="FLUID CAT CRACKING","FCC",IF(OR($H1845="HYDROCRACKING",$H1845="RESID_HYDROCRACKING"),"Hydrocracker",IF($H1845="REFORMING","Reformer",""))))</f>
        <v/>
      </c>
      <c r="H1845" s="6" t="s">
        <v>568</v>
      </c>
      <c r="I1845" s="6" t="s">
        <v>974</v>
      </c>
      <c r="J1845" s="6" t="s">
        <v>345</v>
      </c>
      <c r="K1845" s="10">
        <v>0.51</v>
      </c>
      <c r="L1845" s="10">
        <v>17</v>
      </c>
      <c r="M1845" s="6" t="s">
        <v>386</v>
      </c>
    </row>
    <row r="1846" spans="1:13">
      <c r="A1846" s="6">
        <v>2023</v>
      </c>
      <c r="B1846" s="6">
        <v>8</v>
      </c>
      <c r="C1846" s="6" t="s">
        <v>66</v>
      </c>
      <c r="D1846" s="6" t="s">
        <v>946</v>
      </c>
      <c r="E1846" s="6" t="s">
        <v>405</v>
      </c>
      <c r="F1846" s="6" t="str">
        <f>IF($M1846="PADD I","PADD 1",IF($M1846="PADD II","PADD 2",IF($M1846="PADD III","PADD 3",IF($M1846="PADD IV","PADD 4",IF($M1846="PADD V","PADD 5","")))))</f>
        <v>PADD 5</v>
      </c>
      <c r="G1846" s="6">
        <f>IF(AND($H1846="ATMOS DISTILLATION",ISNUMBER(SEARCH("VPS",$I1846))=FALSE,LEFT($I1846,6)&lt;&gt;"VACUUM"),"CDU",IF($H1846="FLUID CAT CRACKING","FCC",IF(OR($H1846="HYDROCRACKING",$H1846="RESID_HYDROCRACKING"),"Hydrocracker",IF($H1846="REFORMING","Reformer",""))))</f>
        <v/>
      </c>
      <c r="H1846" s="6" t="s">
        <v>435</v>
      </c>
      <c r="I1846" s="6" t="s">
        <v>975</v>
      </c>
      <c r="J1846" s="6" t="s">
        <v>345</v>
      </c>
      <c r="K1846" s="10">
        <v>0.48</v>
      </c>
      <c r="L1846" s="10">
        <v>16</v>
      </c>
      <c r="M1846" s="6" t="s">
        <v>386</v>
      </c>
    </row>
    <row r="1847" spans="1:13">
      <c r="A1847" s="6">
        <v>2023</v>
      </c>
      <c r="B1847" s="6">
        <v>8</v>
      </c>
      <c r="C1847" s="6" t="s">
        <v>66</v>
      </c>
      <c r="D1847" s="6" t="s">
        <v>934</v>
      </c>
      <c r="E1847" s="6" t="s">
        <v>388</v>
      </c>
      <c r="F1847" s="6" t="str">
        <f>IF($M1847="PADD I","PADD 1",IF($M1847="PADD II","PADD 2",IF($M1847="PADD III","PADD 3",IF($M1847="PADD IV","PADD 4",IF($M1847="PADD V","PADD 5","")))))</f>
        <v>PADD 3</v>
      </c>
      <c r="G1847" s="6">
        <f>IF(AND($H1847="ATMOS DISTILLATION",ISNUMBER(SEARCH("VPS",$I1847))=FALSE,LEFT($I1847,6)&lt;&gt;"VACUUM"),"CDU",IF($H1847="FLUID CAT CRACKING","FCC",IF(OR($H1847="HYDROCRACKING",$H1847="RESID_HYDROCRACKING"),"Hydrocracker",IF($H1847="REFORMING","Reformer",""))))</f>
        <v/>
      </c>
      <c r="H1847" s="6" t="s">
        <v>568</v>
      </c>
      <c r="I1847" s="6" t="s">
        <v>976</v>
      </c>
      <c r="J1847" s="6" t="s">
        <v>345</v>
      </c>
      <c r="K1847" s="10">
        <v>0.325</v>
      </c>
      <c r="L1847" s="10">
        <v>2.5</v>
      </c>
      <c r="M1847" s="6" t="s">
        <v>371</v>
      </c>
    </row>
    <row r="1848" spans="1:13">
      <c r="A1848" s="6">
        <v>2023</v>
      </c>
      <c r="B1848" s="6">
        <v>8</v>
      </c>
      <c r="C1848" s="6" t="s">
        <v>66</v>
      </c>
      <c r="D1848" s="6" t="s">
        <v>718</v>
      </c>
      <c r="E1848" s="6" t="s">
        <v>405</v>
      </c>
      <c r="F1848" s="6" t="str">
        <f>IF($M1848="PADD I","PADD 1",IF($M1848="PADD II","PADD 2",IF($M1848="PADD III","PADD 3",IF($M1848="PADD IV","PADD 4",IF($M1848="PADD V","PADD 5","")))))</f>
        <v>PADD 5</v>
      </c>
      <c r="G1848" s="6" t="str">
        <f>IF(AND($H1848="ATMOS DISTILLATION",ISNUMBER(SEARCH("VPS",$I1848))=FALSE,LEFT($I1848,6)&lt;&gt;"VACUUM"),"CDU",IF($H1848="FLUID CAT CRACKING","FCC",IF(OR($H1848="HYDROCRACKING",$H1848="RESID_HYDROCRACKING"),"Hydrocracker",IF($H1848="REFORMING","Reformer",""))))</f>
        <v>CDU</v>
      </c>
      <c r="H1848" s="6" t="s">
        <v>38</v>
      </c>
      <c r="I1848" s="6" t="s">
        <v>81</v>
      </c>
      <c r="J1848" s="6" t="s">
        <v>345</v>
      </c>
      <c r="K1848" s="10">
        <v>0.18</v>
      </c>
      <c r="L1848" s="10">
        <v>6</v>
      </c>
      <c r="M1848" s="6" t="s">
        <v>386</v>
      </c>
    </row>
    <row r="1849" spans="1:13">
      <c r="A1849" s="6">
        <v>2023</v>
      </c>
      <c r="B1849" s="6">
        <v>8</v>
      </c>
      <c r="C1849" s="6" t="s">
        <v>66</v>
      </c>
      <c r="D1849" s="6" t="s">
        <v>718</v>
      </c>
      <c r="E1849" s="6" t="s">
        <v>405</v>
      </c>
      <c r="F1849" s="6" t="str">
        <f>IF($M1849="PADD I","PADD 1",IF($M1849="PADD II","PADD 2",IF($M1849="PADD III","PADD 3",IF($M1849="PADD IV","PADD 4",IF($M1849="PADD V","PADD 5","")))))</f>
        <v>PADD 5</v>
      </c>
      <c r="G1849" s="6">
        <f>IF(AND($H1849="ATMOS DISTILLATION",ISNUMBER(SEARCH("VPS",$I1849))=FALSE,LEFT($I1849,6)&lt;&gt;"VACUUM"),"CDU",IF($H1849="FLUID CAT CRACKING","FCC",IF(OR($H1849="HYDROCRACKING",$H1849="RESID_HYDROCRACKING"),"Hydrocracker",IF($H1849="REFORMING","Reformer",""))))</f>
        <v/>
      </c>
      <c r="H1849" s="6" t="s">
        <v>378</v>
      </c>
      <c r="I1849" s="6" t="s">
        <v>431</v>
      </c>
      <c r="J1849" s="6" t="s">
        <v>345</v>
      </c>
      <c r="K1849" s="10">
        <v>0.15</v>
      </c>
      <c r="L1849" s="10">
        <v>5</v>
      </c>
      <c r="M1849" s="6" t="s">
        <v>386</v>
      </c>
    </row>
    <row r="1850" spans="1:13">
      <c r="A1850" s="6">
        <v>2023</v>
      </c>
      <c r="B1850" s="6">
        <v>8</v>
      </c>
      <c r="C1850" s="6" t="s">
        <v>66</v>
      </c>
      <c r="D1850" s="6" t="s">
        <v>718</v>
      </c>
      <c r="E1850" s="6" t="s">
        <v>405</v>
      </c>
      <c r="F1850" s="6" t="str">
        <f>IF($M1850="PADD I","PADD 1",IF($M1850="PADD II","PADD 2",IF($M1850="PADD III","PADD 3",IF($M1850="PADD IV","PADD 4",IF($M1850="PADD V","PADD 5","")))))</f>
        <v>PADD 5</v>
      </c>
      <c r="G1850" s="6">
        <f>IF(AND($H1850="ATMOS DISTILLATION",ISNUMBER(SEARCH("VPS",$I1850))=FALSE,LEFT($I1850,6)&lt;&gt;"VACUUM"),"CDU",IF($H1850="FLUID CAT CRACKING","FCC",IF(OR($H1850="HYDROCRACKING",$H1850="RESID_HYDROCRACKING"),"Hydrocracker",IF($H1850="REFORMING","Reformer",""))))</f>
        <v/>
      </c>
      <c r="H1850" s="6" t="s">
        <v>523</v>
      </c>
      <c r="I1850" s="6" t="s">
        <v>524</v>
      </c>
      <c r="J1850" s="6" t="s">
        <v>345</v>
      </c>
      <c r="K1850" s="10">
        <v>0.105</v>
      </c>
      <c r="L1850" s="10">
        <v>3.5</v>
      </c>
      <c r="M1850" s="6" t="s">
        <v>386</v>
      </c>
    </row>
    <row r="1851" spans="1:13">
      <c r="A1851" s="6">
        <v>2023</v>
      </c>
      <c r="B1851" s="6">
        <v>9</v>
      </c>
      <c r="C1851" s="6" t="s">
        <v>67</v>
      </c>
      <c r="D1851" s="6" t="s">
        <v>50</v>
      </c>
      <c r="E1851" s="6" t="s">
        <v>381</v>
      </c>
      <c r="F1851" s="6" t="str">
        <f>IF($M1851="PADD I","PADD 1",IF($M1851="PADD II","PADD 2",IF($M1851="PADD III","PADD 3",IF($M1851="PADD IV","PADD 4",IF($M1851="PADD V","PADD 5","")))))</f>
        <v>PADD 3</v>
      </c>
      <c r="G1851" s="6" t="str">
        <f>IF(AND($H1851="ATMOS DISTILLATION",ISNUMBER(SEARCH("VPS",$I1851))=FALSE,LEFT($I1851,6)&lt;&gt;"VACUUM"),"CDU",IF($H1851="FLUID CAT CRACKING","FCC",IF(OR($H1851="HYDROCRACKING",$H1851="RESID_HYDROCRACKING"),"Hydrocracker",IF($H1851="REFORMING","Reformer",""))))</f>
        <v>CDU</v>
      </c>
      <c r="H1851" s="6" t="s">
        <v>38</v>
      </c>
      <c r="I1851" s="6" t="s">
        <v>769</v>
      </c>
      <c r="J1851" s="6" t="s">
        <v>349</v>
      </c>
      <c r="K1851" s="10">
        <v>135.02</v>
      </c>
      <c r="L1851" s="10">
        <v>314</v>
      </c>
      <c r="M1851" s="6" t="s">
        <v>371</v>
      </c>
    </row>
    <row r="1852" spans="1:13">
      <c r="A1852" s="6">
        <v>2023</v>
      </c>
      <c r="B1852" s="6">
        <v>9</v>
      </c>
      <c r="C1852" s="6" t="s">
        <v>67</v>
      </c>
      <c r="D1852" s="6" t="s">
        <v>801</v>
      </c>
      <c r="E1852" s="6" t="s">
        <v>779</v>
      </c>
      <c r="F1852" s="6" t="str">
        <f>IF($M1852="PADD I","PADD 1",IF($M1852="PADD II","PADD 2",IF($M1852="PADD III","PADD 3",IF($M1852="PADD IV","PADD 4",IF($M1852="PADD V","PADD 5","")))))</f>
        <v>PADD 2</v>
      </c>
      <c r="G1852" s="6" t="str">
        <f>IF(AND($H1852="ATMOS DISTILLATION",ISNUMBER(SEARCH("VPS",$I1852))=FALSE,LEFT($I1852,6)&lt;&gt;"VACUUM"),"CDU",IF($H1852="FLUID CAT CRACKING","FCC",IF(OR($H1852="HYDROCRACKING",$H1852="RESID_HYDROCRACKING"),"Hydrocracker",IF($H1852="REFORMING","Reformer",""))))</f>
        <v>CDU</v>
      </c>
      <c r="H1852" s="6" t="s">
        <v>38</v>
      </c>
      <c r="I1852" s="6" t="s">
        <v>977</v>
      </c>
      <c r="J1852" s="6" t="s">
        <v>349</v>
      </c>
      <c r="K1852" s="10">
        <v>103.95</v>
      </c>
      <c r="L1852" s="10">
        <v>135</v>
      </c>
      <c r="M1852" s="6" t="s">
        <v>375</v>
      </c>
    </row>
    <row r="1853" spans="1:13">
      <c r="A1853" s="6">
        <v>2023</v>
      </c>
      <c r="B1853" s="6">
        <v>9</v>
      </c>
      <c r="C1853" s="6" t="s">
        <v>67</v>
      </c>
      <c r="D1853" s="6" t="s">
        <v>387</v>
      </c>
      <c r="E1853" s="6" t="s">
        <v>388</v>
      </c>
      <c r="F1853" s="6" t="str">
        <f>IF($M1853="PADD I","PADD 1",IF($M1853="PADD II","PADD 2",IF($M1853="PADD III","PADD 3",IF($M1853="PADD IV","PADD 4",IF($M1853="PADD V","PADD 5","")))))</f>
        <v>PADD 3</v>
      </c>
      <c r="G1853" s="6" t="str">
        <f>IF(AND($H1853="ATMOS DISTILLATION",ISNUMBER(SEARCH("VPS",$I1853))=FALSE,LEFT($I1853,6)&lt;&gt;"VACUUM"),"CDU",IF($H1853="FLUID CAT CRACKING","FCC",IF(OR($H1853="HYDROCRACKING",$H1853="RESID_HYDROCRACKING"),"Hydrocracker",IF($H1853="REFORMING","Reformer",""))))</f>
        <v>FCC</v>
      </c>
      <c r="H1853" s="6" t="s">
        <v>376</v>
      </c>
      <c r="I1853" s="6" t="s">
        <v>472</v>
      </c>
      <c r="J1853" s="6" t="s">
        <v>345</v>
      </c>
      <c r="K1853" s="10">
        <v>98</v>
      </c>
      <c r="L1853" s="10">
        <v>140</v>
      </c>
      <c r="M1853" s="6" t="s">
        <v>371</v>
      </c>
    </row>
    <row r="1854" spans="1:13">
      <c r="A1854" s="6">
        <v>2023</v>
      </c>
      <c r="B1854" s="6">
        <v>9</v>
      </c>
      <c r="C1854" s="6" t="s">
        <v>67</v>
      </c>
      <c r="D1854" s="6" t="s">
        <v>408</v>
      </c>
      <c r="E1854" s="6" t="s">
        <v>409</v>
      </c>
      <c r="F1854" s="6" t="str">
        <f>IF($M1854="PADD I","PADD 1",IF($M1854="PADD II","PADD 2",IF($M1854="PADD III","PADD 3",IF($M1854="PADD IV","PADD 4",IF($M1854="PADD V","PADD 5","")))))</f>
        <v>PADD 3</v>
      </c>
      <c r="G1854" s="6" t="str">
        <f>IF(AND($H1854="ATMOS DISTILLATION",ISNUMBER(SEARCH("VPS",$I1854))=FALSE,LEFT($I1854,6)&lt;&gt;"VACUUM"),"CDU",IF($H1854="FLUID CAT CRACKING","FCC",IF(OR($H1854="HYDROCRACKING",$H1854="RESID_HYDROCRACKING"),"Hydrocracker",IF($H1854="REFORMING","Reformer",""))))</f>
        <v>CDU</v>
      </c>
      <c r="H1854" s="6" t="s">
        <v>38</v>
      </c>
      <c r="I1854" s="6" t="s">
        <v>410</v>
      </c>
      <c r="J1854" s="6" t="s">
        <v>345</v>
      </c>
      <c r="K1854" s="10">
        <v>80</v>
      </c>
      <c r="L1854" s="10">
        <v>80</v>
      </c>
      <c r="M1854" s="6" t="s">
        <v>371</v>
      </c>
    </row>
    <row r="1855" spans="1:13">
      <c r="A1855" s="6">
        <v>2023</v>
      </c>
      <c r="B1855" s="6">
        <v>9</v>
      </c>
      <c r="C1855" s="6" t="s">
        <v>67</v>
      </c>
      <c r="D1855" s="6" t="s">
        <v>408</v>
      </c>
      <c r="E1855" s="6" t="s">
        <v>409</v>
      </c>
      <c r="F1855" s="6" t="str">
        <f>IF($M1855="PADD I","PADD 1",IF($M1855="PADD II","PADD 2",IF($M1855="PADD III","PADD 3",IF($M1855="PADD IV","PADD 4",IF($M1855="PADD V","PADD 5","")))))</f>
        <v>PADD 3</v>
      </c>
      <c r="G1855" s="6" t="str">
        <f>IF(AND($H1855="ATMOS DISTILLATION",ISNUMBER(SEARCH("VPS",$I1855))=FALSE,LEFT($I1855,6)&lt;&gt;"VACUUM"),"CDU",IF($H1855="FLUID CAT CRACKING","FCC",IF(OR($H1855="HYDROCRACKING",$H1855="RESID_HYDROCRACKING"),"Hydrocracker",IF($H1855="REFORMING","Reformer",""))))</f>
        <v>CDU</v>
      </c>
      <c r="H1855" s="6" t="s">
        <v>38</v>
      </c>
      <c r="I1855" s="6" t="s">
        <v>410</v>
      </c>
      <c r="J1855" s="6" t="s">
        <v>345</v>
      </c>
      <c r="K1855" s="10">
        <v>79.5</v>
      </c>
      <c r="L1855" s="10">
        <v>150</v>
      </c>
      <c r="M1855" s="6" t="s">
        <v>371</v>
      </c>
    </row>
    <row r="1856" spans="1:13">
      <c r="A1856" s="6">
        <v>2023</v>
      </c>
      <c r="B1856" s="6">
        <v>9</v>
      </c>
      <c r="C1856" s="6" t="s">
        <v>67</v>
      </c>
      <c r="D1856" s="6" t="s">
        <v>380</v>
      </c>
      <c r="E1856" s="6" t="s">
        <v>381</v>
      </c>
      <c r="F1856" s="6" t="str">
        <f>IF($M1856="PADD I","PADD 1",IF($M1856="PADD II","PADD 2",IF($M1856="PADD III","PADD 3",IF($M1856="PADD IV","PADD 4",IF($M1856="PADD V","PADD 5","")))))</f>
        <v>PADD 3</v>
      </c>
      <c r="G1856" s="6" t="str">
        <f>IF(AND($H1856="ATMOS DISTILLATION",ISNUMBER(SEARCH("VPS",$I1856))=FALSE,LEFT($I1856,6)&lt;&gt;"VACUUM"),"CDU",IF($H1856="FLUID CAT CRACKING","FCC",IF(OR($H1856="HYDROCRACKING",$H1856="RESID_HYDROCRACKING"),"Hydrocracker",IF($H1856="REFORMING","Reformer",""))))</f>
        <v>CDU</v>
      </c>
      <c r="H1856" s="6" t="s">
        <v>38</v>
      </c>
      <c r="I1856" s="6" t="s">
        <v>978</v>
      </c>
      <c r="J1856" s="6" t="s">
        <v>349</v>
      </c>
      <c r="K1856" s="10">
        <v>78.3</v>
      </c>
      <c r="L1856" s="10">
        <v>90</v>
      </c>
      <c r="M1856" s="6" t="s">
        <v>371</v>
      </c>
    </row>
    <row r="1857" spans="1:13">
      <c r="A1857" s="6">
        <v>2023</v>
      </c>
      <c r="B1857" s="6">
        <v>9</v>
      </c>
      <c r="C1857" s="6" t="s">
        <v>67</v>
      </c>
      <c r="D1857" s="6" t="s">
        <v>387</v>
      </c>
      <c r="E1857" s="6" t="s">
        <v>388</v>
      </c>
      <c r="F1857" s="6" t="str">
        <f>IF($M1857="PADD I","PADD 1",IF($M1857="PADD II","PADD 2",IF($M1857="PADD III","PADD 3",IF($M1857="PADD IV","PADD 4",IF($M1857="PADD V","PADD 5","")))))</f>
        <v>PADD 3</v>
      </c>
      <c r="G1857" s="6" t="str">
        <f>IF(AND($H1857="ATMOS DISTILLATION",ISNUMBER(SEARCH("VPS",$I1857))=FALSE,LEFT($I1857,6)&lt;&gt;"VACUUM"),"CDU",IF($H1857="FLUID CAT CRACKING","FCC",IF(OR($H1857="HYDROCRACKING",$H1857="RESID_HYDROCRACKING"),"Hydrocracker",IF($H1857="REFORMING","Reformer",""))))</f>
        <v>Reformer</v>
      </c>
      <c r="H1857" s="6" t="s">
        <v>421</v>
      </c>
      <c r="I1857" s="6" t="s">
        <v>443</v>
      </c>
      <c r="J1857" s="6" t="s">
        <v>345</v>
      </c>
      <c r="K1857" s="10">
        <v>77.5</v>
      </c>
      <c r="L1857" s="10">
        <v>77.5</v>
      </c>
      <c r="M1857" s="6" t="s">
        <v>371</v>
      </c>
    </row>
    <row r="1858" spans="1:13">
      <c r="A1858" s="6">
        <v>2023</v>
      </c>
      <c r="B1858" s="6">
        <v>9</v>
      </c>
      <c r="C1858" s="6" t="s">
        <v>67</v>
      </c>
      <c r="D1858" s="6" t="s">
        <v>408</v>
      </c>
      <c r="E1858" s="6" t="s">
        <v>409</v>
      </c>
      <c r="F1858" s="6" t="str">
        <f>IF($M1858="PADD I","PADD 1",IF($M1858="PADD II","PADD 2",IF($M1858="PADD III","PADD 3",IF($M1858="PADD IV","PADD 4",IF($M1858="PADD V","PADD 5","")))))</f>
        <v>PADD 3</v>
      </c>
      <c r="G1858" s="6" t="str">
        <f>IF(AND($H1858="ATMOS DISTILLATION",ISNUMBER(SEARCH("VPS",$I1858))=FALSE,LEFT($I1858,6)&lt;&gt;"VACUUM"),"CDU",IF($H1858="FLUID CAT CRACKING","FCC",IF(OR($H1858="HYDROCRACKING",$H1858="RESID_HYDROCRACKING"),"Hydrocracker",IF($H1858="REFORMING","Reformer",""))))</f>
        <v>FCC</v>
      </c>
      <c r="H1858" s="6" t="s">
        <v>376</v>
      </c>
      <c r="I1858" s="6" t="s">
        <v>426</v>
      </c>
      <c r="J1858" s="6" t="s">
        <v>349</v>
      </c>
      <c r="K1858" s="10">
        <v>76</v>
      </c>
      <c r="L1858" s="10">
        <v>76</v>
      </c>
      <c r="M1858" s="6" t="s">
        <v>371</v>
      </c>
    </row>
    <row r="1859" spans="1:13">
      <c r="A1859" s="6">
        <v>2023</v>
      </c>
      <c r="B1859" s="6">
        <v>9</v>
      </c>
      <c r="C1859" s="6" t="s">
        <v>67</v>
      </c>
      <c r="D1859" s="6" t="s">
        <v>324</v>
      </c>
      <c r="E1859" s="6" t="s">
        <v>388</v>
      </c>
      <c r="F1859" s="6" t="str">
        <f>IF($M1859="PADD I","PADD 1",IF($M1859="PADD II","PADD 2",IF($M1859="PADD III","PADD 3",IF($M1859="PADD IV","PADD 4",IF($M1859="PADD V","PADD 5","")))))</f>
        <v>PADD 3</v>
      </c>
      <c r="G1859" s="6" t="str">
        <f>IF(AND($H1859="ATMOS DISTILLATION",ISNUMBER(SEARCH("VPS",$I1859))=FALSE,LEFT($I1859,6)&lt;&gt;"VACUUM"),"CDU",IF($H1859="FLUID CAT CRACKING","FCC",IF(OR($H1859="HYDROCRACKING",$H1859="RESID_HYDROCRACKING"),"Hydrocracker",IF($H1859="REFORMING","Reformer",""))))</f>
        <v>CDU</v>
      </c>
      <c r="H1859" s="6" t="s">
        <v>38</v>
      </c>
      <c r="I1859" s="6" t="s">
        <v>98</v>
      </c>
      <c r="J1859" s="6" t="s">
        <v>349</v>
      </c>
      <c r="K1859" s="10">
        <v>68.15000000000001</v>
      </c>
      <c r="L1859" s="10">
        <v>145</v>
      </c>
      <c r="M1859" s="6" t="s">
        <v>371</v>
      </c>
    </row>
    <row r="1860" spans="1:13">
      <c r="A1860" s="6">
        <v>2023</v>
      </c>
      <c r="B1860" s="6">
        <v>9</v>
      </c>
      <c r="C1860" s="6" t="s">
        <v>67</v>
      </c>
      <c r="D1860" s="6" t="s">
        <v>801</v>
      </c>
      <c r="E1860" s="6" t="s">
        <v>779</v>
      </c>
      <c r="F1860" s="6" t="str">
        <f>IF($M1860="PADD I","PADD 1",IF($M1860="PADD II","PADD 2",IF($M1860="PADD III","PADD 3",IF($M1860="PADD IV","PADD 4",IF($M1860="PADD V","PADD 5","")))))</f>
        <v>PADD 2</v>
      </c>
      <c r="G1860" s="6" t="str">
        <f>IF(AND($H1860="ATMOS DISTILLATION",ISNUMBER(SEARCH("VPS",$I1860))=FALSE,LEFT($I1860,6)&lt;&gt;"VACUUM"),"CDU",IF($H1860="FLUID CAT CRACKING","FCC",IF(OR($H1860="HYDROCRACKING",$H1860="RESID_HYDROCRACKING"),"Hydrocracker",IF($H1860="REFORMING","Reformer",""))))</f>
        <v>FCC</v>
      </c>
      <c r="H1860" s="6" t="s">
        <v>376</v>
      </c>
      <c r="I1860" s="6" t="s">
        <v>105</v>
      </c>
      <c r="J1860" s="6" t="s">
        <v>349</v>
      </c>
      <c r="K1860" s="10">
        <v>68</v>
      </c>
      <c r="L1860" s="10">
        <v>85</v>
      </c>
      <c r="M1860" s="6" t="s">
        <v>375</v>
      </c>
    </row>
    <row r="1861" spans="1:13">
      <c r="A1861" s="6">
        <v>2023</v>
      </c>
      <c r="B1861" s="6">
        <v>9</v>
      </c>
      <c r="C1861" s="6" t="s">
        <v>67</v>
      </c>
      <c r="D1861" s="6" t="s">
        <v>801</v>
      </c>
      <c r="E1861" s="6" t="s">
        <v>779</v>
      </c>
      <c r="F1861" s="6" t="str">
        <f>IF($M1861="PADD I","PADD 1",IF($M1861="PADD II","PADD 2",IF($M1861="PADD III","PADD 3",IF($M1861="PADD IV","PADD 4",IF($M1861="PADD V","PADD 5","")))))</f>
        <v>PADD 2</v>
      </c>
      <c r="G1861" s="6" t="str">
        <f>IF(AND($H1861="ATMOS DISTILLATION",ISNUMBER(SEARCH("VPS",$I1861))=FALSE,LEFT($I1861,6)&lt;&gt;"VACUUM"),"CDU",IF($H1861="FLUID CAT CRACKING","FCC",IF(OR($H1861="HYDROCRACKING",$H1861="RESID_HYDROCRACKING"),"Hydrocracker",IF($H1861="REFORMING","Reformer",""))))</f>
        <v>CDU</v>
      </c>
      <c r="H1861" s="6" t="s">
        <v>38</v>
      </c>
      <c r="I1861" s="6" t="s">
        <v>979</v>
      </c>
      <c r="J1861" s="6" t="s">
        <v>349</v>
      </c>
      <c r="K1861" s="10">
        <v>63.525</v>
      </c>
      <c r="L1861" s="10">
        <v>82.5</v>
      </c>
      <c r="M1861" s="6" t="s">
        <v>375</v>
      </c>
    </row>
    <row r="1862" spans="1:13">
      <c r="A1862" s="6">
        <v>2023</v>
      </c>
      <c r="B1862" s="6">
        <v>9</v>
      </c>
      <c r="C1862" s="6" t="s">
        <v>67</v>
      </c>
      <c r="D1862" s="6" t="s">
        <v>851</v>
      </c>
      <c r="E1862" s="6" t="s">
        <v>852</v>
      </c>
      <c r="F1862" s="6" t="str">
        <f>IF($M1862="PADD I","PADD 1",IF($M1862="PADD II","PADD 2",IF($M1862="PADD III","PADD 3",IF($M1862="PADD IV","PADD 4",IF($M1862="PADD V","PADD 5","")))))</f>
        <v>PADD 3</v>
      </c>
      <c r="G1862" s="6" t="str">
        <f>IF(AND($H1862="ATMOS DISTILLATION",ISNUMBER(SEARCH("VPS",$I1862))=FALSE,LEFT($I1862,6)&lt;&gt;"VACUUM"),"CDU",IF($H1862="FLUID CAT CRACKING","FCC",IF(OR($H1862="HYDROCRACKING",$H1862="RESID_HYDROCRACKING"),"Hydrocracker",IF($H1862="REFORMING","Reformer",""))))</f>
        <v>CDU</v>
      </c>
      <c r="H1862" s="6" t="s">
        <v>38</v>
      </c>
      <c r="I1862" s="6" t="s">
        <v>854</v>
      </c>
      <c r="J1862" s="6" t="s">
        <v>345</v>
      </c>
      <c r="K1862" s="10">
        <v>63.51</v>
      </c>
      <c r="L1862" s="10">
        <v>73</v>
      </c>
      <c r="M1862" s="6" t="s">
        <v>371</v>
      </c>
    </row>
    <row r="1863" spans="1:13">
      <c r="A1863" s="6">
        <v>2023</v>
      </c>
      <c r="B1863" s="6">
        <v>9</v>
      </c>
      <c r="C1863" s="6" t="s">
        <v>67</v>
      </c>
      <c r="D1863" s="6" t="s">
        <v>542</v>
      </c>
      <c r="E1863" s="6" t="s">
        <v>543</v>
      </c>
      <c r="F1863" s="6" t="str">
        <f>IF($M1863="PADD I","PADD 1",IF($M1863="PADD II","PADD 2",IF($M1863="PADD III","PADD 3",IF($M1863="PADD IV","PADD 4",IF($M1863="PADD V","PADD 5","")))))</f>
        <v>PADD 2</v>
      </c>
      <c r="G1863" s="6" t="str">
        <f>IF(AND($H1863="ATMOS DISTILLATION",ISNUMBER(SEARCH("VPS",$I1863))=FALSE,LEFT($I1863,6)&lt;&gt;"VACUUM"),"CDU",IF($H1863="FLUID CAT CRACKING","FCC",IF(OR($H1863="HYDROCRACKING",$H1863="RESID_HYDROCRACKING"),"Hydrocracker",IF($H1863="REFORMING","Reformer",""))))</f>
        <v>CDU</v>
      </c>
      <c r="H1863" s="6" t="s">
        <v>38</v>
      </c>
      <c r="I1863" s="6" t="s">
        <v>690</v>
      </c>
      <c r="J1863" s="6" t="s">
        <v>349</v>
      </c>
      <c r="K1863" s="10">
        <v>60.3</v>
      </c>
      <c r="L1863" s="10">
        <v>90</v>
      </c>
      <c r="M1863" s="6" t="s">
        <v>375</v>
      </c>
    </row>
    <row r="1864" spans="1:13">
      <c r="A1864" s="6">
        <v>2023</v>
      </c>
      <c r="B1864" s="6">
        <v>9</v>
      </c>
      <c r="C1864" s="6" t="s">
        <v>67</v>
      </c>
      <c r="D1864" s="6" t="s">
        <v>408</v>
      </c>
      <c r="E1864" s="6" t="s">
        <v>409</v>
      </c>
      <c r="F1864" s="6" t="str">
        <f>IF($M1864="PADD I","PADD 1",IF($M1864="PADD II","PADD 2",IF($M1864="PADD III","PADD 3",IF($M1864="PADD IV","PADD 4",IF($M1864="PADD V","PADD 5","")))))</f>
        <v>PADD 3</v>
      </c>
      <c r="G1864" s="6">
        <f>IF(AND($H1864="ATMOS DISTILLATION",ISNUMBER(SEARCH("VPS",$I1864))=FALSE,LEFT($I1864,6)&lt;&gt;"VACUUM"),"CDU",IF($H1864="FLUID CAT CRACKING","FCC",IF(OR($H1864="HYDROCRACKING",$H1864="RESID_HYDROCRACKING"),"Hydrocracker",IF($H1864="REFORMING","Reformer",""))))</f>
        <v/>
      </c>
      <c r="H1864" s="6" t="s">
        <v>378</v>
      </c>
      <c r="I1864" s="6" t="s">
        <v>489</v>
      </c>
      <c r="J1864" s="6" t="s">
        <v>349</v>
      </c>
      <c r="K1864" s="10">
        <v>60</v>
      </c>
      <c r="L1864" s="10">
        <v>60</v>
      </c>
      <c r="M1864" s="6" t="s">
        <v>371</v>
      </c>
    </row>
    <row r="1865" spans="1:13">
      <c r="A1865" s="6">
        <v>2023</v>
      </c>
      <c r="B1865" s="6">
        <v>9</v>
      </c>
      <c r="C1865" s="6" t="s">
        <v>67</v>
      </c>
      <c r="D1865" s="6" t="s">
        <v>878</v>
      </c>
      <c r="E1865" s="6" t="s">
        <v>452</v>
      </c>
      <c r="F1865" s="6" t="str">
        <f>IF($M1865="PADD I","PADD 1",IF($M1865="PADD II","PADD 2",IF($M1865="PADD III","PADD 3",IF($M1865="PADD IV","PADD 4",IF($M1865="PADD V","PADD 5","")))))</f>
        <v>PADD 2</v>
      </c>
      <c r="G1865" s="6" t="str">
        <f>IF(AND($H1865="ATMOS DISTILLATION",ISNUMBER(SEARCH("VPS",$I1865))=FALSE,LEFT($I1865,6)&lt;&gt;"VACUUM"),"CDU",IF($H1865="FLUID CAT CRACKING","FCC",IF(OR($H1865="HYDROCRACKING",$H1865="RESID_HYDROCRACKING"),"Hydrocracker",IF($H1865="REFORMING","Reformer",""))))</f>
        <v>CDU</v>
      </c>
      <c r="H1865" s="6" t="s">
        <v>38</v>
      </c>
      <c r="I1865" s="6" t="s">
        <v>879</v>
      </c>
      <c r="J1865" s="6" t="s">
        <v>349</v>
      </c>
      <c r="K1865" s="10">
        <v>59.5</v>
      </c>
      <c r="L1865" s="10">
        <v>85</v>
      </c>
      <c r="M1865" s="6" t="s">
        <v>375</v>
      </c>
    </row>
    <row r="1866" spans="1:13">
      <c r="A1866" s="6">
        <v>2023</v>
      </c>
      <c r="B1866" s="6">
        <v>9</v>
      </c>
      <c r="C1866" s="6" t="s">
        <v>67</v>
      </c>
      <c r="D1866" s="6" t="s">
        <v>324</v>
      </c>
      <c r="E1866" s="6" t="s">
        <v>388</v>
      </c>
      <c r="F1866" s="6" t="str">
        <f>IF($M1866="PADD I","PADD 1",IF($M1866="PADD II","PADD 2",IF($M1866="PADD III","PADD 3",IF($M1866="PADD IV","PADD 4",IF($M1866="PADD V","PADD 5","")))))</f>
        <v>PADD 3</v>
      </c>
      <c r="G1866" s="6">
        <f>IF(AND($H1866="ATMOS DISTILLATION",ISNUMBER(SEARCH("VPS",$I1866))=FALSE,LEFT($I1866,6)&lt;&gt;"VACUUM"),"CDU",IF($H1866="FLUID CAT CRACKING","FCC",IF(OR($H1866="HYDROCRACKING",$H1866="RESID_HYDROCRACKING"),"Hydrocracker",IF($H1866="REFORMING","Reformer",""))))</f>
        <v/>
      </c>
      <c r="H1866" s="6" t="s">
        <v>378</v>
      </c>
      <c r="I1866" s="6" t="s">
        <v>942</v>
      </c>
      <c r="J1866" s="6" t="s">
        <v>345</v>
      </c>
      <c r="K1866" s="10">
        <v>59.4</v>
      </c>
      <c r="L1866" s="10">
        <v>148.5</v>
      </c>
      <c r="M1866" s="6" t="s">
        <v>371</v>
      </c>
    </row>
    <row r="1867" spans="1:13">
      <c r="A1867" s="6">
        <v>2023</v>
      </c>
      <c r="B1867" s="6">
        <v>9</v>
      </c>
      <c r="C1867" s="6" t="s">
        <v>67</v>
      </c>
      <c r="D1867" s="6" t="s">
        <v>542</v>
      </c>
      <c r="E1867" s="6" t="s">
        <v>543</v>
      </c>
      <c r="F1867" s="6" t="str">
        <f>IF($M1867="PADD I","PADD 1",IF($M1867="PADD II","PADD 2",IF($M1867="PADD III","PADD 3",IF($M1867="PADD IV","PADD 4",IF($M1867="PADD V","PADD 5","")))))</f>
        <v>PADD 2</v>
      </c>
      <c r="G1867" s="6">
        <f>IF(AND($H1867="ATMOS DISTILLATION",ISNUMBER(SEARCH("VPS",$I1867))=FALSE,LEFT($I1867,6)&lt;&gt;"VACUUM"),"CDU",IF($H1867="FLUID CAT CRACKING","FCC",IF(OR($H1867="HYDROCRACKING",$H1867="RESID_HYDROCRACKING"),"Hydrocracker",IF($H1867="REFORMING","Reformer",""))))</f>
        <v/>
      </c>
      <c r="H1867" s="6" t="s">
        <v>43</v>
      </c>
      <c r="I1867" s="6" t="s">
        <v>551</v>
      </c>
      <c r="J1867" s="6" t="s">
        <v>345</v>
      </c>
      <c r="K1867" s="10">
        <v>57</v>
      </c>
      <c r="L1867" s="10">
        <v>100</v>
      </c>
      <c r="M1867" s="6" t="s">
        <v>375</v>
      </c>
    </row>
    <row r="1868" spans="1:13">
      <c r="A1868" s="6">
        <v>2023</v>
      </c>
      <c r="B1868" s="6">
        <v>9</v>
      </c>
      <c r="C1868" s="6" t="s">
        <v>67</v>
      </c>
      <c r="D1868" s="6" t="s">
        <v>542</v>
      </c>
      <c r="E1868" s="6" t="s">
        <v>543</v>
      </c>
      <c r="F1868" s="6" t="str">
        <f>IF($M1868="PADD I","PADD 1",IF($M1868="PADD II","PADD 2",IF($M1868="PADD III","PADD 3",IF($M1868="PADD IV","PADD 4",IF($M1868="PADD V","PADD 5","")))))</f>
        <v>PADD 2</v>
      </c>
      <c r="G1868" s="6">
        <f>IF(AND($H1868="ATMOS DISTILLATION",ISNUMBER(SEARCH("VPS",$I1868))=FALSE,LEFT($I1868,6)&lt;&gt;"VACUUM"),"CDU",IF($H1868="FLUID CAT CRACKING","FCC",IF(OR($H1868="HYDROCRACKING",$H1868="RESID_HYDROCRACKING"),"Hydrocracker",IF($H1868="REFORMING","Reformer",""))))</f>
        <v/>
      </c>
      <c r="H1868" s="6" t="s">
        <v>43</v>
      </c>
      <c r="I1868" s="6" t="s">
        <v>913</v>
      </c>
      <c r="J1868" s="6" t="s">
        <v>349</v>
      </c>
      <c r="K1868" s="10">
        <v>55.65</v>
      </c>
      <c r="L1868" s="10">
        <v>105</v>
      </c>
      <c r="M1868" s="6" t="s">
        <v>375</v>
      </c>
    </row>
    <row r="1869" spans="1:13">
      <c r="A1869" s="6">
        <v>2023</v>
      </c>
      <c r="B1869" s="6">
        <v>9</v>
      </c>
      <c r="C1869" s="6" t="s">
        <v>67</v>
      </c>
      <c r="D1869" s="6" t="s">
        <v>40</v>
      </c>
      <c r="E1869" s="6" t="s">
        <v>736</v>
      </c>
      <c r="F1869" s="6" t="str">
        <f>IF($M1869="PADD I","PADD 1",IF($M1869="PADD II","PADD 2",IF($M1869="PADD III","PADD 3",IF($M1869="PADD IV","PADD 4",IF($M1869="PADD V","PADD 5","")))))</f>
        <v>PADD 1</v>
      </c>
      <c r="G1869" s="6" t="str">
        <f>IF(AND($H1869="ATMOS DISTILLATION",ISNUMBER(SEARCH("VPS",$I1869))=FALSE,LEFT($I1869,6)&lt;&gt;"VACUUM"),"CDU",IF($H1869="FLUID CAT CRACKING","FCC",IF(OR($H1869="HYDROCRACKING",$H1869="RESID_HYDROCRACKING"),"Hydrocracker",IF($H1869="REFORMING","Reformer",""))))</f>
        <v>CDU</v>
      </c>
      <c r="H1869" s="6" t="s">
        <v>38</v>
      </c>
      <c r="I1869" s="6" t="s">
        <v>980</v>
      </c>
      <c r="J1869" s="6" t="s">
        <v>349</v>
      </c>
      <c r="K1869" s="10">
        <v>52.725</v>
      </c>
      <c r="L1869" s="10">
        <v>92.5</v>
      </c>
      <c r="M1869" s="6" t="s">
        <v>413</v>
      </c>
    </row>
    <row r="1870" spans="1:13">
      <c r="A1870" s="6">
        <v>2023</v>
      </c>
      <c r="B1870" s="6">
        <v>9</v>
      </c>
      <c r="C1870" s="6" t="s">
        <v>67</v>
      </c>
      <c r="D1870" s="6" t="s">
        <v>408</v>
      </c>
      <c r="E1870" s="6" t="s">
        <v>409</v>
      </c>
      <c r="F1870" s="6" t="str">
        <f>IF($M1870="PADD I","PADD 1",IF($M1870="PADD II","PADD 2",IF($M1870="PADD III","PADD 3",IF($M1870="PADD IV","PADD 4",IF($M1870="PADD V","PADD 5","")))))</f>
        <v>PADD 3</v>
      </c>
      <c r="G1870" s="6">
        <f>IF(AND($H1870="ATMOS DISTILLATION",ISNUMBER(SEARCH("VPS",$I1870))=FALSE,LEFT($I1870,6)&lt;&gt;"VACUUM"),"CDU",IF($H1870="FLUID CAT CRACKING","FCC",IF(OR($H1870="HYDROCRACKING",$H1870="RESID_HYDROCRACKING"),"Hydrocracker",IF($H1870="REFORMING","Reformer",""))))</f>
        <v/>
      </c>
      <c r="H1870" s="6" t="s">
        <v>378</v>
      </c>
      <c r="I1870" s="6" t="s">
        <v>506</v>
      </c>
      <c r="J1870" s="6" t="s">
        <v>345</v>
      </c>
      <c r="K1870" s="10">
        <v>52</v>
      </c>
      <c r="L1870" s="10">
        <v>52</v>
      </c>
      <c r="M1870" s="6" t="s">
        <v>371</v>
      </c>
    </row>
    <row r="1871" spans="1:13">
      <c r="A1871" s="6">
        <v>2023</v>
      </c>
      <c r="B1871" s="6">
        <v>9</v>
      </c>
      <c r="C1871" s="6" t="s">
        <v>67</v>
      </c>
      <c r="D1871" s="6" t="s">
        <v>415</v>
      </c>
      <c r="E1871" s="6" t="s">
        <v>416</v>
      </c>
      <c r="F1871" s="6" t="str">
        <f>IF($M1871="PADD I","PADD 1",IF($M1871="PADD II","PADD 2",IF($M1871="PADD III","PADD 3",IF($M1871="PADD IV","PADD 4",IF($M1871="PADD V","PADD 5","")))))</f>
        <v>PADD 3</v>
      </c>
      <c r="G1871" s="6">
        <f>IF(AND($H1871="ATMOS DISTILLATION",ISNUMBER(SEARCH("VPS",$I1871))=FALSE,LEFT($I1871,6)&lt;&gt;"VACUUM"),"CDU",IF($H1871="FLUID CAT CRACKING","FCC",IF(OR($H1871="HYDROCRACKING",$H1871="RESID_HYDROCRACKING"),"Hydrocracker",IF($H1871="REFORMING","Reformer",""))))</f>
        <v/>
      </c>
      <c r="H1871" s="6" t="s">
        <v>43</v>
      </c>
      <c r="I1871" s="6" t="s">
        <v>520</v>
      </c>
      <c r="J1871" s="6" t="s">
        <v>349</v>
      </c>
      <c r="K1871" s="10">
        <v>50.35</v>
      </c>
      <c r="L1871" s="10">
        <v>95</v>
      </c>
      <c r="M1871" s="6" t="s">
        <v>371</v>
      </c>
    </row>
    <row r="1872" spans="1:13">
      <c r="A1872" s="6">
        <v>2023</v>
      </c>
      <c r="B1872" s="6">
        <v>9</v>
      </c>
      <c r="C1872" s="6" t="s">
        <v>67</v>
      </c>
      <c r="D1872" s="6" t="s">
        <v>387</v>
      </c>
      <c r="E1872" s="6" t="s">
        <v>388</v>
      </c>
      <c r="F1872" s="6" t="str">
        <f>IF($M1872="PADD I","PADD 1",IF($M1872="PADD II","PADD 2",IF($M1872="PADD III","PADD 3",IF($M1872="PADD IV","PADD 4",IF($M1872="PADD V","PADD 5","")))))</f>
        <v>PADD 3</v>
      </c>
      <c r="G1872" s="6">
        <f>IF(AND($H1872="ATMOS DISTILLATION",ISNUMBER(SEARCH("VPS",$I1872))=FALSE,LEFT($I1872,6)&lt;&gt;"VACUUM"),"CDU",IF($H1872="FLUID CAT CRACKING","FCC",IF(OR($H1872="HYDROCRACKING",$H1872="RESID_HYDROCRACKING"),"Hydrocracker",IF($H1872="REFORMING","Reformer",""))))</f>
        <v/>
      </c>
      <c r="H1872" s="6" t="s">
        <v>43</v>
      </c>
      <c r="I1872" s="6" t="s">
        <v>848</v>
      </c>
      <c r="J1872" s="6" t="s">
        <v>345</v>
      </c>
      <c r="K1872" s="10">
        <v>50</v>
      </c>
      <c r="L1872" s="10">
        <v>50</v>
      </c>
      <c r="M1872" s="6" t="s">
        <v>371</v>
      </c>
    </row>
    <row r="1873" spans="1:13">
      <c r="A1873" s="6">
        <v>2023</v>
      </c>
      <c r="B1873" s="6">
        <v>9</v>
      </c>
      <c r="C1873" s="6" t="s">
        <v>67</v>
      </c>
      <c r="D1873" s="6" t="s">
        <v>415</v>
      </c>
      <c r="E1873" s="6" t="s">
        <v>416</v>
      </c>
      <c r="F1873" s="6" t="str">
        <f>IF($M1873="PADD I","PADD 1",IF($M1873="PADD II","PADD 2",IF($M1873="PADD III","PADD 3",IF($M1873="PADD IV","PADD 4",IF($M1873="PADD V","PADD 5","")))))</f>
        <v>PADD 3</v>
      </c>
      <c r="G1873" s="6">
        <f>IF(AND($H1873="ATMOS DISTILLATION",ISNUMBER(SEARCH("VPS",$I1873))=FALSE,LEFT($I1873,6)&lt;&gt;"VACUUM"),"CDU",IF($H1873="FLUID CAT CRACKING","FCC",IF(OR($H1873="HYDROCRACKING",$H1873="RESID_HYDROCRACKING"),"Hydrocracker",IF($H1873="REFORMING","Reformer",""))))</f>
        <v/>
      </c>
      <c r="H1873" s="6" t="s">
        <v>378</v>
      </c>
      <c r="I1873" s="6" t="s">
        <v>417</v>
      </c>
      <c r="J1873" s="6" t="s">
        <v>345</v>
      </c>
      <c r="K1873" s="10">
        <v>50</v>
      </c>
      <c r="L1873" s="10">
        <v>50</v>
      </c>
      <c r="M1873" s="6" t="s">
        <v>371</v>
      </c>
    </row>
    <row r="1874" spans="1:13">
      <c r="A1874" s="6">
        <v>2023</v>
      </c>
      <c r="B1874" s="6">
        <v>9</v>
      </c>
      <c r="C1874" s="6" t="s">
        <v>67</v>
      </c>
      <c r="D1874" s="6" t="s">
        <v>785</v>
      </c>
      <c r="E1874" s="6" t="s">
        <v>779</v>
      </c>
      <c r="F1874" s="6" t="str">
        <f>IF($M1874="PADD I","PADD 1",IF($M1874="PADD II","PADD 2",IF($M1874="PADD III","PADD 3",IF($M1874="PADD IV","PADD 4",IF($M1874="PADD V","PADD 5","")))))</f>
        <v>PADD 2</v>
      </c>
      <c r="G1874" s="6">
        <f>IF(AND($H1874="ATMOS DISTILLATION",ISNUMBER(SEARCH("VPS",$I1874))=FALSE,LEFT($I1874,6)&lt;&gt;"VACUUM"),"CDU",IF($H1874="FLUID CAT CRACKING","FCC",IF(OR($H1874="HYDROCRACKING",$H1874="RESID_HYDROCRACKING"),"Hydrocracker",IF($H1874="REFORMING","Reformer",""))))</f>
        <v/>
      </c>
      <c r="H1874" s="6" t="s">
        <v>378</v>
      </c>
      <c r="I1874" s="6" t="s">
        <v>786</v>
      </c>
      <c r="J1874" s="6" t="s">
        <v>345</v>
      </c>
      <c r="K1874" s="10">
        <v>47.971</v>
      </c>
      <c r="L1874" s="10">
        <v>62.3</v>
      </c>
      <c r="M1874" s="6" t="s">
        <v>375</v>
      </c>
    </row>
    <row r="1875" spans="1:13">
      <c r="A1875" s="6">
        <v>2023</v>
      </c>
      <c r="B1875" s="6">
        <v>9</v>
      </c>
      <c r="C1875" s="6" t="s">
        <v>67</v>
      </c>
      <c r="D1875" s="6" t="s">
        <v>324</v>
      </c>
      <c r="E1875" s="6" t="s">
        <v>388</v>
      </c>
      <c r="F1875" s="6" t="str">
        <f>IF($M1875="PADD I","PADD 1",IF($M1875="PADD II","PADD 2",IF($M1875="PADD III","PADD 3",IF($M1875="PADD IV","PADD 4",IF($M1875="PADD V","PADD 5","")))))</f>
        <v>PADD 3</v>
      </c>
      <c r="G1875" s="6">
        <f>IF(AND($H1875="ATMOS DISTILLATION",ISNUMBER(SEARCH("VPS",$I1875))=FALSE,LEFT($I1875,6)&lt;&gt;"VACUUM"),"CDU",IF($H1875="FLUID CAT CRACKING","FCC",IF(OR($H1875="HYDROCRACKING",$H1875="RESID_HYDROCRACKING"),"Hydrocracker",IF($H1875="REFORMING","Reformer",""))))</f>
        <v/>
      </c>
      <c r="H1875" s="6" t="s">
        <v>43</v>
      </c>
      <c r="I1875" s="6" t="s">
        <v>948</v>
      </c>
      <c r="J1875" s="6" t="s">
        <v>349</v>
      </c>
      <c r="K1875" s="10">
        <v>47</v>
      </c>
      <c r="L1875" s="10">
        <v>94</v>
      </c>
      <c r="M1875" s="6" t="s">
        <v>371</v>
      </c>
    </row>
    <row r="1876" spans="1:13">
      <c r="A1876" s="6">
        <v>2023</v>
      </c>
      <c r="B1876" s="6">
        <v>9</v>
      </c>
      <c r="C1876" s="6" t="s">
        <v>67</v>
      </c>
      <c r="D1876" s="6" t="s">
        <v>801</v>
      </c>
      <c r="E1876" s="6" t="s">
        <v>779</v>
      </c>
      <c r="F1876" s="6" t="str">
        <f>IF($M1876="PADD I","PADD 1",IF($M1876="PADD II","PADD 2",IF($M1876="PADD III","PADD 3",IF($M1876="PADD IV","PADD 4",IF($M1876="PADD V","PADD 5","")))))</f>
        <v>PADD 2</v>
      </c>
      <c r="G1876" s="6">
        <f>IF(AND($H1876="ATMOS DISTILLATION",ISNUMBER(SEARCH("VPS",$I1876))=FALSE,LEFT($I1876,6)&lt;&gt;"VACUUM"),"CDU",IF($H1876="FLUID CAT CRACKING","FCC",IF(OR($H1876="HYDROCRACKING",$H1876="RESID_HYDROCRACKING"),"Hydrocracker",IF($H1876="REFORMING","Reformer",""))))</f>
        <v/>
      </c>
      <c r="H1876" s="6" t="s">
        <v>43</v>
      </c>
      <c r="I1876" s="6" t="s">
        <v>981</v>
      </c>
      <c r="J1876" s="6" t="s">
        <v>349</v>
      </c>
      <c r="K1876" s="10">
        <v>43.2</v>
      </c>
      <c r="L1876" s="10">
        <v>54</v>
      </c>
      <c r="M1876" s="6" t="s">
        <v>375</v>
      </c>
    </row>
    <row r="1877" spans="1:13">
      <c r="A1877" s="6">
        <v>2023</v>
      </c>
      <c r="B1877" s="6">
        <v>9</v>
      </c>
      <c r="C1877" s="6" t="s">
        <v>67</v>
      </c>
      <c r="D1877" s="6" t="s">
        <v>801</v>
      </c>
      <c r="E1877" s="6" t="s">
        <v>779</v>
      </c>
      <c r="F1877" s="6" t="str">
        <f>IF($M1877="PADD I","PADD 1",IF($M1877="PADD II","PADD 2",IF($M1877="PADD III","PADD 3",IF($M1877="PADD IV","PADD 4",IF($M1877="PADD V","PADD 5","")))))</f>
        <v>PADD 2</v>
      </c>
      <c r="G1877" s="6" t="str">
        <f>IF(AND($H1877="ATMOS DISTILLATION",ISNUMBER(SEARCH("VPS",$I1877))=FALSE,LEFT($I1877,6)&lt;&gt;"VACUUM"),"CDU",IF($H1877="FLUID CAT CRACKING","FCC",IF(OR($H1877="HYDROCRACKING",$H1877="RESID_HYDROCRACKING"),"Hydrocracker",IF($H1877="REFORMING","Reformer",""))))</f>
        <v>CDU</v>
      </c>
      <c r="H1877" s="6" t="s">
        <v>38</v>
      </c>
      <c r="I1877" s="6" t="s">
        <v>982</v>
      </c>
      <c r="J1877" s="6" t="s">
        <v>349</v>
      </c>
      <c r="K1877" s="10">
        <v>42.35</v>
      </c>
      <c r="L1877" s="10">
        <v>55</v>
      </c>
      <c r="M1877" s="6" t="s">
        <v>375</v>
      </c>
    </row>
    <row r="1878" spans="1:13">
      <c r="A1878" s="6">
        <v>2023</v>
      </c>
      <c r="B1878" s="6">
        <v>9</v>
      </c>
      <c r="C1878" s="6" t="s">
        <v>67</v>
      </c>
      <c r="D1878" s="6" t="s">
        <v>576</v>
      </c>
      <c r="E1878" s="6" t="s">
        <v>369</v>
      </c>
      <c r="F1878" s="6" t="str">
        <f>IF($M1878="PADD I","PADD 1",IF($M1878="PADD II","PADD 2",IF($M1878="PADD III","PADD 3",IF($M1878="PADD IV","PADD 4",IF($M1878="PADD V","PADD 5","")))))</f>
        <v>PADD 3</v>
      </c>
      <c r="G1878" s="6">
        <f>IF(AND($H1878="ATMOS DISTILLATION",ISNUMBER(SEARCH("VPS",$I1878))=FALSE,LEFT($I1878,6)&lt;&gt;"VACUUM"),"CDU",IF($H1878="FLUID CAT CRACKING","FCC",IF(OR($H1878="HYDROCRACKING",$H1878="RESID_HYDROCRACKING"),"Hydrocracker",IF($H1878="REFORMING","Reformer",""))))</f>
        <v/>
      </c>
      <c r="H1878" s="6" t="s">
        <v>43</v>
      </c>
      <c r="I1878" s="6" t="s">
        <v>983</v>
      </c>
      <c r="J1878" s="6" t="s">
        <v>349</v>
      </c>
      <c r="K1878" s="10">
        <v>42.35</v>
      </c>
      <c r="L1878" s="10">
        <v>55</v>
      </c>
      <c r="M1878" s="6" t="s">
        <v>371</v>
      </c>
    </row>
    <row r="1879" spans="1:13">
      <c r="A1879" s="6">
        <v>2023</v>
      </c>
      <c r="B1879" s="6">
        <v>9</v>
      </c>
      <c r="C1879" s="6" t="s">
        <v>67</v>
      </c>
      <c r="D1879" s="6" t="s">
        <v>576</v>
      </c>
      <c r="E1879" s="6" t="s">
        <v>369</v>
      </c>
      <c r="F1879" s="6" t="str">
        <f>IF($M1879="PADD I","PADD 1",IF($M1879="PADD II","PADD 2",IF($M1879="PADD III","PADD 3",IF($M1879="PADD IV","PADD 4",IF($M1879="PADD V","PADD 5","")))))</f>
        <v>PADD 3</v>
      </c>
      <c r="G1879" s="6">
        <f>IF(AND($H1879="ATMOS DISTILLATION",ISNUMBER(SEARCH("VPS",$I1879))=FALSE,LEFT($I1879,6)&lt;&gt;"VACUUM"),"CDU",IF($H1879="FLUID CAT CRACKING","FCC",IF(OR($H1879="HYDROCRACKING",$H1879="RESID_HYDROCRACKING"),"Hydrocracker",IF($H1879="REFORMING","Reformer",""))))</f>
        <v/>
      </c>
      <c r="H1879" s="6" t="s">
        <v>435</v>
      </c>
      <c r="I1879" s="6" t="s">
        <v>984</v>
      </c>
      <c r="J1879" s="6" t="s">
        <v>349</v>
      </c>
      <c r="K1879" s="10">
        <v>41.58</v>
      </c>
      <c r="L1879" s="10">
        <v>54</v>
      </c>
      <c r="M1879" s="6" t="s">
        <v>371</v>
      </c>
    </row>
    <row r="1880" spans="1:13">
      <c r="A1880" s="6">
        <v>2023</v>
      </c>
      <c r="B1880" s="6">
        <v>9</v>
      </c>
      <c r="C1880" s="6" t="s">
        <v>67</v>
      </c>
      <c r="D1880" s="6" t="s">
        <v>319</v>
      </c>
      <c r="E1880" s="6" t="s">
        <v>665</v>
      </c>
      <c r="F1880" s="6" t="str">
        <f>IF($M1880="PADD I","PADD 1",IF($M1880="PADD II","PADD 2",IF($M1880="PADD III","PADD 3",IF($M1880="PADD IV","PADD 4",IF($M1880="PADD V","PADD 5","")))))</f>
        <v>PADD 3</v>
      </c>
      <c r="G1880" s="6" t="str">
        <f>IF(AND($H1880="ATMOS DISTILLATION",ISNUMBER(SEARCH("VPS",$I1880))=FALSE,LEFT($I1880,6)&lt;&gt;"VACUUM"),"CDU",IF($H1880="FLUID CAT CRACKING","FCC",IF(OR($H1880="HYDROCRACKING",$H1880="RESID_HYDROCRACKING"),"Hydrocracker",IF($H1880="REFORMING","Reformer",""))))</f>
        <v>CDU</v>
      </c>
      <c r="H1880" s="6" t="s">
        <v>38</v>
      </c>
      <c r="I1880" s="6" t="s">
        <v>86</v>
      </c>
      <c r="J1880" s="6" t="s">
        <v>349</v>
      </c>
      <c r="K1880" s="10">
        <v>40.8</v>
      </c>
      <c r="L1880" s="10">
        <v>240</v>
      </c>
      <c r="M1880" s="6" t="s">
        <v>371</v>
      </c>
    </row>
    <row r="1881" spans="1:13">
      <c r="A1881" s="6">
        <v>2023</v>
      </c>
      <c r="B1881" s="6">
        <v>9</v>
      </c>
      <c r="C1881" s="6" t="s">
        <v>67</v>
      </c>
      <c r="D1881" s="6" t="s">
        <v>985</v>
      </c>
      <c r="E1881" s="6" t="s">
        <v>543</v>
      </c>
      <c r="F1881" s="6" t="str">
        <f>IF($M1881="PADD I","PADD 1",IF($M1881="PADD II","PADD 2",IF($M1881="PADD III","PADD 3",IF($M1881="PADD IV","PADD 4",IF($M1881="PADD V","PADD 5","")))))</f>
        <v>PADD 2</v>
      </c>
      <c r="G1881" s="6">
        <f>IF(AND($H1881="ATMOS DISTILLATION",ISNUMBER(SEARCH("VPS",$I1881))=FALSE,LEFT($I1881,6)&lt;&gt;"VACUUM"),"CDU",IF($H1881="FLUID CAT CRACKING","FCC",IF(OR($H1881="HYDROCRACKING",$H1881="RESID_HYDROCRACKING"),"Hydrocracker",IF($H1881="REFORMING","Reformer",""))))</f>
        <v/>
      </c>
      <c r="H1881" s="6" t="s">
        <v>378</v>
      </c>
      <c r="I1881" s="6" t="s">
        <v>786</v>
      </c>
      <c r="J1881" s="6" t="s">
        <v>345</v>
      </c>
      <c r="K1881" s="10">
        <v>40.4211</v>
      </c>
      <c r="L1881" s="10">
        <v>60.33</v>
      </c>
      <c r="M1881" s="6" t="s">
        <v>375</v>
      </c>
    </row>
    <row r="1882" spans="1:13">
      <c r="A1882" s="6">
        <v>2023</v>
      </c>
      <c r="B1882" s="6">
        <v>9</v>
      </c>
      <c r="C1882" s="6" t="s">
        <v>67</v>
      </c>
      <c r="D1882" s="6" t="s">
        <v>801</v>
      </c>
      <c r="E1882" s="6" t="s">
        <v>779</v>
      </c>
      <c r="F1882" s="6" t="str">
        <f>IF($M1882="PADD I","PADD 1",IF($M1882="PADD II","PADD 2",IF($M1882="PADD III","PADD 3",IF($M1882="PADD IV","PADD 4",IF($M1882="PADD V","PADD 5","")))))</f>
        <v>PADD 2</v>
      </c>
      <c r="G1882" s="6">
        <f>IF(AND($H1882="ATMOS DISTILLATION",ISNUMBER(SEARCH("VPS",$I1882))=FALSE,LEFT($I1882,6)&lt;&gt;"VACUUM"),"CDU",IF($H1882="FLUID CAT CRACKING","FCC",IF(OR($H1882="HYDROCRACKING",$H1882="RESID_HYDROCRACKING"),"Hydrocracker",IF($H1882="REFORMING","Reformer",""))))</f>
        <v/>
      </c>
      <c r="H1882" s="6" t="s">
        <v>43</v>
      </c>
      <c r="I1882" s="6" t="s">
        <v>759</v>
      </c>
      <c r="J1882" s="6" t="s">
        <v>349</v>
      </c>
      <c r="K1882" s="10">
        <v>40</v>
      </c>
      <c r="L1882" s="10">
        <v>50</v>
      </c>
      <c r="M1882" s="6" t="s">
        <v>375</v>
      </c>
    </row>
    <row r="1883" spans="1:13">
      <c r="A1883" s="6">
        <v>2023</v>
      </c>
      <c r="B1883" s="6">
        <v>9</v>
      </c>
      <c r="C1883" s="6" t="s">
        <v>67</v>
      </c>
      <c r="D1883" s="6" t="s">
        <v>408</v>
      </c>
      <c r="E1883" s="6" t="s">
        <v>409</v>
      </c>
      <c r="F1883" s="6" t="str">
        <f>IF($M1883="PADD I","PADD 1",IF($M1883="PADD II","PADD 2",IF($M1883="PADD III","PADD 3",IF($M1883="PADD IV","PADD 4",IF($M1883="PADD V","PADD 5","")))))</f>
        <v>PADD 3</v>
      </c>
      <c r="G1883" s="6" t="str">
        <f>IF(AND($H1883="ATMOS DISTILLATION",ISNUMBER(SEARCH("VPS",$I1883))=FALSE,LEFT($I1883,6)&lt;&gt;"VACUUM"),"CDU",IF($H1883="FLUID CAT CRACKING","FCC",IF(OR($H1883="HYDROCRACKING",$H1883="RESID_HYDROCRACKING"),"Hydrocracker",IF($H1883="REFORMING","Reformer",""))))</f>
        <v>CDU</v>
      </c>
      <c r="H1883" s="6" t="s">
        <v>38</v>
      </c>
      <c r="I1883" s="6" t="s">
        <v>522</v>
      </c>
      <c r="J1883" s="6" t="s">
        <v>349</v>
      </c>
      <c r="K1883" s="10">
        <v>40</v>
      </c>
      <c r="L1883" s="10">
        <v>40</v>
      </c>
      <c r="M1883" s="6" t="s">
        <v>371</v>
      </c>
    </row>
    <row r="1884" spans="1:13">
      <c r="A1884" s="6">
        <v>2023</v>
      </c>
      <c r="B1884" s="6">
        <v>9</v>
      </c>
      <c r="C1884" s="6" t="s">
        <v>67</v>
      </c>
      <c r="D1884" s="6" t="s">
        <v>380</v>
      </c>
      <c r="E1884" s="6" t="s">
        <v>381</v>
      </c>
      <c r="F1884" s="6" t="str">
        <f>IF($M1884="PADD I","PADD 1",IF($M1884="PADD II","PADD 2",IF($M1884="PADD III","PADD 3",IF($M1884="PADD IV","PADD 4",IF($M1884="PADD V","PADD 5","")))))</f>
        <v>PADD 3</v>
      </c>
      <c r="G1884" s="6">
        <f>IF(AND($H1884="ATMOS DISTILLATION",ISNUMBER(SEARCH("VPS",$I1884))=FALSE,LEFT($I1884,6)&lt;&gt;"VACUUM"),"CDU",IF($H1884="FLUID CAT CRACKING","FCC",IF(OR($H1884="HYDROCRACKING",$H1884="RESID_HYDROCRACKING"),"Hydrocracker",IF($H1884="REFORMING","Reformer",""))))</f>
        <v/>
      </c>
      <c r="H1884" s="6" t="s">
        <v>435</v>
      </c>
      <c r="I1884" s="6" t="s">
        <v>986</v>
      </c>
      <c r="J1884" s="6" t="s">
        <v>349</v>
      </c>
      <c r="K1884" s="10">
        <v>39.15</v>
      </c>
      <c r="L1884" s="10">
        <v>45</v>
      </c>
      <c r="M1884" s="6" t="s">
        <v>371</v>
      </c>
    </row>
    <row r="1885" spans="1:13">
      <c r="A1885" s="6">
        <v>2023</v>
      </c>
      <c r="B1885" s="6">
        <v>9</v>
      </c>
      <c r="C1885" s="6" t="s">
        <v>67</v>
      </c>
      <c r="D1885" s="6" t="s">
        <v>380</v>
      </c>
      <c r="E1885" s="6" t="s">
        <v>381</v>
      </c>
      <c r="F1885" s="6" t="str">
        <f>IF($M1885="PADD I","PADD 1",IF($M1885="PADD II","PADD 2",IF($M1885="PADD III","PADD 3",IF($M1885="PADD IV","PADD 4",IF($M1885="PADD V","PADD 5","")))))</f>
        <v>PADD 3</v>
      </c>
      <c r="G1885" s="6">
        <f>IF(AND($H1885="ATMOS DISTILLATION",ISNUMBER(SEARCH("VPS",$I1885))=FALSE,LEFT($I1885,6)&lt;&gt;"VACUUM"),"CDU",IF($H1885="FLUID CAT CRACKING","FCC",IF(OR($H1885="HYDROCRACKING",$H1885="RESID_HYDROCRACKING"),"Hydrocracker",IF($H1885="REFORMING","Reformer",""))))</f>
        <v/>
      </c>
      <c r="H1885" s="6" t="s">
        <v>378</v>
      </c>
      <c r="I1885" s="6" t="s">
        <v>987</v>
      </c>
      <c r="J1885" s="6" t="s">
        <v>345</v>
      </c>
      <c r="K1885" s="10">
        <v>38.28</v>
      </c>
      <c r="L1885" s="10">
        <v>44</v>
      </c>
      <c r="M1885" s="6" t="s">
        <v>371</v>
      </c>
    </row>
    <row r="1886" spans="1:13">
      <c r="A1886" s="6">
        <v>2023</v>
      </c>
      <c r="B1886" s="6">
        <v>9</v>
      </c>
      <c r="C1886" s="6" t="s">
        <v>67</v>
      </c>
      <c r="D1886" s="6" t="s">
        <v>801</v>
      </c>
      <c r="E1886" s="6" t="s">
        <v>779</v>
      </c>
      <c r="F1886" s="6" t="str">
        <f>IF($M1886="PADD I","PADD 1",IF($M1886="PADD II","PADD 2",IF($M1886="PADD III","PADD 3",IF($M1886="PADD IV","PADD 4",IF($M1886="PADD V","PADD 5","")))))</f>
        <v>PADD 2</v>
      </c>
      <c r="G1886" s="6">
        <f>IF(AND($H1886="ATMOS DISTILLATION",ISNUMBER(SEARCH("VPS",$I1886))=FALSE,LEFT($I1886,6)&lt;&gt;"VACUUM"),"CDU",IF($H1886="FLUID CAT CRACKING","FCC",IF(OR($H1886="HYDROCRACKING",$H1886="RESID_HYDROCRACKING"),"Hydrocracker",IF($H1886="REFORMING","Reformer",""))))</f>
        <v/>
      </c>
      <c r="H1886" s="6" t="s">
        <v>43</v>
      </c>
      <c r="I1886" s="6" t="s">
        <v>988</v>
      </c>
      <c r="J1886" s="6" t="s">
        <v>349</v>
      </c>
      <c r="K1886" s="10">
        <v>37.6</v>
      </c>
      <c r="L1886" s="10">
        <v>47</v>
      </c>
      <c r="M1886" s="6" t="s">
        <v>375</v>
      </c>
    </row>
    <row r="1887" spans="1:13">
      <c r="A1887" s="6">
        <v>2023</v>
      </c>
      <c r="B1887" s="6">
        <v>9</v>
      </c>
      <c r="C1887" s="6" t="s">
        <v>67</v>
      </c>
      <c r="D1887" s="6" t="s">
        <v>40</v>
      </c>
      <c r="E1887" s="6" t="s">
        <v>736</v>
      </c>
      <c r="F1887" s="6" t="str">
        <f>IF($M1887="PADD I","PADD 1",IF($M1887="PADD II","PADD 2",IF($M1887="PADD III","PADD 3",IF($M1887="PADD IV","PADD 4",IF($M1887="PADD V","PADD 5","")))))</f>
        <v>PADD 1</v>
      </c>
      <c r="G1887" s="6" t="str">
        <f>IF(AND($H1887="ATMOS DISTILLATION",ISNUMBER(SEARCH("VPS",$I1887))=FALSE,LEFT($I1887,6)&lt;&gt;"VACUUM"),"CDU",IF($H1887="FLUID CAT CRACKING","FCC",IF(OR($H1887="HYDROCRACKING",$H1887="RESID_HYDROCRACKING"),"Hydrocracker",IF($H1887="REFORMING","Reformer",""))))</f>
        <v>CDU</v>
      </c>
      <c r="H1887" s="6" t="s">
        <v>38</v>
      </c>
      <c r="I1887" s="6" t="s">
        <v>989</v>
      </c>
      <c r="J1887" s="6" t="s">
        <v>349</v>
      </c>
      <c r="K1887" s="10">
        <v>37</v>
      </c>
      <c r="L1887" s="10">
        <v>92.5</v>
      </c>
      <c r="M1887" s="6" t="s">
        <v>413</v>
      </c>
    </row>
    <row r="1888" spans="1:13">
      <c r="A1888" s="6">
        <v>2023</v>
      </c>
      <c r="B1888" s="6">
        <v>9</v>
      </c>
      <c r="C1888" s="6" t="s">
        <v>67</v>
      </c>
      <c r="D1888" s="6" t="s">
        <v>40</v>
      </c>
      <c r="E1888" s="6" t="s">
        <v>736</v>
      </c>
      <c r="F1888" s="6" t="str">
        <f>IF($M1888="PADD I","PADD 1",IF($M1888="PADD II","PADD 2",IF($M1888="PADD III","PADD 3",IF($M1888="PADD IV","PADD 4",IF($M1888="PADD V","PADD 5","")))))</f>
        <v>PADD 1</v>
      </c>
      <c r="G1888" s="6" t="str">
        <f>IF(AND($H1888="ATMOS DISTILLATION",ISNUMBER(SEARCH("VPS",$I1888))=FALSE,LEFT($I1888,6)&lt;&gt;"VACUUM"),"CDU",IF($H1888="FLUID CAT CRACKING","FCC",IF(OR($H1888="HYDROCRACKING",$H1888="RESID_HYDROCRACKING"),"Hydrocracker",IF($H1888="REFORMING","Reformer",""))))</f>
        <v>FCC</v>
      </c>
      <c r="H1888" s="6" t="s">
        <v>376</v>
      </c>
      <c r="I1888" s="6" t="s">
        <v>737</v>
      </c>
      <c r="J1888" s="6" t="s">
        <v>349</v>
      </c>
      <c r="K1888" s="10">
        <v>36.04</v>
      </c>
      <c r="L1888" s="10">
        <v>68</v>
      </c>
      <c r="M1888" s="6" t="s">
        <v>413</v>
      </c>
    </row>
    <row r="1889" spans="1:13">
      <c r="A1889" s="6">
        <v>2023</v>
      </c>
      <c r="B1889" s="6">
        <v>9</v>
      </c>
      <c r="C1889" s="6" t="s">
        <v>67</v>
      </c>
      <c r="D1889" s="6" t="s">
        <v>801</v>
      </c>
      <c r="E1889" s="6" t="s">
        <v>779</v>
      </c>
      <c r="F1889" s="6" t="str">
        <f>IF($M1889="PADD I","PADD 1",IF($M1889="PADD II","PADD 2",IF($M1889="PADD III","PADD 3",IF($M1889="PADD IV","PADD 4",IF($M1889="PADD V","PADD 5","")))))</f>
        <v>PADD 2</v>
      </c>
      <c r="G1889" s="6">
        <f>IF(AND($H1889="ATMOS DISTILLATION",ISNUMBER(SEARCH("VPS",$I1889))=FALSE,LEFT($I1889,6)&lt;&gt;"VACUUM"),"CDU",IF($H1889="FLUID CAT CRACKING","FCC",IF(OR($H1889="HYDROCRACKING",$H1889="RESID_HYDROCRACKING"),"Hydrocracker",IF($H1889="REFORMING","Reformer",""))))</f>
        <v/>
      </c>
      <c r="H1889" s="6" t="s">
        <v>43</v>
      </c>
      <c r="I1889" s="6" t="s">
        <v>990</v>
      </c>
      <c r="J1889" s="6" t="s">
        <v>349</v>
      </c>
      <c r="K1889" s="10">
        <v>36</v>
      </c>
      <c r="L1889" s="10">
        <v>45</v>
      </c>
      <c r="M1889" s="6" t="s">
        <v>375</v>
      </c>
    </row>
    <row r="1890" spans="1:13">
      <c r="A1890" s="6">
        <v>2023</v>
      </c>
      <c r="B1890" s="6">
        <v>9</v>
      </c>
      <c r="C1890" s="6" t="s">
        <v>67</v>
      </c>
      <c r="D1890" s="6" t="s">
        <v>801</v>
      </c>
      <c r="E1890" s="6" t="s">
        <v>779</v>
      </c>
      <c r="F1890" s="6" t="str">
        <f>IF($M1890="PADD I","PADD 1",IF($M1890="PADD II","PADD 2",IF($M1890="PADD III","PADD 3",IF($M1890="PADD IV","PADD 4",IF($M1890="PADD V","PADD 5","")))))</f>
        <v>PADD 2</v>
      </c>
      <c r="G1890" s="6">
        <f>IF(AND($H1890="ATMOS DISTILLATION",ISNUMBER(SEARCH("VPS",$I1890))=FALSE,LEFT($I1890,6)&lt;&gt;"VACUUM"),"CDU",IF($H1890="FLUID CAT CRACKING","FCC",IF(OR($H1890="HYDROCRACKING",$H1890="RESID_HYDROCRACKING"),"Hydrocracker",IF($H1890="REFORMING","Reformer",""))))</f>
        <v/>
      </c>
      <c r="H1890" s="6" t="s">
        <v>43</v>
      </c>
      <c r="I1890" s="6" t="s">
        <v>991</v>
      </c>
      <c r="J1890" s="6" t="s">
        <v>349</v>
      </c>
      <c r="K1890" s="10">
        <v>36</v>
      </c>
      <c r="L1890" s="10">
        <v>45</v>
      </c>
      <c r="M1890" s="6" t="s">
        <v>375</v>
      </c>
    </row>
    <row r="1891" spans="1:13">
      <c r="A1891" s="6">
        <v>2023</v>
      </c>
      <c r="B1891" s="6">
        <v>9</v>
      </c>
      <c r="C1891" s="6" t="s">
        <v>67</v>
      </c>
      <c r="D1891" s="6" t="s">
        <v>801</v>
      </c>
      <c r="E1891" s="6" t="s">
        <v>779</v>
      </c>
      <c r="F1891" s="6" t="str">
        <f>IF($M1891="PADD I","PADD 1",IF($M1891="PADD II","PADD 2",IF($M1891="PADD III","PADD 3",IF($M1891="PADD IV","PADD 4",IF($M1891="PADD V","PADD 5","")))))</f>
        <v>PADD 2</v>
      </c>
      <c r="G1891" s="6" t="str">
        <f>IF(AND($H1891="ATMOS DISTILLATION",ISNUMBER(SEARCH("VPS",$I1891))=FALSE,LEFT($I1891,6)&lt;&gt;"VACUUM"),"CDU",IF($H1891="FLUID CAT CRACKING","FCC",IF(OR($H1891="HYDROCRACKING",$H1891="RESID_HYDROCRACKING"),"Hydrocracker",IF($H1891="REFORMING","Reformer",""))))</f>
        <v>Hydrocracker</v>
      </c>
      <c r="H1891" s="6" t="s">
        <v>444</v>
      </c>
      <c r="I1891" s="6" t="s">
        <v>992</v>
      </c>
      <c r="J1891" s="6" t="s">
        <v>349</v>
      </c>
      <c r="K1891" s="10">
        <v>35.2</v>
      </c>
      <c r="L1891" s="10">
        <v>44</v>
      </c>
      <c r="M1891" s="6" t="s">
        <v>375</v>
      </c>
    </row>
    <row r="1892" spans="1:13">
      <c r="A1892" s="6">
        <v>2023</v>
      </c>
      <c r="B1892" s="6">
        <v>9</v>
      </c>
      <c r="C1892" s="6" t="s">
        <v>67</v>
      </c>
      <c r="D1892" s="6" t="s">
        <v>602</v>
      </c>
      <c r="E1892" s="6" t="s">
        <v>369</v>
      </c>
      <c r="F1892" s="6" t="str">
        <f>IF($M1892="PADD I","PADD 1",IF($M1892="PADD II","PADD 2",IF($M1892="PADD III","PADD 3",IF($M1892="PADD IV","PADD 4",IF($M1892="PADD V","PADD 5","")))))</f>
        <v>PADD 2</v>
      </c>
      <c r="G1892" s="6">
        <f>IF(AND($H1892="ATMOS DISTILLATION",ISNUMBER(SEARCH("VPS",$I1892))=FALSE,LEFT($I1892,6)&lt;&gt;"VACUUM"),"CDU",IF($H1892="FLUID CAT CRACKING","FCC",IF(OR($H1892="HYDROCRACKING",$H1892="RESID_HYDROCRACKING"),"Hydrocracker",IF($H1892="REFORMING","Reformer",""))))</f>
        <v/>
      </c>
      <c r="H1892" s="6" t="s">
        <v>43</v>
      </c>
      <c r="I1892" s="6" t="s">
        <v>993</v>
      </c>
      <c r="J1892" s="6" t="s">
        <v>349</v>
      </c>
      <c r="K1892" s="10">
        <v>35</v>
      </c>
      <c r="L1892" s="10">
        <v>35</v>
      </c>
      <c r="M1892" s="6" t="s">
        <v>375</v>
      </c>
    </row>
    <row r="1893" spans="1:13">
      <c r="A1893" s="6">
        <v>2023</v>
      </c>
      <c r="B1893" s="6">
        <v>9</v>
      </c>
      <c r="C1893" s="6" t="s">
        <v>67</v>
      </c>
      <c r="D1893" s="6" t="s">
        <v>446</v>
      </c>
      <c r="E1893" s="6" t="s">
        <v>391</v>
      </c>
      <c r="F1893" s="6" t="str">
        <f>IF($M1893="PADD I","PADD 1",IF($M1893="PADD II","PADD 2",IF($M1893="PADD III","PADD 3",IF($M1893="PADD IV","PADD 4",IF($M1893="PADD V","PADD 5","")))))</f>
        <v>PADD 3</v>
      </c>
      <c r="G1893" s="6">
        <f>IF(AND($H1893="ATMOS DISTILLATION",ISNUMBER(SEARCH("VPS",$I1893))=FALSE,LEFT($I1893,6)&lt;&gt;"VACUUM"),"CDU",IF($H1893="FLUID CAT CRACKING","FCC",IF(OR($H1893="HYDROCRACKING",$H1893="RESID_HYDROCRACKING"),"Hydrocracker",IF($H1893="REFORMING","Reformer",""))))</f>
        <v/>
      </c>
      <c r="H1893" s="6" t="s">
        <v>43</v>
      </c>
      <c r="I1893" s="6" t="s">
        <v>447</v>
      </c>
      <c r="J1893" s="6" t="s">
        <v>349</v>
      </c>
      <c r="K1893" s="10">
        <v>35</v>
      </c>
      <c r="L1893" s="10">
        <v>35</v>
      </c>
      <c r="M1893" s="6" t="s">
        <v>371</v>
      </c>
    </row>
    <row r="1894" spans="1:13">
      <c r="A1894" s="6">
        <v>2023</v>
      </c>
      <c r="B1894" s="6">
        <v>9</v>
      </c>
      <c r="C1894" s="6" t="s">
        <v>67</v>
      </c>
      <c r="D1894" s="6" t="s">
        <v>448</v>
      </c>
      <c r="E1894" s="6" t="s">
        <v>391</v>
      </c>
      <c r="F1894" s="6" t="str">
        <f>IF($M1894="PADD I","PADD 1",IF($M1894="PADD II","PADD 2",IF($M1894="PADD III","PADD 3",IF($M1894="PADD IV","PADD 4",IF($M1894="PADD V","PADD 5","")))))</f>
        <v>PADD 3</v>
      </c>
      <c r="G1894" s="6">
        <f>IF(AND($H1894="ATMOS DISTILLATION",ISNUMBER(SEARCH("VPS",$I1894))=FALSE,LEFT($I1894,6)&lt;&gt;"VACUUM"),"CDU",IF($H1894="FLUID CAT CRACKING","FCC",IF(OR($H1894="HYDROCRACKING",$H1894="RESID_HYDROCRACKING"),"Hydrocracker",IF($H1894="REFORMING","Reformer",""))))</f>
        <v/>
      </c>
      <c r="H1894" s="6" t="s">
        <v>43</v>
      </c>
      <c r="I1894" s="6" t="s">
        <v>449</v>
      </c>
      <c r="J1894" s="6" t="s">
        <v>345</v>
      </c>
      <c r="K1894" s="10">
        <v>35</v>
      </c>
      <c r="L1894" s="10">
        <v>35</v>
      </c>
      <c r="M1894" s="6" t="s">
        <v>371</v>
      </c>
    </row>
    <row r="1895" spans="1:13">
      <c r="A1895" s="6">
        <v>2023</v>
      </c>
      <c r="B1895" s="6">
        <v>9</v>
      </c>
      <c r="C1895" s="6" t="s">
        <v>67</v>
      </c>
      <c r="D1895" s="6" t="s">
        <v>531</v>
      </c>
      <c r="E1895" s="6" t="s">
        <v>532</v>
      </c>
      <c r="F1895" s="6" t="str">
        <f>IF($M1895="PADD I","PADD 1",IF($M1895="PADD II","PADD 2",IF($M1895="PADD III","PADD 3",IF($M1895="PADD IV","PADD 4",IF($M1895="PADD V","PADD 5","")))))</f>
        <v>PADD 5</v>
      </c>
      <c r="G1895" s="6">
        <f>IF(AND($H1895="ATMOS DISTILLATION",ISNUMBER(SEARCH("VPS",$I1895))=FALSE,LEFT($I1895,6)&lt;&gt;"VACUUM"),"CDU",IF($H1895="FLUID CAT CRACKING","FCC",IF(OR($H1895="HYDROCRACKING",$H1895="RESID_HYDROCRACKING"),"Hydrocracker",IF($H1895="REFORMING","Reformer",""))))</f>
        <v/>
      </c>
      <c r="H1895" s="6" t="s">
        <v>43</v>
      </c>
      <c r="I1895" s="6" t="s">
        <v>567</v>
      </c>
      <c r="J1895" s="6" t="s">
        <v>349</v>
      </c>
      <c r="K1895" s="10">
        <v>34.65</v>
      </c>
      <c r="L1895" s="10">
        <v>105</v>
      </c>
      <c r="M1895" s="6" t="s">
        <v>386</v>
      </c>
    </row>
    <row r="1896" spans="1:13">
      <c r="A1896" s="6">
        <v>2023</v>
      </c>
      <c r="B1896" s="6">
        <v>9</v>
      </c>
      <c r="C1896" s="6" t="s">
        <v>67</v>
      </c>
      <c r="D1896" s="6" t="s">
        <v>40</v>
      </c>
      <c r="E1896" s="6" t="s">
        <v>736</v>
      </c>
      <c r="F1896" s="6" t="str">
        <f>IF($M1896="PADD I","PADD 1",IF($M1896="PADD II","PADD 2",IF($M1896="PADD III","PADD 3",IF($M1896="PADD IV","PADD 4",IF($M1896="PADD V","PADD 5","")))))</f>
        <v>PADD 1</v>
      </c>
      <c r="G1896" s="6">
        <f>IF(AND($H1896="ATMOS DISTILLATION",ISNUMBER(SEARCH("VPS",$I1896))=FALSE,LEFT($I1896,6)&lt;&gt;"VACUUM"),"CDU",IF($H1896="FLUID CAT CRACKING","FCC",IF(OR($H1896="HYDROCRACKING",$H1896="RESID_HYDROCRACKING"),"Hydrocracker",IF($H1896="REFORMING","Reformer",""))))</f>
        <v/>
      </c>
      <c r="H1896" s="6" t="s">
        <v>43</v>
      </c>
      <c r="I1896" s="6" t="s">
        <v>994</v>
      </c>
      <c r="J1896" s="6" t="s">
        <v>349</v>
      </c>
      <c r="K1896" s="10">
        <v>34.45</v>
      </c>
      <c r="L1896" s="10">
        <v>65</v>
      </c>
      <c r="M1896" s="6" t="s">
        <v>413</v>
      </c>
    </row>
    <row r="1897" spans="1:13">
      <c r="A1897" s="6">
        <v>2023</v>
      </c>
      <c r="B1897" s="6">
        <v>9</v>
      </c>
      <c r="C1897" s="6" t="s">
        <v>67</v>
      </c>
      <c r="D1897" s="6" t="s">
        <v>415</v>
      </c>
      <c r="E1897" s="6" t="s">
        <v>416</v>
      </c>
      <c r="F1897" s="6" t="str">
        <f>IF($M1897="PADD I","PADD 1",IF($M1897="PADD II","PADD 2",IF($M1897="PADD III","PADD 3",IF($M1897="PADD IV","PADD 4",IF($M1897="PADD V","PADD 5","")))))</f>
        <v>PADD 3</v>
      </c>
      <c r="G1897" s="6">
        <f>IF(AND($H1897="ATMOS DISTILLATION",ISNUMBER(SEARCH("VPS",$I1897))=FALSE,LEFT($I1897,6)&lt;&gt;"VACUUM"),"CDU",IF($H1897="FLUID CAT CRACKING","FCC",IF(OR($H1897="HYDROCRACKING",$H1897="RESID_HYDROCRACKING"),"Hydrocracker",IF($H1897="REFORMING","Reformer",""))))</f>
        <v/>
      </c>
      <c r="H1897" s="6" t="s">
        <v>435</v>
      </c>
      <c r="I1897" s="6" t="s">
        <v>453</v>
      </c>
      <c r="J1897" s="6" t="s">
        <v>345</v>
      </c>
      <c r="K1897" s="10">
        <v>34</v>
      </c>
      <c r="L1897" s="10">
        <v>34</v>
      </c>
      <c r="M1897" s="6" t="s">
        <v>371</v>
      </c>
    </row>
    <row r="1898" spans="1:13">
      <c r="A1898" s="6">
        <v>2023</v>
      </c>
      <c r="B1898" s="6">
        <v>9</v>
      </c>
      <c r="C1898" s="6" t="s">
        <v>67</v>
      </c>
      <c r="D1898" s="6" t="s">
        <v>415</v>
      </c>
      <c r="E1898" s="6" t="s">
        <v>416</v>
      </c>
      <c r="F1898" s="6" t="str">
        <f>IF($M1898="PADD I","PADD 1",IF($M1898="PADD II","PADD 2",IF($M1898="PADD III","PADD 3",IF($M1898="PADD IV","PADD 4",IF($M1898="PADD V","PADD 5","")))))</f>
        <v>PADD 3</v>
      </c>
      <c r="G1898" s="6">
        <f>IF(AND($H1898="ATMOS DISTILLATION",ISNUMBER(SEARCH("VPS",$I1898))=FALSE,LEFT($I1898,6)&lt;&gt;"VACUUM"),"CDU",IF($H1898="FLUID CAT CRACKING","FCC",IF(OR($H1898="HYDROCRACKING",$H1898="RESID_HYDROCRACKING"),"Hydrocracker",IF($H1898="REFORMING","Reformer",""))))</f>
        <v/>
      </c>
      <c r="H1898" s="6" t="s">
        <v>435</v>
      </c>
      <c r="I1898" s="6" t="s">
        <v>453</v>
      </c>
      <c r="J1898" s="6" t="s">
        <v>345</v>
      </c>
      <c r="K1898" s="10">
        <v>34</v>
      </c>
      <c r="L1898" s="10">
        <v>34</v>
      </c>
      <c r="M1898" s="6" t="s">
        <v>371</v>
      </c>
    </row>
    <row r="1899" spans="1:13">
      <c r="A1899" s="6">
        <v>2023</v>
      </c>
      <c r="B1899" s="6">
        <v>9</v>
      </c>
      <c r="C1899" s="6" t="s">
        <v>67</v>
      </c>
      <c r="D1899" s="6" t="s">
        <v>415</v>
      </c>
      <c r="E1899" s="6" t="s">
        <v>416</v>
      </c>
      <c r="F1899" s="6" t="str">
        <f>IF($M1899="PADD I","PADD 1",IF($M1899="PADD II","PADD 2",IF($M1899="PADD III","PADD 3",IF($M1899="PADD IV","PADD 4",IF($M1899="PADD V","PADD 5","")))))</f>
        <v>PADD 3</v>
      </c>
      <c r="G1899" s="6" t="str">
        <f>IF(AND($H1899="ATMOS DISTILLATION",ISNUMBER(SEARCH("VPS",$I1899))=FALSE,LEFT($I1899,6)&lt;&gt;"VACUUM"),"CDU",IF($H1899="FLUID CAT CRACKING","FCC",IF(OR($H1899="HYDROCRACKING",$H1899="RESID_HYDROCRACKING"),"Hydrocracker",IF($H1899="REFORMING","Reformer",""))))</f>
        <v>FCC</v>
      </c>
      <c r="H1899" s="6" t="s">
        <v>376</v>
      </c>
      <c r="I1899" s="6" t="s">
        <v>995</v>
      </c>
      <c r="J1899" s="6" t="s">
        <v>345</v>
      </c>
      <c r="K1899" s="10">
        <v>32.34</v>
      </c>
      <c r="L1899" s="10">
        <v>42</v>
      </c>
      <c r="M1899" s="6" t="s">
        <v>371</v>
      </c>
    </row>
    <row r="1900" spans="1:13">
      <c r="A1900" s="6">
        <v>2023</v>
      </c>
      <c r="B1900" s="6">
        <v>9</v>
      </c>
      <c r="C1900" s="6" t="s">
        <v>67</v>
      </c>
      <c r="D1900" s="6" t="s">
        <v>801</v>
      </c>
      <c r="E1900" s="6" t="s">
        <v>779</v>
      </c>
      <c r="F1900" s="6" t="str">
        <f>IF($M1900="PADD I","PADD 1",IF($M1900="PADD II","PADD 2",IF($M1900="PADD III","PADD 3",IF($M1900="PADD IV","PADD 4",IF($M1900="PADD V","PADD 5","")))))</f>
        <v>PADD 2</v>
      </c>
      <c r="G1900" s="6">
        <f>IF(AND($H1900="ATMOS DISTILLATION",ISNUMBER(SEARCH("VPS",$I1900))=FALSE,LEFT($I1900,6)&lt;&gt;"VACUUM"),"CDU",IF($H1900="FLUID CAT CRACKING","FCC",IF(OR($H1900="HYDROCRACKING",$H1900="RESID_HYDROCRACKING"),"Hydrocracker",IF($H1900="REFORMING","Reformer",""))))</f>
        <v/>
      </c>
      <c r="H1900" s="6" t="s">
        <v>43</v>
      </c>
      <c r="I1900" s="6" t="s">
        <v>996</v>
      </c>
      <c r="J1900" s="6" t="s">
        <v>349</v>
      </c>
      <c r="K1900" s="10">
        <v>32</v>
      </c>
      <c r="L1900" s="10">
        <v>40</v>
      </c>
      <c r="M1900" s="6" t="s">
        <v>375</v>
      </c>
    </row>
    <row r="1901" spans="1:13">
      <c r="A1901" s="6">
        <v>2023</v>
      </c>
      <c r="B1901" s="6">
        <v>9</v>
      </c>
      <c r="C1901" s="6" t="s">
        <v>67</v>
      </c>
      <c r="D1901" s="6" t="s">
        <v>997</v>
      </c>
      <c r="E1901" s="6" t="s">
        <v>369</v>
      </c>
      <c r="F1901" s="6" t="str">
        <f>IF($M1901="PADD I","PADD 1",IF($M1901="PADD II","PADD 2",IF($M1901="PADD III","PADD 3",IF($M1901="PADD IV","PADD 4",IF($M1901="PADD V","PADD 5","")))))</f>
        <v>PADD 2</v>
      </c>
      <c r="G1901" s="6">
        <f>IF(AND($H1901="ATMOS DISTILLATION",ISNUMBER(SEARCH("VPS",$I1901))=FALSE,LEFT($I1901,6)&lt;&gt;"VACUUM"),"CDU",IF($H1901="FLUID CAT CRACKING","FCC",IF(OR($H1901="HYDROCRACKING",$H1901="RESID_HYDROCRACKING"),"Hydrocracker",IF($H1901="REFORMING","Reformer",""))))</f>
        <v/>
      </c>
      <c r="H1901" s="6" t="s">
        <v>378</v>
      </c>
      <c r="I1901" s="6" t="s">
        <v>786</v>
      </c>
      <c r="J1901" s="6" t="s">
        <v>345</v>
      </c>
      <c r="K1901" s="10">
        <v>30.03</v>
      </c>
      <c r="L1901" s="10">
        <v>39</v>
      </c>
      <c r="M1901" s="6" t="s">
        <v>375</v>
      </c>
    </row>
    <row r="1902" spans="1:13">
      <c r="A1902" s="6">
        <v>2023</v>
      </c>
      <c r="B1902" s="6">
        <v>9</v>
      </c>
      <c r="C1902" s="6" t="s">
        <v>67</v>
      </c>
      <c r="D1902" s="6" t="s">
        <v>602</v>
      </c>
      <c r="E1902" s="6" t="s">
        <v>369</v>
      </c>
      <c r="F1902" s="6" t="str">
        <f>IF($M1902="PADD I","PADD 1",IF($M1902="PADD II","PADD 2",IF($M1902="PADD III","PADD 3",IF($M1902="PADD IV","PADD 4",IF($M1902="PADD V","PADD 5","")))))</f>
        <v>PADD 2</v>
      </c>
      <c r="G1902" s="6">
        <f>IF(AND($H1902="ATMOS DISTILLATION",ISNUMBER(SEARCH("VPS",$I1902))=FALSE,LEFT($I1902,6)&lt;&gt;"VACUUM"),"CDU",IF($H1902="FLUID CAT CRACKING","FCC",IF(OR($H1902="HYDROCRACKING",$H1902="RESID_HYDROCRACKING"),"Hydrocracker",IF($H1902="REFORMING","Reformer",""))))</f>
        <v/>
      </c>
      <c r="H1902" s="6" t="s">
        <v>43</v>
      </c>
      <c r="I1902" s="6" t="s">
        <v>998</v>
      </c>
      <c r="J1902" s="6" t="s">
        <v>349</v>
      </c>
      <c r="K1902" s="10">
        <v>30</v>
      </c>
      <c r="L1902" s="10">
        <v>30</v>
      </c>
      <c r="M1902" s="6" t="s">
        <v>375</v>
      </c>
    </row>
    <row r="1903" spans="1:13">
      <c r="A1903" s="6">
        <v>2023</v>
      </c>
      <c r="B1903" s="6">
        <v>9</v>
      </c>
      <c r="C1903" s="6" t="s">
        <v>67</v>
      </c>
      <c r="D1903" s="6" t="s">
        <v>602</v>
      </c>
      <c r="E1903" s="6" t="s">
        <v>369</v>
      </c>
      <c r="F1903" s="6" t="str">
        <f>IF($M1903="PADD I","PADD 1",IF($M1903="PADD II","PADD 2",IF($M1903="PADD III","PADD 3",IF($M1903="PADD IV","PADD 4",IF($M1903="PADD V","PADD 5","")))))</f>
        <v>PADD 2</v>
      </c>
      <c r="G1903" s="6">
        <f>IF(AND($H1903="ATMOS DISTILLATION",ISNUMBER(SEARCH("VPS",$I1903))=FALSE,LEFT($I1903,6)&lt;&gt;"VACUUM"),"CDU",IF($H1903="FLUID CAT CRACKING","FCC",IF(OR($H1903="HYDROCRACKING",$H1903="RESID_HYDROCRACKING"),"Hydrocracker",IF($H1903="REFORMING","Reformer",""))))</f>
        <v/>
      </c>
      <c r="H1903" s="6" t="s">
        <v>43</v>
      </c>
      <c r="I1903" s="6" t="s">
        <v>999</v>
      </c>
      <c r="J1903" s="6" t="s">
        <v>349</v>
      </c>
      <c r="K1903" s="10">
        <v>30</v>
      </c>
      <c r="L1903" s="10">
        <v>30</v>
      </c>
      <c r="M1903" s="6" t="s">
        <v>375</v>
      </c>
    </row>
    <row r="1904" spans="1:13">
      <c r="A1904" s="6">
        <v>2023</v>
      </c>
      <c r="B1904" s="6">
        <v>9</v>
      </c>
      <c r="C1904" s="6" t="s">
        <v>67</v>
      </c>
      <c r="D1904" s="6" t="s">
        <v>801</v>
      </c>
      <c r="E1904" s="6" t="s">
        <v>779</v>
      </c>
      <c r="F1904" s="6" t="str">
        <f>IF($M1904="PADD I","PADD 1",IF($M1904="PADD II","PADD 2",IF($M1904="PADD III","PADD 3",IF($M1904="PADD IV","PADD 4",IF($M1904="PADD V","PADD 5","")))))</f>
        <v>PADD 2</v>
      </c>
      <c r="G1904" s="6" t="str">
        <f>IF(AND($H1904="ATMOS DISTILLATION",ISNUMBER(SEARCH("VPS",$I1904))=FALSE,LEFT($I1904,6)&lt;&gt;"VACUUM"),"CDU",IF($H1904="FLUID CAT CRACKING","FCC",IF(OR($H1904="HYDROCRACKING",$H1904="RESID_HYDROCRACKING"),"Hydrocracker",IF($H1904="REFORMING","Reformer",""))))</f>
        <v>Reformer</v>
      </c>
      <c r="H1904" s="6" t="s">
        <v>421</v>
      </c>
      <c r="I1904" s="6" t="s">
        <v>1000</v>
      </c>
      <c r="J1904" s="6" t="s">
        <v>349</v>
      </c>
      <c r="K1904" s="10">
        <v>29.6</v>
      </c>
      <c r="L1904" s="10">
        <v>37</v>
      </c>
      <c r="M1904" s="6" t="s">
        <v>375</v>
      </c>
    </row>
    <row r="1905" spans="1:13">
      <c r="A1905" s="6">
        <v>2023</v>
      </c>
      <c r="B1905" s="6">
        <v>9</v>
      </c>
      <c r="C1905" s="6" t="s">
        <v>67</v>
      </c>
      <c r="D1905" s="6" t="s">
        <v>408</v>
      </c>
      <c r="E1905" s="6" t="s">
        <v>409</v>
      </c>
      <c r="F1905" s="6" t="str">
        <f>IF($M1905="PADD I","PADD 1",IF($M1905="PADD II","PADD 2",IF($M1905="PADD III","PADD 3",IF($M1905="PADD IV","PADD 4",IF($M1905="PADD V","PADD 5","")))))</f>
        <v>PADD 3</v>
      </c>
      <c r="G1905" s="6">
        <f>IF(AND($H1905="ATMOS DISTILLATION",ISNUMBER(SEARCH("VPS",$I1905))=FALSE,LEFT($I1905,6)&lt;&gt;"VACUUM"),"CDU",IF($H1905="FLUID CAT CRACKING","FCC",IF(OR($H1905="HYDROCRACKING",$H1905="RESID_HYDROCRACKING"),"Hydrocracker",IF($H1905="REFORMING","Reformer",""))))</f>
        <v/>
      </c>
      <c r="H1905" s="6" t="s">
        <v>378</v>
      </c>
      <c r="I1905" s="6" t="s">
        <v>506</v>
      </c>
      <c r="J1905" s="6" t="s">
        <v>345</v>
      </c>
      <c r="K1905" s="10">
        <v>27.03</v>
      </c>
      <c r="L1905" s="10">
        <v>51</v>
      </c>
      <c r="M1905" s="6" t="s">
        <v>371</v>
      </c>
    </row>
    <row r="1906" spans="1:13">
      <c r="A1906" s="6">
        <v>2023</v>
      </c>
      <c r="B1906" s="6">
        <v>9</v>
      </c>
      <c r="C1906" s="6" t="s">
        <v>67</v>
      </c>
      <c r="D1906" s="6" t="s">
        <v>40</v>
      </c>
      <c r="E1906" s="6" t="s">
        <v>736</v>
      </c>
      <c r="F1906" s="6" t="str">
        <f>IF($M1906="PADD I","PADD 1",IF($M1906="PADD II","PADD 2",IF($M1906="PADD III","PADD 3",IF($M1906="PADD IV","PADD 4",IF($M1906="PADD V","PADD 5","")))))</f>
        <v>PADD 1</v>
      </c>
      <c r="G1906" s="6">
        <f>IF(AND($H1906="ATMOS DISTILLATION",ISNUMBER(SEARCH("VPS",$I1906))=FALSE,LEFT($I1906,6)&lt;&gt;"VACUUM"),"CDU",IF($H1906="FLUID CAT CRACKING","FCC",IF(OR($H1906="HYDROCRACKING",$H1906="RESID_HYDROCRACKING"),"Hydrocracker",IF($H1906="REFORMING","Reformer",""))))</f>
        <v/>
      </c>
      <c r="H1906" s="6" t="s">
        <v>43</v>
      </c>
      <c r="I1906" s="6" t="s">
        <v>493</v>
      </c>
      <c r="J1906" s="6" t="s">
        <v>349</v>
      </c>
      <c r="K1906" s="10">
        <v>25.8</v>
      </c>
      <c r="L1906" s="10">
        <v>60</v>
      </c>
      <c r="M1906" s="6" t="s">
        <v>413</v>
      </c>
    </row>
    <row r="1907" spans="1:13">
      <c r="A1907" s="6">
        <v>2023</v>
      </c>
      <c r="B1907" s="6">
        <v>9</v>
      </c>
      <c r="C1907" s="6" t="s">
        <v>67</v>
      </c>
      <c r="D1907" s="6" t="s">
        <v>602</v>
      </c>
      <c r="E1907" s="6" t="s">
        <v>369</v>
      </c>
      <c r="F1907" s="6" t="str">
        <f>IF($M1907="PADD I","PADD 1",IF($M1907="PADD II","PADD 2",IF($M1907="PADD III","PADD 3",IF($M1907="PADD IV","PADD 4",IF($M1907="PADD V","PADD 5","")))))</f>
        <v>PADD 2</v>
      </c>
      <c r="G1907" s="6">
        <f>IF(AND($H1907="ATMOS DISTILLATION",ISNUMBER(SEARCH("VPS",$I1907))=FALSE,LEFT($I1907,6)&lt;&gt;"VACUUM"),"CDU",IF($H1907="FLUID CAT CRACKING","FCC",IF(OR($H1907="HYDROCRACKING",$H1907="RESID_HYDROCRACKING"),"Hydrocracker",IF($H1907="REFORMING","Reformer",""))))</f>
        <v/>
      </c>
      <c r="H1907" s="6" t="s">
        <v>43</v>
      </c>
      <c r="I1907" s="6" t="s">
        <v>1001</v>
      </c>
      <c r="J1907" s="6" t="s">
        <v>349</v>
      </c>
      <c r="K1907" s="10">
        <v>25</v>
      </c>
      <c r="L1907" s="10">
        <v>25</v>
      </c>
      <c r="M1907" s="6" t="s">
        <v>375</v>
      </c>
    </row>
    <row r="1908" spans="1:13">
      <c r="A1908" s="6">
        <v>2023</v>
      </c>
      <c r="B1908" s="6">
        <v>9</v>
      </c>
      <c r="C1908" s="6" t="s">
        <v>67</v>
      </c>
      <c r="D1908" s="6" t="s">
        <v>420</v>
      </c>
      <c r="E1908" s="6" t="s">
        <v>373</v>
      </c>
      <c r="F1908" s="6" t="str">
        <f>IF($M1908="PADD I","PADD 1",IF($M1908="PADD II","PADD 2",IF($M1908="PADD III","PADD 3",IF($M1908="PADD IV","PADD 4",IF($M1908="PADD V","PADD 5","")))))</f>
        <v>PADD 2</v>
      </c>
      <c r="G1908" s="6" t="str">
        <f>IF(AND($H1908="ATMOS DISTILLATION",ISNUMBER(SEARCH("VPS",$I1908))=FALSE,LEFT($I1908,6)&lt;&gt;"VACUUM"),"CDU",IF($H1908="FLUID CAT CRACKING","FCC",IF(OR($H1908="HYDROCRACKING",$H1908="RESID_HYDROCRACKING"),"Hydrocracker",IF($H1908="REFORMING","Reformer",""))))</f>
        <v>CDU</v>
      </c>
      <c r="H1908" s="6" t="s">
        <v>38</v>
      </c>
      <c r="I1908" s="6" t="s">
        <v>81</v>
      </c>
      <c r="J1908" s="6" t="s">
        <v>345</v>
      </c>
      <c r="K1908" s="10">
        <v>24.5</v>
      </c>
      <c r="L1908" s="10">
        <v>24.5</v>
      </c>
      <c r="M1908" s="6" t="s">
        <v>375</v>
      </c>
    </row>
    <row r="1909" spans="1:13">
      <c r="A1909" s="6">
        <v>2023</v>
      </c>
      <c r="B1909" s="6">
        <v>9</v>
      </c>
      <c r="C1909" s="6" t="s">
        <v>67</v>
      </c>
      <c r="D1909" s="6" t="s">
        <v>602</v>
      </c>
      <c r="E1909" s="6" t="s">
        <v>369</v>
      </c>
      <c r="F1909" s="6" t="str">
        <f>IF($M1909="PADD I","PADD 1",IF($M1909="PADD II","PADD 2",IF($M1909="PADD III","PADD 3",IF($M1909="PADD IV","PADD 4",IF($M1909="PADD V","PADD 5","")))))</f>
        <v>PADD 2</v>
      </c>
      <c r="G1909" s="6">
        <f>IF(AND($H1909="ATMOS DISTILLATION",ISNUMBER(SEARCH("VPS",$I1909))=FALSE,LEFT($I1909,6)&lt;&gt;"VACUUM"),"CDU",IF($H1909="FLUID CAT CRACKING","FCC",IF(OR($H1909="HYDROCRACKING",$H1909="RESID_HYDROCRACKING"),"Hydrocracker",IF($H1909="REFORMING","Reformer",""))))</f>
        <v/>
      </c>
      <c r="H1909" s="6" t="s">
        <v>43</v>
      </c>
      <c r="I1909" s="6" t="s">
        <v>1002</v>
      </c>
      <c r="J1909" s="6" t="s">
        <v>349</v>
      </c>
      <c r="K1909" s="10">
        <v>24</v>
      </c>
      <c r="L1909" s="10">
        <v>24</v>
      </c>
      <c r="M1909" s="6" t="s">
        <v>375</v>
      </c>
    </row>
    <row r="1910" spans="1:13">
      <c r="A1910" s="6">
        <v>2023</v>
      </c>
      <c r="B1910" s="6">
        <v>9</v>
      </c>
      <c r="C1910" s="6" t="s">
        <v>67</v>
      </c>
      <c r="D1910" s="6" t="s">
        <v>40</v>
      </c>
      <c r="E1910" s="6" t="s">
        <v>736</v>
      </c>
      <c r="F1910" s="6" t="str">
        <f>IF($M1910="PADD I","PADD 1",IF($M1910="PADD II","PADD 2",IF($M1910="PADD III","PADD 3",IF($M1910="PADD IV","PADD 4",IF($M1910="PADD V","PADD 5","")))))</f>
        <v>PADD 1</v>
      </c>
      <c r="G1910" s="6" t="str">
        <f>IF(AND($H1910="ATMOS DISTILLATION",ISNUMBER(SEARCH("VPS",$I1910))=FALSE,LEFT($I1910,6)&lt;&gt;"VACUUM"),"CDU",IF($H1910="FLUID CAT CRACKING","FCC",IF(OR($H1910="HYDROCRACKING",$H1910="RESID_HYDROCRACKING"),"Hydrocracker",IF($H1910="REFORMING","Reformer",""))))</f>
        <v>Reformer</v>
      </c>
      <c r="H1910" s="6" t="s">
        <v>421</v>
      </c>
      <c r="I1910" s="6" t="s">
        <v>782</v>
      </c>
      <c r="J1910" s="6" t="s">
        <v>349</v>
      </c>
      <c r="K1910" s="10">
        <v>24</v>
      </c>
      <c r="L1910" s="10">
        <v>60</v>
      </c>
      <c r="M1910" s="6" t="s">
        <v>413</v>
      </c>
    </row>
    <row r="1911" spans="1:13">
      <c r="A1911" s="6">
        <v>2023</v>
      </c>
      <c r="B1911" s="6">
        <v>9</v>
      </c>
      <c r="C1911" s="6" t="s">
        <v>67</v>
      </c>
      <c r="D1911" s="6" t="s">
        <v>801</v>
      </c>
      <c r="E1911" s="6" t="s">
        <v>779</v>
      </c>
      <c r="F1911" s="6" t="str">
        <f>IF($M1911="PADD I","PADD 1",IF($M1911="PADD II","PADD 2",IF($M1911="PADD III","PADD 3",IF($M1911="PADD IV","PADD 4",IF($M1911="PADD V","PADD 5","")))))</f>
        <v>PADD 2</v>
      </c>
      <c r="G1911" s="6" t="str">
        <f>IF(AND($H1911="ATMOS DISTILLATION",ISNUMBER(SEARCH("VPS",$I1911))=FALSE,LEFT($I1911,6)&lt;&gt;"VACUUM"),"CDU",IF($H1911="FLUID CAT CRACKING","FCC",IF(OR($H1911="HYDROCRACKING",$H1911="RESID_HYDROCRACKING"),"Hydrocracker",IF($H1911="REFORMING","Reformer",""))))</f>
        <v>Reformer</v>
      </c>
      <c r="H1911" s="6" t="s">
        <v>421</v>
      </c>
      <c r="I1911" s="6" t="s">
        <v>782</v>
      </c>
      <c r="J1911" s="6" t="s">
        <v>349</v>
      </c>
      <c r="K1911" s="10">
        <v>23.8</v>
      </c>
      <c r="L1911" s="10">
        <v>34</v>
      </c>
      <c r="M1911" s="6" t="s">
        <v>375</v>
      </c>
    </row>
    <row r="1912" spans="1:13">
      <c r="A1912" s="6">
        <v>2023</v>
      </c>
      <c r="B1912" s="6">
        <v>9</v>
      </c>
      <c r="C1912" s="6" t="s">
        <v>67</v>
      </c>
      <c r="D1912" s="6" t="s">
        <v>531</v>
      </c>
      <c r="E1912" s="6" t="s">
        <v>532</v>
      </c>
      <c r="F1912" s="6" t="str">
        <f>IF($M1912="PADD I","PADD 1",IF($M1912="PADD II","PADD 2",IF($M1912="PADD III","PADD 3",IF($M1912="PADD IV","PADD 4",IF($M1912="PADD V","PADD 5","")))))</f>
        <v>PADD 5</v>
      </c>
      <c r="G1912" s="6" t="str">
        <f>IF(AND($H1912="ATMOS DISTILLATION",ISNUMBER(SEARCH("VPS",$I1912))=FALSE,LEFT($I1912,6)&lt;&gt;"VACUUM"),"CDU",IF($H1912="FLUID CAT CRACKING","FCC",IF(OR($H1912="HYDROCRACKING",$H1912="RESID_HYDROCRACKING"),"Hydrocracker",IF($H1912="REFORMING","Reformer",""))))</f>
        <v>FCC</v>
      </c>
      <c r="H1912" s="6" t="s">
        <v>376</v>
      </c>
      <c r="I1912" s="6" t="s">
        <v>105</v>
      </c>
      <c r="J1912" s="6" t="s">
        <v>349</v>
      </c>
      <c r="K1912" s="10">
        <v>23</v>
      </c>
      <c r="L1912" s="10">
        <v>100</v>
      </c>
      <c r="M1912" s="6" t="s">
        <v>386</v>
      </c>
    </row>
    <row r="1913" spans="1:13">
      <c r="A1913" s="6">
        <v>2023</v>
      </c>
      <c r="B1913" s="6">
        <v>9</v>
      </c>
      <c r="C1913" s="6" t="s">
        <v>67</v>
      </c>
      <c r="D1913" s="6" t="s">
        <v>40</v>
      </c>
      <c r="E1913" s="6" t="s">
        <v>736</v>
      </c>
      <c r="F1913" s="6" t="str">
        <f>IF($M1913="PADD I","PADD 1",IF($M1913="PADD II","PADD 2",IF($M1913="PADD III","PADD 3",IF($M1913="PADD IV","PADD 4",IF($M1913="PADD V","PADD 5","")))))</f>
        <v>PADD 1</v>
      </c>
      <c r="G1913" s="6">
        <f>IF(AND($H1913="ATMOS DISTILLATION",ISNUMBER(SEARCH("VPS",$I1913))=FALSE,LEFT($I1913,6)&lt;&gt;"VACUUM"),"CDU",IF($H1913="FLUID CAT CRACKING","FCC",IF(OR($H1913="HYDROCRACKING",$H1913="RESID_HYDROCRACKING"),"Hydrocracker",IF($H1913="REFORMING","Reformer",""))))</f>
        <v/>
      </c>
      <c r="H1913" s="6" t="s">
        <v>43</v>
      </c>
      <c r="I1913" s="6" t="s">
        <v>1003</v>
      </c>
      <c r="J1913" s="6" t="s">
        <v>349</v>
      </c>
      <c r="K1913" s="10">
        <v>22.8</v>
      </c>
      <c r="L1913" s="10">
        <v>40</v>
      </c>
      <c r="M1913" s="6" t="s">
        <v>413</v>
      </c>
    </row>
    <row r="1914" spans="1:13">
      <c r="A1914" s="6">
        <v>2023</v>
      </c>
      <c r="B1914" s="6">
        <v>9</v>
      </c>
      <c r="C1914" s="6" t="s">
        <v>67</v>
      </c>
      <c r="D1914" s="6" t="s">
        <v>878</v>
      </c>
      <c r="E1914" s="6" t="s">
        <v>452</v>
      </c>
      <c r="F1914" s="6" t="str">
        <f>IF($M1914="PADD I","PADD 1",IF($M1914="PADD II","PADD 2",IF($M1914="PADD III","PADD 3",IF($M1914="PADD IV","PADD 4",IF($M1914="PADD V","PADD 5","")))))</f>
        <v>PADD 2</v>
      </c>
      <c r="G1914" s="6">
        <f>IF(AND($H1914="ATMOS DISTILLATION",ISNUMBER(SEARCH("VPS",$I1914))=FALSE,LEFT($I1914,6)&lt;&gt;"VACUUM"),"CDU",IF($H1914="FLUID CAT CRACKING","FCC",IF(OR($H1914="HYDROCRACKING",$H1914="RESID_HYDROCRACKING"),"Hydrocracker",IF($H1914="REFORMING","Reformer",""))))</f>
        <v/>
      </c>
      <c r="H1914" s="6" t="s">
        <v>378</v>
      </c>
      <c r="I1914" s="6" t="s">
        <v>536</v>
      </c>
      <c r="J1914" s="6" t="s">
        <v>349</v>
      </c>
      <c r="K1914" s="10">
        <v>22.4</v>
      </c>
      <c r="L1914" s="10">
        <v>32</v>
      </c>
      <c r="M1914" s="6" t="s">
        <v>375</v>
      </c>
    </row>
    <row r="1915" spans="1:13">
      <c r="A1915" s="6">
        <v>2023</v>
      </c>
      <c r="B1915" s="6">
        <v>9</v>
      </c>
      <c r="C1915" s="6" t="s">
        <v>67</v>
      </c>
      <c r="D1915" s="6" t="s">
        <v>408</v>
      </c>
      <c r="E1915" s="6" t="s">
        <v>409</v>
      </c>
      <c r="F1915" s="6" t="str">
        <f>IF($M1915="PADD I","PADD 1",IF($M1915="PADD II","PADD 2",IF($M1915="PADD III","PADD 3",IF($M1915="PADD IV","PADD 4",IF($M1915="PADD V","PADD 5","")))))</f>
        <v>PADD 3</v>
      </c>
      <c r="G1915" s="6">
        <f>IF(AND($H1915="ATMOS DISTILLATION",ISNUMBER(SEARCH("VPS",$I1915))=FALSE,LEFT($I1915,6)&lt;&gt;"VACUUM"),"CDU",IF($H1915="FLUID CAT CRACKING","FCC",IF(OR($H1915="HYDROCRACKING",$H1915="RESID_HYDROCRACKING"),"Hydrocracker",IF($H1915="REFORMING","Reformer",""))))</f>
        <v/>
      </c>
      <c r="H1915" s="6" t="s">
        <v>435</v>
      </c>
      <c r="I1915" s="6" t="s">
        <v>459</v>
      </c>
      <c r="J1915" s="6" t="s">
        <v>345</v>
      </c>
      <c r="K1915" s="10">
        <v>22.2</v>
      </c>
      <c r="L1915" s="10">
        <v>60</v>
      </c>
      <c r="M1915" s="6" t="s">
        <v>371</v>
      </c>
    </row>
    <row r="1916" spans="1:13">
      <c r="A1916" s="6">
        <v>2023</v>
      </c>
      <c r="B1916" s="6">
        <v>9</v>
      </c>
      <c r="C1916" s="6" t="s">
        <v>67</v>
      </c>
      <c r="D1916" s="6" t="s">
        <v>1004</v>
      </c>
      <c r="E1916" s="6" t="s">
        <v>381</v>
      </c>
      <c r="F1916" s="6" t="str">
        <f>IF($M1916="PADD I","PADD 1",IF($M1916="PADD II","PADD 2",IF($M1916="PADD III","PADD 3",IF($M1916="PADD IV","PADD 4",IF($M1916="PADD V","PADD 5","")))))</f>
        <v>PADD 3</v>
      </c>
      <c r="G1916" s="6">
        <f>IF(AND($H1916="ATMOS DISTILLATION",ISNUMBER(SEARCH("VPS",$I1916))=FALSE,LEFT($I1916,6)&lt;&gt;"VACUUM"),"CDU",IF($H1916="FLUID CAT CRACKING","FCC",IF(OR($H1916="HYDROCRACKING",$H1916="RESID_HYDROCRACKING"),"Hydrocracker",IF($H1916="REFORMING","Reformer",""))))</f>
        <v/>
      </c>
      <c r="H1916" s="6" t="s">
        <v>378</v>
      </c>
      <c r="I1916" s="6" t="s">
        <v>786</v>
      </c>
      <c r="J1916" s="6" t="s">
        <v>345</v>
      </c>
      <c r="K1916" s="10">
        <v>21.46</v>
      </c>
      <c r="L1916" s="10">
        <v>58</v>
      </c>
      <c r="M1916" s="6" t="s">
        <v>371</v>
      </c>
    </row>
    <row r="1917" spans="1:13">
      <c r="A1917" s="6">
        <v>2023</v>
      </c>
      <c r="B1917" s="6">
        <v>9</v>
      </c>
      <c r="C1917" s="6" t="s">
        <v>67</v>
      </c>
      <c r="D1917" s="6" t="s">
        <v>420</v>
      </c>
      <c r="E1917" s="6" t="s">
        <v>373</v>
      </c>
      <c r="F1917" s="6" t="str">
        <f>IF($M1917="PADD I","PADD 1",IF($M1917="PADD II","PADD 2",IF($M1917="PADD III","PADD 3",IF($M1917="PADD IV","PADD 4",IF($M1917="PADD V","PADD 5","")))))</f>
        <v>PADD 2</v>
      </c>
      <c r="G1917" s="6">
        <f>IF(AND($H1917="ATMOS DISTILLATION",ISNUMBER(SEARCH("VPS",$I1917))=FALSE,LEFT($I1917,6)&lt;&gt;"VACUUM"),"CDU",IF($H1917="FLUID CAT CRACKING","FCC",IF(OR($H1917="HYDROCRACKING",$H1917="RESID_HYDROCRACKING"),"Hydrocracker",IF($H1917="REFORMING","Reformer",""))))</f>
        <v/>
      </c>
      <c r="H1917" s="6" t="s">
        <v>378</v>
      </c>
      <c r="I1917" s="6" t="s">
        <v>431</v>
      </c>
      <c r="J1917" s="6" t="s">
        <v>345</v>
      </c>
      <c r="K1917" s="10">
        <v>20.5</v>
      </c>
      <c r="L1917" s="10">
        <v>20.5</v>
      </c>
      <c r="M1917" s="6" t="s">
        <v>375</v>
      </c>
    </row>
    <row r="1918" spans="1:13">
      <c r="A1918" s="6">
        <v>2023</v>
      </c>
      <c r="B1918" s="6">
        <v>9</v>
      </c>
      <c r="C1918" s="6" t="s">
        <v>67</v>
      </c>
      <c r="D1918" s="6" t="s">
        <v>803</v>
      </c>
      <c r="E1918" s="6" t="s">
        <v>388</v>
      </c>
      <c r="F1918" s="6" t="str">
        <f>IF($M1918="PADD I","PADD 1",IF($M1918="PADD II","PADD 2",IF($M1918="PADD III","PADD 3",IF($M1918="PADD IV","PADD 4",IF($M1918="PADD V","PADD 5","")))))</f>
        <v>PADD 2</v>
      </c>
      <c r="G1918" s="6">
        <f>IF(AND($H1918="ATMOS DISTILLATION",ISNUMBER(SEARCH("VPS",$I1918))=FALSE,LEFT($I1918,6)&lt;&gt;"VACUUM"),"CDU",IF($H1918="FLUID CAT CRACKING","FCC",IF(OR($H1918="HYDROCRACKING",$H1918="RESID_HYDROCRACKING"),"Hydrocracker",IF($H1918="REFORMING","Reformer",""))))</f>
        <v/>
      </c>
      <c r="H1918" s="6" t="s">
        <v>43</v>
      </c>
      <c r="I1918" s="6" t="s">
        <v>520</v>
      </c>
      <c r="J1918" s="6" t="s">
        <v>345</v>
      </c>
      <c r="K1918" s="10">
        <v>20.44</v>
      </c>
      <c r="L1918" s="10">
        <v>28</v>
      </c>
      <c r="M1918" s="6" t="s">
        <v>375</v>
      </c>
    </row>
    <row r="1919" spans="1:13">
      <c r="A1919" s="6">
        <v>2023</v>
      </c>
      <c r="B1919" s="6">
        <v>9</v>
      </c>
      <c r="C1919" s="6" t="s">
        <v>67</v>
      </c>
      <c r="D1919" s="6" t="s">
        <v>415</v>
      </c>
      <c r="E1919" s="6" t="s">
        <v>416</v>
      </c>
      <c r="F1919" s="6" t="str">
        <f>IF($M1919="PADD I","PADD 1",IF($M1919="PADD II","PADD 2",IF($M1919="PADD III","PADD 3",IF($M1919="PADD IV","PADD 4",IF($M1919="PADD V","PADD 5","")))))</f>
        <v>PADD 3</v>
      </c>
      <c r="G1919" s="6">
        <f>IF(AND($H1919="ATMOS DISTILLATION",ISNUMBER(SEARCH("VPS",$I1919))=FALSE,LEFT($I1919,6)&lt;&gt;"VACUUM"),"CDU",IF($H1919="FLUID CAT CRACKING","FCC",IF(OR($H1919="HYDROCRACKING",$H1919="RESID_HYDROCRACKING"),"Hydrocracker",IF($H1919="REFORMING","Reformer",""))))</f>
        <v/>
      </c>
      <c r="H1919" s="6" t="s">
        <v>43</v>
      </c>
      <c r="I1919" s="6" t="s">
        <v>1005</v>
      </c>
      <c r="J1919" s="6" t="s">
        <v>349</v>
      </c>
      <c r="K1919" s="10">
        <v>20.14</v>
      </c>
      <c r="L1919" s="10">
        <v>38</v>
      </c>
      <c r="M1919" s="6" t="s">
        <v>371</v>
      </c>
    </row>
    <row r="1920" spans="1:13">
      <c r="A1920" s="6">
        <v>2023</v>
      </c>
      <c r="B1920" s="6">
        <v>9</v>
      </c>
      <c r="C1920" s="6" t="s">
        <v>67</v>
      </c>
      <c r="D1920" s="6" t="s">
        <v>468</v>
      </c>
      <c r="E1920" s="6" t="s">
        <v>369</v>
      </c>
      <c r="F1920" s="6" t="str">
        <f>IF($M1920="PADD I","PADD 1",IF($M1920="PADD II","PADD 2",IF($M1920="PADD III","PADD 3",IF($M1920="PADD IV","PADD 4",IF($M1920="PADD V","PADD 5","")))))</f>
        <v>PADD 3</v>
      </c>
      <c r="G1920" s="6" t="str">
        <f>IF(AND($H1920="ATMOS DISTILLATION",ISNUMBER(SEARCH("VPS",$I1920))=FALSE,LEFT($I1920,6)&lt;&gt;"VACUUM"),"CDU",IF($H1920="FLUID CAT CRACKING","FCC",IF(OR($H1920="HYDROCRACKING",$H1920="RESID_HYDROCRACKING"),"Hydrocracker",IF($H1920="REFORMING","Reformer",""))))</f>
        <v>FCC</v>
      </c>
      <c r="H1920" s="6" t="s">
        <v>376</v>
      </c>
      <c r="I1920" s="6" t="s">
        <v>473</v>
      </c>
      <c r="J1920" s="6" t="s">
        <v>349</v>
      </c>
      <c r="K1920" s="10">
        <v>20.1</v>
      </c>
      <c r="L1920" s="10">
        <v>30</v>
      </c>
      <c r="M1920" s="6" t="s">
        <v>371</v>
      </c>
    </row>
    <row r="1921" spans="1:13">
      <c r="A1921" s="6">
        <v>2023</v>
      </c>
      <c r="B1921" s="6">
        <v>9</v>
      </c>
      <c r="C1921" s="6" t="s">
        <v>67</v>
      </c>
      <c r="D1921" s="6" t="s">
        <v>602</v>
      </c>
      <c r="E1921" s="6" t="s">
        <v>369</v>
      </c>
      <c r="F1921" s="6" t="str">
        <f>IF($M1921="PADD I","PADD 1",IF($M1921="PADD II","PADD 2",IF($M1921="PADD III","PADD 3",IF($M1921="PADD IV","PADD 4",IF($M1921="PADD V","PADD 5","")))))</f>
        <v>PADD 2</v>
      </c>
      <c r="G1921" s="6" t="str">
        <f>IF(AND($H1921="ATMOS DISTILLATION",ISNUMBER(SEARCH("VPS",$I1921))=FALSE,LEFT($I1921,6)&lt;&gt;"VACUUM"),"CDU",IF($H1921="FLUID CAT CRACKING","FCC",IF(OR($H1921="HYDROCRACKING",$H1921="RESID_HYDROCRACKING"),"Hydrocracker",IF($H1921="REFORMING","Reformer",""))))</f>
        <v>Reformer</v>
      </c>
      <c r="H1921" s="6" t="s">
        <v>421</v>
      </c>
      <c r="I1921" s="6" t="s">
        <v>697</v>
      </c>
      <c r="J1921" s="6" t="s">
        <v>349</v>
      </c>
      <c r="K1921" s="10">
        <v>20</v>
      </c>
      <c r="L1921" s="10">
        <v>20</v>
      </c>
      <c r="M1921" s="6" t="s">
        <v>375</v>
      </c>
    </row>
    <row r="1922" spans="1:13">
      <c r="A1922" s="6">
        <v>2023</v>
      </c>
      <c r="B1922" s="6">
        <v>9</v>
      </c>
      <c r="C1922" s="6" t="s">
        <v>67</v>
      </c>
      <c r="D1922" s="6" t="s">
        <v>542</v>
      </c>
      <c r="E1922" s="6" t="s">
        <v>543</v>
      </c>
      <c r="F1922" s="6" t="str">
        <f>IF($M1922="PADD I","PADD 1",IF($M1922="PADD II","PADD 2",IF($M1922="PADD III","PADD 3",IF($M1922="PADD IV","PADD 4",IF($M1922="PADD V","PADD 5","")))))</f>
        <v>PADD 2</v>
      </c>
      <c r="G1922" s="6">
        <f>IF(AND($H1922="ATMOS DISTILLATION",ISNUMBER(SEARCH("VPS",$I1922))=FALSE,LEFT($I1922,6)&lt;&gt;"VACUUM"),"CDU",IF($H1922="FLUID CAT CRACKING","FCC",IF(OR($H1922="HYDROCRACKING",$H1922="RESID_HYDROCRACKING"),"Hydrocracker",IF($H1922="REFORMING","Reformer",""))))</f>
        <v/>
      </c>
      <c r="H1922" s="6" t="s">
        <v>43</v>
      </c>
      <c r="I1922" s="6" t="s">
        <v>1006</v>
      </c>
      <c r="J1922" s="6" t="s">
        <v>349</v>
      </c>
      <c r="K1922" s="10">
        <v>19.08</v>
      </c>
      <c r="L1922" s="10">
        <v>36</v>
      </c>
      <c r="M1922" s="6" t="s">
        <v>375</v>
      </c>
    </row>
    <row r="1923" spans="1:13">
      <c r="A1923" s="6">
        <v>2023</v>
      </c>
      <c r="B1923" s="6">
        <v>9</v>
      </c>
      <c r="C1923" s="6" t="s">
        <v>67</v>
      </c>
      <c r="D1923" s="6" t="s">
        <v>801</v>
      </c>
      <c r="E1923" s="6" t="s">
        <v>779</v>
      </c>
      <c r="F1923" s="6" t="str">
        <f>IF($M1923="PADD I","PADD 1",IF($M1923="PADD II","PADD 2",IF($M1923="PADD III","PADD 3",IF($M1923="PADD IV","PADD 4",IF($M1923="PADD V","PADD 5","")))))</f>
        <v>PADD 2</v>
      </c>
      <c r="G1923" s="6">
        <f>IF(AND($H1923="ATMOS DISTILLATION",ISNUMBER(SEARCH("VPS",$I1923))=FALSE,LEFT($I1923,6)&lt;&gt;"VACUUM"),"CDU",IF($H1923="FLUID CAT CRACKING","FCC",IF(OR($H1923="HYDROCRACKING",$H1923="RESID_HYDROCRACKING"),"Hydrocracker",IF($H1923="REFORMING","Reformer",""))))</f>
        <v/>
      </c>
      <c r="H1923" s="6" t="s">
        <v>435</v>
      </c>
      <c r="I1923" s="6" t="s">
        <v>802</v>
      </c>
      <c r="J1923" s="6" t="s">
        <v>345</v>
      </c>
      <c r="K1923" s="10">
        <v>18.48</v>
      </c>
      <c r="L1923" s="10">
        <v>24</v>
      </c>
      <c r="M1923" s="6" t="s">
        <v>375</v>
      </c>
    </row>
    <row r="1924" spans="1:13">
      <c r="A1924" s="6">
        <v>2023</v>
      </c>
      <c r="B1924" s="6">
        <v>9</v>
      </c>
      <c r="C1924" s="6" t="s">
        <v>67</v>
      </c>
      <c r="D1924" s="6" t="s">
        <v>602</v>
      </c>
      <c r="E1924" s="6" t="s">
        <v>369</v>
      </c>
      <c r="F1924" s="6" t="str">
        <f>IF($M1924="PADD I","PADD 1",IF($M1924="PADD II","PADD 2",IF($M1924="PADD III","PADD 3",IF($M1924="PADD IV","PADD 4",IF($M1924="PADD V","PADD 5","")))))</f>
        <v>PADD 2</v>
      </c>
      <c r="G1924" s="6">
        <f>IF(AND($H1924="ATMOS DISTILLATION",ISNUMBER(SEARCH("VPS",$I1924))=FALSE,LEFT($I1924,6)&lt;&gt;"VACUUM"),"CDU",IF($H1924="FLUID CAT CRACKING","FCC",IF(OR($H1924="HYDROCRACKING",$H1924="RESID_HYDROCRACKING"),"Hydrocracker",IF($H1924="REFORMING","Reformer",""))))</f>
        <v/>
      </c>
      <c r="H1924" s="6" t="s">
        <v>43</v>
      </c>
      <c r="I1924" s="6" t="s">
        <v>1007</v>
      </c>
      <c r="J1924" s="6" t="s">
        <v>349</v>
      </c>
      <c r="K1924" s="10">
        <v>18</v>
      </c>
      <c r="L1924" s="10">
        <v>18</v>
      </c>
      <c r="M1924" s="6" t="s">
        <v>375</v>
      </c>
    </row>
    <row r="1925" spans="1:13">
      <c r="A1925" s="6">
        <v>2023</v>
      </c>
      <c r="B1925" s="6">
        <v>9</v>
      </c>
      <c r="C1925" s="6" t="s">
        <v>67</v>
      </c>
      <c r="D1925" s="6" t="s">
        <v>542</v>
      </c>
      <c r="E1925" s="6" t="s">
        <v>543</v>
      </c>
      <c r="F1925" s="6" t="str">
        <f>IF($M1925="PADD I","PADD 1",IF($M1925="PADD II","PADD 2",IF($M1925="PADD III","PADD 3",IF($M1925="PADD IV","PADD 4",IF($M1925="PADD V","PADD 5","")))))</f>
        <v>PADD 2</v>
      </c>
      <c r="G1925" s="6">
        <f>IF(AND($H1925="ATMOS DISTILLATION",ISNUMBER(SEARCH("VPS",$I1925))=FALSE,LEFT($I1925,6)&lt;&gt;"VACUUM"),"CDU",IF($H1925="FLUID CAT CRACKING","FCC",IF(OR($H1925="HYDROCRACKING",$H1925="RESID_HYDROCRACKING"),"Hydrocracker",IF($H1925="REFORMING","Reformer",""))))</f>
        <v/>
      </c>
      <c r="H1925" s="6" t="s">
        <v>435</v>
      </c>
      <c r="I1925" s="6" t="s">
        <v>441</v>
      </c>
      <c r="J1925" s="6" t="s">
        <v>349</v>
      </c>
      <c r="K1925" s="10">
        <v>17.8398</v>
      </c>
      <c r="L1925" s="10">
        <v>33.66</v>
      </c>
      <c r="M1925" s="6" t="s">
        <v>375</v>
      </c>
    </row>
    <row r="1926" spans="1:13">
      <c r="A1926" s="6">
        <v>2023</v>
      </c>
      <c r="B1926" s="6">
        <v>9</v>
      </c>
      <c r="C1926" s="6" t="s">
        <v>67</v>
      </c>
      <c r="D1926" s="6" t="s">
        <v>484</v>
      </c>
      <c r="E1926" s="6" t="s">
        <v>409</v>
      </c>
      <c r="F1926" s="6" t="str">
        <f>IF($M1926="PADD I","PADD 1",IF($M1926="PADD II","PADD 2",IF($M1926="PADD III","PADD 3",IF($M1926="PADD IV","PADD 4",IF($M1926="PADD V","PADD 5","")))))</f>
        <v>PADD 3</v>
      </c>
      <c r="G1926" s="6">
        <f>IF(AND($H1926="ATMOS DISTILLATION",ISNUMBER(SEARCH("VPS",$I1926))=FALSE,LEFT($I1926,6)&lt;&gt;"VACUUM"),"CDU",IF($H1926="FLUID CAT CRACKING","FCC",IF(OR($H1926="HYDROCRACKING",$H1926="RESID_HYDROCRACKING"),"Hydrocracker",IF($H1926="REFORMING","Reformer",""))))</f>
        <v/>
      </c>
      <c r="H1926" s="6" t="s">
        <v>43</v>
      </c>
      <c r="I1926" s="6" t="s">
        <v>485</v>
      </c>
      <c r="J1926" s="6" t="s">
        <v>345</v>
      </c>
      <c r="K1926" s="10">
        <v>17.82</v>
      </c>
      <c r="L1926" s="10">
        <v>66</v>
      </c>
      <c r="M1926" s="6" t="s">
        <v>371</v>
      </c>
    </row>
    <row r="1927" spans="1:13">
      <c r="A1927" s="6">
        <v>2023</v>
      </c>
      <c r="B1927" s="6">
        <v>9</v>
      </c>
      <c r="C1927" s="6" t="s">
        <v>67</v>
      </c>
      <c r="D1927" s="6" t="s">
        <v>602</v>
      </c>
      <c r="E1927" s="6" t="s">
        <v>369</v>
      </c>
      <c r="F1927" s="6" t="str">
        <f>IF($M1927="PADD I","PADD 1",IF($M1927="PADD II","PADD 2",IF($M1927="PADD III","PADD 3",IF($M1927="PADD IV","PADD 4",IF($M1927="PADD V","PADD 5","")))))</f>
        <v>PADD 2</v>
      </c>
      <c r="G1927" s="6">
        <f>IF(AND($H1927="ATMOS DISTILLATION",ISNUMBER(SEARCH("VPS",$I1927))=FALSE,LEFT($I1927,6)&lt;&gt;"VACUUM"),"CDU",IF($H1927="FLUID CAT CRACKING","FCC",IF(OR($H1927="HYDROCRACKING",$H1927="RESID_HYDROCRACKING"),"Hydrocracker",IF($H1927="REFORMING","Reformer",""))))</f>
        <v/>
      </c>
      <c r="H1927" s="6" t="s">
        <v>460</v>
      </c>
      <c r="I1927" s="6" t="s">
        <v>616</v>
      </c>
      <c r="J1927" s="6" t="s">
        <v>345</v>
      </c>
      <c r="K1927" s="10">
        <v>17.71</v>
      </c>
      <c r="L1927" s="10">
        <v>23</v>
      </c>
      <c r="M1927" s="6" t="s">
        <v>375</v>
      </c>
    </row>
    <row r="1928" spans="1:13">
      <c r="A1928" s="6">
        <v>2023</v>
      </c>
      <c r="B1928" s="6">
        <v>9</v>
      </c>
      <c r="C1928" s="6" t="s">
        <v>67</v>
      </c>
      <c r="D1928" s="6" t="s">
        <v>878</v>
      </c>
      <c r="E1928" s="6" t="s">
        <v>452</v>
      </c>
      <c r="F1928" s="6" t="str">
        <f>IF($M1928="PADD I","PADD 1",IF($M1928="PADD II","PADD 2",IF($M1928="PADD III","PADD 3",IF($M1928="PADD IV","PADD 4",IF($M1928="PADD V","PADD 5","")))))</f>
        <v>PADD 2</v>
      </c>
      <c r="G1928" s="6">
        <f>IF(AND($H1928="ATMOS DISTILLATION",ISNUMBER(SEARCH("VPS",$I1928))=FALSE,LEFT($I1928,6)&lt;&gt;"VACUUM"),"CDU",IF($H1928="FLUID CAT CRACKING","FCC",IF(OR($H1928="HYDROCRACKING",$H1928="RESID_HYDROCRACKING"),"Hydrocracker",IF($H1928="REFORMING","Reformer",""))))</f>
        <v/>
      </c>
      <c r="H1928" s="6" t="s">
        <v>43</v>
      </c>
      <c r="I1928" s="6" t="s">
        <v>893</v>
      </c>
      <c r="J1928" s="6" t="s">
        <v>349</v>
      </c>
      <c r="K1928" s="10">
        <v>16.8</v>
      </c>
      <c r="L1928" s="10">
        <v>24</v>
      </c>
      <c r="M1928" s="6" t="s">
        <v>375</v>
      </c>
    </row>
    <row r="1929" spans="1:13">
      <c r="A1929" s="6">
        <v>2023</v>
      </c>
      <c r="B1929" s="6">
        <v>9</v>
      </c>
      <c r="C1929" s="6" t="s">
        <v>67</v>
      </c>
      <c r="D1929" s="6" t="s">
        <v>602</v>
      </c>
      <c r="E1929" s="6" t="s">
        <v>369</v>
      </c>
      <c r="F1929" s="6" t="str">
        <f>IF($M1929="PADD I","PADD 1",IF($M1929="PADD II","PADD 2",IF($M1929="PADD III","PADD 3",IF($M1929="PADD IV","PADD 4",IF($M1929="PADD V","PADD 5","")))))</f>
        <v>PADD 2</v>
      </c>
      <c r="G1929" s="6">
        <f>IF(AND($H1929="ATMOS DISTILLATION",ISNUMBER(SEARCH("VPS",$I1929))=FALSE,LEFT($I1929,6)&lt;&gt;"VACUUM"),"CDU",IF($H1929="FLUID CAT CRACKING","FCC",IF(OR($H1929="HYDROCRACKING",$H1929="RESID_HYDROCRACKING"),"Hydrocracker",IF($H1929="REFORMING","Reformer",""))))</f>
        <v/>
      </c>
      <c r="H1929" s="6" t="s">
        <v>435</v>
      </c>
      <c r="I1929" s="6" t="s">
        <v>441</v>
      </c>
      <c r="J1929" s="6" t="s">
        <v>349</v>
      </c>
      <c r="K1929" s="10">
        <v>16.43</v>
      </c>
      <c r="L1929" s="10">
        <v>31</v>
      </c>
      <c r="M1929" s="6" t="s">
        <v>375</v>
      </c>
    </row>
    <row r="1930" spans="1:13">
      <c r="A1930" s="6">
        <v>2023</v>
      </c>
      <c r="B1930" s="6">
        <v>9</v>
      </c>
      <c r="C1930" s="6" t="s">
        <v>67</v>
      </c>
      <c r="D1930" s="6" t="s">
        <v>324</v>
      </c>
      <c r="E1930" s="6" t="s">
        <v>388</v>
      </c>
      <c r="F1930" s="6" t="str">
        <f>IF($M1930="PADD I","PADD 1",IF($M1930="PADD II","PADD 2",IF($M1930="PADD III","PADD 3",IF($M1930="PADD IV","PADD 4",IF($M1930="PADD V","PADD 5","")))))</f>
        <v>PADD 3</v>
      </c>
      <c r="G1930" s="6">
        <f>IF(AND($H1930="ATMOS DISTILLATION",ISNUMBER(SEARCH("VPS",$I1930))=FALSE,LEFT($I1930,6)&lt;&gt;"VACUUM"),"CDU",IF($H1930="FLUID CAT CRACKING","FCC",IF(OR($H1930="HYDROCRACKING",$H1930="RESID_HYDROCRACKING"),"Hydrocracker",IF($H1930="REFORMING","Reformer",""))))</f>
        <v/>
      </c>
      <c r="H1930" s="6" t="s">
        <v>43</v>
      </c>
      <c r="I1930" s="6" t="s">
        <v>693</v>
      </c>
      <c r="J1930" s="6" t="s">
        <v>345</v>
      </c>
      <c r="K1930" s="10">
        <v>16.2</v>
      </c>
      <c r="L1930" s="10">
        <v>40.5</v>
      </c>
      <c r="M1930" s="6" t="s">
        <v>371</v>
      </c>
    </row>
    <row r="1931" spans="1:13">
      <c r="A1931" s="6">
        <v>2023</v>
      </c>
      <c r="B1931" s="6">
        <v>9</v>
      </c>
      <c r="C1931" s="6" t="s">
        <v>67</v>
      </c>
      <c r="D1931" s="6" t="s">
        <v>490</v>
      </c>
      <c r="E1931" s="6" t="s">
        <v>491</v>
      </c>
      <c r="F1931" s="6" t="str">
        <f>IF($M1931="PADD I","PADD 1",IF($M1931="PADD II","PADD 2",IF($M1931="PADD III","PADD 3",IF($M1931="PADD IV","PADD 4",IF($M1931="PADD V","PADD 5","")))))</f>
        <v>PADD 3</v>
      </c>
      <c r="G1931" s="6">
        <f>IF(AND($H1931="ATMOS DISTILLATION",ISNUMBER(SEARCH("VPS",$I1931))=FALSE,LEFT($I1931,6)&lt;&gt;"VACUUM"),"CDU",IF($H1931="FLUID CAT CRACKING","FCC",IF(OR($H1931="HYDROCRACKING",$H1931="RESID_HYDROCRACKING"),"Hydrocracker",IF($H1931="REFORMING","Reformer",""))))</f>
        <v/>
      </c>
      <c r="H1931" s="6" t="s">
        <v>38</v>
      </c>
      <c r="I1931" s="6" t="s">
        <v>1008</v>
      </c>
      <c r="J1931" s="6" t="s">
        <v>349</v>
      </c>
      <c r="K1931" s="10">
        <v>15.3</v>
      </c>
      <c r="L1931" s="10">
        <v>90</v>
      </c>
      <c r="M1931" s="6" t="s">
        <v>371</v>
      </c>
    </row>
    <row r="1932" spans="1:13">
      <c r="A1932" s="6">
        <v>2023</v>
      </c>
      <c r="B1932" s="6">
        <v>9</v>
      </c>
      <c r="C1932" s="6" t="s">
        <v>67</v>
      </c>
      <c r="D1932" s="6" t="s">
        <v>40</v>
      </c>
      <c r="E1932" s="6" t="s">
        <v>736</v>
      </c>
      <c r="F1932" s="6" t="str">
        <f>IF($M1932="PADD I","PADD 1",IF($M1932="PADD II","PADD 2",IF($M1932="PADD III","PADD 3",IF($M1932="PADD IV","PADD 4",IF($M1932="PADD V","PADD 5","")))))</f>
        <v>PADD 1</v>
      </c>
      <c r="G1932" s="6">
        <f>IF(AND($H1932="ATMOS DISTILLATION",ISNUMBER(SEARCH("VPS",$I1932))=FALSE,LEFT($I1932,6)&lt;&gt;"VACUUM"),"CDU",IF($H1932="FLUID CAT CRACKING","FCC",IF(OR($H1932="HYDROCRACKING",$H1932="RESID_HYDROCRACKING"),"Hydrocracker",IF($H1932="REFORMING","Reformer",""))))</f>
        <v/>
      </c>
      <c r="H1932" s="6" t="s">
        <v>378</v>
      </c>
      <c r="I1932" s="6" t="s">
        <v>1009</v>
      </c>
      <c r="J1932" s="6" t="s">
        <v>345</v>
      </c>
      <c r="K1932" s="10">
        <v>14.82</v>
      </c>
      <c r="L1932" s="10">
        <v>26</v>
      </c>
      <c r="M1932" s="6" t="s">
        <v>413</v>
      </c>
    </row>
    <row r="1933" spans="1:13">
      <c r="A1933" s="6">
        <v>2023</v>
      </c>
      <c r="B1933" s="6">
        <v>9</v>
      </c>
      <c r="C1933" s="6" t="s">
        <v>67</v>
      </c>
      <c r="D1933" s="6" t="s">
        <v>40</v>
      </c>
      <c r="E1933" s="6" t="s">
        <v>736</v>
      </c>
      <c r="F1933" s="6" t="str">
        <f>IF($M1933="PADD I","PADD 1",IF($M1933="PADD II","PADD 2",IF($M1933="PADD III","PADD 3",IF($M1933="PADD IV","PADD 4",IF($M1933="PADD V","PADD 5","")))))</f>
        <v>PADD 1</v>
      </c>
      <c r="G1933" s="6">
        <f>IF(AND($H1933="ATMOS DISTILLATION",ISNUMBER(SEARCH("VPS",$I1933))=FALSE,LEFT($I1933,6)&lt;&gt;"VACUUM"),"CDU",IF($H1933="FLUID CAT CRACKING","FCC",IF(OR($H1933="HYDROCRACKING",$H1933="RESID_HYDROCRACKING"),"Hydrocracker",IF($H1933="REFORMING","Reformer",""))))</f>
        <v/>
      </c>
      <c r="H1933" s="6" t="s">
        <v>378</v>
      </c>
      <c r="I1933" s="6" t="s">
        <v>963</v>
      </c>
      <c r="J1933" s="6" t="s">
        <v>349</v>
      </c>
      <c r="K1933" s="10">
        <v>13.8681</v>
      </c>
      <c r="L1933" s="10">
        <v>24.33</v>
      </c>
      <c r="M1933" s="6" t="s">
        <v>413</v>
      </c>
    </row>
    <row r="1934" spans="1:13">
      <c r="A1934" s="6">
        <v>2023</v>
      </c>
      <c r="B1934" s="6">
        <v>9</v>
      </c>
      <c r="C1934" s="6" t="s">
        <v>67</v>
      </c>
      <c r="D1934" s="6" t="s">
        <v>40</v>
      </c>
      <c r="E1934" s="6" t="s">
        <v>736</v>
      </c>
      <c r="F1934" s="6" t="str">
        <f>IF($M1934="PADD I","PADD 1",IF($M1934="PADD II","PADD 2",IF($M1934="PADD III","PADD 3",IF($M1934="PADD IV","PADD 4",IF($M1934="PADD V","PADD 5","")))))</f>
        <v>PADD 1</v>
      </c>
      <c r="G1934" s="6">
        <f>IF(AND($H1934="ATMOS DISTILLATION",ISNUMBER(SEARCH("VPS",$I1934))=FALSE,LEFT($I1934,6)&lt;&gt;"VACUUM"),"CDU",IF($H1934="FLUID CAT CRACKING","FCC",IF(OR($H1934="HYDROCRACKING",$H1934="RESID_HYDROCRACKING"),"Hydrocracker",IF($H1934="REFORMING","Reformer",""))))</f>
        <v/>
      </c>
      <c r="H1934" s="6" t="s">
        <v>378</v>
      </c>
      <c r="I1934" s="6" t="s">
        <v>1010</v>
      </c>
      <c r="J1934" s="6" t="s">
        <v>349</v>
      </c>
      <c r="K1934" s="10">
        <v>13.8681</v>
      </c>
      <c r="L1934" s="10">
        <v>24.33</v>
      </c>
      <c r="M1934" s="6" t="s">
        <v>413</v>
      </c>
    </row>
    <row r="1935" spans="1:13">
      <c r="A1935" s="6">
        <v>2023</v>
      </c>
      <c r="B1935" s="6">
        <v>9</v>
      </c>
      <c r="C1935" s="6" t="s">
        <v>67</v>
      </c>
      <c r="D1935" s="6" t="s">
        <v>40</v>
      </c>
      <c r="E1935" s="6" t="s">
        <v>736</v>
      </c>
      <c r="F1935" s="6" t="str">
        <f>IF($M1935="PADD I","PADD 1",IF($M1935="PADD II","PADD 2",IF($M1935="PADD III","PADD 3",IF($M1935="PADD IV","PADD 4",IF($M1935="PADD V","PADD 5","")))))</f>
        <v>PADD 1</v>
      </c>
      <c r="G1935" s="6">
        <f>IF(AND($H1935="ATMOS DISTILLATION",ISNUMBER(SEARCH("VPS",$I1935))=FALSE,LEFT($I1935,6)&lt;&gt;"VACUUM"),"CDU",IF($H1935="FLUID CAT CRACKING","FCC",IF(OR($H1935="HYDROCRACKING",$H1935="RESID_HYDROCRACKING"),"Hydrocracker",IF($H1935="REFORMING","Reformer",""))))</f>
        <v/>
      </c>
      <c r="H1935" s="6" t="s">
        <v>43</v>
      </c>
      <c r="I1935" s="6" t="s">
        <v>1011</v>
      </c>
      <c r="J1935" s="6" t="s">
        <v>349</v>
      </c>
      <c r="K1935" s="10">
        <v>13.78</v>
      </c>
      <c r="L1935" s="10">
        <v>26</v>
      </c>
      <c r="M1935" s="6" t="s">
        <v>413</v>
      </c>
    </row>
    <row r="1936" spans="1:13">
      <c r="A1936" s="6">
        <v>2023</v>
      </c>
      <c r="B1936" s="6">
        <v>9</v>
      </c>
      <c r="C1936" s="6" t="s">
        <v>67</v>
      </c>
      <c r="D1936" s="6" t="s">
        <v>398</v>
      </c>
      <c r="E1936" s="6" t="s">
        <v>399</v>
      </c>
      <c r="F1936" s="6" t="str">
        <f>IF($M1936="PADD I","PADD 1",IF($M1936="PADD II","PADD 2",IF($M1936="PADD III","PADD 3",IF($M1936="PADD IV","PADD 4",IF($M1936="PADD V","PADD 5","")))))</f>
        <v>PADD 3</v>
      </c>
      <c r="G1936" s="6">
        <f>IF(AND($H1936="ATMOS DISTILLATION",ISNUMBER(SEARCH("VPS",$I1936))=FALSE,LEFT($I1936,6)&lt;&gt;"VACUUM"),"CDU",IF($H1936="FLUID CAT CRACKING","FCC",IF(OR($H1936="HYDROCRACKING",$H1936="RESID_HYDROCRACKING"),"Hydrocracker",IF($H1936="REFORMING","Reformer",""))))</f>
        <v/>
      </c>
      <c r="H1936" s="6" t="s">
        <v>43</v>
      </c>
      <c r="I1936" s="6" t="s">
        <v>1012</v>
      </c>
      <c r="J1936" s="6" t="s">
        <v>349</v>
      </c>
      <c r="K1936" s="10">
        <v>13.5</v>
      </c>
      <c r="L1936" s="10">
        <v>50</v>
      </c>
      <c r="M1936" s="6" t="s">
        <v>371</v>
      </c>
    </row>
    <row r="1937" spans="1:13">
      <c r="A1937" s="6">
        <v>2023</v>
      </c>
      <c r="B1937" s="6">
        <v>9</v>
      </c>
      <c r="C1937" s="6" t="s">
        <v>67</v>
      </c>
      <c r="D1937" s="6" t="s">
        <v>319</v>
      </c>
      <c r="E1937" s="6" t="s">
        <v>665</v>
      </c>
      <c r="F1937" s="6" t="str">
        <f>IF($M1937="PADD I","PADD 1",IF($M1937="PADD II","PADD 2",IF($M1937="PADD III","PADD 3",IF($M1937="PADD IV","PADD 4",IF($M1937="PADD V","PADD 5","")))))</f>
        <v>PADD 3</v>
      </c>
      <c r="G1937" s="6">
        <f>IF(AND($H1937="ATMOS DISTILLATION",ISNUMBER(SEARCH("VPS",$I1937))=FALSE,LEFT($I1937,6)&lt;&gt;"VACUUM"),"CDU",IF($H1937="FLUID CAT CRACKING","FCC",IF(OR($H1937="HYDROCRACKING",$H1937="RESID_HYDROCRACKING"),"Hydrocracker",IF($H1937="REFORMING","Reformer",""))))</f>
        <v/>
      </c>
      <c r="H1937" s="6" t="s">
        <v>378</v>
      </c>
      <c r="I1937" s="6" t="s">
        <v>877</v>
      </c>
      <c r="J1937" s="6" t="s">
        <v>345</v>
      </c>
      <c r="K1937" s="10">
        <v>13.26</v>
      </c>
      <c r="L1937" s="10">
        <v>78</v>
      </c>
      <c r="M1937" s="6" t="s">
        <v>371</v>
      </c>
    </row>
    <row r="1938" spans="1:13">
      <c r="A1938" s="6">
        <v>2023</v>
      </c>
      <c r="B1938" s="6">
        <v>9</v>
      </c>
      <c r="C1938" s="6" t="s">
        <v>67</v>
      </c>
      <c r="D1938" s="6" t="s">
        <v>455</v>
      </c>
      <c r="E1938" s="6" t="s">
        <v>405</v>
      </c>
      <c r="F1938" s="6" t="str">
        <f>IF($M1938="PADD I","PADD 1",IF($M1938="PADD II","PADD 2",IF($M1938="PADD III","PADD 3",IF($M1938="PADD IV","PADD 4",IF($M1938="PADD V","PADD 5","")))))</f>
        <v>PADD 3</v>
      </c>
      <c r="G1938" s="6" t="str">
        <f>IF(AND($H1938="ATMOS DISTILLATION",ISNUMBER(SEARCH("VPS",$I1938))=FALSE,LEFT($I1938,6)&lt;&gt;"VACUUM"),"CDU",IF($H1938="FLUID CAT CRACKING","FCC",IF(OR($H1938="HYDROCRACKING",$H1938="RESID_HYDROCRACKING"),"Hydrocracker",IF($H1938="REFORMING","Reformer",""))))</f>
        <v>Hydrocracker</v>
      </c>
      <c r="H1938" s="6" t="s">
        <v>444</v>
      </c>
      <c r="I1938" s="6" t="s">
        <v>1013</v>
      </c>
      <c r="J1938" s="6" t="s">
        <v>345</v>
      </c>
      <c r="K1938" s="10">
        <v>13.11</v>
      </c>
      <c r="L1938" s="10">
        <v>57</v>
      </c>
      <c r="M1938" s="6" t="s">
        <v>371</v>
      </c>
    </row>
    <row r="1939" spans="1:13">
      <c r="A1939" s="6">
        <v>2023</v>
      </c>
      <c r="B1939" s="6">
        <v>9</v>
      </c>
      <c r="C1939" s="6" t="s">
        <v>67</v>
      </c>
      <c r="D1939" s="6" t="s">
        <v>40</v>
      </c>
      <c r="E1939" s="6" t="s">
        <v>736</v>
      </c>
      <c r="F1939" s="6" t="str">
        <f>IF($M1939="PADD I","PADD 1",IF($M1939="PADD II","PADD 2",IF($M1939="PADD III","PADD 3",IF($M1939="PADD IV","PADD 4",IF($M1939="PADD V","PADD 5","")))))</f>
        <v>PADD 1</v>
      </c>
      <c r="G1939" s="6" t="str">
        <f>IF(AND($H1939="ATMOS DISTILLATION",ISNUMBER(SEARCH("VPS",$I1939))=FALSE,LEFT($I1939,6)&lt;&gt;"VACUUM"),"CDU",IF($H1939="FLUID CAT CRACKING","FCC",IF(OR($H1939="HYDROCRACKING",$H1939="RESID_HYDROCRACKING"),"Hydrocracker",IF($H1939="REFORMING","Reformer",""))))</f>
        <v>Hydrocracker</v>
      </c>
      <c r="H1939" s="6" t="s">
        <v>444</v>
      </c>
      <c r="I1939" s="6" t="s">
        <v>445</v>
      </c>
      <c r="J1939" s="6" t="s">
        <v>345</v>
      </c>
      <c r="K1939" s="10">
        <v>13.11</v>
      </c>
      <c r="L1939" s="10">
        <v>23</v>
      </c>
      <c r="M1939" s="6" t="s">
        <v>413</v>
      </c>
    </row>
    <row r="1940" spans="1:13">
      <c r="A1940" s="6">
        <v>2023</v>
      </c>
      <c r="B1940" s="6">
        <v>9</v>
      </c>
      <c r="C1940" s="6" t="s">
        <v>67</v>
      </c>
      <c r="D1940" s="6" t="s">
        <v>420</v>
      </c>
      <c r="E1940" s="6" t="s">
        <v>373</v>
      </c>
      <c r="F1940" s="6" t="str">
        <f>IF($M1940="PADD I","PADD 1",IF($M1940="PADD II","PADD 2",IF($M1940="PADD III","PADD 3",IF($M1940="PADD IV","PADD 4",IF($M1940="PADD V","PADD 5","")))))</f>
        <v>PADD 2</v>
      </c>
      <c r="G1940" s="6" t="str">
        <f>IF(AND($H1940="ATMOS DISTILLATION",ISNUMBER(SEARCH("VPS",$I1940))=FALSE,LEFT($I1940,6)&lt;&gt;"VACUUM"),"CDU",IF($H1940="FLUID CAT CRACKING","FCC",IF(OR($H1940="HYDROCRACKING",$H1940="RESID_HYDROCRACKING"),"Hydrocracker",IF($H1940="REFORMING","Reformer",""))))</f>
        <v>FCC</v>
      </c>
      <c r="H1940" s="6" t="s">
        <v>376</v>
      </c>
      <c r="I1940" s="6" t="s">
        <v>105</v>
      </c>
      <c r="J1940" s="6" t="s">
        <v>345</v>
      </c>
      <c r="K1940" s="10">
        <v>13</v>
      </c>
      <c r="L1940" s="10">
        <v>13</v>
      </c>
      <c r="M1940" s="6" t="s">
        <v>375</v>
      </c>
    </row>
    <row r="1941" spans="1:13">
      <c r="A1941" s="6">
        <v>2023</v>
      </c>
      <c r="B1941" s="6">
        <v>9</v>
      </c>
      <c r="C1941" s="6" t="s">
        <v>67</v>
      </c>
      <c r="D1941" s="6" t="s">
        <v>801</v>
      </c>
      <c r="E1941" s="6" t="s">
        <v>779</v>
      </c>
      <c r="F1941" s="6" t="str">
        <f>IF($M1941="PADD I","PADD 1",IF($M1941="PADD II","PADD 2",IF($M1941="PADD III","PADD 3",IF($M1941="PADD IV","PADD 4",IF($M1941="PADD V","PADD 5","")))))</f>
        <v>PADD 2</v>
      </c>
      <c r="G1941" s="6">
        <f>IF(AND($H1941="ATMOS DISTILLATION",ISNUMBER(SEARCH("VPS",$I1941))=FALSE,LEFT($I1941,6)&lt;&gt;"VACUUM"),"CDU",IF($H1941="FLUID CAT CRACKING","FCC",IF(OR($H1941="HYDROCRACKING",$H1941="RESID_HYDROCRACKING"),"Hydrocracker",IF($H1941="REFORMING","Reformer",""))))</f>
        <v/>
      </c>
      <c r="H1941" s="6" t="s">
        <v>435</v>
      </c>
      <c r="I1941" s="6" t="s">
        <v>894</v>
      </c>
      <c r="J1941" s="6" t="s">
        <v>349</v>
      </c>
      <c r="K1941" s="10">
        <v>12.705</v>
      </c>
      <c r="L1941" s="10">
        <v>16.5</v>
      </c>
      <c r="M1941" s="6" t="s">
        <v>375</v>
      </c>
    </row>
    <row r="1942" spans="1:13">
      <c r="A1942" s="6">
        <v>2023</v>
      </c>
      <c r="B1942" s="6">
        <v>9</v>
      </c>
      <c r="C1942" s="6" t="s">
        <v>67</v>
      </c>
      <c r="D1942" s="6" t="s">
        <v>40</v>
      </c>
      <c r="E1942" s="6" t="s">
        <v>736</v>
      </c>
      <c r="F1942" s="6" t="str">
        <f>IF($M1942="PADD I","PADD 1",IF($M1942="PADD II","PADD 2",IF($M1942="PADD III","PADD 3",IF($M1942="PADD IV","PADD 4",IF($M1942="PADD V","PADD 5","")))))</f>
        <v>PADD 1</v>
      </c>
      <c r="G1942" s="6">
        <f>IF(AND($H1942="ATMOS DISTILLATION",ISNUMBER(SEARCH("VPS",$I1942))=FALSE,LEFT($I1942,6)&lt;&gt;"VACUUM"),"CDU",IF($H1942="FLUID CAT CRACKING","FCC",IF(OR($H1942="HYDROCRACKING",$H1942="RESID_HYDROCRACKING"),"Hydrocracker",IF($H1942="REFORMING","Reformer",""))))</f>
        <v/>
      </c>
      <c r="H1942" s="6" t="s">
        <v>43</v>
      </c>
      <c r="I1942" s="6" t="s">
        <v>1014</v>
      </c>
      <c r="J1942" s="6" t="s">
        <v>349</v>
      </c>
      <c r="K1942" s="10">
        <v>12.04</v>
      </c>
      <c r="L1942" s="10">
        <v>28</v>
      </c>
      <c r="M1942" s="6" t="s">
        <v>413</v>
      </c>
    </row>
    <row r="1943" spans="1:13">
      <c r="A1943" s="6">
        <v>2023</v>
      </c>
      <c r="B1943" s="6">
        <v>9</v>
      </c>
      <c r="C1943" s="6" t="s">
        <v>67</v>
      </c>
      <c r="D1943" s="6" t="s">
        <v>602</v>
      </c>
      <c r="E1943" s="6" t="s">
        <v>369</v>
      </c>
      <c r="F1943" s="6" t="str">
        <f>IF($M1943="PADD I","PADD 1",IF($M1943="PADD II","PADD 2",IF($M1943="PADD III","PADD 3",IF($M1943="PADD IV","PADD 4",IF($M1943="PADD V","PADD 5","")))))</f>
        <v>PADD 2</v>
      </c>
      <c r="G1943" s="6">
        <f>IF(AND($H1943="ATMOS DISTILLATION",ISNUMBER(SEARCH("VPS",$I1943))=FALSE,LEFT($I1943,6)&lt;&gt;"VACUUM"),"CDU",IF($H1943="FLUID CAT CRACKING","FCC",IF(OR($H1943="HYDROCRACKING",$H1943="RESID_HYDROCRACKING"),"Hydrocracker",IF($H1943="REFORMING","Reformer",""))))</f>
        <v/>
      </c>
      <c r="H1943" s="6" t="s">
        <v>568</v>
      </c>
      <c r="I1943" s="6" t="s">
        <v>1015</v>
      </c>
      <c r="J1943" s="6" t="s">
        <v>349</v>
      </c>
      <c r="K1943" s="10">
        <v>12</v>
      </c>
      <c r="L1943" s="10">
        <v>12</v>
      </c>
      <c r="M1943" s="6" t="s">
        <v>375</v>
      </c>
    </row>
    <row r="1944" spans="1:13">
      <c r="A1944" s="6">
        <v>2023</v>
      </c>
      <c r="B1944" s="6">
        <v>9</v>
      </c>
      <c r="C1944" s="6" t="s">
        <v>67</v>
      </c>
      <c r="D1944" s="6" t="s">
        <v>331</v>
      </c>
      <c r="E1944" s="6" t="s">
        <v>373</v>
      </c>
      <c r="F1944" s="6" t="str">
        <f>IF($M1944="PADD I","PADD 1",IF($M1944="PADD II","PADD 2",IF($M1944="PADD III","PADD 3",IF($M1944="PADD IV","PADD 4",IF($M1944="PADD V","PADD 5","")))))</f>
        <v>PADD 2</v>
      </c>
      <c r="G1944" s="6" t="str">
        <f>IF(AND($H1944="ATMOS DISTILLATION",ISNUMBER(SEARCH("VPS",$I1944))=FALSE,LEFT($I1944,6)&lt;&gt;"VACUUM"),"CDU",IF($H1944="FLUID CAT CRACKING","FCC",IF(OR($H1944="HYDROCRACKING",$H1944="RESID_HYDROCRACKING"),"Hydrocracker",IF($H1944="REFORMING","Reformer",""))))</f>
        <v>Reformer</v>
      </c>
      <c r="H1944" s="6" t="s">
        <v>421</v>
      </c>
      <c r="I1944" s="6" t="s">
        <v>916</v>
      </c>
      <c r="J1944" s="6" t="s">
        <v>345</v>
      </c>
      <c r="K1944" s="10">
        <v>12</v>
      </c>
      <c r="L1944" s="10">
        <v>40</v>
      </c>
      <c r="M1944" s="6" t="s">
        <v>375</v>
      </c>
    </row>
    <row r="1945" spans="1:13">
      <c r="A1945" s="6">
        <v>2023</v>
      </c>
      <c r="B1945" s="6">
        <v>9</v>
      </c>
      <c r="C1945" s="6" t="s">
        <v>67</v>
      </c>
      <c r="D1945" s="6" t="s">
        <v>398</v>
      </c>
      <c r="E1945" s="6" t="s">
        <v>399</v>
      </c>
      <c r="F1945" s="6" t="str">
        <f>IF($M1945="PADD I","PADD 1",IF($M1945="PADD II","PADD 2",IF($M1945="PADD III","PADD 3",IF($M1945="PADD IV","PADD 4",IF($M1945="PADD V","PADD 5","")))))</f>
        <v>PADD 3</v>
      </c>
      <c r="G1945" s="6">
        <f>IF(AND($H1945="ATMOS DISTILLATION",ISNUMBER(SEARCH("VPS",$I1945))=FALSE,LEFT($I1945,6)&lt;&gt;"VACUUM"),"CDU",IF($H1945="FLUID CAT CRACKING","FCC",IF(OR($H1945="HYDROCRACKING",$H1945="RESID_HYDROCRACKING"),"Hydrocracker",IF($H1945="REFORMING","Reformer",""))))</f>
        <v/>
      </c>
      <c r="H1945" s="6" t="s">
        <v>43</v>
      </c>
      <c r="I1945" s="6" t="s">
        <v>1016</v>
      </c>
      <c r="J1945" s="6" t="s">
        <v>349</v>
      </c>
      <c r="K1945" s="10">
        <v>11.61</v>
      </c>
      <c r="L1945" s="10">
        <v>43</v>
      </c>
      <c r="M1945" s="6" t="s">
        <v>371</v>
      </c>
    </row>
    <row r="1946" spans="1:13">
      <c r="A1946" s="6">
        <v>2023</v>
      </c>
      <c r="B1946" s="6">
        <v>9</v>
      </c>
      <c r="C1946" s="6" t="s">
        <v>67</v>
      </c>
      <c r="D1946" s="6" t="s">
        <v>612</v>
      </c>
      <c r="E1946" s="6" t="s">
        <v>416</v>
      </c>
      <c r="F1946" s="6" t="str">
        <f>IF($M1946="PADD I","PADD 1",IF($M1946="PADD II","PADD 2",IF($M1946="PADD III","PADD 3",IF($M1946="PADD IV","PADD 4",IF($M1946="PADD V","PADD 5","")))))</f>
        <v>PADD 3</v>
      </c>
      <c r="G1946" s="6" t="str">
        <f>IF(AND($H1946="ATMOS DISTILLATION",ISNUMBER(SEARCH("VPS",$I1946))=FALSE,LEFT($I1946,6)&lt;&gt;"VACUUM"),"CDU",IF($H1946="FLUID CAT CRACKING","FCC",IF(OR($H1946="HYDROCRACKING",$H1946="RESID_HYDROCRACKING"),"Hydrocracker",IF($H1946="REFORMING","Reformer",""))))</f>
        <v>CDU</v>
      </c>
      <c r="H1946" s="6" t="s">
        <v>38</v>
      </c>
      <c r="I1946" s="6" t="s">
        <v>81</v>
      </c>
      <c r="J1946" s="6" t="s">
        <v>345</v>
      </c>
      <c r="K1946" s="10">
        <v>11.55</v>
      </c>
      <c r="L1946" s="10">
        <v>165</v>
      </c>
      <c r="M1946" s="6" t="s">
        <v>371</v>
      </c>
    </row>
    <row r="1947" spans="1:13">
      <c r="A1947" s="6">
        <v>2023</v>
      </c>
      <c r="B1947" s="6">
        <v>9</v>
      </c>
      <c r="C1947" s="6" t="s">
        <v>67</v>
      </c>
      <c r="D1947" s="6" t="s">
        <v>572</v>
      </c>
      <c r="E1947" s="6" t="s">
        <v>573</v>
      </c>
      <c r="F1947" s="6" t="str">
        <f>IF($M1947="PADD I","PADD 1",IF($M1947="PADD II","PADD 2",IF($M1947="PADD III","PADD 3",IF($M1947="PADD IV","PADD 4",IF($M1947="PADD V","PADD 5","")))))</f>
        <v>PADD 3</v>
      </c>
      <c r="G1947" s="6" t="str">
        <f>IF(AND($H1947="ATMOS DISTILLATION",ISNUMBER(SEARCH("VPS",$I1947))=FALSE,LEFT($I1947,6)&lt;&gt;"VACUUM"),"CDU",IF($H1947="FLUID CAT CRACKING","FCC",IF(OR($H1947="HYDROCRACKING",$H1947="RESID_HYDROCRACKING"),"Hydrocracker",IF($H1947="REFORMING","Reformer",""))))</f>
        <v>CDU</v>
      </c>
      <c r="H1947" s="6" t="s">
        <v>38</v>
      </c>
      <c r="I1947" s="6" t="s">
        <v>574</v>
      </c>
      <c r="J1947" s="6" t="s">
        <v>349</v>
      </c>
      <c r="K1947" s="10">
        <v>11.5</v>
      </c>
      <c r="L1947" s="10">
        <v>50</v>
      </c>
      <c r="M1947" s="6" t="s">
        <v>371</v>
      </c>
    </row>
    <row r="1948" spans="1:13">
      <c r="A1948" s="6">
        <v>2023</v>
      </c>
      <c r="B1948" s="6">
        <v>9</v>
      </c>
      <c r="C1948" s="6" t="s">
        <v>67</v>
      </c>
      <c r="D1948" s="6" t="s">
        <v>319</v>
      </c>
      <c r="E1948" s="6" t="s">
        <v>665</v>
      </c>
      <c r="F1948" s="6" t="str">
        <f>IF($M1948="PADD I","PADD 1",IF($M1948="PADD II","PADD 2",IF($M1948="PADD III","PADD 3",IF($M1948="PADD IV","PADD 4",IF($M1948="PADD V","PADD 5","")))))</f>
        <v>PADD 3</v>
      </c>
      <c r="G1948" s="6" t="str">
        <f>IF(AND($H1948="ATMOS DISTILLATION",ISNUMBER(SEARCH("VPS",$I1948))=FALSE,LEFT($I1948,6)&lt;&gt;"VACUUM"),"CDU",IF($H1948="FLUID CAT CRACKING","FCC",IF(OR($H1948="HYDROCRACKING",$H1948="RESID_HYDROCRACKING"),"Hydrocracker",IF($H1948="REFORMING","Reformer",""))))</f>
        <v>FCC</v>
      </c>
      <c r="H1948" s="6" t="s">
        <v>376</v>
      </c>
      <c r="I1948" s="6" t="s">
        <v>875</v>
      </c>
      <c r="J1948" s="6" t="s">
        <v>345</v>
      </c>
      <c r="K1948" s="10">
        <v>11.2</v>
      </c>
      <c r="L1948" s="10">
        <v>112</v>
      </c>
      <c r="M1948" s="6" t="s">
        <v>371</v>
      </c>
    </row>
    <row r="1949" spans="1:13">
      <c r="A1949" s="6">
        <v>2023</v>
      </c>
      <c r="B1949" s="6">
        <v>9</v>
      </c>
      <c r="C1949" s="6" t="s">
        <v>67</v>
      </c>
      <c r="D1949" s="6" t="s">
        <v>676</v>
      </c>
      <c r="E1949" s="6" t="s">
        <v>677</v>
      </c>
      <c r="F1949" s="6" t="str">
        <f>IF($M1949="PADD I","PADD 1",IF($M1949="PADD II","PADD 2",IF($M1949="PADD III","PADD 3",IF($M1949="PADD IV","PADD 4",IF($M1949="PADD V","PADD 5","")))))</f>
        <v>PADD 1</v>
      </c>
      <c r="G1949" s="6" t="str">
        <f>IF(AND($H1949="ATMOS DISTILLATION",ISNUMBER(SEARCH("VPS",$I1949))=FALSE,LEFT($I1949,6)&lt;&gt;"VACUUM"),"CDU",IF($H1949="FLUID CAT CRACKING","FCC",IF(OR($H1949="HYDROCRACKING",$H1949="RESID_HYDROCRACKING"),"Hydrocracker",IF($H1949="REFORMING","Reformer",""))))</f>
        <v>CDU</v>
      </c>
      <c r="H1949" s="6" t="s">
        <v>38</v>
      </c>
      <c r="I1949" s="6" t="s">
        <v>678</v>
      </c>
      <c r="J1949" s="6" t="s">
        <v>345</v>
      </c>
      <c r="K1949" s="10">
        <v>11</v>
      </c>
      <c r="L1949" s="10">
        <v>110</v>
      </c>
      <c r="M1949" s="6" t="s">
        <v>413</v>
      </c>
    </row>
    <row r="1950" spans="1:13">
      <c r="A1950" s="6">
        <v>2023</v>
      </c>
      <c r="B1950" s="6">
        <v>9</v>
      </c>
      <c r="C1950" s="6" t="s">
        <v>67</v>
      </c>
      <c r="D1950" s="6" t="s">
        <v>420</v>
      </c>
      <c r="E1950" s="6" t="s">
        <v>373</v>
      </c>
      <c r="F1950" s="6" t="str">
        <f>IF($M1950="PADD I","PADD 1",IF($M1950="PADD II","PADD 2",IF($M1950="PADD III","PADD 3",IF($M1950="PADD IV","PADD 4",IF($M1950="PADD V","PADD 5","")))))</f>
        <v>PADD 2</v>
      </c>
      <c r="G1950" s="6">
        <f>IF(AND($H1950="ATMOS DISTILLATION",ISNUMBER(SEARCH("VPS",$I1950))=FALSE,LEFT($I1950,6)&lt;&gt;"VACUUM"),"CDU",IF($H1950="FLUID CAT CRACKING","FCC",IF(OR($H1950="HYDROCRACKING",$H1950="RESID_HYDROCRACKING"),"Hydrocracker",IF($H1950="REFORMING","Reformer",""))))</f>
        <v/>
      </c>
      <c r="H1950" s="6" t="s">
        <v>43</v>
      </c>
      <c r="I1950" s="6" t="s">
        <v>546</v>
      </c>
      <c r="J1950" s="6" t="s">
        <v>345</v>
      </c>
      <c r="K1950" s="10">
        <v>11</v>
      </c>
      <c r="L1950" s="10">
        <v>11</v>
      </c>
      <c r="M1950" s="6" t="s">
        <v>375</v>
      </c>
    </row>
    <row r="1951" spans="1:13">
      <c r="A1951" s="6">
        <v>2023</v>
      </c>
      <c r="B1951" s="6">
        <v>9</v>
      </c>
      <c r="C1951" s="6" t="s">
        <v>67</v>
      </c>
      <c r="D1951" s="6" t="s">
        <v>324</v>
      </c>
      <c r="E1951" s="6" t="s">
        <v>388</v>
      </c>
      <c r="F1951" s="6" t="str">
        <f>IF($M1951="PADD I","PADD 1",IF($M1951="PADD II","PADD 2",IF($M1951="PADD III","PADD 3",IF($M1951="PADD IV","PADD 4",IF($M1951="PADD V","PADD 5","")))))</f>
        <v>PADD 3</v>
      </c>
      <c r="G1951" s="6">
        <f>IF(AND($H1951="ATMOS DISTILLATION",ISNUMBER(SEARCH("VPS",$I1951))=FALSE,LEFT($I1951,6)&lt;&gt;"VACUUM"),"CDU",IF($H1951="FLUID CAT CRACKING","FCC",IF(OR($H1951="HYDROCRACKING",$H1951="RESID_HYDROCRACKING"),"Hydrocracker",IF($H1951="REFORMING","Reformer",""))))</f>
        <v/>
      </c>
      <c r="H1951" s="6" t="s">
        <v>43</v>
      </c>
      <c r="I1951" s="6" t="s">
        <v>682</v>
      </c>
      <c r="J1951" s="6" t="s">
        <v>345</v>
      </c>
      <c r="K1951" s="10">
        <v>10.6</v>
      </c>
      <c r="L1951" s="10">
        <v>106</v>
      </c>
      <c r="M1951" s="6" t="s">
        <v>371</v>
      </c>
    </row>
    <row r="1952" spans="1:13">
      <c r="A1952" s="6">
        <v>2023</v>
      </c>
      <c r="B1952" s="6">
        <v>9</v>
      </c>
      <c r="C1952" s="6" t="s">
        <v>67</v>
      </c>
      <c r="D1952" s="6" t="s">
        <v>328</v>
      </c>
      <c r="E1952" s="6" t="s">
        <v>416</v>
      </c>
      <c r="F1952" s="6" t="str">
        <f>IF($M1952="PADD I","PADD 1",IF($M1952="PADD II","PADD 2",IF($M1952="PADD III","PADD 3",IF($M1952="PADD IV","PADD 4",IF($M1952="PADD V","PADD 5","")))))</f>
        <v>PADD 2</v>
      </c>
      <c r="G1952" s="6">
        <f>IF(AND($H1952="ATMOS DISTILLATION",ISNUMBER(SEARCH("VPS",$I1952))=FALSE,LEFT($I1952,6)&lt;&gt;"VACUUM"),"CDU",IF($H1952="FLUID CAT CRACKING","FCC",IF(OR($H1952="HYDROCRACKING",$H1952="RESID_HYDROCRACKING"),"Hydrocracker",IF($H1952="REFORMING","Reformer",""))))</f>
        <v/>
      </c>
      <c r="H1952" s="6" t="s">
        <v>43</v>
      </c>
      <c r="I1952" s="6" t="s">
        <v>520</v>
      </c>
      <c r="J1952" s="6" t="s">
        <v>349</v>
      </c>
      <c r="K1952" s="10">
        <v>10.35</v>
      </c>
      <c r="L1952" s="10">
        <v>45</v>
      </c>
      <c r="M1952" s="6" t="s">
        <v>375</v>
      </c>
    </row>
    <row r="1953" spans="1:13">
      <c r="A1953" s="6">
        <v>2023</v>
      </c>
      <c r="B1953" s="6">
        <v>9</v>
      </c>
      <c r="C1953" s="6" t="s">
        <v>67</v>
      </c>
      <c r="D1953" s="6" t="s">
        <v>328</v>
      </c>
      <c r="E1953" s="6" t="s">
        <v>416</v>
      </c>
      <c r="F1953" s="6" t="str">
        <f>IF($M1953="PADD I","PADD 1",IF($M1953="PADD II","PADD 2",IF($M1953="PADD III","PADD 3",IF($M1953="PADD IV","PADD 4",IF($M1953="PADD V","PADD 5","")))))</f>
        <v>PADD 2</v>
      </c>
      <c r="G1953" s="6" t="str">
        <f>IF(AND($H1953="ATMOS DISTILLATION",ISNUMBER(SEARCH("VPS",$I1953))=FALSE,LEFT($I1953,6)&lt;&gt;"VACUUM"),"CDU",IF($H1953="FLUID CAT CRACKING","FCC",IF(OR($H1953="HYDROCRACKING",$H1953="RESID_HYDROCRACKING"),"Hydrocracker",IF($H1953="REFORMING","Reformer",""))))</f>
        <v>CDU</v>
      </c>
      <c r="H1953" s="6" t="s">
        <v>38</v>
      </c>
      <c r="I1953" s="6" t="s">
        <v>91</v>
      </c>
      <c r="J1953" s="6" t="s">
        <v>349</v>
      </c>
      <c r="K1953" s="10">
        <v>10.0625</v>
      </c>
      <c r="L1953" s="10">
        <v>43.75</v>
      </c>
      <c r="M1953" s="6" t="s">
        <v>375</v>
      </c>
    </row>
    <row r="1954" spans="1:13">
      <c r="A1954" s="6">
        <v>2023</v>
      </c>
      <c r="B1954" s="6">
        <v>9</v>
      </c>
      <c r="C1954" s="6" t="s">
        <v>67</v>
      </c>
      <c r="D1954" s="6" t="s">
        <v>40</v>
      </c>
      <c r="E1954" s="6" t="s">
        <v>736</v>
      </c>
      <c r="F1954" s="6" t="str">
        <f>IF($M1954="PADD I","PADD 1",IF($M1954="PADD II","PADD 2",IF($M1954="PADD III","PADD 3",IF($M1954="PADD IV","PADD 4",IF($M1954="PADD V","PADD 5","")))))</f>
        <v>PADD 1</v>
      </c>
      <c r="G1954" s="6">
        <f>IF(AND($H1954="ATMOS DISTILLATION",ISNUMBER(SEARCH("VPS",$I1954))=FALSE,LEFT($I1954,6)&lt;&gt;"VACUUM"),"CDU",IF($H1954="FLUID CAT CRACKING","FCC",IF(OR($H1954="HYDROCRACKING",$H1954="RESID_HYDROCRACKING"),"Hydrocracker",IF($H1954="REFORMING","Reformer",""))))</f>
        <v/>
      </c>
      <c r="H1954" s="6" t="s">
        <v>378</v>
      </c>
      <c r="I1954" s="6" t="s">
        <v>1009</v>
      </c>
      <c r="J1954" s="6" t="s">
        <v>349</v>
      </c>
      <c r="K1954" s="10">
        <v>9.731999999999999</v>
      </c>
      <c r="L1954" s="10">
        <v>24.33</v>
      </c>
      <c r="M1954" s="6" t="s">
        <v>413</v>
      </c>
    </row>
    <row r="1955" spans="1:13">
      <c r="A1955" s="6">
        <v>2023</v>
      </c>
      <c r="B1955" s="6">
        <v>9</v>
      </c>
      <c r="C1955" s="6" t="s">
        <v>67</v>
      </c>
      <c r="D1955" s="6" t="s">
        <v>408</v>
      </c>
      <c r="E1955" s="6" t="s">
        <v>409</v>
      </c>
      <c r="F1955" s="6" t="str">
        <f>IF($M1955="PADD I","PADD 1",IF($M1955="PADD II","PADD 2",IF($M1955="PADD III","PADD 3",IF($M1955="PADD IV","PADD 4",IF($M1955="PADD V","PADD 5","")))))</f>
        <v>PADD 3</v>
      </c>
      <c r="G1955" s="6" t="str">
        <f>IF(AND($H1955="ATMOS DISTILLATION",ISNUMBER(SEARCH("VPS",$I1955))=FALSE,LEFT($I1955,6)&lt;&gt;"VACUUM"),"CDU",IF($H1955="FLUID CAT CRACKING","FCC",IF(OR($H1955="HYDROCRACKING",$H1955="RESID_HYDROCRACKING"),"Hydrocracker",IF($H1955="REFORMING","Reformer",""))))</f>
        <v>Reformer</v>
      </c>
      <c r="H1955" s="6" t="s">
        <v>421</v>
      </c>
      <c r="I1955" s="6" t="s">
        <v>533</v>
      </c>
      <c r="J1955" s="6" t="s">
        <v>345</v>
      </c>
      <c r="K1955" s="10">
        <v>9.449999999999999</v>
      </c>
      <c r="L1955" s="10">
        <v>35</v>
      </c>
      <c r="M1955" s="6" t="s">
        <v>371</v>
      </c>
    </row>
    <row r="1956" spans="1:13">
      <c r="A1956" s="6">
        <v>2023</v>
      </c>
      <c r="B1956" s="6">
        <v>9</v>
      </c>
      <c r="C1956" s="6" t="s">
        <v>67</v>
      </c>
      <c r="D1956" s="6" t="s">
        <v>51</v>
      </c>
      <c r="E1956" s="6" t="s">
        <v>391</v>
      </c>
      <c r="F1956" s="6" t="str">
        <f>IF($M1956="PADD I","PADD 1",IF($M1956="PADD II","PADD 2",IF($M1956="PADD III","PADD 3",IF($M1956="PADD IV","PADD 4",IF($M1956="PADD V","PADD 5","")))))</f>
        <v>PADD 5</v>
      </c>
      <c r="G1956" s="6" t="str">
        <f>IF(AND($H1956="ATMOS DISTILLATION",ISNUMBER(SEARCH("VPS",$I1956))=FALSE,LEFT($I1956,6)&lt;&gt;"VACUUM"),"CDU",IF($H1956="FLUID CAT CRACKING","FCC",IF(OR($H1956="HYDROCRACKING",$H1956="RESID_HYDROCRACKING"),"Hydrocracker",IF($H1956="REFORMING","Reformer",""))))</f>
        <v>FCC</v>
      </c>
      <c r="H1956" s="6" t="s">
        <v>376</v>
      </c>
      <c r="I1956" s="6" t="s">
        <v>105</v>
      </c>
      <c r="J1956" s="6" t="s">
        <v>345</v>
      </c>
      <c r="K1956" s="10">
        <v>9.425000000000001</v>
      </c>
      <c r="L1956" s="10">
        <v>72.5</v>
      </c>
      <c r="M1956" s="6" t="s">
        <v>386</v>
      </c>
    </row>
    <row r="1957" spans="1:13">
      <c r="A1957" s="6">
        <v>2023</v>
      </c>
      <c r="B1957" s="6">
        <v>9</v>
      </c>
      <c r="C1957" s="6" t="s">
        <v>67</v>
      </c>
      <c r="D1957" s="6" t="s">
        <v>676</v>
      </c>
      <c r="E1957" s="6" t="s">
        <v>677</v>
      </c>
      <c r="F1957" s="6" t="str">
        <f>IF($M1957="PADD I","PADD 1",IF($M1957="PADD II","PADD 2",IF($M1957="PADD III","PADD 3",IF($M1957="PADD IV","PADD 4",IF($M1957="PADD V","PADD 5","")))))</f>
        <v>PADD 1</v>
      </c>
      <c r="G1957" s="6">
        <f>IF(AND($H1957="ATMOS DISTILLATION",ISNUMBER(SEARCH("VPS",$I1957))=FALSE,LEFT($I1957,6)&lt;&gt;"VACUUM"),"CDU",IF($H1957="FLUID CAT CRACKING","FCC",IF(OR($H1957="HYDROCRACKING",$H1957="RESID_HYDROCRACKING"),"Hydrocracker",IF($H1957="REFORMING","Reformer",""))))</f>
        <v/>
      </c>
      <c r="H1957" s="6" t="s">
        <v>43</v>
      </c>
      <c r="I1957" s="6" t="s">
        <v>1017</v>
      </c>
      <c r="J1957" s="6" t="s">
        <v>345</v>
      </c>
      <c r="K1957" s="10">
        <v>9.045</v>
      </c>
      <c r="L1957" s="10">
        <v>13.5</v>
      </c>
      <c r="M1957" s="6" t="s">
        <v>413</v>
      </c>
    </row>
    <row r="1958" spans="1:13">
      <c r="A1958" s="6">
        <v>2023</v>
      </c>
      <c r="B1958" s="6">
        <v>9</v>
      </c>
      <c r="C1958" s="6" t="s">
        <v>67</v>
      </c>
      <c r="D1958" s="6" t="s">
        <v>602</v>
      </c>
      <c r="E1958" s="6" t="s">
        <v>369</v>
      </c>
      <c r="F1958" s="6" t="str">
        <f>IF($M1958="PADD I","PADD 1",IF($M1958="PADD II","PADD 2",IF($M1958="PADD III","PADD 3",IF($M1958="PADD IV","PADD 4",IF($M1958="PADD V","PADD 5","")))))</f>
        <v>PADD 2</v>
      </c>
      <c r="G1958" s="6">
        <f>IF(AND($H1958="ATMOS DISTILLATION",ISNUMBER(SEARCH("VPS",$I1958))=FALSE,LEFT($I1958,6)&lt;&gt;"VACUUM"),"CDU",IF($H1958="FLUID CAT CRACKING","FCC",IF(OR($H1958="HYDROCRACKING",$H1958="RESID_HYDROCRACKING"),"Hydrocracker",IF($H1958="REFORMING","Reformer",""))))</f>
        <v/>
      </c>
      <c r="H1958" s="6" t="s">
        <v>568</v>
      </c>
      <c r="I1958" s="6" t="s">
        <v>604</v>
      </c>
      <c r="J1958" s="6" t="s">
        <v>349</v>
      </c>
      <c r="K1958" s="10">
        <v>9</v>
      </c>
      <c r="L1958" s="10">
        <v>9</v>
      </c>
      <c r="M1958" s="6" t="s">
        <v>375</v>
      </c>
    </row>
    <row r="1959" spans="1:13">
      <c r="A1959" s="6">
        <v>2023</v>
      </c>
      <c r="B1959" s="6">
        <v>9</v>
      </c>
      <c r="C1959" s="6" t="s">
        <v>67</v>
      </c>
      <c r="D1959" s="6" t="s">
        <v>408</v>
      </c>
      <c r="E1959" s="6" t="s">
        <v>409</v>
      </c>
      <c r="F1959" s="6" t="str">
        <f>IF($M1959="PADD I","PADD 1",IF($M1959="PADD II","PADD 2",IF($M1959="PADD III","PADD 3",IF($M1959="PADD IV","PADD 4",IF($M1959="PADD V","PADD 5","")))))</f>
        <v>PADD 3</v>
      </c>
      <c r="G1959" s="6">
        <f>IF(AND($H1959="ATMOS DISTILLATION",ISNUMBER(SEARCH("VPS",$I1959))=FALSE,LEFT($I1959,6)&lt;&gt;"VACUUM"),"CDU",IF($H1959="FLUID CAT CRACKING","FCC",IF(OR($H1959="HYDROCRACKING",$H1959="RESID_HYDROCRACKING"),"Hydrocracker",IF($H1959="REFORMING","Reformer",""))))</f>
        <v/>
      </c>
      <c r="H1959" s="6" t="s">
        <v>43</v>
      </c>
      <c r="I1959" s="6" t="s">
        <v>502</v>
      </c>
      <c r="J1959" s="6" t="s">
        <v>345</v>
      </c>
      <c r="K1959" s="10">
        <v>9</v>
      </c>
      <c r="L1959" s="10">
        <v>30</v>
      </c>
      <c r="M1959" s="6" t="s">
        <v>371</v>
      </c>
    </row>
    <row r="1960" spans="1:13">
      <c r="A1960" s="6">
        <v>2023</v>
      </c>
      <c r="B1960" s="6">
        <v>9</v>
      </c>
      <c r="C1960" s="6" t="s">
        <v>67</v>
      </c>
      <c r="D1960" s="6" t="s">
        <v>408</v>
      </c>
      <c r="E1960" s="6" t="s">
        <v>409</v>
      </c>
      <c r="F1960" s="6" t="str">
        <f>IF($M1960="PADD I","PADD 1",IF($M1960="PADD II","PADD 2",IF($M1960="PADD III","PADD 3",IF($M1960="PADD IV","PADD 4",IF($M1960="PADD V","PADD 5","")))))</f>
        <v>PADD 3</v>
      </c>
      <c r="G1960" s="6">
        <f>IF(AND($H1960="ATMOS DISTILLATION",ISNUMBER(SEARCH("VPS",$I1960))=FALSE,LEFT($I1960,6)&lt;&gt;"VACUUM"),"CDU",IF($H1960="FLUID CAT CRACKING","FCC",IF(OR($H1960="HYDROCRACKING",$H1960="RESID_HYDROCRACKING"),"Hydrocracker",IF($H1960="REFORMING","Reformer",""))))</f>
        <v/>
      </c>
      <c r="H1960" s="6" t="s">
        <v>43</v>
      </c>
      <c r="I1960" s="6" t="s">
        <v>503</v>
      </c>
      <c r="J1960" s="6" t="s">
        <v>345</v>
      </c>
      <c r="K1960" s="10">
        <v>9</v>
      </c>
      <c r="L1960" s="10">
        <v>30</v>
      </c>
      <c r="M1960" s="6" t="s">
        <v>371</v>
      </c>
    </row>
    <row r="1961" spans="1:13">
      <c r="A1961" s="6">
        <v>2023</v>
      </c>
      <c r="B1961" s="6">
        <v>9</v>
      </c>
      <c r="C1961" s="6" t="s">
        <v>67</v>
      </c>
      <c r="D1961" s="6" t="s">
        <v>788</v>
      </c>
      <c r="E1961" s="6" t="s">
        <v>405</v>
      </c>
      <c r="F1961" s="6" t="str">
        <f>IF($M1961="PADD I","PADD 1",IF($M1961="PADD II","PADD 2",IF($M1961="PADD III","PADD 3",IF($M1961="PADD IV","PADD 4",IF($M1961="PADD V","PADD 5","")))))</f>
        <v>PADD 3</v>
      </c>
      <c r="G1961" s="6" t="str">
        <f>IF(AND($H1961="ATMOS DISTILLATION",ISNUMBER(SEARCH("VPS",$I1961))=FALSE,LEFT($I1961,6)&lt;&gt;"VACUUM"),"CDU",IF($H1961="FLUID CAT CRACKING","FCC",IF(OR($H1961="HYDROCRACKING",$H1961="RESID_HYDROCRACKING"),"Hydrocracker",IF($H1961="REFORMING","Reformer",""))))</f>
        <v>Reformer</v>
      </c>
      <c r="H1961" s="6" t="s">
        <v>421</v>
      </c>
      <c r="I1961" s="6" t="s">
        <v>782</v>
      </c>
      <c r="J1961" s="6" t="s">
        <v>345</v>
      </c>
      <c r="K1961" s="10">
        <v>8.640000000000001</v>
      </c>
      <c r="L1961" s="10">
        <v>32</v>
      </c>
      <c r="M1961" s="6" t="s">
        <v>371</v>
      </c>
    </row>
    <row r="1962" spans="1:13">
      <c r="A1962" s="6">
        <v>2023</v>
      </c>
      <c r="B1962" s="6">
        <v>9</v>
      </c>
      <c r="C1962" s="6" t="s">
        <v>67</v>
      </c>
      <c r="D1962" s="6" t="s">
        <v>328</v>
      </c>
      <c r="E1962" s="6" t="s">
        <v>416</v>
      </c>
      <c r="F1962" s="6" t="str">
        <f>IF($M1962="PADD I","PADD 1",IF($M1962="PADD II","PADD 2",IF($M1962="PADD III","PADD 3",IF($M1962="PADD IV","PADD 4",IF($M1962="PADD V","PADD 5","")))))</f>
        <v>PADD 2</v>
      </c>
      <c r="G1962" s="6">
        <f>IF(AND($H1962="ATMOS DISTILLATION",ISNUMBER(SEARCH("VPS",$I1962))=FALSE,LEFT($I1962,6)&lt;&gt;"VACUUM"),"CDU",IF($H1962="FLUID CAT CRACKING","FCC",IF(OR($H1962="HYDROCRACKING",$H1962="RESID_HYDROCRACKING"),"Hydrocracker",IF($H1962="REFORMING","Reformer",""))))</f>
        <v/>
      </c>
      <c r="H1962" s="6" t="s">
        <v>43</v>
      </c>
      <c r="I1962" s="6" t="s">
        <v>1018</v>
      </c>
      <c r="J1962" s="6" t="s">
        <v>349</v>
      </c>
      <c r="K1962" s="10">
        <v>8.050000000000001</v>
      </c>
      <c r="L1962" s="10">
        <v>35</v>
      </c>
      <c r="M1962" s="6" t="s">
        <v>375</v>
      </c>
    </row>
    <row r="1963" spans="1:13">
      <c r="A1963" s="6">
        <v>2023</v>
      </c>
      <c r="B1963" s="6">
        <v>9</v>
      </c>
      <c r="C1963" s="6" t="s">
        <v>67</v>
      </c>
      <c r="D1963" s="6" t="s">
        <v>420</v>
      </c>
      <c r="E1963" s="6" t="s">
        <v>373</v>
      </c>
      <c r="F1963" s="6" t="str">
        <f>IF($M1963="PADD I","PADD 1",IF($M1963="PADD II","PADD 2",IF($M1963="PADD III","PADD 3",IF($M1963="PADD IV","PADD 4",IF($M1963="PADD V","PADD 5","")))))</f>
        <v>PADD 2</v>
      </c>
      <c r="G1963" s="6" t="str">
        <f>IF(AND($H1963="ATMOS DISTILLATION",ISNUMBER(SEARCH("VPS",$I1963))=FALSE,LEFT($I1963,6)&lt;&gt;"VACUUM"),"CDU",IF($H1963="FLUID CAT CRACKING","FCC",IF(OR($H1963="HYDROCRACKING",$H1963="RESID_HYDROCRACKING"),"Hydrocracker",IF($H1963="REFORMING","Reformer",""))))</f>
        <v>Reformer</v>
      </c>
      <c r="H1963" s="6" t="s">
        <v>421</v>
      </c>
      <c r="I1963" s="6" t="s">
        <v>571</v>
      </c>
      <c r="J1963" s="6" t="s">
        <v>345</v>
      </c>
      <c r="K1963" s="10">
        <v>8</v>
      </c>
      <c r="L1963" s="10">
        <v>8</v>
      </c>
      <c r="M1963" s="6" t="s">
        <v>375</v>
      </c>
    </row>
    <row r="1964" spans="1:13">
      <c r="A1964" s="6">
        <v>2023</v>
      </c>
      <c r="B1964" s="6">
        <v>9</v>
      </c>
      <c r="C1964" s="6" t="s">
        <v>67</v>
      </c>
      <c r="D1964" s="6" t="s">
        <v>420</v>
      </c>
      <c r="E1964" s="6" t="s">
        <v>373</v>
      </c>
      <c r="F1964" s="6" t="str">
        <f>IF($M1964="PADD I","PADD 1",IF($M1964="PADD II","PADD 2",IF($M1964="PADD III","PADD 3",IF($M1964="PADD IV","PADD 4",IF($M1964="PADD V","PADD 5","")))))</f>
        <v>PADD 2</v>
      </c>
      <c r="G1964" s="6">
        <f>IF(AND($H1964="ATMOS DISTILLATION",ISNUMBER(SEARCH("VPS",$I1964))=FALSE,LEFT($I1964,6)&lt;&gt;"VACUUM"),"CDU",IF($H1964="FLUID CAT CRACKING","FCC",IF(OR($H1964="HYDROCRACKING",$H1964="RESID_HYDROCRACKING"),"Hydrocracker",IF($H1964="REFORMING","Reformer",""))))</f>
        <v/>
      </c>
      <c r="H1964" s="6" t="s">
        <v>43</v>
      </c>
      <c r="I1964" s="6" t="s">
        <v>577</v>
      </c>
      <c r="J1964" s="6" t="s">
        <v>345</v>
      </c>
      <c r="K1964" s="10">
        <v>7.7</v>
      </c>
      <c r="L1964" s="10">
        <v>7.7</v>
      </c>
      <c r="M1964" s="6" t="s">
        <v>375</v>
      </c>
    </row>
    <row r="1965" spans="1:13">
      <c r="A1965" s="6">
        <v>2023</v>
      </c>
      <c r="B1965" s="6">
        <v>9</v>
      </c>
      <c r="C1965" s="6" t="s">
        <v>67</v>
      </c>
      <c r="D1965" s="6" t="s">
        <v>420</v>
      </c>
      <c r="E1965" s="6" t="s">
        <v>373</v>
      </c>
      <c r="F1965" s="6" t="str">
        <f>IF($M1965="PADD I","PADD 1",IF($M1965="PADD II","PADD 2",IF($M1965="PADD III","PADD 3",IF($M1965="PADD IV","PADD 4",IF($M1965="PADD V","PADD 5","")))))</f>
        <v>PADD 2</v>
      </c>
      <c r="G1965" s="6">
        <f>IF(AND($H1965="ATMOS DISTILLATION",ISNUMBER(SEARCH("VPS",$I1965))=FALSE,LEFT($I1965,6)&lt;&gt;"VACUUM"),"CDU",IF($H1965="FLUID CAT CRACKING","FCC",IF(OR($H1965="HYDROCRACKING",$H1965="RESID_HYDROCRACKING"),"Hydrocracker",IF($H1965="REFORMING","Reformer",""))))</f>
        <v/>
      </c>
      <c r="H1965" s="6" t="s">
        <v>43</v>
      </c>
      <c r="I1965" s="6" t="s">
        <v>458</v>
      </c>
      <c r="J1965" s="6" t="s">
        <v>345</v>
      </c>
      <c r="K1965" s="10">
        <v>7.5</v>
      </c>
      <c r="L1965" s="10">
        <v>7.5</v>
      </c>
      <c r="M1965" s="6" t="s">
        <v>375</v>
      </c>
    </row>
    <row r="1966" spans="1:13">
      <c r="A1966" s="6">
        <v>2023</v>
      </c>
      <c r="B1966" s="6">
        <v>9</v>
      </c>
      <c r="C1966" s="6" t="s">
        <v>67</v>
      </c>
      <c r="D1966" s="6" t="s">
        <v>40</v>
      </c>
      <c r="E1966" s="6" t="s">
        <v>736</v>
      </c>
      <c r="F1966" s="6" t="str">
        <f>IF($M1966="PADD I","PADD 1",IF($M1966="PADD II","PADD 2",IF($M1966="PADD III","PADD 3",IF($M1966="PADD IV","PADD 4",IF($M1966="PADD V","PADD 5","")))))</f>
        <v>PADD 1</v>
      </c>
      <c r="G1966" s="6">
        <f>IF(AND($H1966="ATMOS DISTILLATION",ISNUMBER(SEARCH("VPS",$I1966))=FALSE,LEFT($I1966,6)&lt;&gt;"VACUUM"),"CDU",IF($H1966="FLUID CAT CRACKING","FCC",IF(OR($H1966="HYDROCRACKING",$H1966="RESID_HYDROCRACKING"),"Hydrocracker",IF($H1966="REFORMING","Reformer",""))))</f>
        <v/>
      </c>
      <c r="H1966" s="6" t="s">
        <v>637</v>
      </c>
      <c r="I1966" s="6" t="s">
        <v>1019</v>
      </c>
      <c r="J1966" s="6" t="s">
        <v>349</v>
      </c>
      <c r="K1966" s="10">
        <v>7.42</v>
      </c>
      <c r="L1966" s="10">
        <v>14</v>
      </c>
      <c r="M1966" s="6" t="s">
        <v>413</v>
      </c>
    </row>
    <row r="1967" spans="1:13">
      <c r="A1967" s="6">
        <v>2023</v>
      </c>
      <c r="B1967" s="6">
        <v>9</v>
      </c>
      <c r="C1967" s="6" t="s">
        <v>67</v>
      </c>
      <c r="D1967" s="6" t="s">
        <v>531</v>
      </c>
      <c r="E1967" s="6" t="s">
        <v>532</v>
      </c>
      <c r="F1967" s="6" t="str">
        <f>IF($M1967="PADD I","PADD 1",IF($M1967="PADD II","PADD 2",IF($M1967="PADD III","PADD 3",IF($M1967="PADD IV","PADD 4",IF($M1967="PADD V","PADD 5","")))))</f>
        <v>PADD 5</v>
      </c>
      <c r="G1967" s="6">
        <f>IF(AND($H1967="ATMOS DISTILLATION",ISNUMBER(SEARCH("VPS",$I1967))=FALSE,LEFT($I1967,6)&lt;&gt;"VACUUM"),"CDU",IF($H1967="FLUID CAT CRACKING","FCC",IF(OR($H1967="HYDROCRACKING",$H1967="RESID_HYDROCRACKING"),"Hydrocracker",IF($H1967="REFORMING","Reformer",""))))</f>
        <v/>
      </c>
      <c r="H1967" s="6" t="s">
        <v>435</v>
      </c>
      <c r="I1967" s="6" t="s">
        <v>614</v>
      </c>
      <c r="J1967" s="6" t="s">
        <v>345</v>
      </c>
      <c r="K1967" s="10">
        <v>7.29</v>
      </c>
      <c r="L1967" s="10">
        <v>27</v>
      </c>
      <c r="M1967" s="6" t="s">
        <v>386</v>
      </c>
    </row>
    <row r="1968" spans="1:13">
      <c r="A1968" s="6">
        <v>2023</v>
      </c>
      <c r="B1968" s="6">
        <v>9</v>
      </c>
      <c r="C1968" s="6" t="s">
        <v>67</v>
      </c>
      <c r="D1968" s="6" t="s">
        <v>446</v>
      </c>
      <c r="E1968" s="6" t="s">
        <v>391</v>
      </c>
      <c r="F1968" s="6" t="str">
        <f>IF($M1968="PADD I","PADD 1",IF($M1968="PADD II","PADD 2",IF($M1968="PADD III","PADD 3",IF($M1968="PADD IV","PADD 4",IF($M1968="PADD V","PADD 5","")))))</f>
        <v>PADD 3</v>
      </c>
      <c r="G1968" s="6">
        <f>IF(AND($H1968="ATMOS DISTILLATION",ISNUMBER(SEARCH("VPS",$I1968))=FALSE,LEFT($I1968,6)&lt;&gt;"VACUUM"),"CDU",IF($H1968="FLUID CAT CRACKING","FCC",IF(OR($H1968="HYDROCRACKING",$H1968="RESID_HYDROCRACKING"),"Hydrocracker",IF($H1968="REFORMING","Reformer",""))))</f>
        <v/>
      </c>
      <c r="H1968" s="6" t="s">
        <v>460</v>
      </c>
      <c r="I1968" s="6" t="s">
        <v>580</v>
      </c>
      <c r="J1968" s="6" t="s">
        <v>345</v>
      </c>
      <c r="K1968" s="10">
        <v>7.2</v>
      </c>
      <c r="L1968" s="10">
        <v>7.2</v>
      </c>
      <c r="M1968" s="6" t="s">
        <v>371</v>
      </c>
    </row>
    <row r="1969" spans="1:13">
      <c r="A1969" s="6">
        <v>2023</v>
      </c>
      <c r="B1969" s="6">
        <v>9</v>
      </c>
      <c r="C1969" s="6" t="s">
        <v>67</v>
      </c>
      <c r="D1969" s="6" t="s">
        <v>676</v>
      </c>
      <c r="E1969" s="6" t="s">
        <v>677</v>
      </c>
      <c r="F1969" s="6" t="str">
        <f>IF($M1969="PADD I","PADD 1",IF($M1969="PADD II","PADD 2",IF($M1969="PADD III","PADD 3",IF($M1969="PADD IV","PADD 4",IF($M1969="PADD V","PADD 5","")))))</f>
        <v>PADD 1</v>
      </c>
      <c r="G1969" s="6">
        <f>IF(AND($H1969="ATMOS DISTILLATION",ISNUMBER(SEARCH("VPS",$I1969))=FALSE,LEFT($I1969,6)&lt;&gt;"VACUUM"),"CDU",IF($H1969="FLUID CAT CRACKING","FCC",IF(OR($H1969="HYDROCRACKING",$H1969="RESID_HYDROCRACKING"),"Hydrocracker",IF($H1969="REFORMING","Reformer",""))))</f>
        <v/>
      </c>
      <c r="H1969" s="6" t="s">
        <v>43</v>
      </c>
      <c r="I1969" s="6" t="s">
        <v>458</v>
      </c>
      <c r="J1969" s="6" t="s">
        <v>345</v>
      </c>
      <c r="K1969" s="10">
        <v>7.035</v>
      </c>
      <c r="L1969" s="10">
        <v>10.5</v>
      </c>
      <c r="M1969" s="6" t="s">
        <v>413</v>
      </c>
    </row>
    <row r="1970" spans="1:13">
      <c r="A1970" s="6">
        <v>2023</v>
      </c>
      <c r="B1970" s="6">
        <v>9</v>
      </c>
      <c r="C1970" s="6" t="s">
        <v>67</v>
      </c>
      <c r="D1970" s="6" t="s">
        <v>676</v>
      </c>
      <c r="E1970" s="6" t="s">
        <v>677</v>
      </c>
      <c r="F1970" s="6" t="str">
        <f>IF($M1970="PADD I","PADD 1",IF($M1970="PADD II","PADD 2",IF($M1970="PADD III","PADD 3",IF($M1970="PADD IV","PADD 4",IF($M1970="PADD V","PADD 5","")))))</f>
        <v>PADD 1</v>
      </c>
      <c r="G1970" s="6">
        <f>IF(AND($H1970="ATMOS DISTILLATION",ISNUMBER(SEARCH("VPS",$I1970))=FALSE,LEFT($I1970,6)&lt;&gt;"VACUUM"),"CDU",IF($H1970="FLUID CAT CRACKING","FCC",IF(OR($H1970="HYDROCRACKING",$H1970="RESID_HYDROCRACKING"),"Hydrocracker",IF($H1970="REFORMING","Reformer",""))))</f>
        <v/>
      </c>
      <c r="H1970" s="6" t="s">
        <v>43</v>
      </c>
      <c r="I1970" s="6" t="s">
        <v>759</v>
      </c>
      <c r="J1970" s="6" t="s">
        <v>345</v>
      </c>
      <c r="K1970" s="10">
        <v>7.035</v>
      </c>
      <c r="L1970" s="10">
        <v>10.5</v>
      </c>
      <c r="M1970" s="6" t="s">
        <v>413</v>
      </c>
    </row>
    <row r="1971" spans="1:13">
      <c r="A1971" s="6">
        <v>2023</v>
      </c>
      <c r="B1971" s="6">
        <v>9</v>
      </c>
      <c r="C1971" s="6" t="s">
        <v>67</v>
      </c>
      <c r="D1971" s="6" t="s">
        <v>468</v>
      </c>
      <c r="E1971" s="6" t="s">
        <v>369</v>
      </c>
      <c r="F1971" s="6" t="str">
        <f>IF($M1971="PADD I","PADD 1",IF($M1971="PADD II","PADD 2",IF($M1971="PADD III","PADD 3",IF($M1971="PADD IV","PADD 4",IF($M1971="PADD V","PADD 5","")))))</f>
        <v>PADD 3</v>
      </c>
      <c r="G1971" s="6" t="str">
        <f>IF(AND($H1971="ATMOS DISTILLATION",ISNUMBER(SEARCH("VPS",$I1971))=FALSE,LEFT($I1971,6)&lt;&gt;"VACUUM"),"CDU",IF($H1971="FLUID CAT CRACKING","FCC",IF(OR($H1971="HYDROCRACKING",$H1971="RESID_HYDROCRACKING"),"Hydrocracker",IF($H1971="REFORMING","Reformer",""))))</f>
        <v>Reformer</v>
      </c>
      <c r="H1971" s="6" t="s">
        <v>421</v>
      </c>
      <c r="I1971" s="6" t="s">
        <v>635</v>
      </c>
      <c r="J1971" s="6" t="s">
        <v>345</v>
      </c>
      <c r="K1971" s="10">
        <v>7</v>
      </c>
      <c r="L1971" s="10">
        <v>7</v>
      </c>
      <c r="M1971" s="6" t="s">
        <v>371</v>
      </c>
    </row>
    <row r="1972" spans="1:13">
      <c r="A1972" s="6">
        <v>2023</v>
      </c>
      <c r="B1972" s="6">
        <v>9</v>
      </c>
      <c r="C1972" s="6" t="s">
        <v>67</v>
      </c>
      <c r="D1972" s="6" t="s">
        <v>490</v>
      </c>
      <c r="E1972" s="6" t="s">
        <v>491</v>
      </c>
      <c r="F1972" s="6" t="str">
        <f>IF($M1972="PADD I","PADD 1",IF($M1972="PADD II","PADD 2",IF($M1972="PADD III","PADD 3",IF($M1972="PADD IV","PADD 4",IF($M1972="PADD V","PADD 5","")))))</f>
        <v>PADD 3</v>
      </c>
      <c r="G1972" s="6">
        <f>IF(AND($H1972="ATMOS DISTILLATION",ISNUMBER(SEARCH("VPS",$I1972))=FALSE,LEFT($I1972,6)&lt;&gt;"VACUUM"),"CDU",IF($H1972="FLUID CAT CRACKING","FCC",IF(OR($H1972="HYDROCRACKING",$H1972="RESID_HYDROCRACKING"),"Hydrocracker",IF($H1972="REFORMING","Reformer",""))))</f>
        <v/>
      </c>
      <c r="H1972" s="6" t="s">
        <v>378</v>
      </c>
      <c r="I1972" s="6" t="s">
        <v>1020</v>
      </c>
      <c r="J1972" s="6" t="s">
        <v>349</v>
      </c>
      <c r="K1972" s="10">
        <v>6.8</v>
      </c>
      <c r="L1972" s="10">
        <v>40</v>
      </c>
      <c r="M1972" s="6" t="s">
        <v>371</v>
      </c>
    </row>
    <row r="1973" spans="1:13">
      <c r="A1973" s="6">
        <v>2023</v>
      </c>
      <c r="B1973" s="6">
        <v>9</v>
      </c>
      <c r="C1973" s="6" t="s">
        <v>67</v>
      </c>
      <c r="D1973" s="6" t="s">
        <v>953</v>
      </c>
      <c r="E1973" s="6" t="s">
        <v>733</v>
      </c>
      <c r="F1973" s="6" t="str">
        <f>IF($M1973="PADD I","PADD 1",IF($M1973="PADD II","PADD 2",IF($M1973="PADD III","PADD 3",IF($M1973="PADD IV","PADD 4",IF($M1973="PADD V","PADD 5","")))))</f>
        <v>PADD 2</v>
      </c>
      <c r="G1973" s="6" t="str">
        <f>IF(AND($H1973="ATMOS DISTILLATION",ISNUMBER(SEARCH("VPS",$I1973))=FALSE,LEFT($I1973,6)&lt;&gt;"VACUUM"),"CDU",IF($H1973="FLUID CAT CRACKING","FCC",IF(OR($H1973="HYDROCRACKING",$H1973="RESID_HYDROCRACKING"),"Hydrocracker",IF($H1973="REFORMING","Reformer",""))))</f>
        <v>Hydrocracker</v>
      </c>
      <c r="H1973" s="6" t="s">
        <v>444</v>
      </c>
      <c r="I1973" s="6" t="s">
        <v>14</v>
      </c>
      <c r="J1973" s="6" t="s">
        <v>345</v>
      </c>
      <c r="K1973" s="10">
        <v>6.545</v>
      </c>
      <c r="L1973" s="10">
        <v>38.5</v>
      </c>
      <c r="M1973" s="6" t="s">
        <v>375</v>
      </c>
    </row>
    <row r="1974" spans="1:13">
      <c r="A1974" s="6">
        <v>2023</v>
      </c>
      <c r="B1974" s="6">
        <v>9</v>
      </c>
      <c r="C1974" s="6" t="s">
        <v>67</v>
      </c>
      <c r="D1974" s="6" t="s">
        <v>676</v>
      </c>
      <c r="E1974" s="6" t="s">
        <v>677</v>
      </c>
      <c r="F1974" s="6" t="str">
        <f>IF($M1974="PADD I","PADD 1",IF($M1974="PADD II","PADD 2",IF($M1974="PADD III","PADD 3",IF($M1974="PADD IV","PADD 4",IF($M1974="PADD V","PADD 5","")))))</f>
        <v>PADD 1</v>
      </c>
      <c r="G1974" s="6" t="str">
        <f>IF(AND($H1974="ATMOS DISTILLATION",ISNUMBER(SEARCH("VPS",$I1974))=FALSE,LEFT($I1974,6)&lt;&gt;"VACUUM"),"CDU",IF($H1974="FLUID CAT CRACKING","FCC",IF(OR($H1974="HYDROCRACKING",$H1974="RESID_HYDROCRACKING"),"Hydrocracker",IF($H1974="REFORMING","Reformer",""))))</f>
        <v>Reformer</v>
      </c>
      <c r="H1974" s="6" t="s">
        <v>421</v>
      </c>
      <c r="I1974" s="6" t="s">
        <v>899</v>
      </c>
      <c r="J1974" s="6" t="s">
        <v>345</v>
      </c>
      <c r="K1974" s="10">
        <v>6.432</v>
      </c>
      <c r="L1974" s="10">
        <v>9.6</v>
      </c>
      <c r="M1974" s="6" t="s">
        <v>413</v>
      </c>
    </row>
    <row r="1975" spans="1:13">
      <c r="A1975" s="6">
        <v>2023</v>
      </c>
      <c r="B1975" s="6">
        <v>9</v>
      </c>
      <c r="C1975" s="6" t="s">
        <v>67</v>
      </c>
      <c r="D1975" s="6" t="s">
        <v>40</v>
      </c>
      <c r="E1975" s="6" t="s">
        <v>736</v>
      </c>
      <c r="F1975" s="6" t="str">
        <f>IF($M1975="PADD I","PADD 1",IF($M1975="PADD II","PADD 2",IF($M1975="PADD III","PADD 3",IF($M1975="PADD IV","PADD 4",IF($M1975="PADD V","PADD 5","")))))</f>
        <v>PADD 1</v>
      </c>
      <c r="G1975" s="6">
        <f>IF(AND($H1975="ATMOS DISTILLATION",ISNUMBER(SEARCH("VPS",$I1975))=FALSE,LEFT($I1975,6)&lt;&gt;"VACUUM"),"CDU",IF($H1975="FLUID CAT CRACKING","FCC",IF(OR($H1975="HYDROCRACKING",$H1975="RESID_HYDROCRACKING"),"Hydrocracker",IF($H1975="REFORMING","Reformer",""))))</f>
        <v/>
      </c>
      <c r="H1975" s="6" t="s">
        <v>460</v>
      </c>
      <c r="I1975" s="6" t="s">
        <v>760</v>
      </c>
      <c r="J1975" s="6" t="s">
        <v>349</v>
      </c>
      <c r="K1975" s="10">
        <v>6.36</v>
      </c>
      <c r="L1975" s="10">
        <v>12</v>
      </c>
      <c r="M1975" s="6" t="s">
        <v>413</v>
      </c>
    </row>
    <row r="1976" spans="1:13">
      <c r="A1976" s="6">
        <v>2023</v>
      </c>
      <c r="B1976" s="6">
        <v>9</v>
      </c>
      <c r="C1976" s="6" t="s">
        <v>67</v>
      </c>
      <c r="D1976" s="6" t="s">
        <v>40</v>
      </c>
      <c r="E1976" s="6" t="s">
        <v>736</v>
      </c>
      <c r="F1976" s="6" t="str">
        <f>IF($M1976="PADD I","PADD 1",IF($M1976="PADD II","PADD 2",IF($M1976="PADD III","PADD 3",IF($M1976="PADD IV","PADD 4",IF($M1976="PADD V","PADD 5","")))))</f>
        <v>PADD 1</v>
      </c>
      <c r="G1976" s="6">
        <f>IF(AND($H1976="ATMOS DISTILLATION",ISNUMBER(SEARCH("VPS",$I1976))=FALSE,LEFT($I1976,6)&lt;&gt;"VACUUM"),"CDU",IF($H1976="FLUID CAT CRACKING","FCC",IF(OR($H1976="HYDROCRACKING",$H1976="RESID_HYDROCRACKING"),"Hydrocracker",IF($H1976="REFORMING","Reformer",""))))</f>
        <v/>
      </c>
      <c r="H1976" s="6" t="s">
        <v>43</v>
      </c>
      <c r="I1976" s="6" t="s">
        <v>1021</v>
      </c>
      <c r="J1976" s="6" t="s">
        <v>349</v>
      </c>
      <c r="K1976" s="10">
        <v>6.095</v>
      </c>
      <c r="L1976" s="10">
        <v>11.5</v>
      </c>
      <c r="M1976" s="6" t="s">
        <v>413</v>
      </c>
    </row>
    <row r="1977" spans="1:13">
      <c r="A1977" s="6">
        <v>2023</v>
      </c>
      <c r="B1977" s="6">
        <v>9</v>
      </c>
      <c r="C1977" s="6" t="s">
        <v>67</v>
      </c>
      <c r="D1977" s="6" t="s">
        <v>887</v>
      </c>
      <c r="E1977" s="6" t="s">
        <v>405</v>
      </c>
      <c r="F1977" s="6" t="str">
        <f>IF($M1977="PADD I","PADD 1",IF($M1977="PADD II","PADD 2",IF($M1977="PADD III","PADD 3",IF($M1977="PADD IV","PADD 4",IF($M1977="PADD V","PADD 5","")))))</f>
        <v>PADD 3</v>
      </c>
      <c r="G1977" s="6" t="str">
        <f>IF(AND($H1977="ATMOS DISTILLATION",ISNUMBER(SEARCH("VPS",$I1977))=FALSE,LEFT($I1977,6)&lt;&gt;"VACUUM"),"CDU",IF($H1977="FLUID CAT CRACKING","FCC",IF(OR($H1977="HYDROCRACKING",$H1977="RESID_HYDROCRACKING"),"Hydrocracker",IF($H1977="REFORMING","Reformer",""))))</f>
        <v>Hydrocracker</v>
      </c>
      <c r="H1977" s="6" t="s">
        <v>444</v>
      </c>
      <c r="I1977" s="6" t="s">
        <v>1022</v>
      </c>
      <c r="J1977" s="6" t="s">
        <v>349</v>
      </c>
      <c r="K1977" s="10">
        <v>6</v>
      </c>
      <c r="L1977" s="10">
        <v>30</v>
      </c>
      <c r="M1977" s="6" t="s">
        <v>371</v>
      </c>
    </row>
    <row r="1978" spans="1:13">
      <c r="A1978" s="6">
        <v>2023</v>
      </c>
      <c r="B1978" s="6">
        <v>9</v>
      </c>
      <c r="C1978" s="6" t="s">
        <v>67</v>
      </c>
      <c r="D1978" s="6" t="s">
        <v>496</v>
      </c>
      <c r="E1978" s="6" t="s">
        <v>388</v>
      </c>
      <c r="F1978" s="6" t="str">
        <f>IF($M1978="PADD I","PADD 1",IF($M1978="PADD II","PADD 2",IF($M1978="PADD III","PADD 3",IF($M1978="PADD IV","PADD 4",IF($M1978="PADD V","PADD 5","")))))</f>
        <v>PADD 2</v>
      </c>
      <c r="G1978" s="6">
        <f>IF(AND($H1978="ATMOS DISTILLATION",ISNUMBER(SEARCH("VPS",$I1978))=FALSE,LEFT($I1978,6)&lt;&gt;"VACUUM"),"CDU",IF($H1978="FLUID CAT CRACKING","FCC",IF(OR($H1978="HYDROCRACKING",$H1978="RESID_HYDROCRACKING"),"Hydrocracker",IF($H1978="REFORMING","Reformer",""))))</f>
        <v/>
      </c>
      <c r="H1978" s="6" t="s">
        <v>43</v>
      </c>
      <c r="I1978" s="6" t="s">
        <v>955</v>
      </c>
      <c r="J1978" s="6" t="s">
        <v>349</v>
      </c>
      <c r="K1978" s="10">
        <v>6</v>
      </c>
      <c r="L1978" s="10">
        <v>6</v>
      </c>
      <c r="M1978" s="6" t="s">
        <v>375</v>
      </c>
    </row>
    <row r="1979" spans="1:13">
      <c r="A1979" s="6">
        <v>2023</v>
      </c>
      <c r="B1979" s="6">
        <v>9</v>
      </c>
      <c r="C1979" s="6" t="s">
        <v>67</v>
      </c>
      <c r="D1979" s="6" t="s">
        <v>455</v>
      </c>
      <c r="E1979" s="6" t="s">
        <v>405</v>
      </c>
      <c r="F1979" s="6" t="str">
        <f>IF($M1979="PADD I","PADD 1",IF($M1979="PADD II","PADD 2",IF($M1979="PADD III","PADD 3",IF($M1979="PADD IV","PADD 4",IF($M1979="PADD V","PADD 5","")))))</f>
        <v>PADD 3</v>
      </c>
      <c r="G1979" s="6" t="str">
        <f>IF(AND($H1979="ATMOS DISTILLATION",ISNUMBER(SEARCH("VPS",$I1979))=FALSE,LEFT($I1979,6)&lt;&gt;"VACUUM"),"CDU",IF($H1979="FLUID CAT CRACKING","FCC",IF(OR($H1979="HYDROCRACKING",$H1979="RESID_HYDROCRACKING"),"Hydrocracker",IF($H1979="REFORMING","Reformer",""))))</f>
        <v>Hydrocracker</v>
      </c>
      <c r="H1979" s="6" t="s">
        <v>444</v>
      </c>
      <c r="I1979" s="6" t="s">
        <v>456</v>
      </c>
      <c r="J1979" s="6" t="s">
        <v>345</v>
      </c>
      <c r="K1979" s="10">
        <v>6</v>
      </c>
      <c r="L1979" s="10">
        <v>60</v>
      </c>
      <c r="M1979" s="6" t="s">
        <v>371</v>
      </c>
    </row>
    <row r="1980" spans="1:13">
      <c r="A1980" s="6">
        <v>2023</v>
      </c>
      <c r="B1980" s="6">
        <v>9</v>
      </c>
      <c r="C1980" s="6" t="s">
        <v>67</v>
      </c>
      <c r="D1980" s="6" t="s">
        <v>612</v>
      </c>
      <c r="E1980" s="6" t="s">
        <v>416</v>
      </c>
      <c r="F1980" s="6" t="str">
        <f>IF($M1980="PADD I","PADD 1",IF($M1980="PADD II","PADD 2",IF($M1980="PADD III","PADD 3",IF($M1980="PADD IV","PADD 4",IF($M1980="PADD V","PADD 5","")))))</f>
        <v>PADD 3</v>
      </c>
      <c r="G1980" s="6">
        <f>IF(AND($H1980="ATMOS DISTILLATION",ISNUMBER(SEARCH("VPS",$I1980))=FALSE,LEFT($I1980,6)&lt;&gt;"VACUUM"),"CDU",IF($H1980="FLUID CAT CRACKING","FCC",IF(OR($H1980="HYDROCRACKING",$H1980="RESID_HYDROCRACKING"),"Hydrocracker",IF($H1980="REFORMING","Reformer",""))))</f>
        <v/>
      </c>
      <c r="H1980" s="6" t="s">
        <v>378</v>
      </c>
      <c r="I1980" s="6" t="s">
        <v>431</v>
      </c>
      <c r="J1980" s="6" t="s">
        <v>345</v>
      </c>
      <c r="K1980" s="10">
        <v>5.6</v>
      </c>
      <c r="L1980" s="10">
        <v>80</v>
      </c>
      <c r="M1980" s="6" t="s">
        <v>371</v>
      </c>
    </row>
    <row r="1981" spans="1:13">
      <c r="A1981" s="6">
        <v>2023</v>
      </c>
      <c r="B1981" s="6">
        <v>9</v>
      </c>
      <c r="C1981" s="6" t="s">
        <v>67</v>
      </c>
      <c r="D1981" s="6" t="s">
        <v>468</v>
      </c>
      <c r="E1981" s="6" t="s">
        <v>369</v>
      </c>
      <c r="F1981" s="6" t="str">
        <f>IF($M1981="PADD I","PADD 1",IF($M1981="PADD II","PADD 2",IF($M1981="PADD III","PADD 3",IF($M1981="PADD IV","PADD 4",IF($M1981="PADD V","PADD 5","")))))</f>
        <v>PADD 3</v>
      </c>
      <c r="G1981" s="6">
        <f>IF(AND($H1981="ATMOS DISTILLATION",ISNUMBER(SEARCH("VPS",$I1981))=FALSE,LEFT($I1981,6)&lt;&gt;"VACUUM"),"CDU",IF($H1981="FLUID CAT CRACKING","FCC",IF(OR($H1981="HYDROCRACKING",$H1981="RESID_HYDROCRACKING"),"Hydrocracker",IF($H1981="REFORMING","Reformer",""))))</f>
        <v/>
      </c>
      <c r="H1981" s="6" t="s">
        <v>378</v>
      </c>
      <c r="I1981" s="6" t="s">
        <v>1023</v>
      </c>
      <c r="J1981" s="6" t="s">
        <v>349</v>
      </c>
      <c r="K1981" s="10">
        <v>5.6</v>
      </c>
      <c r="L1981" s="10">
        <v>80</v>
      </c>
      <c r="M1981" s="6" t="s">
        <v>371</v>
      </c>
    </row>
    <row r="1982" spans="1:13">
      <c r="A1982" s="6">
        <v>2023</v>
      </c>
      <c r="B1982" s="6">
        <v>9</v>
      </c>
      <c r="C1982" s="6" t="s">
        <v>67</v>
      </c>
      <c r="D1982" s="6" t="s">
        <v>420</v>
      </c>
      <c r="E1982" s="6" t="s">
        <v>373</v>
      </c>
      <c r="F1982" s="6" t="str">
        <f>IF($M1982="PADD I","PADD 1",IF($M1982="PADD II","PADD 2",IF($M1982="PADD III","PADD 3",IF($M1982="PADD IV","PADD 4",IF($M1982="PADD V","PADD 5","")))))</f>
        <v>PADD 2</v>
      </c>
      <c r="G1982" s="6">
        <f>IF(AND($H1982="ATMOS DISTILLATION",ISNUMBER(SEARCH("VPS",$I1982))=FALSE,LEFT($I1982,6)&lt;&gt;"VACUUM"),"CDU",IF($H1982="FLUID CAT CRACKING","FCC",IF(OR($H1982="HYDROCRACKING",$H1982="RESID_HYDROCRACKING"),"Hydrocracker",IF($H1982="REFORMING","Reformer",""))))</f>
        <v/>
      </c>
      <c r="H1982" s="6" t="s">
        <v>43</v>
      </c>
      <c r="I1982" s="6" t="s">
        <v>588</v>
      </c>
      <c r="J1982" s="6" t="s">
        <v>345</v>
      </c>
      <c r="K1982" s="10">
        <v>5.5</v>
      </c>
      <c r="L1982" s="10">
        <v>5.5</v>
      </c>
      <c r="M1982" s="6" t="s">
        <v>375</v>
      </c>
    </row>
    <row r="1983" spans="1:13">
      <c r="A1983" s="6">
        <v>2023</v>
      </c>
      <c r="B1983" s="6">
        <v>9</v>
      </c>
      <c r="C1983" s="6" t="s">
        <v>67</v>
      </c>
      <c r="D1983" s="6" t="s">
        <v>496</v>
      </c>
      <c r="E1983" s="6" t="s">
        <v>388</v>
      </c>
      <c r="F1983" s="6" t="str">
        <f>IF($M1983="PADD I","PADD 1",IF($M1983="PADD II","PADD 2",IF($M1983="PADD III","PADD 3",IF($M1983="PADD IV","PADD 4",IF($M1983="PADD V","PADD 5","")))))</f>
        <v>PADD 2</v>
      </c>
      <c r="G1983" s="6" t="str">
        <f>IF(AND($H1983="ATMOS DISTILLATION",ISNUMBER(SEARCH("VPS",$I1983))=FALSE,LEFT($I1983,6)&lt;&gt;"VACUUM"),"CDU",IF($H1983="FLUID CAT CRACKING","FCC",IF(OR($H1983="HYDROCRACKING",$H1983="RESID_HYDROCRACKING"),"Hydrocracker",IF($H1983="REFORMING","Reformer",""))))</f>
        <v>CDU</v>
      </c>
      <c r="H1983" s="6" t="s">
        <v>38</v>
      </c>
      <c r="I1983" s="6" t="s">
        <v>81</v>
      </c>
      <c r="J1983" s="6" t="s">
        <v>349</v>
      </c>
      <c r="K1983" s="10">
        <v>5.4</v>
      </c>
      <c r="L1983" s="10">
        <v>20</v>
      </c>
      <c r="M1983" s="6" t="s">
        <v>375</v>
      </c>
    </row>
    <row r="1984" spans="1:13">
      <c r="A1984" s="6">
        <v>2023</v>
      </c>
      <c r="B1984" s="6">
        <v>9</v>
      </c>
      <c r="C1984" s="6" t="s">
        <v>67</v>
      </c>
      <c r="D1984" s="6" t="s">
        <v>934</v>
      </c>
      <c r="E1984" s="6" t="s">
        <v>388</v>
      </c>
      <c r="F1984" s="6" t="str">
        <f>IF($M1984="PADD I","PADD 1",IF($M1984="PADD II","PADD 2",IF($M1984="PADD III","PADD 3",IF($M1984="PADD IV","PADD 4",IF($M1984="PADD V","PADD 5","")))))</f>
        <v>PADD 3</v>
      </c>
      <c r="G1984" s="6" t="str">
        <f>IF(AND($H1984="ATMOS DISTILLATION",ISNUMBER(SEARCH("VPS",$I1984))=FALSE,LEFT($I1984,6)&lt;&gt;"VACUUM"),"CDU",IF($H1984="FLUID CAT CRACKING","FCC",IF(OR($H1984="HYDROCRACKING",$H1984="RESID_HYDROCRACKING"),"Hydrocracker",IF($H1984="REFORMING","Reformer",""))))</f>
        <v>CDU</v>
      </c>
      <c r="H1984" s="6" t="s">
        <v>38</v>
      </c>
      <c r="I1984" s="6" t="s">
        <v>135</v>
      </c>
      <c r="J1984" s="6" t="s">
        <v>345</v>
      </c>
      <c r="K1984" s="10">
        <v>5.25</v>
      </c>
      <c r="L1984" s="10">
        <v>75</v>
      </c>
      <c r="M1984" s="6" t="s">
        <v>371</v>
      </c>
    </row>
    <row r="1985" spans="1:13">
      <c r="A1985" s="6">
        <v>2023</v>
      </c>
      <c r="B1985" s="6">
        <v>9</v>
      </c>
      <c r="C1985" s="6" t="s">
        <v>67</v>
      </c>
      <c r="D1985" s="6" t="s">
        <v>878</v>
      </c>
      <c r="E1985" s="6" t="s">
        <v>452</v>
      </c>
      <c r="F1985" s="6" t="str">
        <f>IF($M1985="PADD I","PADD 1",IF($M1985="PADD II","PADD 2",IF($M1985="PADD III","PADD 3",IF($M1985="PADD IV","PADD 4",IF($M1985="PADD V","PADD 5","")))))</f>
        <v>PADD 2</v>
      </c>
      <c r="G1985" s="6">
        <f>IF(AND($H1985="ATMOS DISTILLATION",ISNUMBER(SEARCH("VPS",$I1985))=FALSE,LEFT($I1985,6)&lt;&gt;"VACUUM"),"CDU",IF($H1985="FLUID CAT CRACKING","FCC",IF(OR($H1985="HYDROCRACKING",$H1985="RESID_HYDROCRACKING"),"Hydrocracker",IF($H1985="REFORMING","Reformer",""))))</f>
        <v/>
      </c>
      <c r="H1985" s="6" t="s">
        <v>43</v>
      </c>
      <c r="I1985" s="6" t="s">
        <v>904</v>
      </c>
      <c r="J1985" s="6" t="s">
        <v>349</v>
      </c>
      <c r="K1985" s="10">
        <v>5.25</v>
      </c>
      <c r="L1985" s="10">
        <v>7.5</v>
      </c>
      <c r="M1985" s="6" t="s">
        <v>375</v>
      </c>
    </row>
    <row r="1986" spans="1:13">
      <c r="A1986" s="6">
        <v>2023</v>
      </c>
      <c r="B1986" s="6">
        <v>9</v>
      </c>
      <c r="C1986" s="6" t="s">
        <v>67</v>
      </c>
      <c r="D1986" s="6" t="s">
        <v>319</v>
      </c>
      <c r="E1986" s="6" t="s">
        <v>665</v>
      </c>
      <c r="F1986" s="6" t="str">
        <f>IF($M1986="PADD I","PADD 1",IF($M1986="PADD II","PADD 2",IF($M1986="PADD III","PADD 3",IF($M1986="PADD IV","PADD 4",IF($M1986="PADD V","PADD 5","")))))</f>
        <v>PADD 3</v>
      </c>
      <c r="G1986" s="6">
        <f>IF(AND($H1986="ATMOS DISTILLATION",ISNUMBER(SEARCH("VPS",$I1986))=FALSE,LEFT($I1986,6)&lt;&gt;"VACUUM"),"CDU",IF($H1986="FLUID CAT CRACKING","FCC",IF(OR($H1986="HYDROCRACKING",$H1986="RESID_HYDROCRACKING"),"Hydrocracker",IF($H1986="REFORMING","Reformer",""))))</f>
        <v/>
      </c>
      <c r="H1986" s="6" t="s">
        <v>43</v>
      </c>
      <c r="I1986" s="6" t="s">
        <v>888</v>
      </c>
      <c r="J1986" s="6" t="s">
        <v>349</v>
      </c>
      <c r="K1986" s="10">
        <v>5.2</v>
      </c>
      <c r="L1986" s="10">
        <v>40</v>
      </c>
      <c r="M1986" s="6" t="s">
        <v>371</v>
      </c>
    </row>
    <row r="1987" spans="1:13">
      <c r="A1987" s="6">
        <v>2023</v>
      </c>
      <c r="B1987" s="6">
        <v>9</v>
      </c>
      <c r="C1987" s="6" t="s">
        <v>67</v>
      </c>
      <c r="D1987" s="6" t="s">
        <v>440</v>
      </c>
      <c r="E1987" s="6" t="s">
        <v>369</v>
      </c>
      <c r="F1987" s="6" t="str">
        <f>IF($M1987="PADD I","PADD 1",IF($M1987="PADD II","PADD 2",IF($M1987="PADD III","PADD 3",IF($M1987="PADD IV","PADD 4",IF($M1987="PADD V","PADD 5","")))))</f>
        <v>PADD 5</v>
      </c>
      <c r="G1987" s="6">
        <f>IF(AND($H1987="ATMOS DISTILLATION",ISNUMBER(SEARCH("VPS",$I1987))=FALSE,LEFT($I1987,6)&lt;&gt;"VACUUM"),"CDU",IF($H1987="FLUID CAT CRACKING","FCC",IF(OR($H1987="HYDROCRACKING",$H1987="RESID_HYDROCRACKING"),"Hydrocracker",IF($H1987="REFORMING","Reformer",""))))</f>
        <v/>
      </c>
      <c r="H1987" s="6" t="s">
        <v>43</v>
      </c>
      <c r="I1987" s="6" t="s">
        <v>667</v>
      </c>
      <c r="J1987" s="6" t="s">
        <v>345</v>
      </c>
      <c r="K1987" s="10">
        <v>5.2</v>
      </c>
      <c r="L1987" s="10">
        <v>40</v>
      </c>
      <c r="M1987" s="6" t="s">
        <v>386</v>
      </c>
    </row>
    <row r="1988" spans="1:13">
      <c r="A1988" s="6">
        <v>2023</v>
      </c>
      <c r="B1988" s="6">
        <v>9</v>
      </c>
      <c r="C1988" s="6" t="s">
        <v>67</v>
      </c>
      <c r="D1988" s="6" t="s">
        <v>468</v>
      </c>
      <c r="E1988" s="6" t="s">
        <v>369</v>
      </c>
      <c r="F1988" s="6" t="str">
        <f>IF($M1988="PADD I","PADD 1",IF($M1988="PADD II","PADD 2",IF($M1988="PADD III","PADD 3",IF($M1988="PADD IV","PADD 4",IF($M1988="PADD V","PADD 5","")))))</f>
        <v>PADD 3</v>
      </c>
      <c r="G1988" s="6">
        <f>IF(AND($H1988="ATMOS DISTILLATION",ISNUMBER(SEARCH("VPS",$I1988))=FALSE,LEFT($I1988,6)&lt;&gt;"VACUUM"),"CDU",IF($H1988="FLUID CAT CRACKING","FCC",IF(OR($H1988="HYDROCRACKING",$H1988="RESID_HYDROCRACKING"),"Hydrocracker",IF($H1988="REFORMING","Reformer",""))))</f>
        <v/>
      </c>
      <c r="H1988" s="6" t="s">
        <v>43</v>
      </c>
      <c r="I1988" s="6" t="s">
        <v>849</v>
      </c>
      <c r="J1988" s="6" t="s">
        <v>349</v>
      </c>
      <c r="K1988" s="10">
        <v>5.11</v>
      </c>
      <c r="L1988" s="10">
        <v>73</v>
      </c>
      <c r="M1988" s="6" t="s">
        <v>371</v>
      </c>
    </row>
    <row r="1989" spans="1:13">
      <c r="A1989" s="6">
        <v>2023</v>
      </c>
      <c r="B1989" s="6">
        <v>9</v>
      </c>
      <c r="C1989" s="6" t="s">
        <v>67</v>
      </c>
      <c r="D1989" s="6" t="s">
        <v>518</v>
      </c>
      <c r="E1989" s="6" t="s">
        <v>369</v>
      </c>
      <c r="F1989" s="6" t="str">
        <f>IF($M1989="PADD I","PADD 1",IF($M1989="PADD II","PADD 2",IF($M1989="PADD III","PADD 3",IF($M1989="PADD IV","PADD 4",IF($M1989="PADD V","PADD 5","")))))</f>
        <v>PADD 5</v>
      </c>
      <c r="G1989" s="6">
        <f>IF(AND($H1989="ATMOS DISTILLATION",ISNUMBER(SEARCH("VPS",$I1989))=FALSE,LEFT($I1989,6)&lt;&gt;"VACUUM"),"CDU",IF($H1989="FLUID CAT CRACKING","FCC",IF(OR($H1989="HYDROCRACKING",$H1989="RESID_HYDROCRACKING"),"Hydrocracker",IF($H1989="REFORMING","Reformer",""))))</f>
        <v/>
      </c>
      <c r="H1989" s="6" t="s">
        <v>43</v>
      </c>
      <c r="I1989" s="6" t="s">
        <v>579</v>
      </c>
      <c r="J1989" s="6" t="s">
        <v>349</v>
      </c>
      <c r="K1989" s="10">
        <v>5</v>
      </c>
      <c r="L1989" s="10">
        <v>25</v>
      </c>
      <c r="M1989" s="6" t="s">
        <v>386</v>
      </c>
    </row>
    <row r="1990" spans="1:13">
      <c r="A1990" s="6">
        <v>2023</v>
      </c>
      <c r="B1990" s="6">
        <v>9</v>
      </c>
      <c r="C1990" s="6" t="s">
        <v>67</v>
      </c>
      <c r="D1990" s="6" t="s">
        <v>408</v>
      </c>
      <c r="E1990" s="6" t="s">
        <v>409</v>
      </c>
      <c r="F1990" s="6" t="str">
        <f>IF($M1990="PADD I","PADD 1",IF($M1990="PADD II","PADD 2",IF($M1990="PADD III","PADD 3",IF($M1990="PADD IV","PADD 4",IF($M1990="PADD V","PADD 5","")))))</f>
        <v>PADD 3</v>
      </c>
      <c r="G1990" s="6">
        <f>IF(AND($H1990="ATMOS DISTILLATION",ISNUMBER(SEARCH("VPS",$I1990))=FALSE,LEFT($I1990,6)&lt;&gt;"VACUUM"),"CDU",IF($H1990="FLUID CAT CRACKING","FCC",IF(OR($H1990="HYDROCRACKING",$H1990="RESID_HYDROCRACKING"),"Hydrocracker",IF($H1990="REFORMING","Reformer",""))))</f>
        <v/>
      </c>
      <c r="H1990" s="6" t="s">
        <v>460</v>
      </c>
      <c r="I1990" s="6" t="s">
        <v>606</v>
      </c>
      <c r="J1990" s="6" t="s">
        <v>349</v>
      </c>
      <c r="K1990" s="10">
        <v>5</v>
      </c>
      <c r="L1990" s="10">
        <v>5</v>
      </c>
      <c r="M1990" s="6" t="s">
        <v>371</v>
      </c>
    </row>
    <row r="1991" spans="1:13">
      <c r="A1991" s="6">
        <v>2023</v>
      </c>
      <c r="B1991" s="6">
        <v>9</v>
      </c>
      <c r="C1991" s="6" t="s">
        <v>67</v>
      </c>
      <c r="D1991" s="6" t="s">
        <v>398</v>
      </c>
      <c r="E1991" s="6" t="s">
        <v>399</v>
      </c>
      <c r="F1991" s="6" t="str">
        <f>IF($M1991="PADD I","PADD 1",IF($M1991="PADD II","PADD 2",IF($M1991="PADD III","PADD 3",IF($M1991="PADD IV","PADD 4",IF($M1991="PADD V","PADD 5","")))))</f>
        <v>PADD 3</v>
      </c>
      <c r="G1991" s="6">
        <f>IF(AND($H1991="ATMOS DISTILLATION",ISNUMBER(SEARCH("VPS",$I1991))=FALSE,LEFT($I1991,6)&lt;&gt;"VACUUM"),"CDU",IF($H1991="FLUID CAT CRACKING","FCC",IF(OR($H1991="HYDROCRACKING",$H1991="RESID_HYDROCRACKING"),"Hydrocracker",IF($H1991="REFORMING","Reformer",""))))</f>
        <v/>
      </c>
      <c r="H1991" s="6" t="s">
        <v>43</v>
      </c>
      <c r="I1991" s="6" t="s">
        <v>1024</v>
      </c>
      <c r="J1991" s="6" t="s">
        <v>349</v>
      </c>
      <c r="K1991" s="10">
        <v>4.86</v>
      </c>
      <c r="L1991" s="10">
        <v>18</v>
      </c>
      <c r="M1991" s="6" t="s">
        <v>371</v>
      </c>
    </row>
    <row r="1992" spans="1:13">
      <c r="A1992" s="6">
        <v>2023</v>
      </c>
      <c r="B1992" s="6">
        <v>9</v>
      </c>
      <c r="C1992" s="6" t="s">
        <v>67</v>
      </c>
      <c r="D1992" s="6" t="s">
        <v>612</v>
      </c>
      <c r="E1992" s="6" t="s">
        <v>416</v>
      </c>
      <c r="F1992" s="6" t="str">
        <f>IF($M1992="PADD I","PADD 1",IF($M1992="PADD II","PADD 2",IF($M1992="PADD III","PADD 3",IF($M1992="PADD IV","PADD 4",IF($M1992="PADD V","PADD 5","")))))</f>
        <v>PADD 3</v>
      </c>
      <c r="G1992" s="6" t="str">
        <f>IF(AND($H1992="ATMOS DISTILLATION",ISNUMBER(SEARCH("VPS",$I1992))=FALSE,LEFT($I1992,6)&lt;&gt;"VACUUM"),"CDU",IF($H1992="FLUID CAT CRACKING","FCC",IF(OR($H1992="HYDROCRACKING",$H1992="RESID_HYDROCRACKING"),"Hydrocracker",IF($H1992="REFORMING","Reformer",""))))</f>
        <v>FCC</v>
      </c>
      <c r="H1992" s="6" t="s">
        <v>376</v>
      </c>
      <c r="I1992" s="6" t="s">
        <v>428</v>
      </c>
      <c r="J1992" s="6" t="s">
        <v>345</v>
      </c>
      <c r="K1992" s="10">
        <v>4.83</v>
      </c>
      <c r="L1992" s="10">
        <v>69</v>
      </c>
      <c r="M1992" s="6" t="s">
        <v>371</v>
      </c>
    </row>
    <row r="1993" spans="1:13">
      <c r="A1993" s="6">
        <v>2023</v>
      </c>
      <c r="B1993" s="6">
        <v>9</v>
      </c>
      <c r="C1993" s="6" t="s">
        <v>67</v>
      </c>
      <c r="D1993" s="6" t="s">
        <v>676</v>
      </c>
      <c r="E1993" s="6" t="s">
        <v>677</v>
      </c>
      <c r="F1993" s="6" t="str">
        <f>IF($M1993="PADD I","PADD 1",IF($M1993="PADD II","PADD 2",IF($M1993="PADD III","PADD 3",IF($M1993="PADD IV","PADD 4",IF($M1993="PADD V","PADD 5","")))))</f>
        <v>PADD 1</v>
      </c>
      <c r="G1993" s="6">
        <f>IF(AND($H1993="ATMOS DISTILLATION",ISNUMBER(SEARCH("VPS",$I1993))=FALSE,LEFT($I1993,6)&lt;&gt;"VACUUM"),"CDU",IF($H1993="FLUID CAT CRACKING","FCC",IF(OR($H1993="HYDROCRACKING",$H1993="RESID_HYDROCRACKING"),"Hydrocracker",IF($H1993="REFORMING","Reformer",""))))</f>
        <v/>
      </c>
      <c r="H1993" s="6" t="s">
        <v>43</v>
      </c>
      <c r="I1993" s="6" t="s">
        <v>1025</v>
      </c>
      <c r="J1993" s="6" t="s">
        <v>345</v>
      </c>
      <c r="K1993" s="10">
        <v>4.824</v>
      </c>
      <c r="L1993" s="10">
        <v>7.2</v>
      </c>
      <c r="M1993" s="6" t="s">
        <v>413</v>
      </c>
    </row>
    <row r="1994" spans="1:13">
      <c r="A1994" s="6">
        <v>2023</v>
      </c>
      <c r="B1994" s="6">
        <v>9</v>
      </c>
      <c r="C1994" s="6" t="s">
        <v>67</v>
      </c>
      <c r="D1994" s="6" t="s">
        <v>887</v>
      </c>
      <c r="E1994" s="6" t="s">
        <v>405</v>
      </c>
      <c r="F1994" s="6" t="str">
        <f>IF($M1994="PADD I","PADD 1",IF($M1994="PADD II","PADD 2",IF($M1994="PADD III","PADD 3",IF($M1994="PADD IV","PADD 4",IF($M1994="PADD V","PADD 5","")))))</f>
        <v>PADD 3</v>
      </c>
      <c r="G1994" s="6" t="str">
        <f>IF(AND($H1994="ATMOS DISTILLATION",ISNUMBER(SEARCH("VPS",$I1994))=FALSE,LEFT($I1994,6)&lt;&gt;"VACUUM"),"CDU",IF($H1994="FLUID CAT CRACKING","FCC",IF(OR($H1994="HYDROCRACKING",$H1994="RESID_HYDROCRACKING"),"Hydrocracker",IF($H1994="REFORMING","Reformer",""))))</f>
        <v>FCC</v>
      </c>
      <c r="H1994" s="6" t="s">
        <v>376</v>
      </c>
      <c r="I1994" s="6" t="s">
        <v>806</v>
      </c>
      <c r="J1994" s="6" t="s">
        <v>349</v>
      </c>
      <c r="K1994" s="10">
        <v>4.8</v>
      </c>
      <c r="L1994" s="10">
        <v>24</v>
      </c>
      <c r="M1994" s="6" t="s">
        <v>371</v>
      </c>
    </row>
    <row r="1995" spans="1:13">
      <c r="A1995" s="6">
        <v>2023</v>
      </c>
      <c r="B1995" s="6">
        <v>9</v>
      </c>
      <c r="C1995" s="6" t="s">
        <v>67</v>
      </c>
      <c r="D1995" s="6" t="s">
        <v>531</v>
      </c>
      <c r="E1995" s="6" t="s">
        <v>532</v>
      </c>
      <c r="F1995" s="6" t="str">
        <f>IF($M1995="PADD I","PADD 1",IF($M1995="PADD II","PADD 2",IF($M1995="PADD III","PADD 3",IF($M1995="PADD IV","PADD 4",IF($M1995="PADD V","PADD 5","")))))</f>
        <v>PADD 5</v>
      </c>
      <c r="G1995" s="6" t="str">
        <f>IF(AND($H1995="ATMOS DISTILLATION",ISNUMBER(SEARCH("VPS",$I1995))=FALSE,LEFT($I1995,6)&lt;&gt;"VACUUM"),"CDU",IF($H1995="FLUID CAT CRACKING","FCC",IF(OR($H1995="HYDROCRACKING",$H1995="RESID_HYDROCRACKING"),"Hydrocracker",IF($H1995="REFORMING","Reformer",""))))</f>
        <v>Hydrocracker</v>
      </c>
      <c r="H1995" s="6" t="s">
        <v>444</v>
      </c>
      <c r="I1995" s="6" t="s">
        <v>14</v>
      </c>
      <c r="J1995" s="6" t="s">
        <v>345</v>
      </c>
      <c r="K1995" s="10">
        <v>4.8</v>
      </c>
      <c r="L1995" s="10">
        <v>24</v>
      </c>
      <c r="M1995" s="6" t="s">
        <v>386</v>
      </c>
    </row>
    <row r="1996" spans="1:13">
      <c r="A1996" s="6">
        <v>2023</v>
      </c>
      <c r="B1996" s="6">
        <v>9</v>
      </c>
      <c r="C1996" s="6" t="s">
        <v>67</v>
      </c>
      <c r="D1996" s="6" t="s">
        <v>408</v>
      </c>
      <c r="E1996" s="6" t="s">
        <v>409</v>
      </c>
      <c r="F1996" s="6" t="str">
        <f>IF($M1996="PADD I","PADD 1",IF($M1996="PADD II","PADD 2",IF($M1996="PADD III","PADD 3",IF($M1996="PADD IV","PADD 4",IF($M1996="PADD V","PADD 5","")))))</f>
        <v>PADD 3</v>
      </c>
      <c r="G1996" s="6" t="str">
        <f>IF(AND($H1996="ATMOS DISTILLATION",ISNUMBER(SEARCH("VPS",$I1996))=FALSE,LEFT($I1996,6)&lt;&gt;"VACUUM"),"CDU",IF($H1996="FLUID CAT CRACKING","FCC",IF(OR($H1996="HYDROCRACKING",$H1996="RESID_HYDROCRACKING"),"Hydrocracker",IF($H1996="REFORMING","Reformer",""))))</f>
        <v>CDU</v>
      </c>
      <c r="H1996" s="6" t="s">
        <v>38</v>
      </c>
      <c r="I1996" s="6" t="s">
        <v>410</v>
      </c>
      <c r="J1996" s="6" t="s">
        <v>345</v>
      </c>
      <c r="K1996" s="10">
        <v>4.5</v>
      </c>
      <c r="L1996" s="10">
        <v>150</v>
      </c>
      <c r="M1996" s="6" t="s">
        <v>371</v>
      </c>
    </row>
    <row r="1997" spans="1:13">
      <c r="A1997" s="6">
        <v>2023</v>
      </c>
      <c r="B1997" s="6">
        <v>9</v>
      </c>
      <c r="C1997" s="6" t="s">
        <v>67</v>
      </c>
      <c r="D1997" s="6" t="s">
        <v>324</v>
      </c>
      <c r="E1997" s="6" t="s">
        <v>388</v>
      </c>
      <c r="F1997" s="6" t="str">
        <f>IF($M1997="PADD I","PADD 1",IF($M1997="PADD II","PADD 2",IF($M1997="PADD III","PADD 3",IF($M1997="PADD IV","PADD 4",IF($M1997="PADD V","PADD 5","")))))</f>
        <v>PADD 3</v>
      </c>
      <c r="G1997" s="6" t="str">
        <f>IF(AND($H1997="ATMOS DISTILLATION",ISNUMBER(SEARCH("VPS",$I1997))=FALSE,LEFT($I1997,6)&lt;&gt;"VACUUM"),"CDU",IF($H1997="FLUID CAT CRACKING","FCC",IF(OR($H1997="HYDROCRACKING",$H1997="RESID_HYDROCRACKING"),"Hydrocracker",IF($H1997="REFORMING","Reformer",""))))</f>
        <v>CDU</v>
      </c>
      <c r="H1997" s="6" t="s">
        <v>38</v>
      </c>
      <c r="I1997" s="6" t="s">
        <v>96</v>
      </c>
      <c r="J1997" s="6" t="s">
        <v>349</v>
      </c>
      <c r="K1997" s="10">
        <v>4.35</v>
      </c>
      <c r="L1997" s="10">
        <v>145</v>
      </c>
      <c r="M1997" s="6" t="s">
        <v>371</v>
      </c>
    </row>
    <row r="1998" spans="1:13">
      <c r="A1998" s="6">
        <v>2023</v>
      </c>
      <c r="B1998" s="6">
        <v>9</v>
      </c>
      <c r="C1998" s="6" t="s">
        <v>67</v>
      </c>
      <c r="D1998" s="6" t="s">
        <v>51</v>
      </c>
      <c r="E1998" s="6" t="s">
        <v>391</v>
      </c>
      <c r="F1998" s="6" t="str">
        <f>IF($M1998="PADD I","PADD 1",IF($M1998="PADD II","PADD 2",IF($M1998="PADD III","PADD 3",IF($M1998="PADD IV","PADD 4",IF($M1998="PADD V","PADD 5","")))))</f>
        <v>PADD 5</v>
      </c>
      <c r="G1998" s="6">
        <f>IF(AND($H1998="ATMOS DISTILLATION",ISNUMBER(SEARCH("VPS",$I1998))=FALSE,LEFT($I1998,6)&lt;&gt;"VACUUM"),"CDU",IF($H1998="FLUID CAT CRACKING","FCC",IF(OR($H1998="HYDROCRACKING",$H1998="RESID_HYDROCRACKING"),"Hydrocracker",IF($H1998="REFORMING","Reformer",""))))</f>
        <v/>
      </c>
      <c r="H1998" s="6" t="s">
        <v>460</v>
      </c>
      <c r="I1998" s="6" t="s">
        <v>461</v>
      </c>
      <c r="J1998" s="6" t="s">
        <v>345</v>
      </c>
      <c r="K1998" s="10">
        <v>4.29</v>
      </c>
      <c r="L1998" s="10">
        <v>33</v>
      </c>
      <c r="M1998" s="6" t="s">
        <v>386</v>
      </c>
    </row>
    <row r="1999" spans="1:13">
      <c r="A1999" s="6">
        <v>2023</v>
      </c>
      <c r="B1999" s="6">
        <v>9</v>
      </c>
      <c r="C1999" s="6" t="s">
        <v>67</v>
      </c>
      <c r="D1999" s="6" t="s">
        <v>887</v>
      </c>
      <c r="E1999" s="6" t="s">
        <v>405</v>
      </c>
      <c r="F1999" s="6" t="str">
        <f>IF($M1999="PADD I","PADD 1",IF($M1999="PADD II","PADD 2",IF($M1999="PADD III","PADD 3",IF($M1999="PADD IV","PADD 4",IF($M1999="PADD V","PADD 5","")))))</f>
        <v>PADD 3</v>
      </c>
      <c r="G1999" s="6">
        <f>IF(AND($H1999="ATMOS DISTILLATION",ISNUMBER(SEARCH("VPS",$I1999))=FALSE,LEFT($I1999,6)&lt;&gt;"VACUUM"),"CDU",IF($H1999="FLUID CAT CRACKING","FCC",IF(OR($H1999="HYDROCRACKING",$H1999="RESID_HYDROCRACKING"),"Hydrocracker",IF($H1999="REFORMING","Reformer",""))))</f>
        <v/>
      </c>
      <c r="H1999" s="6" t="s">
        <v>43</v>
      </c>
      <c r="I1999" s="6" t="s">
        <v>918</v>
      </c>
      <c r="J1999" s="6" t="s">
        <v>349</v>
      </c>
      <c r="K1999" s="10">
        <v>4</v>
      </c>
      <c r="L1999" s="10">
        <v>20</v>
      </c>
      <c r="M1999" s="6" t="s">
        <v>371</v>
      </c>
    </row>
    <row r="2000" spans="1:13">
      <c r="A2000" s="6">
        <v>2023</v>
      </c>
      <c r="B2000" s="6">
        <v>9</v>
      </c>
      <c r="C2000" s="6" t="s">
        <v>67</v>
      </c>
      <c r="D2000" s="6" t="s">
        <v>468</v>
      </c>
      <c r="E2000" s="6" t="s">
        <v>369</v>
      </c>
      <c r="F2000" s="6" t="str">
        <f>IF($M2000="PADD I","PADD 1",IF($M2000="PADD II","PADD 2",IF($M2000="PADD III","PADD 3",IF($M2000="PADD IV","PADD 4",IF($M2000="PADD V","PADD 5","")))))</f>
        <v>PADD 3</v>
      </c>
      <c r="G2000" s="6" t="str">
        <f>IF(AND($H2000="ATMOS DISTILLATION",ISNUMBER(SEARCH("VPS",$I2000))=FALSE,LEFT($I2000,6)&lt;&gt;"VACUUM"),"CDU",IF($H2000="FLUID CAT CRACKING","FCC",IF(OR($H2000="HYDROCRACKING",$H2000="RESID_HYDROCRACKING"),"Hydrocracker",IF($H2000="REFORMING","Reformer",""))))</f>
        <v>FCC</v>
      </c>
      <c r="H2000" s="6" t="s">
        <v>376</v>
      </c>
      <c r="I2000" s="6" t="s">
        <v>469</v>
      </c>
      <c r="J2000" s="6" t="s">
        <v>345</v>
      </c>
      <c r="K2000" s="10">
        <v>3.9</v>
      </c>
      <c r="L2000" s="10">
        <v>30</v>
      </c>
      <c r="M2000" s="6" t="s">
        <v>371</v>
      </c>
    </row>
    <row r="2001" spans="1:13">
      <c r="A2001" s="6">
        <v>2023</v>
      </c>
      <c r="B2001" s="6">
        <v>9</v>
      </c>
      <c r="C2001" s="6" t="s">
        <v>67</v>
      </c>
      <c r="D2001" s="6" t="s">
        <v>531</v>
      </c>
      <c r="E2001" s="6" t="s">
        <v>532</v>
      </c>
      <c r="F2001" s="6" t="str">
        <f>IF($M2001="PADD I","PADD 1",IF($M2001="PADD II","PADD 2",IF($M2001="PADD III","PADD 3",IF($M2001="PADD IV","PADD 4",IF($M2001="PADD V","PADD 5","")))))</f>
        <v>PADD 5</v>
      </c>
      <c r="G2001" s="6">
        <f>IF(AND($H2001="ATMOS DISTILLATION",ISNUMBER(SEARCH("VPS",$I2001))=FALSE,LEFT($I2001,6)&lt;&gt;"VACUUM"),"CDU",IF($H2001="FLUID CAT CRACKING","FCC",IF(OR($H2001="HYDROCRACKING",$H2001="RESID_HYDROCRACKING"),"Hydrocracker",IF($H2001="REFORMING","Reformer",""))))</f>
        <v/>
      </c>
      <c r="H2001" s="6" t="s">
        <v>460</v>
      </c>
      <c r="I2001" s="6" t="s">
        <v>616</v>
      </c>
      <c r="J2001" s="6" t="s">
        <v>345</v>
      </c>
      <c r="K2001" s="10">
        <v>3.74</v>
      </c>
      <c r="L2001" s="10">
        <v>22</v>
      </c>
      <c r="M2001" s="6" t="s">
        <v>386</v>
      </c>
    </row>
    <row r="2002" spans="1:13">
      <c r="A2002" s="6">
        <v>2023</v>
      </c>
      <c r="B2002" s="6">
        <v>9</v>
      </c>
      <c r="C2002" s="6" t="s">
        <v>67</v>
      </c>
      <c r="D2002" s="6" t="s">
        <v>468</v>
      </c>
      <c r="E2002" s="6" t="s">
        <v>369</v>
      </c>
      <c r="F2002" s="6" t="str">
        <f>IF($M2002="PADD I","PADD 1",IF($M2002="PADD II","PADD 2",IF($M2002="PADD III","PADD 3",IF($M2002="PADD IV","PADD 4",IF($M2002="PADD V","PADD 5","")))))</f>
        <v>PADD 3</v>
      </c>
      <c r="G2002" s="6">
        <f>IF(AND($H2002="ATMOS DISTILLATION",ISNUMBER(SEARCH("VPS",$I2002))=FALSE,LEFT($I2002,6)&lt;&gt;"VACUUM"),"CDU",IF($H2002="FLUID CAT CRACKING","FCC",IF(OR($H2002="HYDROCRACKING",$H2002="RESID_HYDROCRACKING"),"Hydrocracker",IF($H2002="REFORMING","Reformer",""))))</f>
        <v/>
      </c>
      <c r="H2002" s="6" t="s">
        <v>43</v>
      </c>
      <c r="I2002" s="6" t="s">
        <v>482</v>
      </c>
      <c r="J2002" s="6" t="s">
        <v>349</v>
      </c>
      <c r="K2002" s="10">
        <v>3.5</v>
      </c>
      <c r="L2002" s="10">
        <v>50</v>
      </c>
      <c r="M2002" s="6" t="s">
        <v>371</v>
      </c>
    </row>
    <row r="2003" spans="1:13">
      <c r="A2003" s="6">
        <v>2023</v>
      </c>
      <c r="B2003" s="6">
        <v>9</v>
      </c>
      <c r="C2003" s="6" t="s">
        <v>67</v>
      </c>
      <c r="D2003" s="6" t="s">
        <v>328</v>
      </c>
      <c r="E2003" s="6" t="s">
        <v>416</v>
      </c>
      <c r="F2003" s="6" t="str">
        <f>IF($M2003="PADD I","PADD 1",IF($M2003="PADD II","PADD 2",IF($M2003="PADD III","PADD 3",IF($M2003="PADD IV","PADD 4",IF($M2003="PADD V","PADD 5","")))))</f>
        <v>PADD 2</v>
      </c>
      <c r="G2003" s="6">
        <f>IF(AND($H2003="ATMOS DISTILLATION",ISNUMBER(SEARCH("VPS",$I2003))=FALSE,LEFT($I2003,6)&lt;&gt;"VACUUM"),"CDU",IF($H2003="FLUID CAT CRACKING","FCC",IF(OR($H2003="HYDROCRACKING",$H2003="RESID_HYDROCRACKING"),"Hydrocracker",IF($H2003="REFORMING","Reformer",""))))</f>
        <v/>
      </c>
      <c r="H2003" s="6" t="s">
        <v>43</v>
      </c>
      <c r="I2003" s="6" t="s">
        <v>1026</v>
      </c>
      <c r="J2003" s="6" t="s">
        <v>349</v>
      </c>
      <c r="K2003" s="10">
        <v>3.45</v>
      </c>
      <c r="L2003" s="10">
        <v>15</v>
      </c>
      <c r="M2003" s="6" t="s">
        <v>375</v>
      </c>
    </row>
    <row r="2004" spans="1:13">
      <c r="A2004" s="6">
        <v>2023</v>
      </c>
      <c r="B2004" s="6">
        <v>9</v>
      </c>
      <c r="C2004" s="6" t="s">
        <v>67</v>
      </c>
      <c r="D2004" s="6" t="s">
        <v>496</v>
      </c>
      <c r="E2004" s="6" t="s">
        <v>388</v>
      </c>
      <c r="F2004" s="6" t="str">
        <f>IF($M2004="PADD I","PADD 1",IF($M2004="PADD II","PADD 2",IF($M2004="PADD III","PADD 3",IF($M2004="PADD IV","PADD 4",IF($M2004="PADD V","PADD 5","")))))</f>
        <v>PADD 2</v>
      </c>
      <c r="G2004" s="6">
        <f>IF(AND($H2004="ATMOS DISTILLATION",ISNUMBER(SEARCH("VPS",$I2004))=FALSE,LEFT($I2004,6)&lt;&gt;"VACUUM"),"CDU",IF($H2004="FLUID CAT CRACKING","FCC",IF(OR($H2004="HYDROCRACKING",$H2004="RESID_HYDROCRACKING"),"Hydrocracker",IF($H2004="REFORMING","Reformer",""))))</f>
        <v/>
      </c>
      <c r="H2004" s="6" t="s">
        <v>378</v>
      </c>
      <c r="I2004" s="6" t="s">
        <v>536</v>
      </c>
      <c r="J2004" s="6" t="s">
        <v>349</v>
      </c>
      <c r="K2004" s="10">
        <v>3.24</v>
      </c>
      <c r="L2004" s="10">
        <v>12</v>
      </c>
      <c r="M2004" s="6" t="s">
        <v>375</v>
      </c>
    </row>
    <row r="2005" spans="1:13">
      <c r="A2005" s="6">
        <v>2023</v>
      </c>
      <c r="B2005" s="6">
        <v>9</v>
      </c>
      <c r="C2005" s="6" t="s">
        <v>67</v>
      </c>
      <c r="D2005" s="6" t="s">
        <v>563</v>
      </c>
      <c r="E2005" s="6" t="s">
        <v>396</v>
      </c>
      <c r="F2005" s="6" t="str">
        <f>IF($M2005="PADD I","PADD 1",IF($M2005="PADD II","PADD 2",IF($M2005="PADD III","PADD 3",IF($M2005="PADD IV","PADD 4",IF($M2005="PADD V","PADD 5","")))))</f>
        <v>PADD 3</v>
      </c>
      <c r="G2005" s="6">
        <f>IF(AND($H2005="ATMOS DISTILLATION",ISNUMBER(SEARCH("VPS",$I2005))=FALSE,LEFT($I2005,6)&lt;&gt;"VACUUM"),"CDU",IF($H2005="FLUID CAT CRACKING","FCC",IF(OR($H2005="HYDROCRACKING",$H2005="RESID_HYDROCRACKING"),"Hydrocracker",IF($H2005="REFORMING","Reformer",""))))</f>
        <v/>
      </c>
      <c r="H2005" s="6" t="s">
        <v>43</v>
      </c>
      <c r="I2005" s="6" t="s">
        <v>564</v>
      </c>
      <c r="J2005" s="6" t="s">
        <v>345</v>
      </c>
      <c r="K2005" s="10">
        <v>2.863</v>
      </c>
      <c r="L2005" s="10">
        <v>40.9</v>
      </c>
      <c r="M2005" s="6" t="s">
        <v>371</v>
      </c>
    </row>
    <row r="2006" spans="1:13">
      <c r="A2006" s="6">
        <v>2023</v>
      </c>
      <c r="B2006" s="6">
        <v>9</v>
      </c>
      <c r="C2006" s="6" t="s">
        <v>67</v>
      </c>
      <c r="D2006" s="6" t="s">
        <v>801</v>
      </c>
      <c r="E2006" s="6" t="s">
        <v>779</v>
      </c>
      <c r="F2006" s="6" t="str">
        <f>IF($M2006="PADD I","PADD 1",IF($M2006="PADD II","PADD 2",IF($M2006="PADD III","PADD 3",IF($M2006="PADD IV","PADD 4",IF($M2006="PADD V","PADD 5","")))))</f>
        <v>PADD 2</v>
      </c>
      <c r="G2006" s="6">
        <f>IF(AND($H2006="ATMOS DISTILLATION",ISNUMBER(SEARCH("VPS",$I2006))=FALSE,LEFT($I2006,6)&lt;&gt;"VACUUM"),"CDU",IF($H2006="FLUID CAT CRACKING","FCC",IF(OR($H2006="HYDROCRACKING",$H2006="RESID_HYDROCRACKING"),"Hydrocracker",IF($H2006="REFORMING","Reformer",""))))</f>
        <v/>
      </c>
      <c r="H2006" s="6" t="s">
        <v>897</v>
      </c>
      <c r="I2006" s="6" t="s">
        <v>1027</v>
      </c>
      <c r="J2006" s="6" t="s">
        <v>349</v>
      </c>
      <c r="K2006" s="10">
        <v>2.8</v>
      </c>
      <c r="L2006" s="10">
        <v>3.5</v>
      </c>
      <c r="M2006" s="6" t="s">
        <v>375</v>
      </c>
    </row>
    <row r="2007" spans="1:13">
      <c r="A2007" s="6">
        <v>2023</v>
      </c>
      <c r="B2007" s="6">
        <v>9</v>
      </c>
      <c r="C2007" s="6" t="s">
        <v>67</v>
      </c>
      <c r="D2007" s="6" t="s">
        <v>319</v>
      </c>
      <c r="E2007" s="6" t="s">
        <v>665</v>
      </c>
      <c r="F2007" s="6" t="str">
        <f>IF($M2007="PADD I","PADD 1",IF($M2007="PADD II","PADD 2",IF($M2007="PADD III","PADD 3",IF($M2007="PADD IV","PADD 4",IF($M2007="PADD V","PADD 5","")))))</f>
        <v>PADD 3</v>
      </c>
      <c r="G2007" s="6">
        <f>IF(AND($H2007="ATMOS DISTILLATION",ISNUMBER(SEARCH("VPS",$I2007))=FALSE,LEFT($I2007,6)&lt;&gt;"VACUUM"),"CDU",IF($H2007="FLUID CAT CRACKING","FCC",IF(OR($H2007="HYDROCRACKING",$H2007="RESID_HYDROCRACKING"),"Hydrocracker",IF($H2007="REFORMING","Reformer",""))))</f>
        <v/>
      </c>
      <c r="H2007" s="6" t="s">
        <v>435</v>
      </c>
      <c r="I2007" s="6" t="s">
        <v>441</v>
      </c>
      <c r="J2007" s="6" t="s">
        <v>345</v>
      </c>
      <c r="K2007" s="10">
        <v>2.7794</v>
      </c>
      <c r="L2007" s="10">
        <v>21.38</v>
      </c>
      <c r="M2007" s="6" t="s">
        <v>371</v>
      </c>
    </row>
    <row r="2008" spans="1:13">
      <c r="A2008" s="6">
        <v>2023</v>
      </c>
      <c r="B2008" s="6">
        <v>9</v>
      </c>
      <c r="C2008" s="6" t="s">
        <v>67</v>
      </c>
      <c r="D2008" s="6" t="s">
        <v>484</v>
      </c>
      <c r="E2008" s="6" t="s">
        <v>409</v>
      </c>
      <c r="F2008" s="6" t="str">
        <f>IF($M2008="PADD I","PADD 1",IF($M2008="PADD II","PADD 2",IF($M2008="PADD III","PADD 3",IF($M2008="PADD IV","PADD 4",IF($M2008="PADD V","PADD 5","")))))</f>
        <v>PADD 3</v>
      </c>
      <c r="G2008" s="6">
        <f>IF(AND($H2008="ATMOS DISTILLATION",ISNUMBER(SEARCH("VPS",$I2008))=FALSE,LEFT($I2008,6)&lt;&gt;"VACUUM"),"CDU",IF($H2008="FLUID CAT CRACKING","FCC",IF(OR($H2008="HYDROCRACKING",$H2008="RESID_HYDROCRACKING"),"Hydrocracker",IF($H2008="REFORMING","Reformer",""))))</f>
        <v/>
      </c>
      <c r="H2008" s="6" t="s">
        <v>43</v>
      </c>
      <c r="I2008" s="6" t="s">
        <v>493</v>
      </c>
      <c r="J2008" s="6" t="s">
        <v>345</v>
      </c>
      <c r="K2008" s="10">
        <v>2.7</v>
      </c>
      <c r="L2008" s="10">
        <v>10</v>
      </c>
      <c r="M2008" s="6" t="s">
        <v>371</v>
      </c>
    </row>
    <row r="2009" spans="1:13">
      <c r="A2009" s="6">
        <v>2023</v>
      </c>
      <c r="B2009" s="6">
        <v>9</v>
      </c>
      <c r="C2009" s="6" t="s">
        <v>67</v>
      </c>
      <c r="D2009" s="6" t="s">
        <v>402</v>
      </c>
      <c r="E2009" s="6" t="s">
        <v>403</v>
      </c>
      <c r="F2009" s="6" t="str">
        <f>IF($M2009="PADD I","PADD 1",IF($M2009="PADD II","PADD 2",IF($M2009="PADD III","PADD 3",IF($M2009="PADD IV","PADD 4",IF($M2009="PADD V","PADD 5","")))))</f>
        <v>PADD 3</v>
      </c>
      <c r="G2009" s="6" t="str">
        <f>IF(AND($H2009="ATMOS DISTILLATION",ISNUMBER(SEARCH("VPS",$I2009))=FALSE,LEFT($I2009,6)&lt;&gt;"VACUUM"),"CDU",IF($H2009="FLUID CAT CRACKING","FCC",IF(OR($H2009="HYDROCRACKING",$H2009="RESID_HYDROCRACKING"),"Hydrocracker",IF($H2009="REFORMING","Reformer",""))))</f>
        <v>FCC</v>
      </c>
      <c r="H2009" s="6" t="s">
        <v>376</v>
      </c>
      <c r="I2009" s="6" t="s">
        <v>105</v>
      </c>
      <c r="J2009" s="6" t="s">
        <v>345</v>
      </c>
      <c r="K2009" s="10">
        <v>2.6</v>
      </c>
      <c r="L2009" s="10">
        <v>20</v>
      </c>
      <c r="M2009" s="6" t="s">
        <v>371</v>
      </c>
    </row>
    <row r="2010" spans="1:13">
      <c r="A2010" s="6">
        <v>2023</v>
      </c>
      <c r="B2010" s="6">
        <v>9</v>
      </c>
      <c r="C2010" s="6" t="s">
        <v>67</v>
      </c>
      <c r="D2010" s="6" t="s">
        <v>531</v>
      </c>
      <c r="E2010" s="6" t="s">
        <v>532</v>
      </c>
      <c r="F2010" s="6" t="str">
        <f>IF($M2010="PADD I","PADD 1",IF($M2010="PADD II","PADD 2",IF($M2010="PADD III","PADD 3",IF($M2010="PADD IV","PADD 4",IF($M2010="PADD V","PADD 5","")))))</f>
        <v>PADD 5</v>
      </c>
      <c r="G2010" s="6">
        <f>IF(AND($H2010="ATMOS DISTILLATION",ISNUMBER(SEARCH("VPS",$I2010))=FALSE,LEFT($I2010,6)&lt;&gt;"VACUUM"),"CDU",IF($H2010="FLUID CAT CRACKING","FCC",IF(OR($H2010="HYDROCRACKING",$H2010="RESID_HYDROCRACKING"),"Hydrocracker",IF($H2010="REFORMING","Reformer",""))))</f>
        <v/>
      </c>
      <c r="H2010" s="6" t="s">
        <v>435</v>
      </c>
      <c r="I2010" s="6" t="s">
        <v>599</v>
      </c>
      <c r="J2010" s="6" t="s">
        <v>345</v>
      </c>
      <c r="K2010" s="10">
        <v>2.5</v>
      </c>
      <c r="L2010" s="10">
        <v>25</v>
      </c>
      <c r="M2010" s="6" t="s">
        <v>386</v>
      </c>
    </row>
    <row r="2011" spans="1:13">
      <c r="A2011" s="6">
        <v>2023</v>
      </c>
      <c r="B2011" s="6">
        <v>9</v>
      </c>
      <c r="C2011" s="6" t="s">
        <v>67</v>
      </c>
      <c r="D2011" s="6" t="s">
        <v>402</v>
      </c>
      <c r="E2011" s="6" t="s">
        <v>403</v>
      </c>
      <c r="F2011" s="6" t="str">
        <f>IF($M2011="PADD I","PADD 1",IF($M2011="PADD II","PADD 2",IF($M2011="PADD III","PADD 3",IF($M2011="PADD IV","PADD 4",IF($M2011="PADD V","PADD 5","")))))</f>
        <v>PADD 3</v>
      </c>
      <c r="G2011" s="6" t="str">
        <f>IF(AND($H2011="ATMOS DISTILLATION",ISNUMBER(SEARCH("VPS",$I2011))=FALSE,LEFT($I2011,6)&lt;&gt;"VACUUM"),"CDU",IF($H2011="FLUID CAT CRACKING","FCC",IF(OR($H2011="HYDROCRACKING",$H2011="RESID_HYDROCRACKING"),"Hydrocracker",IF($H2011="REFORMING","Reformer",""))))</f>
        <v>CDU</v>
      </c>
      <c r="H2011" s="6" t="s">
        <v>38</v>
      </c>
      <c r="I2011" s="6" t="s">
        <v>404</v>
      </c>
      <c r="J2011" s="6" t="s">
        <v>345</v>
      </c>
      <c r="K2011" s="10">
        <v>2.4375</v>
      </c>
      <c r="L2011" s="10">
        <v>18.75</v>
      </c>
      <c r="M2011" s="6" t="s">
        <v>371</v>
      </c>
    </row>
    <row r="2012" spans="1:13">
      <c r="A2012" s="6">
        <v>2023</v>
      </c>
      <c r="B2012" s="6">
        <v>9</v>
      </c>
      <c r="C2012" s="6" t="s">
        <v>67</v>
      </c>
      <c r="D2012" s="6" t="s">
        <v>468</v>
      </c>
      <c r="E2012" s="6" t="s">
        <v>369</v>
      </c>
      <c r="F2012" s="6" t="str">
        <f>IF($M2012="PADD I","PADD 1",IF($M2012="PADD II","PADD 2",IF($M2012="PADD III","PADD 3",IF($M2012="PADD IV","PADD 4",IF($M2012="PADD V","PADD 5","")))))</f>
        <v>PADD 3</v>
      </c>
      <c r="G2012" s="6">
        <f>IF(AND($H2012="ATMOS DISTILLATION",ISNUMBER(SEARCH("VPS",$I2012))=FALSE,LEFT($I2012,6)&lt;&gt;"VACUUM"),"CDU",IF($H2012="FLUID CAT CRACKING","FCC",IF(OR($H2012="HYDROCRACKING",$H2012="RESID_HYDROCRACKING"),"Hydrocracker",IF($H2012="REFORMING","Reformer",""))))</f>
        <v/>
      </c>
      <c r="H2012" s="6" t="s">
        <v>43</v>
      </c>
      <c r="I2012" s="6" t="s">
        <v>1028</v>
      </c>
      <c r="J2012" s="6" t="s">
        <v>349</v>
      </c>
      <c r="K2012" s="10">
        <v>2.38</v>
      </c>
      <c r="L2012" s="10">
        <v>34</v>
      </c>
      <c r="M2012" s="6" t="s">
        <v>371</v>
      </c>
    </row>
    <row r="2013" spans="1:13">
      <c r="A2013" s="6">
        <v>2023</v>
      </c>
      <c r="B2013" s="6">
        <v>9</v>
      </c>
      <c r="C2013" s="6" t="s">
        <v>67</v>
      </c>
      <c r="D2013" s="6" t="s">
        <v>887</v>
      </c>
      <c r="E2013" s="6" t="s">
        <v>405</v>
      </c>
      <c r="F2013" s="6" t="str">
        <f>IF($M2013="PADD I","PADD 1",IF($M2013="PADD II","PADD 2",IF($M2013="PADD III","PADD 3",IF($M2013="PADD IV","PADD 4",IF($M2013="PADD V","PADD 5","")))))</f>
        <v>PADD 3</v>
      </c>
      <c r="G2013" s="6" t="str">
        <f>IF(AND($H2013="ATMOS DISTILLATION",ISNUMBER(SEARCH("VPS",$I2013))=FALSE,LEFT($I2013,6)&lt;&gt;"VACUUM"),"CDU",IF($H2013="FLUID CAT CRACKING","FCC",IF(OR($H2013="HYDROCRACKING",$H2013="RESID_HYDROCRACKING"),"Hydrocracker",IF($H2013="REFORMING","Reformer",""))))</f>
        <v>Reformer</v>
      </c>
      <c r="H2013" s="6" t="s">
        <v>421</v>
      </c>
      <c r="I2013" s="6" t="s">
        <v>539</v>
      </c>
      <c r="J2013" s="6" t="s">
        <v>345</v>
      </c>
      <c r="K2013" s="10">
        <v>2.3</v>
      </c>
      <c r="L2013" s="10">
        <v>23</v>
      </c>
      <c r="M2013" s="6" t="s">
        <v>371</v>
      </c>
    </row>
    <row r="2014" spans="1:13">
      <c r="A2014" s="6">
        <v>2023</v>
      </c>
      <c r="B2014" s="6">
        <v>9</v>
      </c>
      <c r="C2014" s="6" t="s">
        <v>67</v>
      </c>
      <c r="D2014" s="6" t="s">
        <v>40</v>
      </c>
      <c r="E2014" s="6" t="s">
        <v>736</v>
      </c>
      <c r="F2014" s="6" t="str">
        <f>IF($M2014="PADD I","PADD 1",IF($M2014="PADD II","PADD 2",IF($M2014="PADD III","PADD 3",IF($M2014="PADD IV","PADD 4",IF($M2014="PADD V","PADD 5","")))))</f>
        <v>PADD 1</v>
      </c>
      <c r="G2014" s="6">
        <f>IF(AND($H2014="ATMOS DISTILLATION",ISNUMBER(SEARCH("VPS",$I2014))=FALSE,LEFT($I2014,6)&lt;&gt;"VACUUM"),"CDU",IF($H2014="FLUID CAT CRACKING","FCC",IF(OR($H2014="HYDROCRACKING",$H2014="RESID_HYDROCRACKING"),"Hydrocracker",IF($H2014="REFORMING","Reformer",""))))</f>
        <v/>
      </c>
      <c r="H2014" s="6" t="s">
        <v>43</v>
      </c>
      <c r="I2014" s="6" t="s">
        <v>1029</v>
      </c>
      <c r="J2014" s="6" t="s">
        <v>349</v>
      </c>
      <c r="K2014" s="10">
        <v>2.226</v>
      </c>
      <c r="L2014" s="10">
        <v>4.2</v>
      </c>
      <c r="M2014" s="6" t="s">
        <v>413</v>
      </c>
    </row>
    <row r="2015" spans="1:13">
      <c r="A2015" s="6">
        <v>2023</v>
      </c>
      <c r="B2015" s="6">
        <v>9</v>
      </c>
      <c r="C2015" s="6" t="s">
        <v>67</v>
      </c>
      <c r="D2015" s="6" t="s">
        <v>934</v>
      </c>
      <c r="E2015" s="6" t="s">
        <v>388</v>
      </c>
      <c r="F2015" s="6" t="str">
        <f>IF($M2015="PADD I","PADD 1",IF($M2015="PADD II","PADD 2",IF($M2015="PADD III","PADD 3",IF($M2015="PADD IV","PADD 4",IF($M2015="PADD V","PADD 5","")))))</f>
        <v>PADD 3</v>
      </c>
      <c r="G2015" s="6" t="str">
        <f>IF(AND($H2015="ATMOS DISTILLATION",ISNUMBER(SEARCH("VPS",$I2015))=FALSE,LEFT($I2015,6)&lt;&gt;"VACUUM"),"CDU",IF($H2015="FLUID CAT CRACKING","FCC",IF(OR($H2015="HYDROCRACKING",$H2015="RESID_HYDROCRACKING"),"Hydrocracker",IF($H2015="REFORMING","Reformer",""))))</f>
        <v>FCC</v>
      </c>
      <c r="H2015" s="6" t="s">
        <v>376</v>
      </c>
      <c r="I2015" s="6" t="s">
        <v>105</v>
      </c>
      <c r="J2015" s="6" t="s">
        <v>345</v>
      </c>
      <c r="K2015" s="10">
        <v>2.065</v>
      </c>
      <c r="L2015" s="10">
        <v>29.5</v>
      </c>
      <c r="M2015" s="6" t="s">
        <v>371</v>
      </c>
    </row>
    <row r="2016" spans="1:13">
      <c r="A2016" s="6">
        <v>2023</v>
      </c>
      <c r="B2016" s="6">
        <v>9</v>
      </c>
      <c r="C2016" s="6" t="s">
        <v>67</v>
      </c>
      <c r="D2016" s="6" t="s">
        <v>333</v>
      </c>
      <c r="E2016" s="6" t="s">
        <v>381</v>
      </c>
      <c r="F2016" s="6" t="str">
        <f>IF($M2016="PADD I","PADD 1",IF($M2016="PADD II","PADD 2",IF($M2016="PADD III","PADD 3",IF($M2016="PADD IV","PADD 4",IF($M2016="PADD V","PADD 5","")))))</f>
        <v>PADD 3</v>
      </c>
      <c r="G2016" s="6" t="str">
        <f>IF(AND($H2016="ATMOS DISTILLATION",ISNUMBER(SEARCH("VPS",$I2016))=FALSE,LEFT($I2016,6)&lt;&gt;"VACUUM"),"CDU",IF($H2016="FLUID CAT CRACKING","FCC",IF(OR($H2016="HYDROCRACKING",$H2016="RESID_HYDROCRACKING"),"Hydrocracker",IF($H2016="REFORMING","Reformer",""))))</f>
        <v>FCC</v>
      </c>
      <c r="H2016" s="6" t="s">
        <v>376</v>
      </c>
      <c r="I2016" s="6" t="s">
        <v>105</v>
      </c>
      <c r="J2016" s="6" t="s">
        <v>345</v>
      </c>
      <c r="K2016" s="10">
        <v>2.04</v>
      </c>
      <c r="L2016" s="10">
        <v>12</v>
      </c>
      <c r="M2016" s="6" t="s">
        <v>371</v>
      </c>
    </row>
    <row r="2017" spans="1:13">
      <c r="A2017" s="6">
        <v>2023</v>
      </c>
      <c r="B2017" s="6">
        <v>9</v>
      </c>
      <c r="C2017" s="6" t="s">
        <v>67</v>
      </c>
      <c r="D2017" s="6" t="s">
        <v>420</v>
      </c>
      <c r="E2017" s="6" t="s">
        <v>373</v>
      </c>
      <c r="F2017" s="6" t="str">
        <f>IF($M2017="PADD I","PADD 1",IF($M2017="PADD II","PADD 2",IF($M2017="PADD III","PADD 3",IF($M2017="PADD IV","PADD 4",IF($M2017="PADD V","PADD 5","")))))</f>
        <v>PADD 2</v>
      </c>
      <c r="G2017" s="6">
        <f>IF(AND($H2017="ATMOS DISTILLATION",ISNUMBER(SEARCH("VPS",$I2017))=FALSE,LEFT($I2017,6)&lt;&gt;"VACUUM"),"CDU",IF($H2017="FLUID CAT CRACKING","FCC",IF(OR($H2017="HYDROCRACKING",$H2017="RESID_HYDROCRACKING"),"Hydrocracker",IF($H2017="REFORMING","Reformer",""))))</f>
        <v/>
      </c>
      <c r="H2017" s="6" t="s">
        <v>568</v>
      </c>
      <c r="I2017" s="6" t="s">
        <v>604</v>
      </c>
      <c r="J2017" s="6" t="s">
        <v>345</v>
      </c>
      <c r="K2017" s="10">
        <v>2</v>
      </c>
      <c r="L2017" s="10">
        <v>2</v>
      </c>
      <c r="M2017" s="6" t="s">
        <v>375</v>
      </c>
    </row>
    <row r="2018" spans="1:13">
      <c r="A2018" s="6">
        <v>2023</v>
      </c>
      <c r="B2018" s="6">
        <v>9</v>
      </c>
      <c r="C2018" s="6" t="s">
        <v>67</v>
      </c>
      <c r="D2018" s="6" t="s">
        <v>851</v>
      </c>
      <c r="E2018" s="6" t="s">
        <v>852</v>
      </c>
      <c r="F2018" s="6" t="str">
        <f>IF($M2018="PADD I","PADD 1",IF($M2018="PADD II","PADD 2",IF($M2018="PADD III","PADD 3",IF($M2018="PADD IV","PADD 4",IF($M2018="PADD V","PADD 5","")))))</f>
        <v>PADD 3</v>
      </c>
      <c r="G2018" s="6" t="str">
        <f>IF(AND($H2018="ATMOS DISTILLATION",ISNUMBER(SEARCH("VPS",$I2018))=FALSE,LEFT($I2018,6)&lt;&gt;"VACUUM"),"CDU",IF($H2018="FLUID CAT CRACKING","FCC",IF(OR($H2018="HYDROCRACKING",$H2018="RESID_HYDROCRACKING"),"Hydrocracker",IF($H2018="REFORMING","Reformer",""))))</f>
        <v>CDU</v>
      </c>
      <c r="H2018" s="6" t="s">
        <v>38</v>
      </c>
      <c r="I2018" s="6" t="s">
        <v>853</v>
      </c>
      <c r="J2018" s="6" t="s">
        <v>345</v>
      </c>
      <c r="K2018" s="10">
        <v>1.95</v>
      </c>
      <c r="L2018" s="10">
        <v>65</v>
      </c>
      <c r="M2018" s="6" t="s">
        <v>371</v>
      </c>
    </row>
    <row r="2019" spans="1:13">
      <c r="A2019" s="6">
        <v>2023</v>
      </c>
      <c r="B2019" s="6">
        <v>9</v>
      </c>
      <c r="C2019" s="6" t="s">
        <v>67</v>
      </c>
      <c r="D2019" s="6" t="s">
        <v>851</v>
      </c>
      <c r="E2019" s="6" t="s">
        <v>852</v>
      </c>
      <c r="F2019" s="6" t="str">
        <f>IF($M2019="PADD I","PADD 1",IF($M2019="PADD II","PADD 2",IF($M2019="PADD III","PADD 3",IF($M2019="PADD IV","PADD 4",IF($M2019="PADD V","PADD 5","")))))</f>
        <v>PADD 3</v>
      </c>
      <c r="G2019" s="6" t="str">
        <f>IF(AND($H2019="ATMOS DISTILLATION",ISNUMBER(SEARCH("VPS",$I2019))=FALSE,LEFT($I2019,6)&lt;&gt;"VACUUM"),"CDU",IF($H2019="FLUID CAT CRACKING","FCC",IF(OR($H2019="HYDROCRACKING",$H2019="RESID_HYDROCRACKING"),"Hydrocracker",IF($H2019="REFORMING","Reformer",""))))</f>
        <v>CDU</v>
      </c>
      <c r="H2019" s="6" t="s">
        <v>38</v>
      </c>
      <c r="I2019" s="6" t="s">
        <v>854</v>
      </c>
      <c r="J2019" s="6" t="s">
        <v>345</v>
      </c>
      <c r="K2019" s="10">
        <v>1.95</v>
      </c>
      <c r="L2019" s="10">
        <v>65</v>
      </c>
      <c r="M2019" s="6" t="s">
        <v>371</v>
      </c>
    </row>
    <row r="2020" spans="1:13">
      <c r="A2020" s="6">
        <v>2023</v>
      </c>
      <c r="B2020" s="6">
        <v>9</v>
      </c>
      <c r="C2020" s="6" t="s">
        <v>67</v>
      </c>
      <c r="D2020" s="6" t="s">
        <v>434</v>
      </c>
      <c r="E2020" s="6" t="s">
        <v>388</v>
      </c>
      <c r="F2020" s="6" t="str">
        <f>IF($M2020="PADD I","PADD 1",IF($M2020="PADD II","PADD 2",IF($M2020="PADD III","PADD 3",IF($M2020="PADD IV","PADD 4",IF($M2020="PADD V","PADD 5","")))))</f>
        <v>PADD 5</v>
      </c>
      <c r="G2020" s="6" t="str">
        <f>IF(AND($H2020="ATMOS DISTILLATION",ISNUMBER(SEARCH("VPS",$I2020))=FALSE,LEFT($I2020,6)&lt;&gt;"VACUUM"),"CDU",IF($H2020="FLUID CAT CRACKING","FCC",IF(OR($H2020="HYDROCRACKING",$H2020="RESID_HYDROCRACKING"),"Hydrocracker",IF($H2020="REFORMING","Reformer",""))))</f>
        <v>Reformer</v>
      </c>
      <c r="H2020" s="6" t="s">
        <v>421</v>
      </c>
      <c r="I2020" s="6" t="s">
        <v>671</v>
      </c>
      <c r="J2020" s="6" t="s">
        <v>345</v>
      </c>
      <c r="K2020" s="10">
        <v>1.95</v>
      </c>
      <c r="L2020" s="10">
        <v>15</v>
      </c>
      <c r="M2020" s="6" t="s">
        <v>386</v>
      </c>
    </row>
    <row r="2021" spans="1:13">
      <c r="A2021" s="6">
        <v>2023</v>
      </c>
      <c r="B2021" s="6">
        <v>9</v>
      </c>
      <c r="C2021" s="6" t="s">
        <v>67</v>
      </c>
      <c r="D2021" s="6" t="s">
        <v>934</v>
      </c>
      <c r="E2021" s="6" t="s">
        <v>388</v>
      </c>
      <c r="F2021" s="6" t="str">
        <f>IF($M2021="PADD I","PADD 1",IF($M2021="PADD II","PADD 2",IF($M2021="PADD III","PADD 3",IF($M2021="PADD IV","PADD 4",IF($M2021="PADD V","PADD 5","")))))</f>
        <v>PADD 3</v>
      </c>
      <c r="G2021" s="6">
        <f>IF(AND($H2021="ATMOS DISTILLATION",ISNUMBER(SEARCH("VPS",$I2021))=FALSE,LEFT($I2021,6)&lt;&gt;"VACUUM"),"CDU",IF($H2021="FLUID CAT CRACKING","FCC",IF(OR($H2021="HYDROCRACKING",$H2021="RESID_HYDROCRACKING"),"Hydrocracker",IF($H2021="REFORMING","Reformer",""))))</f>
        <v/>
      </c>
      <c r="H2021" s="6" t="s">
        <v>43</v>
      </c>
      <c r="I2021" s="6" t="s">
        <v>458</v>
      </c>
      <c r="J2021" s="6" t="s">
        <v>345</v>
      </c>
      <c r="K2021" s="10">
        <v>1.75</v>
      </c>
      <c r="L2021" s="10">
        <v>25</v>
      </c>
      <c r="M2021" s="6" t="s">
        <v>371</v>
      </c>
    </row>
    <row r="2022" spans="1:13">
      <c r="A2022" s="6">
        <v>2023</v>
      </c>
      <c r="B2022" s="6">
        <v>9</v>
      </c>
      <c r="C2022" s="6" t="s">
        <v>67</v>
      </c>
      <c r="D2022" s="6" t="s">
        <v>408</v>
      </c>
      <c r="E2022" s="6" t="s">
        <v>409</v>
      </c>
      <c r="F2022" s="6" t="str">
        <f>IF($M2022="PADD I","PADD 1",IF($M2022="PADD II","PADD 2",IF($M2022="PADD III","PADD 3",IF($M2022="PADD IV","PADD 4",IF($M2022="PADD V","PADD 5","")))))</f>
        <v>PADD 3</v>
      </c>
      <c r="G2022" s="6">
        <f>IF(AND($H2022="ATMOS DISTILLATION",ISNUMBER(SEARCH("VPS",$I2022))=FALSE,LEFT($I2022,6)&lt;&gt;"VACUUM"),"CDU",IF($H2022="FLUID CAT CRACKING","FCC",IF(OR($H2022="HYDROCRACKING",$H2022="RESID_HYDROCRACKING"),"Hydrocracker",IF($H2022="REFORMING","Reformer",""))))</f>
        <v/>
      </c>
      <c r="H2022" s="6" t="s">
        <v>378</v>
      </c>
      <c r="I2022" s="6" t="s">
        <v>506</v>
      </c>
      <c r="J2022" s="6" t="s">
        <v>345</v>
      </c>
      <c r="K2022" s="10">
        <v>1.53</v>
      </c>
      <c r="L2022" s="10">
        <v>51</v>
      </c>
      <c r="M2022" s="6" t="s">
        <v>371</v>
      </c>
    </row>
    <row r="2023" spans="1:13">
      <c r="A2023" s="6">
        <v>2023</v>
      </c>
      <c r="B2023" s="6">
        <v>9</v>
      </c>
      <c r="C2023" s="6" t="s">
        <v>67</v>
      </c>
      <c r="D2023" s="6" t="s">
        <v>526</v>
      </c>
      <c r="E2023" s="6" t="s">
        <v>405</v>
      </c>
      <c r="F2023" s="6" t="str">
        <f>IF($M2023="PADD I","PADD 1",IF($M2023="PADD II","PADD 2",IF($M2023="PADD III","PADD 3",IF($M2023="PADD IV","PADD 4",IF($M2023="PADD V","PADD 5","")))))</f>
        <v>PADD 3</v>
      </c>
      <c r="G2023" s="6">
        <f>IF(AND($H2023="ATMOS DISTILLATION",ISNUMBER(SEARCH("VPS",$I2023))=FALSE,LEFT($I2023,6)&lt;&gt;"VACUUM"),"CDU",IF($H2023="FLUID CAT CRACKING","FCC",IF(OR($H2023="HYDROCRACKING",$H2023="RESID_HYDROCRACKING"),"Hydrocracker",IF($H2023="REFORMING","Reformer",""))))</f>
        <v/>
      </c>
      <c r="H2023" s="6" t="s">
        <v>435</v>
      </c>
      <c r="I2023" s="6" t="s">
        <v>954</v>
      </c>
      <c r="J2023" s="6" t="s">
        <v>345</v>
      </c>
      <c r="K2023" s="10">
        <v>1.5</v>
      </c>
      <c r="L2023" s="10">
        <v>50</v>
      </c>
      <c r="M2023" s="6" t="s">
        <v>371</v>
      </c>
    </row>
    <row r="2024" spans="1:13">
      <c r="A2024" s="6">
        <v>2023</v>
      </c>
      <c r="B2024" s="6">
        <v>9</v>
      </c>
      <c r="C2024" s="6" t="s">
        <v>67</v>
      </c>
      <c r="D2024" s="6" t="s">
        <v>612</v>
      </c>
      <c r="E2024" s="6" t="s">
        <v>416</v>
      </c>
      <c r="F2024" s="6" t="str">
        <f>IF($M2024="PADD I","PADD 1",IF($M2024="PADD II","PADD 2",IF($M2024="PADD III","PADD 3",IF($M2024="PADD IV","PADD 4",IF($M2024="PADD V","PADD 5","")))))</f>
        <v>PADD 3</v>
      </c>
      <c r="G2024" s="6">
        <f>IF(AND($H2024="ATMOS DISTILLATION",ISNUMBER(SEARCH("VPS",$I2024))=FALSE,LEFT($I2024,6)&lt;&gt;"VACUUM"),"CDU",IF($H2024="FLUID CAT CRACKING","FCC",IF(OR($H2024="HYDROCRACKING",$H2024="RESID_HYDROCRACKING"),"Hydrocracker",IF($H2024="REFORMING","Reformer",""))))</f>
        <v/>
      </c>
      <c r="H2024" s="6" t="s">
        <v>460</v>
      </c>
      <c r="I2024" s="6" t="s">
        <v>835</v>
      </c>
      <c r="J2024" s="6" t="s">
        <v>345</v>
      </c>
      <c r="K2024" s="10">
        <v>1.47</v>
      </c>
      <c r="L2024" s="10">
        <v>21</v>
      </c>
      <c r="M2024" s="6" t="s">
        <v>371</v>
      </c>
    </row>
    <row r="2025" spans="1:13">
      <c r="A2025" s="6">
        <v>2023</v>
      </c>
      <c r="B2025" s="6">
        <v>9</v>
      </c>
      <c r="C2025" s="6" t="s">
        <v>67</v>
      </c>
      <c r="D2025" s="6" t="s">
        <v>468</v>
      </c>
      <c r="E2025" s="6" t="s">
        <v>369</v>
      </c>
      <c r="F2025" s="6" t="str">
        <f>IF($M2025="PADD I","PADD 1",IF($M2025="PADD II","PADD 2",IF($M2025="PADD III","PADD 3",IF($M2025="PADD IV","PADD 4",IF($M2025="PADD V","PADD 5","")))))</f>
        <v>PADD 3</v>
      </c>
      <c r="G2025" s="6">
        <f>IF(AND($H2025="ATMOS DISTILLATION",ISNUMBER(SEARCH("VPS",$I2025))=FALSE,LEFT($I2025,6)&lt;&gt;"VACUUM"),"CDU",IF($H2025="FLUID CAT CRACKING","FCC",IF(OR($H2025="HYDROCRACKING",$H2025="RESID_HYDROCRACKING"),"Hydrocracker",IF($H2025="REFORMING","Reformer",""))))</f>
        <v/>
      </c>
      <c r="H2025" s="6" t="s">
        <v>43</v>
      </c>
      <c r="I2025" s="6" t="s">
        <v>1030</v>
      </c>
      <c r="J2025" s="6" t="s">
        <v>349</v>
      </c>
      <c r="K2025" s="10">
        <v>1.4</v>
      </c>
      <c r="L2025" s="10">
        <v>20</v>
      </c>
      <c r="M2025" s="6" t="s">
        <v>371</v>
      </c>
    </row>
    <row r="2026" spans="1:13">
      <c r="A2026" s="6">
        <v>2023</v>
      </c>
      <c r="B2026" s="6">
        <v>9</v>
      </c>
      <c r="C2026" s="6" t="s">
        <v>67</v>
      </c>
      <c r="D2026" s="6" t="s">
        <v>468</v>
      </c>
      <c r="E2026" s="6" t="s">
        <v>369</v>
      </c>
      <c r="F2026" s="6" t="str">
        <f>IF($M2026="PADD I","PADD 1",IF($M2026="PADD II","PADD 2",IF($M2026="PADD III","PADD 3",IF($M2026="PADD IV","PADD 4",IF($M2026="PADD V","PADD 5","")))))</f>
        <v>PADD 3</v>
      </c>
      <c r="G2026" s="6" t="str">
        <f>IF(AND($H2026="ATMOS DISTILLATION",ISNUMBER(SEARCH("VPS",$I2026))=FALSE,LEFT($I2026,6)&lt;&gt;"VACUUM"),"CDU",IF($H2026="FLUID CAT CRACKING","FCC",IF(OR($H2026="HYDROCRACKING",$H2026="RESID_HYDROCRACKING"),"Hydrocracker",IF($H2026="REFORMING","Reformer",""))))</f>
        <v>Reformer</v>
      </c>
      <c r="H2026" s="6" t="s">
        <v>421</v>
      </c>
      <c r="I2026" s="6" t="s">
        <v>858</v>
      </c>
      <c r="J2026" s="6" t="s">
        <v>349</v>
      </c>
      <c r="K2026" s="10">
        <v>1.4</v>
      </c>
      <c r="L2026" s="10">
        <v>20</v>
      </c>
      <c r="M2026" s="6" t="s">
        <v>371</v>
      </c>
    </row>
    <row r="2027" spans="1:13">
      <c r="A2027" s="6">
        <v>2023</v>
      </c>
      <c r="B2027" s="6">
        <v>9</v>
      </c>
      <c r="C2027" s="6" t="s">
        <v>67</v>
      </c>
      <c r="D2027" s="6" t="s">
        <v>468</v>
      </c>
      <c r="E2027" s="6" t="s">
        <v>369</v>
      </c>
      <c r="F2027" s="6" t="str">
        <f>IF($M2027="PADD I","PADD 1",IF($M2027="PADD II","PADD 2",IF($M2027="PADD III","PADD 3",IF($M2027="PADD IV","PADD 4",IF($M2027="PADD V","PADD 5","")))))</f>
        <v>PADD 3</v>
      </c>
      <c r="G2027" s="6">
        <f>IF(AND($H2027="ATMOS DISTILLATION",ISNUMBER(SEARCH("VPS",$I2027))=FALSE,LEFT($I2027,6)&lt;&gt;"VACUUM"),"CDU",IF($H2027="FLUID CAT CRACKING","FCC",IF(OR($H2027="HYDROCRACKING",$H2027="RESID_HYDROCRACKING"),"Hydrocracker",IF($H2027="REFORMING","Reformer",""))))</f>
        <v/>
      </c>
      <c r="H2027" s="6" t="s">
        <v>43</v>
      </c>
      <c r="I2027" s="6" t="s">
        <v>1031</v>
      </c>
      <c r="J2027" s="6" t="s">
        <v>349</v>
      </c>
      <c r="K2027" s="10">
        <v>1.4</v>
      </c>
      <c r="L2027" s="10">
        <v>20</v>
      </c>
      <c r="M2027" s="6" t="s">
        <v>371</v>
      </c>
    </row>
    <row r="2028" spans="1:13">
      <c r="A2028" s="6">
        <v>2023</v>
      </c>
      <c r="B2028" s="6">
        <v>9</v>
      </c>
      <c r="C2028" s="6" t="s">
        <v>67</v>
      </c>
      <c r="D2028" s="6" t="s">
        <v>612</v>
      </c>
      <c r="E2028" s="6" t="s">
        <v>416</v>
      </c>
      <c r="F2028" s="6" t="str">
        <f>IF($M2028="PADD I","PADD 1",IF($M2028="PADD II","PADD 2",IF($M2028="PADD III","PADD 3",IF($M2028="PADD IV","PADD 4",IF($M2028="PADD V","PADD 5","")))))</f>
        <v>PADD 3</v>
      </c>
      <c r="G2028" s="6" t="str">
        <f>IF(AND($H2028="ATMOS DISTILLATION",ISNUMBER(SEARCH("VPS",$I2028))=FALSE,LEFT($I2028,6)&lt;&gt;"VACUUM"),"CDU",IF($H2028="FLUID CAT CRACKING","FCC",IF(OR($H2028="HYDROCRACKING",$H2028="RESID_HYDROCRACKING"),"Hydrocracker",IF($H2028="REFORMING","Reformer",""))))</f>
        <v>Reformer</v>
      </c>
      <c r="H2028" s="6" t="s">
        <v>421</v>
      </c>
      <c r="I2028" s="6" t="s">
        <v>755</v>
      </c>
      <c r="J2028" s="6" t="s">
        <v>345</v>
      </c>
      <c r="K2028" s="10">
        <v>1.4</v>
      </c>
      <c r="L2028" s="10">
        <v>20</v>
      </c>
      <c r="M2028" s="6" t="s">
        <v>371</v>
      </c>
    </row>
    <row r="2029" spans="1:13">
      <c r="A2029" s="6">
        <v>2023</v>
      </c>
      <c r="B2029" s="6">
        <v>9</v>
      </c>
      <c r="C2029" s="6" t="s">
        <v>67</v>
      </c>
      <c r="D2029" s="6" t="s">
        <v>612</v>
      </c>
      <c r="E2029" s="6" t="s">
        <v>416</v>
      </c>
      <c r="F2029" s="6" t="str">
        <f>IF($M2029="PADD I","PADD 1",IF($M2029="PADD II","PADD 2",IF($M2029="PADD III","PADD 3",IF($M2029="PADD IV","PADD 4",IF($M2029="PADD V","PADD 5","")))))</f>
        <v>PADD 3</v>
      </c>
      <c r="G2029" s="6">
        <f>IF(AND($H2029="ATMOS DISTILLATION",ISNUMBER(SEARCH("VPS",$I2029))=FALSE,LEFT($I2029,6)&lt;&gt;"VACUUM"),"CDU",IF($H2029="FLUID CAT CRACKING","FCC",IF(OR($H2029="HYDROCRACKING",$H2029="RESID_HYDROCRACKING"),"Hydrocracker",IF($H2029="REFORMING","Reformer",""))))</f>
        <v/>
      </c>
      <c r="H2029" s="6" t="s">
        <v>43</v>
      </c>
      <c r="I2029" s="6" t="s">
        <v>837</v>
      </c>
      <c r="J2029" s="6" t="s">
        <v>345</v>
      </c>
      <c r="K2029" s="10">
        <v>1.4</v>
      </c>
      <c r="L2029" s="10">
        <v>20</v>
      </c>
      <c r="M2029" s="6" t="s">
        <v>371</v>
      </c>
    </row>
    <row r="2030" spans="1:13">
      <c r="A2030" s="6">
        <v>2023</v>
      </c>
      <c r="B2030" s="6">
        <v>9</v>
      </c>
      <c r="C2030" s="6" t="s">
        <v>67</v>
      </c>
      <c r="D2030" s="6" t="s">
        <v>887</v>
      </c>
      <c r="E2030" s="6" t="s">
        <v>405</v>
      </c>
      <c r="F2030" s="6" t="str">
        <f>IF($M2030="PADD I","PADD 1",IF($M2030="PADD II","PADD 2",IF($M2030="PADD III","PADD 3",IF($M2030="PADD IV","PADD 4",IF($M2030="PADD V","PADD 5","")))))</f>
        <v>PADD 3</v>
      </c>
      <c r="G2030" s="6">
        <f>IF(AND($H2030="ATMOS DISTILLATION",ISNUMBER(SEARCH("VPS",$I2030))=FALSE,LEFT($I2030,6)&lt;&gt;"VACUUM"),"CDU",IF($H2030="FLUID CAT CRACKING","FCC",IF(OR($H2030="HYDROCRACKING",$H2030="RESID_HYDROCRACKING"),"Hydrocracker",IF($H2030="REFORMING","Reformer",""))))</f>
        <v/>
      </c>
      <c r="H2030" s="6" t="s">
        <v>460</v>
      </c>
      <c r="I2030" s="6" t="s">
        <v>616</v>
      </c>
      <c r="J2030" s="6" t="s">
        <v>349</v>
      </c>
      <c r="K2030" s="10">
        <v>1.3</v>
      </c>
      <c r="L2030" s="10">
        <v>6.5</v>
      </c>
      <c r="M2030" s="6" t="s">
        <v>371</v>
      </c>
    </row>
    <row r="2031" spans="1:13">
      <c r="A2031" s="6">
        <v>2023</v>
      </c>
      <c r="B2031" s="6">
        <v>9</v>
      </c>
      <c r="C2031" s="6" t="s">
        <v>67</v>
      </c>
      <c r="D2031" s="6" t="s">
        <v>762</v>
      </c>
      <c r="E2031" s="6" t="s">
        <v>763</v>
      </c>
      <c r="F2031" s="6" t="str">
        <f>IF($M2031="PADD I","PADD 1",IF($M2031="PADD II","PADD 2",IF($M2031="PADD III","PADD 3",IF($M2031="PADD IV","PADD 4",IF($M2031="PADD V","PADD 5","")))))</f>
        <v>PADD 2</v>
      </c>
      <c r="G2031" s="6" t="str">
        <f>IF(AND($H2031="ATMOS DISTILLATION",ISNUMBER(SEARCH("VPS",$I2031))=FALSE,LEFT($I2031,6)&lt;&gt;"VACUUM"),"CDU",IF($H2031="FLUID CAT CRACKING","FCC",IF(OR($H2031="HYDROCRACKING",$H2031="RESID_HYDROCRACKING"),"Hydrocracker",IF($H2031="REFORMING","Reformer",""))))</f>
        <v>Reformer</v>
      </c>
      <c r="H2031" s="6" t="s">
        <v>421</v>
      </c>
      <c r="I2031" s="6" t="s">
        <v>782</v>
      </c>
      <c r="J2031" s="6" t="s">
        <v>345</v>
      </c>
      <c r="K2031" s="10">
        <v>1.295</v>
      </c>
      <c r="L2031" s="10">
        <v>18.5</v>
      </c>
      <c r="M2031" s="6" t="s">
        <v>375</v>
      </c>
    </row>
    <row r="2032" spans="1:13">
      <c r="A2032" s="6">
        <v>2023</v>
      </c>
      <c r="B2032" s="6">
        <v>9</v>
      </c>
      <c r="C2032" s="6" t="s">
        <v>67</v>
      </c>
      <c r="D2032" s="6" t="s">
        <v>319</v>
      </c>
      <c r="E2032" s="6" t="s">
        <v>665</v>
      </c>
      <c r="F2032" s="6" t="str">
        <f>IF($M2032="PADD I","PADD 1",IF($M2032="PADD II","PADD 2",IF($M2032="PADD III","PADD 3",IF($M2032="PADD IV","PADD 4",IF($M2032="PADD V","PADD 5","")))))</f>
        <v>PADD 3</v>
      </c>
      <c r="G2032" s="6" t="str">
        <f>IF(AND($H2032="ATMOS DISTILLATION",ISNUMBER(SEARCH("VPS",$I2032))=FALSE,LEFT($I2032,6)&lt;&gt;"VACUUM"),"CDU",IF($H2032="FLUID CAT CRACKING","FCC",IF(OR($H2032="HYDROCRACKING",$H2032="RESID_HYDROCRACKING"),"Hydrocracker",IF($H2032="REFORMING","Reformer",""))))</f>
        <v>Reformer</v>
      </c>
      <c r="H2032" s="6" t="s">
        <v>421</v>
      </c>
      <c r="I2032" s="6" t="s">
        <v>889</v>
      </c>
      <c r="J2032" s="6" t="s">
        <v>349</v>
      </c>
      <c r="K2032" s="10">
        <v>1.2</v>
      </c>
      <c r="L2032" s="10">
        <v>40</v>
      </c>
      <c r="M2032" s="6" t="s">
        <v>371</v>
      </c>
    </row>
    <row r="2033" spans="1:13">
      <c r="A2033" s="6">
        <v>2023</v>
      </c>
      <c r="B2033" s="6">
        <v>9</v>
      </c>
      <c r="C2033" s="6" t="s">
        <v>67</v>
      </c>
      <c r="D2033" s="6" t="s">
        <v>333</v>
      </c>
      <c r="E2033" s="6" t="s">
        <v>381</v>
      </c>
      <c r="F2033" s="6" t="str">
        <f>IF($M2033="PADD I","PADD 1",IF($M2033="PADD II","PADD 2",IF($M2033="PADD III","PADD 3",IF($M2033="PADD IV","PADD 4",IF($M2033="PADD V","PADD 5","")))))</f>
        <v>PADD 3</v>
      </c>
      <c r="G2033" s="6">
        <f>IF(AND($H2033="ATMOS DISTILLATION",ISNUMBER(SEARCH("VPS",$I2033))=FALSE,LEFT($I2033,6)&lt;&gt;"VACUUM"),"CDU",IF($H2033="FLUID CAT CRACKING","FCC",IF(OR($H2033="HYDROCRACKING",$H2033="RESID_HYDROCRACKING"),"Hydrocracker",IF($H2033="REFORMING","Reformer",""))))</f>
        <v/>
      </c>
      <c r="H2033" s="6" t="s">
        <v>43</v>
      </c>
      <c r="I2033" s="6" t="s">
        <v>943</v>
      </c>
      <c r="J2033" s="6" t="s">
        <v>345</v>
      </c>
      <c r="K2033" s="10">
        <v>1.2</v>
      </c>
      <c r="L2033" s="10">
        <v>40</v>
      </c>
      <c r="M2033" s="6" t="s">
        <v>371</v>
      </c>
    </row>
    <row r="2034" spans="1:13">
      <c r="A2034" s="6">
        <v>2023</v>
      </c>
      <c r="B2034" s="6">
        <v>9</v>
      </c>
      <c r="C2034" s="6" t="s">
        <v>67</v>
      </c>
      <c r="D2034" s="6" t="s">
        <v>934</v>
      </c>
      <c r="E2034" s="6" t="s">
        <v>388</v>
      </c>
      <c r="F2034" s="6" t="str">
        <f>IF($M2034="PADD I","PADD 1",IF($M2034="PADD II","PADD 2",IF($M2034="PADD III","PADD 3",IF($M2034="PADD IV","PADD 4",IF($M2034="PADD V","PADD 5","")))))</f>
        <v>PADD 3</v>
      </c>
      <c r="G2034" s="6">
        <f>IF(AND($H2034="ATMOS DISTILLATION",ISNUMBER(SEARCH("VPS",$I2034))=FALSE,LEFT($I2034,6)&lt;&gt;"VACUUM"),"CDU",IF($H2034="FLUID CAT CRACKING","FCC",IF(OR($H2034="HYDROCRACKING",$H2034="RESID_HYDROCRACKING"),"Hydrocracker",IF($H2034="REFORMING","Reformer",""))))</f>
        <v/>
      </c>
      <c r="H2034" s="6" t="s">
        <v>378</v>
      </c>
      <c r="I2034" s="6" t="s">
        <v>964</v>
      </c>
      <c r="J2034" s="6" t="s">
        <v>345</v>
      </c>
      <c r="K2034" s="10">
        <v>1.19</v>
      </c>
      <c r="L2034" s="10">
        <v>17</v>
      </c>
      <c r="M2034" s="6" t="s">
        <v>371</v>
      </c>
    </row>
    <row r="2035" spans="1:13">
      <c r="A2035" s="6">
        <v>2023</v>
      </c>
      <c r="B2035" s="6">
        <v>9</v>
      </c>
      <c r="C2035" s="6" t="s">
        <v>67</v>
      </c>
      <c r="D2035" s="6" t="s">
        <v>468</v>
      </c>
      <c r="E2035" s="6" t="s">
        <v>369</v>
      </c>
      <c r="F2035" s="6" t="str">
        <f>IF($M2035="PADD I","PADD 1",IF($M2035="PADD II","PADD 2",IF($M2035="PADD III","PADD 3",IF($M2035="PADD IV","PADD 4",IF($M2035="PADD V","PADD 5","")))))</f>
        <v>PADD 3</v>
      </c>
      <c r="G2035" s="6">
        <f>IF(AND($H2035="ATMOS DISTILLATION",ISNUMBER(SEARCH("VPS",$I2035))=FALSE,LEFT($I2035,6)&lt;&gt;"VACUUM"),"CDU",IF($H2035="FLUID CAT CRACKING","FCC",IF(OR($H2035="HYDROCRACKING",$H2035="RESID_HYDROCRACKING"),"Hydrocracker",IF($H2035="REFORMING","Reformer",""))))</f>
        <v/>
      </c>
      <c r="H2035" s="6" t="s">
        <v>43</v>
      </c>
      <c r="I2035" s="6" t="s">
        <v>458</v>
      </c>
      <c r="J2035" s="6" t="s">
        <v>349</v>
      </c>
      <c r="K2035" s="10">
        <v>1.12</v>
      </c>
      <c r="L2035" s="10">
        <v>16</v>
      </c>
      <c r="M2035" s="6" t="s">
        <v>371</v>
      </c>
    </row>
    <row r="2036" spans="1:13">
      <c r="A2036" s="6">
        <v>2023</v>
      </c>
      <c r="B2036" s="6">
        <v>9</v>
      </c>
      <c r="C2036" s="6" t="s">
        <v>67</v>
      </c>
      <c r="D2036" s="6" t="s">
        <v>851</v>
      </c>
      <c r="E2036" s="6" t="s">
        <v>852</v>
      </c>
      <c r="F2036" s="6" t="str">
        <f>IF($M2036="PADD I","PADD 1",IF($M2036="PADD II","PADD 2",IF($M2036="PADD III","PADD 3",IF($M2036="PADD IV","PADD 4",IF($M2036="PADD V","PADD 5","")))))</f>
        <v>PADD 3</v>
      </c>
      <c r="G2036" s="6">
        <f>IF(AND($H2036="ATMOS DISTILLATION",ISNUMBER(SEARCH("VPS",$I2036))=FALSE,LEFT($I2036,6)&lt;&gt;"VACUUM"),"CDU",IF($H2036="FLUID CAT CRACKING","FCC",IF(OR($H2036="HYDROCRACKING",$H2036="RESID_HYDROCRACKING"),"Hydrocracker",IF($H2036="REFORMING","Reformer",""))))</f>
        <v/>
      </c>
      <c r="H2036" s="6" t="s">
        <v>378</v>
      </c>
      <c r="I2036" s="6" t="s">
        <v>860</v>
      </c>
      <c r="J2036" s="6" t="s">
        <v>345</v>
      </c>
      <c r="K2036" s="10">
        <v>1.08</v>
      </c>
      <c r="L2036" s="10">
        <v>36</v>
      </c>
      <c r="M2036" s="6" t="s">
        <v>371</v>
      </c>
    </row>
    <row r="2037" spans="1:13">
      <c r="A2037" s="6">
        <v>2023</v>
      </c>
      <c r="B2037" s="6">
        <v>9</v>
      </c>
      <c r="C2037" s="6" t="s">
        <v>67</v>
      </c>
      <c r="D2037" s="6" t="s">
        <v>468</v>
      </c>
      <c r="E2037" s="6" t="s">
        <v>369</v>
      </c>
      <c r="F2037" s="6" t="str">
        <f>IF($M2037="PADD I","PADD 1",IF($M2037="PADD II","PADD 2",IF($M2037="PADD III","PADD 3",IF($M2037="PADD IV","PADD 4",IF($M2037="PADD V","PADD 5","")))))</f>
        <v>PADD 3</v>
      </c>
      <c r="G2037" s="6">
        <f>IF(AND($H2037="ATMOS DISTILLATION",ISNUMBER(SEARCH("VPS",$I2037))=FALSE,LEFT($I2037,6)&lt;&gt;"VACUUM"),"CDU",IF($H2037="FLUID CAT CRACKING","FCC",IF(OR($H2037="HYDROCRACKING",$H2037="RESID_HYDROCRACKING"),"Hydrocracker",IF($H2037="REFORMING","Reformer",""))))</f>
        <v/>
      </c>
      <c r="H2037" s="6" t="s">
        <v>460</v>
      </c>
      <c r="I2037" s="6" t="s">
        <v>890</v>
      </c>
      <c r="J2037" s="6" t="s">
        <v>349</v>
      </c>
      <c r="K2037" s="10">
        <v>0.98</v>
      </c>
      <c r="L2037" s="10">
        <v>14</v>
      </c>
      <c r="M2037" s="6" t="s">
        <v>371</v>
      </c>
    </row>
    <row r="2038" spans="1:13">
      <c r="A2038" s="6">
        <v>2023</v>
      </c>
      <c r="B2038" s="6">
        <v>9</v>
      </c>
      <c r="C2038" s="6" t="s">
        <v>67</v>
      </c>
      <c r="D2038" s="6" t="s">
        <v>319</v>
      </c>
      <c r="E2038" s="6" t="s">
        <v>665</v>
      </c>
      <c r="F2038" s="6" t="str">
        <f>IF($M2038="PADD I","PADD 1",IF($M2038="PADD II","PADD 2",IF($M2038="PADD III","PADD 3",IF($M2038="PADD IV","PADD 4",IF($M2038="PADD V","PADD 5","")))))</f>
        <v>PADD 3</v>
      </c>
      <c r="G2038" s="6" t="str">
        <f>IF(AND($H2038="ATMOS DISTILLATION",ISNUMBER(SEARCH("VPS",$I2038))=FALSE,LEFT($I2038,6)&lt;&gt;"VACUUM"),"CDU",IF($H2038="FLUID CAT CRACKING","FCC",IF(OR($H2038="HYDROCRACKING",$H2038="RESID_HYDROCRACKING"),"Hydrocracker",IF($H2038="REFORMING","Reformer",""))))</f>
        <v>Hydrocracker</v>
      </c>
      <c r="H2038" s="6" t="s">
        <v>444</v>
      </c>
      <c r="I2038" s="6" t="s">
        <v>14</v>
      </c>
      <c r="J2038" s="6" t="s">
        <v>345</v>
      </c>
      <c r="K2038" s="10">
        <v>0.8</v>
      </c>
      <c r="L2038" s="10">
        <v>8</v>
      </c>
      <c r="M2038" s="6" t="s">
        <v>371</v>
      </c>
    </row>
    <row r="2039" spans="1:13">
      <c r="A2039" s="6">
        <v>2023</v>
      </c>
      <c r="B2039" s="6">
        <v>9</v>
      </c>
      <c r="C2039" s="6" t="s">
        <v>67</v>
      </c>
      <c r="D2039" s="6" t="s">
        <v>934</v>
      </c>
      <c r="E2039" s="6" t="s">
        <v>388</v>
      </c>
      <c r="F2039" s="6" t="str">
        <f>IF($M2039="PADD I","PADD 1",IF($M2039="PADD II","PADD 2",IF($M2039="PADD III","PADD 3",IF($M2039="PADD IV","PADD 4",IF($M2039="PADD V","PADD 5","")))))</f>
        <v>PADD 3</v>
      </c>
      <c r="G2039" s="6">
        <f>IF(AND($H2039="ATMOS DISTILLATION",ISNUMBER(SEARCH("VPS",$I2039))=FALSE,LEFT($I2039,6)&lt;&gt;"VACUUM"),"CDU",IF($H2039="FLUID CAT CRACKING","FCC",IF(OR($H2039="HYDROCRACKING",$H2039="RESID_HYDROCRACKING"),"Hydrocracker",IF($H2039="REFORMING","Reformer",""))))</f>
        <v/>
      </c>
      <c r="H2039" s="6" t="s">
        <v>460</v>
      </c>
      <c r="I2039" s="6" t="s">
        <v>461</v>
      </c>
      <c r="J2039" s="6" t="s">
        <v>345</v>
      </c>
      <c r="K2039" s="10">
        <v>0.7</v>
      </c>
      <c r="L2039" s="10">
        <v>10</v>
      </c>
      <c r="M2039" s="6" t="s">
        <v>371</v>
      </c>
    </row>
    <row r="2040" spans="1:13">
      <c r="A2040" s="6">
        <v>2023</v>
      </c>
      <c r="B2040" s="6">
        <v>9</v>
      </c>
      <c r="C2040" s="6" t="s">
        <v>67</v>
      </c>
      <c r="D2040" s="6" t="s">
        <v>402</v>
      </c>
      <c r="E2040" s="6" t="s">
        <v>403</v>
      </c>
      <c r="F2040" s="6" t="str">
        <f>IF($M2040="PADD I","PADD 1",IF($M2040="PADD II","PADD 2",IF($M2040="PADD III","PADD 3",IF($M2040="PADD IV","PADD 4",IF($M2040="PADD V","PADD 5","")))))</f>
        <v>PADD 3</v>
      </c>
      <c r="G2040" s="6">
        <f>IF(AND($H2040="ATMOS DISTILLATION",ISNUMBER(SEARCH("VPS",$I2040))=FALSE,LEFT($I2040,6)&lt;&gt;"VACUUM"),"CDU",IF($H2040="FLUID CAT CRACKING","FCC",IF(OR($H2040="HYDROCRACKING",$H2040="RESID_HYDROCRACKING"),"Hydrocracker",IF($H2040="REFORMING","Reformer",""))))</f>
        <v/>
      </c>
      <c r="H2040" s="6" t="s">
        <v>460</v>
      </c>
      <c r="I2040" s="6" t="s">
        <v>603</v>
      </c>
      <c r="J2040" s="6" t="s">
        <v>345</v>
      </c>
      <c r="K2040" s="10">
        <v>0.624</v>
      </c>
      <c r="L2040" s="10">
        <v>4.8</v>
      </c>
      <c r="M2040" s="6" t="s">
        <v>371</v>
      </c>
    </row>
    <row r="2041" spans="1:13">
      <c r="A2041" s="6">
        <v>2023</v>
      </c>
      <c r="B2041" s="6">
        <v>9</v>
      </c>
      <c r="C2041" s="6" t="s">
        <v>67</v>
      </c>
      <c r="D2041" s="6" t="s">
        <v>334</v>
      </c>
      <c r="E2041" s="6" t="s">
        <v>552</v>
      </c>
      <c r="F2041" s="6" t="str">
        <f>IF($M2041="PADD I","PADD 1",IF($M2041="PADD II","PADD 2",IF($M2041="PADD III","PADD 3",IF($M2041="PADD IV","PADD 4",IF($M2041="PADD V","PADD 5","")))))</f>
        <v>PADD 3</v>
      </c>
      <c r="G2041" s="6" t="str">
        <f>IF(AND($H2041="ATMOS DISTILLATION",ISNUMBER(SEARCH("VPS",$I2041))=FALSE,LEFT($I2041,6)&lt;&gt;"VACUUM"),"CDU",IF($H2041="FLUID CAT CRACKING","FCC",IF(OR($H2041="HYDROCRACKING",$H2041="RESID_HYDROCRACKING"),"Hydrocracker",IF($H2041="REFORMING","Reformer",""))))</f>
        <v>FCC</v>
      </c>
      <c r="H2041" s="6" t="s">
        <v>376</v>
      </c>
      <c r="I2041" s="6" t="s">
        <v>613</v>
      </c>
      <c r="J2041" s="6" t="s">
        <v>345</v>
      </c>
      <c r="K2041" s="10">
        <v>0.6</v>
      </c>
      <c r="L2041" s="10">
        <v>20</v>
      </c>
      <c r="M2041" s="6" t="s">
        <v>371</v>
      </c>
    </row>
    <row r="2042" spans="1:13">
      <c r="A2042" s="6">
        <v>2023</v>
      </c>
      <c r="B2042" s="6">
        <v>9</v>
      </c>
      <c r="C2042" s="6" t="s">
        <v>67</v>
      </c>
      <c r="D2042" s="6" t="s">
        <v>468</v>
      </c>
      <c r="E2042" s="6" t="s">
        <v>369</v>
      </c>
      <c r="F2042" s="6" t="str">
        <f>IF($M2042="PADD I","PADD 1",IF($M2042="PADD II","PADD 2",IF($M2042="PADD III","PADD 3",IF($M2042="PADD IV","PADD 4",IF($M2042="PADD V","PADD 5","")))))</f>
        <v>PADD 3</v>
      </c>
      <c r="G2042" s="6" t="str">
        <f>IF(AND($H2042="ATMOS DISTILLATION",ISNUMBER(SEARCH("VPS",$I2042))=FALSE,LEFT($I2042,6)&lt;&gt;"VACUUM"),"CDU",IF($H2042="FLUID CAT CRACKING","FCC",IF(OR($H2042="HYDROCRACKING",$H2042="RESID_HYDROCRACKING"),"Hydrocracker",IF($H2042="REFORMING","Reformer",""))))</f>
        <v>Reformer</v>
      </c>
      <c r="H2042" s="6" t="s">
        <v>421</v>
      </c>
      <c r="I2042" s="6" t="s">
        <v>635</v>
      </c>
      <c r="J2042" s="6" t="s">
        <v>349</v>
      </c>
      <c r="K2042" s="10">
        <v>0.49</v>
      </c>
      <c r="L2042" s="10">
        <v>7</v>
      </c>
      <c r="M2042" s="6" t="s">
        <v>371</v>
      </c>
    </row>
    <row r="2043" spans="1:13">
      <c r="A2043" s="6">
        <v>2023</v>
      </c>
      <c r="B2043" s="6">
        <v>9</v>
      </c>
      <c r="C2043" s="6" t="s">
        <v>67</v>
      </c>
      <c r="D2043" s="6" t="s">
        <v>934</v>
      </c>
      <c r="E2043" s="6" t="s">
        <v>388</v>
      </c>
      <c r="F2043" s="6" t="str">
        <f>IF($M2043="PADD I","PADD 1",IF($M2043="PADD II","PADD 2",IF($M2043="PADD III","PADD 3",IF($M2043="PADD IV","PADD 4",IF($M2043="PADD V","PADD 5","")))))</f>
        <v>PADD 3</v>
      </c>
      <c r="G2043" s="6">
        <f>IF(AND($H2043="ATMOS DISTILLATION",ISNUMBER(SEARCH("VPS",$I2043))=FALSE,LEFT($I2043,6)&lt;&gt;"VACUUM"),"CDU",IF($H2043="FLUID CAT CRACKING","FCC",IF(OR($H2043="HYDROCRACKING",$H2043="RESID_HYDROCRACKING"),"Hydrocracker",IF($H2043="REFORMING","Reformer",""))))</f>
        <v/>
      </c>
      <c r="H2043" s="6" t="s">
        <v>568</v>
      </c>
      <c r="I2043" s="6" t="s">
        <v>976</v>
      </c>
      <c r="J2043" s="6" t="s">
        <v>345</v>
      </c>
      <c r="K2043" s="10">
        <v>0.175</v>
      </c>
      <c r="L2043" s="10">
        <v>2.5</v>
      </c>
      <c r="M2043" s="6" t="s">
        <v>371</v>
      </c>
    </row>
    <row r="2044" spans="1:13">
      <c r="A2044" s="6">
        <v>2023</v>
      </c>
      <c r="B2044" s="6">
        <v>9</v>
      </c>
      <c r="C2044" s="6" t="s">
        <v>67</v>
      </c>
      <c r="D2044" s="6" t="s">
        <v>1032</v>
      </c>
      <c r="E2044" s="6" t="s">
        <v>1033</v>
      </c>
      <c r="F2044" s="6" t="str">
        <f>IF($M2044="PADD I","PADD 1",IF($M2044="PADD II","PADD 2",IF($M2044="PADD III","PADD 3",IF($M2044="PADD IV","PADD 4",IF($M2044="PADD V","PADD 5","")))))</f>
        <v>PADD 5</v>
      </c>
      <c r="G2044" s="6" t="str">
        <f>IF(AND($H2044="ATMOS DISTILLATION",ISNUMBER(SEARCH("VPS",$I2044))=FALSE,LEFT($I2044,6)&lt;&gt;"VACUUM"),"CDU",IF($H2044="FLUID CAT CRACKING","FCC",IF(OR($H2044="HYDROCRACKING",$H2044="RESID_HYDROCRACKING"),"Hydrocracker",IF($H2044="REFORMING","Reformer",""))))</f>
        <v>CDU</v>
      </c>
      <c r="H2044" s="6" t="s">
        <v>38</v>
      </c>
      <c r="I2044" s="6" t="s">
        <v>663</v>
      </c>
      <c r="J2044" s="6" t="s">
        <v>349</v>
      </c>
      <c r="K2044" s="10">
        <v>0.15</v>
      </c>
      <c r="L2044" s="10">
        <v>5</v>
      </c>
      <c r="M2044" s="6" t="s">
        <v>386</v>
      </c>
    </row>
    <row r="2045" spans="1:13">
      <c r="A2045" s="6">
        <v>2023</v>
      </c>
      <c r="B2045" s="6">
        <v>9</v>
      </c>
      <c r="C2045" s="6" t="s">
        <v>67</v>
      </c>
      <c r="D2045" s="6" t="s">
        <v>1032</v>
      </c>
      <c r="E2045" s="6" t="s">
        <v>1033</v>
      </c>
      <c r="F2045" s="6" t="str">
        <f>IF($M2045="PADD I","PADD 1",IF($M2045="PADD II","PADD 2",IF($M2045="PADD III","PADD 3",IF($M2045="PADD IV","PADD 4",IF($M2045="PADD V","PADD 5","")))))</f>
        <v>PADD 5</v>
      </c>
      <c r="G2045" s="6">
        <f>IF(AND($H2045="ATMOS DISTILLATION",ISNUMBER(SEARCH("VPS",$I2045))=FALSE,LEFT($I2045,6)&lt;&gt;"VACUUM"),"CDU",IF($H2045="FLUID CAT CRACKING","FCC",IF(OR($H2045="HYDROCRACKING",$H2045="RESID_HYDROCRACKING"),"Hydrocracker",IF($H2045="REFORMING","Reformer",""))))</f>
        <v/>
      </c>
      <c r="H2045" s="6" t="s">
        <v>378</v>
      </c>
      <c r="I2045" s="6" t="s">
        <v>1034</v>
      </c>
      <c r="J2045" s="6" t="s">
        <v>349</v>
      </c>
      <c r="K2045" s="10">
        <v>0.06</v>
      </c>
      <c r="L2045" s="10">
        <v>2</v>
      </c>
      <c r="M2045" s="6" t="s">
        <v>386</v>
      </c>
    </row>
    <row r="2046" spans="1:13">
      <c r="A2046" s="6">
        <v>2023</v>
      </c>
      <c r="B2046" s="6">
        <v>10</v>
      </c>
      <c r="C2046" s="6" t="s">
        <v>68</v>
      </c>
      <c r="D2046" s="6" t="s">
        <v>50</v>
      </c>
      <c r="E2046" s="6" t="s">
        <v>381</v>
      </c>
      <c r="F2046" s="6" t="str">
        <f>IF($M2046="PADD I","PADD 1",IF($M2046="PADD II","PADD 2",IF($M2046="PADD III","PADD 3",IF($M2046="PADD IV","PADD 4",IF($M2046="PADD V","PADD 5","")))))</f>
        <v>PADD 3</v>
      </c>
      <c r="G2046" s="6" t="str">
        <f>IF(AND($H2046="ATMOS DISTILLATION",ISNUMBER(SEARCH("VPS",$I2046))=FALSE,LEFT($I2046,6)&lt;&gt;"VACUUM"),"CDU",IF($H2046="FLUID CAT CRACKING","FCC",IF(OR($H2046="HYDROCRACKING",$H2046="RESID_HYDROCRACKING"),"Hydrocracker",IF($H2046="REFORMING","Reformer",""))))</f>
        <v>CDU</v>
      </c>
      <c r="H2046" s="6" t="s">
        <v>38</v>
      </c>
      <c r="I2046" s="6" t="s">
        <v>769</v>
      </c>
      <c r="J2046" s="6" t="s">
        <v>349</v>
      </c>
      <c r="K2046" s="10">
        <v>314</v>
      </c>
      <c r="L2046" s="10">
        <v>314</v>
      </c>
      <c r="M2046" s="6" t="s">
        <v>371</v>
      </c>
    </row>
    <row r="2047" spans="1:13">
      <c r="A2047" s="6">
        <v>2023</v>
      </c>
      <c r="B2047" s="6">
        <v>10</v>
      </c>
      <c r="C2047" s="6" t="s">
        <v>68</v>
      </c>
      <c r="D2047" s="6" t="s">
        <v>319</v>
      </c>
      <c r="E2047" s="6" t="s">
        <v>665</v>
      </c>
      <c r="F2047" s="6" t="str">
        <f>IF($M2047="PADD I","PADD 1",IF($M2047="PADD II","PADD 2",IF($M2047="PADD III","PADD 3",IF($M2047="PADD IV","PADD 4",IF($M2047="PADD V","PADD 5","")))))</f>
        <v>PADD 3</v>
      </c>
      <c r="G2047" s="6" t="str">
        <f>IF(AND($H2047="ATMOS DISTILLATION",ISNUMBER(SEARCH("VPS",$I2047))=FALSE,LEFT($I2047,6)&lt;&gt;"VACUUM"),"CDU",IF($H2047="FLUID CAT CRACKING","FCC",IF(OR($H2047="HYDROCRACKING",$H2047="RESID_HYDROCRACKING"),"Hydrocracker",IF($H2047="REFORMING","Reformer",""))))</f>
        <v>CDU</v>
      </c>
      <c r="H2047" s="6" t="s">
        <v>38</v>
      </c>
      <c r="I2047" s="6" t="s">
        <v>86</v>
      </c>
      <c r="J2047" s="6" t="s">
        <v>349</v>
      </c>
      <c r="K2047" s="10">
        <v>240</v>
      </c>
      <c r="L2047" s="10">
        <v>240</v>
      </c>
      <c r="M2047" s="6" t="s">
        <v>371</v>
      </c>
    </row>
    <row r="2048" spans="1:13">
      <c r="A2048" s="6">
        <v>2023</v>
      </c>
      <c r="B2048" s="6">
        <v>10</v>
      </c>
      <c r="C2048" s="6" t="s">
        <v>68</v>
      </c>
      <c r="D2048" s="6" t="s">
        <v>51</v>
      </c>
      <c r="E2048" s="6" t="s">
        <v>391</v>
      </c>
      <c r="F2048" s="6" t="str">
        <f>IF($M2048="PADD I","PADD 1",IF($M2048="PADD II","PADD 2",IF($M2048="PADD III","PADD 3",IF($M2048="PADD IV","PADD 4",IF($M2048="PADD V","PADD 5","")))))</f>
        <v>PADD 5</v>
      </c>
      <c r="G2048" s="6">
        <f>IF(AND($H2048="ATMOS DISTILLATION",ISNUMBER(SEARCH("VPS",$I2048))=FALSE,LEFT($I2048,6)&lt;&gt;"VACUUM"),"CDU",IF($H2048="FLUID CAT CRACKING","FCC",IF(OR($H2048="HYDROCRACKING",$H2048="RESID_HYDROCRACKING"),"Hydrocracker",IF($H2048="REFORMING","Reformer",""))))</f>
        <v/>
      </c>
      <c r="H2048" s="6" t="s">
        <v>378</v>
      </c>
      <c r="I2048" s="6" t="s">
        <v>1035</v>
      </c>
      <c r="J2048" s="6" t="s">
        <v>349</v>
      </c>
      <c r="K2048" s="10">
        <v>156.17</v>
      </c>
      <c r="L2048" s="10">
        <v>161</v>
      </c>
      <c r="M2048" s="6" t="s">
        <v>386</v>
      </c>
    </row>
    <row r="2049" spans="1:13">
      <c r="A2049" s="6">
        <v>2023</v>
      </c>
      <c r="B2049" s="6">
        <v>10</v>
      </c>
      <c r="C2049" s="6" t="s">
        <v>68</v>
      </c>
      <c r="D2049" s="6" t="s">
        <v>801</v>
      </c>
      <c r="E2049" s="6" t="s">
        <v>779</v>
      </c>
      <c r="F2049" s="6" t="str">
        <f>IF($M2049="PADD I","PADD 1",IF($M2049="PADD II","PADD 2",IF($M2049="PADD III","PADD 3",IF($M2049="PADD IV","PADD 4",IF($M2049="PADD V","PADD 5","")))))</f>
        <v>PADD 2</v>
      </c>
      <c r="G2049" s="6" t="str">
        <f>IF(AND($H2049="ATMOS DISTILLATION",ISNUMBER(SEARCH("VPS",$I2049))=FALSE,LEFT($I2049,6)&lt;&gt;"VACUUM"),"CDU",IF($H2049="FLUID CAT CRACKING","FCC",IF(OR($H2049="HYDROCRACKING",$H2049="RESID_HYDROCRACKING"),"Hydrocracker",IF($H2049="REFORMING","Reformer",""))))</f>
        <v>CDU</v>
      </c>
      <c r="H2049" s="6" t="s">
        <v>38</v>
      </c>
      <c r="I2049" s="6" t="s">
        <v>977</v>
      </c>
      <c r="J2049" s="6" t="s">
        <v>349</v>
      </c>
      <c r="K2049" s="10">
        <v>113.4</v>
      </c>
      <c r="L2049" s="10">
        <v>135</v>
      </c>
      <c r="M2049" s="6" t="s">
        <v>375</v>
      </c>
    </row>
    <row r="2050" spans="1:13">
      <c r="A2050" s="6">
        <v>2023</v>
      </c>
      <c r="B2050" s="6">
        <v>10</v>
      </c>
      <c r="C2050" s="6" t="s">
        <v>68</v>
      </c>
      <c r="D2050" s="6" t="s">
        <v>531</v>
      </c>
      <c r="E2050" s="6" t="s">
        <v>532</v>
      </c>
      <c r="F2050" s="6" t="str">
        <f>IF($M2050="PADD I","PADD 1",IF($M2050="PADD II","PADD 2",IF($M2050="PADD III","PADD 3",IF($M2050="PADD IV","PADD 4",IF($M2050="PADD V","PADD 5","")))))</f>
        <v>PADD 5</v>
      </c>
      <c r="G2050" s="6">
        <f>IF(AND($H2050="ATMOS DISTILLATION",ISNUMBER(SEARCH("VPS",$I2050))=FALSE,LEFT($I2050,6)&lt;&gt;"VACUUM"),"CDU",IF($H2050="FLUID CAT CRACKING","FCC",IF(OR($H2050="HYDROCRACKING",$H2050="RESID_HYDROCRACKING"),"Hydrocracker",IF($H2050="REFORMING","Reformer",""))))</f>
        <v/>
      </c>
      <c r="H2050" s="6" t="s">
        <v>43</v>
      </c>
      <c r="I2050" s="6" t="s">
        <v>567</v>
      </c>
      <c r="J2050" s="6" t="s">
        <v>349</v>
      </c>
      <c r="K2050" s="10">
        <v>105</v>
      </c>
      <c r="L2050" s="10">
        <v>105</v>
      </c>
      <c r="M2050" s="6" t="s">
        <v>386</v>
      </c>
    </row>
    <row r="2051" spans="1:13">
      <c r="A2051" s="6">
        <v>2023</v>
      </c>
      <c r="B2051" s="6">
        <v>10</v>
      </c>
      <c r="C2051" s="6" t="s">
        <v>68</v>
      </c>
      <c r="D2051" s="6" t="s">
        <v>542</v>
      </c>
      <c r="E2051" s="6" t="s">
        <v>543</v>
      </c>
      <c r="F2051" s="6" t="str">
        <f>IF($M2051="PADD I","PADD 1",IF($M2051="PADD II","PADD 2",IF($M2051="PADD III","PADD 3",IF($M2051="PADD IV","PADD 4",IF($M2051="PADD V","PADD 5","")))))</f>
        <v>PADD 2</v>
      </c>
      <c r="G2051" s="6">
        <f>IF(AND($H2051="ATMOS DISTILLATION",ISNUMBER(SEARCH("VPS",$I2051))=FALSE,LEFT($I2051,6)&lt;&gt;"VACUUM"),"CDU",IF($H2051="FLUID CAT CRACKING","FCC",IF(OR($H2051="HYDROCRACKING",$H2051="RESID_HYDROCRACKING"),"Hydrocracker",IF($H2051="REFORMING","Reformer",""))))</f>
        <v/>
      </c>
      <c r="H2051" s="6" t="s">
        <v>43</v>
      </c>
      <c r="I2051" s="6" t="s">
        <v>913</v>
      </c>
      <c r="J2051" s="6" t="s">
        <v>349</v>
      </c>
      <c r="K2051" s="10">
        <v>101.85</v>
      </c>
      <c r="L2051" s="10">
        <v>105</v>
      </c>
      <c r="M2051" s="6" t="s">
        <v>375</v>
      </c>
    </row>
    <row r="2052" spans="1:13">
      <c r="A2052" s="6">
        <v>2023</v>
      </c>
      <c r="B2052" s="6">
        <v>10</v>
      </c>
      <c r="C2052" s="6" t="s">
        <v>68</v>
      </c>
      <c r="D2052" s="6" t="s">
        <v>531</v>
      </c>
      <c r="E2052" s="6" t="s">
        <v>532</v>
      </c>
      <c r="F2052" s="6" t="str">
        <f>IF($M2052="PADD I","PADD 1",IF($M2052="PADD II","PADD 2",IF($M2052="PADD III","PADD 3",IF($M2052="PADD IV","PADD 4",IF($M2052="PADD V","PADD 5","")))))</f>
        <v>PADD 5</v>
      </c>
      <c r="G2052" s="6" t="str">
        <f>IF(AND($H2052="ATMOS DISTILLATION",ISNUMBER(SEARCH("VPS",$I2052))=FALSE,LEFT($I2052,6)&lt;&gt;"VACUUM"),"CDU",IF($H2052="FLUID CAT CRACKING","FCC",IF(OR($H2052="HYDROCRACKING",$H2052="RESID_HYDROCRACKING"),"Hydrocracker",IF($H2052="REFORMING","Reformer",""))))</f>
        <v>FCC</v>
      </c>
      <c r="H2052" s="6" t="s">
        <v>376</v>
      </c>
      <c r="I2052" s="6" t="s">
        <v>105</v>
      </c>
      <c r="J2052" s="6" t="s">
        <v>349</v>
      </c>
      <c r="K2052" s="10">
        <v>100</v>
      </c>
      <c r="L2052" s="10">
        <v>100</v>
      </c>
      <c r="M2052" s="6" t="s">
        <v>386</v>
      </c>
    </row>
    <row r="2053" spans="1:13">
      <c r="A2053" s="6">
        <v>2023</v>
      </c>
      <c r="B2053" s="6">
        <v>10</v>
      </c>
      <c r="C2053" s="6" t="s">
        <v>68</v>
      </c>
      <c r="D2053" s="6" t="s">
        <v>542</v>
      </c>
      <c r="E2053" s="6" t="s">
        <v>543</v>
      </c>
      <c r="F2053" s="6" t="str">
        <f>IF($M2053="PADD I","PADD 1",IF($M2053="PADD II","PADD 2",IF($M2053="PADD III","PADD 3",IF($M2053="PADD IV","PADD 4",IF($M2053="PADD V","PADD 5","")))))</f>
        <v>PADD 2</v>
      </c>
      <c r="G2053" s="6">
        <f>IF(AND($H2053="ATMOS DISTILLATION",ISNUMBER(SEARCH("VPS",$I2053))=FALSE,LEFT($I2053,6)&lt;&gt;"VACUUM"),"CDU",IF($H2053="FLUID CAT CRACKING","FCC",IF(OR($H2053="HYDROCRACKING",$H2053="RESID_HYDROCRACKING"),"Hydrocracker",IF($H2053="REFORMING","Reformer",""))))</f>
        <v/>
      </c>
      <c r="H2053" s="6" t="s">
        <v>43</v>
      </c>
      <c r="I2053" s="6" t="s">
        <v>551</v>
      </c>
      <c r="J2053" s="6" t="s">
        <v>345</v>
      </c>
      <c r="K2053" s="10">
        <v>100</v>
      </c>
      <c r="L2053" s="10">
        <v>100</v>
      </c>
      <c r="M2053" s="6" t="s">
        <v>375</v>
      </c>
    </row>
    <row r="2054" spans="1:13">
      <c r="A2054" s="6">
        <v>2023</v>
      </c>
      <c r="B2054" s="6">
        <v>10</v>
      </c>
      <c r="C2054" s="6" t="s">
        <v>68</v>
      </c>
      <c r="D2054" s="6" t="s">
        <v>415</v>
      </c>
      <c r="E2054" s="6" t="s">
        <v>416</v>
      </c>
      <c r="F2054" s="6" t="str">
        <f>IF($M2054="PADD I","PADD 1",IF($M2054="PADD II","PADD 2",IF($M2054="PADD III","PADD 3",IF($M2054="PADD IV","PADD 4",IF($M2054="PADD V","PADD 5","")))))</f>
        <v>PADD 3</v>
      </c>
      <c r="G2054" s="6">
        <f>IF(AND($H2054="ATMOS DISTILLATION",ISNUMBER(SEARCH("VPS",$I2054))=FALSE,LEFT($I2054,6)&lt;&gt;"VACUUM"),"CDU",IF($H2054="FLUID CAT CRACKING","FCC",IF(OR($H2054="HYDROCRACKING",$H2054="RESID_HYDROCRACKING"),"Hydrocracker",IF($H2054="REFORMING","Reformer",""))))</f>
        <v/>
      </c>
      <c r="H2054" s="6" t="s">
        <v>43</v>
      </c>
      <c r="I2054" s="6" t="s">
        <v>520</v>
      </c>
      <c r="J2054" s="6" t="s">
        <v>349</v>
      </c>
      <c r="K2054" s="10">
        <v>95</v>
      </c>
      <c r="L2054" s="10">
        <v>95</v>
      </c>
      <c r="M2054" s="6" t="s">
        <v>371</v>
      </c>
    </row>
    <row r="2055" spans="1:13">
      <c r="A2055" s="6">
        <v>2023</v>
      </c>
      <c r="B2055" s="6">
        <v>10</v>
      </c>
      <c r="C2055" s="6" t="s">
        <v>68</v>
      </c>
      <c r="D2055" s="6" t="s">
        <v>40</v>
      </c>
      <c r="E2055" s="6" t="s">
        <v>736</v>
      </c>
      <c r="F2055" s="6" t="str">
        <f>IF($M2055="PADD I","PADD 1",IF($M2055="PADD II","PADD 2",IF($M2055="PADD III","PADD 3",IF($M2055="PADD IV","PADD 4",IF($M2055="PADD V","PADD 5","")))))</f>
        <v>PADD 1</v>
      </c>
      <c r="G2055" s="6" t="str">
        <f>IF(AND($H2055="ATMOS DISTILLATION",ISNUMBER(SEARCH("VPS",$I2055))=FALSE,LEFT($I2055,6)&lt;&gt;"VACUUM"),"CDU",IF($H2055="FLUID CAT CRACKING","FCC",IF(OR($H2055="HYDROCRACKING",$H2055="RESID_HYDROCRACKING"),"Hydrocracker",IF($H2055="REFORMING","Reformer",""))))</f>
        <v>CDU</v>
      </c>
      <c r="H2055" s="6" t="s">
        <v>38</v>
      </c>
      <c r="I2055" s="6" t="s">
        <v>980</v>
      </c>
      <c r="J2055" s="6" t="s">
        <v>349</v>
      </c>
      <c r="K2055" s="10">
        <v>92.5</v>
      </c>
      <c r="L2055" s="10">
        <v>92.5</v>
      </c>
      <c r="M2055" s="6" t="s">
        <v>413</v>
      </c>
    </row>
    <row r="2056" spans="1:13">
      <c r="A2056" s="6">
        <v>2023</v>
      </c>
      <c r="B2056" s="6">
        <v>10</v>
      </c>
      <c r="C2056" s="6" t="s">
        <v>68</v>
      </c>
      <c r="D2056" s="6" t="s">
        <v>40</v>
      </c>
      <c r="E2056" s="6" t="s">
        <v>736</v>
      </c>
      <c r="F2056" s="6" t="str">
        <f>IF($M2056="PADD I","PADD 1",IF($M2056="PADD II","PADD 2",IF($M2056="PADD III","PADD 3",IF($M2056="PADD IV","PADD 4",IF($M2056="PADD V","PADD 5","")))))</f>
        <v>PADD 1</v>
      </c>
      <c r="G2056" s="6" t="str">
        <f>IF(AND($H2056="ATMOS DISTILLATION",ISNUMBER(SEARCH("VPS",$I2056))=FALSE,LEFT($I2056,6)&lt;&gt;"VACUUM"),"CDU",IF($H2056="FLUID CAT CRACKING","FCC",IF(OR($H2056="HYDROCRACKING",$H2056="RESID_HYDROCRACKING"),"Hydrocracker",IF($H2056="REFORMING","Reformer",""))))</f>
        <v>CDU</v>
      </c>
      <c r="H2056" s="6" t="s">
        <v>38</v>
      </c>
      <c r="I2056" s="6" t="s">
        <v>989</v>
      </c>
      <c r="J2056" s="6" t="s">
        <v>349</v>
      </c>
      <c r="K2056" s="10">
        <v>92.5</v>
      </c>
      <c r="L2056" s="10">
        <v>92.5</v>
      </c>
      <c r="M2056" s="6" t="s">
        <v>413</v>
      </c>
    </row>
    <row r="2057" spans="1:13">
      <c r="A2057" s="6">
        <v>2023</v>
      </c>
      <c r="B2057" s="6">
        <v>10</v>
      </c>
      <c r="C2057" s="6" t="s">
        <v>68</v>
      </c>
      <c r="D2057" s="6" t="s">
        <v>490</v>
      </c>
      <c r="E2057" s="6" t="s">
        <v>491</v>
      </c>
      <c r="F2057" s="6" t="str">
        <f>IF($M2057="PADD I","PADD 1",IF($M2057="PADD II","PADD 2",IF($M2057="PADD III","PADD 3",IF($M2057="PADD IV","PADD 4",IF($M2057="PADD V","PADD 5","")))))</f>
        <v>PADD 3</v>
      </c>
      <c r="G2057" s="6">
        <f>IF(AND($H2057="ATMOS DISTILLATION",ISNUMBER(SEARCH("VPS",$I2057))=FALSE,LEFT($I2057,6)&lt;&gt;"VACUUM"),"CDU",IF($H2057="FLUID CAT CRACKING","FCC",IF(OR($H2057="HYDROCRACKING",$H2057="RESID_HYDROCRACKING"),"Hydrocracker",IF($H2057="REFORMING","Reformer",""))))</f>
        <v/>
      </c>
      <c r="H2057" s="6" t="s">
        <v>38</v>
      </c>
      <c r="I2057" s="6" t="s">
        <v>1008</v>
      </c>
      <c r="J2057" s="6" t="s">
        <v>349</v>
      </c>
      <c r="K2057" s="10">
        <v>90</v>
      </c>
      <c r="L2057" s="10">
        <v>90</v>
      </c>
      <c r="M2057" s="6" t="s">
        <v>371</v>
      </c>
    </row>
    <row r="2058" spans="1:13">
      <c r="A2058" s="6">
        <v>2023</v>
      </c>
      <c r="B2058" s="6">
        <v>10</v>
      </c>
      <c r="C2058" s="6" t="s">
        <v>68</v>
      </c>
      <c r="D2058" s="6" t="s">
        <v>542</v>
      </c>
      <c r="E2058" s="6" t="s">
        <v>543</v>
      </c>
      <c r="F2058" s="6" t="str">
        <f>IF($M2058="PADD I","PADD 1",IF($M2058="PADD II","PADD 2",IF($M2058="PADD III","PADD 3",IF($M2058="PADD IV","PADD 4",IF($M2058="PADD V","PADD 5","")))))</f>
        <v>PADD 2</v>
      </c>
      <c r="G2058" s="6" t="str">
        <f>IF(AND($H2058="ATMOS DISTILLATION",ISNUMBER(SEARCH("VPS",$I2058))=FALSE,LEFT($I2058,6)&lt;&gt;"VACUUM"),"CDU",IF($H2058="FLUID CAT CRACKING","FCC",IF(OR($H2058="HYDROCRACKING",$H2058="RESID_HYDROCRACKING"),"Hydrocracker",IF($H2058="REFORMING","Reformer",""))))</f>
        <v>CDU</v>
      </c>
      <c r="H2058" s="6" t="s">
        <v>38</v>
      </c>
      <c r="I2058" s="6" t="s">
        <v>690</v>
      </c>
      <c r="J2058" s="6" t="s">
        <v>349</v>
      </c>
      <c r="K2058" s="10">
        <v>90</v>
      </c>
      <c r="L2058" s="10">
        <v>90</v>
      </c>
      <c r="M2058" s="6" t="s">
        <v>375</v>
      </c>
    </row>
    <row r="2059" spans="1:13">
      <c r="A2059" s="6">
        <v>2023</v>
      </c>
      <c r="B2059" s="6">
        <v>10</v>
      </c>
      <c r="C2059" s="6" t="s">
        <v>68</v>
      </c>
      <c r="D2059" s="6" t="s">
        <v>51</v>
      </c>
      <c r="E2059" s="6" t="s">
        <v>391</v>
      </c>
      <c r="F2059" s="6" t="str">
        <f>IF($M2059="PADD I","PADD 1",IF($M2059="PADD II","PADD 2",IF($M2059="PADD III","PADD 3",IF($M2059="PADD IV","PADD 4",IF($M2059="PADD V","PADD 5","")))))</f>
        <v>PADD 5</v>
      </c>
      <c r="G2059" s="6" t="str">
        <f>IF(AND($H2059="ATMOS DISTILLATION",ISNUMBER(SEARCH("VPS",$I2059))=FALSE,LEFT($I2059,6)&lt;&gt;"VACUUM"),"CDU",IF($H2059="FLUID CAT CRACKING","FCC",IF(OR($H2059="HYDROCRACKING",$H2059="RESID_HYDROCRACKING"),"Hydrocracker",IF($H2059="REFORMING","Reformer",""))))</f>
        <v>CDU</v>
      </c>
      <c r="H2059" s="6" t="s">
        <v>38</v>
      </c>
      <c r="I2059" s="6" t="s">
        <v>135</v>
      </c>
      <c r="J2059" s="6" t="s">
        <v>349</v>
      </c>
      <c r="K2059" s="10">
        <v>87.3</v>
      </c>
      <c r="L2059" s="10">
        <v>90</v>
      </c>
      <c r="M2059" s="6" t="s">
        <v>386</v>
      </c>
    </row>
    <row r="2060" spans="1:13">
      <c r="A2060" s="6">
        <v>2023</v>
      </c>
      <c r="B2060" s="6">
        <v>10</v>
      </c>
      <c r="C2060" s="6" t="s">
        <v>68</v>
      </c>
      <c r="D2060" s="6" t="s">
        <v>398</v>
      </c>
      <c r="E2060" s="6" t="s">
        <v>399</v>
      </c>
      <c r="F2060" s="6" t="str">
        <f>IF($M2060="PADD I","PADD 1",IF($M2060="PADD II","PADD 2",IF($M2060="PADD III","PADD 3",IF($M2060="PADD IV","PADD 4",IF($M2060="PADD V","PADD 5","")))))</f>
        <v>PADD 3</v>
      </c>
      <c r="G2060" s="6" t="str">
        <f>IF(AND($H2060="ATMOS DISTILLATION",ISNUMBER(SEARCH("VPS",$I2060))=FALSE,LEFT($I2060,6)&lt;&gt;"VACUUM"),"CDU",IF($H2060="FLUID CAT CRACKING","FCC",IF(OR($H2060="HYDROCRACKING",$H2060="RESID_HYDROCRACKING"),"Hydrocracker",IF($H2060="REFORMING","Reformer",""))))</f>
        <v>FCC</v>
      </c>
      <c r="H2060" s="6" t="s">
        <v>376</v>
      </c>
      <c r="I2060" s="6" t="s">
        <v>1036</v>
      </c>
      <c r="J2060" s="6" t="s">
        <v>349</v>
      </c>
      <c r="K2060" s="10">
        <v>81</v>
      </c>
      <c r="L2060" s="10">
        <v>90</v>
      </c>
      <c r="M2060" s="6" t="s">
        <v>371</v>
      </c>
    </row>
    <row r="2061" spans="1:13">
      <c r="A2061" s="6">
        <v>2023</v>
      </c>
      <c r="B2061" s="6">
        <v>10</v>
      </c>
      <c r="C2061" s="6" t="s">
        <v>68</v>
      </c>
      <c r="D2061" s="6" t="s">
        <v>468</v>
      </c>
      <c r="E2061" s="6" t="s">
        <v>369</v>
      </c>
      <c r="F2061" s="6" t="str">
        <f>IF($M2061="PADD I","PADD 1",IF($M2061="PADD II","PADD 2",IF($M2061="PADD III","PADD 3",IF($M2061="PADD IV","PADD 4",IF($M2061="PADD V","PADD 5","")))))</f>
        <v>PADD 3</v>
      </c>
      <c r="G2061" s="6">
        <f>IF(AND($H2061="ATMOS DISTILLATION",ISNUMBER(SEARCH("VPS",$I2061))=FALSE,LEFT($I2061,6)&lt;&gt;"VACUUM"),"CDU",IF($H2061="FLUID CAT CRACKING","FCC",IF(OR($H2061="HYDROCRACKING",$H2061="RESID_HYDROCRACKING"),"Hydrocracker",IF($H2061="REFORMING","Reformer",""))))</f>
        <v/>
      </c>
      <c r="H2061" s="6" t="s">
        <v>378</v>
      </c>
      <c r="I2061" s="6" t="s">
        <v>1023</v>
      </c>
      <c r="J2061" s="6" t="s">
        <v>349</v>
      </c>
      <c r="K2061" s="10">
        <v>80</v>
      </c>
      <c r="L2061" s="10">
        <v>80</v>
      </c>
      <c r="M2061" s="6" t="s">
        <v>371</v>
      </c>
    </row>
    <row r="2062" spans="1:13">
      <c r="A2062" s="6">
        <v>2023</v>
      </c>
      <c r="B2062" s="6">
        <v>10</v>
      </c>
      <c r="C2062" s="6" t="s">
        <v>68</v>
      </c>
      <c r="D2062" s="6" t="s">
        <v>408</v>
      </c>
      <c r="E2062" s="6" t="s">
        <v>409</v>
      </c>
      <c r="F2062" s="6" t="str">
        <f>IF($M2062="PADD I","PADD 1",IF($M2062="PADD II","PADD 2",IF($M2062="PADD III","PADD 3",IF($M2062="PADD IV","PADD 4",IF($M2062="PADD V","PADD 5","")))))</f>
        <v>PADD 3</v>
      </c>
      <c r="G2062" s="6" t="str">
        <f>IF(AND($H2062="ATMOS DISTILLATION",ISNUMBER(SEARCH("VPS",$I2062))=FALSE,LEFT($I2062,6)&lt;&gt;"VACUUM"),"CDU",IF($H2062="FLUID CAT CRACKING","FCC",IF(OR($H2062="HYDROCRACKING",$H2062="RESID_HYDROCRACKING"),"Hydrocracker",IF($H2062="REFORMING","Reformer",""))))</f>
        <v>CDU</v>
      </c>
      <c r="H2062" s="6" t="s">
        <v>38</v>
      </c>
      <c r="I2062" s="6" t="s">
        <v>410</v>
      </c>
      <c r="J2062" s="6" t="s">
        <v>345</v>
      </c>
      <c r="K2062" s="10">
        <v>80</v>
      </c>
      <c r="L2062" s="10">
        <v>80</v>
      </c>
      <c r="M2062" s="6" t="s">
        <v>371</v>
      </c>
    </row>
    <row r="2063" spans="1:13">
      <c r="A2063" s="6">
        <v>2023</v>
      </c>
      <c r="B2063" s="6">
        <v>10</v>
      </c>
      <c r="C2063" s="6" t="s">
        <v>68</v>
      </c>
      <c r="D2063" s="6" t="s">
        <v>434</v>
      </c>
      <c r="E2063" s="6" t="s">
        <v>388</v>
      </c>
      <c r="F2063" s="6" t="str">
        <f>IF($M2063="PADD I","PADD 1",IF($M2063="PADD II","PADD 2",IF($M2063="PADD III","PADD 3",IF($M2063="PADD IV","PADD 4",IF($M2063="PADD V","PADD 5","")))))</f>
        <v>PADD 5</v>
      </c>
      <c r="G2063" s="6" t="str">
        <f>IF(AND($H2063="ATMOS DISTILLATION",ISNUMBER(SEARCH("VPS",$I2063))=FALSE,LEFT($I2063,6)&lt;&gt;"VACUUM"),"CDU",IF($H2063="FLUID CAT CRACKING","FCC",IF(OR($H2063="HYDROCRACKING",$H2063="RESID_HYDROCRACKING"),"Hydrocracker",IF($H2063="REFORMING","Reformer",""))))</f>
        <v>CDU</v>
      </c>
      <c r="H2063" s="6" t="s">
        <v>38</v>
      </c>
      <c r="I2063" s="6" t="s">
        <v>663</v>
      </c>
      <c r="J2063" s="6" t="s">
        <v>349</v>
      </c>
      <c r="K2063" s="10">
        <v>79.31</v>
      </c>
      <c r="L2063" s="10">
        <v>103</v>
      </c>
      <c r="M2063" s="6" t="s">
        <v>386</v>
      </c>
    </row>
    <row r="2064" spans="1:13">
      <c r="A2064" s="6">
        <v>2023</v>
      </c>
      <c r="B2064" s="6">
        <v>10</v>
      </c>
      <c r="C2064" s="6" t="s">
        <v>68</v>
      </c>
      <c r="D2064" s="6" t="s">
        <v>395</v>
      </c>
      <c r="E2064" s="6" t="s">
        <v>396</v>
      </c>
      <c r="F2064" s="6" t="str">
        <f>IF($M2064="PADD I","PADD 1",IF($M2064="PADD II","PADD 2",IF($M2064="PADD III","PADD 3",IF($M2064="PADD IV","PADD 4",IF($M2064="PADD V","PADD 5","")))))</f>
        <v>PADD 3</v>
      </c>
      <c r="G2064" s="6" t="str">
        <f>IF(AND($H2064="ATMOS DISTILLATION",ISNUMBER(SEARCH("VPS",$I2064))=FALSE,LEFT($I2064,6)&lt;&gt;"VACUUM"),"CDU",IF($H2064="FLUID CAT CRACKING","FCC",IF(OR($H2064="HYDROCRACKING",$H2064="RESID_HYDROCRACKING"),"Hydrocracker",IF($H2064="REFORMING","Reformer",""))))</f>
        <v>CDU</v>
      </c>
      <c r="H2064" s="6" t="s">
        <v>38</v>
      </c>
      <c r="I2064" s="6" t="s">
        <v>397</v>
      </c>
      <c r="J2064" s="6" t="s">
        <v>345</v>
      </c>
      <c r="K2064" s="10">
        <v>78.3</v>
      </c>
      <c r="L2064" s="10">
        <v>270</v>
      </c>
      <c r="M2064" s="6" t="s">
        <v>371</v>
      </c>
    </row>
    <row r="2065" spans="1:13">
      <c r="A2065" s="6">
        <v>2023</v>
      </c>
      <c r="B2065" s="6">
        <v>10</v>
      </c>
      <c r="C2065" s="6" t="s">
        <v>68</v>
      </c>
      <c r="D2065" s="6" t="s">
        <v>319</v>
      </c>
      <c r="E2065" s="6" t="s">
        <v>665</v>
      </c>
      <c r="F2065" s="6" t="str">
        <f>IF($M2065="PADD I","PADD 1",IF($M2065="PADD II","PADD 2",IF($M2065="PADD III","PADD 3",IF($M2065="PADD IV","PADD 4",IF($M2065="PADD V","PADD 5","")))))</f>
        <v>PADD 3</v>
      </c>
      <c r="G2065" s="6">
        <f>IF(AND($H2065="ATMOS DISTILLATION",ISNUMBER(SEARCH("VPS",$I2065))=FALSE,LEFT($I2065,6)&lt;&gt;"VACUUM"),"CDU",IF($H2065="FLUID CAT CRACKING","FCC",IF(OR($H2065="HYDROCRACKING",$H2065="RESID_HYDROCRACKING"),"Hydrocracker",IF($H2065="REFORMING","Reformer",""))))</f>
        <v/>
      </c>
      <c r="H2065" s="6" t="s">
        <v>378</v>
      </c>
      <c r="I2065" s="6" t="s">
        <v>877</v>
      </c>
      <c r="J2065" s="6" t="s">
        <v>345</v>
      </c>
      <c r="K2065" s="10">
        <v>78</v>
      </c>
      <c r="L2065" s="10">
        <v>78</v>
      </c>
      <c r="M2065" s="6" t="s">
        <v>371</v>
      </c>
    </row>
    <row r="2066" spans="1:13">
      <c r="A2066" s="6">
        <v>2023</v>
      </c>
      <c r="B2066" s="6">
        <v>10</v>
      </c>
      <c r="C2066" s="6" t="s">
        <v>68</v>
      </c>
      <c r="D2066" s="6" t="s">
        <v>387</v>
      </c>
      <c r="E2066" s="6" t="s">
        <v>388</v>
      </c>
      <c r="F2066" s="6" t="str">
        <f>IF($M2066="PADD I","PADD 1",IF($M2066="PADD II","PADD 2",IF($M2066="PADD III","PADD 3",IF($M2066="PADD IV","PADD 4",IF($M2066="PADD V","PADD 5","")))))</f>
        <v>PADD 3</v>
      </c>
      <c r="G2066" s="6" t="str">
        <f>IF(AND($H2066="ATMOS DISTILLATION",ISNUMBER(SEARCH("VPS",$I2066))=FALSE,LEFT($I2066,6)&lt;&gt;"VACUUM"),"CDU",IF($H2066="FLUID CAT CRACKING","FCC",IF(OR($H2066="HYDROCRACKING",$H2066="RESID_HYDROCRACKING"),"Hydrocracker",IF($H2066="REFORMING","Reformer",""))))</f>
        <v>Reformer</v>
      </c>
      <c r="H2066" s="6" t="s">
        <v>421</v>
      </c>
      <c r="I2066" s="6" t="s">
        <v>443</v>
      </c>
      <c r="J2066" s="6" t="s">
        <v>345</v>
      </c>
      <c r="K2066" s="10">
        <v>77.5</v>
      </c>
      <c r="L2066" s="10">
        <v>77.5</v>
      </c>
      <c r="M2066" s="6" t="s">
        <v>371</v>
      </c>
    </row>
    <row r="2067" spans="1:13">
      <c r="A2067" s="6">
        <v>2023</v>
      </c>
      <c r="B2067" s="6">
        <v>10</v>
      </c>
      <c r="C2067" s="6" t="s">
        <v>68</v>
      </c>
      <c r="D2067" s="6" t="s">
        <v>468</v>
      </c>
      <c r="E2067" s="6" t="s">
        <v>369</v>
      </c>
      <c r="F2067" s="6" t="str">
        <f>IF($M2067="PADD I","PADD 1",IF($M2067="PADD II","PADD 2",IF($M2067="PADD III","PADD 3",IF($M2067="PADD IV","PADD 4",IF($M2067="PADD V","PADD 5","")))))</f>
        <v>PADD 3</v>
      </c>
      <c r="G2067" s="6">
        <f>IF(AND($H2067="ATMOS DISTILLATION",ISNUMBER(SEARCH("VPS",$I2067))=FALSE,LEFT($I2067,6)&lt;&gt;"VACUUM"),"CDU",IF($H2067="FLUID CAT CRACKING","FCC",IF(OR($H2067="HYDROCRACKING",$H2067="RESID_HYDROCRACKING"),"Hydrocracker",IF($H2067="REFORMING","Reformer",""))))</f>
        <v/>
      </c>
      <c r="H2067" s="6" t="s">
        <v>43</v>
      </c>
      <c r="I2067" s="6" t="s">
        <v>849</v>
      </c>
      <c r="J2067" s="6" t="s">
        <v>349</v>
      </c>
      <c r="K2067" s="10">
        <v>73</v>
      </c>
      <c r="L2067" s="10">
        <v>73</v>
      </c>
      <c r="M2067" s="6" t="s">
        <v>371</v>
      </c>
    </row>
    <row r="2068" spans="1:13">
      <c r="A2068" s="6">
        <v>2023</v>
      </c>
      <c r="B2068" s="6">
        <v>10</v>
      </c>
      <c r="C2068" s="6" t="s">
        <v>68</v>
      </c>
      <c r="D2068" s="6" t="s">
        <v>801</v>
      </c>
      <c r="E2068" s="6" t="s">
        <v>779</v>
      </c>
      <c r="F2068" s="6" t="str">
        <f>IF($M2068="PADD I","PADD 1",IF($M2068="PADD II","PADD 2",IF($M2068="PADD III","PADD 3",IF($M2068="PADD IV","PADD 4",IF($M2068="PADD V","PADD 5","")))))</f>
        <v>PADD 2</v>
      </c>
      <c r="G2068" s="6" t="str">
        <f>IF(AND($H2068="ATMOS DISTILLATION",ISNUMBER(SEARCH("VPS",$I2068))=FALSE,LEFT($I2068,6)&lt;&gt;"VACUUM"),"CDU",IF($H2068="FLUID CAT CRACKING","FCC",IF(OR($H2068="HYDROCRACKING",$H2068="RESID_HYDROCRACKING"),"Hydrocracker",IF($H2068="REFORMING","Reformer",""))))</f>
        <v>FCC</v>
      </c>
      <c r="H2068" s="6" t="s">
        <v>376</v>
      </c>
      <c r="I2068" s="6" t="s">
        <v>105</v>
      </c>
      <c r="J2068" s="6" t="s">
        <v>349</v>
      </c>
      <c r="K2068" s="10">
        <v>71.40000000000001</v>
      </c>
      <c r="L2068" s="10">
        <v>85</v>
      </c>
      <c r="M2068" s="6" t="s">
        <v>375</v>
      </c>
    </row>
    <row r="2069" spans="1:13">
      <c r="A2069" s="6">
        <v>2023</v>
      </c>
      <c r="B2069" s="6">
        <v>10</v>
      </c>
      <c r="C2069" s="6" t="s">
        <v>68</v>
      </c>
      <c r="D2069" s="6" t="s">
        <v>801</v>
      </c>
      <c r="E2069" s="6" t="s">
        <v>779</v>
      </c>
      <c r="F2069" s="6" t="str">
        <f>IF($M2069="PADD I","PADD 1",IF($M2069="PADD II","PADD 2",IF($M2069="PADD III","PADD 3",IF($M2069="PADD IV","PADD 4",IF($M2069="PADD V","PADD 5","")))))</f>
        <v>PADD 2</v>
      </c>
      <c r="G2069" s="6" t="str">
        <f>IF(AND($H2069="ATMOS DISTILLATION",ISNUMBER(SEARCH("VPS",$I2069))=FALSE,LEFT($I2069,6)&lt;&gt;"VACUUM"),"CDU",IF($H2069="FLUID CAT CRACKING","FCC",IF(OR($H2069="HYDROCRACKING",$H2069="RESID_HYDROCRACKING"),"Hydrocracker",IF($H2069="REFORMING","Reformer",""))))</f>
        <v>CDU</v>
      </c>
      <c r="H2069" s="6" t="s">
        <v>38</v>
      </c>
      <c r="I2069" s="6" t="s">
        <v>979</v>
      </c>
      <c r="J2069" s="6" t="s">
        <v>349</v>
      </c>
      <c r="K2069" s="10">
        <v>69.3</v>
      </c>
      <c r="L2069" s="10">
        <v>82.5</v>
      </c>
      <c r="M2069" s="6" t="s">
        <v>375</v>
      </c>
    </row>
    <row r="2070" spans="1:13">
      <c r="A2070" s="6">
        <v>2023</v>
      </c>
      <c r="B2070" s="6">
        <v>10</v>
      </c>
      <c r="C2070" s="6" t="s">
        <v>68</v>
      </c>
      <c r="D2070" s="6" t="s">
        <v>40</v>
      </c>
      <c r="E2070" s="6" t="s">
        <v>736</v>
      </c>
      <c r="F2070" s="6" t="str">
        <f>IF($M2070="PADD I","PADD 1",IF($M2070="PADD II","PADD 2",IF($M2070="PADD III","PADD 3",IF($M2070="PADD IV","PADD 4",IF($M2070="PADD V","PADD 5","")))))</f>
        <v>PADD 1</v>
      </c>
      <c r="G2070" s="6" t="str">
        <f>IF(AND($H2070="ATMOS DISTILLATION",ISNUMBER(SEARCH("VPS",$I2070))=FALSE,LEFT($I2070,6)&lt;&gt;"VACUUM"),"CDU",IF($H2070="FLUID CAT CRACKING","FCC",IF(OR($H2070="HYDROCRACKING",$H2070="RESID_HYDROCRACKING"),"Hydrocracker",IF($H2070="REFORMING","Reformer",""))))</f>
        <v>FCC</v>
      </c>
      <c r="H2070" s="6" t="s">
        <v>376</v>
      </c>
      <c r="I2070" s="6" t="s">
        <v>737</v>
      </c>
      <c r="J2070" s="6" t="s">
        <v>349</v>
      </c>
      <c r="K2070" s="10">
        <v>68</v>
      </c>
      <c r="L2070" s="10">
        <v>68</v>
      </c>
      <c r="M2070" s="6" t="s">
        <v>413</v>
      </c>
    </row>
    <row r="2071" spans="1:13">
      <c r="A2071" s="6">
        <v>2023</v>
      </c>
      <c r="B2071" s="6">
        <v>10</v>
      </c>
      <c r="C2071" s="6" t="s">
        <v>68</v>
      </c>
      <c r="D2071" s="6" t="s">
        <v>40</v>
      </c>
      <c r="E2071" s="6" t="s">
        <v>736</v>
      </c>
      <c r="F2071" s="6" t="str">
        <f>IF($M2071="PADD I","PADD 1",IF($M2071="PADD II","PADD 2",IF($M2071="PADD III","PADD 3",IF($M2071="PADD IV","PADD 4",IF($M2071="PADD V","PADD 5","")))))</f>
        <v>PADD 1</v>
      </c>
      <c r="G2071" s="6">
        <f>IF(AND($H2071="ATMOS DISTILLATION",ISNUMBER(SEARCH("VPS",$I2071))=FALSE,LEFT($I2071,6)&lt;&gt;"VACUUM"),"CDU",IF($H2071="FLUID CAT CRACKING","FCC",IF(OR($H2071="HYDROCRACKING",$H2071="RESID_HYDROCRACKING"),"Hydrocracker",IF($H2071="REFORMING","Reformer",""))))</f>
        <v/>
      </c>
      <c r="H2071" s="6" t="s">
        <v>43</v>
      </c>
      <c r="I2071" s="6" t="s">
        <v>994</v>
      </c>
      <c r="J2071" s="6" t="s">
        <v>349</v>
      </c>
      <c r="K2071" s="10">
        <v>65</v>
      </c>
      <c r="L2071" s="10">
        <v>65</v>
      </c>
      <c r="M2071" s="6" t="s">
        <v>413</v>
      </c>
    </row>
    <row r="2072" spans="1:13">
      <c r="A2072" s="6">
        <v>2023</v>
      </c>
      <c r="B2072" s="6">
        <v>10</v>
      </c>
      <c r="C2072" s="6" t="s">
        <v>68</v>
      </c>
      <c r="D2072" s="6" t="s">
        <v>51</v>
      </c>
      <c r="E2072" s="6" t="s">
        <v>391</v>
      </c>
      <c r="F2072" s="6" t="str">
        <f>IF($M2072="PADD I","PADD 1",IF($M2072="PADD II","PADD 2",IF($M2072="PADD III","PADD 3",IF($M2072="PADD IV","PADD 4",IF($M2072="PADD V","PADD 5","")))))</f>
        <v>PADD 5</v>
      </c>
      <c r="G2072" s="6">
        <f>IF(AND($H2072="ATMOS DISTILLATION",ISNUMBER(SEARCH("VPS",$I2072))=FALSE,LEFT($I2072,6)&lt;&gt;"VACUUM"),"CDU",IF($H2072="FLUID CAT CRACKING","FCC",IF(OR($H2072="HYDROCRACKING",$H2072="RESID_HYDROCRACKING"),"Hydrocracker",IF($H2072="REFORMING","Reformer",""))))</f>
        <v/>
      </c>
      <c r="H2072" s="6" t="s">
        <v>435</v>
      </c>
      <c r="I2072" s="6" t="s">
        <v>441</v>
      </c>
      <c r="J2072" s="6" t="s">
        <v>349</v>
      </c>
      <c r="K2072" s="10">
        <v>63.92</v>
      </c>
      <c r="L2072" s="10">
        <v>68</v>
      </c>
      <c r="M2072" s="6" t="s">
        <v>386</v>
      </c>
    </row>
    <row r="2073" spans="1:13">
      <c r="A2073" s="6">
        <v>2023</v>
      </c>
      <c r="B2073" s="6">
        <v>10</v>
      </c>
      <c r="C2073" s="6" t="s">
        <v>68</v>
      </c>
      <c r="D2073" s="6" t="s">
        <v>324</v>
      </c>
      <c r="E2073" s="6" t="s">
        <v>388</v>
      </c>
      <c r="F2073" s="6" t="str">
        <f>IF($M2073="PADD I","PADD 1",IF($M2073="PADD II","PADD 2",IF($M2073="PADD III","PADD 3",IF($M2073="PADD IV","PADD 4",IF($M2073="PADD V","PADD 5","")))))</f>
        <v>PADD 3</v>
      </c>
      <c r="G2073" s="6" t="str">
        <f>IF(AND($H2073="ATMOS DISTILLATION",ISNUMBER(SEARCH("VPS",$I2073))=FALSE,LEFT($I2073,6)&lt;&gt;"VACUUM"),"CDU",IF($H2073="FLUID CAT CRACKING","FCC",IF(OR($H2073="HYDROCRACKING",$H2073="RESID_HYDROCRACKING"),"Hydrocracker",IF($H2073="REFORMING","Reformer",""))))</f>
        <v>CDU</v>
      </c>
      <c r="H2073" s="6" t="s">
        <v>38</v>
      </c>
      <c r="I2073" s="6" t="s">
        <v>96</v>
      </c>
      <c r="J2073" s="6" t="s">
        <v>349</v>
      </c>
      <c r="K2073" s="10">
        <v>60.9</v>
      </c>
      <c r="L2073" s="10">
        <v>145</v>
      </c>
      <c r="M2073" s="6" t="s">
        <v>371</v>
      </c>
    </row>
    <row r="2074" spans="1:13">
      <c r="A2074" s="6">
        <v>2023</v>
      </c>
      <c r="B2074" s="6">
        <v>10</v>
      </c>
      <c r="C2074" s="6" t="s">
        <v>68</v>
      </c>
      <c r="D2074" s="6" t="s">
        <v>985</v>
      </c>
      <c r="E2074" s="6" t="s">
        <v>543</v>
      </c>
      <c r="F2074" s="6" t="str">
        <f>IF($M2074="PADD I","PADD 1",IF($M2074="PADD II","PADD 2",IF($M2074="PADD III","PADD 3",IF($M2074="PADD IV","PADD 4",IF($M2074="PADD V","PADD 5","")))))</f>
        <v>PADD 2</v>
      </c>
      <c r="G2074" s="6">
        <f>IF(AND($H2074="ATMOS DISTILLATION",ISNUMBER(SEARCH("VPS",$I2074))=FALSE,LEFT($I2074,6)&lt;&gt;"VACUUM"),"CDU",IF($H2074="FLUID CAT CRACKING","FCC",IF(OR($H2074="HYDROCRACKING",$H2074="RESID_HYDROCRACKING"),"Hydrocracker",IF($H2074="REFORMING","Reformer",""))))</f>
        <v/>
      </c>
      <c r="H2074" s="6" t="s">
        <v>378</v>
      </c>
      <c r="I2074" s="6" t="s">
        <v>786</v>
      </c>
      <c r="J2074" s="6" t="s">
        <v>345</v>
      </c>
      <c r="K2074" s="10">
        <v>60.33</v>
      </c>
      <c r="L2074" s="10">
        <v>60.33</v>
      </c>
      <c r="M2074" s="6" t="s">
        <v>375</v>
      </c>
    </row>
    <row r="2075" spans="1:13">
      <c r="A2075" s="6">
        <v>2023</v>
      </c>
      <c r="B2075" s="6">
        <v>10</v>
      </c>
      <c r="C2075" s="6" t="s">
        <v>68</v>
      </c>
      <c r="D2075" s="6" t="s">
        <v>40</v>
      </c>
      <c r="E2075" s="6" t="s">
        <v>736</v>
      </c>
      <c r="F2075" s="6" t="str">
        <f>IF($M2075="PADD I","PADD 1",IF($M2075="PADD II","PADD 2",IF($M2075="PADD III","PADD 3",IF($M2075="PADD IV","PADD 4",IF($M2075="PADD V","PADD 5","")))))</f>
        <v>PADD 1</v>
      </c>
      <c r="G2075" s="6">
        <f>IF(AND($H2075="ATMOS DISTILLATION",ISNUMBER(SEARCH("VPS",$I2075))=FALSE,LEFT($I2075,6)&lt;&gt;"VACUUM"),"CDU",IF($H2075="FLUID CAT CRACKING","FCC",IF(OR($H2075="HYDROCRACKING",$H2075="RESID_HYDROCRACKING"),"Hydrocracker",IF($H2075="REFORMING","Reformer",""))))</f>
        <v/>
      </c>
      <c r="H2075" s="6" t="s">
        <v>43</v>
      </c>
      <c r="I2075" s="6" t="s">
        <v>493</v>
      </c>
      <c r="J2075" s="6" t="s">
        <v>349</v>
      </c>
      <c r="K2075" s="10">
        <v>60</v>
      </c>
      <c r="L2075" s="10">
        <v>60</v>
      </c>
      <c r="M2075" s="6" t="s">
        <v>413</v>
      </c>
    </row>
    <row r="2076" spans="1:13">
      <c r="A2076" s="6">
        <v>2023</v>
      </c>
      <c r="B2076" s="6">
        <v>10</v>
      </c>
      <c r="C2076" s="6" t="s">
        <v>68</v>
      </c>
      <c r="D2076" s="6" t="s">
        <v>40</v>
      </c>
      <c r="E2076" s="6" t="s">
        <v>736</v>
      </c>
      <c r="F2076" s="6" t="str">
        <f>IF($M2076="PADD I","PADD 1",IF($M2076="PADD II","PADD 2",IF($M2076="PADD III","PADD 3",IF($M2076="PADD IV","PADD 4",IF($M2076="PADD V","PADD 5","")))))</f>
        <v>PADD 1</v>
      </c>
      <c r="G2076" s="6" t="str">
        <f>IF(AND($H2076="ATMOS DISTILLATION",ISNUMBER(SEARCH("VPS",$I2076))=FALSE,LEFT($I2076,6)&lt;&gt;"VACUUM"),"CDU",IF($H2076="FLUID CAT CRACKING","FCC",IF(OR($H2076="HYDROCRACKING",$H2076="RESID_HYDROCRACKING"),"Hydrocracker",IF($H2076="REFORMING","Reformer",""))))</f>
        <v>Reformer</v>
      </c>
      <c r="H2076" s="6" t="s">
        <v>421</v>
      </c>
      <c r="I2076" s="6" t="s">
        <v>782</v>
      </c>
      <c r="J2076" s="6" t="s">
        <v>349</v>
      </c>
      <c r="K2076" s="10">
        <v>60</v>
      </c>
      <c r="L2076" s="10">
        <v>60</v>
      </c>
      <c r="M2076" s="6" t="s">
        <v>413</v>
      </c>
    </row>
    <row r="2077" spans="1:13">
      <c r="A2077" s="6">
        <v>2023</v>
      </c>
      <c r="B2077" s="6">
        <v>10</v>
      </c>
      <c r="C2077" s="6" t="s">
        <v>68</v>
      </c>
      <c r="D2077" s="6" t="s">
        <v>730</v>
      </c>
      <c r="E2077" s="6" t="s">
        <v>731</v>
      </c>
      <c r="F2077" s="6" t="str">
        <f>IF($M2077="PADD I","PADD 1",IF($M2077="PADD II","PADD 2",IF($M2077="PADD III","PADD 3",IF($M2077="PADD IV","PADD 4",IF($M2077="PADD V","PADD 5","")))))</f>
        <v>PADD 3</v>
      </c>
      <c r="G2077" s="6" t="str">
        <f>IF(AND($H2077="ATMOS DISTILLATION",ISNUMBER(SEARCH("VPS",$I2077))=FALSE,LEFT($I2077,6)&lt;&gt;"VACUUM"),"CDU",IF($H2077="FLUID CAT CRACKING","FCC",IF(OR($H2077="HYDROCRACKING",$H2077="RESID_HYDROCRACKING"),"Hydrocracker",IF($H2077="REFORMING","Reformer",""))))</f>
        <v>CDU</v>
      </c>
      <c r="H2077" s="6" t="s">
        <v>38</v>
      </c>
      <c r="I2077" s="6" t="s">
        <v>81</v>
      </c>
      <c r="J2077" s="6" t="s">
        <v>349</v>
      </c>
      <c r="K2077" s="10">
        <v>59.2</v>
      </c>
      <c r="L2077" s="10">
        <v>80</v>
      </c>
      <c r="M2077" s="6" t="s">
        <v>371</v>
      </c>
    </row>
    <row r="2078" spans="1:13">
      <c r="A2078" s="6">
        <v>2023</v>
      </c>
      <c r="B2078" s="6">
        <v>10</v>
      </c>
      <c r="C2078" s="6" t="s">
        <v>68</v>
      </c>
      <c r="D2078" s="6" t="s">
        <v>468</v>
      </c>
      <c r="E2078" s="6" t="s">
        <v>369</v>
      </c>
      <c r="F2078" s="6" t="str">
        <f>IF($M2078="PADD I","PADD 1",IF($M2078="PADD II","PADD 2",IF($M2078="PADD III","PADD 3",IF($M2078="PADD IV","PADD 4",IF($M2078="PADD V","PADD 5","")))))</f>
        <v>PADD 3</v>
      </c>
      <c r="G2078" s="6" t="str">
        <f>IF(AND($H2078="ATMOS DISTILLATION",ISNUMBER(SEARCH("VPS",$I2078))=FALSE,LEFT($I2078,6)&lt;&gt;"VACUUM"),"CDU",IF($H2078="FLUID CAT CRACKING","FCC",IF(OR($H2078="HYDROCRACKING",$H2078="RESID_HYDROCRACKING"),"Hydrocracker",IF($H2078="REFORMING","Reformer",""))))</f>
        <v>CDU</v>
      </c>
      <c r="H2078" s="6" t="s">
        <v>38</v>
      </c>
      <c r="I2078" s="6" t="s">
        <v>509</v>
      </c>
      <c r="J2078" s="6" t="s">
        <v>349</v>
      </c>
      <c r="K2078" s="10">
        <v>52.36</v>
      </c>
      <c r="L2078" s="10">
        <v>68</v>
      </c>
      <c r="M2078" s="6" t="s">
        <v>371</v>
      </c>
    </row>
    <row r="2079" spans="1:13">
      <c r="A2079" s="6">
        <v>2023</v>
      </c>
      <c r="B2079" s="6">
        <v>10</v>
      </c>
      <c r="C2079" s="6" t="s">
        <v>68</v>
      </c>
      <c r="D2079" s="6" t="s">
        <v>408</v>
      </c>
      <c r="E2079" s="6" t="s">
        <v>409</v>
      </c>
      <c r="F2079" s="6" t="str">
        <f>IF($M2079="PADD I","PADD 1",IF($M2079="PADD II","PADD 2",IF($M2079="PADD III","PADD 3",IF($M2079="PADD IV","PADD 4",IF($M2079="PADD V","PADD 5","")))))</f>
        <v>PADD 3</v>
      </c>
      <c r="G2079" s="6">
        <f>IF(AND($H2079="ATMOS DISTILLATION",ISNUMBER(SEARCH("VPS",$I2079))=FALSE,LEFT($I2079,6)&lt;&gt;"VACUUM"),"CDU",IF($H2079="FLUID CAT CRACKING","FCC",IF(OR($H2079="HYDROCRACKING",$H2079="RESID_HYDROCRACKING"),"Hydrocracker",IF($H2079="REFORMING","Reformer",""))))</f>
        <v/>
      </c>
      <c r="H2079" s="6" t="s">
        <v>378</v>
      </c>
      <c r="I2079" s="6" t="s">
        <v>506</v>
      </c>
      <c r="J2079" s="6" t="s">
        <v>345</v>
      </c>
      <c r="K2079" s="10">
        <v>52</v>
      </c>
      <c r="L2079" s="10">
        <v>52</v>
      </c>
      <c r="M2079" s="6" t="s">
        <v>371</v>
      </c>
    </row>
    <row r="2080" spans="1:13">
      <c r="A2080" s="6">
        <v>2023</v>
      </c>
      <c r="B2080" s="6">
        <v>10</v>
      </c>
      <c r="C2080" s="6" t="s">
        <v>68</v>
      </c>
      <c r="D2080" s="6" t="s">
        <v>387</v>
      </c>
      <c r="E2080" s="6" t="s">
        <v>388</v>
      </c>
      <c r="F2080" s="6" t="str">
        <f>IF($M2080="PADD I","PADD 1",IF($M2080="PADD II","PADD 2",IF($M2080="PADD III","PADD 3",IF($M2080="PADD IV","PADD 4",IF($M2080="PADD V","PADD 5","")))))</f>
        <v>PADD 3</v>
      </c>
      <c r="G2080" s="6">
        <f>IF(AND($H2080="ATMOS DISTILLATION",ISNUMBER(SEARCH("VPS",$I2080))=FALSE,LEFT($I2080,6)&lt;&gt;"VACUUM"),"CDU",IF($H2080="FLUID CAT CRACKING","FCC",IF(OR($H2080="HYDROCRACKING",$H2080="RESID_HYDROCRACKING"),"Hydrocracker",IF($H2080="REFORMING","Reformer",""))))</f>
        <v/>
      </c>
      <c r="H2080" s="6" t="s">
        <v>43</v>
      </c>
      <c r="I2080" s="6" t="s">
        <v>848</v>
      </c>
      <c r="J2080" s="6" t="s">
        <v>345</v>
      </c>
      <c r="K2080" s="10">
        <v>50</v>
      </c>
      <c r="L2080" s="10">
        <v>50</v>
      </c>
      <c r="M2080" s="6" t="s">
        <v>371</v>
      </c>
    </row>
    <row r="2081" spans="1:13">
      <c r="A2081" s="6">
        <v>2023</v>
      </c>
      <c r="B2081" s="6">
        <v>10</v>
      </c>
      <c r="C2081" s="6" t="s">
        <v>68</v>
      </c>
      <c r="D2081" s="6" t="s">
        <v>468</v>
      </c>
      <c r="E2081" s="6" t="s">
        <v>369</v>
      </c>
      <c r="F2081" s="6" t="str">
        <f>IF($M2081="PADD I","PADD 1",IF($M2081="PADD II","PADD 2",IF($M2081="PADD III","PADD 3",IF($M2081="PADD IV","PADD 4",IF($M2081="PADD V","PADD 5","")))))</f>
        <v>PADD 3</v>
      </c>
      <c r="G2081" s="6">
        <f>IF(AND($H2081="ATMOS DISTILLATION",ISNUMBER(SEARCH("VPS",$I2081))=FALSE,LEFT($I2081,6)&lt;&gt;"VACUUM"),"CDU",IF($H2081="FLUID CAT CRACKING","FCC",IF(OR($H2081="HYDROCRACKING",$H2081="RESID_HYDROCRACKING"),"Hydrocracker",IF($H2081="REFORMING","Reformer",""))))</f>
        <v/>
      </c>
      <c r="H2081" s="6" t="s">
        <v>43</v>
      </c>
      <c r="I2081" s="6" t="s">
        <v>482</v>
      </c>
      <c r="J2081" s="6" t="s">
        <v>349</v>
      </c>
      <c r="K2081" s="10">
        <v>50</v>
      </c>
      <c r="L2081" s="10">
        <v>50</v>
      </c>
      <c r="M2081" s="6" t="s">
        <v>371</v>
      </c>
    </row>
    <row r="2082" spans="1:13">
      <c r="A2082" s="6">
        <v>2023</v>
      </c>
      <c r="B2082" s="6">
        <v>10</v>
      </c>
      <c r="C2082" s="6" t="s">
        <v>68</v>
      </c>
      <c r="D2082" s="6" t="s">
        <v>415</v>
      </c>
      <c r="E2082" s="6" t="s">
        <v>416</v>
      </c>
      <c r="F2082" s="6" t="str">
        <f>IF($M2082="PADD I","PADD 1",IF($M2082="PADD II","PADD 2",IF($M2082="PADD III","PADD 3",IF($M2082="PADD IV","PADD 4",IF($M2082="PADD V","PADD 5","")))))</f>
        <v>PADD 3</v>
      </c>
      <c r="G2082" s="6">
        <f>IF(AND($H2082="ATMOS DISTILLATION",ISNUMBER(SEARCH("VPS",$I2082))=FALSE,LEFT($I2082,6)&lt;&gt;"VACUUM"),"CDU",IF($H2082="FLUID CAT CRACKING","FCC",IF(OR($H2082="HYDROCRACKING",$H2082="RESID_HYDROCRACKING"),"Hydrocracker",IF($H2082="REFORMING","Reformer",""))))</f>
        <v/>
      </c>
      <c r="H2082" s="6" t="s">
        <v>378</v>
      </c>
      <c r="I2082" s="6" t="s">
        <v>417</v>
      </c>
      <c r="J2082" s="6" t="s">
        <v>345</v>
      </c>
      <c r="K2082" s="10">
        <v>50</v>
      </c>
      <c r="L2082" s="10">
        <v>50</v>
      </c>
      <c r="M2082" s="6" t="s">
        <v>371</v>
      </c>
    </row>
    <row r="2083" spans="1:13">
      <c r="A2083" s="6">
        <v>2023</v>
      </c>
      <c r="B2083" s="6">
        <v>10</v>
      </c>
      <c r="C2083" s="6" t="s">
        <v>68</v>
      </c>
      <c r="D2083" s="6" t="s">
        <v>878</v>
      </c>
      <c r="E2083" s="6" t="s">
        <v>452</v>
      </c>
      <c r="F2083" s="6" t="str">
        <f>IF($M2083="PADD I","PADD 1",IF($M2083="PADD II","PADD 2",IF($M2083="PADD III","PADD 3",IF($M2083="PADD IV","PADD 4",IF($M2083="PADD V","PADD 5","")))))</f>
        <v>PADD 2</v>
      </c>
      <c r="G2083" s="6" t="str">
        <f>IF(AND($H2083="ATMOS DISTILLATION",ISNUMBER(SEARCH("VPS",$I2083))=FALSE,LEFT($I2083,6)&lt;&gt;"VACUUM"),"CDU",IF($H2083="FLUID CAT CRACKING","FCC",IF(OR($H2083="HYDROCRACKING",$H2083="RESID_HYDROCRACKING"),"Hydrocracker",IF($H2083="REFORMING","Reformer",""))))</f>
        <v>CDU</v>
      </c>
      <c r="H2083" s="6" t="s">
        <v>38</v>
      </c>
      <c r="I2083" s="6" t="s">
        <v>879</v>
      </c>
      <c r="J2083" s="6" t="s">
        <v>349</v>
      </c>
      <c r="K2083" s="10">
        <v>49.3</v>
      </c>
      <c r="L2083" s="10">
        <v>85</v>
      </c>
      <c r="M2083" s="6" t="s">
        <v>375</v>
      </c>
    </row>
    <row r="2084" spans="1:13">
      <c r="A2084" s="6">
        <v>2023</v>
      </c>
      <c r="B2084" s="6">
        <v>10</v>
      </c>
      <c r="C2084" s="6" t="s">
        <v>68</v>
      </c>
      <c r="D2084" s="6" t="s">
        <v>1004</v>
      </c>
      <c r="E2084" s="6" t="s">
        <v>381</v>
      </c>
      <c r="F2084" s="6" t="str">
        <f>IF($M2084="PADD I","PADD 1",IF($M2084="PADD II","PADD 2",IF($M2084="PADD III","PADD 3",IF($M2084="PADD IV","PADD 4",IF($M2084="PADD V","PADD 5","")))))</f>
        <v>PADD 3</v>
      </c>
      <c r="G2084" s="6">
        <f>IF(AND($H2084="ATMOS DISTILLATION",ISNUMBER(SEARCH("VPS",$I2084))=FALSE,LEFT($I2084,6)&lt;&gt;"VACUUM"),"CDU",IF($H2084="FLUID CAT CRACKING","FCC",IF(OR($H2084="HYDROCRACKING",$H2084="RESID_HYDROCRACKING"),"Hydrocracker",IF($H2084="REFORMING","Reformer",""))))</f>
        <v/>
      </c>
      <c r="H2084" s="6" t="s">
        <v>378</v>
      </c>
      <c r="I2084" s="6" t="s">
        <v>786</v>
      </c>
      <c r="J2084" s="6" t="s">
        <v>345</v>
      </c>
      <c r="K2084" s="10">
        <v>46.98</v>
      </c>
      <c r="L2084" s="10">
        <v>58</v>
      </c>
      <c r="M2084" s="6" t="s">
        <v>371</v>
      </c>
    </row>
    <row r="2085" spans="1:13">
      <c r="A2085" s="6">
        <v>2023</v>
      </c>
      <c r="B2085" s="6">
        <v>10</v>
      </c>
      <c r="C2085" s="6" t="s">
        <v>68</v>
      </c>
      <c r="D2085" s="6" t="s">
        <v>801</v>
      </c>
      <c r="E2085" s="6" t="s">
        <v>779</v>
      </c>
      <c r="F2085" s="6" t="str">
        <f>IF($M2085="PADD I","PADD 1",IF($M2085="PADD II","PADD 2",IF($M2085="PADD III","PADD 3",IF($M2085="PADD IV","PADD 4",IF($M2085="PADD V","PADD 5","")))))</f>
        <v>PADD 2</v>
      </c>
      <c r="G2085" s="6" t="str">
        <f>IF(AND($H2085="ATMOS DISTILLATION",ISNUMBER(SEARCH("VPS",$I2085))=FALSE,LEFT($I2085,6)&lt;&gt;"VACUUM"),"CDU",IF($H2085="FLUID CAT CRACKING","FCC",IF(OR($H2085="HYDROCRACKING",$H2085="RESID_HYDROCRACKING"),"Hydrocracker",IF($H2085="REFORMING","Reformer",""))))</f>
        <v>CDU</v>
      </c>
      <c r="H2085" s="6" t="s">
        <v>38</v>
      </c>
      <c r="I2085" s="6" t="s">
        <v>982</v>
      </c>
      <c r="J2085" s="6" t="s">
        <v>349</v>
      </c>
      <c r="K2085" s="10">
        <v>46.2</v>
      </c>
      <c r="L2085" s="10">
        <v>55</v>
      </c>
      <c r="M2085" s="6" t="s">
        <v>375</v>
      </c>
    </row>
    <row r="2086" spans="1:13">
      <c r="A2086" s="6">
        <v>2023</v>
      </c>
      <c r="B2086" s="6">
        <v>10</v>
      </c>
      <c r="C2086" s="6" t="s">
        <v>68</v>
      </c>
      <c r="D2086" s="6" t="s">
        <v>801</v>
      </c>
      <c r="E2086" s="6" t="s">
        <v>779</v>
      </c>
      <c r="F2086" s="6" t="str">
        <f>IF($M2086="PADD I","PADD 1",IF($M2086="PADD II","PADD 2",IF($M2086="PADD III","PADD 3",IF($M2086="PADD IV","PADD 4",IF($M2086="PADD V","PADD 5","")))))</f>
        <v>PADD 2</v>
      </c>
      <c r="G2086" s="6">
        <f>IF(AND($H2086="ATMOS DISTILLATION",ISNUMBER(SEARCH("VPS",$I2086))=FALSE,LEFT($I2086,6)&lt;&gt;"VACUUM"),"CDU",IF($H2086="FLUID CAT CRACKING","FCC",IF(OR($H2086="HYDROCRACKING",$H2086="RESID_HYDROCRACKING"),"Hydrocracker",IF($H2086="REFORMING","Reformer",""))))</f>
        <v/>
      </c>
      <c r="H2086" s="6" t="s">
        <v>43</v>
      </c>
      <c r="I2086" s="6" t="s">
        <v>981</v>
      </c>
      <c r="J2086" s="6" t="s">
        <v>349</v>
      </c>
      <c r="K2086" s="10">
        <v>45.36</v>
      </c>
      <c r="L2086" s="10">
        <v>54</v>
      </c>
      <c r="M2086" s="6" t="s">
        <v>375</v>
      </c>
    </row>
    <row r="2087" spans="1:13">
      <c r="A2087" s="6">
        <v>2023</v>
      </c>
      <c r="B2087" s="6">
        <v>10</v>
      </c>
      <c r="C2087" s="6" t="s">
        <v>68</v>
      </c>
      <c r="D2087" s="6" t="s">
        <v>398</v>
      </c>
      <c r="E2087" s="6" t="s">
        <v>399</v>
      </c>
      <c r="F2087" s="6" t="str">
        <f>IF($M2087="PADD I","PADD 1",IF($M2087="PADD II","PADD 2",IF($M2087="PADD III","PADD 3",IF($M2087="PADD IV","PADD 4",IF($M2087="PADD V","PADD 5","")))))</f>
        <v>PADD 3</v>
      </c>
      <c r="G2087" s="6">
        <f>IF(AND($H2087="ATMOS DISTILLATION",ISNUMBER(SEARCH("VPS",$I2087))=FALSE,LEFT($I2087,6)&lt;&gt;"VACUUM"),"CDU",IF($H2087="FLUID CAT CRACKING","FCC",IF(OR($H2087="HYDROCRACKING",$H2087="RESID_HYDROCRACKING"),"Hydrocracker",IF($H2087="REFORMING","Reformer",""))))</f>
        <v/>
      </c>
      <c r="H2087" s="6" t="s">
        <v>43</v>
      </c>
      <c r="I2087" s="6" t="s">
        <v>1012</v>
      </c>
      <c r="J2087" s="6" t="s">
        <v>349</v>
      </c>
      <c r="K2087" s="10">
        <v>45</v>
      </c>
      <c r="L2087" s="10">
        <v>50</v>
      </c>
      <c r="M2087" s="6" t="s">
        <v>371</v>
      </c>
    </row>
    <row r="2088" spans="1:13">
      <c r="A2088" s="6">
        <v>2023</v>
      </c>
      <c r="B2088" s="6">
        <v>10</v>
      </c>
      <c r="C2088" s="6" t="s">
        <v>68</v>
      </c>
      <c r="D2088" s="6" t="s">
        <v>398</v>
      </c>
      <c r="E2088" s="6" t="s">
        <v>399</v>
      </c>
      <c r="F2088" s="6" t="str">
        <f>IF($M2088="PADD I","PADD 1",IF($M2088="PADD II","PADD 2",IF($M2088="PADD III","PADD 3",IF($M2088="PADD IV","PADD 4",IF($M2088="PADD V","PADD 5","")))))</f>
        <v>PADD 3</v>
      </c>
      <c r="G2088" s="6">
        <f>IF(AND($H2088="ATMOS DISTILLATION",ISNUMBER(SEARCH("VPS",$I2088))=FALSE,LEFT($I2088,6)&lt;&gt;"VACUUM"),"CDU",IF($H2088="FLUID CAT CRACKING","FCC",IF(OR($H2088="HYDROCRACKING",$H2088="RESID_HYDROCRACKING"),"Hydrocracker",IF($H2088="REFORMING","Reformer",""))))</f>
        <v/>
      </c>
      <c r="H2088" s="6" t="s">
        <v>43</v>
      </c>
      <c r="I2088" s="6" t="s">
        <v>1037</v>
      </c>
      <c r="J2088" s="6" t="s">
        <v>349</v>
      </c>
      <c r="K2088" s="10">
        <v>44.1</v>
      </c>
      <c r="L2088" s="10">
        <v>49</v>
      </c>
      <c r="M2088" s="6" t="s">
        <v>371</v>
      </c>
    </row>
    <row r="2089" spans="1:13">
      <c r="A2089" s="6">
        <v>2023</v>
      </c>
      <c r="B2089" s="6">
        <v>10</v>
      </c>
      <c r="C2089" s="6" t="s">
        <v>68</v>
      </c>
      <c r="D2089" s="6" t="s">
        <v>408</v>
      </c>
      <c r="E2089" s="6" t="s">
        <v>409</v>
      </c>
      <c r="F2089" s="6" t="str">
        <f>IF($M2089="PADD I","PADD 1",IF($M2089="PADD II","PADD 2",IF($M2089="PADD III","PADD 3",IF($M2089="PADD IV","PADD 4",IF($M2089="PADD V","PADD 5","")))))</f>
        <v>PADD 3</v>
      </c>
      <c r="G2089" s="6" t="str">
        <f>IF(AND($H2089="ATMOS DISTILLATION",ISNUMBER(SEARCH("VPS",$I2089))=FALSE,LEFT($I2089,6)&lt;&gt;"VACUUM"),"CDU",IF($H2089="FLUID CAT CRACKING","FCC",IF(OR($H2089="HYDROCRACKING",$H2089="RESID_HYDROCRACKING"),"Hydrocracker",IF($H2089="REFORMING","Reformer",""))))</f>
        <v>FCC</v>
      </c>
      <c r="H2089" s="6" t="s">
        <v>376</v>
      </c>
      <c r="I2089" s="6" t="s">
        <v>426</v>
      </c>
      <c r="J2089" s="6" t="s">
        <v>349</v>
      </c>
      <c r="K2089" s="10">
        <v>44.08</v>
      </c>
      <c r="L2089" s="10">
        <v>76</v>
      </c>
      <c r="M2089" s="6" t="s">
        <v>371</v>
      </c>
    </row>
    <row r="2090" spans="1:13">
      <c r="A2090" s="6">
        <v>2023</v>
      </c>
      <c r="B2090" s="6">
        <v>10</v>
      </c>
      <c r="C2090" s="6" t="s">
        <v>68</v>
      </c>
      <c r="D2090" s="6" t="s">
        <v>333</v>
      </c>
      <c r="E2090" s="6" t="s">
        <v>381</v>
      </c>
      <c r="F2090" s="6" t="str">
        <f>IF($M2090="PADD I","PADD 1",IF($M2090="PADD II","PADD 2",IF($M2090="PADD III","PADD 3",IF($M2090="PADD IV","PADD 4",IF($M2090="PADD V","PADD 5","")))))</f>
        <v>PADD 3</v>
      </c>
      <c r="G2090" s="6" t="str">
        <f>IF(AND($H2090="ATMOS DISTILLATION",ISNUMBER(SEARCH("VPS",$I2090))=FALSE,LEFT($I2090,6)&lt;&gt;"VACUUM"),"CDU",IF($H2090="FLUID CAT CRACKING","FCC",IF(OR($H2090="HYDROCRACKING",$H2090="RESID_HYDROCRACKING"),"Hydrocracker",IF($H2090="REFORMING","Reformer",""))))</f>
        <v>Reformer</v>
      </c>
      <c r="H2090" s="6" t="s">
        <v>421</v>
      </c>
      <c r="I2090" s="6" t="s">
        <v>941</v>
      </c>
      <c r="J2090" s="6" t="s">
        <v>349</v>
      </c>
      <c r="K2090" s="10">
        <v>44</v>
      </c>
      <c r="L2090" s="10">
        <v>80</v>
      </c>
      <c r="M2090" s="6" t="s">
        <v>371</v>
      </c>
    </row>
    <row r="2091" spans="1:13">
      <c r="A2091" s="6">
        <v>2023</v>
      </c>
      <c r="B2091" s="6">
        <v>10</v>
      </c>
      <c r="C2091" s="6" t="s">
        <v>68</v>
      </c>
      <c r="D2091" s="6" t="s">
        <v>1038</v>
      </c>
      <c r="E2091" s="6" t="s">
        <v>1039</v>
      </c>
      <c r="F2091" s="6" t="str">
        <f>IF($M2091="PADD I","PADD 1",IF($M2091="PADD II","PADD 2",IF($M2091="PADD III","PADD 3",IF($M2091="PADD IV","PADD 4",IF($M2091="PADD V","PADD 5","")))))</f>
        <v>PADD 2</v>
      </c>
      <c r="G2091" s="6" t="str">
        <f>IF(AND($H2091="ATMOS DISTILLATION",ISNUMBER(SEARCH("VPS",$I2091))=FALSE,LEFT($I2091,6)&lt;&gt;"VACUUM"),"CDU",IF($H2091="FLUID CAT CRACKING","FCC",IF(OR($H2091="HYDROCRACKING",$H2091="RESID_HYDROCRACKING"),"Hydrocracker",IF($H2091="REFORMING","Reformer",""))))</f>
        <v>CDU</v>
      </c>
      <c r="H2091" s="6" t="s">
        <v>38</v>
      </c>
      <c r="I2091" s="6" t="s">
        <v>1040</v>
      </c>
      <c r="J2091" s="6" t="s">
        <v>349</v>
      </c>
      <c r="K2091" s="10">
        <v>42.75</v>
      </c>
      <c r="L2091" s="10">
        <v>95</v>
      </c>
      <c r="M2091" s="6" t="s">
        <v>375</v>
      </c>
    </row>
    <row r="2092" spans="1:13">
      <c r="A2092" s="6">
        <v>2023</v>
      </c>
      <c r="B2092" s="6">
        <v>10</v>
      </c>
      <c r="C2092" s="6" t="s">
        <v>68</v>
      </c>
      <c r="D2092" s="6" t="s">
        <v>801</v>
      </c>
      <c r="E2092" s="6" t="s">
        <v>779</v>
      </c>
      <c r="F2092" s="6" t="str">
        <f>IF($M2092="PADD I","PADD 1",IF($M2092="PADD II","PADD 2",IF($M2092="PADD III","PADD 3",IF($M2092="PADD IV","PADD 4",IF($M2092="PADD V","PADD 5","")))))</f>
        <v>PADD 2</v>
      </c>
      <c r="G2092" s="6">
        <f>IF(AND($H2092="ATMOS DISTILLATION",ISNUMBER(SEARCH("VPS",$I2092))=FALSE,LEFT($I2092,6)&lt;&gt;"VACUUM"),"CDU",IF($H2092="FLUID CAT CRACKING","FCC",IF(OR($H2092="HYDROCRACKING",$H2092="RESID_HYDROCRACKING"),"Hydrocracker",IF($H2092="REFORMING","Reformer",""))))</f>
        <v/>
      </c>
      <c r="H2092" s="6" t="s">
        <v>43</v>
      </c>
      <c r="I2092" s="6" t="s">
        <v>759</v>
      </c>
      <c r="J2092" s="6" t="s">
        <v>349</v>
      </c>
      <c r="K2092" s="10">
        <v>42</v>
      </c>
      <c r="L2092" s="10">
        <v>50</v>
      </c>
      <c r="M2092" s="6" t="s">
        <v>375</v>
      </c>
    </row>
    <row r="2093" spans="1:13">
      <c r="A2093" s="6">
        <v>2023</v>
      </c>
      <c r="B2093" s="6">
        <v>10</v>
      </c>
      <c r="C2093" s="6" t="s">
        <v>68</v>
      </c>
      <c r="D2093" s="6" t="s">
        <v>415</v>
      </c>
      <c r="E2093" s="6" t="s">
        <v>416</v>
      </c>
      <c r="F2093" s="6" t="str">
        <f>IF($M2093="PADD I","PADD 1",IF($M2093="PADD II","PADD 2",IF($M2093="PADD III","PADD 3",IF($M2093="PADD IV","PADD 4",IF($M2093="PADD V","PADD 5","")))))</f>
        <v>PADD 3</v>
      </c>
      <c r="G2093" s="6" t="str">
        <f>IF(AND($H2093="ATMOS DISTILLATION",ISNUMBER(SEARCH("VPS",$I2093))=FALSE,LEFT($I2093,6)&lt;&gt;"VACUUM"),"CDU",IF($H2093="FLUID CAT CRACKING","FCC",IF(OR($H2093="HYDROCRACKING",$H2093="RESID_HYDROCRACKING"),"Hydrocracker",IF($H2093="REFORMING","Reformer",""))))</f>
        <v>FCC</v>
      </c>
      <c r="H2093" s="6" t="s">
        <v>376</v>
      </c>
      <c r="I2093" s="6" t="s">
        <v>995</v>
      </c>
      <c r="J2093" s="6" t="s">
        <v>345</v>
      </c>
      <c r="K2093" s="10">
        <v>42</v>
      </c>
      <c r="L2093" s="10">
        <v>42</v>
      </c>
      <c r="M2093" s="6" t="s">
        <v>371</v>
      </c>
    </row>
    <row r="2094" spans="1:13">
      <c r="A2094" s="6">
        <v>2023</v>
      </c>
      <c r="B2094" s="6">
        <v>10</v>
      </c>
      <c r="C2094" s="6" t="s">
        <v>68</v>
      </c>
      <c r="D2094" s="6" t="s">
        <v>380</v>
      </c>
      <c r="E2094" s="6" t="s">
        <v>381</v>
      </c>
      <c r="F2094" s="6" t="str">
        <f>IF($M2094="PADD I","PADD 1",IF($M2094="PADD II","PADD 2",IF($M2094="PADD III","PADD 3",IF($M2094="PADD IV","PADD 4",IF($M2094="PADD V","PADD 5","")))))</f>
        <v>PADD 3</v>
      </c>
      <c r="G2094" s="6">
        <f>IF(AND($H2094="ATMOS DISTILLATION",ISNUMBER(SEARCH("VPS",$I2094))=FALSE,LEFT($I2094,6)&lt;&gt;"VACUUM"),"CDU",IF($H2094="FLUID CAT CRACKING","FCC",IF(OR($H2094="HYDROCRACKING",$H2094="RESID_HYDROCRACKING"),"Hydrocracker",IF($H2094="REFORMING","Reformer",""))))</f>
        <v/>
      </c>
      <c r="H2094" s="6" t="s">
        <v>435</v>
      </c>
      <c r="I2094" s="6" t="s">
        <v>986</v>
      </c>
      <c r="J2094" s="6" t="s">
        <v>349</v>
      </c>
      <c r="K2094" s="10">
        <v>40.5</v>
      </c>
      <c r="L2094" s="10">
        <v>45</v>
      </c>
      <c r="M2094" s="6" t="s">
        <v>371</v>
      </c>
    </row>
    <row r="2095" spans="1:13">
      <c r="A2095" s="6">
        <v>2023</v>
      </c>
      <c r="B2095" s="6">
        <v>10</v>
      </c>
      <c r="C2095" s="6" t="s">
        <v>68</v>
      </c>
      <c r="D2095" s="6" t="s">
        <v>490</v>
      </c>
      <c r="E2095" s="6" t="s">
        <v>491</v>
      </c>
      <c r="F2095" s="6" t="str">
        <f>IF($M2095="PADD I","PADD 1",IF($M2095="PADD II","PADD 2",IF($M2095="PADD III","PADD 3",IF($M2095="PADD IV","PADD 4",IF($M2095="PADD V","PADD 5","")))))</f>
        <v>PADD 3</v>
      </c>
      <c r="G2095" s="6">
        <f>IF(AND($H2095="ATMOS DISTILLATION",ISNUMBER(SEARCH("VPS",$I2095))=FALSE,LEFT($I2095,6)&lt;&gt;"VACUUM"),"CDU",IF($H2095="FLUID CAT CRACKING","FCC",IF(OR($H2095="HYDROCRACKING",$H2095="RESID_HYDROCRACKING"),"Hydrocracker",IF($H2095="REFORMING","Reformer",""))))</f>
        <v/>
      </c>
      <c r="H2095" s="6" t="s">
        <v>378</v>
      </c>
      <c r="I2095" s="6" t="s">
        <v>1020</v>
      </c>
      <c r="J2095" s="6" t="s">
        <v>349</v>
      </c>
      <c r="K2095" s="10">
        <v>40</v>
      </c>
      <c r="L2095" s="10">
        <v>40</v>
      </c>
      <c r="M2095" s="6" t="s">
        <v>371</v>
      </c>
    </row>
    <row r="2096" spans="1:13">
      <c r="A2096" s="6">
        <v>2023</v>
      </c>
      <c r="B2096" s="6">
        <v>10</v>
      </c>
      <c r="C2096" s="6" t="s">
        <v>68</v>
      </c>
      <c r="D2096" s="6" t="s">
        <v>319</v>
      </c>
      <c r="E2096" s="6" t="s">
        <v>665</v>
      </c>
      <c r="F2096" s="6" t="str">
        <f>IF($M2096="PADD I","PADD 1",IF($M2096="PADD II","PADD 2",IF($M2096="PADD III","PADD 3",IF($M2096="PADD IV","PADD 4",IF($M2096="PADD V","PADD 5","")))))</f>
        <v>PADD 3</v>
      </c>
      <c r="G2096" s="6">
        <f>IF(AND($H2096="ATMOS DISTILLATION",ISNUMBER(SEARCH("VPS",$I2096))=FALSE,LEFT($I2096,6)&lt;&gt;"VACUUM"),"CDU",IF($H2096="FLUID CAT CRACKING","FCC",IF(OR($H2096="HYDROCRACKING",$H2096="RESID_HYDROCRACKING"),"Hydrocracker",IF($H2096="REFORMING","Reformer",""))))</f>
        <v/>
      </c>
      <c r="H2096" s="6" t="s">
        <v>43</v>
      </c>
      <c r="I2096" s="6" t="s">
        <v>888</v>
      </c>
      <c r="J2096" s="6" t="s">
        <v>349</v>
      </c>
      <c r="K2096" s="10">
        <v>40</v>
      </c>
      <c r="L2096" s="10">
        <v>40</v>
      </c>
      <c r="M2096" s="6" t="s">
        <v>371</v>
      </c>
    </row>
    <row r="2097" spans="1:13">
      <c r="A2097" s="6">
        <v>2023</v>
      </c>
      <c r="B2097" s="6">
        <v>10</v>
      </c>
      <c r="C2097" s="6" t="s">
        <v>68</v>
      </c>
      <c r="D2097" s="6" t="s">
        <v>40</v>
      </c>
      <c r="E2097" s="6" t="s">
        <v>736</v>
      </c>
      <c r="F2097" s="6" t="str">
        <f>IF($M2097="PADD I","PADD 1",IF($M2097="PADD II","PADD 2",IF($M2097="PADD III","PADD 3",IF($M2097="PADD IV","PADD 4",IF($M2097="PADD V","PADD 5","")))))</f>
        <v>PADD 1</v>
      </c>
      <c r="G2097" s="6">
        <f>IF(AND($H2097="ATMOS DISTILLATION",ISNUMBER(SEARCH("VPS",$I2097))=FALSE,LEFT($I2097,6)&lt;&gt;"VACUUM"),"CDU",IF($H2097="FLUID CAT CRACKING","FCC",IF(OR($H2097="HYDROCRACKING",$H2097="RESID_HYDROCRACKING"),"Hydrocracker",IF($H2097="REFORMING","Reformer",""))))</f>
        <v/>
      </c>
      <c r="H2097" s="6" t="s">
        <v>43</v>
      </c>
      <c r="I2097" s="6" t="s">
        <v>1003</v>
      </c>
      <c r="J2097" s="6" t="s">
        <v>349</v>
      </c>
      <c r="K2097" s="10">
        <v>40</v>
      </c>
      <c r="L2097" s="10">
        <v>40</v>
      </c>
      <c r="M2097" s="6" t="s">
        <v>413</v>
      </c>
    </row>
    <row r="2098" spans="1:13">
      <c r="A2098" s="6">
        <v>2023</v>
      </c>
      <c r="B2098" s="6">
        <v>10</v>
      </c>
      <c r="C2098" s="6" t="s">
        <v>68</v>
      </c>
      <c r="D2098" s="6" t="s">
        <v>319</v>
      </c>
      <c r="E2098" s="6" t="s">
        <v>665</v>
      </c>
      <c r="F2098" s="6" t="str">
        <f>IF($M2098="PADD I","PADD 1",IF($M2098="PADD II","PADD 2",IF($M2098="PADD III","PADD 3",IF($M2098="PADD IV","PADD 4",IF($M2098="PADD V","PADD 5","")))))</f>
        <v>PADD 3</v>
      </c>
      <c r="G2098" s="6" t="str">
        <f>IF(AND($H2098="ATMOS DISTILLATION",ISNUMBER(SEARCH("VPS",$I2098))=FALSE,LEFT($I2098,6)&lt;&gt;"VACUUM"),"CDU",IF($H2098="FLUID CAT CRACKING","FCC",IF(OR($H2098="HYDROCRACKING",$H2098="RESID_HYDROCRACKING"),"Hydrocracker",IF($H2098="REFORMING","Reformer",""))))</f>
        <v>Reformer</v>
      </c>
      <c r="H2098" s="6" t="s">
        <v>421</v>
      </c>
      <c r="I2098" s="6" t="s">
        <v>889</v>
      </c>
      <c r="J2098" s="6" t="s">
        <v>349</v>
      </c>
      <c r="K2098" s="10">
        <v>40</v>
      </c>
      <c r="L2098" s="10">
        <v>40</v>
      </c>
      <c r="M2098" s="6" t="s">
        <v>371</v>
      </c>
    </row>
    <row r="2099" spans="1:13">
      <c r="A2099" s="6">
        <v>2023</v>
      </c>
      <c r="B2099" s="6">
        <v>10</v>
      </c>
      <c r="C2099" s="6" t="s">
        <v>68</v>
      </c>
      <c r="D2099" s="6" t="s">
        <v>801</v>
      </c>
      <c r="E2099" s="6" t="s">
        <v>779</v>
      </c>
      <c r="F2099" s="6" t="str">
        <f>IF($M2099="PADD I","PADD 1",IF($M2099="PADD II","PADD 2",IF($M2099="PADD III","PADD 3",IF($M2099="PADD IV","PADD 4",IF($M2099="PADD V","PADD 5","")))))</f>
        <v>PADD 2</v>
      </c>
      <c r="G2099" s="6">
        <f>IF(AND($H2099="ATMOS DISTILLATION",ISNUMBER(SEARCH("VPS",$I2099))=FALSE,LEFT($I2099,6)&lt;&gt;"VACUUM"),"CDU",IF($H2099="FLUID CAT CRACKING","FCC",IF(OR($H2099="HYDROCRACKING",$H2099="RESID_HYDROCRACKING"),"Hydrocracker",IF($H2099="REFORMING","Reformer",""))))</f>
        <v/>
      </c>
      <c r="H2099" s="6" t="s">
        <v>43</v>
      </c>
      <c r="I2099" s="6" t="s">
        <v>988</v>
      </c>
      <c r="J2099" s="6" t="s">
        <v>349</v>
      </c>
      <c r="K2099" s="10">
        <v>39.48</v>
      </c>
      <c r="L2099" s="10">
        <v>47</v>
      </c>
      <c r="M2099" s="6" t="s">
        <v>375</v>
      </c>
    </row>
    <row r="2100" spans="1:13">
      <c r="A2100" s="6">
        <v>2023</v>
      </c>
      <c r="B2100" s="6">
        <v>10</v>
      </c>
      <c r="C2100" s="6" t="s">
        <v>68</v>
      </c>
      <c r="D2100" s="6" t="s">
        <v>446</v>
      </c>
      <c r="E2100" s="6" t="s">
        <v>391</v>
      </c>
      <c r="F2100" s="6" t="str">
        <f>IF($M2100="PADD I","PADD 1",IF($M2100="PADD II","PADD 2",IF($M2100="PADD III","PADD 3",IF($M2100="PADD IV","PADD 4",IF($M2100="PADD V","PADD 5","")))))</f>
        <v>PADD 3</v>
      </c>
      <c r="G2100" s="6">
        <f>IF(AND($H2100="ATMOS DISTILLATION",ISNUMBER(SEARCH("VPS",$I2100))=FALSE,LEFT($I2100,6)&lt;&gt;"VACUUM"),"CDU",IF($H2100="FLUID CAT CRACKING","FCC",IF(OR($H2100="HYDROCRACKING",$H2100="RESID_HYDROCRACKING"),"Hydrocracker",IF($H2100="REFORMING","Reformer",""))))</f>
        <v/>
      </c>
      <c r="H2100" s="6" t="s">
        <v>378</v>
      </c>
      <c r="I2100" s="6" t="s">
        <v>1041</v>
      </c>
      <c r="J2100" s="6" t="s">
        <v>345</v>
      </c>
      <c r="K2100" s="10">
        <v>38.54</v>
      </c>
      <c r="L2100" s="10">
        <v>41</v>
      </c>
      <c r="M2100" s="6" t="s">
        <v>371</v>
      </c>
    </row>
    <row r="2101" spans="1:13">
      <c r="A2101" s="6">
        <v>2023</v>
      </c>
      <c r="B2101" s="6">
        <v>10</v>
      </c>
      <c r="C2101" s="6" t="s">
        <v>68</v>
      </c>
      <c r="D2101" s="6" t="s">
        <v>415</v>
      </c>
      <c r="E2101" s="6" t="s">
        <v>416</v>
      </c>
      <c r="F2101" s="6" t="str">
        <f>IF($M2101="PADD I","PADD 1",IF($M2101="PADD II","PADD 2",IF($M2101="PADD III","PADD 3",IF($M2101="PADD IV","PADD 4",IF($M2101="PADD V","PADD 5","")))))</f>
        <v>PADD 3</v>
      </c>
      <c r="G2101" s="6">
        <f>IF(AND($H2101="ATMOS DISTILLATION",ISNUMBER(SEARCH("VPS",$I2101))=FALSE,LEFT($I2101,6)&lt;&gt;"VACUUM"),"CDU",IF($H2101="FLUID CAT CRACKING","FCC",IF(OR($H2101="HYDROCRACKING",$H2101="RESID_HYDROCRACKING"),"Hydrocracker",IF($H2101="REFORMING","Reformer",""))))</f>
        <v/>
      </c>
      <c r="H2101" s="6" t="s">
        <v>43</v>
      </c>
      <c r="I2101" s="6" t="s">
        <v>1005</v>
      </c>
      <c r="J2101" s="6" t="s">
        <v>349</v>
      </c>
      <c r="K2101" s="10">
        <v>38</v>
      </c>
      <c r="L2101" s="10">
        <v>38</v>
      </c>
      <c r="M2101" s="6" t="s">
        <v>371</v>
      </c>
    </row>
    <row r="2102" spans="1:13">
      <c r="A2102" s="6">
        <v>2023</v>
      </c>
      <c r="B2102" s="6">
        <v>10</v>
      </c>
      <c r="C2102" s="6" t="s">
        <v>68</v>
      </c>
      <c r="D2102" s="6" t="s">
        <v>801</v>
      </c>
      <c r="E2102" s="6" t="s">
        <v>779</v>
      </c>
      <c r="F2102" s="6" t="str">
        <f>IF($M2102="PADD I","PADD 1",IF($M2102="PADD II","PADD 2",IF($M2102="PADD III","PADD 3",IF($M2102="PADD IV","PADD 4",IF($M2102="PADD V","PADD 5","")))))</f>
        <v>PADD 2</v>
      </c>
      <c r="G2102" s="6">
        <f>IF(AND($H2102="ATMOS DISTILLATION",ISNUMBER(SEARCH("VPS",$I2102))=FALSE,LEFT($I2102,6)&lt;&gt;"VACUUM"),"CDU",IF($H2102="FLUID CAT CRACKING","FCC",IF(OR($H2102="HYDROCRACKING",$H2102="RESID_HYDROCRACKING"),"Hydrocracker",IF($H2102="REFORMING","Reformer",""))))</f>
        <v/>
      </c>
      <c r="H2102" s="6" t="s">
        <v>43</v>
      </c>
      <c r="I2102" s="6" t="s">
        <v>990</v>
      </c>
      <c r="J2102" s="6" t="s">
        <v>349</v>
      </c>
      <c r="K2102" s="10">
        <v>37.8</v>
      </c>
      <c r="L2102" s="10">
        <v>45</v>
      </c>
      <c r="M2102" s="6" t="s">
        <v>375</v>
      </c>
    </row>
    <row r="2103" spans="1:13">
      <c r="A2103" s="6">
        <v>2023</v>
      </c>
      <c r="B2103" s="6">
        <v>10</v>
      </c>
      <c r="C2103" s="6" t="s">
        <v>68</v>
      </c>
      <c r="D2103" s="6" t="s">
        <v>801</v>
      </c>
      <c r="E2103" s="6" t="s">
        <v>779</v>
      </c>
      <c r="F2103" s="6" t="str">
        <f>IF($M2103="PADD I","PADD 1",IF($M2103="PADD II","PADD 2",IF($M2103="PADD III","PADD 3",IF($M2103="PADD IV","PADD 4",IF($M2103="PADD V","PADD 5","")))))</f>
        <v>PADD 2</v>
      </c>
      <c r="G2103" s="6">
        <f>IF(AND($H2103="ATMOS DISTILLATION",ISNUMBER(SEARCH("VPS",$I2103))=FALSE,LEFT($I2103,6)&lt;&gt;"VACUUM"),"CDU",IF($H2103="FLUID CAT CRACKING","FCC",IF(OR($H2103="HYDROCRACKING",$H2103="RESID_HYDROCRACKING"),"Hydrocracker",IF($H2103="REFORMING","Reformer",""))))</f>
        <v/>
      </c>
      <c r="H2103" s="6" t="s">
        <v>43</v>
      </c>
      <c r="I2103" s="6" t="s">
        <v>991</v>
      </c>
      <c r="J2103" s="6" t="s">
        <v>349</v>
      </c>
      <c r="K2103" s="10">
        <v>37.8</v>
      </c>
      <c r="L2103" s="10">
        <v>45</v>
      </c>
      <c r="M2103" s="6" t="s">
        <v>375</v>
      </c>
    </row>
    <row r="2104" spans="1:13">
      <c r="A2104" s="6">
        <v>2023</v>
      </c>
      <c r="B2104" s="6">
        <v>10</v>
      </c>
      <c r="C2104" s="6" t="s">
        <v>68</v>
      </c>
      <c r="D2104" s="6" t="s">
        <v>434</v>
      </c>
      <c r="E2104" s="6" t="s">
        <v>388</v>
      </c>
      <c r="F2104" s="6" t="str">
        <f>IF($M2104="PADD I","PADD 1",IF($M2104="PADD II","PADD 2",IF($M2104="PADD III","PADD 3",IF($M2104="PADD IV","PADD 4",IF($M2104="PADD V","PADD 5","")))))</f>
        <v>PADD 5</v>
      </c>
      <c r="G2104" s="6">
        <f>IF(AND($H2104="ATMOS DISTILLATION",ISNUMBER(SEARCH("VPS",$I2104))=FALSE,LEFT($I2104,6)&lt;&gt;"VACUUM"),"CDU",IF($H2104="FLUID CAT CRACKING","FCC",IF(OR($H2104="HYDROCRACKING",$H2104="RESID_HYDROCRACKING"),"Hydrocracker",IF($H2104="REFORMING","Reformer",""))))</f>
        <v/>
      </c>
      <c r="H2104" s="6" t="s">
        <v>435</v>
      </c>
      <c r="I2104" s="6" t="s">
        <v>436</v>
      </c>
      <c r="J2104" s="6" t="s">
        <v>345</v>
      </c>
      <c r="K2104" s="10">
        <v>37.8</v>
      </c>
      <c r="L2104" s="10">
        <v>42</v>
      </c>
      <c r="M2104" s="6" t="s">
        <v>386</v>
      </c>
    </row>
    <row r="2105" spans="1:13">
      <c r="A2105" s="6">
        <v>2023</v>
      </c>
      <c r="B2105" s="6">
        <v>10</v>
      </c>
      <c r="C2105" s="6" t="s">
        <v>68</v>
      </c>
      <c r="D2105" s="6" t="s">
        <v>801</v>
      </c>
      <c r="E2105" s="6" t="s">
        <v>779</v>
      </c>
      <c r="F2105" s="6" t="str">
        <f>IF($M2105="PADD I","PADD 1",IF($M2105="PADD II","PADD 2",IF($M2105="PADD III","PADD 3",IF($M2105="PADD IV","PADD 4",IF($M2105="PADD V","PADD 5","")))))</f>
        <v>PADD 2</v>
      </c>
      <c r="G2105" s="6" t="str">
        <f>IF(AND($H2105="ATMOS DISTILLATION",ISNUMBER(SEARCH("VPS",$I2105))=FALSE,LEFT($I2105,6)&lt;&gt;"VACUUM"),"CDU",IF($H2105="FLUID CAT CRACKING","FCC",IF(OR($H2105="HYDROCRACKING",$H2105="RESID_HYDROCRACKING"),"Hydrocracker",IF($H2105="REFORMING","Reformer",""))))</f>
        <v>Hydrocracker</v>
      </c>
      <c r="H2105" s="6" t="s">
        <v>444</v>
      </c>
      <c r="I2105" s="6" t="s">
        <v>992</v>
      </c>
      <c r="J2105" s="6" t="s">
        <v>349</v>
      </c>
      <c r="K2105" s="10">
        <v>36.96</v>
      </c>
      <c r="L2105" s="10">
        <v>44</v>
      </c>
      <c r="M2105" s="6" t="s">
        <v>375</v>
      </c>
    </row>
    <row r="2106" spans="1:13">
      <c r="A2106" s="6">
        <v>2023</v>
      </c>
      <c r="B2106" s="6">
        <v>10</v>
      </c>
      <c r="C2106" s="6" t="s">
        <v>68</v>
      </c>
      <c r="D2106" s="6" t="s">
        <v>785</v>
      </c>
      <c r="E2106" s="6" t="s">
        <v>779</v>
      </c>
      <c r="F2106" s="6" t="str">
        <f>IF($M2106="PADD I","PADD 1",IF($M2106="PADD II","PADD 2",IF($M2106="PADD III","PADD 3",IF($M2106="PADD IV","PADD 4",IF($M2106="PADD V","PADD 5","")))))</f>
        <v>PADD 2</v>
      </c>
      <c r="G2106" s="6">
        <f>IF(AND($H2106="ATMOS DISTILLATION",ISNUMBER(SEARCH("VPS",$I2106))=FALSE,LEFT($I2106,6)&lt;&gt;"VACUUM"),"CDU",IF($H2106="FLUID CAT CRACKING","FCC",IF(OR($H2106="HYDROCRACKING",$H2106="RESID_HYDROCRACKING"),"Hydrocracker",IF($H2106="REFORMING","Reformer",""))))</f>
        <v/>
      </c>
      <c r="H2106" s="6" t="s">
        <v>378</v>
      </c>
      <c r="I2106" s="6" t="s">
        <v>786</v>
      </c>
      <c r="J2106" s="6" t="s">
        <v>345</v>
      </c>
      <c r="K2106" s="10">
        <v>36.134</v>
      </c>
      <c r="L2106" s="10">
        <v>62.3</v>
      </c>
      <c r="M2106" s="6" t="s">
        <v>375</v>
      </c>
    </row>
    <row r="2107" spans="1:13">
      <c r="A2107" s="6">
        <v>2023</v>
      </c>
      <c r="B2107" s="6">
        <v>10</v>
      </c>
      <c r="C2107" s="6" t="s">
        <v>68</v>
      </c>
      <c r="D2107" s="6" t="s">
        <v>662</v>
      </c>
      <c r="E2107" s="6" t="s">
        <v>552</v>
      </c>
      <c r="F2107" s="6" t="str">
        <f>IF($M2107="PADD I","PADD 1",IF($M2107="PADD II","PADD 2",IF($M2107="PADD III","PADD 3",IF($M2107="PADD IV","PADD 4",IF($M2107="PADD V","PADD 5","")))))</f>
        <v>PADD 3</v>
      </c>
      <c r="G2107" s="6" t="str">
        <f>IF(AND($H2107="ATMOS DISTILLATION",ISNUMBER(SEARCH("VPS",$I2107))=FALSE,LEFT($I2107,6)&lt;&gt;"VACUUM"),"CDU",IF($H2107="FLUID CAT CRACKING","FCC",IF(OR($H2107="HYDROCRACKING",$H2107="RESID_HYDROCRACKING"),"Hydrocracker",IF($H2107="REFORMING","Reformer",""))))</f>
        <v>CDU</v>
      </c>
      <c r="H2107" s="6" t="s">
        <v>38</v>
      </c>
      <c r="I2107" s="6" t="s">
        <v>663</v>
      </c>
      <c r="J2107" s="6" t="s">
        <v>349</v>
      </c>
      <c r="K2107" s="10">
        <v>35.04</v>
      </c>
      <c r="L2107" s="10">
        <v>73</v>
      </c>
      <c r="M2107" s="6" t="s">
        <v>371</v>
      </c>
    </row>
    <row r="2108" spans="1:13">
      <c r="A2108" s="6">
        <v>2023</v>
      </c>
      <c r="B2108" s="6">
        <v>10</v>
      </c>
      <c r="C2108" s="6" t="s">
        <v>68</v>
      </c>
      <c r="D2108" s="6" t="s">
        <v>602</v>
      </c>
      <c r="E2108" s="6" t="s">
        <v>369</v>
      </c>
      <c r="F2108" s="6" t="str">
        <f>IF($M2108="PADD I","PADD 1",IF($M2108="PADD II","PADD 2",IF($M2108="PADD III","PADD 3",IF($M2108="PADD IV","PADD 4",IF($M2108="PADD V","PADD 5","")))))</f>
        <v>PADD 2</v>
      </c>
      <c r="G2108" s="6">
        <f>IF(AND($H2108="ATMOS DISTILLATION",ISNUMBER(SEARCH("VPS",$I2108))=FALSE,LEFT($I2108,6)&lt;&gt;"VACUUM"),"CDU",IF($H2108="FLUID CAT CRACKING","FCC",IF(OR($H2108="HYDROCRACKING",$H2108="RESID_HYDROCRACKING"),"Hydrocracker",IF($H2108="REFORMING","Reformer",""))))</f>
        <v/>
      </c>
      <c r="H2108" s="6" t="s">
        <v>43</v>
      </c>
      <c r="I2108" s="6" t="s">
        <v>993</v>
      </c>
      <c r="J2108" s="6" t="s">
        <v>349</v>
      </c>
      <c r="K2108" s="10">
        <v>35</v>
      </c>
      <c r="L2108" s="10">
        <v>35</v>
      </c>
      <c r="M2108" s="6" t="s">
        <v>375</v>
      </c>
    </row>
    <row r="2109" spans="1:13">
      <c r="A2109" s="6">
        <v>2023</v>
      </c>
      <c r="B2109" s="6">
        <v>10</v>
      </c>
      <c r="C2109" s="6" t="s">
        <v>68</v>
      </c>
      <c r="D2109" s="6" t="s">
        <v>446</v>
      </c>
      <c r="E2109" s="6" t="s">
        <v>391</v>
      </c>
      <c r="F2109" s="6" t="str">
        <f>IF($M2109="PADD I","PADD 1",IF($M2109="PADD II","PADD 2",IF($M2109="PADD III","PADD 3",IF($M2109="PADD IV","PADD 4",IF($M2109="PADD V","PADD 5","")))))</f>
        <v>PADD 3</v>
      </c>
      <c r="G2109" s="6">
        <f>IF(AND($H2109="ATMOS DISTILLATION",ISNUMBER(SEARCH("VPS",$I2109))=FALSE,LEFT($I2109,6)&lt;&gt;"VACUUM"),"CDU",IF($H2109="FLUID CAT CRACKING","FCC",IF(OR($H2109="HYDROCRACKING",$H2109="RESID_HYDROCRACKING"),"Hydrocracker",IF($H2109="REFORMING","Reformer",""))))</f>
        <v/>
      </c>
      <c r="H2109" s="6" t="s">
        <v>43</v>
      </c>
      <c r="I2109" s="6" t="s">
        <v>447</v>
      </c>
      <c r="J2109" s="6" t="s">
        <v>349</v>
      </c>
      <c r="K2109" s="10">
        <v>35</v>
      </c>
      <c r="L2109" s="10">
        <v>35</v>
      </c>
      <c r="M2109" s="6" t="s">
        <v>371</v>
      </c>
    </row>
    <row r="2110" spans="1:13">
      <c r="A2110" s="6">
        <v>2023</v>
      </c>
      <c r="B2110" s="6">
        <v>10</v>
      </c>
      <c r="C2110" s="6" t="s">
        <v>68</v>
      </c>
      <c r="D2110" s="6" t="s">
        <v>448</v>
      </c>
      <c r="E2110" s="6" t="s">
        <v>391</v>
      </c>
      <c r="F2110" s="6" t="str">
        <f>IF($M2110="PADD I","PADD 1",IF($M2110="PADD II","PADD 2",IF($M2110="PADD III","PADD 3",IF($M2110="PADD IV","PADD 4",IF($M2110="PADD V","PADD 5","")))))</f>
        <v>PADD 3</v>
      </c>
      <c r="G2110" s="6">
        <f>IF(AND($H2110="ATMOS DISTILLATION",ISNUMBER(SEARCH("VPS",$I2110))=FALSE,LEFT($I2110,6)&lt;&gt;"VACUUM"),"CDU",IF($H2110="FLUID CAT CRACKING","FCC",IF(OR($H2110="HYDROCRACKING",$H2110="RESID_HYDROCRACKING"),"Hydrocracker",IF($H2110="REFORMING","Reformer",""))))</f>
        <v/>
      </c>
      <c r="H2110" s="6" t="s">
        <v>43</v>
      </c>
      <c r="I2110" s="6" t="s">
        <v>449</v>
      </c>
      <c r="J2110" s="6" t="s">
        <v>345</v>
      </c>
      <c r="K2110" s="10">
        <v>35</v>
      </c>
      <c r="L2110" s="10">
        <v>35</v>
      </c>
      <c r="M2110" s="6" t="s">
        <v>371</v>
      </c>
    </row>
    <row r="2111" spans="1:13">
      <c r="A2111" s="6">
        <v>2023</v>
      </c>
      <c r="B2111" s="6">
        <v>10</v>
      </c>
      <c r="C2111" s="6" t="s">
        <v>68</v>
      </c>
      <c r="D2111" s="6" t="s">
        <v>542</v>
      </c>
      <c r="E2111" s="6" t="s">
        <v>543</v>
      </c>
      <c r="F2111" s="6" t="str">
        <f>IF($M2111="PADD I","PADD 1",IF($M2111="PADD II","PADD 2",IF($M2111="PADD III","PADD 3",IF($M2111="PADD IV","PADD 4",IF($M2111="PADD V","PADD 5","")))))</f>
        <v>PADD 2</v>
      </c>
      <c r="G2111" s="6">
        <f>IF(AND($H2111="ATMOS DISTILLATION",ISNUMBER(SEARCH("VPS",$I2111))=FALSE,LEFT($I2111,6)&lt;&gt;"VACUUM"),"CDU",IF($H2111="FLUID CAT CRACKING","FCC",IF(OR($H2111="HYDROCRACKING",$H2111="RESID_HYDROCRACKING"),"Hydrocracker",IF($H2111="REFORMING","Reformer",""))))</f>
        <v/>
      </c>
      <c r="H2111" s="6" t="s">
        <v>43</v>
      </c>
      <c r="I2111" s="6" t="s">
        <v>1006</v>
      </c>
      <c r="J2111" s="6" t="s">
        <v>349</v>
      </c>
      <c r="K2111" s="10">
        <v>34.92</v>
      </c>
      <c r="L2111" s="10">
        <v>36</v>
      </c>
      <c r="M2111" s="6" t="s">
        <v>375</v>
      </c>
    </row>
    <row r="2112" spans="1:13">
      <c r="A2112" s="6">
        <v>2023</v>
      </c>
      <c r="B2112" s="6">
        <v>10</v>
      </c>
      <c r="C2112" s="6" t="s">
        <v>68</v>
      </c>
      <c r="D2112" s="6" t="s">
        <v>408</v>
      </c>
      <c r="E2112" s="6" t="s">
        <v>409</v>
      </c>
      <c r="F2112" s="6" t="str">
        <f>IF($M2112="PADD I","PADD 1",IF($M2112="PADD II","PADD 2",IF($M2112="PADD III","PADD 3",IF($M2112="PADD IV","PADD 4",IF($M2112="PADD V","PADD 5","")))))</f>
        <v>PADD 3</v>
      </c>
      <c r="G2112" s="6">
        <f>IF(AND($H2112="ATMOS DISTILLATION",ISNUMBER(SEARCH("VPS",$I2112))=FALSE,LEFT($I2112,6)&lt;&gt;"VACUUM"),"CDU",IF($H2112="FLUID CAT CRACKING","FCC",IF(OR($H2112="HYDROCRACKING",$H2112="RESID_HYDROCRACKING"),"Hydrocracker",IF($H2112="REFORMING","Reformer",""))))</f>
        <v/>
      </c>
      <c r="H2112" s="6" t="s">
        <v>378</v>
      </c>
      <c r="I2112" s="6" t="s">
        <v>489</v>
      </c>
      <c r="J2112" s="6" t="s">
        <v>349</v>
      </c>
      <c r="K2112" s="10">
        <v>34.8</v>
      </c>
      <c r="L2112" s="10">
        <v>60</v>
      </c>
      <c r="M2112" s="6" t="s">
        <v>371</v>
      </c>
    </row>
    <row r="2113" spans="1:13">
      <c r="A2113" s="6">
        <v>2023</v>
      </c>
      <c r="B2113" s="6">
        <v>10</v>
      </c>
      <c r="C2113" s="6" t="s">
        <v>68</v>
      </c>
      <c r="D2113" s="6" t="s">
        <v>468</v>
      </c>
      <c r="E2113" s="6" t="s">
        <v>369</v>
      </c>
      <c r="F2113" s="6" t="str">
        <f>IF($M2113="PADD I","PADD 1",IF($M2113="PADD II","PADD 2",IF($M2113="PADD III","PADD 3",IF($M2113="PADD IV","PADD 4",IF($M2113="PADD V","PADD 5","")))))</f>
        <v>PADD 3</v>
      </c>
      <c r="G2113" s="6">
        <f>IF(AND($H2113="ATMOS DISTILLATION",ISNUMBER(SEARCH("VPS",$I2113))=FALSE,LEFT($I2113,6)&lt;&gt;"VACUUM"),"CDU",IF($H2113="FLUID CAT CRACKING","FCC",IF(OR($H2113="HYDROCRACKING",$H2113="RESID_HYDROCRACKING"),"Hydrocracker",IF($H2113="REFORMING","Reformer",""))))</f>
        <v/>
      </c>
      <c r="H2113" s="6" t="s">
        <v>43</v>
      </c>
      <c r="I2113" s="6" t="s">
        <v>1028</v>
      </c>
      <c r="J2113" s="6" t="s">
        <v>349</v>
      </c>
      <c r="K2113" s="10">
        <v>34</v>
      </c>
      <c r="L2113" s="10">
        <v>34</v>
      </c>
      <c r="M2113" s="6" t="s">
        <v>371</v>
      </c>
    </row>
    <row r="2114" spans="1:13">
      <c r="A2114" s="6">
        <v>2023</v>
      </c>
      <c r="B2114" s="6">
        <v>10</v>
      </c>
      <c r="C2114" s="6" t="s">
        <v>68</v>
      </c>
      <c r="D2114" s="6" t="s">
        <v>415</v>
      </c>
      <c r="E2114" s="6" t="s">
        <v>416</v>
      </c>
      <c r="F2114" s="6" t="str">
        <f>IF($M2114="PADD I","PADD 1",IF($M2114="PADD II","PADD 2",IF($M2114="PADD III","PADD 3",IF($M2114="PADD IV","PADD 4",IF($M2114="PADD V","PADD 5","")))))</f>
        <v>PADD 3</v>
      </c>
      <c r="G2114" s="6">
        <f>IF(AND($H2114="ATMOS DISTILLATION",ISNUMBER(SEARCH("VPS",$I2114))=FALSE,LEFT($I2114,6)&lt;&gt;"VACUUM"),"CDU",IF($H2114="FLUID CAT CRACKING","FCC",IF(OR($H2114="HYDROCRACKING",$H2114="RESID_HYDROCRACKING"),"Hydrocracker",IF($H2114="REFORMING","Reformer",""))))</f>
        <v/>
      </c>
      <c r="H2114" s="6" t="s">
        <v>435</v>
      </c>
      <c r="I2114" s="6" t="s">
        <v>453</v>
      </c>
      <c r="J2114" s="6" t="s">
        <v>345</v>
      </c>
      <c r="K2114" s="10">
        <v>34</v>
      </c>
      <c r="L2114" s="10">
        <v>34</v>
      </c>
      <c r="M2114" s="6" t="s">
        <v>371</v>
      </c>
    </row>
    <row r="2115" spans="1:13">
      <c r="A2115" s="6">
        <v>2023</v>
      </c>
      <c r="B2115" s="6">
        <v>10</v>
      </c>
      <c r="C2115" s="6" t="s">
        <v>68</v>
      </c>
      <c r="D2115" s="6" t="s">
        <v>415</v>
      </c>
      <c r="E2115" s="6" t="s">
        <v>416</v>
      </c>
      <c r="F2115" s="6" t="str">
        <f>IF($M2115="PADD I","PADD 1",IF($M2115="PADD II","PADD 2",IF($M2115="PADD III","PADD 3",IF($M2115="PADD IV","PADD 4",IF($M2115="PADD V","PADD 5","")))))</f>
        <v>PADD 3</v>
      </c>
      <c r="G2115" s="6">
        <f>IF(AND($H2115="ATMOS DISTILLATION",ISNUMBER(SEARCH("VPS",$I2115))=FALSE,LEFT($I2115,6)&lt;&gt;"VACUUM"),"CDU",IF($H2115="FLUID CAT CRACKING","FCC",IF(OR($H2115="HYDROCRACKING",$H2115="RESID_HYDROCRACKING"),"Hydrocracker",IF($H2115="REFORMING","Reformer",""))))</f>
        <v/>
      </c>
      <c r="H2115" s="6" t="s">
        <v>435</v>
      </c>
      <c r="I2115" s="6" t="s">
        <v>453</v>
      </c>
      <c r="J2115" s="6" t="s">
        <v>345</v>
      </c>
      <c r="K2115" s="10">
        <v>34</v>
      </c>
      <c r="L2115" s="10">
        <v>34</v>
      </c>
      <c r="M2115" s="6" t="s">
        <v>371</v>
      </c>
    </row>
    <row r="2116" spans="1:13">
      <c r="A2116" s="6">
        <v>2023</v>
      </c>
      <c r="B2116" s="6">
        <v>10</v>
      </c>
      <c r="C2116" s="6" t="s">
        <v>68</v>
      </c>
      <c r="D2116" s="6" t="s">
        <v>801</v>
      </c>
      <c r="E2116" s="6" t="s">
        <v>779</v>
      </c>
      <c r="F2116" s="6" t="str">
        <f>IF($M2116="PADD I","PADD 1",IF($M2116="PADD II","PADD 2",IF($M2116="PADD III","PADD 3",IF($M2116="PADD IV","PADD 4",IF($M2116="PADD V","PADD 5","")))))</f>
        <v>PADD 2</v>
      </c>
      <c r="G2116" s="6">
        <f>IF(AND($H2116="ATMOS DISTILLATION",ISNUMBER(SEARCH("VPS",$I2116))=FALSE,LEFT($I2116,6)&lt;&gt;"VACUUM"),"CDU",IF($H2116="FLUID CAT CRACKING","FCC",IF(OR($H2116="HYDROCRACKING",$H2116="RESID_HYDROCRACKING"),"Hydrocracker",IF($H2116="REFORMING","Reformer",""))))</f>
        <v/>
      </c>
      <c r="H2116" s="6" t="s">
        <v>43</v>
      </c>
      <c r="I2116" s="6" t="s">
        <v>996</v>
      </c>
      <c r="J2116" s="6" t="s">
        <v>349</v>
      </c>
      <c r="K2116" s="10">
        <v>33.6</v>
      </c>
      <c r="L2116" s="10">
        <v>40</v>
      </c>
      <c r="M2116" s="6" t="s">
        <v>375</v>
      </c>
    </row>
    <row r="2117" spans="1:13">
      <c r="A2117" s="6">
        <v>2023</v>
      </c>
      <c r="B2117" s="6">
        <v>10</v>
      </c>
      <c r="C2117" s="6" t="s">
        <v>68</v>
      </c>
      <c r="D2117" s="6" t="s">
        <v>333</v>
      </c>
      <c r="E2117" s="6" t="s">
        <v>381</v>
      </c>
      <c r="F2117" s="6" t="str">
        <f>IF($M2117="PADD I","PADD 1",IF($M2117="PADD II","PADD 2",IF($M2117="PADD III","PADD 3",IF($M2117="PADD IV","PADD 4",IF($M2117="PADD V","PADD 5","")))))</f>
        <v>PADD 3</v>
      </c>
      <c r="G2117" s="6" t="str">
        <f>IF(AND($H2117="ATMOS DISTILLATION",ISNUMBER(SEARCH("VPS",$I2117))=FALSE,LEFT($I2117,6)&lt;&gt;"VACUUM"),"CDU",IF($H2117="FLUID CAT CRACKING","FCC",IF(OR($H2117="HYDROCRACKING",$H2117="RESID_HYDROCRACKING"),"Hydrocracker",IF($H2117="REFORMING","Reformer",""))))</f>
        <v>Reformer</v>
      </c>
      <c r="H2117" s="6" t="s">
        <v>421</v>
      </c>
      <c r="I2117" s="6" t="s">
        <v>548</v>
      </c>
      <c r="J2117" s="6" t="s">
        <v>345</v>
      </c>
      <c r="K2117" s="10">
        <v>33.6</v>
      </c>
      <c r="L2117" s="10">
        <v>80</v>
      </c>
      <c r="M2117" s="6" t="s">
        <v>371</v>
      </c>
    </row>
    <row r="2118" spans="1:13">
      <c r="A2118" s="6">
        <v>2023</v>
      </c>
      <c r="B2118" s="6">
        <v>10</v>
      </c>
      <c r="C2118" s="6" t="s">
        <v>68</v>
      </c>
      <c r="D2118" s="6" t="s">
        <v>395</v>
      </c>
      <c r="E2118" s="6" t="s">
        <v>396</v>
      </c>
      <c r="F2118" s="6" t="str">
        <f>IF($M2118="PADD I","PADD 1",IF($M2118="PADD II","PADD 2",IF($M2118="PADD III","PADD 3",IF($M2118="PADD IV","PADD 4",IF($M2118="PADD V","PADD 5","")))))</f>
        <v>PADD 3</v>
      </c>
      <c r="G2118" s="6">
        <f>IF(AND($H2118="ATMOS DISTILLATION",ISNUMBER(SEARCH("VPS",$I2118))=FALSE,LEFT($I2118,6)&lt;&gt;"VACUUM"),"CDU",IF($H2118="FLUID CAT CRACKING","FCC",IF(OR($H2118="HYDROCRACKING",$H2118="RESID_HYDROCRACKING"),"Hydrocracker",IF($H2118="REFORMING","Reformer",""))))</f>
        <v/>
      </c>
      <c r="H2118" s="6" t="s">
        <v>378</v>
      </c>
      <c r="I2118" s="6" t="s">
        <v>474</v>
      </c>
      <c r="J2118" s="6" t="s">
        <v>345</v>
      </c>
      <c r="K2118" s="10">
        <v>33.35</v>
      </c>
      <c r="L2118" s="10">
        <v>115</v>
      </c>
      <c r="M2118" s="6" t="s">
        <v>371</v>
      </c>
    </row>
    <row r="2119" spans="1:13">
      <c r="A2119" s="6">
        <v>2023</v>
      </c>
      <c r="B2119" s="6">
        <v>10</v>
      </c>
      <c r="C2119" s="6" t="s">
        <v>68</v>
      </c>
      <c r="D2119" s="6" t="s">
        <v>324</v>
      </c>
      <c r="E2119" s="6" t="s">
        <v>388</v>
      </c>
      <c r="F2119" s="6" t="str">
        <f>IF($M2119="PADD I","PADD 1",IF($M2119="PADD II","PADD 2",IF($M2119="PADD III","PADD 3",IF($M2119="PADD IV","PADD 4",IF($M2119="PADD V","PADD 5","")))))</f>
        <v>PADD 3</v>
      </c>
      <c r="G2119" s="6">
        <f>IF(AND($H2119="ATMOS DISTILLATION",ISNUMBER(SEARCH("VPS",$I2119))=FALSE,LEFT($I2119,6)&lt;&gt;"VACUUM"),"CDU",IF($H2119="FLUID CAT CRACKING","FCC",IF(OR($H2119="HYDROCRACKING",$H2119="RESID_HYDROCRACKING"),"Hydrocracker",IF($H2119="REFORMING","Reformer",""))))</f>
        <v/>
      </c>
      <c r="H2119" s="6" t="s">
        <v>43</v>
      </c>
      <c r="I2119" s="6" t="s">
        <v>948</v>
      </c>
      <c r="J2119" s="6" t="s">
        <v>349</v>
      </c>
      <c r="K2119" s="10">
        <v>32.9</v>
      </c>
      <c r="L2119" s="10">
        <v>94</v>
      </c>
      <c r="M2119" s="6" t="s">
        <v>371</v>
      </c>
    </row>
    <row r="2120" spans="1:13">
      <c r="A2120" s="6">
        <v>2023</v>
      </c>
      <c r="B2120" s="6">
        <v>10</v>
      </c>
      <c r="C2120" s="6" t="s">
        <v>68</v>
      </c>
      <c r="D2120" s="6" t="s">
        <v>542</v>
      </c>
      <c r="E2120" s="6" t="s">
        <v>543</v>
      </c>
      <c r="F2120" s="6" t="str">
        <f>IF($M2120="PADD I","PADD 1",IF($M2120="PADD II","PADD 2",IF($M2120="PADD III","PADD 3",IF($M2120="PADD IV","PADD 4",IF($M2120="PADD V","PADD 5","")))))</f>
        <v>PADD 2</v>
      </c>
      <c r="G2120" s="6">
        <f>IF(AND($H2120="ATMOS DISTILLATION",ISNUMBER(SEARCH("VPS",$I2120))=FALSE,LEFT($I2120,6)&lt;&gt;"VACUUM"),"CDU",IF($H2120="FLUID CAT CRACKING","FCC",IF(OR($H2120="HYDROCRACKING",$H2120="RESID_HYDROCRACKING"),"Hydrocracker",IF($H2120="REFORMING","Reformer",""))))</f>
        <v/>
      </c>
      <c r="H2120" s="6" t="s">
        <v>435</v>
      </c>
      <c r="I2120" s="6" t="s">
        <v>441</v>
      </c>
      <c r="J2120" s="6" t="s">
        <v>349</v>
      </c>
      <c r="K2120" s="10">
        <v>32.6502</v>
      </c>
      <c r="L2120" s="10">
        <v>33.66</v>
      </c>
      <c r="M2120" s="6" t="s">
        <v>375</v>
      </c>
    </row>
    <row r="2121" spans="1:13">
      <c r="A2121" s="6">
        <v>2023</v>
      </c>
      <c r="B2121" s="6">
        <v>10</v>
      </c>
      <c r="C2121" s="6" t="s">
        <v>68</v>
      </c>
      <c r="D2121" s="6" t="s">
        <v>319</v>
      </c>
      <c r="E2121" s="6" t="s">
        <v>665</v>
      </c>
      <c r="F2121" s="6" t="str">
        <f>IF($M2121="PADD I","PADD 1",IF($M2121="PADD II","PADD 2",IF($M2121="PADD III","PADD 3",IF($M2121="PADD IV","PADD 4",IF($M2121="PADD V","PADD 5","")))))</f>
        <v>PADD 3</v>
      </c>
      <c r="G2121" s="6" t="str">
        <f>IF(AND($H2121="ATMOS DISTILLATION",ISNUMBER(SEARCH("VPS",$I2121))=FALSE,LEFT($I2121,6)&lt;&gt;"VACUUM"),"CDU",IF($H2121="FLUID CAT CRACKING","FCC",IF(OR($H2121="HYDROCRACKING",$H2121="RESID_HYDROCRACKING"),"Hydrocracker",IF($H2121="REFORMING","Reformer",""))))</f>
        <v>FCC</v>
      </c>
      <c r="H2121" s="6" t="s">
        <v>376</v>
      </c>
      <c r="I2121" s="6" t="s">
        <v>875</v>
      </c>
      <c r="J2121" s="6" t="s">
        <v>345</v>
      </c>
      <c r="K2121" s="10">
        <v>31.9</v>
      </c>
      <c r="L2121" s="10">
        <v>110</v>
      </c>
      <c r="M2121" s="6" t="s">
        <v>371</v>
      </c>
    </row>
    <row r="2122" spans="1:13">
      <c r="A2122" s="6">
        <v>2023</v>
      </c>
      <c r="B2122" s="6">
        <v>10</v>
      </c>
      <c r="C2122" s="6" t="s">
        <v>68</v>
      </c>
      <c r="D2122" s="6" t="s">
        <v>468</v>
      </c>
      <c r="E2122" s="6" t="s">
        <v>369</v>
      </c>
      <c r="F2122" s="6" t="str">
        <f>IF($M2122="PADD I","PADD 1",IF($M2122="PADD II","PADD 2",IF($M2122="PADD III","PADD 3",IF($M2122="PADD IV","PADD 4",IF($M2122="PADD V","PADD 5","")))))</f>
        <v>PADD 3</v>
      </c>
      <c r="G2122" s="6" t="str">
        <f>IF(AND($H2122="ATMOS DISTILLATION",ISNUMBER(SEARCH("VPS",$I2122))=FALSE,LEFT($I2122,6)&lt;&gt;"VACUUM"),"CDU",IF($H2122="FLUID CAT CRACKING","FCC",IF(OR($H2122="HYDROCRACKING",$H2122="RESID_HYDROCRACKING"),"Hydrocracker",IF($H2122="REFORMING","Reformer",""))))</f>
        <v>CDU</v>
      </c>
      <c r="H2122" s="6" t="s">
        <v>38</v>
      </c>
      <c r="I2122" s="6" t="s">
        <v>561</v>
      </c>
      <c r="J2122" s="6" t="s">
        <v>349</v>
      </c>
      <c r="K2122" s="10">
        <v>31.57</v>
      </c>
      <c r="L2122" s="10">
        <v>41</v>
      </c>
      <c r="M2122" s="6" t="s">
        <v>371</v>
      </c>
    </row>
    <row r="2123" spans="1:13">
      <c r="A2123" s="6">
        <v>2023</v>
      </c>
      <c r="B2123" s="6">
        <v>10</v>
      </c>
      <c r="C2123" s="6" t="s">
        <v>68</v>
      </c>
      <c r="D2123" s="6" t="s">
        <v>801</v>
      </c>
      <c r="E2123" s="6" t="s">
        <v>779</v>
      </c>
      <c r="F2123" s="6" t="str">
        <f>IF($M2123="PADD I","PADD 1",IF($M2123="PADD II","PADD 2",IF($M2123="PADD III","PADD 3",IF($M2123="PADD IV","PADD 4",IF($M2123="PADD V","PADD 5","")))))</f>
        <v>PADD 2</v>
      </c>
      <c r="G2123" s="6" t="str">
        <f>IF(AND($H2123="ATMOS DISTILLATION",ISNUMBER(SEARCH("VPS",$I2123))=FALSE,LEFT($I2123,6)&lt;&gt;"VACUUM"),"CDU",IF($H2123="FLUID CAT CRACKING","FCC",IF(OR($H2123="HYDROCRACKING",$H2123="RESID_HYDROCRACKING"),"Hydrocracker",IF($H2123="REFORMING","Reformer",""))))</f>
        <v>Reformer</v>
      </c>
      <c r="H2123" s="6" t="s">
        <v>421</v>
      </c>
      <c r="I2123" s="6" t="s">
        <v>1000</v>
      </c>
      <c r="J2123" s="6" t="s">
        <v>349</v>
      </c>
      <c r="K2123" s="10">
        <v>31.08</v>
      </c>
      <c r="L2123" s="10">
        <v>37</v>
      </c>
      <c r="M2123" s="6" t="s">
        <v>375</v>
      </c>
    </row>
    <row r="2124" spans="1:13">
      <c r="A2124" s="6">
        <v>2023</v>
      </c>
      <c r="B2124" s="6">
        <v>10</v>
      </c>
      <c r="C2124" s="6" t="s">
        <v>68</v>
      </c>
      <c r="D2124" s="6" t="s">
        <v>602</v>
      </c>
      <c r="E2124" s="6" t="s">
        <v>369</v>
      </c>
      <c r="F2124" s="6" t="str">
        <f>IF($M2124="PADD I","PADD 1",IF($M2124="PADD II","PADD 2",IF($M2124="PADD III","PADD 3",IF($M2124="PADD IV","PADD 4",IF($M2124="PADD V","PADD 5","")))))</f>
        <v>PADD 2</v>
      </c>
      <c r="G2124" s="6">
        <f>IF(AND($H2124="ATMOS DISTILLATION",ISNUMBER(SEARCH("VPS",$I2124))=FALSE,LEFT($I2124,6)&lt;&gt;"VACUUM"),"CDU",IF($H2124="FLUID CAT CRACKING","FCC",IF(OR($H2124="HYDROCRACKING",$H2124="RESID_HYDROCRACKING"),"Hydrocracker",IF($H2124="REFORMING","Reformer",""))))</f>
        <v/>
      </c>
      <c r="H2124" s="6" t="s">
        <v>435</v>
      </c>
      <c r="I2124" s="6" t="s">
        <v>441</v>
      </c>
      <c r="J2124" s="6" t="s">
        <v>349</v>
      </c>
      <c r="K2124" s="10">
        <v>31</v>
      </c>
      <c r="L2124" s="10">
        <v>31</v>
      </c>
      <c r="M2124" s="6" t="s">
        <v>375</v>
      </c>
    </row>
    <row r="2125" spans="1:13">
      <c r="A2125" s="6">
        <v>2023</v>
      </c>
      <c r="B2125" s="6">
        <v>10</v>
      </c>
      <c r="C2125" s="6" t="s">
        <v>68</v>
      </c>
      <c r="D2125" s="6" t="s">
        <v>468</v>
      </c>
      <c r="E2125" s="6" t="s">
        <v>369</v>
      </c>
      <c r="F2125" s="6" t="str">
        <f>IF($M2125="PADD I","PADD 1",IF($M2125="PADD II","PADD 2",IF($M2125="PADD III","PADD 3",IF($M2125="PADD IV","PADD 4",IF($M2125="PADD V","PADD 5","")))))</f>
        <v>PADD 3</v>
      </c>
      <c r="G2125" s="6" t="str">
        <f>IF(AND($H2125="ATMOS DISTILLATION",ISNUMBER(SEARCH("VPS",$I2125))=FALSE,LEFT($I2125,6)&lt;&gt;"VACUUM"),"CDU",IF($H2125="FLUID CAT CRACKING","FCC",IF(OR($H2125="HYDROCRACKING",$H2125="RESID_HYDROCRACKING"),"Hydrocracker",IF($H2125="REFORMING","Reformer",""))))</f>
        <v>FCC</v>
      </c>
      <c r="H2125" s="6" t="s">
        <v>376</v>
      </c>
      <c r="I2125" s="6" t="s">
        <v>473</v>
      </c>
      <c r="J2125" s="6" t="s">
        <v>349</v>
      </c>
      <c r="K2125" s="10">
        <v>30</v>
      </c>
      <c r="L2125" s="10">
        <v>30</v>
      </c>
      <c r="M2125" s="6" t="s">
        <v>371</v>
      </c>
    </row>
    <row r="2126" spans="1:13">
      <c r="A2126" s="6">
        <v>2023</v>
      </c>
      <c r="B2126" s="6">
        <v>10</v>
      </c>
      <c r="C2126" s="6" t="s">
        <v>68</v>
      </c>
      <c r="D2126" s="6" t="s">
        <v>602</v>
      </c>
      <c r="E2126" s="6" t="s">
        <v>369</v>
      </c>
      <c r="F2126" s="6" t="str">
        <f>IF($M2126="PADD I","PADD 1",IF($M2126="PADD II","PADD 2",IF($M2126="PADD III","PADD 3",IF($M2126="PADD IV","PADD 4",IF($M2126="PADD V","PADD 5","")))))</f>
        <v>PADD 2</v>
      </c>
      <c r="G2126" s="6">
        <f>IF(AND($H2126="ATMOS DISTILLATION",ISNUMBER(SEARCH("VPS",$I2126))=FALSE,LEFT($I2126,6)&lt;&gt;"VACUUM"),"CDU",IF($H2126="FLUID CAT CRACKING","FCC",IF(OR($H2126="HYDROCRACKING",$H2126="RESID_HYDROCRACKING"),"Hydrocracker",IF($H2126="REFORMING","Reformer",""))))</f>
        <v/>
      </c>
      <c r="H2126" s="6" t="s">
        <v>43</v>
      </c>
      <c r="I2126" s="6" t="s">
        <v>998</v>
      </c>
      <c r="J2126" s="6" t="s">
        <v>349</v>
      </c>
      <c r="K2126" s="10">
        <v>30</v>
      </c>
      <c r="L2126" s="10">
        <v>30</v>
      </c>
      <c r="M2126" s="6" t="s">
        <v>375</v>
      </c>
    </row>
    <row r="2127" spans="1:13">
      <c r="A2127" s="6">
        <v>2023</v>
      </c>
      <c r="B2127" s="6">
        <v>10</v>
      </c>
      <c r="C2127" s="6" t="s">
        <v>68</v>
      </c>
      <c r="D2127" s="6" t="s">
        <v>602</v>
      </c>
      <c r="E2127" s="6" t="s">
        <v>369</v>
      </c>
      <c r="F2127" s="6" t="str">
        <f>IF($M2127="PADD I","PADD 1",IF($M2127="PADD II","PADD 2",IF($M2127="PADD III","PADD 3",IF($M2127="PADD IV","PADD 4",IF($M2127="PADD V","PADD 5","")))))</f>
        <v>PADD 2</v>
      </c>
      <c r="G2127" s="6">
        <f>IF(AND($H2127="ATMOS DISTILLATION",ISNUMBER(SEARCH("VPS",$I2127))=FALSE,LEFT($I2127,6)&lt;&gt;"VACUUM"),"CDU",IF($H2127="FLUID CAT CRACKING","FCC",IF(OR($H2127="HYDROCRACKING",$H2127="RESID_HYDROCRACKING"),"Hydrocracker",IF($H2127="REFORMING","Reformer",""))))</f>
        <v/>
      </c>
      <c r="H2127" s="6" t="s">
        <v>43</v>
      </c>
      <c r="I2127" s="6" t="s">
        <v>999</v>
      </c>
      <c r="J2127" s="6" t="s">
        <v>349</v>
      </c>
      <c r="K2127" s="10">
        <v>30</v>
      </c>
      <c r="L2127" s="10">
        <v>30</v>
      </c>
      <c r="M2127" s="6" t="s">
        <v>375</v>
      </c>
    </row>
    <row r="2128" spans="1:13">
      <c r="A2128" s="6">
        <v>2023</v>
      </c>
      <c r="B2128" s="6">
        <v>10</v>
      </c>
      <c r="C2128" s="6" t="s">
        <v>68</v>
      </c>
      <c r="D2128" s="6" t="s">
        <v>887</v>
      </c>
      <c r="E2128" s="6" t="s">
        <v>405</v>
      </c>
      <c r="F2128" s="6" t="str">
        <f>IF($M2128="PADD I","PADD 1",IF($M2128="PADD II","PADD 2",IF($M2128="PADD III","PADD 3",IF($M2128="PADD IV","PADD 4",IF($M2128="PADD V","PADD 5","")))))</f>
        <v>PADD 3</v>
      </c>
      <c r="G2128" s="6" t="str">
        <f>IF(AND($H2128="ATMOS DISTILLATION",ISNUMBER(SEARCH("VPS",$I2128))=FALSE,LEFT($I2128,6)&lt;&gt;"VACUUM"),"CDU",IF($H2128="FLUID CAT CRACKING","FCC",IF(OR($H2128="HYDROCRACKING",$H2128="RESID_HYDROCRACKING"),"Hydrocracker",IF($H2128="REFORMING","Reformer",""))))</f>
        <v>Hydrocracker</v>
      </c>
      <c r="H2128" s="6" t="s">
        <v>444</v>
      </c>
      <c r="I2128" s="6" t="s">
        <v>1022</v>
      </c>
      <c r="J2128" s="6" t="s">
        <v>349</v>
      </c>
      <c r="K2128" s="10">
        <v>30</v>
      </c>
      <c r="L2128" s="10">
        <v>30</v>
      </c>
      <c r="M2128" s="6" t="s">
        <v>371</v>
      </c>
    </row>
    <row r="2129" spans="1:13">
      <c r="A2129" s="6">
        <v>2023</v>
      </c>
      <c r="B2129" s="6">
        <v>10</v>
      </c>
      <c r="C2129" s="6" t="s">
        <v>68</v>
      </c>
      <c r="D2129" s="6" t="s">
        <v>333</v>
      </c>
      <c r="E2129" s="6" t="s">
        <v>381</v>
      </c>
      <c r="F2129" s="6" t="str">
        <f>IF($M2129="PADD I","PADD 1",IF($M2129="PADD II","PADD 2",IF($M2129="PADD III","PADD 3",IF($M2129="PADD IV","PADD 4",IF($M2129="PADD V","PADD 5","")))))</f>
        <v>PADD 3</v>
      </c>
      <c r="G2129" s="6" t="str">
        <f>IF(AND($H2129="ATMOS DISTILLATION",ISNUMBER(SEARCH("VPS",$I2129))=FALSE,LEFT($I2129,6)&lt;&gt;"VACUUM"),"CDU",IF($H2129="FLUID CAT CRACKING","FCC",IF(OR($H2129="HYDROCRACKING",$H2129="RESID_HYDROCRACKING"),"Hydrocracker",IF($H2129="REFORMING","Reformer",""))))</f>
        <v>Reformer</v>
      </c>
      <c r="H2129" s="6" t="s">
        <v>421</v>
      </c>
      <c r="I2129" s="6" t="s">
        <v>1042</v>
      </c>
      <c r="J2129" s="6" t="s">
        <v>349</v>
      </c>
      <c r="K2129" s="10">
        <v>29.25</v>
      </c>
      <c r="L2129" s="10">
        <v>75</v>
      </c>
      <c r="M2129" s="6" t="s">
        <v>371</v>
      </c>
    </row>
    <row r="2130" spans="1:13">
      <c r="A2130" s="6">
        <v>2023</v>
      </c>
      <c r="B2130" s="6">
        <v>10</v>
      </c>
      <c r="C2130" s="6" t="s">
        <v>68</v>
      </c>
      <c r="D2130" s="6" t="s">
        <v>518</v>
      </c>
      <c r="E2130" s="6" t="s">
        <v>369</v>
      </c>
      <c r="F2130" s="6" t="str">
        <f>IF($M2130="PADD I","PADD 1",IF($M2130="PADD II","PADD 2",IF($M2130="PADD III","PADD 3",IF($M2130="PADD IV","PADD 4",IF($M2130="PADD V","PADD 5","")))))</f>
        <v>PADD 5</v>
      </c>
      <c r="G2130" s="6" t="str">
        <f>IF(AND($H2130="ATMOS DISTILLATION",ISNUMBER(SEARCH("VPS",$I2130))=FALSE,LEFT($I2130,6)&lt;&gt;"VACUUM"),"CDU",IF($H2130="FLUID CAT CRACKING","FCC",IF(OR($H2130="HYDROCRACKING",$H2130="RESID_HYDROCRACKING"),"Hydrocracker",IF($H2130="REFORMING","Reformer",""))))</f>
        <v>CDU</v>
      </c>
      <c r="H2130" s="6" t="s">
        <v>38</v>
      </c>
      <c r="I2130" s="6" t="s">
        <v>553</v>
      </c>
      <c r="J2130" s="6" t="s">
        <v>345</v>
      </c>
      <c r="K2130" s="10">
        <v>28.8</v>
      </c>
      <c r="L2130" s="10">
        <v>32</v>
      </c>
      <c r="M2130" s="6" t="s">
        <v>386</v>
      </c>
    </row>
    <row r="2131" spans="1:13">
      <c r="A2131" s="6">
        <v>2023</v>
      </c>
      <c r="B2131" s="6">
        <v>10</v>
      </c>
      <c r="C2131" s="6" t="s">
        <v>68</v>
      </c>
      <c r="D2131" s="6" t="s">
        <v>801</v>
      </c>
      <c r="E2131" s="6" t="s">
        <v>779</v>
      </c>
      <c r="F2131" s="6" t="str">
        <f>IF($M2131="PADD I","PADD 1",IF($M2131="PADD II","PADD 2",IF($M2131="PADD III","PADD 3",IF($M2131="PADD IV","PADD 4",IF($M2131="PADD V","PADD 5","")))))</f>
        <v>PADD 2</v>
      </c>
      <c r="G2131" s="6" t="str">
        <f>IF(AND($H2131="ATMOS DISTILLATION",ISNUMBER(SEARCH("VPS",$I2131))=FALSE,LEFT($I2131,6)&lt;&gt;"VACUUM"),"CDU",IF($H2131="FLUID CAT CRACKING","FCC",IF(OR($H2131="HYDROCRACKING",$H2131="RESID_HYDROCRACKING"),"Hydrocracker",IF($H2131="REFORMING","Reformer",""))))</f>
        <v>Reformer</v>
      </c>
      <c r="H2131" s="6" t="s">
        <v>421</v>
      </c>
      <c r="I2131" s="6" t="s">
        <v>782</v>
      </c>
      <c r="J2131" s="6" t="s">
        <v>349</v>
      </c>
      <c r="K2131" s="10">
        <v>28.56</v>
      </c>
      <c r="L2131" s="10">
        <v>34</v>
      </c>
      <c r="M2131" s="6" t="s">
        <v>375</v>
      </c>
    </row>
    <row r="2132" spans="1:13">
      <c r="A2132" s="6">
        <v>2023</v>
      </c>
      <c r="B2132" s="6">
        <v>10</v>
      </c>
      <c r="C2132" s="6" t="s">
        <v>68</v>
      </c>
      <c r="D2132" s="6" t="s">
        <v>468</v>
      </c>
      <c r="E2132" s="6" t="s">
        <v>369</v>
      </c>
      <c r="F2132" s="6" t="str">
        <f>IF($M2132="PADD I","PADD 1",IF($M2132="PADD II","PADD 2",IF($M2132="PADD III","PADD 3",IF($M2132="PADD IV","PADD 4",IF($M2132="PADD V","PADD 5","")))))</f>
        <v>PADD 3</v>
      </c>
      <c r="G2132" s="6" t="str">
        <f>IF(AND($H2132="ATMOS DISTILLATION",ISNUMBER(SEARCH("VPS",$I2132))=FALSE,LEFT($I2132,6)&lt;&gt;"VACUUM"),"CDU",IF($H2132="FLUID CAT CRACKING","FCC",IF(OR($H2132="HYDROCRACKING",$H2132="RESID_HYDROCRACKING"),"Hydrocracker",IF($H2132="REFORMING","Reformer",""))))</f>
        <v>CDU</v>
      </c>
      <c r="H2132" s="6" t="s">
        <v>38</v>
      </c>
      <c r="I2132" s="6" t="s">
        <v>565</v>
      </c>
      <c r="J2132" s="6" t="s">
        <v>349</v>
      </c>
      <c r="K2132" s="10">
        <v>28.49</v>
      </c>
      <c r="L2132" s="10">
        <v>37</v>
      </c>
      <c r="M2132" s="6" t="s">
        <v>371</v>
      </c>
    </row>
    <row r="2133" spans="1:13">
      <c r="A2133" s="6">
        <v>2023</v>
      </c>
      <c r="B2133" s="6">
        <v>10</v>
      </c>
      <c r="C2133" s="6" t="s">
        <v>68</v>
      </c>
      <c r="D2133" s="6" t="s">
        <v>40</v>
      </c>
      <c r="E2133" s="6" t="s">
        <v>736</v>
      </c>
      <c r="F2133" s="6" t="str">
        <f>IF($M2133="PADD I","PADD 1",IF($M2133="PADD II","PADD 2",IF($M2133="PADD III","PADD 3",IF($M2133="PADD IV","PADD 4",IF($M2133="PADD V","PADD 5","")))))</f>
        <v>PADD 1</v>
      </c>
      <c r="G2133" s="6">
        <f>IF(AND($H2133="ATMOS DISTILLATION",ISNUMBER(SEARCH("VPS",$I2133))=FALSE,LEFT($I2133,6)&lt;&gt;"VACUUM"),"CDU",IF($H2133="FLUID CAT CRACKING","FCC",IF(OR($H2133="HYDROCRACKING",$H2133="RESID_HYDROCRACKING"),"Hydrocracker",IF($H2133="REFORMING","Reformer",""))))</f>
        <v/>
      </c>
      <c r="H2133" s="6" t="s">
        <v>43</v>
      </c>
      <c r="I2133" s="6" t="s">
        <v>1014</v>
      </c>
      <c r="J2133" s="6" t="s">
        <v>349</v>
      </c>
      <c r="K2133" s="10">
        <v>28</v>
      </c>
      <c r="L2133" s="10">
        <v>28</v>
      </c>
      <c r="M2133" s="6" t="s">
        <v>413</v>
      </c>
    </row>
    <row r="2134" spans="1:13">
      <c r="A2134" s="6">
        <v>2023</v>
      </c>
      <c r="B2134" s="6">
        <v>10</v>
      </c>
      <c r="C2134" s="6" t="s">
        <v>68</v>
      </c>
      <c r="D2134" s="6" t="s">
        <v>612</v>
      </c>
      <c r="E2134" s="6" t="s">
        <v>416</v>
      </c>
      <c r="F2134" s="6" t="str">
        <f>IF($M2134="PADD I","PADD 1",IF($M2134="PADD II","PADD 2",IF($M2134="PADD III","PADD 3",IF($M2134="PADD IV","PADD 4",IF($M2134="PADD V","PADD 5","")))))</f>
        <v>PADD 3</v>
      </c>
      <c r="G2134" s="6">
        <f>IF(AND($H2134="ATMOS DISTILLATION",ISNUMBER(SEARCH("VPS",$I2134))=FALSE,LEFT($I2134,6)&lt;&gt;"VACUUM"),"CDU",IF($H2134="FLUID CAT CRACKING","FCC",IF(OR($H2134="HYDROCRACKING",$H2134="RESID_HYDROCRACKING"),"Hydrocracker",IF($H2134="REFORMING","Reformer",""))))</f>
        <v/>
      </c>
      <c r="H2134" s="6" t="s">
        <v>378</v>
      </c>
      <c r="I2134" s="6" t="s">
        <v>431</v>
      </c>
      <c r="J2134" s="6" t="s">
        <v>345</v>
      </c>
      <c r="K2134" s="10">
        <v>27.296</v>
      </c>
      <c r="L2134" s="10">
        <v>85.3</v>
      </c>
      <c r="M2134" s="6" t="s">
        <v>371</v>
      </c>
    </row>
    <row r="2135" spans="1:13">
      <c r="A2135" s="6">
        <v>2023</v>
      </c>
      <c r="B2135" s="6">
        <v>10</v>
      </c>
      <c r="C2135" s="6" t="s">
        <v>68</v>
      </c>
      <c r="D2135" s="6" t="s">
        <v>531</v>
      </c>
      <c r="E2135" s="6" t="s">
        <v>532</v>
      </c>
      <c r="F2135" s="6" t="str">
        <f>IF($M2135="PADD I","PADD 1",IF($M2135="PADD II","PADD 2",IF($M2135="PADD III","PADD 3",IF($M2135="PADD IV","PADD 4",IF($M2135="PADD V","PADD 5","")))))</f>
        <v>PADD 5</v>
      </c>
      <c r="G2135" s="6">
        <f>IF(AND($H2135="ATMOS DISTILLATION",ISNUMBER(SEARCH("VPS",$I2135))=FALSE,LEFT($I2135,6)&lt;&gt;"VACUUM"),"CDU",IF($H2135="FLUID CAT CRACKING","FCC",IF(OR($H2135="HYDROCRACKING",$H2135="RESID_HYDROCRACKING"),"Hydrocracker",IF($H2135="REFORMING","Reformer",""))))</f>
        <v/>
      </c>
      <c r="H2135" s="6" t="s">
        <v>435</v>
      </c>
      <c r="I2135" s="6" t="s">
        <v>614</v>
      </c>
      <c r="J2135" s="6" t="s">
        <v>345</v>
      </c>
      <c r="K2135" s="10">
        <v>27</v>
      </c>
      <c r="L2135" s="10">
        <v>27</v>
      </c>
      <c r="M2135" s="6" t="s">
        <v>386</v>
      </c>
    </row>
    <row r="2136" spans="1:13">
      <c r="A2136" s="6">
        <v>2023</v>
      </c>
      <c r="B2136" s="6">
        <v>10</v>
      </c>
      <c r="C2136" s="6" t="s">
        <v>68</v>
      </c>
      <c r="D2136" s="6" t="s">
        <v>380</v>
      </c>
      <c r="E2136" s="6" t="s">
        <v>381</v>
      </c>
      <c r="F2136" s="6" t="str">
        <f>IF($M2136="PADD I","PADD 1",IF($M2136="PADD II","PADD 2",IF($M2136="PADD III","PADD 3",IF($M2136="PADD IV","PADD 4",IF($M2136="PADD V","PADD 5","")))))</f>
        <v>PADD 3</v>
      </c>
      <c r="G2136" s="6" t="str">
        <f>IF(AND($H2136="ATMOS DISTILLATION",ISNUMBER(SEARCH("VPS",$I2136))=FALSE,LEFT($I2136,6)&lt;&gt;"VACUUM"),"CDU",IF($H2136="FLUID CAT CRACKING","FCC",IF(OR($H2136="HYDROCRACKING",$H2136="RESID_HYDROCRACKING"),"Hydrocracker",IF($H2136="REFORMING","Reformer",""))))</f>
        <v>CDU</v>
      </c>
      <c r="H2136" s="6" t="s">
        <v>38</v>
      </c>
      <c r="I2136" s="6" t="s">
        <v>978</v>
      </c>
      <c r="J2136" s="6" t="s">
        <v>349</v>
      </c>
      <c r="K2136" s="10">
        <v>26.1</v>
      </c>
      <c r="L2136" s="10">
        <v>90</v>
      </c>
      <c r="M2136" s="6" t="s">
        <v>371</v>
      </c>
    </row>
    <row r="2137" spans="1:13">
      <c r="A2137" s="6">
        <v>2023</v>
      </c>
      <c r="B2137" s="6">
        <v>10</v>
      </c>
      <c r="C2137" s="6" t="s">
        <v>68</v>
      </c>
      <c r="D2137" s="6" t="s">
        <v>40</v>
      </c>
      <c r="E2137" s="6" t="s">
        <v>736</v>
      </c>
      <c r="F2137" s="6" t="str">
        <f>IF($M2137="PADD I","PADD 1",IF($M2137="PADD II","PADD 2",IF($M2137="PADD III","PADD 3",IF($M2137="PADD IV","PADD 4",IF($M2137="PADD V","PADD 5","")))))</f>
        <v>PADD 1</v>
      </c>
      <c r="G2137" s="6">
        <f>IF(AND($H2137="ATMOS DISTILLATION",ISNUMBER(SEARCH("VPS",$I2137))=FALSE,LEFT($I2137,6)&lt;&gt;"VACUUM"),"CDU",IF($H2137="FLUID CAT CRACKING","FCC",IF(OR($H2137="HYDROCRACKING",$H2137="RESID_HYDROCRACKING"),"Hydrocracker",IF($H2137="REFORMING","Reformer",""))))</f>
        <v/>
      </c>
      <c r="H2137" s="6" t="s">
        <v>43</v>
      </c>
      <c r="I2137" s="6" t="s">
        <v>1011</v>
      </c>
      <c r="J2137" s="6" t="s">
        <v>349</v>
      </c>
      <c r="K2137" s="10">
        <v>26</v>
      </c>
      <c r="L2137" s="10">
        <v>26</v>
      </c>
      <c r="M2137" s="6" t="s">
        <v>413</v>
      </c>
    </row>
    <row r="2138" spans="1:13">
      <c r="A2138" s="6">
        <v>2023</v>
      </c>
      <c r="B2138" s="6">
        <v>10</v>
      </c>
      <c r="C2138" s="6" t="s">
        <v>68</v>
      </c>
      <c r="D2138" s="6" t="s">
        <v>40</v>
      </c>
      <c r="E2138" s="6" t="s">
        <v>736</v>
      </c>
      <c r="F2138" s="6" t="str">
        <f>IF($M2138="PADD I","PADD 1",IF($M2138="PADD II","PADD 2",IF($M2138="PADD III","PADD 3",IF($M2138="PADD IV","PADD 4",IF($M2138="PADD V","PADD 5","")))))</f>
        <v>PADD 1</v>
      </c>
      <c r="G2138" s="6">
        <f>IF(AND($H2138="ATMOS DISTILLATION",ISNUMBER(SEARCH("VPS",$I2138))=FALSE,LEFT($I2138,6)&lt;&gt;"VACUUM"),"CDU",IF($H2138="FLUID CAT CRACKING","FCC",IF(OR($H2138="HYDROCRACKING",$H2138="RESID_HYDROCRACKING"),"Hydrocracker",IF($H2138="REFORMING","Reformer",""))))</f>
        <v/>
      </c>
      <c r="H2138" s="6" t="s">
        <v>378</v>
      </c>
      <c r="I2138" s="6" t="s">
        <v>1009</v>
      </c>
      <c r="J2138" s="6" t="s">
        <v>345</v>
      </c>
      <c r="K2138" s="10">
        <v>26</v>
      </c>
      <c r="L2138" s="10">
        <v>26</v>
      </c>
      <c r="M2138" s="6" t="s">
        <v>413</v>
      </c>
    </row>
    <row r="2139" spans="1:13">
      <c r="A2139" s="6">
        <v>2023</v>
      </c>
      <c r="B2139" s="6">
        <v>10</v>
      </c>
      <c r="C2139" s="6" t="s">
        <v>68</v>
      </c>
      <c r="D2139" s="6" t="s">
        <v>602</v>
      </c>
      <c r="E2139" s="6" t="s">
        <v>369</v>
      </c>
      <c r="F2139" s="6" t="str">
        <f>IF($M2139="PADD I","PADD 1",IF($M2139="PADD II","PADD 2",IF($M2139="PADD III","PADD 3",IF($M2139="PADD IV","PADD 4",IF($M2139="PADD V","PADD 5","")))))</f>
        <v>PADD 2</v>
      </c>
      <c r="G2139" s="6">
        <f>IF(AND($H2139="ATMOS DISTILLATION",ISNUMBER(SEARCH("VPS",$I2139))=FALSE,LEFT($I2139,6)&lt;&gt;"VACUUM"),"CDU",IF($H2139="FLUID CAT CRACKING","FCC",IF(OR($H2139="HYDROCRACKING",$H2139="RESID_HYDROCRACKING"),"Hydrocracker",IF($H2139="REFORMING","Reformer",""))))</f>
        <v/>
      </c>
      <c r="H2139" s="6" t="s">
        <v>43</v>
      </c>
      <c r="I2139" s="6" t="s">
        <v>1001</v>
      </c>
      <c r="J2139" s="6" t="s">
        <v>349</v>
      </c>
      <c r="K2139" s="10">
        <v>25</v>
      </c>
      <c r="L2139" s="10">
        <v>25</v>
      </c>
      <c r="M2139" s="6" t="s">
        <v>375</v>
      </c>
    </row>
    <row r="2140" spans="1:13">
      <c r="A2140" s="6">
        <v>2023</v>
      </c>
      <c r="B2140" s="6">
        <v>10</v>
      </c>
      <c r="C2140" s="6" t="s">
        <v>68</v>
      </c>
      <c r="D2140" s="6" t="s">
        <v>468</v>
      </c>
      <c r="E2140" s="6" t="s">
        <v>369</v>
      </c>
      <c r="F2140" s="6" t="str">
        <f>IF($M2140="PADD I","PADD 1",IF($M2140="PADD II","PADD 2",IF($M2140="PADD III","PADD 3",IF($M2140="PADD IV","PADD 4",IF($M2140="PADD V","PADD 5","")))))</f>
        <v>PADD 3</v>
      </c>
      <c r="G2140" s="6">
        <f>IF(AND($H2140="ATMOS DISTILLATION",ISNUMBER(SEARCH("VPS",$I2140))=FALSE,LEFT($I2140,6)&lt;&gt;"VACUUM"),"CDU",IF($H2140="FLUID CAT CRACKING","FCC",IF(OR($H2140="HYDROCRACKING",$H2140="RESID_HYDROCRACKING"),"Hydrocracker",IF($H2140="REFORMING","Reformer",""))))</f>
        <v/>
      </c>
      <c r="H2140" s="6" t="s">
        <v>435</v>
      </c>
      <c r="I2140" s="6" t="s">
        <v>939</v>
      </c>
      <c r="J2140" s="6" t="s">
        <v>345</v>
      </c>
      <c r="K2140" s="10">
        <v>24.36</v>
      </c>
      <c r="L2140" s="10">
        <v>28</v>
      </c>
      <c r="M2140" s="6" t="s">
        <v>371</v>
      </c>
    </row>
    <row r="2141" spans="1:13">
      <c r="A2141" s="6">
        <v>2023</v>
      </c>
      <c r="B2141" s="6">
        <v>10</v>
      </c>
      <c r="C2141" s="6" t="s">
        <v>68</v>
      </c>
      <c r="D2141" s="6" t="s">
        <v>40</v>
      </c>
      <c r="E2141" s="6" t="s">
        <v>736</v>
      </c>
      <c r="F2141" s="6" t="str">
        <f>IF($M2141="PADD I","PADD 1",IF($M2141="PADD II","PADD 2",IF($M2141="PADD III","PADD 3",IF($M2141="PADD IV","PADD 4",IF($M2141="PADD V","PADD 5","")))))</f>
        <v>PADD 1</v>
      </c>
      <c r="G2141" s="6">
        <f>IF(AND($H2141="ATMOS DISTILLATION",ISNUMBER(SEARCH("VPS",$I2141))=FALSE,LEFT($I2141,6)&lt;&gt;"VACUUM"),"CDU",IF($H2141="FLUID CAT CRACKING","FCC",IF(OR($H2141="HYDROCRACKING",$H2141="RESID_HYDROCRACKING"),"Hydrocracker",IF($H2141="REFORMING","Reformer",""))))</f>
        <v/>
      </c>
      <c r="H2141" s="6" t="s">
        <v>378</v>
      </c>
      <c r="I2141" s="6" t="s">
        <v>963</v>
      </c>
      <c r="J2141" s="6" t="s">
        <v>349</v>
      </c>
      <c r="K2141" s="10">
        <v>24.33</v>
      </c>
      <c r="L2141" s="10">
        <v>24.33</v>
      </c>
      <c r="M2141" s="6" t="s">
        <v>413</v>
      </c>
    </row>
    <row r="2142" spans="1:13">
      <c r="A2142" s="6">
        <v>2023</v>
      </c>
      <c r="B2142" s="6">
        <v>10</v>
      </c>
      <c r="C2142" s="6" t="s">
        <v>68</v>
      </c>
      <c r="D2142" s="6" t="s">
        <v>40</v>
      </c>
      <c r="E2142" s="6" t="s">
        <v>736</v>
      </c>
      <c r="F2142" s="6" t="str">
        <f>IF($M2142="PADD I","PADD 1",IF($M2142="PADD II","PADD 2",IF($M2142="PADD III","PADD 3",IF($M2142="PADD IV","PADD 4",IF($M2142="PADD V","PADD 5","")))))</f>
        <v>PADD 1</v>
      </c>
      <c r="G2142" s="6">
        <f>IF(AND($H2142="ATMOS DISTILLATION",ISNUMBER(SEARCH("VPS",$I2142))=FALSE,LEFT($I2142,6)&lt;&gt;"VACUUM"),"CDU",IF($H2142="FLUID CAT CRACKING","FCC",IF(OR($H2142="HYDROCRACKING",$H2142="RESID_HYDROCRACKING"),"Hydrocracker",IF($H2142="REFORMING","Reformer",""))))</f>
        <v/>
      </c>
      <c r="H2142" s="6" t="s">
        <v>378</v>
      </c>
      <c r="I2142" s="6" t="s">
        <v>1010</v>
      </c>
      <c r="J2142" s="6" t="s">
        <v>349</v>
      </c>
      <c r="K2142" s="10">
        <v>24.33</v>
      </c>
      <c r="L2142" s="10">
        <v>24.33</v>
      </c>
      <c r="M2142" s="6" t="s">
        <v>413</v>
      </c>
    </row>
    <row r="2143" spans="1:13">
      <c r="A2143" s="6">
        <v>2023</v>
      </c>
      <c r="B2143" s="6">
        <v>10</v>
      </c>
      <c r="C2143" s="6" t="s">
        <v>68</v>
      </c>
      <c r="D2143" s="6" t="s">
        <v>40</v>
      </c>
      <c r="E2143" s="6" t="s">
        <v>736</v>
      </c>
      <c r="F2143" s="6" t="str">
        <f>IF($M2143="PADD I","PADD 1",IF($M2143="PADD II","PADD 2",IF($M2143="PADD III","PADD 3",IF($M2143="PADD IV","PADD 4",IF($M2143="PADD V","PADD 5","")))))</f>
        <v>PADD 1</v>
      </c>
      <c r="G2143" s="6">
        <f>IF(AND($H2143="ATMOS DISTILLATION",ISNUMBER(SEARCH("VPS",$I2143))=FALSE,LEFT($I2143,6)&lt;&gt;"VACUUM"),"CDU",IF($H2143="FLUID CAT CRACKING","FCC",IF(OR($H2143="HYDROCRACKING",$H2143="RESID_HYDROCRACKING"),"Hydrocracker",IF($H2143="REFORMING","Reformer",""))))</f>
        <v/>
      </c>
      <c r="H2143" s="6" t="s">
        <v>378</v>
      </c>
      <c r="I2143" s="6" t="s">
        <v>1009</v>
      </c>
      <c r="J2143" s="6" t="s">
        <v>349</v>
      </c>
      <c r="K2143" s="10">
        <v>24.33</v>
      </c>
      <c r="L2143" s="10">
        <v>24.33</v>
      </c>
      <c r="M2143" s="6" t="s">
        <v>413</v>
      </c>
    </row>
    <row r="2144" spans="1:13">
      <c r="A2144" s="6">
        <v>2023</v>
      </c>
      <c r="B2144" s="6">
        <v>10</v>
      </c>
      <c r="C2144" s="6" t="s">
        <v>68</v>
      </c>
      <c r="D2144" s="6" t="s">
        <v>602</v>
      </c>
      <c r="E2144" s="6" t="s">
        <v>369</v>
      </c>
      <c r="F2144" s="6" t="str">
        <f>IF($M2144="PADD I","PADD 1",IF($M2144="PADD II","PADD 2",IF($M2144="PADD III","PADD 3",IF($M2144="PADD IV","PADD 4",IF($M2144="PADD V","PADD 5","")))))</f>
        <v>PADD 2</v>
      </c>
      <c r="G2144" s="6">
        <f>IF(AND($H2144="ATMOS DISTILLATION",ISNUMBER(SEARCH("VPS",$I2144))=FALSE,LEFT($I2144,6)&lt;&gt;"VACUUM"),"CDU",IF($H2144="FLUID CAT CRACKING","FCC",IF(OR($H2144="HYDROCRACKING",$H2144="RESID_HYDROCRACKING"),"Hydrocracker",IF($H2144="REFORMING","Reformer",""))))</f>
        <v/>
      </c>
      <c r="H2144" s="6" t="s">
        <v>43</v>
      </c>
      <c r="I2144" s="6" t="s">
        <v>1002</v>
      </c>
      <c r="J2144" s="6" t="s">
        <v>349</v>
      </c>
      <c r="K2144" s="10">
        <v>24</v>
      </c>
      <c r="L2144" s="10">
        <v>24</v>
      </c>
      <c r="M2144" s="6" t="s">
        <v>375</v>
      </c>
    </row>
    <row r="2145" spans="1:13">
      <c r="A2145" s="6">
        <v>2023</v>
      </c>
      <c r="B2145" s="6">
        <v>10</v>
      </c>
      <c r="C2145" s="6" t="s">
        <v>68</v>
      </c>
      <c r="D2145" s="6" t="s">
        <v>887</v>
      </c>
      <c r="E2145" s="6" t="s">
        <v>405</v>
      </c>
      <c r="F2145" s="6" t="str">
        <f>IF($M2145="PADD I","PADD 1",IF($M2145="PADD II","PADD 2",IF($M2145="PADD III","PADD 3",IF($M2145="PADD IV","PADD 4",IF($M2145="PADD V","PADD 5","")))))</f>
        <v>PADD 3</v>
      </c>
      <c r="G2145" s="6" t="str">
        <f>IF(AND($H2145="ATMOS DISTILLATION",ISNUMBER(SEARCH("VPS",$I2145))=FALSE,LEFT($I2145,6)&lt;&gt;"VACUUM"),"CDU",IF($H2145="FLUID CAT CRACKING","FCC",IF(OR($H2145="HYDROCRACKING",$H2145="RESID_HYDROCRACKING"),"Hydrocracker",IF($H2145="REFORMING","Reformer",""))))</f>
        <v>FCC</v>
      </c>
      <c r="H2145" s="6" t="s">
        <v>376</v>
      </c>
      <c r="I2145" s="6" t="s">
        <v>806</v>
      </c>
      <c r="J2145" s="6" t="s">
        <v>349</v>
      </c>
      <c r="K2145" s="10">
        <v>24</v>
      </c>
      <c r="L2145" s="10">
        <v>24</v>
      </c>
      <c r="M2145" s="6" t="s">
        <v>371</v>
      </c>
    </row>
    <row r="2146" spans="1:13">
      <c r="A2146" s="6">
        <v>2023</v>
      </c>
      <c r="B2146" s="6">
        <v>10</v>
      </c>
      <c r="C2146" s="6" t="s">
        <v>68</v>
      </c>
      <c r="D2146" s="6" t="s">
        <v>531</v>
      </c>
      <c r="E2146" s="6" t="s">
        <v>532</v>
      </c>
      <c r="F2146" s="6" t="str">
        <f>IF($M2146="PADD I","PADD 1",IF($M2146="PADD II","PADD 2",IF($M2146="PADD III","PADD 3",IF($M2146="PADD IV","PADD 4",IF($M2146="PADD V","PADD 5","")))))</f>
        <v>PADD 5</v>
      </c>
      <c r="G2146" s="6" t="str">
        <f>IF(AND($H2146="ATMOS DISTILLATION",ISNUMBER(SEARCH("VPS",$I2146))=FALSE,LEFT($I2146,6)&lt;&gt;"VACUUM"),"CDU",IF($H2146="FLUID CAT CRACKING","FCC",IF(OR($H2146="HYDROCRACKING",$H2146="RESID_HYDROCRACKING"),"Hydrocracker",IF($H2146="REFORMING","Reformer",""))))</f>
        <v>Hydrocracker</v>
      </c>
      <c r="H2146" s="6" t="s">
        <v>444</v>
      </c>
      <c r="I2146" s="6" t="s">
        <v>14</v>
      </c>
      <c r="J2146" s="6" t="s">
        <v>345</v>
      </c>
      <c r="K2146" s="10">
        <v>24</v>
      </c>
      <c r="L2146" s="10">
        <v>24</v>
      </c>
      <c r="M2146" s="6" t="s">
        <v>386</v>
      </c>
    </row>
    <row r="2147" spans="1:13">
      <c r="A2147" s="6">
        <v>2023</v>
      </c>
      <c r="B2147" s="6">
        <v>10</v>
      </c>
      <c r="C2147" s="6" t="s">
        <v>68</v>
      </c>
      <c r="D2147" s="6" t="s">
        <v>408</v>
      </c>
      <c r="E2147" s="6" t="s">
        <v>409</v>
      </c>
      <c r="F2147" s="6" t="str">
        <f>IF($M2147="PADD I","PADD 1",IF($M2147="PADD II","PADD 2",IF($M2147="PADD III","PADD 3",IF($M2147="PADD IV","PADD 4",IF($M2147="PADD V","PADD 5","")))))</f>
        <v>PADD 3</v>
      </c>
      <c r="G2147" s="6" t="str">
        <f>IF(AND($H2147="ATMOS DISTILLATION",ISNUMBER(SEARCH("VPS",$I2147))=FALSE,LEFT($I2147,6)&lt;&gt;"VACUUM"),"CDU",IF($H2147="FLUID CAT CRACKING","FCC",IF(OR($H2147="HYDROCRACKING",$H2147="RESID_HYDROCRACKING"),"Hydrocracker",IF($H2147="REFORMING","Reformer",""))))</f>
        <v>CDU</v>
      </c>
      <c r="H2147" s="6" t="s">
        <v>38</v>
      </c>
      <c r="I2147" s="6" t="s">
        <v>522</v>
      </c>
      <c r="J2147" s="6" t="s">
        <v>349</v>
      </c>
      <c r="K2147" s="10">
        <v>23.2</v>
      </c>
      <c r="L2147" s="10">
        <v>40</v>
      </c>
      <c r="M2147" s="6" t="s">
        <v>371</v>
      </c>
    </row>
    <row r="2148" spans="1:13">
      <c r="A2148" s="6">
        <v>2023</v>
      </c>
      <c r="B2148" s="6">
        <v>10</v>
      </c>
      <c r="C2148" s="6" t="s">
        <v>68</v>
      </c>
      <c r="D2148" s="6" t="s">
        <v>40</v>
      </c>
      <c r="E2148" s="6" t="s">
        <v>736</v>
      </c>
      <c r="F2148" s="6" t="str">
        <f>IF($M2148="PADD I","PADD 1",IF($M2148="PADD II","PADD 2",IF($M2148="PADD III","PADD 3",IF($M2148="PADD IV","PADD 4",IF($M2148="PADD V","PADD 5","")))))</f>
        <v>PADD 1</v>
      </c>
      <c r="G2148" s="6" t="str">
        <f>IF(AND($H2148="ATMOS DISTILLATION",ISNUMBER(SEARCH("VPS",$I2148))=FALSE,LEFT($I2148,6)&lt;&gt;"VACUUM"),"CDU",IF($H2148="FLUID CAT CRACKING","FCC",IF(OR($H2148="HYDROCRACKING",$H2148="RESID_HYDROCRACKING"),"Hydrocracker",IF($H2148="REFORMING","Reformer",""))))</f>
        <v>Hydrocracker</v>
      </c>
      <c r="H2148" s="6" t="s">
        <v>444</v>
      </c>
      <c r="I2148" s="6" t="s">
        <v>445</v>
      </c>
      <c r="J2148" s="6" t="s">
        <v>345</v>
      </c>
      <c r="K2148" s="10">
        <v>23</v>
      </c>
      <c r="L2148" s="10">
        <v>23</v>
      </c>
      <c r="M2148" s="6" t="s">
        <v>413</v>
      </c>
    </row>
    <row r="2149" spans="1:13">
      <c r="A2149" s="6">
        <v>2023</v>
      </c>
      <c r="B2149" s="6">
        <v>10</v>
      </c>
      <c r="C2149" s="6" t="s">
        <v>68</v>
      </c>
      <c r="D2149" s="6" t="s">
        <v>887</v>
      </c>
      <c r="E2149" s="6" t="s">
        <v>405</v>
      </c>
      <c r="F2149" s="6" t="str">
        <f>IF($M2149="PADD I","PADD 1",IF($M2149="PADD II","PADD 2",IF($M2149="PADD III","PADD 3",IF($M2149="PADD IV","PADD 4",IF($M2149="PADD V","PADD 5","")))))</f>
        <v>PADD 3</v>
      </c>
      <c r="G2149" s="6" t="str">
        <f>IF(AND($H2149="ATMOS DISTILLATION",ISNUMBER(SEARCH("VPS",$I2149))=FALSE,LEFT($I2149,6)&lt;&gt;"VACUUM"),"CDU",IF($H2149="FLUID CAT CRACKING","FCC",IF(OR($H2149="HYDROCRACKING",$H2149="RESID_HYDROCRACKING"),"Hydrocracker",IF($H2149="REFORMING","Reformer",""))))</f>
        <v>Reformer</v>
      </c>
      <c r="H2149" s="6" t="s">
        <v>421</v>
      </c>
      <c r="I2149" s="6" t="s">
        <v>539</v>
      </c>
      <c r="J2149" s="6" t="s">
        <v>345</v>
      </c>
      <c r="K2149" s="10">
        <v>23</v>
      </c>
      <c r="L2149" s="10">
        <v>23</v>
      </c>
      <c r="M2149" s="6" t="s">
        <v>371</v>
      </c>
    </row>
    <row r="2150" spans="1:13">
      <c r="A2150" s="6">
        <v>2023</v>
      </c>
      <c r="B2150" s="6">
        <v>10</v>
      </c>
      <c r="C2150" s="6" t="s">
        <v>68</v>
      </c>
      <c r="D2150" s="6" t="s">
        <v>434</v>
      </c>
      <c r="E2150" s="6" t="s">
        <v>388</v>
      </c>
      <c r="F2150" s="6" t="str">
        <f>IF($M2150="PADD I","PADD 1",IF($M2150="PADD II","PADD 2",IF($M2150="PADD III","PADD 3",IF($M2150="PADD IV","PADD 4",IF($M2150="PADD V","PADD 5","")))))</f>
        <v>PADD 5</v>
      </c>
      <c r="G2150" s="6" t="str">
        <f>IF(AND($H2150="ATMOS DISTILLATION",ISNUMBER(SEARCH("VPS",$I2150))=FALSE,LEFT($I2150,6)&lt;&gt;"VACUUM"),"CDU",IF($H2150="FLUID CAT CRACKING","FCC",IF(OR($H2150="HYDROCRACKING",$H2150="RESID_HYDROCRACKING"),"Hydrocracker",IF($H2150="REFORMING","Reformer",""))))</f>
        <v>Hydrocracker</v>
      </c>
      <c r="H2150" s="6" t="s">
        <v>444</v>
      </c>
      <c r="I2150" s="6" t="s">
        <v>14</v>
      </c>
      <c r="J2150" s="6" t="s">
        <v>345</v>
      </c>
      <c r="K2150" s="10">
        <v>22.72</v>
      </c>
      <c r="L2150" s="10">
        <v>32</v>
      </c>
      <c r="M2150" s="6" t="s">
        <v>386</v>
      </c>
    </row>
    <row r="2151" spans="1:13">
      <c r="A2151" s="6">
        <v>2023</v>
      </c>
      <c r="B2151" s="6">
        <v>10</v>
      </c>
      <c r="C2151" s="6" t="s">
        <v>68</v>
      </c>
      <c r="D2151" s="6" t="s">
        <v>1043</v>
      </c>
      <c r="E2151" s="6" t="s">
        <v>388</v>
      </c>
      <c r="F2151" s="6" t="str">
        <f>IF($M2151="PADD I","PADD 1",IF($M2151="PADD II","PADD 2",IF($M2151="PADD III","PADD 3",IF($M2151="PADD IV","PADD 4",IF($M2151="PADD V","PADD 5","")))))</f>
        <v>PADD 2</v>
      </c>
      <c r="G2151" s="6" t="str">
        <f>IF(AND($H2151="ATMOS DISTILLATION",ISNUMBER(SEARCH("VPS",$I2151))=FALSE,LEFT($I2151,6)&lt;&gt;"VACUUM"),"CDU",IF($H2151="FLUID CAT CRACKING","FCC",IF(OR($H2151="HYDROCRACKING",$H2151="RESID_HYDROCRACKING"),"Hydrocracker",IF($H2151="REFORMING","Reformer",""))))</f>
        <v>CDU</v>
      </c>
      <c r="H2151" s="6" t="s">
        <v>38</v>
      </c>
      <c r="I2151" s="6" t="s">
        <v>879</v>
      </c>
      <c r="J2151" s="6" t="s">
        <v>345</v>
      </c>
      <c r="K2151" s="10">
        <v>22.04</v>
      </c>
      <c r="L2151" s="10">
        <v>76</v>
      </c>
      <c r="M2151" s="6" t="s">
        <v>375</v>
      </c>
    </row>
    <row r="2152" spans="1:13">
      <c r="A2152" s="6">
        <v>2023</v>
      </c>
      <c r="B2152" s="6">
        <v>10</v>
      </c>
      <c r="C2152" s="6" t="s">
        <v>68</v>
      </c>
      <c r="D2152" s="6" t="s">
        <v>531</v>
      </c>
      <c r="E2152" s="6" t="s">
        <v>532</v>
      </c>
      <c r="F2152" s="6" t="str">
        <f>IF($M2152="PADD I","PADD 1",IF($M2152="PADD II","PADD 2",IF($M2152="PADD III","PADD 3",IF($M2152="PADD IV","PADD 4",IF($M2152="PADD V","PADD 5","")))))</f>
        <v>PADD 5</v>
      </c>
      <c r="G2152" s="6">
        <f>IF(AND($H2152="ATMOS DISTILLATION",ISNUMBER(SEARCH("VPS",$I2152))=FALSE,LEFT($I2152,6)&lt;&gt;"VACUUM"),"CDU",IF($H2152="FLUID CAT CRACKING","FCC",IF(OR($H2152="HYDROCRACKING",$H2152="RESID_HYDROCRACKING"),"Hydrocracker",IF($H2152="REFORMING","Reformer",""))))</f>
        <v/>
      </c>
      <c r="H2152" s="6" t="s">
        <v>460</v>
      </c>
      <c r="I2152" s="6" t="s">
        <v>616</v>
      </c>
      <c r="J2152" s="6" t="s">
        <v>345</v>
      </c>
      <c r="K2152" s="10">
        <v>22</v>
      </c>
      <c r="L2152" s="10">
        <v>22</v>
      </c>
      <c r="M2152" s="6" t="s">
        <v>386</v>
      </c>
    </row>
    <row r="2153" spans="1:13">
      <c r="A2153" s="6">
        <v>2023</v>
      </c>
      <c r="B2153" s="6">
        <v>10</v>
      </c>
      <c r="C2153" s="6" t="s">
        <v>68</v>
      </c>
      <c r="D2153" s="6" t="s">
        <v>319</v>
      </c>
      <c r="E2153" s="6" t="s">
        <v>665</v>
      </c>
      <c r="F2153" s="6" t="str">
        <f>IF($M2153="PADD I","PADD 1",IF($M2153="PADD II","PADD 2",IF($M2153="PADD III","PADD 3",IF($M2153="PADD IV","PADD 4",IF($M2153="PADD V","PADD 5","")))))</f>
        <v>PADD 3</v>
      </c>
      <c r="G2153" s="6">
        <f>IF(AND($H2153="ATMOS DISTILLATION",ISNUMBER(SEARCH("VPS",$I2153))=FALSE,LEFT($I2153,6)&lt;&gt;"VACUUM"),"CDU",IF($H2153="FLUID CAT CRACKING","FCC",IF(OR($H2153="HYDROCRACKING",$H2153="RESID_HYDROCRACKING"),"Hydrocracker",IF($H2153="REFORMING","Reformer",""))))</f>
        <v/>
      </c>
      <c r="H2153" s="6" t="s">
        <v>435</v>
      </c>
      <c r="I2153" s="6" t="s">
        <v>441</v>
      </c>
      <c r="J2153" s="6" t="s">
        <v>345</v>
      </c>
      <c r="K2153" s="10">
        <v>21.38</v>
      </c>
      <c r="L2153" s="10">
        <v>21.38</v>
      </c>
      <c r="M2153" s="6" t="s">
        <v>371</v>
      </c>
    </row>
    <row r="2154" spans="1:13">
      <c r="A2154" s="6">
        <v>2023</v>
      </c>
      <c r="B2154" s="6">
        <v>10</v>
      </c>
      <c r="C2154" s="6" t="s">
        <v>68</v>
      </c>
      <c r="D2154" s="6" t="s">
        <v>324</v>
      </c>
      <c r="E2154" s="6" t="s">
        <v>388</v>
      </c>
      <c r="F2154" s="6" t="str">
        <f>IF($M2154="PADD I","PADD 1",IF($M2154="PADD II","PADD 2",IF($M2154="PADD III","PADD 3",IF($M2154="PADD IV","PADD 4",IF($M2154="PADD V","PADD 5","")))))</f>
        <v>PADD 3</v>
      </c>
      <c r="G2154" s="6">
        <f>IF(AND($H2154="ATMOS DISTILLATION",ISNUMBER(SEARCH("VPS",$I2154))=FALSE,LEFT($I2154,6)&lt;&gt;"VACUUM"),"CDU",IF($H2154="FLUID CAT CRACKING","FCC",IF(OR($H2154="HYDROCRACKING",$H2154="RESID_HYDROCRACKING"),"Hydrocracker",IF($H2154="REFORMING","Reformer",""))))</f>
        <v/>
      </c>
      <c r="H2154" s="6" t="s">
        <v>43</v>
      </c>
      <c r="I2154" s="6" t="s">
        <v>693</v>
      </c>
      <c r="J2154" s="6" t="s">
        <v>345</v>
      </c>
      <c r="K2154" s="10">
        <v>21.06</v>
      </c>
      <c r="L2154" s="10">
        <v>40.5</v>
      </c>
      <c r="M2154" s="6" t="s">
        <v>371</v>
      </c>
    </row>
    <row r="2155" spans="1:13">
      <c r="A2155" s="6">
        <v>2023</v>
      </c>
      <c r="B2155" s="6">
        <v>10</v>
      </c>
      <c r="C2155" s="6" t="s">
        <v>68</v>
      </c>
      <c r="D2155" s="6" t="s">
        <v>395</v>
      </c>
      <c r="E2155" s="6" t="s">
        <v>396</v>
      </c>
      <c r="F2155" s="6" t="str">
        <f>IF($M2155="PADD I","PADD 1",IF($M2155="PADD II","PADD 2",IF($M2155="PADD III","PADD 3",IF($M2155="PADD IV","PADD 4",IF($M2155="PADD V","PADD 5","")))))</f>
        <v>PADD 3</v>
      </c>
      <c r="G2155" s="6">
        <f>IF(AND($H2155="ATMOS DISTILLATION",ISNUMBER(SEARCH("VPS",$I2155))=FALSE,LEFT($I2155,6)&lt;&gt;"VACUUM"),"CDU",IF($H2155="FLUID CAT CRACKING","FCC",IF(OR($H2155="HYDROCRACKING",$H2155="RESID_HYDROCRACKING"),"Hydrocracker",IF($H2155="REFORMING","Reformer",""))))</f>
        <v/>
      </c>
      <c r="H2155" s="6" t="s">
        <v>43</v>
      </c>
      <c r="I2155" s="6" t="s">
        <v>499</v>
      </c>
      <c r="J2155" s="6" t="s">
        <v>345</v>
      </c>
      <c r="K2155" s="10">
        <v>20.88</v>
      </c>
      <c r="L2155" s="10">
        <v>72</v>
      </c>
      <c r="M2155" s="6" t="s">
        <v>371</v>
      </c>
    </row>
    <row r="2156" spans="1:13">
      <c r="A2156" s="6">
        <v>2023</v>
      </c>
      <c r="B2156" s="6">
        <v>10</v>
      </c>
      <c r="C2156" s="6" t="s">
        <v>68</v>
      </c>
      <c r="D2156" s="6" t="s">
        <v>468</v>
      </c>
      <c r="E2156" s="6" t="s">
        <v>369</v>
      </c>
      <c r="F2156" s="6" t="str">
        <f>IF($M2156="PADD I","PADD 1",IF($M2156="PADD II","PADD 2",IF($M2156="PADD III","PADD 3",IF($M2156="PADD IV","PADD 4",IF($M2156="PADD V","PADD 5","")))))</f>
        <v>PADD 3</v>
      </c>
      <c r="G2156" s="6" t="str">
        <f>IF(AND($H2156="ATMOS DISTILLATION",ISNUMBER(SEARCH("VPS",$I2156))=FALSE,LEFT($I2156,6)&lt;&gt;"VACUUM"),"CDU",IF($H2156="FLUID CAT CRACKING","FCC",IF(OR($H2156="HYDROCRACKING",$H2156="RESID_HYDROCRACKING"),"Hydrocracker",IF($H2156="REFORMING","Reformer",""))))</f>
        <v>FCC</v>
      </c>
      <c r="H2156" s="6" t="s">
        <v>376</v>
      </c>
      <c r="I2156" s="6" t="s">
        <v>469</v>
      </c>
      <c r="J2156" s="6" t="s">
        <v>349</v>
      </c>
      <c r="K2156" s="10">
        <v>20.4</v>
      </c>
      <c r="L2156" s="10">
        <v>30</v>
      </c>
      <c r="M2156" s="6" t="s">
        <v>371</v>
      </c>
    </row>
    <row r="2157" spans="1:13">
      <c r="A2157" s="6">
        <v>2023</v>
      </c>
      <c r="B2157" s="6">
        <v>10</v>
      </c>
      <c r="C2157" s="6" t="s">
        <v>68</v>
      </c>
      <c r="D2157" s="6" t="s">
        <v>326</v>
      </c>
      <c r="E2157" s="6" t="s">
        <v>385</v>
      </c>
      <c r="F2157" s="6" t="str">
        <f>IF($M2157="PADD I","PADD 1",IF($M2157="PADD II","PADD 2",IF($M2157="PADD III","PADD 3",IF($M2157="PADD IV","PADD 4",IF($M2157="PADD V","PADD 5","")))))</f>
        <v>PADD 5</v>
      </c>
      <c r="G2157" s="6">
        <f>IF(AND($H2157="ATMOS DISTILLATION",ISNUMBER(SEARCH("VPS",$I2157))=FALSE,LEFT($I2157,6)&lt;&gt;"VACUUM"),"CDU",IF($H2157="FLUID CAT CRACKING","FCC",IF(OR($H2157="HYDROCRACKING",$H2157="RESID_HYDROCRACKING"),"Hydrocracker",IF($H2157="REFORMING","Reformer",""))))</f>
        <v/>
      </c>
      <c r="H2157" s="6" t="s">
        <v>435</v>
      </c>
      <c r="I2157" s="6" t="s">
        <v>441</v>
      </c>
      <c r="J2157" s="6" t="s">
        <v>345</v>
      </c>
      <c r="K2157" s="10">
        <v>20.25</v>
      </c>
      <c r="L2157" s="10">
        <v>22.5</v>
      </c>
      <c r="M2157" s="6" t="s">
        <v>386</v>
      </c>
    </row>
    <row r="2158" spans="1:13">
      <c r="A2158" s="6">
        <v>2023</v>
      </c>
      <c r="B2158" s="6">
        <v>10</v>
      </c>
      <c r="C2158" s="6" t="s">
        <v>68</v>
      </c>
      <c r="D2158" s="6" t="s">
        <v>887</v>
      </c>
      <c r="E2158" s="6" t="s">
        <v>405</v>
      </c>
      <c r="F2158" s="6" t="str">
        <f>IF($M2158="PADD I","PADD 1",IF($M2158="PADD II","PADD 2",IF($M2158="PADD III","PADD 3",IF($M2158="PADD IV","PADD 4",IF($M2158="PADD V","PADD 5","")))))</f>
        <v>PADD 3</v>
      </c>
      <c r="G2158" s="6">
        <f>IF(AND($H2158="ATMOS DISTILLATION",ISNUMBER(SEARCH("VPS",$I2158))=FALSE,LEFT($I2158,6)&lt;&gt;"VACUUM"),"CDU",IF($H2158="FLUID CAT CRACKING","FCC",IF(OR($H2158="HYDROCRACKING",$H2158="RESID_HYDROCRACKING"),"Hydrocracker",IF($H2158="REFORMING","Reformer",""))))</f>
        <v/>
      </c>
      <c r="H2158" s="6" t="s">
        <v>43</v>
      </c>
      <c r="I2158" s="6" t="s">
        <v>918</v>
      </c>
      <c r="J2158" s="6" t="s">
        <v>349</v>
      </c>
      <c r="K2158" s="10">
        <v>20</v>
      </c>
      <c r="L2158" s="10">
        <v>20</v>
      </c>
      <c r="M2158" s="6" t="s">
        <v>371</v>
      </c>
    </row>
    <row r="2159" spans="1:13">
      <c r="A2159" s="6">
        <v>2023</v>
      </c>
      <c r="B2159" s="6">
        <v>10</v>
      </c>
      <c r="C2159" s="6" t="s">
        <v>68</v>
      </c>
      <c r="D2159" s="6" t="s">
        <v>468</v>
      </c>
      <c r="E2159" s="6" t="s">
        <v>369</v>
      </c>
      <c r="F2159" s="6" t="str">
        <f>IF($M2159="PADD I","PADD 1",IF($M2159="PADD II","PADD 2",IF($M2159="PADD III","PADD 3",IF($M2159="PADD IV","PADD 4",IF($M2159="PADD V","PADD 5","")))))</f>
        <v>PADD 3</v>
      </c>
      <c r="G2159" s="6">
        <f>IF(AND($H2159="ATMOS DISTILLATION",ISNUMBER(SEARCH("VPS",$I2159))=FALSE,LEFT($I2159,6)&lt;&gt;"VACUUM"),"CDU",IF($H2159="FLUID CAT CRACKING","FCC",IF(OR($H2159="HYDROCRACKING",$H2159="RESID_HYDROCRACKING"),"Hydrocracker",IF($H2159="REFORMING","Reformer",""))))</f>
        <v/>
      </c>
      <c r="H2159" s="6" t="s">
        <v>43</v>
      </c>
      <c r="I2159" s="6" t="s">
        <v>1030</v>
      </c>
      <c r="J2159" s="6" t="s">
        <v>349</v>
      </c>
      <c r="K2159" s="10">
        <v>20</v>
      </c>
      <c r="L2159" s="10">
        <v>20</v>
      </c>
      <c r="M2159" s="6" t="s">
        <v>371</v>
      </c>
    </row>
    <row r="2160" spans="1:13">
      <c r="A2160" s="6">
        <v>2023</v>
      </c>
      <c r="B2160" s="6">
        <v>10</v>
      </c>
      <c r="C2160" s="6" t="s">
        <v>68</v>
      </c>
      <c r="D2160" s="6" t="s">
        <v>468</v>
      </c>
      <c r="E2160" s="6" t="s">
        <v>369</v>
      </c>
      <c r="F2160" s="6" t="str">
        <f>IF($M2160="PADD I","PADD 1",IF($M2160="PADD II","PADD 2",IF($M2160="PADD III","PADD 3",IF($M2160="PADD IV","PADD 4",IF($M2160="PADD V","PADD 5","")))))</f>
        <v>PADD 3</v>
      </c>
      <c r="G2160" s="6" t="str">
        <f>IF(AND($H2160="ATMOS DISTILLATION",ISNUMBER(SEARCH("VPS",$I2160))=FALSE,LEFT($I2160,6)&lt;&gt;"VACUUM"),"CDU",IF($H2160="FLUID CAT CRACKING","FCC",IF(OR($H2160="HYDROCRACKING",$H2160="RESID_HYDROCRACKING"),"Hydrocracker",IF($H2160="REFORMING","Reformer",""))))</f>
        <v>Reformer</v>
      </c>
      <c r="H2160" s="6" t="s">
        <v>421</v>
      </c>
      <c r="I2160" s="6" t="s">
        <v>858</v>
      </c>
      <c r="J2160" s="6" t="s">
        <v>349</v>
      </c>
      <c r="K2160" s="10">
        <v>20</v>
      </c>
      <c r="L2160" s="10">
        <v>20</v>
      </c>
      <c r="M2160" s="6" t="s">
        <v>371</v>
      </c>
    </row>
    <row r="2161" spans="1:13">
      <c r="A2161" s="6">
        <v>2023</v>
      </c>
      <c r="B2161" s="6">
        <v>10</v>
      </c>
      <c r="C2161" s="6" t="s">
        <v>68</v>
      </c>
      <c r="D2161" s="6" t="s">
        <v>468</v>
      </c>
      <c r="E2161" s="6" t="s">
        <v>369</v>
      </c>
      <c r="F2161" s="6" t="str">
        <f>IF($M2161="PADD I","PADD 1",IF($M2161="PADD II","PADD 2",IF($M2161="PADD III","PADD 3",IF($M2161="PADD IV","PADD 4",IF($M2161="PADD V","PADD 5","")))))</f>
        <v>PADD 3</v>
      </c>
      <c r="G2161" s="6">
        <f>IF(AND($H2161="ATMOS DISTILLATION",ISNUMBER(SEARCH("VPS",$I2161))=FALSE,LEFT($I2161,6)&lt;&gt;"VACUUM"),"CDU",IF($H2161="FLUID CAT CRACKING","FCC",IF(OR($H2161="HYDROCRACKING",$H2161="RESID_HYDROCRACKING"),"Hydrocracker",IF($H2161="REFORMING","Reformer",""))))</f>
        <v/>
      </c>
      <c r="H2161" s="6" t="s">
        <v>43</v>
      </c>
      <c r="I2161" s="6" t="s">
        <v>1031</v>
      </c>
      <c r="J2161" s="6" t="s">
        <v>349</v>
      </c>
      <c r="K2161" s="10">
        <v>20</v>
      </c>
      <c r="L2161" s="10">
        <v>20</v>
      </c>
      <c r="M2161" s="6" t="s">
        <v>371</v>
      </c>
    </row>
    <row r="2162" spans="1:13">
      <c r="A2162" s="6">
        <v>2023</v>
      </c>
      <c r="B2162" s="6">
        <v>10</v>
      </c>
      <c r="C2162" s="6" t="s">
        <v>68</v>
      </c>
      <c r="D2162" s="6" t="s">
        <v>602</v>
      </c>
      <c r="E2162" s="6" t="s">
        <v>369</v>
      </c>
      <c r="F2162" s="6" t="str">
        <f>IF($M2162="PADD I","PADD 1",IF($M2162="PADD II","PADD 2",IF($M2162="PADD III","PADD 3",IF($M2162="PADD IV","PADD 4",IF($M2162="PADD V","PADD 5","")))))</f>
        <v>PADD 2</v>
      </c>
      <c r="G2162" s="6" t="str">
        <f>IF(AND($H2162="ATMOS DISTILLATION",ISNUMBER(SEARCH("VPS",$I2162))=FALSE,LEFT($I2162,6)&lt;&gt;"VACUUM"),"CDU",IF($H2162="FLUID CAT CRACKING","FCC",IF(OR($H2162="HYDROCRACKING",$H2162="RESID_HYDROCRACKING"),"Hydrocracker",IF($H2162="REFORMING","Reformer",""))))</f>
        <v>Reformer</v>
      </c>
      <c r="H2162" s="6" t="s">
        <v>421</v>
      </c>
      <c r="I2162" s="6" t="s">
        <v>697</v>
      </c>
      <c r="J2162" s="6" t="s">
        <v>349</v>
      </c>
      <c r="K2162" s="10">
        <v>20</v>
      </c>
      <c r="L2162" s="10">
        <v>20</v>
      </c>
      <c r="M2162" s="6" t="s">
        <v>375</v>
      </c>
    </row>
    <row r="2163" spans="1:13">
      <c r="A2163" s="6">
        <v>2023</v>
      </c>
      <c r="B2163" s="6">
        <v>10</v>
      </c>
      <c r="C2163" s="6" t="s">
        <v>68</v>
      </c>
      <c r="D2163" s="6" t="s">
        <v>395</v>
      </c>
      <c r="E2163" s="6" t="s">
        <v>396</v>
      </c>
      <c r="F2163" s="6" t="str">
        <f>IF($M2163="PADD I","PADD 1",IF($M2163="PADD II","PADD 2",IF($M2163="PADD III","PADD 3",IF($M2163="PADD IV","PADD 4",IF($M2163="PADD V","PADD 5","")))))</f>
        <v>PADD 3</v>
      </c>
      <c r="G2163" s="6" t="str">
        <f>IF(AND($H2163="ATMOS DISTILLATION",ISNUMBER(SEARCH("VPS",$I2163))=FALSE,LEFT($I2163,6)&lt;&gt;"VACUUM"),"CDU",IF($H2163="FLUID CAT CRACKING","FCC",IF(OR($H2163="HYDROCRACKING",$H2163="RESID_HYDROCRACKING"),"Hydrocracker",IF($H2163="REFORMING","Reformer",""))))</f>
        <v>Hydrocracker</v>
      </c>
      <c r="H2163" s="6" t="s">
        <v>444</v>
      </c>
      <c r="I2163" s="6" t="s">
        <v>512</v>
      </c>
      <c r="J2163" s="6" t="s">
        <v>345</v>
      </c>
      <c r="K2163" s="10">
        <v>19.43</v>
      </c>
      <c r="L2163" s="10">
        <v>67</v>
      </c>
      <c r="M2163" s="6" t="s">
        <v>371</v>
      </c>
    </row>
    <row r="2164" spans="1:13">
      <c r="A2164" s="6">
        <v>2023</v>
      </c>
      <c r="B2164" s="6">
        <v>10</v>
      </c>
      <c r="C2164" s="6" t="s">
        <v>68</v>
      </c>
      <c r="D2164" s="6" t="s">
        <v>324</v>
      </c>
      <c r="E2164" s="6" t="s">
        <v>388</v>
      </c>
      <c r="F2164" s="6" t="str">
        <f>IF($M2164="PADD I","PADD 1",IF($M2164="PADD II","PADD 2",IF($M2164="PADD III","PADD 3",IF($M2164="PADD IV","PADD 4",IF($M2164="PADD V","PADD 5","")))))</f>
        <v>PADD 3</v>
      </c>
      <c r="G2164" s="6">
        <f>IF(AND($H2164="ATMOS DISTILLATION",ISNUMBER(SEARCH("VPS",$I2164))=FALSE,LEFT($I2164,6)&lt;&gt;"VACUUM"),"CDU",IF($H2164="FLUID CAT CRACKING","FCC",IF(OR($H2164="HYDROCRACKING",$H2164="RESID_HYDROCRACKING"),"Hydrocracker",IF($H2164="REFORMING","Reformer",""))))</f>
        <v/>
      </c>
      <c r="H2164" s="6" t="s">
        <v>378</v>
      </c>
      <c r="I2164" s="6" t="s">
        <v>942</v>
      </c>
      <c r="J2164" s="6" t="s">
        <v>345</v>
      </c>
      <c r="K2164" s="10">
        <v>19.305</v>
      </c>
      <c r="L2164" s="10">
        <v>148.5</v>
      </c>
      <c r="M2164" s="6" t="s">
        <v>371</v>
      </c>
    </row>
    <row r="2165" spans="1:13">
      <c r="A2165" s="6">
        <v>2023</v>
      </c>
      <c r="B2165" s="6">
        <v>10</v>
      </c>
      <c r="C2165" s="6" t="s">
        <v>68</v>
      </c>
      <c r="D2165" s="6" t="s">
        <v>322</v>
      </c>
      <c r="E2165" s="6" t="s">
        <v>369</v>
      </c>
      <c r="F2165" s="6" t="str">
        <f>IF($M2165="PADD I","PADD 1",IF($M2165="PADD II","PADD 2",IF($M2165="PADD III","PADD 3",IF($M2165="PADD IV","PADD 4",IF($M2165="PADD V","PADD 5","")))))</f>
        <v>PADD 2</v>
      </c>
      <c r="G2165" s="6" t="str">
        <f>IF(AND($H2165="ATMOS DISTILLATION",ISNUMBER(SEARCH("VPS",$I2165))=FALSE,LEFT($I2165,6)&lt;&gt;"VACUUM"),"CDU",IF($H2165="FLUID CAT CRACKING","FCC",IF(OR($H2165="HYDROCRACKING",$H2165="RESID_HYDROCRACKING"),"Hydrocracker",IF($H2165="REFORMING","Reformer",""))))</f>
        <v>CDU</v>
      </c>
      <c r="H2165" s="6" t="s">
        <v>38</v>
      </c>
      <c r="I2165" s="6" t="s">
        <v>521</v>
      </c>
      <c r="J2165" s="6" t="s">
        <v>345</v>
      </c>
      <c r="K2165" s="10">
        <v>19.2</v>
      </c>
      <c r="L2165" s="10">
        <v>120</v>
      </c>
      <c r="M2165" s="6" t="s">
        <v>375</v>
      </c>
    </row>
    <row r="2166" spans="1:13">
      <c r="A2166" s="6">
        <v>2023</v>
      </c>
      <c r="B2166" s="6">
        <v>10</v>
      </c>
      <c r="C2166" s="6" t="s">
        <v>68</v>
      </c>
      <c r="D2166" s="6" t="s">
        <v>730</v>
      </c>
      <c r="E2166" s="6" t="s">
        <v>731</v>
      </c>
      <c r="F2166" s="6" t="str">
        <f>IF($M2166="PADD I","PADD 1",IF($M2166="PADD II","PADD 2",IF($M2166="PADD III","PADD 3",IF($M2166="PADD IV","PADD 4",IF($M2166="PADD V","PADD 5","")))))</f>
        <v>PADD 3</v>
      </c>
      <c r="G2166" s="6">
        <f>IF(AND($H2166="ATMOS DISTILLATION",ISNUMBER(SEARCH("VPS",$I2166))=FALSE,LEFT($I2166,6)&lt;&gt;"VACUUM"),"CDU",IF($H2166="FLUID CAT CRACKING","FCC",IF(OR($H2166="HYDROCRACKING",$H2166="RESID_HYDROCRACKING"),"Hydrocracker",IF($H2166="REFORMING","Reformer",""))))</f>
        <v/>
      </c>
      <c r="H2166" s="6" t="s">
        <v>378</v>
      </c>
      <c r="I2166" s="6" t="s">
        <v>431</v>
      </c>
      <c r="J2166" s="6" t="s">
        <v>349</v>
      </c>
      <c r="K2166" s="10">
        <v>18.944</v>
      </c>
      <c r="L2166" s="10">
        <v>25.6</v>
      </c>
      <c r="M2166" s="6" t="s">
        <v>371</v>
      </c>
    </row>
    <row r="2167" spans="1:13">
      <c r="A2167" s="6">
        <v>2023</v>
      </c>
      <c r="B2167" s="6">
        <v>10</v>
      </c>
      <c r="C2167" s="6" t="s">
        <v>68</v>
      </c>
      <c r="D2167" s="6" t="s">
        <v>878</v>
      </c>
      <c r="E2167" s="6" t="s">
        <v>452</v>
      </c>
      <c r="F2167" s="6" t="str">
        <f>IF($M2167="PADD I","PADD 1",IF($M2167="PADD II","PADD 2",IF($M2167="PADD III","PADD 3",IF($M2167="PADD IV","PADD 4",IF($M2167="PADD V","PADD 5","")))))</f>
        <v>PADD 2</v>
      </c>
      <c r="G2167" s="6">
        <f>IF(AND($H2167="ATMOS DISTILLATION",ISNUMBER(SEARCH("VPS",$I2167))=FALSE,LEFT($I2167,6)&lt;&gt;"VACUUM"),"CDU",IF($H2167="FLUID CAT CRACKING","FCC",IF(OR($H2167="HYDROCRACKING",$H2167="RESID_HYDROCRACKING"),"Hydrocracker",IF($H2167="REFORMING","Reformer",""))))</f>
        <v/>
      </c>
      <c r="H2167" s="6" t="s">
        <v>378</v>
      </c>
      <c r="I2167" s="6" t="s">
        <v>536</v>
      </c>
      <c r="J2167" s="6" t="s">
        <v>349</v>
      </c>
      <c r="K2167" s="10">
        <v>18.56</v>
      </c>
      <c r="L2167" s="10">
        <v>32</v>
      </c>
      <c r="M2167" s="6" t="s">
        <v>375</v>
      </c>
    </row>
    <row r="2168" spans="1:13">
      <c r="A2168" s="6">
        <v>2023</v>
      </c>
      <c r="B2168" s="6">
        <v>10</v>
      </c>
      <c r="C2168" s="6" t="s">
        <v>68</v>
      </c>
      <c r="D2168" s="6" t="s">
        <v>878</v>
      </c>
      <c r="E2168" s="6" t="s">
        <v>452</v>
      </c>
      <c r="F2168" s="6" t="str">
        <f>IF($M2168="PADD I","PADD 1",IF($M2168="PADD II","PADD 2",IF($M2168="PADD III","PADD 3",IF($M2168="PADD IV","PADD 4",IF($M2168="PADD V","PADD 5","")))))</f>
        <v>PADD 2</v>
      </c>
      <c r="G2168" s="6">
        <f>IF(AND($H2168="ATMOS DISTILLATION",ISNUMBER(SEARCH("VPS",$I2168))=FALSE,LEFT($I2168,6)&lt;&gt;"VACUUM"),"CDU",IF($H2168="FLUID CAT CRACKING","FCC",IF(OR($H2168="HYDROCRACKING",$H2168="RESID_HYDROCRACKING"),"Hydrocracker",IF($H2168="REFORMING","Reformer",""))))</f>
        <v/>
      </c>
      <c r="H2168" s="6" t="s">
        <v>43</v>
      </c>
      <c r="I2168" s="6" t="s">
        <v>893</v>
      </c>
      <c r="J2168" s="6" t="s">
        <v>349</v>
      </c>
      <c r="K2168" s="10">
        <v>18.48</v>
      </c>
      <c r="L2168" s="10">
        <v>24</v>
      </c>
      <c r="M2168" s="6" t="s">
        <v>375</v>
      </c>
    </row>
    <row r="2169" spans="1:13">
      <c r="A2169" s="6">
        <v>2023</v>
      </c>
      <c r="B2169" s="6">
        <v>10</v>
      </c>
      <c r="C2169" s="6" t="s">
        <v>68</v>
      </c>
      <c r="D2169" s="6" t="s">
        <v>398</v>
      </c>
      <c r="E2169" s="6" t="s">
        <v>399</v>
      </c>
      <c r="F2169" s="6" t="str">
        <f>IF($M2169="PADD I","PADD 1",IF($M2169="PADD II","PADD 2",IF($M2169="PADD III","PADD 3",IF($M2169="PADD IV","PADD 4",IF($M2169="PADD V","PADD 5","")))))</f>
        <v>PADD 3</v>
      </c>
      <c r="G2169" s="6" t="str">
        <f>IF(AND($H2169="ATMOS DISTILLATION",ISNUMBER(SEARCH("VPS",$I2169))=FALSE,LEFT($I2169,6)&lt;&gt;"VACUUM"),"CDU",IF($H2169="FLUID CAT CRACKING","FCC",IF(OR($H2169="HYDROCRACKING",$H2169="RESID_HYDROCRACKING"),"Hydrocracker",IF($H2169="REFORMING","Reformer",""))))</f>
        <v>CDU</v>
      </c>
      <c r="H2169" s="6" t="s">
        <v>38</v>
      </c>
      <c r="I2169" s="6" t="s">
        <v>1044</v>
      </c>
      <c r="J2169" s="6" t="s">
        <v>345</v>
      </c>
      <c r="K2169" s="10">
        <v>18.4</v>
      </c>
      <c r="L2169" s="10">
        <v>115</v>
      </c>
      <c r="M2169" s="6" t="s">
        <v>371</v>
      </c>
    </row>
    <row r="2170" spans="1:13">
      <c r="A2170" s="6">
        <v>2023</v>
      </c>
      <c r="B2170" s="6">
        <v>10</v>
      </c>
      <c r="C2170" s="6" t="s">
        <v>68</v>
      </c>
      <c r="D2170" s="6" t="s">
        <v>395</v>
      </c>
      <c r="E2170" s="6" t="s">
        <v>396</v>
      </c>
      <c r="F2170" s="6" t="str">
        <f>IF($M2170="PADD I","PADD 1",IF($M2170="PADD II","PADD 2",IF($M2170="PADD III","PADD 3",IF($M2170="PADD IV","PADD 4",IF($M2170="PADD V","PADD 5","")))))</f>
        <v>PADD 3</v>
      </c>
      <c r="G2170" s="6" t="str">
        <f>IF(AND($H2170="ATMOS DISTILLATION",ISNUMBER(SEARCH("VPS",$I2170))=FALSE,LEFT($I2170,6)&lt;&gt;"VACUUM"),"CDU",IF($H2170="FLUID CAT CRACKING","FCC",IF(OR($H2170="HYDROCRACKING",$H2170="RESID_HYDROCRACKING"),"Hydrocracker",IF($H2170="REFORMING","Reformer",""))))</f>
        <v>FCC</v>
      </c>
      <c r="H2170" s="6" t="s">
        <v>376</v>
      </c>
      <c r="I2170" s="6" t="s">
        <v>105</v>
      </c>
      <c r="J2170" s="6" t="s">
        <v>345</v>
      </c>
      <c r="K2170" s="10">
        <v>18.2</v>
      </c>
      <c r="L2170" s="10">
        <v>70</v>
      </c>
      <c r="M2170" s="6" t="s">
        <v>371</v>
      </c>
    </row>
    <row r="2171" spans="1:13">
      <c r="A2171" s="6">
        <v>2023</v>
      </c>
      <c r="B2171" s="6">
        <v>10</v>
      </c>
      <c r="C2171" s="6" t="s">
        <v>68</v>
      </c>
      <c r="D2171" s="6" t="s">
        <v>602</v>
      </c>
      <c r="E2171" s="6" t="s">
        <v>369</v>
      </c>
      <c r="F2171" s="6" t="str">
        <f>IF($M2171="PADD I","PADD 1",IF($M2171="PADD II","PADD 2",IF($M2171="PADD III","PADD 3",IF($M2171="PADD IV","PADD 4",IF($M2171="PADD V","PADD 5","")))))</f>
        <v>PADD 2</v>
      </c>
      <c r="G2171" s="6">
        <f>IF(AND($H2171="ATMOS DISTILLATION",ISNUMBER(SEARCH("VPS",$I2171))=FALSE,LEFT($I2171,6)&lt;&gt;"VACUUM"),"CDU",IF($H2171="FLUID CAT CRACKING","FCC",IF(OR($H2171="HYDROCRACKING",$H2171="RESID_HYDROCRACKING"),"Hydrocracker",IF($H2171="REFORMING","Reformer",""))))</f>
        <v/>
      </c>
      <c r="H2171" s="6" t="s">
        <v>43</v>
      </c>
      <c r="I2171" s="6" t="s">
        <v>1007</v>
      </c>
      <c r="J2171" s="6" t="s">
        <v>349</v>
      </c>
      <c r="K2171" s="10">
        <v>18</v>
      </c>
      <c r="L2171" s="10">
        <v>18</v>
      </c>
      <c r="M2171" s="6" t="s">
        <v>375</v>
      </c>
    </row>
    <row r="2172" spans="1:13">
      <c r="A2172" s="6">
        <v>2023</v>
      </c>
      <c r="B2172" s="6">
        <v>10</v>
      </c>
      <c r="C2172" s="6" t="s">
        <v>68</v>
      </c>
      <c r="D2172" s="6" t="s">
        <v>739</v>
      </c>
      <c r="E2172" s="6" t="s">
        <v>405</v>
      </c>
      <c r="F2172" s="6" t="str">
        <f>IF($M2172="PADD I","PADD 1",IF($M2172="PADD II","PADD 2",IF($M2172="PADD III","PADD 3",IF($M2172="PADD IV","PADD 4",IF($M2172="PADD V","PADD 5","")))))</f>
        <v>PADD 2</v>
      </c>
      <c r="G2172" s="6">
        <f>IF(AND($H2172="ATMOS DISTILLATION",ISNUMBER(SEARCH("VPS",$I2172))=FALSE,LEFT($I2172,6)&lt;&gt;"VACUUM"),"CDU",IF($H2172="FLUID CAT CRACKING","FCC",IF(OR($H2172="HYDROCRACKING",$H2172="RESID_HYDROCRACKING"),"Hydrocracker",IF($H2172="REFORMING","Reformer",""))))</f>
        <v/>
      </c>
      <c r="H2172" s="6" t="s">
        <v>43</v>
      </c>
      <c r="I2172" s="6" t="s">
        <v>689</v>
      </c>
      <c r="J2172" s="6" t="s">
        <v>345</v>
      </c>
      <c r="K2172" s="10">
        <v>17.6</v>
      </c>
      <c r="L2172" s="10">
        <v>32</v>
      </c>
      <c r="M2172" s="6" t="s">
        <v>375</v>
      </c>
    </row>
    <row r="2173" spans="1:13">
      <c r="A2173" s="6">
        <v>2023</v>
      </c>
      <c r="B2173" s="6">
        <v>10</v>
      </c>
      <c r="C2173" s="6" t="s">
        <v>68</v>
      </c>
      <c r="D2173" s="6" t="s">
        <v>997</v>
      </c>
      <c r="E2173" s="6" t="s">
        <v>369</v>
      </c>
      <c r="F2173" s="6" t="str">
        <f>IF($M2173="PADD I","PADD 1",IF($M2173="PADD II","PADD 2",IF($M2173="PADD III","PADD 3",IF($M2173="PADD IV","PADD 4",IF($M2173="PADD V","PADD 5","")))))</f>
        <v>PADD 2</v>
      </c>
      <c r="G2173" s="6">
        <f>IF(AND($H2173="ATMOS DISTILLATION",ISNUMBER(SEARCH("VPS",$I2173))=FALSE,LEFT($I2173,6)&lt;&gt;"VACUUM"),"CDU",IF($H2173="FLUID CAT CRACKING","FCC",IF(OR($H2173="HYDROCRACKING",$H2173="RESID_HYDROCRACKING"),"Hydrocracker",IF($H2173="REFORMING","Reformer",""))))</f>
        <v/>
      </c>
      <c r="H2173" s="6" t="s">
        <v>378</v>
      </c>
      <c r="I2173" s="6" t="s">
        <v>786</v>
      </c>
      <c r="J2173" s="6" t="s">
        <v>345</v>
      </c>
      <c r="K2173" s="10">
        <v>17.55</v>
      </c>
      <c r="L2173" s="10">
        <v>39</v>
      </c>
      <c r="M2173" s="6" t="s">
        <v>375</v>
      </c>
    </row>
    <row r="2174" spans="1:13">
      <c r="A2174" s="6">
        <v>2023</v>
      </c>
      <c r="B2174" s="6">
        <v>10</v>
      </c>
      <c r="C2174" s="6" t="s">
        <v>68</v>
      </c>
      <c r="D2174" s="6" t="s">
        <v>730</v>
      </c>
      <c r="E2174" s="6" t="s">
        <v>731</v>
      </c>
      <c r="F2174" s="6" t="str">
        <f>IF($M2174="PADD I","PADD 1",IF($M2174="PADD II","PADD 2",IF($M2174="PADD III","PADD 3",IF($M2174="PADD IV","PADD 4",IF($M2174="PADD V","PADD 5","")))))</f>
        <v>PADD 3</v>
      </c>
      <c r="G2174" s="6" t="str">
        <f>IF(AND($H2174="ATMOS DISTILLATION",ISNUMBER(SEARCH("VPS",$I2174))=FALSE,LEFT($I2174,6)&lt;&gt;"VACUUM"),"CDU",IF($H2174="FLUID CAT CRACKING","FCC",IF(OR($H2174="HYDROCRACKING",$H2174="RESID_HYDROCRACKING"),"Hydrocracker",IF($H2174="REFORMING","Reformer",""))))</f>
        <v>FCC</v>
      </c>
      <c r="H2174" s="6" t="s">
        <v>376</v>
      </c>
      <c r="I2174" s="6" t="s">
        <v>105</v>
      </c>
      <c r="J2174" s="6" t="s">
        <v>349</v>
      </c>
      <c r="K2174" s="10">
        <v>17.39</v>
      </c>
      <c r="L2174" s="10">
        <v>23.5</v>
      </c>
      <c r="M2174" s="6" t="s">
        <v>371</v>
      </c>
    </row>
    <row r="2175" spans="1:13">
      <c r="A2175" s="6">
        <v>2023</v>
      </c>
      <c r="B2175" s="6">
        <v>10</v>
      </c>
      <c r="C2175" s="6" t="s">
        <v>68</v>
      </c>
      <c r="D2175" s="6" t="s">
        <v>730</v>
      </c>
      <c r="E2175" s="6" t="s">
        <v>731</v>
      </c>
      <c r="F2175" s="6" t="str">
        <f>IF($M2175="PADD I","PADD 1",IF($M2175="PADD II","PADD 2",IF($M2175="PADD III","PADD 3",IF($M2175="PADD IV","PADD 4",IF($M2175="PADD V","PADD 5","")))))</f>
        <v>PADD 3</v>
      </c>
      <c r="G2175" s="6">
        <f>IF(AND($H2175="ATMOS DISTILLATION",ISNUMBER(SEARCH("VPS",$I2175))=FALSE,LEFT($I2175,6)&lt;&gt;"VACUUM"),"CDU",IF($H2175="FLUID CAT CRACKING","FCC",IF(OR($H2175="HYDROCRACKING",$H2175="RESID_HYDROCRACKING"),"Hydrocracker",IF($H2175="REFORMING","Reformer",""))))</f>
        <v/>
      </c>
      <c r="H2175" s="6" t="s">
        <v>43</v>
      </c>
      <c r="I2175" s="6" t="s">
        <v>1045</v>
      </c>
      <c r="J2175" s="6" t="s">
        <v>349</v>
      </c>
      <c r="K2175" s="10">
        <v>17.02</v>
      </c>
      <c r="L2175" s="10">
        <v>23</v>
      </c>
      <c r="M2175" s="6" t="s">
        <v>371</v>
      </c>
    </row>
    <row r="2176" spans="1:13">
      <c r="A2176" s="6">
        <v>2023</v>
      </c>
      <c r="B2176" s="6">
        <v>10</v>
      </c>
      <c r="C2176" s="6" t="s">
        <v>68</v>
      </c>
      <c r="D2176" s="6" t="s">
        <v>324</v>
      </c>
      <c r="E2176" s="6" t="s">
        <v>388</v>
      </c>
      <c r="F2176" s="6" t="str">
        <f>IF($M2176="PADD I","PADD 1",IF($M2176="PADD II","PADD 2",IF($M2176="PADD III","PADD 3",IF($M2176="PADD IV","PADD 4",IF($M2176="PADD V","PADD 5","")))))</f>
        <v>PADD 3</v>
      </c>
      <c r="G2176" s="6">
        <f>IF(AND($H2176="ATMOS DISTILLATION",ISNUMBER(SEARCH("VPS",$I2176))=FALSE,LEFT($I2176,6)&lt;&gt;"VACUUM"),"CDU",IF($H2176="FLUID CAT CRACKING","FCC",IF(OR($H2176="HYDROCRACKING",$H2176="RESID_HYDROCRACKING"),"Hydrocracker",IF($H2176="REFORMING","Reformer",""))))</f>
        <v/>
      </c>
      <c r="H2176" s="6" t="s">
        <v>43</v>
      </c>
      <c r="I2176" s="6" t="s">
        <v>682</v>
      </c>
      <c r="J2176" s="6" t="s">
        <v>345</v>
      </c>
      <c r="K2176" s="10">
        <v>16.96</v>
      </c>
      <c r="L2176" s="10">
        <v>106</v>
      </c>
      <c r="M2176" s="6" t="s">
        <v>371</v>
      </c>
    </row>
    <row r="2177" spans="1:13">
      <c r="A2177" s="6">
        <v>2023</v>
      </c>
      <c r="B2177" s="6">
        <v>10</v>
      </c>
      <c r="C2177" s="6" t="s">
        <v>68</v>
      </c>
      <c r="D2177" s="6" t="s">
        <v>801</v>
      </c>
      <c r="E2177" s="6" t="s">
        <v>779</v>
      </c>
      <c r="F2177" s="6" t="str">
        <f>IF($M2177="PADD I","PADD 1",IF($M2177="PADD II","PADD 2",IF($M2177="PADD III","PADD 3",IF($M2177="PADD IV","PADD 4",IF($M2177="PADD V","PADD 5","")))))</f>
        <v>PADD 2</v>
      </c>
      <c r="G2177" s="6">
        <f>IF(AND($H2177="ATMOS DISTILLATION",ISNUMBER(SEARCH("VPS",$I2177))=FALSE,LEFT($I2177,6)&lt;&gt;"VACUUM"),"CDU",IF($H2177="FLUID CAT CRACKING","FCC",IF(OR($H2177="HYDROCRACKING",$H2177="RESID_HYDROCRACKING"),"Hydrocracker",IF($H2177="REFORMING","Reformer",""))))</f>
        <v/>
      </c>
      <c r="H2177" s="6" t="s">
        <v>435</v>
      </c>
      <c r="I2177" s="6" t="s">
        <v>802</v>
      </c>
      <c r="J2177" s="6" t="s">
        <v>345</v>
      </c>
      <c r="K2177" s="10">
        <v>16.32</v>
      </c>
      <c r="L2177" s="10">
        <v>24</v>
      </c>
      <c r="M2177" s="6" t="s">
        <v>375</v>
      </c>
    </row>
    <row r="2178" spans="1:13">
      <c r="A2178" s="6">
        <v>2023</v>
      </c>
      <c r="B2178" s="6">
        <v>10</v>
      </c>
      <c r="C2178" s="6" t="s">
        <v>68</v>
      </c>
      <c r="D2178" s="6" t="s">
        <v>531</v>
      </c>
      <c r="E2178" s="6" t="s">
        <v>532</v>
      </c>
      <c r="F2178" s="6" t="str">
        <f>IF($M2178="PADD I","PADD 1",IF($M2178="PADD II","PADD 2",IF($M2178="PADD III","PADD 3",IF($M2178="PADD IV","PADD 4",IF($M2178="PADD V","PADD 5","")))))</f>
        <v>PADD 5</v>
      </c>
      <c r="G2178" s="6" t="str">
        <f>IF(AND($H2178="ATMOS DISTILLATION",ISNUMBER(SEARCH("VPS",$I2178))=FALSE,LEFT($I2178,6)&lt;&gt;"VACUUM"),"CDU",IF($H2178="FLUID CAT CRACKING","FCC",IF(OR($H2178="HYDROCRACKING",$H2178="RESID_HYDROCRACKING"),"Hydrocracker",IF($H2178="REFORMING","Reformer",""))))</f>
        <v>CDU</v>
      </c>
      <c r="H2178" s="6" t="s">
        <v>38</v>
      </c>
      <c r="I2178" s="6" t="s">
        <v>81</v>
      </c>
      <c r="J2178" s="6" t="s">
        <v>345</v>
      </c>
      <c r="K2178" s="10">
        <v>16.275</v>
      </c>
      <c r="L2178" s="10">
        <v>46.5</v>
      </c>
      <c r="M2178" s="6" t="s">
        <v>386</v>
      </c>
    </row>
    <row r="2179" spans="1:13">
      <c r="A2179" s="6">
        <v>2023</v>
      </c>
      <c r="B2179" s="6">
        <v>10</v>
      </c>
      <c r="C2179" s="6" t="s">
        <v>68</v>
      </c>
      <c r="D2179" s="6" t="s">
        <v>434</v>
      </c>
      <c r="E2179" s="6" t="s">
        <v>388</v>
      </c>
      <c r="F2179" s="6" t="str">
        <f>IF($M2179="PADD I","PADD 1",IF($M2179="PADD II","PADD 2",IF($M2179="PADD III","PADD 3",IF($M2179="PADD IV","PADD 4",IF($M2179="PADD V","PADD 5","")))))</f>
        <v>PADD 5</v>
      </c>
      <c r="G2179" s="6">
        <f>IF(AND($H2179="ATMOS DISTILLATION",ISNUMBER(SEARCH("VPS",$I2179))=FALSE,LEFT($I2179,6)&lt;&gt;"VACUUM"),"CDU",IF($H2179="FLUID CAT CRACKING","FCC",IF(OR($H2179="HYDROCRACKING",$H2179="RESID_HYDROCRACKING"),"Hydrocracker",IF($H2179="REFORMING","Reformer",""))))</f>
        <v/>
      </c>
      <c r="H2179" s="6" t="s">
        <v>43</v>
      </c>
      <c r="I2179" s="6" t="s">
        <v>905</v>
      </c>
      <c r="J2179" s="6" t="s">
        <v>345</v>
      </c>
      <c r="K2179" s="10">
        <v>16.25</v>
      </c>
      <c r="L2179" s="10">
        <v>25</v>
      </c>
      <c r="M2179" s="6" t="s">
        <v>386</v>
      </c>
    </row>
    <row r="2180" spans="1:13">
      <c r="A2180" s="6">
        <v>2023</v>
      </c>
      <c r="B2180" s="6">
        <v>10</v>
      </c>
      <c r="C2180" s="6" t="s">
        <v>68</v>
      </c>
      <c r="D2180" s="6" t="s">
        <v>1038</v>
      </c>
      <c r="E2180" s="6" t="s">
        <v>1039</v>
      </c>
      <c r="F2180" s="6" t="str">
        <f>IF($M2180="PADD I","PADD 1",IF($M2180="PADD II","PADD 2",IF($M2180="PADD III","PADD 3",IF($M2180="PADD IV","PADD 4",IF($M2180="PADD V","PADD 5","")))))</f>
        <v>PADD 2</v>
      </c>
      <c r="G2180" s="6" t="str">
        <f>IF(AND($H2180="ATMOS DISTILLATION",ISNUMBER(SEARCH("VPS",$I2180))=FALSE,LEFT($I2180,6)&lt;&gt;"VACUUM"),"CDU",IF($H2180="FLUID CAT CRACKING","FCC",IF(OR($H2180="HYDROCRACKING",$H2180="RESID_HYDROCRACKING"),"Hydrocracker",IF($H2180="REFORMING","Reformer",""))))</f>
        <v>Reformer</v>
      </c>
      <c r="H2180" s="6" t="s">
        <v>421</v>
      </c>
      <c r="I2180" s="6" t="s">
        <v>1046</v>
      </c>
      <c r="J2180" s="6" t="s">
        <v>349</v>
      </c>
      <c r="K2180" s="10">
        <v>16.2</v>
      </c>
      <c r="L2180" s="10">
        <v>20</v>
      </c>
      <c r="M2180" s="6" t="s">
        <v>375</v>
      </c>
    </row>
    <row r="2181" spans="1:13">
      <c r="A2181" s="6">
        <v>2023</v>
      </c>
      <c r="B2181" s="6">
        <v>10</v>
      </c>
      <c r="C2181" s="6" t="s">
        <v>68</v>
      </c>
      <c r="D2181" s="6" t="s">
        <v>468</v>
      </c>
      <c r="E2181" s="6" t="s">
        <v>369</v>
      </c>
      <c r="F2181" s="6" t="str">
        <f>IF($M2181="PADD I","PADD 1",IF($M2181="PADD II","PADD 2",IF($M2181="PADD III","PADD 3",IF($M2181="PADD IV","PADD 4",IF($M2181="PADD V","PADD 5","")))))</f>
        <v>PADD 3</v>
      </c>
      <c r="G2181" s="6">
        <f>IF(AND($H2181="ATMOS DISTILLATION",ISNUMBER(SEARCH("VPS",$I2181))=FALSE,LEFT($I2181,6)&lt;&gt;"VACUUM"),"CDU",IF($H2181="FLUID CAT CRACKING","FCC",IF(OR($H2181="HYDROCRACKING",$H2181="RESID_HYDROCRACKING"),"Hydrocracker",IF($H2181="REFORMING","Reformer",""))))</f>
        <v/>
      </c>
      <c r="H2181" s="6" t="s">
        <v>43</v>
      </c>
      <c r="I2181" s="6" t="s">
        <v>458</v>
      </c>
      <c r="J2181" s="6" t="s">
        <v>349</v>
      </c>
      <c r="K2181" s="10">
        <v>16</v>
      </c>
      <c r="L2181" s="10">
        <v>16</v>
      </c>
      <c r="M2181" s="6" t="s">
        <v>371</v>
      </c>
    </row>
    <row r="2182" spans="1:13">
      <c r="A2182" s="6">
        <v>2023</v>
      </c>
      <c r="B2182" s="6">
        <v>10</v>
      </c>
      <c r="C2182" s="6" t="s">
        <v>68</v>
      </c>
      <c r="D2182" s="6" t="s">
        <v>420</v>
      </c>
      <c r="E2182" s="6" t="s">
        <v>373</v>
      </c>
      <c r="F2182" s="6" t="str">
        <f>IF($M2182="PADD I","PADD 1",IF($M2182="PADD II","PADD 2",IF($M2182="PADD III","PADD 3",IF($M2182="PADD IV","PADD 4",IF($M2182="PADD V","PADD 5","")))))</f>
        <v>PADD 2</v>
      </c>
      <c r="G2182" s="6" t="str">
        <f>IF(AND($H2182="ATMOS DISTILLATION",ISNUMBER(SEARCH("VPS",$I2182))=FALSE,LEFT($I2182,6)&lt;&gt;"VACUUM"),"CDU",IF($H2182="FLUID CAT CRACKING","FCC",IF(OR($H2182="HYDROCRACKING",$H2182="RESID_HYDROCRACKING"),"Hydrocracker",IF($H2182="REFORMING","Reformer",""))))</f>
        <v>CDU</v>
      </c>
      <c r="H2182" s="6" t="s">
        <v>38</v>
      </c>
      <c r="I2182" s="6" t="s">
        <v>81</v>
      </c>
      <c r="J2182" s="6" t="s">
        <v>345</v>
      </c>
      <c r="K2182" s="10">
        <v>15.925</v>
      </c>
      <c r="L2182" s="10">
        <v>24.5</v>
      </c>
      <c r="M2182" s="6" t="s">
        <v>375</v>
      </c>
    </row>
    <row r="2183" spans="1:13">
      <c r="A2183" s="6">
        <v>2023</v>
      </c>
      <c r="B2183" s="6">
        <v>10</v>
      </c>
      <c r="C2183" s="6" t="s">
        <v>68</v>
      </c>
      <c r="D2183" s="6" t="s">
        <v>602</v>
      </c>
      <c r="E2183" s="6" t="s">
        <v>369</v>
      </c>
      <c r="F2183" s="6" t="str">
        <f>IF($M2183="PADD I","PADD 1",IF($M2183="PADD II","PADD 2",IF($M2183="PADD III","PADD 3",IF($M2183="PADD IV","PADD 4",IF($M2183="PADD V","PADD 5","")))))</f>
        <v>PADD 2</v>
      </c>
      <c r="G2183" s="6">
        <f>IF(AND($H2183="ATMOS DISTILLATION",ISNUMBER(SEARCH("VPS",$I2183))=FALSE,LEFT($I2183,6)&lt;&gt;"VACUUM"),"CDU",IF($H2183="FLUID CAT CRACKING","FCC",IF(OR($H2183="HYDROCRACKING",$H2183="RESID_HYDROCRACKING"),"Hydrocracker",IF($H2183="REFORMING","Reformer",""))))</f>
        <v/>
      </c>
      <c r="H2183" s="6" t="s">
        <v>460</v>
      </c>
      <c r="I2183" s="6" t="s">
        <v>616</v>
      </c>
      <c r="J2183" s="6" t="s">
        <v>345</v>
      </c>
      <c r="K2183" s="10">
        <v>15.64</v>
      </c>
      <c r="L2183" s="10">
        <v>23</v>
      </c>
      <c r="M2183" s="6" t="s">
        <v>375</v>
      </c>
    </row>
    <row r="2184" spans="1:13">
      <c r="A2184" s="6">
        <v>2023</v>
      </c>
      <c r="B2184" s="6">
        <v>10</v>
      </c>
      <c r="C2184" s="6" t="s">
        <v>68</v>
      </c>
      <c r="D2184" s="6" t="s">
        <v>730</v>
      </c>
      <c r="E2184" s="6" t="s">
        <v>731</v>
      </c>
      <c r="F2184" s="6" t="str">
        <f>IF($M2184="PADD I","PADD 1",IF($M2184="PADD II","PADD 2",IF($M2184="PADD III","PADD 3",IF($M2184="PADD IV","PADD 4",IF($M2184="PADD V","PADD 5","")))))</f>
        <v>PADD 3</v>
      </c>
      <c r="G2184" s="6">
        <f>IF(AND($H2184="ATMOS DISTILLATION",ISNUMBER(SEARCH("VPS",$I2184))=FALSE,LEFT($I2184,6)&lt;&gt;"VACUUM"),"CDU",IF($H2184="FLUID CAT CRACKING","FCC",IF(OR($H2184="HYDROCRACKING",$H2184="RESID_HYDROCRACKING"),"Hydrocracker",IF($H2184="REFORMING","Reformer",""))))</f>
        <v/>
      </c>
      <c r="H2184" s="6" t="s">
        <v>43</v>
      </c>
      <c r="I2184" s="6" t="s">
        <v>458</v>
      </c>
      <c r="J2184" s="6" t="s">
        <v>349</v>
      </c>
      <c r="K2184" s="10">
        <v>14.8</v>
      </c>
      <c r="L2184" s="10">
        <v>20</v>
      </c>
      <c r="M2184" s="6" t="s">
        <v>371</v>
      </c>
    </row>
    <row r="2185" spans="1:13">
      <c r="A2185" s="6">
        <v>2023</v>
      </c>
      <c r="B2185" s="6">
        <v>10</v>
      </c>
      <c r="C2185" s="6" t="s">
        <v>68</v>
      </c>
      <c r="D2185" s="6" t="s">
        <v>395</v>
      </c>
      <c r="E2185" s="6" t="s">
        <v>396</v>
      </c>
      <c r="F2185" s="6" t="str">
        <f>IF($M2185="PADD I","PADD 1",IF($M2185="PADD II","PADD 2",IF($M2185="PADD III","PADD 3",IF($M2185="PADD IV","PADD 4",IF($M2185="PADD V","PADD 5","")))))</f>
        <v>PADD 3</v>
      </c>
      <c r="G2185" s="6">
        <f>IF(AND($H2185="ATMOS DISTILLATION",ISNUMBER(SEARCH("VPS",$I2185))=FALSE,LEFT($I2185,6)&lt;&gt;"VACUUM"),"CDU",IF($H2185="FLUID CAT CRACKING","FCC",IF(OR($H2185="HYDROCRACKING",$H2185="RESID_HYDROCRACKING"),"Hydrocracker",IF($H2185="REFORMING","Reformer",""))))</f>
        <v/>
      </c>
      <c r="H2185" s="6" t="s">
        <v>435</v>
      </c>
      <c r="I2185" s="6" t="s">
        <v>441</v>
      </c>
      <c r="J2185" s="6" t="s">
        <v>345</v>
      </c>
      <c r="K2185" s="10">
        <v>14.72</v>
      </c>
      <c r="L2185" s="10">
        <v>92</v>
      </c>
      <c r="M2185" s="6" t="s">
        <v>371</v>
      </c>
    </row>
    <row r="2186" spans="1:13">
      <c r="A2186" s="6">
        <v>2023</v>
      </c>
      <c r="B2186" s="6">
        <v>10</v>
      </c>
      <c r="C2186" s="6" t="s">
        <v>68</v>
      </c>
      <c r="D2186" s="6" t="s">
        <v>398</v>
      </c>
      <c r="E2186" s="6" t="s">
        <v>399</v>
      </c>
      <c r="F2186" s="6" t="str">
        <f>IF($M2186="PADD I","PADD 1",IF($M2186="PADD II","PADD 2",IF($M2186="PADD III","PADD 3",IF($M2186="PADD IV","PADD 4",IF($M2186="PADD V","PADD 5","")))))</f>
        <v>PADD 3</v>
      </c>
      <c r="G2186" s="6">
        <f>IF(AND($H2186="ATMOS DISTILLATION",ISNUMBER(SEARCH("VPS",$I2186))=FALSE,LEFT($I2186,6)&lt;&gt;"VACUUM"),"CDU",IF($H2186="FLUID CAT CRACKING","FCC",IF(OR($H2186="HYDROCRACKING",$H2186="RESID_HYDROCRACKING"),"Hydrocracker",IF($H2186="REFORMING","Reformer",""))))</f>
        <v/>
      </c>
      <c r="H2186" s="6" t="s">
        <v>378</v>
      </c>
      <c r="I2186" s="6" t="s">
        <v>487</v>
      </c>
      <c r="J2186" s="6" t="s">
        <v>345</v>
      </c>
      <c r="K2186" s="10">
        <v>14.56</v>
      </c>
      <c r="L2186" s="10">
        <v>91</v>
      </c>
      <c r="M2186" s="6" t="s">
        <v>371</v>
      </c>
    </row>
    <row r="2187" spans="1:13">
      <c r="A2187" s="6">
        <v>2023</v>
      </c>
      <c r="B2187" s="6">
        <v>10</v>
      </c>
      <c r="C2187" s="6" t="s">
        <v>68</v>
      </c>
      <c r="D2187" s="6" t="s">
        <v>468</v>
      </c>
      <c r="E2187" s="6" t="s">
        <v>369</v>
      </c>
      <c r="F2187" s="6" t="str">
        <f>IF($M2187="PADD I","PADD 1",IF($M2187="PADD II","PADD 2",IF($M2187="PADD III","PADD 3",IF($M2187="PADD IV","PADD 4",IF($M2187="PADD V","PADD 5","")))))</f>
        <v>PADD 3</v>
      </c>
      <c r="G2187" s="6">
        <f>IF(AND($H2187="ATMOS DISTILLATION",ISNUMBER(SEARCH("VPS",$I2187))=FALSE,LEFT($I2187,6)&lt;&gt;"VACUUM"),"CDU",IF($H2187="FLUID CAT CRACKING","FCC",IF(OR($H2187="HYDROCRACKING",$H2187="RESID_HYDROCRACKING"),"Hydrocracker",IF($H2187="REFORMING","Reformer",""))))</f>
        <v/>
      </c>
      <c r="H2187" s="6" t="s">
        <v>460</v>
      </c>
      <c r="I2187" s="6" t="s">
        <v>890</v>
      </c>
      <c r="J2187" s="6" t="s">
        <v>349</v>
      </c>
      <c r="K2187" s="10">
        <v>14</v>
      </c>
      <c r="L2187" s="10">
        <v>14</v>
      </c>
      <c r="M2187" s="6" t="s">
        <v>371</v>
      </c>
    </row>
    <row r="2188" spans="1:13">
      <c r="A2188" s="6">
        <v>2023</v>
      </c>
      <c r="B2188" s="6">
        <v>10</v>
      </c>
      <c r="C2188" s="6" t="s">
        <v>68</v>
      </c>
      <c r="D2188" s="6" t="s">
        <v>40</v>
      </c>
      <c r="E2188" s="6" t="s">
        <v>736</v>
      </c>
      <c r="F2188" s="6" t="str">
        <f>IF($M2188="PADD I","PADD 1",IF($M2188="PADD II","PADD 2",IF($M2188="PADD III","PADD 3",IF($M2188="PADD IV","PADD 4",IF($M2188="PADD V","PADD 5","")))))</f>
        <v>PADD 1</v>
      </c>
      <c r="G2188" s="6">
        <f>IF(AND($H2188="ATMOS DISTILLATION",ISNUMBER(SEARCH("VPS",$I2188))=FALSE,LEFT($I2188,6)&lt;&gt;"VACUUM"),"CDU",IF($H2188="FLUID CAT CRACKING","FCC",IF(OR($H2188="HYDROCRACKING",$H2188="RESID_HYDROCRACKING"),"Hydrocracker",IF($H2188="REFORMING","Reformer",""))))</f>
        <v/>
      </c>
      <c r="H2188" s="6" t="s">
        <v>637</v>
      </c>
      <c r="I2188" s="6" t="s">
        <v>1019</v>
      </c>
      <c r="J2188" s="6" t="s">
        <v>349</v>
      </c>
      <c r="K2188" s="10">
        <v>14</v>
      </c>
      <c r="L2188" s="10">
        <v>14</v>
      </c>
      <c r="M2188" s="6" t="s">
        <v>413</v>
      </c>
    </row>
    <row r="2189" spans="1:13">
      <c r="A2189" s="6">
        <v>2023</v>
      </c>
      <c r="B2189" s="6">
        <v>10</v>
      </c>
      <c r="C2189" s="6" t="s">
        <v>68</v>
      </c>
      <c r="D2189" s="6" t="s">
        <v>801</v>
      </c>
      <c r="E2189" s="6" t="s">
        <v>779</v>
      </c>
      <c r="F2189" s="6" t="str">
        <f>IF($M2189="PADD I","PADD 1",IF($M2189="PADD II","PADD 2",IF($M2189="PADD III","PADD 3",IF($M2189="PADD IV","PADD 4",IF($M2189="PADD V","PADD 5","")))))</f>
        <v>PADD 2</v>
      </c>
      <c r="G2189" s="6">
        <f>IF(AND($H2189="ATMOS DISTILLATION",ISNUMBER(SEARCH("VPS",$I2189))=FALSE,LEFT($I2189,6)&lt;&gt;"VACUUM"),"CDU",IF($H2189="FLUID CAT CRACKING","FCC",IF(OR($H2189="HYDROCRACKING",$H2189="RESID_HYDROCRACKING"),"Hydrocracker",IF($H2189="REFORMING","Reformer",""))))</f>
        <v/>
      </c>
      <c r="H2189" s="6" t="s">
        <v>435</v>
      </c>
      <c r="I2189" s="6" t="s">
        <v>894</v>
      </c>
      <c r="J2189" s="6" t="s">
        <v>349</v>
      </c>
      <c r="K2189" s="10">
        <v>13.86</v>
      </c>
      <c r="L2189" s="10">
        <v>16.5</v>
      </c>
      <c r="M2189" s="6" t="s">
        <v>375</v>
      </c>
    </row>
    <row r="2190" spans="1:13">
      <c r="A2190" s="6">
        <v>2023</v>
      </c>
      <c r="B2190" s="6">
        <v>10</v>
      </c>
      <c r="C2190" s="6" t="s">
        <v>68</v>
      </c>
      <c r="D2190" s="6" t="s">
        <v>420</v>
      </c>
      <c r="E2190" s="6" t="s">
        <v>373</v>
      </c>
      <c r="F2190" s="6" t="str">
        <f>IF($M2190="PADD I","PADD 1",IF($M2190="PADD II","PADD 2",IF($M2190="PADD III","PADD 3",IF($M2190="PADD IV","PADD 4",IF($M2190="PADD V","PADD 5","")))))</f>
        <v>PADD 2</v>
      </c>
      <c r="G2190" s="6">
        <f>IF(AND($H2190="ATMOS DISTILLATION",ISNUMBER(SEARCH("VPS",$I2190))=FALSE,LEFT($I2190,6)&lt;&gt;"VACUUM"),"CDU",IF($H2190="FLUID CAT CRACKING","FCC",IF(OR($H2190="HYDROCRACKING",$H2190="RESID_HYDROCRACKING"),"Hydrocracker",IF($H2190="REFORMING","Reformer",""))))</f>
        <v/>
      </c>
      <c r="H2190" s="6" t="s">
        <v>378</v>
      </c>
      <c r="I2190" s="6" t="s">
        <v>431</v>
      </c>
      <c r="J2190" s="6" t="s">
        <v>345</v>
      </c>
      <c r="K2190" s="10">
        <v>13.325</v>
      </c>
      <c r="L2190" s="10">
        <v>20.5</v>
      </c>
      <c r="M2190" s="6" t="s">
        <v>375</v>
      </c>
    </row>
    <row r="2191" spans="1:13">
      <c r="A2191" s="6">
        <v>2023</v>
      </c>
      <c r="B2191" s="6">
        <v>10</v>
      </c>
      <c r="C2191" s="6" t="s">
        <v>68</v>
      </c>
      <c r="D2191" s="6" t="s">
        <v>662</v>
      </c>
      <c r="E2191" s="6" t="s">
        <v>552</v>
      </c>
      <c r="F2191" s="6" t="str">
        <f>IF($M2191="PADD I","PADD 1",IF($M2191="PADD II","PADD 2",IF($M2191="PADD III","PADD 3",IF($M2191="PADD IV","PADD 4",IF($M2191="PADD V","PADD 5","")))))</f>
        <v>PADD 3</v>
      </c>
      <c r="G2191" s="6">
        <f>IF(AND($H2191="ATMOS DISTILLATION",ISNUMBER(SEARCH("VPS",$I2191))=FALSE,LEFT($I2191,6)&lt;&gt;"VACUUM"),"CDU",IF($H2191="FLUID CAT CRACKING","FCC",IF(OR($H2191="HYDROCRACKING",$H2191="RESID_HYDROCRACKING"),"Hydrocracker",IF($H2191="REFORMING","Reformer",""))))</f>
        <v/>
      </c>
      <c r="H2191" s="6" t="s">
        <v>43</v>
      </c>
      <c r="I2191" s="6" t="s">
        <v>927</v>
      </c>
      <c r="J2191" s="6" t="s">
        <v>349</v>
      </c>
      <c r="K2191" s="10">
        <v>13.26</v>
      </c>
      <c r="L2191" s="10">
        <v>25.5</v>
      </c>
      <c r="M2191" s="6" t="s">
        <v>371</v>
      </c>
    </row>
    <row r="2192" spans="1:13">
      <c r="A2192" s="6">
        <v>2023</v>
      </c>
      <c r="B2192" s="6">
        <v>10</v>
      </c>
      <c r="C2192" s="6" t="s">
        <v>68</v>
      </c>
      <c r="D2192" s="6" t="s">
        <v>572</v>
      </c>
      <c r="E2192" s="6" t="s">
        <v>573</v>
      </c>
      <c r="F2192" s="6" t="str">
        <f>IF($M2192="PADD I","PADD 1",IF($M2192="PADD II","PADD 2",IF($M2192="PADD III","PADD 3",IF($M2192="PADD IV","PADD 4",IF($M2192="PADD V","PADD 5","")))))</f>
        <v>PADD 3</v>
      </c>
      <c r="G2192" s="6" t="str">
        <f>IF(AND($H2192="ATMOS DISTILLATION",ISNUMBER(SEARCH("VPS",$I2192))=FALSE,LEFT($I2192,6)&lt;&gt;"VACUUM"),"CDU",IF($H2192="FLUID CAT CRACKING","FCC",IF(OR($H2192="HYDROCRACKING",$H2192="RESID_HYDROCRACKING"),"Hydrocracker",IF($H2192="REFORMING","Reformer",""))))</f>
        <v>CDU</v>
      </c>
      <c r="H2192" s="6" t="s">
        <v>38</v>
      </c>
      <c r="I2192" s="6" t="s">
        <v>574</v>
      </c>
      <c r="J2192" s="6" t="s">
        <v>345</v>
      </c>
      <c r="K2192" s="10">
        <v>13</v>
      </c>
      <c r="L2192" s="10">
        <v>50</v>
      </c>
      <c r="M2192" s="6" t="s">
        <v>371</v>
      </c>
    </row>
    <row r="2193" spans="1:13">
      <c r="A2193" s="6">
        <v>2023</v>
      </c>
      <c r="B2193" s="6">
        <v>10</v>
      </c>
      <c r="C2193" s="6" t="s">
        <v>68</v>
      </c>
      <c r="D2193" s="6" t="s">
        <v>465</v>
      </c>
      <c r="E2193" s="6" t="s">
        <v>369</v>
      </c>
      <c r="F2193" s="6" t="str">
        <f>IF($M2193="PADD I","PADD 1",IF($M2193="PADD II","PADD 2",IF($M2193="PADD III","PADD 3",IF($M2193="PADD IV","PADD 4",IF($M2193="PADD V","PADD 5","")))))</f>
        <v>PADD 5</v>
      </c>
      <c r="G2193" s="6">
        <f>IF(AND($H2193="ATMOS DISTILLATION",ISNUMBER(SEARCH("VPS",$I2193))=FALSE,LEFT($I2193,6)&lt;&gt;"VACUUM"),"CDU",IF($H2193="FLUID CAT CRACKING","FCC",IF(OR($H2193="HYDROCRACKING",$H2193="RESID_HYDROCRACKING"),"Hydrocracker",IF($H2193="REFORMING","Reformer",""))))</f>
        <v/>
      </c>
      <c r="H2193" s="6" t="s">
        <v>43</v>
      </c>
      <c r="I2193" s="6" t="s">
        <v>466</v>
      </c>
      <c r="J2193" s="6" t="s">
        <v>349</v>
      </c>
      <c r="K2193" s="10">
        <v>13</v>
      </c>
      <c r="L2193" s="10">
        <v>50</v>
      </c>
      <c r="M2193" s="6" t="s">
        <v>386</v>
      </c>
    </row>
    <row r="2194" spans="1:13">
      <c r="A2194" s="6">
        <v>2023</v>
      </c>
      <c r="B2194" s="6">
        <v>10</v>
      </c>
      <c r="C2194" s="6" t="s">
        <v>68</v>
      </c>
      <c r="D2194" s="6" t="s">
        <v>960</v>
      </c>
      <c r="E2194" s="6" t="s">
        <v>881</v>
      </c>
      <c r="F2194" s="6" t="str">
        <f>IF($M2194="PADD I","PADD 1",IF($M2194="PADD II","PADD 2",IF($M2194="PADD III","PADD 3",IF($M2194="PADD IV","PADD 4",IF($M2194="PADD V","PADD 5","")))))</f>
        <v>PADD 3</v>
      </c>
      <c r="G2194" s="6" t="str">
        <f>IF(AND($H2194="ATMOS DISTILLATION",ISNUMBER(SEARCH("VPS",$I2194))=FALSE,LEFT($I2194,6)&lt;&gt;"VACUUM"),"CDU",IF($H2194="FLUID CAT CRACKING","FCC",IF(OR($H2194="HYDROCRACKING",$H2194="RESID_HYDROCRACKING"),"Hydrocracker",IF($H2194="REFORMING","Reformer",""))))</f>
        <v>CDU</v>
      </c>
      <c r="H2194" s="6" t="s">
        <v>38</v>
      </c>
      <c r="I2194" s="6" t="s">
        <v>1047</v>
      </c>
      <c r="J2194" s="6" t="s">
        <v>349</v>
      </c>
      <c r="K2194" s="10">
        <v>12.87</v>
      </c>
      <c r="L2194" s="10">
        <v>33</v>
      </c>
      <c r="M2194" s="6" t="s">
        <v>371</v>
      </c>
    </row>
    <row r="2195" spans="1:13">
      <c r="A2195" s="6">
        <v>2023</v>
      </c>
      <c r="B2195" s="6">
        <v>10</v>
      </c>
      <c r="C2195" s="6" t="s">
        <v>68</v>
      </c>
      <c r="D2195" s="6" t="s">
        <v>380</v>
      </c>
      <c r="E2195" s="6" t="s">
        <v>381</v>
      </c>
      <c r="F2195" s="6" t="str">
        <f>IF($M2195="PADD I","PADD 1",IF($M2195="PADD II","PADD 2",IF($M2195="PADD III","PADD 3",IF($M2195="PADD IV","PADD 4",IF($M2195="PADD V","PADD 5","")))))</f>
        <v>PADD 3</v>
      </c>
      <c r="G2195" s="6">
        <f>IF(AND($H2195="ATMOS DISTILLATION",ISNUMBER(SEARCH("VPS",$I2195))=FALSE,LEFT($I2195,6)&lt;&gt;"VACUUM"),"CDU",IF($H2195="FLUID CAT CRACKING","FCC",IF(OR($H2195="HYDROCRACKING",$H2195="RESID_HYDROCRACKING"),"Hydrocracker",IF($H2195="REFORMING","Reformer",""))))</f>
        <v/>
      </c>
      <c r="H2195" s="6" t="s">
        <v>378</v>
      </c>
      <c r="I2195" s="6" t="s">
        <v>987</v>
      </c>
      <c r="J2195" s="6" t="s">
        <v>345</v>
      </c>
      <c r="K2195" s="10">
        <v>12.76</v>
      </c>
      <c r="L2195" s="10">
        <v>44</v>
      </c>
      <c r="M2195" s="6" t="s">
        <v>371</v>
      </c>
    </row>
    <row r="2196" spans="1:13">
      <c r="A2196" s="6">
        <v>2023</v>
      </c>
      <c r="B2196" s="6">
        <v>10</v>
      </c>
      <c r="C2196" s="6" t="s">
        <v>68</v>
      </c>
      <c r="D2196" s="6" t="s">
        <v>576</v>
      </c>
      <c r="E2196" s="6" t="s">
        <v>369</v>
      </c>
      <c r="F2196" s="6" t="str">
        <f>IF($M2196="PADD I","PADD 1",IF($M2196="PADD II","PADD 2",IF($M2196="PADD III","PADD 3",IF($M2196="PADD IV","PADD 4",IF($M2196="PADD V","PADD 5","")))))</f>
        <v>PADD 3</v>
      </c>
      <c r="G2196" s="6">
        <f>IF(AND($H2196="ATMOS DISTILLATION",ISNUMBER(SEARCH("VPS",$I2196))=FALSE,LEFT($I2196,6)&lt;&gt;"VACUUM"),"CDU",IF($H2196="FLUID CAT CRACKING","FCC",IF(OR($H2196="HYDROCRACKING",$H2196="RESID_HYDROCRACKING"),"Hydrocracker",IF($H2196="REFORMING","Reformer",""))))</f>
        <v/>
      </c>
      <c r="H2196" s="6" t="s">
        <v>43</v>
      </c>
      <c r="I2196" s="6" t="s">
        <v>983</v>
      </c>
      <c r="J2196" s="6" t="s">
        <v>349</v>
      </c>
      <c r="K2196" s="10">
        <v>12.65</v>
      </c>
      <c r="L2196" s="10">
        <v>55</v>
      </c>
      <c r="M2196" s="6" t="s">
        <v>371</v>
      </c>
    </row>
    <row r="2197" spans="1:13">
      <c r="A2197" s="6">
        <v>2023</v>
      </c>
      <c r="B2197" s="6">
        <v>10</v>
      </c>
      <c r="C2197" s="6" t="s">
        <v>68</v>
      </c>
      <c r="D2197" s="6" t="s">
        <v>576</v>
      </c>
      <c r="E2197" s="6" t="s">
        <v>369</v>
      </c>
      <c r="F2197" s="6" t="str">
        <f>IF($M2197="PADD I","PADD 1",IF($M2197="PADD II","PADD 2",IF($M2197="PADD III","PADD 3",IF($M2197="PADD IV","PADD 4",IF($M2197="PADD V","PADD 5","")))))</f>
        <v>PADD 3</v>
      </c>
      <c r="G2197" s="6">
        <f>IF(AND($H2197="ATMOS DISTILLATION",ISNUMBER(SEARCH("VPS",$I2197))=FALSE,LEFT($I2197,6)&lt;&gt;"VACUUM"),"CDU",IF($H2197="FLUID CAT CRACKING","FCC",IF(OR($H2197="HYDROCRACKING",$H2197="RESID_HYDROCRACKING"),"Hydrocracker",IF($H2197="REFORMING","Reformer",""))))</f>
        <v/>
      </c>
      <c r="H2197" s="6" t="s">
        <v>435</v>
      </c>
      <c r="I2197" s="6" t="s">
        <v>984</v>
      </c>
      <c r="J2197" s="6" t="s">
        <v>349</v>
      </c>
      <c r="K2197" s="10">
        <v>12.42</v>
      </c>
      <c r="L2197" s="10">
        <v>54</v>
      </c>
      <c r="M2197" s="6" t="s">
        <v>371</v>
      </c>
    </row>
    <row r="2198" spans="1:13">
      <c r="A2198" s="6">
        <v>2023</v>
      </c>
      <c r="B2198" s="6">
        <v>10</v>
      </c>
      <c r="C2198" s="6" t="s">
        <v>68</v>
      </c>
      <c r="D2198" s="6" t="s">
        <v>602</v>
      </c>
      <c r="E2198" s="6" t="s">
        <v>369</v>
      </c>
      <c r="F2198" s="6" t="str">
        <f>IF($M2198="PADD I","PADD 1",IF($M2198="PADD II","PADD 2",IF($M2198="PADD III","PADD 3",IF($M2198="PADD IV","PADD 4",IF($M2198="PADD V","PADD 5","")))))</f>
        <v>PADD 2</v>
      </c>
      <c r="G2198" s="6">
        <f>IF(AND($H2198="ATMOS DISTILLATION",ISNUMBER(SEARCH("VPS",$I2198))=FALSE,LEFT($I2198,6)&lt;&gt;"VACUUM"),"CDU",IF($H2198="FLUID CAT CRACKING","FCC",IF(OR($H2198="HYDROCRACKING",$H2198="RESID_HYDROCRACKING"),"Hydrocracker",IF($H2198="REFORMING","Reformer",""))))</f>
        <v/>
      </c>
      <c r="H2198" s="6" t="s">
        <v>568</v>
      </c>
      <c r="I2198" s="6" t="s">
        <v>1015</v>
      </c>
      <c r="J2198" s="6" t="s">
        <v>349</v>
      </c>
      <c r="K2198" s="10">
        <v>12</v>
      </c>
      <c r="L2198" s="10">
        <v>12</v>
      </c>
      <c r="M2198" s="6" t="s">
        <v>375</v>
      </c>
    </row>
    <row r="2199" spans="1:13">
      <c r="A2199" s="6">
        <v>2023</v>
      </c>
      <c r="B2199" s="6">
        <v>10</v>
      </c>
      <c r="C2199" s="6" t="s">
        <v>68</v>
      </c>
      <c r="D2199" s="6" t="s">
        <v>40</v>
      </c>
      <c r="E2199" s="6" t="s">
        <v>736</v>
      </c>
      <c r="F2199" s="6" t="str">
        <f>IF($M2199="PADD I","PADD 1",IF($M2199="PADD II","PADD 2",IF($M2199="PADD III","PADD 3",IF($M2199="PADD IV","PADD 4",IF($M2199="PADD V","PADD 5","")))))</f>
        <v>PADD 1</v>
      </c>
      <c r="G2199" s="6">
        <f>IF(AND($H2199="ATMOS DISTILLATION",ISNUMBER(SEARCH("VPS",$I2199))=FALSE,LEFT($I2199,6)&lt;&gt;"VACUUM"),"CDU",IF($H2199="FLUID CAT CRACKING","FCC",IF(OR($H2199="HYDROCRACKING",$H2199="RESID_HYDROCRACKING"),"Hydrocracker",IF($H2199="REFORMING","Reformer",""))))</f>
        <v/>
      </c>
      <c r="H2199" s="6" t="s">
        <v>460</v>
      </c>
      <c r="I2199" s="6" t="s">
        <v>760</v>
      </c>
      <c r="J2199" s="6" t="s">
        <v>349</v>
      </c>
      <c r="K2199" s="10">
        <v>12</v>
      </c>
      <c r="L2199" s="10">
        <v>12</v>
      </c>
      <c r="M2199" s="6" t="s">
        <v>413</v>
      </c>
    </row>
    <row r="2200" spans="1:13">
      <c r="A2200" s="6">
        <v>2023</v>
      </c>
      <c r="B2200" s="6">
        <v>10</v>
      </c>
      <c r="C2200" s="6" t="s">
        <v>68</v>
      </c>
      <c r="D2200" s="6" t="s">
        <v>662</v>
      </c>
      <c r="E2200" s="6" t="s">
        <v>552</v>
      </c>
      <c r="F2200" s="6" t="str">
        <f>IF($M2200="PADD I","PADD 1",IF($M2200="PADD II","PADD 2",IF($M2200="PADD III","PADD 3",IF($M2200="PADD IV","PADD 4",IF($M2200="PADD V","PADD 5","")))))</f>
        <v>PADD 3</v>
      </c>
      <c r="G2200" s="6">
        <f>IF(AND($H2200="ATMOS DISTILLATION",ISNUMBER(SEARCH("VPS",$I2200))=FALSE,LEFT($I2200,6)&lt;&gt;"VACUUM"),"CDU",IF($H2200="FLUID CAT CRACKING","FCC",IF(OR($H2200="HYDROCRACKING",$H2200="RESID_HYDROCRACKING"),"Hydrocracker",IF($H2200="REFORMING","Reformer",""))))</f>
        <v/>
      </c>
      <c r="H2200" s="6" t="s">
        <v>43</v>
      </c>
      <c r="I2200" s="6" t="s">
        <v>735</v>
      </c>
      <c r="J2200" s="6" t="s">
        <v>349</v>
      </c>
      <c r="K2200" s="10">
        <v>11.96</v>
      </c>
      <c r="L2200" s="10">
        <v>23</v>
      </c>
      <c r="M2200" s="6" t="s">
        <v>371</v>
      </c>
    </row>
    <row r="2201" spans="1:13">
      <c r="A2201" s="6">
        <v>2023</v>
      </c>
      <c r="B2201" s="6">
        <v>10</v>
      </c>
      <c r="C2201" s="6" t="s">
        <v>68</v>
      </c>
      <c r="D2201" s="6" t="s">
        <v>662</v>
      </c>
      <c r="E2201" s="6" t="s">
        <v>552</v>
      </c>
      <c r="F2201" s="6" t="str">
        <f>IF($M2201="PADD I","PADD 1",IF($M2201="PADD II","PADD 2",IF($M2201="PADD III","PADD 3",IF($M2201="PADD IV","PADD 4",IF($M2201="PADD V","PADD 5","")))))</f>
        <v>PADD 3</v>
      </c>
      <c r="G2201" s="6">
        <f>IF(AND($H2201="ATMOS DISTILLATION",ISNUMBER(SEARCH("VPS",$I2201))=FALSE,LEFT($I2201,6)&lt;&gt;"VACUUM"),"CDU",IF($H2201="FLUID CAT CRACKING","FCC",IF(OR($H2201="HYDROCRACKING",$H2201="RESID_HYDROCRACKING"),"Hydrocracker",IF($H2201="REFORMING","Reformer",""))))</f>
        <v/>
      </c>
      <c r="H2201" s="6" t="s">
        <v>378</v>
      </c>
      <c r="I2201" s="6" t="s">
        <v>431</v>
      </c>
      <c r="J2201" s="6" t="s">
        <v>349</v>
      </c>
      <c r="K2201" s="10">
        <v>11.52</v>
      </c>
      <c r="L2201" s="10">
        <v>24</v>
      </c>
      <c r="M2201" s="6" t="s">
        <v>371</v>
      </c>
    </row>
    <row r="2202" spans="1:13">
      <c r="A2202" s="6">
        <v>2023</v>
      </c>
      <c r="B2202" s="6">
        <v>10</v>
      </c>
      <c r="C2202" s="6" t="s">
        <v>68</v>
      </c>
      <c r="D2202" s="6" t="s">
        <v>628</v>
      </c>
      <c r="E2202" s="6" t="s">
        <v>388</v>
      </c>
      <c r="F2202" s="6" t="str">
        <f>IF($M2202="PADD I","PADD 1",IF($M2202="PADD II","PADD 2",IF($M2202="PADD III","PADD 3",IF($M2202="PADD IV","PADD 4",IF($M2202="PADD V","PADD 5","")))))</f>
        <v>PADD 3</v>
      </c>
      <c r="G2202" s="6" t="str">
        <f>IF(AND($H2202="ATMOS DISTILLATION",ISNUMBER(SEARCH("VPS",$I2202))=FALSE,LEFT($I2202,6)&lt;&gt;"VACUUM"),"CDU",IF($H2202="FLUID CAT CRACKING","FCC",IF(OR($H2202="HYDROCRACKING",$H2202="RESID_HYDROCRACKING"),"Hydrocracker",IF($H2202="REFORMING","Reformer",""))))</f>
        <v>CDU</v>
      </c>
      <c r="H2202" s="6" t="s">
        <v>38</v>
      </c>
      <c r="I2202" s="6" t="s">
        <v>1048</v>
      </c>
      <c r="J2202" s="6" t="s">
        <v>345</v>
      </c>
      <c r="K2202" s="10">
        <v>11.5</v>
      </c>
      <c r="L2202" s="10">
        <v>50</v>
      </c>
      <c r="M2202" s="6" t="s">
        <v>371</v>
      </c>
    </row>
    <row r="2203" spans="1:13">
      <c r="A2203" s="6">
        <v>2023</v>
      </c>
      <c r="B2203" s="6">
        <v>10</v>
      </c>
      <c r="C2203" s="6" t="s">
        <v>68</v>
      </c>
      <c r="D2203" s="6" t="s">
        <v>40</v>
      </c>
      <c r="E2203" s="6" t="s">
        <v>736</v>
      </c>
      <c r="F2203" s="6" t="str">
        <f>IF($M2203="PADD I","PADD 1",IF($M2203="PADD II","PADD 2",IF($M2203="PADD III","PADD 3",IF($M2203="PADD IV","PADD 4",IF($M2203="PADD V","PADD 5","")))))</f>
        <v>PADD 1</v>
      </c>
      <c r="G2203" s="6">
        <f>IF(AND($H2203="ATMOS DISTILLATION",ISNUMBER(SEARCH("VPS",$I2203))=FALSE,LEFT($I2203,6)&lt;&gt;"VACUUM"),"CDU",IF($H2203="FLUID CAT CRACKING","FCC",IF(OR($H2203="HYDROCRACKING",$H2203="RESID_HYDROCRACKING"),"Hydrocracker",IF($H2203="REFORMING","Reformer",""))))</f>
        <v/>
      </c>
      <c r="H2203" s="6" t="s">
        <v>43</v>
      </c>
      <c r="I2203" s="6" t="s">
        <v>1021</v>
      </c>
      <c r="J2203" s="6" t="s">
        <v>349</v>
      </c>
      <c r="K2203" s="10">
        <v>11.5</v>
      </c>
      <c r="L2203" s="10">
        <v>11.5</v>
      </c>
      <c r="M2203" s="6" t="s">
        <v>413</v>
      </c>
    </row>
    <row r="2204" spans="1:13">
      <c r="A2204" s="6">
        <v>2023</v>
      </c>
      <c r="B2204" s="6">
        <v>10</v>
      </c>
      <c r="C2204" s="6" t="s">
        <v>68</v>
      </c>
      <c r="D2204" s="6" t="s">
        <v>628</v>
      </c>
      <c r="E2204" s="6" t="s">
        <v>388</v>
      </c>
      <c r="F2204" s="6" t="str">
        <f>IF($M2204="PADD I","PADD 1",IF($M2204="PADD II","PADD 2",IF($M2204="PADD III","PADD 3",IF($M2204="PADD IV","PADD 4",IF($M2204="PADD V","PADD 5","")))))</f>
        <v>PADD 3</v>
      </c>
      <c r="G2204" s="6" t="str">
        <f>IF(AND($H2204="ATMOS DISTILLATION",ISNUMBER(SEARCH("VPS",$I2204))=FALSE,LEFT($I2204,6)&lt;&gt;"VACUUM"),"CDU",IF($H2204="FLUID CAT CRACKING","FCC",IF(OR($H2204="HYDROCRACKING",$H2204="RESID_HYDROCRACKING"),"Hydrocracker",IF($H2204="REFORMING","Reformer",""))))</f>
        <v>FCC</v>
      </c>
      <c r="H2204" s="6" t="s">
        <v>376</v>
      </c>
      <c r="I2204" s="6" t="s">
        <v>105</v>
      </c>
      <c r="J2204" s="6" t="s">
        <v>345</v>
      </c>
      <c r="K2204" s="10">
        <v>11.4</v>
      </c>
      <c r="L2204" s="10">
        <v>60</v>
      </c>
      <c r="M2204" s="6" t="s">
        <v>371</v>
      </c>
    </row>
    <row r="2205" spans="1:13">
      <c r="A2205" s="6">
        <v>2023</v>
      </c>
      <c r="B2205" s="6">
        <v>10</v>
      </c>
      <c r="C2205" s="6" t="s">
        <v>68</v>
      </c>
      <c r="D2205" s="6" t="s">
        <v>739</v>
      </c>
      <c r="E2205" s="6" t="s">
        <v>405</v>
      </c>
      <c r="F2205" s="6" t="str">
        <f>IF($M2205="PADD I","PADD 1",IF($M2205="PADD II","PADD 2",IF($M2205="PADD III","PADD 3",IF($M2205="PADD IV","PADD 4",IF($M2205="PADD V","PADD 5","")))))</f>
        <v>PADD 2</v>
      </c>
      <c r="G2205" s="6">
        <f>IF(AND($H2205="ATMOS DISTILLATION",ISNUMBER(SEARCH("VPS",$I2205))=FALSE,LEFT($I2205,6)&lt;&gt;"VACUUM"),"CDU",IF($H2205="FLUID CAT CRACKING","FCC",IF(OR($H2205="HYDROCRACKING",$H2205="RESID_HYDROCRACKING"),"Hydrocracker",IF($H2205="REFORMING","Reformer",""))))</f>
        <v/>
      </c>
      <c r="H2205" s="6" t="s">
        <v>43</v>
      </c>
      <c r="I2205" s="6" t="s">
        <v>740</v>
      </c>
      <c r="J2205" s="6" t="s">
        <v>345</v>
      </c>
      <c r="K2205" s="10">
        <v>11.2</v>
      </c>
      <c r="L2205" s="10">
        <v>32</v>
      </c>
      <c r="M2205" s="6" t="s">
        <v>375</v>
      </c>
    </row>
    <row r="2206" spans="1:13">
      <c r="A2206" s="6">
        <v>2023</v>
      </c>
      <c r="B2206" s="6">
        <v>10</v>
      </c>
      <c r="C2206" s="6" t="s">
        <v>68</v>
      </c>
      <c r="D2206" s="6" t="s">
        <v>662</v>
      </c>
      <c r="E2206" s="6" t="s">
        <v>552</v>
      </c>
      <c r="F2206" s="6" t="str">
        <f>IF($M2206="PADD I","PADD 1",IF($M2206="PADD II","PADD 2",IF($M2206="PADD III","PADD 3",IF($M2206="PADD IV","PADD 4",IF($M2206="PADD V","PADD 5","")))))</f>
        <v>PADD 3</v>
      </c>
      <c r="G2206" s="6" t="str">
        <f>IF(AND($H2206="ATMOS DISTILLATION",ISNUMBER(SEARCH("VPS",$I2206))=FALSE,LEFT($I2206,6)&lt;&gt;"VACUUM"),"CDU",IF($H2206="FLUID CAT CRACKING","FCC",IF(OR($H2206="HYDROCRACKING",$H2206="RESID_HYDROCRACKING"),"Hydrocracker",IF($H2206="REFORMING","Reformer",""))))</f>
        <v>Reformer</v>
      </c>
      <c r="H2206" s="6" t="s">
        <v>421</v>
      </c>
      <c r="I2206" s="6" t="s">
        <v>1049</v>
      </c>
      <c r="J2206" s="6" t="s">
        <v>349</v>
      </c>
      <c r="K2206" s="10">
        <v>11.18</v>
      </c>
      <c r="L2206" s="10">
        <v>21.5</v>
      </c>
      <c r="M2206" s="6" t="s">
        <v>371</v>
      </c>
    </row>
    <row r="2207" spans="1:13">
      <c r="A2207" s="6">
        <v>2023</v>
      </c>
      <c r="B2207" s="6">
        <v>10</v>
      </c>
      <c r="C2207" s="6" t="s">
        <v>68</v>
      </c>
      <c r="D2207" s="6" t="s">
        <v>662</v>
      </c>
      <c r="E2207" s="6" t="s">
        <v>552</v>
      </c>
      <c r="F2207" s="6" t="str">
        <f>IF($M2207="PADD I","PADD 1",IF($M2207="PADD II","PADD 2",IF($M2207="PADD III","PADD 3",IF($M2207="PADD IV","PADD 4",IF($M2207="PADD V","PADD 5","")))))</f>
        <v>PADD 3</v>
      </c>
      <c r="G2207" s="6" t="str">
        <f>IF(AND($H2207="ATMOS DISTILLATION",ISNUMBER(SEARCH("VPS",$I2207))=FALSE,LEFT($I2207,6)&lt;&gt;"VACUUM"),"CDU",IF($H2207="FLUID CAT CRACKING","FCC",IF(OR($H2207="HYDROCRACKING",$H2207="RESID_HYDROCRACKING"),"Hydrocracker",IF($H2207="REFORMING","Reformer",""))))</f>
        <v>Reformer</v>
      </c>
      <c r="H2207" s="6" t="s">
        <v>421</v>
      </c>
      <c r="I2207" s="6" t="s">
        <v>1050</v>
      </c>
      <c r="J2207" s="6" t="s">
        <v>349</v>
      </c>
      <c r="K2207" s="10">
        <v>10.92</v>
      </c>
      <c r="L2207" s="10">
        <v>21</v>
      </c>
      <c r="M2207" s="6" t="s">
        <v>371</v>
      </c>
    </row>
    <row r="2208" spans="1:13">
      <c r="A2208" s="6">
        <v>2023</v>
      </c>
      <c r="B2208" s="6">
        <v>10</v>
      </c>
      <c r="C2208" s="6" t="s">
        <v>68</v>
      </c>
      <c r="D2208" s="6" t="s">
        <v>807</v>
      </c>
      <c r="E2208" s="6" t="s">
        <v>779</v>
      </c>
      <c r="F2208" s="6" t="str">
        <f>IF($M2208="PADD I","PADD 1",IF($M2208="PADD II","PADD 2",IF($M2208="PADD III","PADD 3",IF($M2208="PADD IV","PADD 4",IF($M2208="PADD V","PADD 5","")))))</f>
        <v>PADD 3</v>
      </c>
      <c r="G2208" s="6" t="str">
        <f>IF(AND($H2208="ATMOS DISTILLATION",ISNUMBER(SEARCH("VPS",$I2208))=FALSE,LEFT($I2208,6)&lt;&gt;"VACUUM"),"CDU",IF($H2208="FLUID CAT CRACKING","FCC",IF(OR($H2208="HYDROCRACKING",$H2208="RESID_HYDROCRACKING"),"Hydrocracker",IF($H2208="REFORMING","Reformer",""))))</f>
        <v>CDU</v>
      </c>
      <c r="H2208" s="6" t="s">
        <v>38</v>
      </c>
      <c r="I2208" s="6" t="s">
        <v>135</v>
      </c>
      <c r="J2208" s="6" t="s">
        <v>345</v>
      </c>
      <c r="K2208" s="10">
        <v>10.72</v>
      </c>
      <c r="L2208" s="10">
        <v>67</v>
      </c>
      <c r="M2208" s="6" t="s">
        <v>371</v>
      </c>
    </row>
    <row r="2209" spans="1:13">
      <c r="A2209" s="6">
        <v>2023</v>
      </c>
      <c r="B2209" s="6">
        <v>10</v>
      </c>
      <c r="C2209" s="6" t="s">
        <v>68</v>
      </c>
      <c r="D2209" s="6" t="s">
        <v>960</v>
      </c>
      <c r="E2209" s="6" t="s">
        <v>881</v>
      </c>
      <c r="F2209" s="6" t="str">
        <f>IF($M2209="PADD I","PADD 1",IF($M2209="PADD II","PADD 2",IF($M2209="PADD III","PADD 3",IF($M2209="PADD IV","PADD 4",IF($M2209="PADD V","PADD 5","")))))</f>
        <v>PADD 3</v>
      </c>
      <c r="G2209" s="6" t="str">
        <f>IF(AND($H2209="ATMOS DISTILLATION",ISNUMBER(SEARCH("VPS",$I2209))=FALSE,LEFT($I2209,6)&lt;&gt;"VACUUM"),"CDU",IF($H2209="FLUID CAT CRACKING","FCC",IF(OR($H2209="HYDROCRACKING",$H2209="RESID_HYDROCRACKING"),"Hydrocracker",IF($H2209="REFORMING","Reformer",""))))</f>
        <v>CDU</v>
      </c>
      <c r="H2209" s="6" t="s">
        <v>38</v>
      </c>
      <c r="I2209" s="6" t="s">
        <v>374</v>
      </c>
      <c r="J2209" s="6" t="s">
        <v>349</v>
      </c>
      <c r="K2209" s="10">
        <v>10.53</v>
      </c>
      <c r="L2209" s="10">
        <v>27</v>
      </c>
      <c r="M2209" s="6" t="s">
        <v>371</v>
      </c>
    </row>
    <row r="2210" spans="1:13">
      <c r="A2210" s="6">
        <v>2023</v>
      </c>
      <c r="B2210" s="6">
        <v>10</v>
      </c>
      <c r="C2210" s="6" t="s">
        <v>68</v>
      </c>
      <c r="D2210" s="6" t="s">
        <v>531</v>
      </c>
      <c r="E2210" s="6" t="s">
        <v>532</v>
      </c>
      <c r="F2210" s="6" t="str">
        <f>IF($M2210="PADD I","PADD 1",IF($M2210="PADD II","PADD 2",IF($M2210="PADD III","PADD 3",IF($M2210="PADD IV","PADD 4",IF($M2210="PADD V","PADD 5","")))))</f>
        <v>PADD 5</v>
      </c>
      <c r="G2210" s="6">
        <f>IF(AND($H2210="ATMOS DISTILLATION",ISNUMBER(SEARCH("VPS",$I2210))=FALSE,LEFT($I2210,6)&lt;&gt;"VACUUM"),"CDU",IF($H2210="FLUID CAT CRACKING","FCC",IF(OR($H2210="HYDROCRACKING",$H2210="RESID_HYDROCRACKING"),"Hydrocracker",IF($H2210="REFORMING","Reformer",""))))</f>
        <v/>
      </c>
      <c r="H2210" s="6" t="s">
        <v>378</v>
      </c>
      <c r="I2210" s="6" t="s">
        <v>379</v>
      </c>
      <c r="J2210" s="6" t="s">
        <v>345</v>
      </c>
      <c r="K2210" s="10">
        <v>10.29</v>
      </c>
      <c r="L2210" s="10">
        <v>29.4</v>
      </c>
      <c r="M2210" s="6" t="s">
        <v>386</v>
      </c>
    </row>
    <row r="2211" spans="1:13">
      <c r="A2211" s="6">
        <v>2023</v>
      </c>
      <c r="B2211" s="6">
        <v>10</v>
      </c>
      <c r="C2211" s="6" t="s">
        <v>68</v>
      </c>
      <c r="D2211" s="6" t="s">
        <v>1043</v>
      </c>
      <c r="E2211" s="6" t="s">
        <v>388</v>
      </c>
      <c r="F2211" s="6" t="str">
        <f>IF($M2211="PADD I","PADD 1",IF($M2211="PADD II","PADD 2",IF($M2211="PADD III","PADD 3",IF($M2211="PADD IV","PADD 4",IF($M2211="PADD V","PADD 5","")))))</f>
        <v>PADD 2</v>
      </c>
      <c r="G2211" s="6">
        <f>IF(AND($H2211="ATMOS DISTILLATION",ISNUMBER(SEARCH("VPS",$I2211))=FALSE,LEFT($I2211,6)&lt;&gt;"VACUUM"),"CDU",IF($H2211="FLUID CAT CRACKING","FCC",IF(OR($H2211="HYDROCRACKING",$H2211="RESID_HYDROCRACKING"),"Hydrocracker",IF($H2211="REFORMING","Reformer",""))))</f>
        <v/>
      </c>
      <c r="H2211" s="6" t="s">
        <v>43</v>
      </c>
      <c r="I2211" s="6" t="s">
        <v>1051</v>
      </c>
      <c r="J2211" s="6" t="s">
        <v>345</v>
      </c>
      <c r="K2211" s="10">
        <v>9.906000000000001</v>
      </c>
      <c r="L2211" s="10">
        <v>25.4</v>
      </c>
      <c r="M2211" s="6" t="s">
        <v>375</v>
      </c>
    </row>
    <row r="2212" spans="1:13">
      <c r="A2212" s="6">
        <v>2023</v>
      </c>
      <c r="B2212" s="6">
        <v>10</v>
      </c>
      <c r="C2212" s="6" t="s">
        <v>68</v>
      </c>
      <c r="D2212" s="6" t="s">
        <v>1043</v>
      </c>
      <c r="E2212" s="6" t="s">
        <v>388</v>
      </c>
      <c r="F2212" s="6" t="str">
        <f>IF($M2212="PADD I","PADD 1",IF($M2212="PADD II","PADD 2",IF($M2212="PADD III","PADD 3",IF($M2212="PADD IV","PADD 4",IF($M2212="PADD V","PADD 5","")))))</f>
        <v>PADD 2</v>
      </c>
      <c r="G2212" s="6">
        <f>IF(AND($H2212="ATMOS DISTILLATION",ISNUMBER(SEARCH("VPS",$I2212))=FALSE,LEFT($I2212,6)&lt;&gt;"VACUUM"),"CDU",IF($H2212="FLUID CAT CRACKING","FCC",IF(OR($H2212="HYDROCRACKING",$H2212="RESID_HYDROCRACKING"),"Hydrocracker",IF($H2212="REFORMING","Reformer",""))))</f>
        <v/>
      </c>
      <c r="H2212" s="6" t="s">
        <v>43</v>
      </c>
      <c r="I2212" s="6" t="s">
        <v>1052</v>
      </c>
      <c r="J2212" s="6" t="s">
        <v>345</v>
      </c>
      <c r="K2212" s="10">
        <v>9.282</v>
      </c>
      <c r="L2212" s="10">
        <v>23.8</v>
      </c>
      <c r="M2212" s="6" t="s">
        <v>375</v>
      </c>
    </row>
    <row r="2213" spans="1:13">
      <c r="A2213" s="6">
        <v>2023</v>
      </c>
      <c r="B2213" s="6">
        <v>10</v>
      </c>
      <c r="C2213" s="6" t="s">
        <v>68</v>
      </c>
      <c r="D2213" s="6" t="s">
        <v>451</v>
      </c>
      <c r="E2213" s="6" t="s">
        <v>452</v>
      </c>
      <c r="F2213" s="6" t="str">
        <f>IF($M2213="PADD I","PADD 1",IF($M2213="PADD II","PADD 2",IF($M2213="PADD III","PADD 3",IF($M2213="PADD IV","PADD 4",IF($M2213="PADD V","PADD 5","")))))</f>
        <v>PADD 2</v>
      </c>
      <c r="G2213" s="6" t="str">
        <f>IF(AND($H2213="ATMOS DISTILLATION",ISNUMBER(SEARCH("VPS",$I2213))=FALSE,LEFT($I2213,6)&lt;&gt;"VACUUM"),"CDU",IF($H2213="FLUID CAT CRACKING","FCC",IF(OR($H2213="HYDROCRACKING",$H2213="RESID_HYDROCRACKING"),"Hydrocracker",IF($H2213="REFORMING","Reformer",""))))</f>
        <v>CDU</v>
      </c>
      <c r="H2213" s="6" t="s">
        <v>38</v>
      </c>
      <c r="I2213" s="6" t="s">
        <v>481</v>
      </c>
      <c r="J2213" s="6" t="s">
        <v>349</v>
      </c>
      <c r="K2213" s="10">
        <v>9.199999999999999</v>
      </c>
      <c r="L2213" s="10">
        <v>40</v>
      </c>
      <c r="M2213" s="6" t="s">
        <v>375</v>
      </c>
    </row>
    <row r="2214" spans="1:13">
      <c r="A2214" s="6">
        <v>2023</v>
      </c>
      <c r="B2214" s="6">
        <v>10</v>
      </c>
      <c r="C2214" s="6" t="s">
        <v>68</v>
      </c>
      <c r="D2214" s="6" t="s">
        <v>602</v>
      </c>
      <c r="E2214" s="6" t="s">
        <v>369</v>
      </c>
      <c r="F2214" s="6" t="str">
        <f>IF($M2214="PADD I","PADD 1",IF($M2214="PADD II","PADD 2",IF($M2214="PADD III","PADD 3",IF($M2214="PADD IV","PADD 4",IF($M2214="PADD V","PADD 5","")))))</f>
        <v>PADD 2</v>
      </c>
      <c r="G2214" s="6">
        <f>IF(AND($H2214="ATMOS DISTILLATION",ISNUMBER(SEARCH("VPS",$I2214))=FALSE,LEFT($I2214,6)&lt;&gt;"VACUUM"),"CDU",IF($H2214="FLUID CAT CRACKING","FCC",IF(OR($H2214="HYDROCRACKING",$H2214="RESID_HYDROCRACKING"),"Hydrocracker",IF($H2214="REFORMING","Reformer",""))))</f>
        <v/>
      </c>
      <c r="H2214" s="6" t="s">
        <v>568</v>
      </c>
      <c r="I2214" s="6" t="s">
        <v>604</v>
      </c>
      <c r="J2214" s="6" t="s">
        <v>349</v>
      </c>
      <c r="K2214" s="10">
        <v>9</v>
      </c>
      <c r="L2214" s="10">
        <v>9</v>
      </c>
      <c r="M2214" s="6" t="s">
        <v>375</v>
      </c>
    </row>
    <row r="2215" spans="1:13">
      <c r="A2215" s="6">
        <v>2023</v>
      </c>
      <c r="B2215" s="6">
        <v>10</v>
      </c>
      <c r="C2215" s="6" t="s">
        <v>68</v>
      </c>
      <c r="D2215" s="6" t="s">
        <v>807</v>
      </c>
      <c r="E2215" s="6" t="s">
        <v>779</v>
      </c>
      <c r="F2215" s="6" t="str">
        <f>IF($M2215="PADD I","PADD 1",IF($M2215="PADD II","PADD 2",IF($M2215="PADD III","PADD 3",IF($M2215="PADD IV","PADD 4",IF($M2215="PADD V","PADD 5","")))))</f>
        <v>PADD 3</v>
      </c>
      <c r="G2215" s="6" t="str">
        <f>IF(AND($H2215="ATMOS DISTILLATION",ISNUMBER(SEARCH("VPS",$I2215))=FALSE,LEFT($I2215,6)&lt;&gt;"VACUUM"),"CDU",IF($H2215="FLUID CAT CRACKING","FCC",IF(OR($H2215="HYDROCRACKING",$H2215="RESID_HYDROCRACKING"),"Hydrocracker",IF($H2215="REFORMING","Reformer",""))))</f>
        <v>FCC</v>
      </c>
      <c r="H2215" s="6" t="s">
        <v>376</v>
      </c>
      <c r="I2215" s="6" t="s">
        <v>428</v>
      </c>
      <c r="J2215" s="6" t="s">
        <v>345</v>
      </c>
      <c r="K2215" s="10">
        <v>8.800000000000001</v>
      </c>
      <c r="L2215" s="10">
        <v>55</v>
      </c>
      <c r="M2215" s="6" t="s">
        <v>371</v>
      </c>
    </row>
    <row r="2216" spans="1:13">
      <c r="A2216" s="6">
        <v>2023</v>
      </c>
      <c r="B2216" s="6">
        <v>10</v>
      </c>
      <c r="C2216" s="6" t="s">
        <v>68</v>
      </c>
      <c r="D2216" s="6" t="s">
        <v>328</v>
      </c>
      <c r="E2216" s="6" t="s">
        <v>416</v>
      </c>
      <c r="F2216" s="6" t="str">
        <f>IF($M2216="PADD I","PADD 1",IF($M2216="PADD II","PADD 2",IF($M2216="PADD III","PADD 3",IF($M2216="PADD IV","PADD 4",IF($M2216="PADD V","PADD 5","")))))</f>
        <v>PADD 2</v>
      </c>
      <c r="G2216" s="6">
        <f>IF(AND($H2216="ATMOS DISTILLATION",ISNUMBER(SEARCH("VPS",$I2216))=FALSE,LEFT($I2216,6)&lt;&gt;"VACUUM"),"CDU",IF($H2216="FLUID CAT CRACKING","FCC",IF(OR($H2216="HYDROCRACKING",$H2216="RESID_HYDROCRACKING"),"Hydrocracker",IF($H2216="REFORMING","Reformer",""))))</f>
        <v/>
      </c>
      <c r="H2216" s="6" t="s">
        <v>43</v>
      </c>
      <c r="I2216" s="6" t="s">
        <v>520</v>
      </c>
      <c r="J2216" s="6" t="s">
        <v>349</v>
      </c>
      <c r="K2216" s="10">
        <v>8.550000000000001</v>
      </c>
      <c r="L2216" s="10">
        <v>45</v>
      </c>
      <c r="M2216" s="6" t="s">
        <v>375</v>
      </c>
    </row>
    <row r="2217" spans="1:13">
      <c r="A2217" s="6">
        <v>2023</v>
      </c>
      <c r="B2217" s="6">
        <v>10</v>
      </c>
      <c r="C2217" s="6" t="s">
        <v>68</v>
      </c>
      <c r="D2217" s="6" t="s">
        <v>420</v>
      </c>
      <c r="E2217" s="6" t="s">
        <v>373</v>
      </c>
      <c r="F2217" s="6" t="str">
        <f>IF($M2217="PADD I","PADD 1",IF($M2217="PADD II","PADD 2",IF($M2217="PADD III","PADD 3",IF($M2217="PADD IV","PADD 4",IF($M2217="PADD V","PADD 5","")))))</f>
        <v>PADD 2</v>
      </c>
      <c r="G2217" s="6" t="str">
        <f>IF(AND($H2217="ATMOS DISTILLATION",ISNUMBER(SEARCH("VPS",$I2217))=FALSE,LEFT($I2217,6)&lt;&gt;"VACUUM"),"CDU",IF($H2217="FLUID CAT CRACKING","FCC",IF(OR($H2217="HYDROCRACKING",$H2217="RESID_HYDROCRACKING"),"Hydrocracker",IF($H2217="REFORMING","Reformer",""))))</f>
        <v>FCC</v>
      </c>
      <c r="H2217" s="6" t="s">
        <v>376</v>
      </c>
      <c r="I2217" s="6" t="s">
        <v>105</v>
      </c>
      <c r="J2217" s="6" t="s">
        <v>345</v>
      </c>
      <c r="K2217" s="10">
        <v>8.449999999999999</v>
      </c>
      <c r="L2217" s="10">
        <v>13</v>
      </c>
      <c r="M2217" s="6" t="s">
        <v>375</v>
      </c>
    </row>
    <row r="2218" spans="1:13">
      <c r="A2218" s="6">
        <v>2023</v>
      </c>
      <c r="B2218" s="6">
        <v>10</v>
      </c>
      <c r="C2218" s="6" t="s">
        <v>68</v>
      </c>
      <c r="D2218" s="6" t="s">
        <v>434</v>
      </c>
      <c r="E2218" s="6" t="s">
        <v>388</v>
      </c>
      <c r="F2218" s="6" t="str">
        <f>IF($M2218="PADD I","PADD 1",IF($M2218="PADD II","PADD 2",IF($M2218="PADD III","PADD 3",IF($M2218="PADD IV","PADD 4",IF($M2218="PADD V","PADD 5","")))))</f>
        <v>PADD 5</v>
      </c>
      <c r="G2218" s="6" t="str">
        <f>IF(AND($H2218="ATMOS DISTILLATION",ISNUMBER(SEARCH("VPS",$I2218))=FALSE,LEFT($I2218,6)&lt;&gt;"VACUUM"),"CDU",IF($H2218="FLUID CAT CRACKING","FCC",IF(OR($H2218="HYDROCRACKING",$H2218="RESID_HYDROCRACKING"),"Hydrocracker",IF($H2218="REFORMING","Reformer",""))))</f>
        <v>Reformer</v>
      </c>
      <c r="H2218" s="6" t="s">
        <v>421</v>
      </c>
      <c r="I2218" s="6" t="s">
        <v>671</v>
      </c>
      <c r="J2218" s="6" t="s">
        <v>345</v>
      </c>
      <c r="K2218" s="10">
        <v>8.449999999999999</v>
      </c>
      <c r="L2218" s="10">
        <v>13</v>
      </c>
      <c r="M2218" s="6" t="s">
        <v>386</v>
      </c>
    </row>
    <row r="2219" spans="1:13">
      <c r="A2219" s="6">
        <v>2023</v>
      </c>
      <c r="B2219" s="6">
        <v>10</v>
      </c>
      <c r="C2219" s="6" t="s">
        <v>68</v>
      </c>
      <c r="D2219" s="6" t="s">
        <v>328</v>
      </c>
      <c r="E2219" s="6" t="s">
        <v>416</v>
      </c>
      <c r="F2219" s="6" t="str">
        <f>IF($M2219="PADD I","PADD 1",IF($M2219="PADD II","PADD 2",IF($M2219="PADD III","PADD 3",IF($M2219="PADD IV","PADD 4",IF($M2219="PADD V","PADD 5","")))))</f>
        <v>PADD 2</v>
      </c>
      <c r="G2219" s="6" t="str">
        <f>IF(AND($H2219="ATMOS DISTILLATION",ISNUMBER(SEARCH("VPS",$I2219))=FALSE,LEFT($I2219,6)&lt;&gt;"VACUUM"),"CDU",IF($H2219="FLUID CAT CRACKING","FCC",IF(OR($H2219="HYDROCRACKING",$H2219="RESID_HYDROCRACKING"),"Hydrocracker",IF($H2219="REFORMING","Reformer",""))))</f>
        <v>CDU</v>
      </c>
      <c r="H2219" s="6" t="s">
        <v>38</v>
      </c>
      <c r="I2219" s="6" t="s">
        <v>91</v>
      </c>
      <c r="J2219" s="6" t="s">
        <v>349</v>
      </c>
      <c r="K2219" s="10">
        <v>8.3125</v>
      </c>
      <c r="L2219" s="10">
        <v>43.75</v>
      </c>
      <c r="M2219" s="6" t="s">
        <v>375</v>
      </c>
    </row>
    <row r="2220" spans="1:13">
      <c r="A2220" s="6">
        <v>2023</v>
      </c>
      <c r="B2220" s="6">
        <v>10</v>
      </c>
      <c r="C2220" s="6" t="s">
        <v>68</v>
      </c>
      <c r="D2220" s="6" t="s">
        <v>730</v>
      </c>
      <c r="E2220" s="6" t="s">
        <v>731</v>
      </c>
      <c r="F2220" s="6" t="str">
        <f>IF($M2220="PADD I","PADD 1",IF($M2220="PADD II","PADD 2",IF($M2220="PADD III","PADD 3",IF($M2220="PADD IV","PADD 4",IF($M2220="PADD V","PADD 5","")))))</f>
        <v>PADD 3</v>
      </c>
      <c r="G2220" s="6" t="str">
        <f>IF(AND($H2220="ATMOS DISTILLATION",ISNUMBER(SEARCH("VPS",$I2220))=FALSE,LEFT($I2220,6)&lt;&gt;"VACUUM"),"CDU",IF($H2220="FLUID CAT CRACKING","FCC",IF(OR($H2220="HYDROCRACKING",$H2220="RESID_HYDROCRACKING"),"Hydrocracker",IF($H2220="REFORMING","Reformer",""))))</f>
        <v>Reformer</v>
      </c>
      <c r="H2220" s="6" t="s">
        <v>421</v>
      </c>
      <c r="I2220" s="6" t="s">
        <v>15</v>
      </c>
      <c r="J2220" s="6" t="s">
        <v>349</v>
      </c>
      <c r="K2220" s="10">
        <v>8.140000000000001</v>
      </c>
      <c r="L2220" s="10">
        <v>11</v>
      </c>
      <c r="M2220" s="6" t="s">
        <v>371</v>
      </c>
    </row>
    <row r="2221" spans="1:13">
      <c r="A2221" s="6">
        <v>2023</v>
      </c>
      <c r="B2221" s="6">
        <v>10</v>
      </c>
      <c r="C2221" s="6" t="s">
        <v>68</v>
      </c>
      <c r="D2221" s="6" t="s">
        <v>628</v>
      </c>
      <c r="E2221" s="6" t="s">
        <v>388</v>
      </c>
      <c r="F2221" s="6" t="str">
        <f>IF($M2221="PADD I","PADD 1",IF($M2221="PADD II","PADD 2",IF($M2221="PADD III","PADD 3",IF($M2221="PADD IV","PADD 4",IF($M2221="PADD V","PADD 5","")))))</f>
        <v>PADD 3</v>
      </c>
      <c r="G2221" s="6" t="str">
        <f>IF(AND($H2221="ATMOS DISTILLATION",ISNUMBER(SEARCH("VPS",$I2221))=FALSE,LEFT($I2221,6)&lt;&gt;"VACUUM"),"CDU",IF($H2221="FLUID CAT CRACKING","FCC",IF(OR($H2221="HYDROCRACKING",$H2221="RESID_HYDROCRACKING"),"Hydrocracker",IF($H2221="REFORMING","Reformer",""))))</f>
        <v>CDU</v>
      </c>
      <c r="H2221" s="6" t="s">
        <v>38</v>
      </c>
      <c r="I2221" s="6" t="s">
        <v>1053</v>
      </c>
      <c r="J2221" s="6" t="s">
        <v>345</v>
      </c>
      <c r="K2221" s="10">
        <v>8.050000000000001</v>
      </c>
      <c r="L2221" s="10">
        <v>35</v>
      </c>
      <c r="M2221" s="6" t="s">
        <v>371</v>
      </c>
    </row>
    <row r="2222" spans="1:13">
      <c r="A2222" s="6">
        <v>2023</v>
      </c>
      <c r="B2222" s="6">
        <v>10</v>
      </c>
      <c r="C2222" s="6" t="s">
        <v>68</v>
      </c>
      <c r="D2222" s="6" t="s">
        <v>807</v>
      </c>
      <c r="E2222" s="6" t="s">
        <v>779</v>
      </c>
      <c r="F2222" s="6" t="str">
        <f>IF($M2222="PADD I","PADD 1",IF($M2222="PADD II","PADD 2",IF($M2222="PADD III","PADD 3",IF($M2222="PADD IV","PADD 4",IF($M2222="PADD V","PADD 5","")))))</f>
        <v>PADD 3</v>
      </c>
      <c r="G2222" s="6">
        <f>IF(AND($H2222="ATMOS DISTILLATION",ISNUMBER(SEARCH("VPS",$I2222))=FALSE,LEFT($I2222,6)&lt;&gt;"VACUUM"),"CDU",IF($H2222="FLUID CAT CRACKING","FCC",IF(OR($H2222="HYDROCRACKING",$H2222="RESID_HYDROCRACKING"),"Hydrocracker",IF($H2222="REFORMING","Reformer",""))))</f>
        <v/>
      </c>
      <c r="H2222" s="6" t="s">
        <v>43</v>
      </c>
      <c r="I2222" s="6" t="s">
        <v>793</v>
      </c>
      <c r="J2222" s="6" t="s">
        <v>345</v>
      </c>
      <c r="K2222" s="10">
        <v>8</v>
      </c>
      <c r="L2222" s="10">
        <v>50</v>
      </c>
      <c r="M2222" s="6" t="s">
        <v>371</v>
      </c>
    </row>
    <row r="2223" spans="1:13">
      <c r="A2223" s="6">
        <v>2023</v>
      </c>
      <c r="B2223" s="6">
        <v>10</v>
      </c>
      <c r="C2223" s="6" t="s">
        <v>68</v>
      </c>
      <c r="D2223" s="6" t="s">
        <v>420</v>
      </c>
      <c r="E2223" s="6" t="s">
        <v>373</v>
      </c>
      <c r="F2223" s="6" t="str">
        <f>IF($M2223="PADD I","PADD 1",IF($M2223="PADD II","PADD 2",IF($M2223="PADD III","PADD 3",IF($M2223="PADD IV","PADD 4",IF($M2223="PADD V","PADD 5","")))))</f>
        <v>PADD 2</v>
      </c>
      <c r="G2223" s="6" t="str">
        <f>IF(AND($H2223="ATMOS DISTILLATION",ISNUMBER(SEARCH("VPS",$I2223))=FALSE,LEFT($I2223,6)&lt;&gt;"VACUUM"),"CDU",IF($H2223="FLUID CAT CRACKING","FCC",IF(OR($H2223="HYDROCRACKING",$H2223="RESID_HYDROCRACKING"),"Hydrocracker",IF($H2223="REFORMING","Reformer",""))))</f>
        <v>Reformer</v>
      </c>
      <c r="H2223" s="6" t="s">
        <v>421</v>
      </c>
      <c r="I2223" s="6" t="s">
        <v>571</v>
      </c>
      <c r="J2223" s="6" t="s">
        <v>345</v>
      </c>
      <c r="K2223" s="10">
        <v>8</v>
      </c>
      <c r="L2223" s="10">
        <v>8</v>
      </c>
      <c r="M2223" s="6" t="s">
        <v>375</v>
      </c>
    </row>
    <row r="2224" spans="1:13">
      <c r="A2224" s="6">
        <v>2023</v>
      </c>
      <c r="B2224" s="6">
        <v>10</v>
      </c>
      <c r="C2224" s="6" t="s">
        <v>68</v>
      </c>
      <c r="D2224" s="6" t="s">
        <v>1043</v>
      </c>
      <c r="E2224" s="6" t="s">
        <v>388</v>
      </c>
      <c r="F2224" s="6" t="str">
        <f>IF($M2224="PADD I","PADD 1",IF($M2224="PADD II","PADD 2",IF($M2224="PADD III","PADD 3",IF($M2224="PADD IV","PADD 4",IF($M2224="PADD V","PADD 5","")))))</f>
        <v>PADD 2</v>
      </c>
      <c r="G2224" s="6" t="str">
        <f>IF(AND($H2224="ATMOS DISTILLATION",ISNUMBER(SEARCH("VPS",$I2224))=FALSE,LEFT($I2224,6)&lt;&gt;"VACUUM"),"CDU",IF($H2224="FLUID CAT CRACKING","FCC",IF(OR($H2224="HYDROCRACKING",$H2224="RESID_HYDROCRACKING"),"Hydrocracker",IF($H2224="REFORMING","Reformer",""))))</f>
        <v>FCC</v>
      </c>
      <c r="H2224" s="6" t="s">
        <v>376</v>
      </c>
      <c r="I2224" s="6" t="s">
        <v>105</v>
      </c>
      <c r="J2224" s="6" t="s">
        <v>345</v>
      </c>
      <c r="K2224" s="10">
        <v>7.54</v>
      </c>
      <c r="L2224" s="10">
        <v>26</v>
      </c>
      <c r="M2224" s="6" t="s">
        <v>375</v>
      </c>
    </row>
    <row r="2225" spans="1:13">
      <c r="A2225" s="6">
        <v>2023</v>
      </c>
      <c r="B2225" s="6">
        <v>10</v>
      </c>
      <c r="C2225" s="6" t="s">
        <v>68</v>
      </c>
      <c r="D2225" s="6" t="s">
        <v>778</v>
      </c>
      <c r="E2225" s="6" t="s">
        <v>779</v>
      </c>
      <c r="F2225" s="6" t="str">
        <f>IF($M2225="PADD I","PADD 1",IF($M2225="PADD II","PADD 2",IF($M2225="PADD III","PADD 3",IF($M2225="PADD IV","PADD 4",IF($M2225="PADD V","PADD 5","")))))</f>
        <v>PADD 3</v>
      </c>
      <c r="G2225" s="6" t="str">
        <f>IF(AND($H2225="ATMOS DISTILLATION",ISNUMBER(SEARCH("VPS",$I2225))=FALSE,LEFT($I2225,6)&lt;&gt;"VACUUM"),"CDU",IF($H2225="FLUID CAT CRACKING","FCC",IF(OR($H2225="HYDROCRACKING",$H2225="RESID_HYDROCRACKING"),"Hydrocracker",IF($H2225="REFORMING","Reformer",""))))</f>
        <v>CDU</v>
      </c>
      <c r="H2225" s="6" t="s">
        <v>38</v>
      </c>
      <c r="I2225" s="6" t="s">
        <v>805</v>
      </c>
      <c r="J2225" s="6" t="s">
        <v>345</v>
      </c>
      <c r="K2225" s="10">
        <v>7.5</v>
      </c>
      <c r="L2225" s="10">
        <v>75</v>
      </c>
      <c r="M2225" s="6" t="s">
        <v>371</v>
      </c>
    </row>
    <row r="2226" spans="1:13">
      <c r="A2226" s="6">
        <v>2023</v>
      </c>
      <c r="B2226" s="6">
        <v>10</v>
      </c>
      <c r="C2226" s="6" t="s">
        <v>68</v>
      </c>
      <c r="D2226" s="6" t="s">
        <v>730</v>
      </c>
      <c r="E2226" s="6" t="s">
        <v>731</v>
      </c>
      <c r="F2226" s="6" t="str">
        <f>IF($M2226="PADD I","PADD 1",IF($M2226="PADD II","PADD 2",IF($M2226="PADD III","PADD 3",IF($M2226="PADD IV","PADD 4",IF($M2226="PADD V","PADD 5","")))))</f>
        <v>PADD 3</v>
      </c>
      <c r="G2226" s="6">
        <f>IF(AND($H2226="ATMOS DISTILLATION",ISNUMBER(SEARCH("VPS",$I2226))=FALSE,LEFT($I2226,6)&lt;&gt;"VACUUM"),"CDU",IF($H2226="FLUID CAT CRACKING","FCC",IF(OR($H2226="HYDROCRACKING",$H2226="RESID_HYDROCRACKING"),"Hydrocracker",IF($H2226="REFORMING","Reformer",""))))</f>
        <v/>
      </c>
      <c r="H2226" s="6" t="s">
        <v>43</v>
      </c>
      <c r="I2226" s="6" t="s">
        <v>1054</v>
      </c>
      <c r="J2226" s="6" t="s">
        <v>349</v>
      </c>
      <c r="K2226" s="10">
        <v>7.4</v>
      </c>
      <c r="L2226" s="10">
        <v>10</v>
      </c>
      <c r="M2226" s="6" t="s">
        <v>371</v>
      </c>
    </row>
    <row r="2227" spans="1:13">
      <c r="A2227" s="6">
        <v>2023</v>
      </c>
      <c r="B2227" s="6">
        <v>10</v>
      </c>
      <c r="C2227" s="6" t="s">
        <v>68</v>
      </c>
      <c r="D2227" s="6" t="s">
        <v>801</v>
      </c>
      <c r="E2227" s="6" t="s">
        <v>779</v>
      </c>
      <c r="F2227" s="6" t="str">
        <f>IF($M2227="PADD I","PADD 1",IF($M2227="PADD II","PADD 2",IF($M2227="PADD III","PADD 3",IF($M2227="PADD IV","PADD 4",IF($M2227="PADD V","PADD 5","")))))</f>
        <v>PADD 2</v>
      </c>
      <c r="G2227" s="6">
        <f>IF(AND($H2227="ATMOS DISTILLATION",ISNUMBER(SEARCH("VPS",$I2227))=FALSE,LEFT($I2227,6)&lt;&gt;"VACUUM"),"CDU",IF($H2227="FLUID CAT CRACKING","FCC",IF(OR($H2227="HYDROCRACKING",$H2227="RESID_HYDROCRACKING"),"Hydrocracker",IF($H2227="REFORMING","Reformer",""))))</f>
        <v/>
      </c>
      <c r="H2227" s="6" t="s">
        <v>460</v>
      </c>
      <c r="I2227" s="6" t="s">
        <v>461</v>
      </c>
      <c r="J2227" s="6" t="s">
        <v>349</v>
      </c>
      <c r="K2227" s="10">
        <v>7.32</v>
      </c>
      <c r="L2227" s="10">
        <v>12</v>
      </c>
      <c r="M2227" s="6" t="s">
        <v>375</v>
      </c>
    </row>
    <row r="2228" spans="1:13">
      <c r="A2228" s="6">
        <v>2023</v>
      </c>
      <c r="B2228" s="6">
        <v>10</v>
      </c>
      <c r="C2228" s="6" t="s">
        <v>68</v>
      </c>
      <c r="D2228" s="6" t="s">
        <v>446</v>
      </c>
      <c r="E2228" s="6" t="s">
        <v>391</v>
      </c>
      <c r="F2228" s="6" t="str">
        <f>IF($M2228="PADD I","PADD 1",IF($M2228="PADD II","PADD 2",IF($M2228="PADD III","PADD 3",IF($M2228="PADD IV","PADD 4",IF($M2228="PADD V","PADD 5","")))))</f>
        <v>PADD 3</v>
      </c>
      <c r="G2228" s="6">
        <f>IF(AND($H2228="ATMOS DISTILLATION",ISNUMBER(SEARCH("VPS",$I2228))=FALSE,LEFT($I2228,6)&lt;&gt;"VACUUM"),"CDU",IF($H2228="FLUID CAT CRACKING","FCC",IF(OR($H2228="HYDROCRACKING",$H2228="RESID_HYDROCRACKING"),"Hydrocracker",IF($H2228="REFORMING","Reformer",""))))</f>
        <v/>
      </c>
      <c r="H2228" s="6" t="s">
        <v>460</v>
      </c>
      <c r="I2228" s="6" t="s">
        <v>580</v>
      </c>
      <c r="J2228" s="6" t="s">
        <v>345</v>
      </c>
      <c r="K2228" s="10">
        <v>7.2</v>
      </c>
      <c r="L2228" s="10">
        <v>7.2</v>
      </c>
      <c r="M2228" s="6" t="s">
        <v>371</v>
      </c>
    </row>
    <row r="2229" spans="1:13">
      <c r="A2229" s="6">
        <v>2023</v>
      </c>
      <c r="B2229" s="6">
        <v>10</v>
      </c>
      <c r="C2229" s="6" t="s">
        <v>68</v>
      </c>
      <c r="D2229" s="6" t="s">
        <v>420</v>
      </c>
      <c r="E2229" s="6" t="s">
        <v>373</v>
      </c>
      <c r="F2229" s="6" t="str">
        <f>IF($M2229="PADD I","PADD 1",IF($M2229="PADD II","PADD 2",IF($M2229="PADD III","PADD 3",IF($M2229="PADD IV","PADD 4",IF($M2229="PADD V","PADD 5","")))))</f>
        <v>PADD 2</v>
      </c>
      <c r="G2229" s="6">
        <f>IF(AND($H2229="ATMOS DISTILLATION",ISNUMBER(SEARCH("VPS",$I2229))=FALSE,LEFT($I2229,6)&lt;&gt;"VACUUM"),"CDU",IF($H2229="FLUID CAT CRACKING","FCC",IF(OR($H2229="HYDROCRACKING",$H2229="RESID_HYDROCRACKING"),"Hydrocracker",IF($H2229="REFORMING","Reformer",""))))</f>
        <v/>
      </c>
      <c r="H2229" s="6" t="s">
        <v>43</v>
      </c>
      <c r="I2229" s="6" t="s">
        <v>546</v>
      </c>
      <c r="J2229" s="6" t="s">
        <v>345</v>
      </c>
      <c r="K2229" s="10">
        <v>7.15</v>
      </c>
      <c r="L2229" s="10">
        <v>11</v>
      </c>
      <c r="M2229" s="6" t="s">
        <v>375</v>
      </c>
    </row>
    <row r="2230" spans="1:13">
      <c r="A2230" s="6">
        <v>2023</v>
      </c>
      <c r="B2230" s="6">
        <v>10</v>
      </c>
      <c r="C2230" s="6" t="s">
        <v>68</v>
      </c>
      <c r="D2230" s="6" t="s">
        <v>468</v>
      </c>
      <c r="E2230" s="6" t="s">
        <v>369</v>
      </c>
      <c r="F2230" s="6" t="str">
        <f>IF($M2230="PADD I","PADD 1",IF($M2230="PADD II","PADD 2",IF($M2230="PADD III","PADD 3",IF($M2230="PADD IV","PADD 4",IF($M2230="PADD V","PADD 5","")))))</f>
        <v>PADD 3</v>
      </c>
      <c r="G2230" s="6" t="str">
        <f>IF(AND($H2230="ATMOS DISTILLATION",ISNUMBER(SEARCH("VPS",$I2230))=FALSE,LEFT($I2230,6)&lt;&gt;"VACUUM"),"CDU",IF($H2230="FLUID CAT CRACKING","FCC",IF(OR($H2230="HYDROCRACKING",$H2230="RESID_HYDROCRACKING"),"Hydrocracker",IF($H2230="REFORMING","Reformer",""))))</f>
        <v>Reformer</v>
      </c>
      <c r="H2230" s="6" t="s">
        <v>421</v>
      </c>
      <c r="I2230" s="6" t="s">
        <v>635</v>
      </c>
      <c r="J2230" s="6" t="s">
        <v>349</v>
      </c>
      <c r="K2230" s="10">
        <v>7</v>
      </c>
      <c r="L2230" s="10">
        <v>7</v>
      </c>
      <c r="M2230" s="6" t="s">
        <v>371</v>
      </c>
    </row>
    <row r="2231" spans="1:13">
      <c r="A2231" s="6">
        <v>2023</v>
      </c>
      <c r="B2231" s="6">
        <v>10</v>
      </c>
      <c r="C2231" s="6" t="s">
        <v>68</v>
      </c>
      <c r="D2231" s="6" t="s">
        <v>468</v>
      </c>
      <c r="E2231" s="6" t="s">
        <v>369</v>
      </c>
      <c r="F2231" s="6" t="str">
        <f>IF($M2231="PADD I","PADD 1",IF($M2231="PADD II","PADD 2",IF($M2231="PADD III","PADD 3",IF($M2231="PADD IV","PADD 4",IF($M2231="PADD V","PADD 5","")))))</f>
        <v>PADD 3</v>
      </c>
      <c r="G2231" s="6" t="str">
        <f>IF(AND($H2231="ATMOS DISTILLATION",ISNUMBER(SEARCH("VPS",$I2231))=FALSE,LEFT($I2231,6)&lt;&gt;"VACUUM"),"CDU",IF($H2231="FLUID CAT CRACKING","FCC",IF(OR($H2231="HYDROCRACKING",$H2231="RESID_HYDROCRACKING"),"Hydrocracker",IF($H2231="REFORMING","Reformer",""))))</f>
        <v>Reformer</v>
      </c>
      <c r="H2231" s="6" t="s">
        <v>421</v>
      </c>
      <c r="I2231" s="6" t="s">
        <v>635</v>
      </c>
      <c r="J2231" s="6" t="s">
        <v>345</v>
      </c>
      <c r="K2231" s="10">
        <v>7</v>
      </c>
      <c r="L2231" s="10">
        <v>7</v>
      </c>
      <c r="M2231" s="6" t="s">
        <v>371</v>
      </c>
    </row>
    <row r="2232" spans="1:13">
      <c r="A2232" s="6">
        <v>2023</v>
      </c>
      <c r="B2232" s="6">
        <v>10</v>
      </c>
      <c r="C2232" s="6" t="s">
        <v>68</v>
      </c>
      <c r="D2232" s="6" t="s">
        <v>434</v>
      </c>
      <c r="E2232" s="6" t="s">
        <v>388</v>
      </c>
      <c r="F2232" s="6" t="str">
        <f>IF($M2232="PADD I","PADD 1",IF($M2232="PADD II","PADD 2",IF($M2232="PADD III","PADD 3",IF($M2232="PADD IV","PADD 4",IF($M2232="PADD V","PADD 5","")))))</f>
        <v>PADD 5</v>
      </c>
      <c r="G2232" s="6" t="str">
        <f>IF(AND($H2232="ATMOS DISTILLATION",ISNUMBER(SEARCH("VPS",$I2232))=FALSE,LEFT($I2232,6)&lt;&gt;"VACUUM"),"CDU",IF($H2232="FLUID CAT CRACKING","FCC",IF(OR($H2232="HYDROCRACKING",$H2232="RESID_HYDROCRACKING"),"Hydrocracker",IF($H2232="REFORMING","Reformer",""))))</f>
        <v>Reformer</v>
      </c>
      <c r="H2232" s="6" t="s">
        <v>421</v>
      </c>
      <c r="I2232" s="6" t="s">
        <v>671</v>
      </c>
      <c r="J2232" s="6" t="s">
        <v>345</v>
      </c>
      <c r="K2232" s="10">
        <v>6.75</v>
      </c>
      <c r="L2232" s="10">
        <v>15</v>
      </c>
      <c r="M2232" s="6" t="s">
        <v>386</v>
      </c>
    </row>
    <row r="2233" spans="1:13">
      <c r="A2233" s="6">
        <v>2023</v>
      </c>
      <c r="B2233" s="6">
        <v>10</v>
      </c>
      <c r="C2233" s="6" t="s">
        <v>68</v>
      </c>
      <c r="D2233" s="6" t="s">
        <v>328</v>
      </c>
      <c r="E2233" s="6" t="s">
        <v>416</v>
      </c>
      <c r="F2233" s="6" t="str">
        <f>IF($M2233="PADD I","PADD 1",IF($M2233="PADD II","PADD 2",IF($M2233="PADD III","PADD 3",IF($M2233="PADD IV","PADD 4",IF($M2233="PADD V","PADD 5","")))))</f>
        <v>PADD 2</v>
      </c>
      <c r="G2233" s="6">
        <f>IF(AND($H2233="ATMOS DISTILLATION",ISNUMBER(SEARCH("VPS",$I2233))=FALSE,LEFT($I2233,6)&lt;&gt;"VACUUM"),"CDU",IF($H2233="FLUID CAT CRACKING","FCC",IF(OR($H2233="HYDROCRACKING",$H2233="RESID_HYDROCRACKING"),"Hydrocracker",IF($H2233="REFORMING","Reformer",""))))</f>
        <v/>
      </c>
      <c r="H2233" s="6" t="s">
        <v>43</v>
      </c>
      <c r="I2233" s="6" t="s">
        <v>1018</v>
      </c>
      <c r="J2233" s="6" t="s">
        <v>349</v>
      </c>
      <c r="K2233" s="10">
        <v>6.65</v>
      </c>
      <c r="L2233" s="10">
        <v>35</v>
      </c>
      <c r="M2233" s="6" t="s">
        <v>375</v>
      </c>
    </row>
    <row r="2234" spans="1:13">
      <c r="A2234" s="6">
        <v>2023</v>
      </c>
      <c r="B2234" s="6">
        <v>10</v>
      </c>
      <c r="C2234" s="6" t="s">
        <v>68</v>
      </c>
      <c r="D2234" s="6" t="s">
        <v>887</v>
      </c>
      <c r="E2234" s="6" t="s">
        <v>405</v>
      </c>
      <c r="F2234" s="6" t="str">
        <f>IF($M2234="PADD I","PADD 1",IF($M2234="PADD II","PADD 2",IF($M2234="PADD III","PADD 3",IF($M2234="PADD IV","PADD 4",IF($M2234="PADD V","PADD 5","")))))</f>
        <v>PADD 3</v>
      </c>
      <c r="G2234" s="6">
        <f>IF(AND($H2234="ATMOS DISTILLATION",ISNUMBER(SEARCH("VPS",$I2234))=FALSE,LEFT($I2234,6)&lt;&gt;"VACUUM"),"CDU",IF($H2234="FLUID CAT CRACKING","FCC",IF(OR($H2234="HYDROCRACKING",$H2234="RESID_HYDROCRACKING"),"Hydrocracker",IF($H2234="REFORMING","Reformer",""))))</f>
        <v/>
      </c>
      <c r="H2234" s="6" t="s">
        <v>460</v>
      </c>
      <c r="I2234" s="6" t="s">
        <v>616</v>
      </c>
      <c r="J2234" s="6" t="s">
        <v>349</v>
      </c>
      <c r="K2234" s="10">
        <v>6.5</v>
      </c>
      <c r="L2234" s="10">
        <v>6.5</v>
      </c>
      <c r="M2234" s="6" t="s">
        <v>371</v>
      </c>
    </row>
    <row r="2235" spans="1:13">
      <c r="A2235" s="6">
        <v>2023</v>
      </c>
      <c r="B2235" s="6">
        <v>10</v>
      </c>
      <c r="C2235" s="6" t="s">
        <v>68</v>
      </c>
      <c r="D2235" s="6" t="s">
        <v>333</v>
      </c>
      <c r="E2235" s="6" t="s">
        <v>381</v>
      </c>
      <c r="F2235" s="6" t="str">
        <f>IF($M2235="PADD I","PADD 1",IF($M2235="PADD II","PADD 2",IF($M2235="PADD III","PADD 3",IF($M2235="PADD IV","PADD 4",IF($M2235="PADD V","PADD 5","")))))</f>
        <v>PADD 3</v>
      </c>
      <c r="G2235" s="6" t="str">
        <f>IF(AND($H2235="ATMOS DISTILLATION",ISNUMBER(SEARCH("VPS",$I2235))=FALSE,LEFT($I2235,6)&lt;&gt;"VACUUM"),"CDU",IF($H2235="FLUID CAT CRACKING","FCC",IF(OR($H2235="HYDROCRACKING",$H2235="RESID_HYDROCRACKING"),"Hydrocracker",IF($H2235="REFORMING","Reformer",""))))</f>
        <v>Hydrocracker</v>
      </c>
      <c r="H2235" s="6" t="s">
        <v>444</v>
      </c>
      <c r="I2235" s="6" t="s">
        <v>14</v>
      </c>
      <c r="J2235" s="6" t="s">
        <v>345</v>
      </c>
      <c r="K2235" s="10">
        <v>6.5</v>
      </c>
      <c r="L2235" s="10">
        <v>65</v>
      </c>
      <c r="M2235" s="6" t="s">
        <v>371</v>
      </c>
    </row>
    <row r="2236" spans="1:13">
      <c r="A2236" s="6">
        <v>2023</v>
      </c>
      <c r="B2236" s="6">
        <v>10</v>
      </c>
      <c r="C2236" s="6" t="s">
        <v>68</v>
      </c>
      <c r="D2236" s="6" t="s">
        <v>960</v>
      </c>
      <c r="E2236" s="6" t="s">
        <v>881</v>
      </c>
      <c r="F2236" s="6" t="str">
        <f>IF($M2236="PADD I","PADD 1",IF($M2236="PADD II","PADD 2",IF($M2236="PADD III","PADD 3",IF($M2236="PADD IV","PADD 4",IF($M2236="PADD V","PADD 5","")))))</f>
        <v>PADD 3</v>
      </c>
      <c r="G2236" s="6">
        <f>IF(AND($H2236="ATMOS DISTILLATION",ISNUMBER(SEARCH("VPS",$I2236))=FALSE,LEFT($I2236,6)&lt;&gt;"VACUUM"),"CDU",IF($H2236="FLUID CAT CRACKING","FCC",IF(OR($H2236="HYDROCRACKING",$H2236="RESID_HYDROCRACKING"),"Hydrocracker",IF($H2236="REFORMING","Reformer",""))))</f>
        <v/>
      </c>
      <c r="H2236" s="6" t="s">
        <v>43</v>
      </c>
      <c r="I2236" s="6" t="s">
        <v>1055</v>
      </c>
      <c r="J2236" s="6" t="s">
        <v>349</v>
      </c>
      <c r="K2236" s="10">
        <v>6.24</v>
      </c>
      <c r="L2236" s="10">
        <v>16</v>
      </c>
      <c r="M2236" s="6" t="s">
        <v>371</v>
      </c>
    </row>
    <row r="2237" spans="1:13">
      <c r="A2237" s="6">
        <v>2023</v>
      </c>
      <c r="B2237" s="6">
        <v>10</v>
      </c>
      <c r="C2237" s="6" t="s">
        <v>68</v>
      </c>
      <c r="D2237" s="6" t="s">
        <v>602</v>
      </c>
      <c r="E2237" s="6" t="s">
        <v>369</v>
      </c>
      <c r="F2237" s="6" t="str">
        <f>IF($M2237="PADD I","PADD 1",IF($M2237="PADD II","PADD 2",IF($M2237="PADD III","PADD 3",IF($M2237="PADD IV","PADD 4",IF($M2237="PADD V","PADD 5","")))))</f>
        <v>PADD 2</v>
      </c>
      <c r="G2237" s="6" t="str">
        <f>IF(AND($H2237="ATMOS DISTILLATION",ISNUMBER(SEARCH("VPS",$I2237))=FALSE,LEFT($I2237,6)&lt;&gt;"VACUUM"),"CDU",IF($H2237="FLUID CAT CRACKING","FCC",IF(OR($H2237="HYDROCRACKING",$H2237="RESID_HYDROCRACKING"),"Hydrocracker",IF($H2237="REFORMING","Reformer",""))))</f>
        <v>Reformer</v>
      </c>
      <c r="H2237" s="6" t="s">
        <v>421</v>
      </c>
      <c r="I2237" s="6" t="s">
        <v>697</v>
      </c>
      <c r="J2237" s="6" t="s">
        <v>345</v>
      </c>
      <c r="K2237" s="10">
        <v>6.21</v>
      </c>
      <c r="L2237" s="10">
        <v>27</v>
      </c>
      <c r="M2237" s="6" t="s">
        <v>375</v>
      </c>
    </row>
    <row r="2238" spans="1:13">
      <c r="A2238" s="6">
        <v>2023</v>
      </c>
      <c r="B2238" s="6">
        <v>10</v>
      </c>
      <c r="C2238" s="6" t="s">
        <v>68</v>
      </c>
      <c r="D2238" s="6" t="s">
        <v>322</v>
      </c>
      <c r="E2238" s="6" t="s">
        <v>369</v>
      </c>
      <c r="F2238" s="6" t="str">
        <f>IF($M2238="PADD I","PADD 1",IF($M2238="PADD II","PADD 2",IF($M2238="PADD III","PADD 3",IF($M2238="PADD IV","PADD 4",IF($M2238="PADD V","PADD 5","")))))</f>
        <v>PADD 2</v>
      </c>
      <c r="G2238" s="6" t="str">
        <f>IF(AND($H2238="ATMOS DISTILLATION",ISNUMBER(SEARCH("VPS",$I2238))=FALSE,LEFT($I2238,6)&lt;&gt;"VACUUM"),"CDU",IF($H2238="FLUID CAT CRACKING","FCC",IF(OR($H2238="HYDROCRACKING",$H2238="RESID_HYDROCRACKING"),"Hydrocracker",IF($H2238="REFORMING","Reformer",""))))</f>
        <v>Reformer</v>
      </c>
      <c r="H2238" s="6" t="s">
        <v>421</v>
      </c>
      <c r="I2238" s="6" t="s">
        <v>685</v>
      </c>
      <c r="J2238" s="6" t="s">
        <v>345</v>
      </c>
      <c r="K2238" s="10">
        <v>6.15</v>
      </c>
      <c r="L2238" s="10">
        <v>61.5</v>
      </c>
      <c r="M2238" s="6" t="s">
        <v>375</v>
      </c>
    </row>
    <row r="2239" spans="1:13">
      <c r="A2239" s="6">
        <v>2023</v>
      </c>
      <c r="B2239" s="6">
        <v>10</v>
      </c>
      <c r="C2239" s="6" t="s">
        <v>68</v>
      </c>
      <c r="D2239" s="6" t="s">
        <v>496</v>
      </c>
      <c r="E2239" s="6" t="s">
        <v>388</v>
      </c>
      <c r="F2239" s="6" t="str">
        <f>IF($M2239="PADD I","PADD 1",IF($M2239="PADD II","PADD 2",IF($M2239="PADD III","PADD 3",IF($M2239="PADD IV","PADD 4",IF($M2239="PADD V","PADD 5","")))))</f>
        <v>PADD 2</v>
      </c>
      <c r="G2239" s="6">
        <f>IF(AND($H2239="ATMOS DISTILLATION",ISNUMBER(SEARCH("VPS",$I2239))=FALSE,LEFT($I2239,6)&lt;&gt;"VACUUM"),"CDU",IF($H2239="FLUID CAT CRACKING","FCC",IF(OR($H2239="HYDROCRACKING",$H2239="RESID_HYDROCRACKING"),"Hydrocracker",IF($H2239="REFORMING","Reformer",""))))</f>
        <v/>
      </c>
      <c r="H2239" s="6" t="s">
        <v>43</v>
      </c>
      <c r="I2239" s="6" t="s">
        <v>955</v>
      </c>
      <c r="J2239" s="6" t="s">
        <v>349</v>
      </c>
      <c r="K2239" s="10">
        <v>6</v>
      </c>
      <c r="L2239" s="10">
        <v>6</v>
      </c>
      <c r="M2239" s="6" t="s">
        <v>375</v>
      </c>
    </row>
    <row r="2240" spans="1:13">
      <c r="A2240" s="6">
        <v>2023</v>
      </c>
      <c r="B2240" s="6">
        <v>10</v>
      </c>
      <c r="C2240" s="6" t="s">
        <v>68</v>
      </c>
      <c r="D2240" s="6" t="s">
        <v>1043</v>
      </c>
      <c r="E2240" s="6" t="s">
        <v>388</v>
      </c>
      <c r="F2240" s="6" t="str">
        <f>IF($M2240="PADD I","PADD 1",IF($M2240="PADD II","PADD 2",IF($M2240="PADD III","PADD 3",IF($M2240="PADD IV","PADD 4",IF($M2240="PADD V","PADD 5","")))))</f>
        <v>PADD 2</v>
      </c>
      <c r="G2240" s="6">
        <f>IF(AND($H2240="ATMOS DISTILLATION",ISNUMBER(SEARCH("VPS",$I2240))=FALSE,LEFT($I2240,6)&lt;&gt;"VACUUM"),"CDU",IF($H2240="FLUID CAT CRACKING","FCC",IF(OR($H2240="HYDROCRACKING",$H2240="RESID_HYDROCRACKING"),"Hydrocracker",IF($H2240="REFORMING","Reformer",""))))</f>
        <v/>
      </c>
      <c r="H2240" s="6" t="s">
        <v>43</v>
      </c>
      <c r="I2240" s="6" t="s">
        <v>1056</v>
      </c>
      <c r="J2240" s="6" t="s">
        <v>345</v>
      </c>
      <c r="K2240" s="10">
        <v>5.85</v>
      </c>
      <c r="L2240" s="10">
        <v>15</v>
      </c>
      <c r="M2240" s="6" t="s">
        <v>375</v>
      </c>
    </row>
    <row r="2241" spans="1:13">
      <c r="A2241" s="6">
        <v>2023</v>
      </c>
      <c r="B2241" s="6">
        <v>10</v>
      </c>
      <c r="C2241" s="6" t="s">
        <v>68</v>
      </c>
      <c r="D2241" s="6" t="s">
        <v>878</v>
      </c>
      <c r="E2241" s="6" t="s">
        <v>452</v>
      </c>
      <c r="F2241" s="6" t="str">
        <f>IF($M2241="PADD I","PADD 1",IF($M2241="PADD II","PADD 2",IF($M2241="PADD III","PADD 3",IF($M2241="PADD IV","PADD 4",IF($M2241="PADD V","PADD 5","")))))</f>
        <v>PADD 2</v>
      </c>
      <c r="G2241" s="6">
        <f>IF(AND($H2241="ATMOS DISTILLATION",ISNUMBER(SEARCH("VPS",$I2241))=FALSE,LEFT($I2241,6)&lt;&gt;"VACUUM"),"CDU",IF($H2241="FLUID CAT CRACKING","FCC",IF(OR($H2241="HYDROCRACKING",$H2241="RESID_HYDROCRACKING"),"Hydrocracker",IF($H2241="REFORMING","Reformer",""))))</f>
        <v/>
      </c>
      <c r="H2241" s="6" t="s">
        <v>43</v>
      </c>
      <c r="I2241" s="6" t="s">
        <v>904</v>
      </c>
      <c r="J2241" s="6" t="s">
        <v>349</v>
      </c>
      <c r="K2241" s="10">
        <v>5.775</v>
      </c>
      <c r="L2241" s="10">
        <v>7.5</v>
      </c>
      <c r="M2241" s="6" t="s">
        <v>375</v>
      </c>
    </row>
    <row r="2242" spans="1:13">
      <c r="A2242" s="6">
        <v>2023</v>
      </c>
      <c r="B2242" s="6">
        <v>10</v>
      </c>
      <c r="C2242" s="6" t="s">
        <v>68</v>
      </c>
      <c r="D2242" s="6" t="s">
        <v>807</v>
      </c>
      <c r="E2242" s="6" t="s">
        <v>779</v>
      </c>
      <c r="F2242" s="6" t="str">
        <f>IF($M2242="PADD I","PADD 1",IF($M2242="PADD II","PADD 2",IF($M2242="PADD III","PADD 3",IF($M2242="PADD IV","PADD 4",IF($M2242="PADD V","PADD 5","")))))</f>
        <v>PADD 3</v>
      </c>
      <c r="G2242" s="6">
        <f>IF(AND($H2242="ATMOS DISTILLATION",ISNUMBER(SEARCH("VPS",$I2242))=FALSE,LEFT($I2242,6)&lt;&gt;"VACUUM"),"CDU",IF($H2242="FLUID CAT CRACKING","FCC",IF(OR($H2242="HYDROCRACKING",$H2242="RESID_HYDROCRACKING"),"Hydrocracker",IF($H2242="REFORMING","Reformer",""))))</f>
        <v/>
      </c>
      <c r="H2242" s="6" t="s">
        <v>378</v>
      </c>
      <c r="I2242" s="6" t="s">
        <v>431</v>
      </c>
      <c r="J2242" s="6" t="s">
        <v>345</v>
      </c>
      <c r="K2242" s="10">
        <v>5.76</v>
      </c>
      <c r="L2242" s="10">
        <v>36</v>
      </c>
      <c r="M2242" s="6" t="s">
        <v>371</v>
      </c>
    </row>
    <row r="2243" spans="1:13">
      <c r="A2243" s="6">
        <v>2023</v>
      </c>
      <c r="B2243" s="6">
        <v>10</v>
      </c>
      <c r="C2243" s="6" t="s">
        <v>68</v>
      </c>
      <c r="D2243" s="6" t="s">
        <v>628</v>
      </c>
      <c r="E2243" s="6" t="s">
        <v>388</v>
      </c>
      <c r="F2243" s="6" t="str">
        <f>IF($M2243="PADD I","PADD 1",IF($M2243="PADD II","PADD 2",IF($M2243="PADD III","PADD 3",IF($M2243="PADD IV","PADD 4",IF($M2243="PADD V","PADD 5","")))))</f>
        <v>PADD 3</v>
      </c>
      <c r="G2243" s="6">
        <f>IF(AND($H2243="ATMOS DISTILLATION",ISNUMBER(SEARCH("VPS",$I2243))=FALSE,LEFT($I2243,6)&lt;&gt;"VACUUM"),"CDU",IF($H2243="FLUID CAT CRACKING","FCC",IF(OR($H2243="HYDROCRACKING",$H2243="RESID_HYDROCRACKING"),"Hydrocracker",IF($H2243="REFORMING","Reformer",""))))</f>
        <v/>
      </c>
      <c r="H2243" s="6" t="s">
        <v>43</v>
      </c>
      <c r="I2243" s="6" t="s">
        <v>464</v>
      </c>
      <c r="J2243" s="6" t="s">
        <v>345</v>
      </c>
      <c r="K2243" s="10">
        <v>5.7</v>
      </c>
      <c r="L2243" s="10">
        <v>30</v>
      </c>
      <c r="M2243" s="6" t="s">
        <v>371</v>
      </c>
    </row>
    <row r="2244" spans="1:13">
      <c r="A2244" s="6">
        <v>2023</v>
      </c>
      <c r="B2244" s="6">
        <v>10</v>
      </c>
      <c r="C2244" s="6" t="s">
        <v>68</v>
      </c>
      <c r="D2244" s="6" t="s">
        <v>646</v>
      </c>
      <c r="E2244" s="6" t="s">
        <v>405</v>
      </c>
      <c r="F2244" s="6" t="str">
        <f>IF($M2244="PADD I","PADD 1",IF($M2244="PADD II","PADD 2",IF($M2244="PADD III","PADD 3",IF($M2244="PADD IV","PADD 4",IF($M2244="PADD V","PADD 5","")))))</f>
        <v>PADD 3</v>
      </c>
      <c r="G2244" s="6" t="str">
        <f>IF(AND($H2244="ATMOS DISTILLATION",ISNUMBER(SEARCH("VPS",$I2244))=FALSE,LEFT($I2244,6)&lt;&gt;"VACUUM"),"CDU",IF($H2244="FLUID CAT CRACKING","FCC",IF(OR($H2244="HYDROCRACKING",$H2244="RESID_HYDROCRACKING"),"Hydrocracker",IF($H2244="REFORMING","Reformer",""))))</f>
        <v>CDU</v>
      </c>
      <c r="H2244" s="6" t="s">
        <v>38</v>
      </c>
      <c r="I2244" s="6" t="s">
        <v>126</v>
      </c>
      <c r="J2244" s="6" t="s">
        <v>345</v>
      </c>
      <c r="K2244" s="10">
        <v>5.58</v>
      </c>
      <c r="L2244" s="10">
        <v>93</v>
      </c>
      <c r="M2244" s="6" t="s">
        <v>371</v>
      </c>
    </row>
    <row r="2245" spans="1:13">
      <c r="A2245" s="6">
        <v>2023</v>
      </c>
      <c r="B2245" s="6">
        <v>10</v>
      </c>
      <c r="C2245" s="6" t="s">
        <v>68</v>
      </c>
      <c r="D2245" s="6" t="s">
        <v>960</v>
      </c>
      <c r="E2245" s="6" t="s">
        <v>881</v>
      </c>
      <c r="F2245" s="6" t="str">
        <f>IF($M2245="PADD I","PADD 1",IF($M2245="PADD II","PADD 2",IF($M2245="PADD III","PADD 3",IF($M2245="PADD IV","PADD 4",IF($M2245="PADD V","PADD 5","")))))</f>
        <v>PADD 3</v>
      </c>
      <c r="G2245" s="6">
        <f>IF(AND($H2245="ATMOS DISTILLATION",ISNUMBER(SEARCH("VPS",$I2245))=FALSE,LEFT($I2245,6)&lt;&gt;"VACUUM"),"CDU",IF($H2245="FLUID CAT CRACKING","FCC",IF(OR($H2245="HYDROCRACKING",$H2245="RESID_HYDROCRACKING"),"Hydrocracker",IF($H2245="REFORMING","Reformer",""))))</f>
        <v/>
      </c>
      <c r="H2245" s="6" t="s">
        <v>43</v>
      </c>
      <c r="I2245" s="6" t="s">
        <v>784</v>
      </c>
      <c r="J2245" s="6" t="s">
        <v>349</v>
      </c>
      <c r="K2245" s="10">
        <v>5.46</v>
      </c>
      <c r="L2245" s="10">
        <v>14</v>
      </c>
      <c r="M2245" s="6" t="s">
        <v>371</v>
      </c>
    </row>
    <row r="2246" spans="1:13">
      <c r="A2246" s="6">
        <v>2023</v>
      </c>
      <c r="B2246" s="6">
        <v>10</v>
      </c>
      <c r="C2246" s="6" t="s">
        <v>68</v>
      </c>
      <c r="D2246" s="6" t="s">
        <v>628</v>
      </c>
      <c r="E2246" s="6" t="s">
        <v>388</v>
      </c>
      <c r="F2246" s="6" t="str">
        <f>IF($M2246="PADD I","PADD 1",IF($M2246="PADD II","PADD 2",IF($M2246="PADD III","PADD 3",IF($M2246="PADD IV","PADD 4",IF($M2246="PADD V","PADD 5","")))))</f>
        <v>PADD 3</v>
      </c>
      <c r="G2246" s="6">
        <f>IF(AND($H2246="ATMOS DISTILLATION",ISNUMBER(SEARCH("VPS",$I2246))=FALSE,LEFT($I2246,6)&lt;&gt;"VACUUM"),"CDU",IF($H2246="FLUID CAT CRACKING","FCC",IF(OR($H2246="HYDROCRACKING",$H2246="RESID_HYDROCRACKING"),"Hydrocracker",IF($H2246="REFORMING","Reformer",""))))</f>
        <v/>
      </c>
      <c r="H2246" s="6" t="s">
        <v>43</v>
      </c>
      <c r="I2246" s="6" t="s">
        <v>784</v>
      </c>
      <c r="J2246" s="6" t="s">
        <v>345</v>
      </c>
      <c r="K2246" s="10">
        <v>5.32</v>
      </c>
      <c r="L2246" s="10">
        <v>28</v>
      </c>
      <c r="M2246" s="6" t="s">
        <v>371</v>
      </c>
    </row>
    <row r="2247" spans="1:13">
      <c r="A2247" s="6">
        <v>2023</v>
      </c>
      <c r="B2247" s="6">
        <v>10</v>
      </c>
      <c r="C2247" s="6" t="s">
        <v>68</v>
      </c>
      <c r="D2247" s="6" t="s">
        <v>1043</v>
      </c>
      <c r="E2247" s="6" t="s">
        <v>388</v>
      </c>
      <c r="F2247" s="6" t="str">
        <f>IF($M2247="PADD I","PADD 1",IF($M2247="PADD II","PADD 2",IF($M2247="PADD III","PADD 3",IF($M2247="PADD IV","PADD 4",IF($M2247="PADD V","PADD 5","")))))</f>
        <v>PADD 2</v>
      </c>
      <c r="G2247" s="6">
        <f>IF(AND($H2247="ATMOS DISTILLATION",ISNUMBER(SEARCH("VPS",$I2247))=FALSE,LEFT($I2247,6)&lt;&gt;"VACUUM"),"CDU",IF($H2247="FLUID CAT CRACKING","FCC",IF(OR($H2247="HYDROCRACKING",$H2247="RESID_HYDROCRACKING"),"Hydrocracker",IF($H2247="REFORMING","Reformer",""))))</f>
        <v/>
      </c>
      <c r="H2247" s="6" t="s">
        <v>43</v>
      </c>
      <c r="I2247" s="6" t="s">
        <v>1057</v>
      </c>
      <c r="J2247" s="6" t="s">
        <v>345</v>
      </c>
      <c r="K2247" s="10">
        <v>5.304</v>
      </c>
      <c r="L2247" s="10">
        <v>13.6</v>
      </c>
      <c r="M2247" s="6" t="s">
        <v>375</v>
      </c>
    </row>
    <row r="2248" spans="1:13">
      <c r="A2248" s="6">
        <v>2023</v>
      </c>
      <c r="B2248" s="6">
        <v>10</v>
      </c>
      <c r="C2248" s="6" t="s">
        <v>68</v>
      </c>
      <c r="D2248" s="6" t="s">
        <v>346</v>
      </c>
      <c r="E2248" s="6" t="s">
        <v>383</v>
      </c>
      <c r="F2248" s="6" t="str">
        <f>IF($M2248="PADD I","PADD 1",IF($M2248="PADD II","PADD 2",IF($M2248="PADD III","PADD 3",IF($M2248="PADD IV","PADD 4",IF($M2248="PADD V","PADD 5","")))))</f>
        <v>PADD 2</v>
      </c>
      <c r="G2248" s="6" t="str">
        <f>IF(AND($H2248="ATMOS DISTILLATION",ISNUMBER(SEARCH("VPS",$I2248))=FALSE,LEFT($I2248,6)&lt;&gt;"VACUUM"),"CDU",IF($H2248="FLUID CAT CRACKING","FCC",IF(OR($H2248="HYDROCRACKING",$H2248="RESID_HYDROCRACKING"),"Hydrocracker",IF($H2248="REFORMING","Reformer",""))))</f>
        <v>CDU</v>
      </c>
      <c r="H2248" s="6" t="s">
        <v>38</v>
      </c>
      <c r="I2248" s="6" t="s">
        <v>1058</v>
      </c>
      <c r="J2248" s="6" t="s">
        <v>345</v>
      </c>
      <c r="K2248" s="10">
        <v>5.22</v>
      </c>
      <c r="L2248" s="10">
        <v>87</v>
      </c>
      <c r="M2248" s="6" t="s">
        <v>375</v>
      </c>
    </row>
    <row r="2249" spans="1:13">
      <c r="A2249" s="6">
        <v>2023</v>
      </c>
      <c r="B2249" s="6">
        <v>10</v>
      </c>
      <c r="C2249" s="6" t="s">
        <v>68</v>
      </c>
      <c r="D2249" s="6" t="s">
        <v>420</v>
      </c>
      <c r="E2249" s="6" t="s">
        <v>373</v>
      </c>
      <c r="F2249" s="6" t="str">
        <f>IF($M2249="PADD I","PADD 1",IF($M2249="PADD II","PADD 2",IF($M2249="PADD III","PADD 3",IF($M2249="PADD IV","PADD 4",IF($M2249="PADD V","PADD 5","")))))</f>
        <v>PADD 2</v>
      </c>
      <c r="G2249" s="6">
        <f>IF(AND($H2249="ATMOS DISTILLATION",ISNUMBER(SEARCH("VPS",$I2249))=FALSE,LEFT($I2249,6)&lt;&gt;"VACUUM"),"CDU",IF($H2249="FLUID CAT CRACKING","FCC",IF(OR($H2249="HYDROCRACKING",$H2249="RESID_HYDROCRACKING"),"Hydrocracker",IF($H2249="REFORMING","Reformer",""))))</f>
        <v/>
      </c>
      <c r="H2249" s="6" t="s">
        <v>43</v>
      </c>
      <c r="I2249" s="6" t="s">
        <v>577</v>
      </c>
      <c r="J2249" s="6" t="s">
        <v>345</v>
      </c>
      <c r="K2249" s="10">
        <v>5.005</v>
      </c>
      <c r="L2249" s="10">
        <v>7.7</v>
      </c>
      <c r="M2249" s="6" t="s">
        <v>375</v>
      </c>
    </row>
    <row r="2250" spans="1:13">
      <c r="A2250" s="6">
        <v>2023</v>
      </c>
      <c r="B2250" s="6">
        <v>10</v>
      </c>
      <c r="C2250" s="6" t="s">
        <v>68</v>
      </c>
      <c r="D2250" s="6" t="s">
        <v>612</v>
      </c>
      <c r="E2250" s="6" t="s">
        <v>416</v>
      </c>
      <c r="F2250" s="6" t="str">
        <f>IF($M2250="PADD I","PADD 1",IF($M2250="PADD II","PADD 2",IF($M2250="PADD III","PADD 3",IF($M2250="PADD IV","PADD 4",IF($M2250="PADD V","PADD 5","")))))</f>
        <v>PADD 3</v>
      </c>
      <c r="G2250" s="6" t="str">
        <f>IF(AND($H2250="ATMOS DISTILLATION",ISNUMBER(SEARCH("VPS",$I2250))=FALSE,LEFT($I2250,6)&lt;&gt;"VACUUM"),"CDU",IF($H2250="FLUID CAT CRACKING","FCC",IF(OR($H2250="HYDROCRACKING",$H2250="RESID_HYDROCRACKING"),"Hydrocracker",IF($H2250="REFORMING","Reformer",""))))</f>
        <v>CDU</v>
      </c>
      <c r="H2250" s="6" t="s">
        <v>38</v>
      </c>
      <c r="I2250" s="6" t="s">
        <v>81</v>
      </c>
      <c r="J2250" s="6" t="s">
        <v>345</v>
      </c>
      <c r="K2250" s="10">
        <v>4.95</v>
      </c>
      <c r="L2250" s="10">
        <v>165</v>
      </c>
      <c r="M2250" s="6" t="s">
        <v>371</v>
      </c>
    </row>
    <row r="2251" spans="1:13">
      <c r="A2251" s="6">
        <v>2023</v>
      </c>
      <c r="B2251" s="6">
        <v>10</v>
      </c>
      <c r="C2251" s="6" t="s">
        <v>68</v>
      </c>
      <c r="D2251" s="6" t="s">
        <v>739</v>
      </c>
      <c r="E2251" s="6" t="s">
        <v>405</v>
      </c>
      <c r="F2251" s="6" t="str">
        <f>IF($M2251="PADD I","PADD 1",IF($M2251="PADD II","PADD 2",IF($M2251="PADD III","PADD 3",IF($M2251="PADD IV","PADD 4",IF($M2251="PADD V","PADD 5","")))))</f>
        <v>PADD 2</v>
      </c>
      <c r="G2251" s="6" t="str">
        <f>IF(AND($H2251="ATMOS DISTILLATION",ISNUMBER(SEARCH("VPS",$I2251))=FALSE,LEFT($I2251,6)&lt;&gt;"VACUUM"),"CDU",IF($H2251="FLUID CAT CRACKING","FCC",IF(OR($H2251="HYDROCRACKING",$H2251="RESID_HYDROCRACKING"),"Hydrocracker",IF($H2251="REFORMING","Reformer",""))))</f>
        <v>Hydrocracker</v>
      </c>
      <c r="H2251" s="6" t="s">
        <v>444</v>
      </c>
      <c r="I2251" s="6" t="s">
        <v>795</v>
      </c>
      <c r="J2251" s="6" t="s">
        <v>345</v>
      </c>
      <c r="K2251" s="10">
        <v>4.9</v>
      </c>
      <c r="L2251" s="10">
        <v>14</v>
      </c>
      <c r="M2251" s="6" t="s">
        <v>375</v>
      </c>
    </row>
    <row r="2252" spans="1:13">
      <c r="A2252" s="6">
        <v>2023</v>
      </c>
      <c r="B2252" s="6">
        <v>10</v>
      </c>
      <c r="C2252" s="6" t="s">
        <v>68</v>
      </c>
      <c r="D2252" s="6" t="s">
        <v>328</v>
      </c>
      <c r="E2252" s="6" t="s">
        <v>416</v>
      </c>
      <c r="F2252" s="6" t="str">
        <f>IF($M2252="PADD I","PADD 1",IF($M2252="PADD II","PADD 2",IF($M2252="PADD III","PADD 3",IF($M2252="PADD IV","PADD 4",IF($M2252="PADD V","PADD 5","")))))</f>
        <v>PADD 2</v>
      </c>
      <c r="G2252" s="6">
        <f>IF(AND($H2252="ATMOS DISTILLATION",ISNUMBER(SEARCH("VPS",$I2252))=FALSE,LEFT($I2252,6)&lt;&gt;"VACUUM"),"CDU",IF($H2252="FLUID CAT CRACKING","FCC",IF(OR($H2252="HYDROCRACKING",$H2252="RESID_HYDROCRACKING"),"Hydrocracker",IF($H2252="REFORMING","Reformer",""))))</f>
        <v/>
      </c>
      <c r="H2252" s="6" t="s">
        <v>435</v>
      </c>
      <c r="I2252" s="6" t="s">
        <v>1059</v>
      </c>
      <c r="J2252" s="6" t="s">
        <v>349</v>
      </c>
      <c r="K2252" s="10">
        <v>4.8906</v>
      </c>
      <c r="L2252" s="10">
        <v>12.54</v>
      </c>
      <c r="M2252" s="6" t="s">
        <v>375</v>
      </c>
    </row>
    <row r="2253" spans="1:13">
      <c r="A2253" s="6">
        <v>2023</v>
      </c>
      <c r="B2253" s="6">
        <v>10</v>
      </c>
      <c r="C2253" s="6" t="s">
        <v>68</v>
      </c>
      <c r="D2253" s="6" t="s">
        <v>420</v>
      </c>
      <c r="E2253" s="6" t="s">
        <v>373</v>
      </c>
      <c r="F2253" s="6" t="str">
        <f>IF($M2253="PADD I","PADD 1",IF($M2253="PADD II","PADD 2",IF($M2253="PADD III","PADD 3",IF($M2253="PADD IV","PADD 4",IF($M2253="PADD V","PADD 5","")))))</f>
        <v>PADD 2</v>
      </c>
      <c r="G2253" s="6">
        <f>IF(AND($H2253="ATMOS DISTILLATION",ISNUMBER(SEARCH("VPS",$I2253))=FALSE,LEFT($I2253,6)&lt;&gt;"VACUUM"),"CDU",IF($H2253="FLUID CAT CRACKING","FCC",IF(OR($H2253="HYDROCRACKING",$H2253="RESID_HYDROCRACKING"),"Hydrocracker",IF($H2253="REFORMING","Reformer",""))))</f>
        <v/>
      </c>
      <c r="H2253" s="6" t="s">
        <v>43</v>
      </c>
      <c r="I2253" s="6" t="s">
        <v>458</v>
      </c>
      <c r="J2253" s="6" t="s">
        <v>345</v>
      </c>
      <c r="K2253" s="10">
        <v>4.875</v>
      </c>
      <c r="L2253" s="10">
        <v>7.5</v>
      </c>
      <c r="M2253" s="6" t="s">
        <v>375</v>
      </c>
    </row>
    <row r="2254" spans="1:13">
      <c r="A2254" s="6">
        <v>2023</v>
      </c>
      <c r="B2254" s="6">
        <v>10</v>
      </c>
      <c r="C2254" s="6" t="s">
        <v>68</v>
      </c>
      <c r="D2254" s="6" t="s">
        <v>1032</v>
      </c>
      <c r="E2254" s="6" t="s">
        <v>1033</v>
      </c>
      <c r="F2254" s="6" t="str">
        <f>IF($M2254="PADD I","PADD 1",IF($M2254="PADD II","PADD 2",IF($M2254="PADD III","PADD 3",IF($M2254="PADD IV","PADD 4",IF($M2254="PADD V","PADD 5","")))))</f>
        <v>PADD 5</v>
      </c>
      <c r="G2254" s="6" t="str">
        <f>IF(AND($H2254="ATMOS DISTILLATION",ISNUMBER(SEARCH("VPS",$I2254))=FALSE,LEFT($I2254,6)&lt;&gt;"VACUUM"),"CDU",IF($H2254="FLUID CAT CRACKING","FCC",IF(OR($H2254="HYDROCRACKING",$H2254="RESID_HYDROCRACKING"),"Hydrocracker",IF($H2254="REFORMING","Reformer",""))))</f>
        <v>CDU</v>
      </c>
      <c r="H2254" s="6" t="s">
        <v>38</v>
      </c>
      <c r="I2254" s="6" t="s">
        <v>663</v>
      </c>
      <c r="J2254" s="6" t="s">
        <v>349</v>
      </c>
      <c r="K2254" s="10">
        <v>4.85</v>
      </c>
      <c r="L2254" s="10">
        <v>5</v>
      </c>
      <c r="M2254" s="6" t="s">
        <v>386</v>
      </c>
    </row>
    <row r="2255" spans="1:13">
      <c r="A2255" s="6">
        <v>2023</v>
      </c>
      <c r="B2255" s="6">
        <v>10</v>
      </c>
      <c r="C2255" s="6" t="s">
        <v>68</v>
      </c>
      <c r="D2255" s="6" t="s">
        <v>1060</v>
      </c>
      <c r="E2255" s="6" t="s">
        <v>1039</v>
      </c>
      <c r="F2255" s="6" t="str">
        <f>IF($M2255="PADD I","PADD 1",IF($M2255="PADD II","PADD 2",IF($M2255="PADD III","PADD 3",IF($M2255="PADD IV","PADD 4",IF($M2255="PADD V","PADD 5","")))))</f>
        <v>PADD 2</v>
      </c>
      <c r="G2255" s="6" t="str">
        <f>IF(AND($H2255="ATMOS DISTILLATION",ISNUMBER(SEARCH("VPS",$I2255))=FALSE,LEFT($I2255,6)&lt;&gt;"VACUUM"),"CDU",IF($H2255="FLUID CAT CRACKING","FCC",IF(OR($H2255="HYDROCRACKING",$H2255="RESID_HYDROCRACKING"),"Hydrocracker",IF($H2255="REFORMING","Reformer",""))))</f>
        <v>CDU</v>
      </c>
      <c r="H2255" s="6" t="s">
        <v>38</v>
      </c>
      <c r="I2255" s="6" t="s">
        <v>406</v>
      </c>
      <c r="J2255" s="6" t="s">
        <v>349</v>
      </c>
      <c r="K2255" s="10">
        <v>4.8</v>
      </c>
      <c r="L2255" s="10">
        <v>160</v>
      </c>
      <c r="M2255" s="6" t="s">
        <v>375</v>
      </c>
    </row>
    <row r="2256" spans="1:13">
      <c r="A2256" s="6">
        <v>2023</v>
      </c>
      <c r="B2256" s="6">
        <v>10</v>
      </c>
      <c r="C2256" s="6" t="s">
        <v>68</v>
      </c>
      <c r="D2256" s="6" t="s">
        <v>531</v>
      </c>
      <c r="E2256" s="6" t="s">
        <v>532</v>
      </c>
      <c r="F2256" s="6" t="str">
        <f>IF($M2256="PADD I","PADD 1",IF($M2256="PADD II","PADD 2",IF($M2256="PADD III","PADD 3",IF($M2256="PADD IV","PADD 4",IF($M2256="PADD V","PADD 5","")))))</f>
        <v>PADD 5</v>
      </c>
      <c r="G2256" s="6" t="str">
        <f>IF(AND($H2256="ATMOS DISTILLATION",ISNUMBER(SEARCH("VPS",$I2256))=FALSE,LEFT($I2256,6)&lt;&gt;"VACUUM"),"CDU",IF($H2256="FLUID CAT CRACKING","FCC",IF(OR($H2256="HYDROCRACKING",$H2256="RESID_HYDROCRACKING"),"Hydrocracker",IF($H2256="REFORMING","Reformer",""))))</f>
        <v>Reformer</v>
      </c>
      <c r="H2256" s="6" t="s">
        <v>421</v>
      </c>
      <c r="I2256" s="6" t="s">
        <v>557</v>
      </c>
      <c r="J2256" s="6" t="s">
        <v>345</v>
      </c>
      <c r="K2256" s="10">
        <v>4.725</v>
      </c>
      <c r="L2256" s="10">
        <v>13.5</v>
      </c>
      <c r="M2256" s="6" t="s">
        <v>386</v>
      </c>
    </row>
    <row r="2257" spans="1:13">
      <c r="A2257" s="6">
        <v>2023</v>
      </c>
      <c r="B2257" s="6">
        <v>10</v>
      </c>
      <c r="C2257" s="6" t="s">
        <v>68</v>
      </c>
      <c r="D2257" s="6" t="s">
        <v>40</v>
      </c>
      <c r="E2257" s="6" t="s">
        <v>736</v>
      </c>
      <c r="F2257" s="6" t="str">
        <f>IF($M2257="PADD I","PADD 1",IF($M2257="PADD II","PADD 2",IF($M2257="PADD III","PADD 3",IF($M2257="PADD IV","PADD 4",IF($M2257="PADD V","PADD 5","")))))</f>
        <v>PADD 1</v>
      </c>
      <c r="G2257" s="6">
        <f>IF(AND($H2257="ATMOS DISTILLATION",ISNUMBER(SEARCH("VPS",$I2257))=FALSE,LEFT($I2257,6)&lt;&gt;"VACUUM"),"CDU",IF($H2257="FLUID CAT CRACKING","FCC",IF(OR($H2257="HYDROCRACKING",$H2257="RESID_HYDROCRACKING"),"Hydrocracker",IF($H2257="REFORMING","Reformer",""))))</f>
        <v/>
      </c>
      <c r="H2257" s="6" t="s">
        <v>43</v>
      </c>
      <c r="I2257" s="6" t="s">
        <v>1029</v>
      </c>
      <c r="J2257" s="6" t="s">
        <v>349</v>
      </c>
      <c r="K2257" s="10">
        <v>4.2</v>
      </c>
      <c r="L2257" s="10">
        <v>4.2</v>
      </c>
      <c r="M2257" s="6" t="s">
        <v>413</v>
      </c>
    </row>
    <row r="2258" spans="1:13">
      <c r="A2258" s="6">
        <v>2023</v>
      </c>
      <c r="B2258" s="6">
        <v>10</v>
      </c>
      <c r="C2258" s="6" t="s">
        <v>68</v>
      </c>
      <c r="D2258" s="6" t="s">
        <v>48</v>
      </c>
      <c r="E2258" s="6" t="s">
        <v>388</v>
      </c>
      <c r="F2258" s="6" t="str">
        <f>IF($M2258="PADD I","PADD 1",IF($M2258="PADD II","PADD 2",IF($M2258="PADD III","PADD 3",IF($M2258="PADD IV","PADD 4",IF($M2258="PADD V","PADD 5","")))))</f>
        <v>PADD 2</v>
      </c>
      <c r="G2258" s="6" t="str">
        <f>IF(AND($H2258="ATMOS DISTILLATION",ISNUMBER(SEARCH("VPS",$I2258))=FALSE,LEFT($I2258,6)&lt;&gt;"VACUUM"),"CDU",IF($H2258="FLUID CAT CRACKING","FCC",IF(OR($H2258="HYDROCRACKING",$H2258="RESID_HYDROCRACKING"),"Hydrocracker",IF($H2258="REFORMING","Reformer",""))))</f>
        <v>Reformer</v>
      </c>
      <c r="H2258" s="6" t="s">
        <v>421</v>
      </c>
      <c r="I2258" s="6" t="s">
        <v>721</v>
      </c>
      <c r="J2258" s="6" t="s">
        <v>345</v>
      </c>
      <c r="K2258" s="10">
        <v>3.85</v>
      </c>
      <c r="L2258" s="10">
        <v>38.5</v>
      </c>
      <c r="M2258" s="6" t="s">
        <v>375</v>
      </c>
    </row>
    <row r="2259" spans="1:13">
      <c r="A2259" s="6">
        <v>2023</v>
      </c>
      <c r="B2259" s="6">
        <v>10</v>
      </c>
      <c r="C2259" s="6" t="s">
        <v>68</v>
      </c>
      <c r="D2259" s="6" t="s">
        <v>446</v>
      </c>
      <c r="E2259" s="6" t="s">
        <v>391</v>
      </c>
      <c r="F2259" s="6" t="str">
        <f>IF($M2259="PADD I","PADD 1",IF($M2259="PADD II","PADD 2",IF($M2259="PADD III","PADD 3",IF($M2259="PADD IV","PADD 4",IF($M2259="PADD V","PADD 5","")))))</f>
        <v>PADD 3</v>
      </c>
      <c r="G2259" s="6" t="str">
        <f>IF(AND($H2259="ATMOS DISTILLATION",ISNUMBER(SEARCH("VPS",$I2259))=FALSE,LEFT($I2259,6)&lt;&gt;"VACUUM"),"CDU",IF($H2259="FLUID CAT CRACKING","FCC",IF(OR($H2259="HYDROCRACKING",$H2259="RESID_HYDROCRACKING"),"Hydrocracker",IF($H2259="REFORMING","Reformer",""))))</f>
        <v>Reformer</v>
      </c>
      <c r="H2259" s="6" t="s">
        <v>421</v>
      </c>
      <c r="I2259" s="6" t="s">
        <v>483</v>
      </c>
      <c r="J2259" s="6" t="s">
        <v>345</v>
      </c>
      <c r="K2259" s="10">
        <v>3.68</v>
      </c>
      <c r="L2259" s="10">
        <v>23</v>
      </c>
      <c r="M2259" s="6" t="s">
        <v>371</v>
      </c>
    </row>
    <row r="2260" spans="1:13">
      <c r="A2260" s="6">
        <v>2023</v>
      </c>
      <c r="B2260" s="6">
        <v>10</v>
      </c>
      <c r="C2260" s="6" t="s">
        <v>68</v>
      </c>
      <c r="D2260" s="6" t="s">
        <v>1043</v>
      </c>
      <c r="E2260" s="6" t="s">
        <v>388</v>
      </c>
      <c r="F2260" s="6" t="str">
        <f>IF($M2260="PADD I","PADD 1",IF($M2260="PADD II","PADD 2",IF($M2260="PADD III","PADD 3",IF($M2260="PADD IV","PADD 4",IF($M2260="PADD V","PADD 5","")))))</f>
        <v>PADD 2</v>
      </c>
      <c r="G2260" s="6" t="str">
        <f>IF(AND($H2260="ATMOS DISTILLATION",ISNUMBER(SEARCH("VPS",$I2260))=FALSE,LEFT($I2260,6)&lt;&gt;"VACUUM"),"CDU",IF($H2260="FLUID CAT CRACKING","FCC",IF(OR($H2260="HYDROCRACKING",$H2260="RESID_HYDROCRACKING"),"Hydrocracker",IF($H2260="REFORMING","Reformer",""))))</f>
        <v>Reformer</v>
      </c>
      <c r="H2260" s="6" t="s">
        <v>421</v>
      </c>
      <c r="I2260" s="6" t="s">
        <v>916</v>
      </c>
      <c r="J2260" s="6" t="s">
        <v>345</v>
      </c>
      <c r="K2260" s="10">
        <v>3.625</v>
      </c>
      <c r="L2260" s="10">
        <v>12.5</v>
      </c>
      <c r="M2260" s="6" t="s">
        <v>375</v>
      </c>
    </row>
    <row r="2261" spans="1:13">
      <c r="A2261" s="6">
        <v>2023</v>
      </c>
      <c r="B2261" s="6">
        <v>10</v>
      </c>
      <c r="C2261" s="6" t="s">
        <v>68</v>
      </c>
      <c r="D2261" s="6" t="s">
        <v>420</v>
      </c>
      <c r="E2261" s="6" t="s">
        <v>373</v>
      </c>
      <c r="F2261" s="6" t="str">
        <f>IF($M2261="PADD I","PADD 1",IF($M2261="PADD II","PADD 2",IF($M2261="PADD III","PADD 3",IF($M2261="PADD IV","PADD 4",IF($M2261="PADD V","PADD 5","")))))</f>
        <v>PADD 2</v>
      </c>
      <c r="G2261" s="6">
        <f>IF(AND($H2261="ATMOS DISTILLATION",ISNUMBER(SEARCH("VPS",$I2261))=FALSE,LEFT($I2261,6)&lt;&gt;"VACUUM"),"CDU",IF($H2261="FLUID CAT CRACKING","FCC",IF(OR($H2261="HYDROCRACKING",$H2261="RESID_HYDROCRACKING"),"Hydrocracker",IF($H2261="REFORMING","Reformer",""))))</f>
        <v/>
      </c>
      <c r="H2261" s="6" t="s">
        <v>43</v>
      </c>
      <c r="I2261" s="6" t="s">
        <v>588</v>
      </c>
      <c r="J2261" s="6" t="s">
        <v>345</v>
      </c>
      <c r="K2261" s="10">
        <v>3.575</v>
      </c>
      <c r="L2261" s="10">
        <v>5.5</v>
      </c>
      <c r="M2261" s="6" t="s">
        <v>375</v>
      </c>
    </row>
    <row r="2262" spans="1:13">
      <c r="A2262" s="6">
        <v>2023</v>
      </c>
      <c r="B2262" s="6">
        <v>10</v>
      </c>
      <c r="C2262" s="6" t="s">
        <v>68</v>
      </c>
      <c r="D2262" s="6" t="s">
        <v>807</v>
      </c>
      <c r="E2262" s="6" t="s">
        <v>779</v>
      </c>
      <c r="F2262" s="6" t="str">
        <f>IF($M2262="PADD I","PADD 1",IF($M2262="PADD II","PADD 2",IF($M2262="PADD III","PADD 3",IF($M2262="PADD IV","PADD 4",IF($M2262="PADD V","PADD 5","")))))</f>
        <v>PADD 3</v>
      </c>
      <c r="G2262" s="6">
        <f>IF(AND($H2262="ATMOS DISTILLATION",ISNUMBER(SEARCH("VPS",$I2262))=FALSE,LEFT($I2262,6)&lt;&gt;"VACUUM"),"CDU",IF($H2262="FLUID CAT CRACKING","FCC",IF(OR($H2262="HYDROCRACKING",$H2262="RESID_HYDROCRACKING"),"Hydrocracker",IF($H2262="REFORMING","Reformer",""))))</f>
        <v/>
      </c>
      <c r="H2262" s="6" t="s">
        <v>43</v>
      </c>
      <c r="I2262" s="6" t="s">
        <v>824</v>
      </c>
      <c r="J2262" s="6" t="s">
        <v>345</v>
      </c>
      <c r="K2262" s="10">
        <v>3.2</v>
      </c>
      <c r="L2262" s="10">
        <v>20</v>
      </c>
      <c r="M2262" s="6" t="s">
        <v>371</v>
      </c>
    </row>
    <row r="2263" spans="1:13">
      <c r="A2263" s="6">
        <v>2023</v>
      </c>
      <c r="B2263" s="6">
        <v>10</v>
      </c>
      <c r="C2263" s="6" t="s">
        <v>68</v>
      </c>
      <c r="D2263" s="6" t="s">
        <v>960</v>
      </c>
      <c r="E2263" s="6" t="s">
        <v>881</v>
      </c>
      <c r="F2263" s="6" t="str">
        <f>IF($M2263="PADD I","PADD 1",IF($M2263="PADD II","PADD 2",IF($M2263="PADD III","PADD 3",IF($M2263="PADD IV","PADD 4",IF($M2263="PADD V","PADD 5","")))))</f>
        <v>PADD 3</v>
      </c>
      <c r="G2263" s="6">
        <f>IF(AND($H2263="ATMOS DISTILLATION",ISNUMBER(SEARCH("VPS",$I2263))=FALSE,LEFT($I2263,6)&lt;&gt;"VACUUM"),"CDU",IF($H2263="FLUID CAT CRACKING","FCC",IF(OR($H2263="HYDROCRACKING",$H2263="RESID_HYDROCRACKING"),"Hydrocracker",IF($H2263="REFORMING","Reformer",""))))</f>
        <v/>
      </c>
      <c r="H2263" s="6" t="s">
        <v>43</v>
      </c>
      <c r="I2263" s="6" t="s">
        <v>961</v>
      </c>
      <c r="J2263" s="6" t="s">
        <v>349</v>
      </c>
      <c r="K2263" s="10">
        <v>3.12</v>
      </c>
      <c r="L2263" s="10">
        <v>8</v>
      </c>
      <c r="M2263" s="6" t="s">
        <v>371</v>
      </c>
    </row>
    <row r="2264" spans="1:13">
      <c r="A2264" s="6">
        <v>2023</v>
      </c>
      <c r="B2264" s="6">
        <v>10</v>
      </c>
      <c r="C2264" s="6" t="s">
        <v>68</v>
      </c>
      <c r="D2264" s="6" t="s">
        <v>526</v>
      </c>
      <c r="E2264" s="6" t="s">
        <v>405</v>
      </c>
      <c r="F2264" s="6" t="str">
        <f>IF($M2264="PADD I","PADD 1",IF($M2264="PADD II","PADD 2",IF($M2264="PADD III","PADD 3",IF($M2264="PADD IV","PADD 4",IF($M2264="PADD V","PADD 5","")))))</f>
        <v>PADD 3</v>
      </c>
      <c r="G2264" s="6">
        <f>IF(AND($H2264="ATMOS DISTILLATION",ISNUMBER(SEARCH("VPS",$I2264))=FALSE,LEFT($I2264,6)&lt;&gt;"VACUUM"),"CDU",IF($H2264="FLUID CAT CRACKING","FCC",IF(OR($H2264="HYDROCRACKING",$H2264="RESID_HYDROCRACKING"),"Hydrocracker",IF($H2264="REFORMING","Reformer",""))))</f>
        <v/>
      </c>
      <c r="H2264" s="6" t="s">
        <v>435</v>
      </c>
      <c r="I2264" s="6" t="s">
        <v>954</v>
      </c>
      <c r="J2264" s="6" t="s">
        <v>345</v>
      </c>
      <c r="K2264" s="10">
        <v>3</v>
      </c>
      <c r="L2264" s="10">
        <v>50</v>
      </c>
      <c r="M2264" s="6" t="s">
        <v>371</v>
      </c>
    </row>
    <row r="2265" spans="1:13">
      <c r="A2265" s="6">
        <v>2023</v>
      </c>
      <c r="B2265" s="6">
        <v>10</v>
      </c>
      <c r="C2265" s="6" t="s">
        <v>68</v>
      </c>
      <c r="D2265" s="6" t="s">
        <v>739</v>
      </c>
      <c r="E2265" s="6" t="s">
        <v>405</v>
      </c>
      <c r="F2265" s="6" t="str">
        <f>IF($M2265="PADD I","PADD 1",IF($M2265="PADD II","PADD 2",IF($M2265="PADD III","PADD 3",IF($M2265="PADD IV","PADD 4",IF($M2265="PADD V","PADD 5","")))))</f>
        <v>PADD 2</v>
      </c>
      <c r="G2265" s="6" t="str">
        <f>IF(AND($H2265="ATMOS DISTILLATION",ISNUMBER(SEARCH("VPS",$I2265))=FALSE,LEFT($I2265,6)&lt;&gt;"VACUUM"),"CDU",IF($H2265="FLUID CAT CRACKING","FCC",IF(OR($H2265="HYDROCRACKING",$H2265="RESID_HYDROCRACKING"),"Hydrocracker",IF($H2265="REFORMING","Reformer",""))))</f>
        <v>FCC</v>
      </c>
      <c r="H2265" s="6" t="s">
        <v>376</v>
      </c>
      <c r="I2265" s="6" t="s">
        <v>105</v>
      </c>
      <c r="J2265" s="6" t="s">
        <v>345</v>
      </c>
      <c r="K2265" s="10">
        <v>3</v>
      </c>
      <c r="L2265" s="10">
        <v>30</v>
      </c>
      <c r="M2265" s="6" t="s">
        <v>375</v>
      </c>
    </row>
    <row r="2266" spans="1:13">
      <c r="A2266" s="6">
        <v>2023</v>
      </c>
      <c r="B2266" s="6">
        <v>10</v>
      </c>
      <c r="C2266" s="6" t="s">
        <v>68</v>
      </c>
      <c r="D2266" s="6" t="s">
        <v>730</v>
      </c>
      <c r="E2266" s="6" t="s">
        <v>731</v>
      </c>
      <c r="F2266" s="6" t="str">
        <f>IF($M2266="PADD I","PADD 1",IF($M2266="PADD II","PADD 2",IF($M2266="PADD III","PADD 3",IF($M2266="PADD IV","PADD 4",IF($M2266="PADD V","PADD 5","")))))</f>
        <v>PADD 3</v>
      </c>
      <c r="G2266" s="6">
        <f>IF(AND($H2266="ATMOS DISTILLATION",ISNUMBER(SEARCH("VPS",$I2266))=FALSE,LEFT($I2266,6)&lt;&gt;"VACUUM"),"CDU",IF($H2266="FLUID CAT CRACKING","FCC",IF(OR($H2266="HYDROCRACKING",$H2266="RESID_HYDROCRACKING"),"Hydrocracker",IF($H2266="REFORMING","Reformer",""))))</f>
        <v/>
      </c>
      <c r="H2266" s="6" t="s">
        <v>460</v>
      </c>
      <c r="I2266" s="6" t="s">
        <v>616</v>
      </c>
      <c r="J2266" s="6" t="s">
        <v>349</v>
      </c>
      <c r="K2266" s="10">
        <v>2.96</v>
      </c>
      <c r="L2266" s="10">
        <v>4</v>
      </c>
      <c r="M2266" s="6" t="s">
        <v>371</v>
      </c>
    </row>
    <row r="2267" spans="1:13">
      <c r="A2267" s="6">
        <v>2023</v>
      </c>
      <c r="B2267" s="6">
        <v>10</v>
      </c>
      <c r="C2267" s="6" t="s">
        <v>68</v>
      </c>
      <c r="D2267" s="6" t="s">
        <v>801</v>
      </c>
      <c r="E2267" s="6" t="s">
        <v>779</v>
      </c>
      <c r="F2267" s="6" t="str">
        <f>IF($M2267="PADD I","PADD 1",IF($M2267="PADD II","PADD 2",IF($M2267="PADD III","PADD 3",IF($M2267="PADD IV","PADD 4",IF($M2267="PADD V","PADD 5","")))))</f>
        <v>PADD 2</v>
      </c>
      <c r="G2267" s="6">
        <f>IF(AND($H2267="ATMOS DISTILLATION",ISNUMBER(SEARCH("VPS",$I2267))=FALSE,LEFT($I2267,6)&lt;&gt;"VACUUM"),"CDU",IF($H2267="FLUID CAT CRACKING","FCC",IF(OR($H2267="HYDROCRACKING",$H2267="RESID_HYDROCRACKING"),"Hydrocracker",IF($H2267="REFORMING","Reformer",""))))</f>
        <v/>
      </c>
      <c r="H2267" s="6" t="s">
        <v>897</v>
      </c>
      <c r="I2267" s="6" t="s">
        <v>1027</v>
      </c>
      <c r="J2267" s="6" t="s">
        <v>349</v>
      </c>
      <c r="K2267" s="10">
        <v>2.94</v>
      </c>
      <c r="L2267" s="10">
        <v>3.5</v>
      </c>
      <c r="M2267" s="6" t="s">
        <v>375</v>
      </c>
    </row>
    <row r="2268" spans="1:13">
      <c r="A2268" s="6">
        <v>2023</v>
      </c>
      <c r="B2268" s="6">
        <v>10</v>
      </c>
      <c r="C2268" s="6" t="s">
        <v>68</v>
      </c>
      <c r="D2268" s="6" t="s">
        <v>408</v>
      </c>
      <c r="E2268" s="6" t="s">
        <v>409</v>
      </c>
      <c r="F2268" s="6" t="str">
        <f>IF($M2268="PADD I","PADD 1",IF($M2268="PADD II","PADD 2",IF($M2268="PADD III","PADD 3",IF($M2268="PADD IV","PADD 4",IF($M2268="PADD V","PADD 5","")))))</f>
        <v>PADD 3</v>
      </c>
      <c r="G2268" s="6">
        <f>IF(AND($H2268="ATMOS DISTILLATION",ISNUMBER(SEARCH("VPS",$I2268))=FALSE,LEFT($I2268,6)&lt;&gt;"VACUUM"),"CDU",IF($H2268="FLUID CAT CRACKING","FCC",IF(OR($H2268="HYDROCRACKING",$H2268="RESID_HYDROCRACKING"),"Hydrocracker",IF($H2268="REFORMING","Reformer",""))))</f>
        <v/>
      </c>
      <c r="H2268" s="6" t="s">
        <v>460</v>
      </c>
      <c r="I2268" s="6" t="s">
        <v>606</v>
      </c>
      <c r="J2268" s="6" t="s">
        <v>349</v>
      </c>
      <c r="K2268" s="10">
        <v>2.9</v>
      </c>
      <c r="L2268" s="10">
        <v>5</v>
      </c>
      <c r="M2268" s="6" t="s">
        <v>371</v>
      </c>
    </row>
    <row r="2269" spans="1:13">
      <c r="A2269" s="6">
        <v>2023</v>
      </c>
      <c r="B2269" s="6">
        <v>10</v>
      </c>
      <c r="C2269" s="6" t="s">
        <v>68</v>
      </c>
      <c r="D2269" s="6" t="s">
        <v>328</v>
      </c>
      <c r="E2269" s="6" t="s">
        <v>416</v>
      </c>
      <c r="F2269" s="6" t="str">
        <f>IF($M2269="PADD I","PADD 1",IF($M2269="PADD II","PADD 2",IF($M2269="PADD III","PADD 3",IF($M2269="PADD IV","PADD 4",IF($M2269="PADD V","PADD 5","")))))</f>
        <v>PADD 2</v>
      </c>
      <c r="G2269" s="6">
        <f>IF(AND($H2269="ATMOS DISTILLATION",ISNUMBER(SEARCH("VPS",$I2269))=FALSE,LEFT($I2269,6)&lt;&gt;"VACUUM"),"CDU",IF($H2269="FLUID CAT CRACKING","FCC",IF(OR($H2269="HYDROCRACKING",$H2269="RESID_HYDROCRACKING"),"Hydrocracker",IF($H2269="REFORMING","Reformer",""))))</f>
        <v/>
      </c>
      <c r="H2269" s="6" t="s">
        <v>43</v>
      </c>
      <c r="I2269" s="6" t="s">
        <v>1026</v>
      </c>
      <c r="J2269" s="6" t="s">
        <v>349</v>
      </c>
      <c r="K2269" s="10">
        <v>2.85</v>
      </c>
      <c r="L2269" s="10">
        <v>15</v>
      </c>
      <c r="M2269" s="6" t="s">
        <v>375</v>
      </c>
    </row>
    <row r="2270" spans="1:13">
      <c r="A2270" s="6">
        <v>2023</v>
      </c>
      <c r="B2270" s="6">
        <v>10</v>
      </c>
      <c r="C2270" s="6" t="s">
        <v>68</v>
      </c>
      <c r="D2270" s="6" t="s">
        <v>531</v>
      </c>
      <c r="E2270" s="6" t="s">
        <v>532</v>
      </c>
      <c r="F2270" s="6" t="str">
        <f>IF($M2270="PADD I","PADD 1",IF($M2270="PADD II","PADD 2",IF($M2270="PADD III","PADD 3",IF($M2270="PADD IV","PADD 4",IF($M2270="PADD V","PADD 5","")))))</f>
        <v>PADD 5</v>
      </c>
      <c r="G2270" s="6">
        <f>IF(AND($H2270="ATMOS DISTILLATION",ISNUMBER(SEARCH("VPS",$I2270))=FALSE,LEFT($I2270,6)&lt;&gt;"VACUUM"),"CDU",IF($H2270="FLUID CAT CRACKING","FCC",IF(OR($H2270="HYDROCRACKING",$H2270="RESID_HYDROCRACKING"),"Hydrocracker",IF($H2270="REFORMING","Reformer",""))))</f>
        <v/>
      </c>
      <c r="H2270" s="6" t="s">
        <v>435</v>
      </c>
      <c r="I2270" s="6" t="s">
        <v>614</v>
      </c>
      <c r="J2270" s="6" t="s">
        <v>345</v>
      </c>
      <c r="K2270" s="10">
        <v>2.835</v>
      </c>
      <c r="L2270" s="10">
        <v>8.1</v>
      </c>
      <c r="M2270" s="6" t="s">
        <v>386</v>
      </c>
    </row>
    <row r="2271" spans="1:13">
      <c r="A2271" s="6">
        <v>2023</v>
      </c>
      <c r="B2271" s="6">
        <v>10</v>
      </c>
      <c r="C2271" s="6" t="s">
        <v>68</v>
      </c>
      <c r="D2271" s="6" t="s">
        <v>531</v>
      </c>
      <c r="E2271" s="6" t="s">
        <v>532</v>
      </c>
      <c r="F2271" s="6" t="str">
        <f>IF($M2271="PADD I","PADD 1",IF($M2271="PADD II","PADD 2",IF($M2271="PADD III","PADD 3",IF($M2271="PADD IV","PADD 4",IF($M2271="PADD V","PADD 5","")))))</f>
        <v>PADD 5</v>
      </c>
      <c r="G2271" s="6">
        <f>IF(AND($H2271="ATMOS DISTILLATION",ISNUMBER(SEARCH("VPS",$I2271))=FALSE,LEFT($I2271,6)&lt;&gt;"VACUUM"),"CDU",IF($H2271="FLUID CAT CRACKING","FCC",IF(OR($H2271="HYDROCRACKING",$H2271="RESID_HYDROCRACKING"),"Hydrocracker",IF($H2271="REFORMING","Reformer",""))))</f>
        <v/>
      </c>
      <c r="H2271" s="6" t="s">
        <v>435</v>
      </c>
      <c r="I2271" s="6" t="s">
        <v>599</v>
      </c>
      <c r="J2271" s="6" t="s">
        <v>345</v>
      </c>
      <c r="K2271" s="10">
        <v>2.625</v>
      </c>
      <c r="L2271" s="10">
        <v>7.5</v>
      </c>
      <c r="M2271" s="6" t="s">
        <v>386</v>
      </c>
    </row>
    <row r="2272" spans="1:13">
      <c r="A2272" s="6">
        <v>2023</v>
      </c>
      <c r="B2272" s="6">
        <v>10</v>
      </c>
      <c r="C2272" s="6" t="s">
        <v>68</v>
      </c>
      <c r="D2272" s="6" t="s">
        <v>628</v>
      </c>
      <c r="E2272" s="6" t="s">
        <v>388</v>
      </c>
      <c r="F2272" s="6" t="str">
        <f>IF($M2272="PADD I","PADD 1",IF($M2272="PADD II","PADD 2",IF($M2272="PADD III","PADD 3",IF($M2272="PADD IV","PADD 4",IF($M2272="PADD V","PADD 5","")))))</f>
        <v>PADD 3</v>
      </c>
      <c r="G2272" s="6">
        <f>IF(AND($H2272="ATMOS DISTILLATION",ISNUMBER(SEARCH("VPS",$I2272))=FALSE,LEFT($I2272,6)&lt;&gt;"VACUUM"),"CDU",IF($H2272="FLUID CAT CRACKING","FCC",IF(OR($H2272="HYDROCRACKING",$H2272="RESID_HYDROCRACKING"),"Hydrocracker",IF($H2272="REFORMING","Reformer",""))))</f>
        <v/>
      </c>
      <c r="H2272" s="6" t="s">
        <v>460</v>
      </c>
      <c r="I2272" s="6" t="s">
        <v>616</v>
      </c>
      <c r="J2272" s="6" t="s">
        <v>345</v>
      </c>
      <c r="K2272" s="10">
        <v>2.622</v>
      </c>
      <c r="L2272" s="10">
        <v>13.8</v>
      </c>
      <c r="M2272" s="6" t="s">
        <v>371</v>
      </c>
    </row>
    <row r="2273" spans="1:13">
      <c r="A2273" s="6">
        <v>2023</v>
      </c>
      <c r="B2273" s="6">
        <v>10</v>
      </c>
      <c r="C2273" s="6" t="s">
        <v>68</v>
      </c>
      <c r="D2273" s="6" t="s">
        <v>662</v>
      </c>
      <c r="E2273" s="6" t="s">
        <v>552</v>
      </c>
      <c r="F2273" s="6" t="str">
        <f>IF($M2273="PADD I","PADD 1",IF($M2273="PADD II","PADD 2",IF($M2273="PADD III","PADD 3",IF($M2273="PADD IV","PADD 4",IF($M2273="PADD V","PADD 5","")))))</f>
        <v>PADD 3</v>
      </c>
      <c r="G2273" s="6">
        <f>IF(AND($H2273="ATMOS DISTILLATION",ISNUMBER(SEARCH("VPS",$I2273))=FALSE,LEFT($I2273,6)&lt;&gt;"VACUUM"),"CDU",IF($H2273="FLUID CAT CRACKING","FCC",IF(OR($H2273="HYDROCRACKING",$H2273="RESID_HYDROCRACKING"),"Hydrocracker",IF($H2273="REFORMING","Reformer",""))))</f>
        <v/>
      </c>
      <c r="H2273" s="6" t="s">
        <v>43</v>
      </c>
      <c r="I2273" s="6" t="s">
        <v>844</v>
      </c>
      <c r="J2273" s="6" t="s">
        <v>349</v>
      </c>
      <c r="K2273" s="10">
        <v>2.6</v>
      </c>
      <c r="L2273" s="10">
        <v>5</v>
      </c>
      <c r="M2273" s="6" t="s">
        <v>371</v>
      </c>
    </row>
    <row r="2274" spans="1:13">
      <c r="A2274" s="6">
        <v>2023</v>
      </c>
      <c r="B2274" s="6">
        <v>10</v>
      </c>
      <c r="C2274" s="6" t="s">
        <v>68</v>
      </c>
      <c r="D2274" s="6" t="s">
        <v>803</v>
      </c>
      <c r="E2274" s="6" t="s">
        <v>388</v>
      </c>
      <c r="F2274" s="6" t="str">
        <f>IF($M2274="PADD I","PADD 1",IF($M2274="PADD II","PADD 2",IF($M2274="PADD III","PADD 3",IF($M2274="PADD IV","PADD 4",IF($M2274="PADD V","PADD 5","")))))</f>
        <v>PADD 2</v>
      </c>
      <c r="G2274" s="6" t="str">
        <f>IF(AND($H2274="ATMOS DISTILLATION",ISNUMBER(SEARCH("VPS",$I2274))=FALSE,LEFT($I2274,6)&lt;&gt;"VACUUM"),"CDU",IF($H2274="FLUID CAT CRACKING","FCC",IF(OR($H2274="HYDROCRACKING",$H2274="RESID_HYDROCRACKING"),"Hydrocracker",IF($H2274="REFORMING","Reformer",""))))</f>
        <v>Reformer</v>
      </c>
      <c r="H2274" s="6" t="s">
        <v>421</v>
      </c>
      <c r="I2274" s="6" t="s">
        <v>557</v>
      </c>
      <c r="J2274" s="6" t="s">
        <v>345</v>
      </c>
      <c r="K2274" s="10">
        <v>2.5875</v>
      </c>
      <c r="L2274" s="10">
        <v>11.25</v>
      </c>
      <c r="M2274" s="6" t="s">
        <v>375</v>
      </c>
    </row>
    <row r="2275" spans="1:13">
      <c r="A2275" s="6">
        <v>2023</v>
      </c>
      <c r="B2275" s="6">
        <v>10</v>
      </c>
      <c r="C2275" s="6" t="s">
        <v>68</v>
      </c>
      <c r="D2275" s="6" t="s">
        <v>612</v>
      </c>
      <c r="E2275" s="6" t="s">
        <v>416</v>
      </c>
      <c r="F2275" s="6" t="str">
        <f>IF($M2275="PADD I","PADD 1",IF($M2275="PADD II","PADD 2",IF($M2275="PADD III","PADD 3",IF($M2275="PADD IV","PADD 4",IF($M2275="PADD V","PADD 5","")))))</f>
        <v>PADD 3</v>
      </c>
      <c r="G2275" s="6">
        <f>IF(AND($H2275="ATMOS DISTILLATION",ISNUMBER(SEARCH("VPS",$I2275))=FALSE,LEFT($I2275,6)&lt;&gt;"VACUUM"),"CDU",IF($H2275="FLUID CAT CRACKING","FCC",IF(OR($H2275="HYDROCRACKING",$H2275="RESID_HYDROCRACKING"),"Hydrocracker",IF($H2275="REFORMING","Reformer",""))))</f>
        <v/>
      </c>
      <c r="H2275" s="6" t="s">
        <v>378</v>
      </c>
      <c r="I2275" s="6" t="s">
        <v>431</v>
      </c>
      <c r="J2275" s="6" t="s">
        <v>345</v>
      </c>
      <c r="K2275" s="10">
        <v>2.4</v>
      </c>
      <c r="L2275" s="10">
        <v>80</v>
      </c>
      <c r="M2275" s="6" t="s">
        <v>371</v>
      </c>
    </row>
    <row r="2276" spans="1:13">
      <c r="A2276" s="6">
        <v>2023</v>
      </c>
      <c r="B2276" s="6">
        <v>10</v>
      </c>
      <c r="C2276" s="6" t="s">
        <v>68</v>
      </c>
      <c r="D2276" s="6" t="s">
        <v>778</v>
      </c>
      <c r="E2276" s="6" t="s">
        <v>779</v>
      </c>
      <c r="F2276" s="6" t="str">
        <f>IF($M2276="PADD I","PADD 1",IF($M2276="PADD II","PADD 2",IF($M2276="PADD III","PADD 3",IF($M2276="PADD IV","PADD 4",IF($M2276="PADD V","PADD 5","")))))</f>
        <v>PADD 3</v>
      </c>
      <c r="G2276" s="6">
        <f>IF(AND($H2276="ATMOS DISTILLATION",ISNUMBER(SEARCH("VPS",$I2276))=FALSE,LEFT($I2276,6)&lt;&gt;"VACUUM"),"CDU",IF($H2276="FLUID CAT CRACKING","FCC",IF(OR($H2276="HYDROCRACKING",$H2276="RESID_HYDROCRACKING"),"Hydrocracker",IF($H2276="REFORMING","Reformer",""))))</f>
        <v/>
      </c>
      <c r="H2276" s="6" t="s">
        <v>378</v>
      </c>
      <c r="I2276" s="6" t="s">
        <v>797</v>
      </c>
      <c r="J2276" s="6" t="s">
        <v>345</v>
      </c>
      <c r="K2276" s="10">
        <v>2.3</v>
      </c>
      <c r="L2276" s="10">
        <v>23</v>
      </c>
      <c r="M2276" s="6" t="s">
        <v>371</v>
      </c>
    </row>
    <row r="2277" spans="1:13">
      <c r="A2277" s="6">
        <v>2023</v>
      </c>
      <c r="B2277" s="6">
        <v>10</v>
      </c>
      <c r="C2277" s="6" t="s">
        <v>68</v>
      </c>
      <c r="D2277" s="6" t="s">
        <v>960</v>
      </c>
      <c r="E2277" s="6" t="s">
        <v>881</v>
      </c>
      <c r="F2277" s="6" t="str">
        <f>IF($M2277="PADD I","PADD 1",IF($M2277="PADD II","PADD 2",IF($M2277="PADD III","PADD 3",IF($M2277="PADD IV","PADD 4",IF($M2277="PADD V","PADD 5","")))))</f>
        <v>PADD 3</v>
      </c>
      <c r="G2277" s="6" t="str">
        <f>IF(AND($H2277="ATMOS DISTILLATION",ISNUMBER(SEARCH("VPS",$I2277))=FALSE,LEFT($I2277,6)&lt;&gt;"VACUUM"),"CDU",IF($H2277="FLUID CAT CRACKING","FCC",IF(OR($H2277="HYDROCRACKING",$H2277="RESID_HYDROCRACKING"),"Hydrocracker",IF($H2277="REFORMING","Reformer",""))))</f>
        <v>Reformer</v>
      </c>
      <c r="H2277" s="6" t="s">
        <v>421</v>
      </c>
      <c r="I2277" s="6" t="s">
        <v>1061</v>
      </c>
      <c r="J2277" s="6" t="s">
        <v>349</v>
      </c>
      <c r="K2277" s="10">
        <v>2.145</v>
      </c>
      <c r="L2277" s="10">
        <v>5.5</v>
      </c>
      <c r="M2277" s="6" t="s">
        <v>371</v>
      </c>
    </row>
    <row r="2278" spans="1:13">
      <c r="A2278" s="6">
        <v>2023</v>
      </c>
      <c r="B2278" s="6">
        <v>10</v>
      </c>
      <c r="C2278" s="6" t="s">
        <v>68</v>
      </c>
      <c r="D2278" s="6" t="s">
        <v>960</v>
      </c>
      <c r="E2278" s="6" t="s">
        <v>881</v>
      </c>
      <c r="F2278" s="6" t="str">
        <f>IF($M2278="PADD I","PADD 1",IF($M2278="PADD II","PADD 2",IF($M2278="PADD III","PADD 3",IF($M2278="PADD IV","PADD 4",IF($M2278="PADD V","PADD 5","")))))</f>
        <v>PADD 3</v>
      </c>
      <c r="G2278" s="6" t="str">
        <f>IF(AND($H2278="ATMOS DISTILLATION",ISNUMBER(SEARCH("VPS",$I2278))=FALSE,LEFT($I2278,6)&lt;&gt;"VACUUM"),"CDU",IF($H2278="FLUID CAT CRACKING","FCC",IF(OR($H2278="HYDROCRACKING",$H2278="RESID_HYDROCRACKING"),"Hydrocracker",IF($H2278="REFORMING","Reformer",""))))</f>
        <v>Reformer</v>
      </c>
      <c r="H2278" s="6" t="s">
        <v>421</v>
      </c>
      <c r="I2278" s="6" t="s">
        <v>810</v>
      </c>
      <c r="J2278" s="6" t="s">
        <v>349</v>
      </c>
      <c r="K2278" s="10">
        <v>2.145</v>
      </c>
      <c r="L2278" s="10">
        <v>5.5</v>
      </c>
      <c r="M2278" s="6" t="s">
        <v>371</v>
      </c>
    </row>
    <row r="2279" spans="1:13">
      <c r="A2279" s="6">
        <v>2023</v>
      </c>
      <c r="B2279" s="6">
        <v>10</v>
      </c>
      <c r="C2279" s="6" t="s">
        <v>68</v>
      </c>
      <c r="D2279" s="6" t="s">
        <v>531</v>
      </c>
      <c r="E2279" s="6" t="s">
        <v>532</v>
      </c>
      <c r="F2279" s="6" t="str">
        <f>IF($M2279="PADD I","PADD 1",IF($M2279="PADD II","PADD 2",IF($M2279="PADD III","PADD 3",IF($M2279="PADD IV","PADD 4",IF($M2279="PADD V","PADD 5","")))))</f>
        <v>PADD 5</v>
      </c>
      <c r="G2279" s="6">
        <f>IF(AND($H2279="ATMOS DISTILLATION",ISNUMBER(SEARCH("VPS",$I2279))=FALSE,LEFT($I2279,6)&lt;&gt;"VACUUM"),"CDU",IF($H2279="FLUID CAT CRACKING","FCC",IF(OR($H2279="HYDROCRACKING",$H2279="RESID_HYDROCRACKING"),"Hydrocracker",IF($H2279="REFORMING","Reformer",""))))</f>
        <v/>
      </c>
      <c r="H2279" s="6" t="s">
        <v>43</v>
      </c>
      <c r="I2279" s="6" t="s">
        <v>618</v>
      </c>
      <c r="J2279" s="6" t="s">
        <v>345</v>
      </c>
      <c r="K2279" s="10">
        <v>2.1</v>
      </c>
      <c r="L2279" s="10">
        <v>6</v>
      </c>
      <c r="M2279" s="6" t="s">
        <v>386</v>
      </c>
    </row>
    <row r="2280" spans="1:13">
      <c r="A2280" s="6">
        <v>2023</v>
      </c>
      <c r="B2280" s="6">
        <v>10</v>
      </c>
      <c r="C2280" s="6" t="s">
        <v>68</v>
      </c>
      <c r="D2280" s="6" t="s">
        <v>612</v>
      </c>
      <c r="E2280" s="6" t="s">
        <v>416</v>
      </c>
      <c r="F2280" s="6" t="str">
        <f>IF($M2280="PADD I","PADD 1",IF($M2280="PADD II","PADD 2",IF($M2280="PADD III","PADD 3",IF($M2280="PADD IV","PADD 4",IF($M2280="PADD V","PADD 5","")))))</f>
        <v>PADD 3</v>
      </c>
      <c r="G2280" s="6" t="str">
        <f>IF(AND($H2280="ATMOS DISTILLATION",ISNUMBER(SEARCH("VPS",$I2280))=FALSE,LEFT($I2280,6)&lt;&gt;"VACUUM"),"CDU",IF($H2280="FLUID CAT CRACKING","FCC",IF(OR($H2280="HYDROCRACKING",$H2280="RESID_HYDROCRACKING"),"Hydrocracker",IF($H2280="REFORMING","Reformer",""))))</f>
        <v>FCC</v>
      </c>
      <c r="H2280" s="6" t="s">
        <v>376</v>
      </c>
      <c r="I2280" s="6" t="s">
        <v>428</v>
      </c>
      <c r="J2280" s="6" t="s">
        <v>345</v>
      </c>
      <c r="K2280" s="10">
        <v>2.07</v>
      </c>
      <c r="L2280" s="10">
        <v>69</v>
      </c>
      <c r="M2280" s="6" t="s">
        <v>371</v>
      </c>
    </row>
    <row r="2281" spans="1:13">
      <c r="A2281" s="6">
        <v>2023</v>
      </c>
      <c r="B2281" s="6">
        <v>10</v>
      </c>
      <c r="C2281" s="6" t="s">
        <v>68</v>
      </c>
      <c r="D2281" s="6" t="s">
        <v>1043</v>
      </c>
      <c r="E2281" s="6" t="s">
        <v>388</v>
      </c>
      <c r="F2281" s="6" t="str">
        <f>IF($M2281="PADD I","PADD 1",IF($M2281="PADD II","PADD 2",IF($M2281="PADD III","PADD 3",IF($M2281="PADD IV","PADD 4",IF($M2281="PADD V","PADD 5","")))))</f>
        <v>PADD 2</v>
      </c>
      <c r="G2281" s="6">
        <f>IF(AND($H2281="ATMOS DISTILLATION",ISNUMBER(SEARCH("VPS",$I2281))=FALSE,LEFT($I2281,6)&lt;&gt;"VACUUM"),"CDU",IF($H2281="FLUID CAT CRACKING","FCC",IF(OR($H2281="HYDROCRACKING",$H2281="RESID_HYDROCRACKING"),"Hydrocracker",IF($H2281="REFORMING","Reformer",""))))</f>
        <v/>
      </c>
      <c r="H2281" s="6" t="s">
        <v>568</v>
      </c>
      <c r="I2281" s="6" t="s">
        <v>604</v>
      </c>
      <c r="J2281" s="6" t="s">
        <v>345</v>
      </c>
      <c r="K2281" s="10">
        <v>1.989</v>
      </c>
      <c r="L2281" s="10">
        <v>5.1</v>
      </c>
      <c r="M2281" s="6" t="s">
        <v>375</v>
      </c>
    </row>
    <row r="2282" spans="1:13">
      <c r="A2282" s="6">
        <v>2023</v>
      </c>
      <c r="B2282" s="6">
        <v>10</v>
      </c>
      <c r="C2282" s="6" t="s">
        <v>68</v>
      </c>
      <c r="D2282" s="6" t="s">
        <v>1032</v>
      </c>
      <c r="E2282" s="6" t="s">
        <v>1033</v>
      </c>
      <c r="F2282" s="6" t="str">
        <f>IF($M2282="PADD I","PADD 1",IF($M2282="PADD II","PADD 2",IF($M2282="PADD III","PADD 3",IF($M2282="PADD IV","PADD 4",IF($M2282="PADD V","PADD 5","")))))</f>
        <v>PADD 5</v>
      </c>
      <c r="G2282" s="6">
        <f>IF(AND($H2282="ATMOS DISTILLATION",ISNUMBER(SEARCH("VPS",$I2282))=FALSE,LEFT($I2282,6)&lt;&gt;"VACUUM"),"CDU",IF($H2282="FLUID CAT CRACKING","FCC",IF(OR($H2282="HYDROCRACKING",$H2282="RESID_HYDROCRACKING"),"Hydrocracker",IF($H2282="REFORMING","Reformer",""))))</f>
        <v/>
      </c>
      <c r="H2282" s="6" t="s">
        <v>378</v>
      </c>
      <c r="I2282" s="6" t="s">
        <v>1034</v>
      </c>
      <c r="J2282" s="6" t="s">
        <v>349</v>
      </c>
      <c r="K2282" s="10">
        <v>1.94</v>
      </c>
      <c r="L2282" s="10">
        <v>2</v>
      </c>
      <c r="M2282" s="6" t="s">
        <v>386</v>
      </c>
    </row>
    <row r="2283" spans="1:13">
      <c r="A2283" s="6">
        <v>2023</v>
      </c>
      <c r="B2283" s="6">
        <v>10</v>
      </c>
      <c r="C2283" s="6" t="s">
        <v>68</v>
      </c>
      <c r="D2283" s="6" t="s">
        <v>807</v>
      </c>
      <c r="E2283" s="6" t="s">
        <v>779</v>
      </c>
      <c r="F2283" s="6" t="str">
        <f>IF($M2283="PADD I","PADD 1",IF($M2283="PADD II","PADD 2",IF($M2283="PADD III","PADD 3",IF($M2283="PADD IV","PADD 4",IF($M2283="PADD V","PADD 5","")))))</f>
        <v>PADD 3</v>
      </c>
      <c r="G2283" s="6" t="str">
        <f>IF(AND($H2283="ATMOS DISTILLATION",ISNUMBER(SEARCH("VPS",$I2283))=FALSE,LEFT($I2283,6)&lt;&gt;"VACUUM"),"CDU",IF($H2283="FLUID CAT CRACKING","FCC",IF(OR($H2283="HYDROCRACKING",$H2283="RESID_HYDROCRACKING"),"Hydrocracker",IF($H2283="REFORMING","Reformer",""))))</f>
        <v>Hydrocracker</v>
      </c>
      <c r="H2283" s="6" t="s">
        <v>444</v>
      </c>
      <c r="I2283" s="6" t="s">
        <v>833</v>
      </c>
      <c r="J2283" s="6" t="s">
        <v>345</v>
      </c>
      <c r="K2283" s="10">
        <v>1.92</v>
      </c>
      <c r="L2283" s="10">
        <v>12</v>
      </c>
      <c r="M2283" s="6" t="s">
        <v>371</v>
      </c>
    </row>
    <row r="2284" spans="1:13">
      <c r="A2284" s="6">
        <v>2023</v>
      </c>
      <c r="B2284" s="6">
        <v>10</v>
      </c>
      <c r="C2284" s="6" t="s">
        <v>68</v>
      </c>
      <c r="D2284" s="6" t="s">
        <v>628</v>
      </c>
      <c r="E2284" s="6" t="s">
        <v>388</v>
      </c>
      <c r="F2284" s="6" t="str">
        <f>IF($M2284="PADD I","PADD 1",IF($M2284="PADD II","PADD 2",IF($M2284="PADD III","PADD 3",IF($M2284="PADD IV","PADD 4",IF($M2284="PADD V","PADD 5","")))))</f>
        <v>PADD 3</v>
      </c>
      <c r="G2284" s="6" t="str">
        <f>IF(AND($H2284="ATMOS DISTILLATION",ISNUMBER(SEARCH("VPS",$I2284))=FALSE,LEFT($I2284,6)&lt;&gt;"VACUUM"),"CDU",IF($H2284="FLUID CAT CRACKING","FCC",IF(OR($H2284="HYDROCRACKING",$H2284="RESID_HYDROCRACKING"),"Hydrocracker",IF($H2284="REFORMING","Reformer",""))))</f>
        <v>Reformer</v>
      </c>
      <c r="H2284" s="6" t="s">
        <v>421</v>
      </c>
      <c r="I2284" s="6" t="s">
        <v>571</v>
      </c>
      <c r="J2284" s="6" t="s">
        <v>345</v>
      </c>
      <c r="K2284" s="10">
        <v>1.9</v>
      </c>
      <c r="L2284" s="10">
        <v>10</v>
      </c>
      <c r="M2284" s="6" t="s">
        <v>371</v>
      </c>
    </row>
    <row r="2285" spans="1:13">
      <c r="A2285" s="6">
        <v>2023</v>
      </c>
      <c r="B2285" s="6">
        <v>10</v>
      </c>
      <c r="C2285" s="6" t="s">
        <v>68</v>
      </c>
      <c r="D2285" s="6" t="s">
        <v>372</v>
      </c>
      <c r="E2285" s="6" t="s">
        <v>373</v>
      </c>
      <c r="F2285" s="6" t="str">
        <f>IF($M2285="PADD I","PADD 1",IF($M2285="PADD II","PADD 2",IF($M2285="PADD III","PADD 3",IF($M2285="PADD IV","PADD 4",IF($M2285="PADD V","PADD 5","")))))</f>
        <v>PADD 2</v>
      </c>
      <c r="G2285" s="6">
        <f>IF(AND($H2285="ATMOS DISTILLATION",ISNUMBER(SEARCH("VPS",$I2285))=FALSE,LEFT($I2285,6)&lt;&gt;"VACUUM"),"CDU",IF($H2285="FLUID CAT CRACKING","FCC",IF(OR($H2285="HYDROCRACKING",$H2285="RESID_HYDROCRACKING"),"Hydrocracker",IF($H2285="REFORMING","Reformer",""))))</f>
        <v/>
      </c>
      <c r="H2285" s="6" t="s">
        <v>435</v>
      </c>
      <c r="I2285" s="6" t="s">
        <v>584</v>
      </c>
      <c r="J2285" s="6" t="s">
        <v>345</v>
      </c>
      <c r="K2285" s="10">
        <v>1.725</v>
      </c>
      <c r="L2285" s="10">
        <v>7.5</v>
      </c>
      <c r="M2285" s="6" t="s">
        <v>375</v>
      </c>
    </row>
    <row r="2286" spans="1:13">
      <c r="A2286" s="6">
        <v>2023</v>
      </c>
      <c r="B2286" s="6">
        <v>10</v>
      </c>
      <c r="C2286" s="6" t="s">
        <v>68</v>
      </c>
      <c r="D2286" s="6" t="s">
        <v>748</v>
      </c>
      <c r="E2286" s="6" t="s">
        <v>388</v>
      </c>
      <c r="F2286" s="6" t="str">
        <f>IF($M2286="PADD I","PADD 1",IF($M2286="PADD II","PADD 2",IF($M2286="PADD III","PADD 3",IF($M2286="PADD IV","PADD 4",IF($M2286="PADD V","PADD 5","")))))</f>
        <v>PADD 3</v>
      </c>
      <c r="G2286" s="6" t="str">
        <f>IF(AND($H2286="ATMOS DISTILLATION",ISNUMBER(SEARCH("VPS",$I2286))=FALSE,LEFT($I2286,6)&lt;&gt;"VACUUM"),"CDU",IF($H2286="FLUID CAT CRACKING","FCC",IF(OR($H2286="HYDROCRACKING",$H2286="RESID_HYDROCRACKING"),"Hydrocracker",IF($H2286="REFORMING","Reformer",""))))</f>
        <v>CDU</v>
      </c>
      <c r="H2286" s="6" t="s">
        <v>38</v>
      </c>
      <c r="I2286" s="6" t="s">
        <v>749</v>
      </c>
      <c r="J2286" s="6" t="s">
        <v>345</v>
      </c>
      <c r="K2286" s="10">
        <v>1.68</v>
      </c>
      <c r="L2286" s="10">
        <v>56</v>
      </c>
      <c r="M2286" s="6" t="s">
        <v>371</v>
      </c>
    </row>
    <row r="2287" spans="1:13">
      <c r="A2287" s="6">
        <v>2023</v>
      </c>
      <c r="B2287" s="6">
        <v>10</v>
      </c>
      <c r="C2287" s="6" t="s">
        <v>68</v>
      </c>
      <c r="D2287" s="6" t="s">
        <v>1043</v>
      </c>
      <c r="E2287" s="6" t="s">
        <v>388</v>
      </c>
      <c r="F2287" s="6" t="str">
        <f>IF($M2287="PADD I","PADD 1",IF($M2287="PADD II","PADD 2",IF($M2287="PADD III","PADD 3",IF($M2287="PADD IV","PADD 4",IF($M2287="PADD V","PADD 5","")))))</f>
        <v>PADD 2</v>
      </c>
      <c r="G2287" s="6">
        <f>IF(AND($H2287="ATMOS DISTILLATION",ISNUMBER(SEARCH("VPS",$I2287))=FALSE,LEFT($I2287,6)&lt;&gt;"VACUUM"),"CDU",IF($H2287="FLUID CAT CRACKING","FCC",IF(OR($H2287="HYDROCRACKING",$H2287="RESID_HYDROCRACKING"),"Hydrocracker",IF($H2287="REFORMING","Reformer",""))))</f>
        <v/>
      </c>
      <c r="H2287" s="6" t="s">
        <v>43</v>
      </c>
      <c r="I2287" s="6" t="s">
        <v>464</v>
      </c>
      <c r="J2287" s="6" t="s">
        <v>345</v>
      </c>
      <c r="K2287" s="10">
        <v>1.677</v>
      </c>
      <c r="L2287" s="10">
        <v>4.3</v>
      </c>
      <c r="M2287" s="6" t="s">
        <v>375</v>
      </c>
    </row>
    <row r="2288" spans="1:13">
      <c r="A2288" s="6">
        <v>2023</v>
      </c>
      <c r="B2288" s="6">
        <v>10</v>
      </c>
      <c r="C2288" s="6" t="s">
        <v>68</v>
      </c>
      <c r="D2288" s="6" t="s">
        <v>572</v>
      </c>
      <c r="E2288" s="6" t="s">
        <v>573</v>
      </c>
      <c r="F2288" s="6" t="str">
        <f>IF($M2288="PADD I","PADD 1",IF($M2288="PADD II","PADD 2",IF($M2288="PADD III","PADD 3",IF($M2288="PADD IV","PADD 4",IF($M2288="PADD V","PADD 5","")))))</f>
        <v>PADD 3</v>
      </c>
      <c r="G2288" s="6" t="str">
        <f>IF(AND($H2288="ATMOS DISTILLATION",ISNUMBER(SEARCH("VPS",$I2288))=FALSE,LEFT($I2288,6)&lt;&gt;"VACUUM"),"CDU",IF($H2288="FLUID CAT CRACKING","FCC",IF(OR($H2288="HYDROCRACKING",$H2288="RESID_HYDROCRACKING"),"Hydrocracker",IF($H2288="REFORMING","Reformer",""))))</f>
        <v>CDU</v>
      </c>
      <c r="H2288" s="6" t="s">
        <v>38</v>
      </c>
      <c r="I2288" s="6" t="s">
        <v>574</v>
      </c>
      <c r="J2288" s="6" t="s">
        <v>349</v>
      </c>
      <c r="K2288" s="10">
        <v>1.5</v>
      </c>
      <c r="L2288" s="10">
        <v>50</v>
      </c>
      <c r="M2288" s="6" t="s">
        <v>371</v>
      </c>
    </row>
    <row r="2289" spans="1:13">
      <c r="A2289" s="6">
        <v>2023</v>
      </c>
      <c r="B2289" s="6">
        <v>10</v>
      </c>
      <c r="C2289" s="6" t="s">
        <v>68</v>
      </c>
      <c r="D2289" s="6" t="s">
        <v>420</v>
      </c>
      <c r="E2289" s="6" t="s">
        <v>373</v>
      </c>
      <c r="F2289" s="6" t="str">
        <f>IF($M2289="PADD I","PADD 1",IF($M2289="PADD II","PADD 2",IF($M2289="PADD III","PADD 3",IF($M2289="PADD IV","PADD 4",IF($M2289="PADD V","PADD 5","")))))</f>
        <v>PADD 2</v>
      </c>
      <c r="G2289" s="6">
        <f>IF(AND($H2289="ATMOS DISTILLATION",ISNUMBER(SEARCH("VPS",$I2289))=FALSE,LEFT($I2289,6)&lt;&gt;"VACUUM"),"CDU",IF($H2289="FLUID CAT CRACKING","FCC",IF(OR($H2289="HYDROCRACKING",$H2289="RESID_HYDROCRACKING"),"Hydrocracker",IF($H2289="REFORMING","Reformer",""))))</f>
        <v/>
      </c>
      <c r="H2289" s="6" t="s">
        <v>568</v>
      </c>
      <c r="I2289" s="6" t="s">
        <v>604</v>
      </c>
      <c r="J2289" s="6" t="s">
        <v>345</v>
      </c>
      <c r="K2289" s="10">
        <v>1.3</v>
      </c>
      <c r="L2289" s="10">
        <v>2</v>
      </c>
      <c r="M2289" s="6" t="s">
        <v>375</v>
      </c>
    </row>
    <row r="2290" spans="1:13">
      <c r="A2290" s="6">
        <v>2023</v>
      </c>
      <c r="B2290" s="6">
        <v>10</v>
      </c>
      <c r="C2290" s="6" t="s">
        <v>68</v>
      </c>
      <c r="D2290" s="6" t="s">
        <v>1043</v>
      </c>
      <c r="E2290" s="6" t="s">
        <v>388</v>
      </c>
      <c r="F2290" s="6" t="str">
        <f>IF($M2290="PADD I","PADD 1",IF($M2290="PADD II","PADD 2",IF($M2290="PADD III","PADD 3",IF($M2290="PADD IV","PADD 4",IF($M2290="PADD V","PADD 5","")))))</f>
        <v>PADD 2</v>
      </c>
      <c r="G2290" s="6">
        <f>IF(AND($H2290="ATMOS DISTILLATION",ISNUMBER(SEARCH("VPS",$I2290))=FALSE,LEFT($I2290,6)&lt;&gt;"VACUUM"),"CDU",IF($H2290="FLUID CAT CRACKING","FCC",IF(OR($H2290="HYDROCRACKING",$H2290="RESID_HYDROCRACKING"),"Hydrocracker",IF($H2290="REFORMING","Reformer",""))))</f>
        <v/>
      </c>
      <c r="H2290" s="6" t="s">
        <v>460</v>
      </c>
      <c r="I2290" s="6" t="s">
        <v>616</v>
      </c>
      <c r="J2290" s="6" t="s">
        <v>345</v>
      </c>
      <c r="K2290" s="10">
        <v>1.276</v>
      </c>
      <c r="L2290" s="10">
        <v>4.4</v>
      </c>
      <c r="M2290" s="6" t="s">
        <v>375</v>
      </c>
    </row>
    <row r="2291" spans="1:13">
      <c r="A2291" s="6">
        <v>2023</v>
      </c>
      <c r="B2291" s="6">
        <v>10</v>
      </c>
      <c r="C2291" s="6" t="s">
        <v>68</v>
      </c>
      <c r="D2291" s="6" t="s">
        <v>748</v>
      </c>
      <c r="E2291" s="6" t="s">
        <v>388</v>
      </c>
      <c r="F2291" s="6" t="str">
        <f>IF($M2291="PADD I","PADD 1",IF($M2291="PADD II","PADD 2",IF($M2291="PADD III","PADD 3",IF($M2291="PADD IV","PADD 4",IF($M2291="PADD V","PADD 5","")))))</f>
        <v>PADD 3</v>
      </c>
      <c r="G2291" s="6">
        <f>IF(AND($H2291="ATMOS DISTILLATION",ISNUMBER(SEARCH("VPS",$I2291))=FALSE,LEFT($I2291,6)&lt;&gt;"VACUUM"),"CDU",IF($H2291="FLUID CAT CRACKING","FCC",IF(OR($H2291="HYDROCRACKING",$H2291="RESID_HYDROCRACKING"),"Hydrocracker",IF($H2291="REFORMING","Reformer",""))))</f>
        <v/>
      </c>
      <c r="H2291" s="6" t="s">
        <v>378</v>
      </c>
      <c r="I2291" s="6" t="s">
        <v>431</v>
      </c>
      <c r="J2291" s="6" t="s">
        <v>345</v>
      </c>
      <c r="K2291" s="10">
        <v>1.2</v>
      </c>
      <c r="L2291" s="10">
        <v>40</v>
      </c>
      <c r="M2291" s="6" t="s">
        <v>371</v>
      </c>
    </row>
    <row r="2292" spans="1:13">
      <c r="A2292" s="6">
        <v>2023</v>
      </c>
      <c r="B2292" s="6">
        <v>10</v>
      </c>
      <c r="C2292" s="6" t="s">
        <v>68</v>
      </c>
      <c r="D2292" s="6" t="s">
        <v>871</v>
      </c>
      <c r="E2292" s="6" t="s">
        <v>872</v>
      </c>
      <c r="F2292" s="6" t="str">
        <f>IF($M2292="PADD I","PADD 1",IF($M2292="PADD II","PADD 2",IF($M2292="PADD III","PADD 3",IF($M2292="PADD IV","PADD 4",IF($M2292="PADD V","PADD 5","")))))</f>
        <v>PADD 4</v>
      </c>
      <c r="G2292" s="6" t="str">
        <f>IF(AND($H2292="ATMOS DISTILLATION",ISNUMBER(SEARCH("VPS",$I2292))=FALSE,LEFT($I2292,6)&lt;&gt;"VACUUM"),"CDU",IF($H2292="FLUID CAT CRACKING","FCC",IF(OR($H2292="HYDROCRACKING",$H2292="RESID_HYDROCRACKING"),"Hydrocracker",IF($H2292="REFORMING","Reformer",""))))</f>
        <v>CDU</v>
      </c>
      <c r="H2292" s="6" t="s">
        <v>38</v>
      </c>
      <c r="I2292" s="6" t="s">
        <v>81</v>
      </c>
      <c r="J2292" s="6" t="s">
        <v>349</v>
      </c>
      <c r="K2292" s="10">
        <v>0.986</v>
      </c>
      <c r="L2292" s="10">
        <v>3.4</v>
      </c>
      <c r="M2292" s="6" t="s">
        <v>430</v>
      </c>
    </row>
    <row r="2293" spans="1:13">
      <c r="A2293" s="6">
        <v>2023</v>
      </c>
      <c r="B2293" s="6">
        <v>10</v>
      </c>
      <c r="C2293" s="6" t="s">
        <v>68</v>
      </c>
      <c r="D2293" s="6" t="s">
        <v>335</v>
      </c>
      <c r="E2293" s="6" t="s">
        <v>369</v>
      </c>
      <c r="F2293" s="6" t="str">
        <f>IF($M2293="PADD I","PADD 1",IF($M2293="PADD II","PADD 2",IF($M2293="PADD III","PADD 3",IF($M2293="PADD IV","PADD 4",IF($M2293="PADD V","PADD 5","")))))</f>
        <v>PADD 3</v>
      </c>
      <c r="G2293" s="6" t="str">
        <f>IF(AND($H2293="ATMOS DISTILLATION",ISNUMBER(SEARCH("VPS",$I2293))=FALSE,LEFT($I2293,6)&lt;&gt;"VACUUM"),"CDU",IF($H2293="FLUID CAT CRACKING","FCC",IF(OR($H2293="HYDROCRACKING",$H2293="RESID_HYDROCRACKING"),"Hydrocracker",IF($H2293="REFORMING","Reformer",""))))</f>
        <v>FCC</v>
      </c>
      <c r="H2293" s="6" t="s">
        <v>376</v>
      </c>
      <c r="I2293" s="6" t="s">
        <v>472</v>
      </c>
      <c r="J2293" s="6" t="s">
        <v>345</v>
      </c>
      <c r="K2293" s="10">
        <v>0.9</v>
      </c>
      <c r="L2293" s="10">
        <v>30</v>
      </c>
      <c r="M2293" s="6" t="s">
        <v>371</v>
      </c>
    </row>
    <row r="2294" spans="1:13">
      <c r="A2294" s="6">
        <v>2023</v>
      </c>
      <c r="B2294" s="6">
        <v>10</v>
      </c>
      <c r="C2294" s="6" t="s">
        <v>68</v>
      </c>
      <c r="D2294" s="6" t="s">
        <v>871</v>
      </c>
      <c r="E2294" s="6" t="s">
        <v>872</v>
      </c>
      <c r="F2294" s="6" t="str">
        <f>IF($M2294="PADD I","PADD 1",IF($M2294="PADD II","PADD 2",IF($M2294="PADD III","PADD 3",IF($M2294="PADD IV","PADD 4",IF($M2294="PADD V","PADD 5","")))))</f>
        <v>PADD 4</v>
      </c>
      <c r="G2294" s="6">
        <f>IF(AND($H2294="ATMOS DISTILLATION",ISNUMBER(SEARCH("VPS",$I2294))=FALSE,LEFT($I2294,6)&lt;&gt;"VACUUM"),"CDU",IF($H2294="FLUID CAT CRACKING","FCC",IF(OR($H2294="HYDROCRACKING",$H2294="RESID_HYDROCRACKING"),"Hydrocracker",IF($H2294="REFORMING","Reformer",""))))</f>
        <v/>
      </c>
      <c r="H2294" s="6" t="s">
        <v>43</v>
      </c>
      <c r="I2294" s="6" t="s">
        <v>873</v>
      </c>
      <c r="J2294" s="6" t="s">
        <v>349</v>
      </c>
      <c r="K2294" s="10">
        <v>0.87</v>
      </c>
      <c r="L2294" s="10">
        <v>3</v>
      </c>
      <c r="M2294" s="6" t="s">
        <v>430</v>
      </c>
    </row>
    <row r="2295" spans="1:13">
      <c r="A2295" s="6">
        <v>2023</v>
      </c>
      <c r="B2295" s="6">
        <v>10</v>
      </c>
      <c r="C2295" s="6" t="s">
        <v>68</v>
      </c>
      <c r="D2295" s="6" t="s">
        <v>871</v>
      </c>
      <c r="E2295" s="6" t="s">
        <v>872</v>
      </c>
      <c r="F2295" s="6" t="str">
        <f>IF($M2295="PADD I","PADD 1",IF($M2295="PADD II","PADD 2",IF($M2295="PADD III","PADD 3",IF($M2295="PADD IV","PADD 4",IF($M2295="PADD V","PADD 5","")))))</f>
        <v>PADD 4</v>
      </c>
      <c r="G2295" s="6" t="str">
        <f>IF(AND($H2295="ATMOS DISTILLATION",ISNUMBER(SEARCH("VPS",$I2295))=FALSE,LEFT($I2295,6)&lt;&gt;"VACUUM"),"CDU",IF($H2295="FLUID CAT CRACKING","FCC",IF(OR($H2295="HYDROCRACKING",$H2295="RESID_HYDROCRACKING"),"Hydrocracker",IF($H2295="REFORMING","Reformer",""))))</f>
        <v>Reformer</v>
      </c>
      <c r="H2295" s="6" t="s">
        <v>421</v>
      </c>
      <c r="I2295" s="6" t="s">
        <v>15</v>
      </c>
      <c r="J2295" s="6" t="s">
        <v>349</v>
      </c>
      <c r="K2295" s="10">
        <v>0.87</v>
      </c>
      <c r="L2295" s="10">
        <v>3</v>
      </c>
      <c r="M2295" s="6" t="s">
        <v>430</v>
      </c>
    </row>
    <row r="2296" spans="1:13">
      <c r="A2296" s="6">
        <v>2023</v>
      </c>
      <c r="B2296" s="6">
        <v>10</v>
      </c>
      <c r="C2296" s="6" t="s">
        <v>68</v>
      </c>
      <c r="D2296" s="6" t="s">
        <v>612</v>
      </c>
      <c r="E2296" s="6" t="s">
        <v>416</v>
      </c>
      <c r="F2296" s="6" t="str">
        <f>IF($M2296="PADD I","PADD 1",IF($M2296="PADD II","PADD 2",IF($M2296="PADD III","PADD 3",IF($M2296="PADD IV","PADD 4",IF($M2296="PADD V","PADD 5","")))))</f>
        <v>PADD 3</v>
      </c>
      <c r="G2296" s="6">
        <f>IF(AND($H2296="ATMOS DISTILLATION",ISNUMBER(SEARCH("VPS",$I2296))=FALSE,LEFT($I2296,6)&lt;&gt;"VACUUM"),"CDU",IF($H2296="FLUID CAT CRACKING","FCC",IF(OR($H2296="HYDROCRACKING",$H2296="RESID_HYDROCRACKING"),"Hydrocracker",IF($H2296="REFORMING","Reformer",""))))</f>
        <v/>
      </c>
      <c r="H2296" s="6" t="s">
        <v>460</v>
      </c>
      <c r="I2296" s="6" t="s">
        <v>835</v>
      </c>
      <c r="J2296" s="6" t="s">
        <v>345</v>
      </c>
      <c r="K2296" s="10">
        <v>0.63</v>
      </c>
      <c r="L2296" s="10">
        <v>21</v>
      </c>
      <c r="M2296" s="6" t="s">
        <v>371</v>
      </c>
    </row>
    <row r="2297" spans="1:13">
      <c r="A2297" s="6">
        <v>2023</v>
      </c>
      <c r="B2297" s="6">
        <v>10</v>
      </c>
      <c r="C2297" s="6" t="s">
        <v>68</v>
      </c>
      <c r="D2297" s="6" t="s">
        <v>612</v>
      </c>
      <c r="E2297" s="6" t="s">
        <v>416</v>
      </c>
      <c r="F2297" s="6" t="str">
        <f>IF($M2297="PADD I","PADD 1",IF($M2297="PADD II","PADD 2",IF($M2297="PADD III","PADD 3",IF($M2297="PADD IV","PADD 4",IF($M2297="PADD V","PADD 5","")))))</f>
        <v>PADD 3</v>
      </c>
      <c r="G2297" s="6" t="str">
        <f>IF(AND($H2297="ATMOS DISTILLATION",ISNUMBER(SEARCH("VPS",$I2297))=FALSE,LEFT($I2297,6)&lt;&gt;"VACUUM"),"CDU",IF($H2297="FLUID CAT CRACKING","FCC",IF(OR($H2297="HYDROCRACKING",$H2297="RESID_HYDROCRACKING"),"Hydrocracker",IF($H2297="REFORMING","Reformer",""))))</f>
        <v>Reformer</v>
      </c>
      <c r="H2297" s="6" t="s">
        <v>421</v>
      </c>
      <c r="I2297" s="6" t="s">
        <v>755</v>
      </c>
      <c r="J2297" s="6" t="s">
        <v>345</v>
      </c>
      <c r="K2297" s="10">
        <v>0.6</v>
      </c>
      <c r="L2297" s="10">
        <v>20</v>
      </c>
      <c r="M2297" s="6" t="s">
        <v>371</v>
      </c>
    </row>
    <row r="2298" spans="1:13">
      <c r="A2298" s="6">
        <v>2023</v>
      </c>
      <c r="B2298" s="6">
        <v>10</v>
      </c>
      <c r="C2298" s="6" t="s">
        <v>68</v>
      </c>
      <c r="D2298" s="6" t="s">
        <v>612</v>
      </c>
      <c r="E2298" s="6" t="s">
        <v>416</v>
      </c>
      <c r="F2298" s="6" t="str">
        <f>IF($M2298="PADD I","PADD 1",IF($M2298="PADD II","PADD 2",IF($M2298="PADD III","PADD 3",IF($M2298="PADD IV","PADD 4",IF($M2298="PADD V","PADD 5","")))))</f>
        <v>PADD 3</v>
      </c>
      <c r="G2298" s="6">
        <f>IF(AND($H2298="ATMOS DISTILLATION",ISNUMBER(SEARCH("VPS",$I2298))=FALSE,LEFT($I2298,6)&lt;&gt;"VACUUM"),"CDU",IF($H2298="FLUID CAT CRACKING","FCC",IF(OR($H2298="HYDROCRACKING",$H2298="RESID_HYDROCRACKING"),"Hydrocracker",IF($H2298="REFORMING","Reformer",""))))</f>
        <v/>
      </c>
      <c r="H2298" s="6" t="s">
        <v>43</v>
      </c>
      <c r="I2298" s="6" t="s">
        <v>837</v>
      </c>
      <c r="J2298" s="6" t="s">
        <v>345</v>
      </c>
      <c r="K2298" s="10">
        <v>0.6</v>
      </c>
      <c r="L2298" s="10">
        <v>20</v>
      </c>
      <c r="M2298" s="6" t="s">
        <v>371</v>
      </c>
    </row>
    <row r="2299" spans="1:13">
      <c r="A2299" s="6">
        <v>2023</v>
      </c>
      <c r="B2299" s="6">
        <v>11</v>
      </c>
      <c r="C2299" s="6" t="s">
        <v>69</v>
      </c>
      <c r="D2299" s="6" t="s">
        <v>319</v>
      </c>
      <c r="E2299" s="6" t="s">
        <v>665</v>
      </c>
      <c r="F2299" s="6" t="str">
        <f>IF($M2299="PADD I","PADD 1",IF($M2299="PADD II","PADD 2",IF($M2299="PADD III","PADD 3",IF($M2299="PADD IV","PADD 4",IF($M2299="PADD V","PADD 5","")))))</f>
        <v>PADD 3</v>
      </c>
      <c r="G2299" s="6" t="str">
        <f>IF(AND($H2299="ATMOS DISTILLATION",ISNUMBER(SEARCH("VPS",$I2299))=FALSE,LEFT($I2299,6)&lt;&gt;"VACUUM"),"CDU",IF($H2299="FLUID CAT CRACKING","FCC",IF(OR($H2299="HYDROCRACKING",$H2299="RESID_HYDROCRACKING"),"Hydrocracker",IF($H2299="REFORMING","Reformer",""))))</f>
        <v>CDU</v>
      </c>
      <c r="H2299" s="6" t="s">
        <v>38</v>
      </c>
      <c r="I2299" s="6" t="s">
        <v>86</v>
      </c>
      <c r="J2299" s="6" t="s">
        <v>349</v>
      </c>
      <c r="K2299" s="10">
        <v>160.8</v>
      </c>
      <c r="L2299" s="10">
        <v>240</v>
      </c>
      <c r="M2299" s="6" t="s">
        <v>371</v>
      </c>
    </row>
    <row r="2300" spans="1:13">
      <c r="A2300" s="6">
        <v>2023</v>
      </c>
      <c r="B2300" s="6">
        <v>11</v>
      </c>
      <c r="C2300" s="6" t="s">
        <v>69</v>
      </c>
      <c r="D2300" s="6" t="s">
        <v>1060</v>
      </c>
      <c r="E2300" s="6" t="s">
        <v>1039</v>
      </c>
      <c r="F2300" s="6" t="str">
        <f>IF($M2300="PADD I","PADD 1",IF($M2300="PADD II","PADD 2",IF($M2300="PADD III","PADD 3",IF($M2300="PADD IV","PADD 4",IF($M2300="PADD V","PADD 5","")))))</f>
        <v>PADD 2</v>
      </c>
      <c r="G2300" s="6" t="str">
        <f>IF(AND($H2300="ATMOS DISTILLATION",ISNUMBER(SEARCH("VPS",$I2300))=FALSE,LEFT($I2300,6)&lt;&gt;"VACUUM"),"CDU",IF($H2300="FLUID CAT CRACKING","FCC",IF(OR($H2300="HYDROCRACKING",$H2300="RESID_HYDROCRACKING"),"Hydrocracker",IF($H2300="REFORMING","Reformer",""))))</f>
        <v>CDU</v>
      </c>
      <c r="H2300" s="6" t="s">
        <v>38</v>
      </c>
      <c r="I2300" s="6" t="s">
        <v>406</v>
      </c>
      <c r="J2300" s="6" t="s">
        <v>349</v>
      </c>
      <c r="K2300" s="10">
        <v>107.2</v>
      </c>
      <c r="L2300" s="10">
        <v>160</v>
      </c>
      <c r="M2300" s="6" t="s">
        <v>375</v>
      </c>
    </row>
    <row r="2301" spans="1:13">
      <c r="A2301" s="6">
        <v>2023</v>
      </c>
      <c r="B2301" s="6">
        <v>11</v>
      </c>
      <c r="C2301" s="6" t="s">
        <v>69</v>
      </c>
      <c r="D2301" s="6" t="s">
        <v>531</v>
      </c>
      <c r="E2301" s="6" t="s">
        <v>532</v>
      </c>
      <c r="F2301" s="6" t="str">
        <f>IF($M2301="PADD I","PADD 1",IF($M2301="PADD II","PADD 2",IF($M2301="PADD III","PADD 3",IF($M2301="PADD IV","PADD 4",IF($M2301="PADD V","PADD 5","")))))</f>
        <v>PADD 5</v>
      </c>
      <c r="G2301" s="6" t="str">
        <f>IF(AND($H2301="ATMOS DISTILLATION",ISNUMBER(SEARCH("VPS",$I2301))=FALSE,LEFT($I2301,6)&lt;&gt;"VACUUM"),"CDU",IF($H2301="FLUID CAT CRACKING","FCC",IF(OR($H2301="HYDROCRACKING",$H2301="RESID_HYDROCRACKING"),"Hydrocracker",IF($H2301="REFORMING","Reformer",""))))</f>
        <v>FCC</v>
      </c>
      <c r="H2301" s="6" t="s">
        <v>376</v>
      </c>
      <c r="I2301" s="6" t="s">
        <v>105</v>
      </c>
      <c r="J2301" s="6" t="s">
        <v>349</v>
      </c>
      <c r="K2301" s="10">
        <v>100</v>
      </c>
      <c r="L2301" s="10">
        <v>100</v>
      </c>
      <c r="M2301" s="6" t="s">
        <v>386</v>
      </c>
    </row>
    <row r="2302" spans="1:13">
      <c r="A2302" s="6">
        <v>2023</v>
      </c>
      <c r="B2302" s="6">
        <v>11</v>
      </c>
      <c r="C2302" s="6" t="s">
        <v>69</v>
      </c>
      <c r="D2302" s="6" t="s">
        <v>408</v>
      </c>
      <c r="E2302" s="6" t="s">
        <v>409</v>
      </c>
      <c r="F2302" s="6" t="str">
        <f>IF($M2302="PADD I","PADD 1",IF($M2302="PADD II","PADD 2",IF($M2302="PADD III","PADD 3",IF($M2302="PADD IV","PADD 4",IF($M2302="PADD V","PADD 5","")))))</f>
        <v>PADD 3</v>
      </c>
      <c r="G2302" s="6" t="str">
        <f>IF(AND($H2302="ATMOS DISTILLATION",ISNUMBER(SEARCH("VPS",$I2302))=FALSE,LEFT($I2302,6)&lt;&gt;"VACUUM"),"CDU",IF($H2302="FLUID CAT CRACKING","FCC",IF(OR($H2302="HYDROCRACKING",$H2302="RESID_HYDROCRACKING"),"Hydrocracker",IF($H2302="REFORMING","Reformer",""))))</f>
        <v>CDU</v>
      </c>
      <c r="H2302" s="6" t="s">
        <v>38</v>
      </c>
      <c r="I2302" s="6" t="s">
        <v>410</v>
      </c>
      <c r="J2302" s="6" t="s">
        <v>345</v>
      </c>
      <c r="K2302" s="10">
        <v>80</v>
      </c>
      <c r="L2302" s="10">
        <v>80</v>
      </c>
      <c r="M2302" s="6" t="s">
        <v>371</v>
      </c>
    </row>
    <row r="2303" spans="1:13">
      <c r="A2303" s="6">
        <v>2023</v>
      </c>
      <c r="B2303" s="6">
        <v>11</v>
      </c>
      <c r="C2303" s="6" t="s">
        <v>69</v>
      </c>
      <c r="D2303" s="6" t="s">
        <v>434</v>
      </c>
      <c r="E2303" s="6" t="s">
        <v>388</v>
      </c>
      <c r="F2303" s="6" t="str">
        <f>IF($M2303="PADD I","PADD 1",IF($M2303="PADD II","PADD 2",IF($M2303="PADD III","PADD 3",IF($M2303="PADD IV","PADD 4",IF($M2303="PADD V","PADD 5","")))))</f>
        <v>PADD 5</v>
      </c>
      <c r="G2303" s="6" t="str">
        <f>IF(AND($H2303="ATMOS DISTILLATION",ISNUMBER(SEARCH("VPS",$I2303))=FALSE,LEFT($I2303,6)&lt;&gt;"VACUUM"),"CDU",IF($H2303="FLUID CAT CRACKING","FCC",IF(OR($H2303="HYDROCRACKING",$H2303="RESID_HYDROCRACKING"),"Hydrocracker",IF($H2303="REFORMING","Reformer",""))))</f>
        <v>CDU</v>
      </c>
      <c r="H2303" s="6" t="s">
        <v>38</v>
      </c>
      <c r="I2303" s="6" t="s">
        <v>663</v>
      </c>
      <c r="J2303" s="6" t="s">
        <v>349</v>
      </c>
      <c r="K2303" s="10">
        <v>79.31</v>
      </c>
      <c r="L2303" s="10">
        <v>103</v>
      </c>
      <c r="M2303" s="6" t="s">
        <v>386</v>
      </c>
    </row>
    <row r="2304" spans="1:13">
      <c r="A2304" s="6">
        <v>2023</v>
      </c>
      <c r="B2304" s="6">
        <v>11</v>
      </c>
      <c r="C2304" s="6" t="s">
        <v>69</v>
      </c>
      <c r="D2304" s="6" t="s">
        <v>490</v>
      </c>
      <c r="E2304" s="6" t="s">
        <v>491</v>
      </c>
      <c r="F2304" s="6" t="str">
        <f>IF($M2304="PADD I","PADD 1",IF($M2304="PADD II","PADD 2",IF($M2304="PADD III","PADD 3",IF($M2304="PADD IV","PADD 4",IF($M2304="PADD V","PADD 5","")))))</f>
        <v>PADD 3</v>
      </c>
      <c r="G2304" s="6">
        <f>IF(AND($H2304="ATMOS DISTILLATION",ISNUMBER(SEARCH("VPS",$I2304))=FALSE,LEFT($I2304,6)&lt;&gt;"VACUUM"),"CDU",IF($H2304="FLUID CAT CRACKING","FCC",IF(OR($H2304="HYDROCRACKING",$H2304="RESID_HYDROCRACKING"),"Hydrocracker",IF($H2304="REFORMING","Reformer",""))))</f>
        <v/>
      </c>
      <c r="H2304" s="6" t="s">
        <v>38</v>
      </c>
      <c r="I2304" s="6" t="s">
        <v>1008</v>
      </c>
      <c r="J2304" s="6" t="s">
        <v>349</v>
      </c>
      <c r="K2304" s="10">
        <v>54</v>
      </c>
      <c r="L2304" s="10">
        <v>90</v>
      </c>
      <c r="M2304" s="6" t="s">
        <v>371</v>
      </c>
    </row>
    <row r="2305" spans="1:13">
      <c r="A2305" s="6">
        <v>2023</v>
      </c>
      <c r="B2305" s="6">
        <v>11</v>
      </c>
      <c r="C2305" s="6" t="s">
        <v>69</v>
      </c>
      <c r="D2305" s="6" t="s">
        <v>408</v>
      </c>
      <c r="E2305" s="6" t="s">
        <v>409</v>
      </c>
      <c r="F2305" s="6" t="str">
        <f>IF($M2305="PADD I","PADD 1",IF($M2305="PADD II","PADD 2",IF($M2305="PADD III","PADD 3",IF($M2305="PADD IV","PADD 4",IF($M2305="PADD V","PADD 5","")))))</f>
        <v>PADD 3</v>
      </c>
      <c r="G2305" s="6">
        <f>IF(AND($H2305="ATMOS DISTILLATION",ISNUMBER(SEARCH("VPS",$I2305))=FALSE,LEFT($I2305,6)&lt;&gt;"VACUUM"),"CDU",IF($H2305="FLUID CAT CRACKING","FCC",IF(OR($H2305="HYDROCRACKING",$H2305="RESID_HYDROCRACKING"),"Hydrocracker",IF($H2305="REFORMING","Reformer",""))))</f>
        <v/>
      </c>
      <c r="H2305" s="6" t="s">
        <v>378</v>
      </c>
      <c r="I2305" s="6" t="s">
        <v>506</v>
      </c>
      <c r="J2305" s="6" t="s">
        <v>345</v>
      </c>
      <c r="K2305" s="10">
        <v>52</v>
      </c>
      <c r="L2305" s="10">
        <v>52</v>
      </c>
      <c r="M2305" s="6" t="s">
        <v>371</v>
      </c>
    </row>
    <row r="2306" spans="1:13">
      <c r="A2306" s="6">
        <v>2023</v>
      </c>
      <c r="B2306" s="6">
        <v>11</v>
      </c>
      <c r="C2306" s="6" t="s">
        <v>69</v>
      </c>
      <c r="D2306" s="6" t="s">
        <v>415</v>
      </c>
      <c r="E2306" s="6" t="s">
        <v>416</v>
      </c>
      <c r="F2306" s="6" t="str">
        <f>IF($M2306="PADD I","PADD 1",IF($M2306="PADD II","PADD 2",IF($M2306="PADD III","PADD 3",IF($M2306="PADD IV","PADD 4",IF($M2306="PADD V","PADD 5","")))))</f>
        <v>PADD 3</v>
      </c>
      <c r="G2306" s="6">
        <f>IF(AND($H2306="ATMOS DISTILLATION",ISNUMBER(SEARCH("VPS",$I2306))=FALSE,LEFT($I2306,6)&lt;&gt;"VACUUM"),"CDU",IF($H2306="FLUID CAT CRACKING","FCC",IF(OR($H2306="HYDROCRACKING",$H2306="RESID_HYDROCRACKING"),"Hydrocracker",IF($H2306="REFORMING","Reformer",""))))</f>
        <v/>
      </c>
      <c r="H2306" s="6" t="s">
        <v>378</v>
      </c>
      <c r="I2306" s="6" t="s">
        <v>417</v>
      </c>
      <c r="J2306" s="6" t="s">
        <v>345</v>
      </c>
      <c r="K2306" s="10">
        <v>50</v>
      </c>
      <c r="L2306" s="10">
        <v>50</v>
      </c>
      <c r="M2306" s="6" t="s">
        <v>371</v>
      </c>
    </row>
    <row r="2307" spans="1:13">
      <c r="A2307" s="6">
        <v>2023</v>
      </c>
      <c r="B2307" s="6">
        <v>11</v>
      </c>
      <c r="C2307" s="6" t="s">
        <v>69</v>
      </c>
      <c r="D2307" s="6" t="s">
        <v>387</v>
      </c>
      <c r="E2307" s="6" t="s">
        <v>388</v>
      </c>
      <c r="F2307" s="6" t="str">
        <f>IF($M2307="PADD I","PADD 1",IF($M2307="PADD II","PADD 2",IF($M2307="PADD III","PADD 3",IF($M2307="PADD IV","PADD 4",IF($M2307="PADD V","PADD 5","")))))</f>
        <v>PADD 3</v>
      </c>
      <c r="G2307" s="6" t="str">
        <f>IF(AND($H2307="ATMOS DISTILLATION",ISNUMBER(SEARCH("VPS",$I2307))=FALSE,LEFT($I2307,6)&lt;&gt;"VACUUM"),"CDU",IF($H2307="FLUID CAT CRACKING","FCC",IF(OR($H2307="HYDROCRACKING",$H2307="RESID_HYDROCRACKING"),"Hydrocracker",IF($H2307="REFORMING","Reformer",""))))</f>
        <v>Reformer</v>
      </c>
      <c r="H2307" s="6" t="s">
        <v>421</v>
      </c>
      <c r="I2307" s="6" t="s">
        <v>443</v>
      </c>
      <c r="J2307" s="6" t="s">
        <v>345</v>
      </c>
      <c r="K2307" s="10">
        <v>48.825</v>
      </c>
      <c r="L2307" s="10">
        <v>77.5</v>
      </c>
      <c r="M2307" s="6" t="s">
        <v>371</v>
      </c>
    </row>
    <row r="2308" spans="1:13">
      <c r="A2308" s="6">
        <v>2023</v>
      </c>
      <c r="B2308" s="6">
        <v>11</v>
      </c>
      <c r="C2308" s="6" t="s">
        <v>69</v>
      </c>
      <c r="D2308" s="6" t="s">
        <v>40</v>
      </c>
      <c r="E2308" s="6" t="s">
        <v>736</v>
      </c>
      <c r="F2308" s="6" t="str">
        <f>IF($M2308="PADD I","PADD 1",IF($M2308="PADD II","PADD 2",IF($M2308="PADD III","PADD 3",IF($M2308="PADD IV","PADD 4",IF($M2308="PADD V","PADD 5","")))))</f>
        <v>PADD 1</v>
      </c>
      <c r="G2308" s="6" t="str">
        <f>IF(AND($H2308="ATMOS DISTILLATION",ISNUMBER(SEARCH("VPS",$I2308))=FALSE,LEFT($I2308,6)&lt;&gt;"VACUUM"),"CDU",IF($H2308="FLUID CAT CRACKING","FCC",IF(OR($H2308="HYDROCRACKING",$H2308="RESID_HYDROCRACKING"),"Hydrocracker",IF($H2308="REFORMING","Reformer",""))))</f>
        <v>FCC</v>
      </c>
      <c r="H2308" s="6" t="s">
        <v>376</v>
      </c>
      <c r="I2308" s="6" t="s">
        <v>737</v>
      </c>
      <c r="J2308" s="6" t="s">
        <v>349</v>
      </c>
      <c r="K2308" s="10">
        <v>45.56</v>
      </c>
      <c r="L2308" s="10">
        <v>68</v>
      </c>
      <c r="M2308" s="6" t="s">
        <v>413</v>
      </c>
    </row>
    <row r="2309" spans="1:13">
      <c r="A2309" s="6">
        <v>2023</v>
      </c>
      <c r="B2309" s="6">
        <v>11</v>
      </c>
      <c r="C2309" s="6" t="s">
        <v>69</v>
      </c>
      <c r="D2309" s="6" t="s">
        <v>468</v>
      </c>
      <c r="E2309" s="6" t="s">
        <v>369</v>
      </c>
      <c r="F2309" s="6" t="str">
        <f>IF($M2309="PADD I","PADD 1",IF($M2309="PADD II","PADD 2",IF($M2309="PADD III","PADD 3",IF($M2309="PADD IV","PADD 4",IF($M2309="PADD V","PADD 5","")))))</f>
        <v>PADD 3</v>
      </c>
      <c r="G2309" s="6">
        <f>IF(AND($H2309="ATMOS DISTILLATION",ISNUMBER(SEARCH("VPS",$I2309))=FALSE,LEFT($I2309,6)&lt;&gt;"VACUUM"),"CDU",IF($H2309="FLUID CAT CRACKING","FCC",IF(OR($H2309="HYDROCRACKING",$H2309="RESID_HYDROCRACKING"),"Hydrocracker",IF($H2309="REFORMING","Reformer",""))))</f>
        <v/>
      </c>
      <c r="H2309" s="6" t="s">
        <v>43</v>
      </c>
      <c r="I2309" s="6" t="s">
        <v>849</v>
      </c>
      <c r="J2309" s="6" t="s">
        <v>349</v>
      </c>
      <c r="K2309" s="10">
        <v>43.8</v>
      </c>
      <c r="L2309" s="10">
        <v>73</v>
      </c>
      <c r="M2309" s="6" t="s">
        <v>371</v>
      </c>
    </row>
    <row r="2310" spans="1:13">
      <c r="A2310" s="6">
        <v>2023</v>
      </c>
      <c r="B2310" s="6">
        <v>11</v>
      </c>
      <c r="C2310" s="6" t="s">
        <v>69</v>
      </c>
      <c r="D2310" s="6" t="s">
        <v>670</v>
      </c>
      <c r="E2310" s="6" t="s">
        <v>405</v>
      </c>
      <c r="F2310" s="6" t="str">
        <f>IF($M2310="PADD I","PADD 1",IF($M2310="PADD II","PADD 2",IF($M2310="PADD III","PADD 3",IF($M2310="PADD IV","PADD 4",IF($M2310="PADD V","PADD 5","")))))</f>
        <v>PADD 2</v>
      </c>
      <c r="G2310" s="6" t="str">
        <f>IF(AND($H2310="ATMOS DISTILLATION",ISNUMBER(SEARCH("VPS",$I2310))=FALSE,LEFT($I2310,6)&lt;&gt;"VACUUM"),"CDU",IF($H2310="FLUID CAT CRACKING","FCC",IF(OR($H2310="HYDROCRACKING",$H2310="RESID_HYDROCRACKING"),"Hydrocracker",IF($H2310="REFORMING","Reformer",""))))</f>
        <v>FCC</v>
      </c>
      <c r="H2310" s="6" t="s">
        <v>376</v>
      </c>
      <c r="I2310" s="6" t="s">
        <v>105</v>
      </c>
      <c r="J2310" s="6" t="s">
        <v>345</v>
      </c>
      <c r="K2310" s="10">
        <v>40.95</v>
      </c>
      <c r="L2310" s="10">
        <v>65</v>
      </c>
      <c r="M2310" s="6" t="s">
        <v>375</v>
      </c>
    </row>
    <row r="2311" spans="1:13">
      <c r="A2311" s="6">
        <v>2023</v>
      </c>
      <c r="B2311" s="6">
        <v>11</v>
      </c>
      <c r="C2311" s="6" t="s">
        <v>69</v>
      </c>
      <c r="D2311" s="6" t="s">
        <v>333</v>
      </c>
      <c r="E2311" s="6" t="s">
        <v>381</v>
      </c>
      <c r="F2311" s="6" t="str">
        <f>IF($M2311="PADD I","PADD 1",IF($M2311="PADD II","PADD 2",IF($M2311="PADD III","PADD 3",IF($M2311="PADD IV","PADD 4",IF($M2311="PADD V","PADD 5","")))))</f>
        <v>PADD 3</v>
      </c>
      <c r="G2311" s="6" t="str">
        <f>IF(AND($H2311="ATMOS DISTILLATION",ISNUMBER(SEARCH("VPS",$I2311))=FALSE,LEFT($I2311,6)&lt;&gt;"VACUUM"),"CDU",IF($H2311="FLUID CAT CRACKING","FCC",IF(OR($H2311="HYDROCRACKING",$H2311="RESID_HYDROCRACKING"),"Hydrocracker",IF($H2311="REFORMING","Reformer",""))))</f>
        <v>Reformer</v>
      </c>
      <c r="H2311" s="6" t="s">
        <v>421</v>
      </c>
      <c r="I2311" s="6" t="s">
        <v>941</v>
      </c>
      <c r="J2311" s="6" t="s">
        <v>349</v>
      </c>
      <c r="K2311" s="10">
        <v>40</v>
      </c>
      <c r="L2311" s="10">
        <v>80</v>
      </c>
      <c r="M2311" s="6" t="s">
        <v>371</v>
      </c>
    </row>
    <row r="2312" spans="1:13">
      <c r="A2312" s="6">
        <v>2023</v>
      </c>
      <c r="B2312" s="6">
        <v>11</v>
      </c>
      <c r="C2312" s="6" t="s">
        <v>69</v>
      </c>
      <c r="D2312" s="6" t="s">
        <v>468</v>
      </c>
      <c r="E2312" s="6" t="s">
        <v>369</v>
      </c>
      <c r="F2312" s="6" t="str">
        <f>IF($M2312="PADD I","PADD 1",IF($M2312="PADD II","PADD 2",IF($M2312="PADD III","PADD 3",IF($M2312="PADD IV","PADD 4",IF($M2312="PADD V","PADD 5","")))))</f>
        <v>PADD 3</v>
      </c>
      <c r="G2312" s="6">
        <f>IF(AND($H2312="ATMOS DISTILLATION",ISNUMBER(SEARCH("VPS",$I2312))=FALSE,LEFT($I2312,6)&lt;&gt;"VACUUM"),"CDU",IF($H2312="FLUID CAT CRACKING","FCC",IF(OR($H2312="HYDROCRACKING",$H2312="RESID_HYDROCRACKING"),"Hydrocracker",IF($H2312="REFORMING","Reformer",""))))</f>
        <v/>
      </c>
      <c r="H2312" s="6" t="s">
        <v>378</v>
      </c>
      <c r="I2312" s="6" t="s">
        <v>1023</v>
      </c>
      <c r="J2312" s="6" t="s">
        <v>349</v>
      </c>
      <c r="K2312" s="10">
        <v>40</v>
      </c>
      <c r="L2312" s="10">
        <v>80</v>
      </c>
      <c r="M2312" s="6" t="s">
        <v>371</v>
      </c>
    </row>
    <row r="2313" spans="1:13">
      <c r="A2313" s="6">
        <v>2023</v>
      </c>
      <c r="B2313" s="6">
        <v>11</v>
      </c>
      <c r="C2313" s="6" t="s">
        <v>69</v>
      </c>
      <c r="D2313" s="6" t="s">
        <v>415</v>
      </c>
      <c r="E2313" s="6" t="s">
        <v>416</v>
      </c>
      <c r="F2313" s="6" t="str">
        <f>IF($M2313="PADD I","PADD 1",IF($M2313="PADD II","PADD 2",IF($M2313="PADD III","PADD 3",IF($M2313="PADD IV","PADD 4",IF($M2313="PADD V","PADD 5","")))))</f>
        <v>PADD 3</v>
      </c>
      <c r="G2313" s="6">
        <f>IF(AND($H2313="ATMOS DISTILLATION",ISNUMBER(SEARCH("VPS",$I2313))=FALSE,LEFT($I2313,6)&lt;&gt;"VACUUM"),"CDU",IF($H2313="FLUID CAT CRACKING","FCC",IF(OR($H2313="HYDROCRACKING",$H2313="RESID_HYDROCRACKING"),"Hydrocracker",IF($H2313="REFORMING","Reformer",""))))</f>
        <v/>
      </c>
      <c r="H2313" s="6" t="s">
        <v>43</v>
      </c>
      <c r="I2313" s="6" t="s">
        <v>520</v>
      </c>
      <c r="J2313" s="6" t="s">
        <v>349</v>
      </c>
      <c r="K2313" s="10">
        <v>38</v>
      </c>
      <c r="L2313" s="10">
        <v>95</v>
      </c>
      <c r="M2313" s="6" t="s">
        <v>371</v>
      </c>
    </row>
    <row r="2314" spans="1:13">
      <c r="A2314" s="6">
        <v>2023</v>
      </c>
      <c r="B2314" s="6">
        <v>11</v>
      </c>
      <c r="C2314" s="6" t="s">
        <v>69</v>
      </c>
      <c r="D2314" s="6" t="s">
        <v>615</v>
      </c>
      <c r="E2314" s="6" t="s">
        <v>405</v>
      </c>
      <c r="F2314" s="6" t="str">
        <f>IF($M2314="PADD I","PADD 1",IF($M2314="PADD II","PADD 2",IF($M2314="PADD III","PADD 3",IF($M2314="PADD IV","PADD 4",IF($M2314="PADD V","PADD 5","")))))</f>
        <v>PADD 5</v>
      </c>
      <c r="G2314" s="6" t="str">
        <f>IF(AND($H2314="ATMOS DISTILLATION",ISNUMBER(SEARCH("VPS",$I2314))=FALSE,LEFT($I2314,6)&lt;&gt;"VACUUM"),"CDU",IF($H2314="FLUID CAT CRACKING","FCC",IF(OR($H2314="HYDROCRACKING",$H2314="RESID_HYDROCRACKING"),"Hydrocracker",IF($H2314="REFORMING","Reformer",""))))</f>
        <v>Reformer</v>
      </c>
      <c r="H2314" s="6" t="s">
        <v>421</v>
      </c>
      <c r="I2314" s="6" t="s">
        <v>666</v>
      </c>
      <c r="J2314" s="6" t="s">
        <v>345</v>
      </c>
      <c r="K2314" s="10">
        <v>36</v>
      </c>
      <c r="L2314" s="10">
        <v>40</v>
      </c>
      <c r="M2314" s="6" t="s">
        <v>386</v>
      </c>
    </row>
    <row r="2315" spans="1:13">
      <c r="A2315" s="6">
        <v>2023</v>
      </c>
      <c r="B2315" s="6">
        <v>11</v>
      </c>
      <c r="C2315" s="6" t="s">
        <v>69</v>
      </c>
      <c r="D2315" s="6" t="s">
        <v>615</v>
      </c>
      <c r="E2315" s="6" t="s">
        <v>405</v>
      </c>
      <c r="F2315" s="6" t="str">
        <f>IF($M2315="PADD I","PADD 1",IF($M2315="PADD II","PADD 2",IF($M2315="PADD III","PADD 3",IF($M2315="PADD IV","PADD 4",IF($M2315="PADD V","PADD 5","")))))</f>
        <v>PADD 5</v>
      </c>
      <c r="G2315" s="6" t="str">
        <f>IF(AND($H2315="ATMOS DISTILLATION",ISNUMBER(SEARCH("VPS",$I2315))=FALSE,LEFT($I2315,6)&lt;&gt;"VACUUM"),"CDU",IF($H2315="FLUID CAT CRACKING","FCC",IF(OR($H2315="HYDROCRACKING",$H2315="RESID_HYDROCRACKING"),"Hydrocracker",IF($H2315="REFORMING","Reformer",""))))</f>
        <v>Reformer</v>
      </c>
      <c r="H2315" s="6" t="s">
        <v>421</v>
      </c>
      <c r="I2315" s="6" t="s">
        <v>666</v>
      </c>
      <c r="J2315" s="6" t="s">
        <v>349</v>
      </c>
      <c r="K2315" s="10">
        <v>36</v>
      </c>
      <c r="L2315" s="10">
        <v>40</v>
      </c>
      <c r="M2315" s="6" t="s">
        <v>386</v>
      </c>
    </row>
    <row r="2316" spans="1:13">
      <c r="A2316" s="6">
        <v>2023</v>
      </c>
      <c r="B2316" s="6">
        <v>11</v>
      </c>
      <c r="C2316" s="6" t="s">
        <v>69</v>
      </c>
      <c r="D2316" s="6" t="s">
        <v>446</v>
      </c>
      <c r="E2316" s="6" t="s">
        <v>391</v>
      </c>
      <c r="F2316" s="6" t="str">
        <f>IF($M2316="PADD I","PADD 1",IF($M2316="PADD II","PADD 2",IF($M2316="PADD III","PADD 3",IF($M2316="PADD IV","PADD 4",IF($M2316="PADD V","PADD 5","")))))</f>
        <v>PADD 3</v>
      </c>
      <c r="G2316" s="6">
        <f>IF(AND($H2316="ATMOS DISTILLATION",ISNUMBER(SEARCH("VPS",$I2316))=FALSE,LEFT($I2316,6)&lt;&gt;"VACUUM"),"CDU",IF($H2316="FLUID CAT CRACKING","FCC",IF(OR($H2316="HYDROCRACKING",$H2316="RESID_HYDROCRACKING"),"Hydrocracker",IF($H2316="REFORMING","Reformer",""))))</f>
        <v/>
      </c>
      <c r="H2316" s="6" t="s">
        <v>43</v>
      </c>
      <c r="I2316" s="6" t="s">
        <v>447</v>
      </c>
      <c r="J2316" s="6" t="s">
        <v>349</v>
      </c>
      <c r="K2316" s="10">
        <v>35</v>
      </c>
      <c r="L2316" s="10">
        <v>35</v>
      </c>
      <c r="M2316" s="6" t="s">
        <v>371</v>
      </c>
    </row>
    <row r="2317" spans="1:13">
      <c r="A2317" s="6">
        <v>2023</v>
      </c>
      <c r="B2317" s="6">
        <v>11</v>
      </c>
      <c r="C2317" s="6" t="s">
        <v>69</v>
      </c>
      <c r="D2317" s="6" t="s">
        <v>448</v>
      </c>
      <c r="E2317" s="6" t="s">
        <v>391</v>
      </c>
      <c r="F2317" s="6" t="str">
        <f>IF($M2317="PADD I","PADD 1",IF($M2317="PADD II","PADD 2",IF($M2317="PADD III","PADD 3",IF($M2317="PADD IV","PADD 4",IF($M2317="PADD V","PADD 5","")))))</f>
        <v>PADD 3</v>
      </c>
      <c r="G2317" s="6">
        <f>IF(AND($H2317="ATMOS DISTILLATION",ISNUMBER(SEARCH("VPS",$I2317))=FALSE,LEFT($I2317,6)&lt;&gt;"VACUUM"),"CDU",IF($H2317="FLUID CAT CRACKING","FCC",IF(OR($H2317="HYDROCRACKING",$H2317="RESID_HYDROCRACKING"),"Hydrocracker",IF($H2317="REFORMING","Reformer",""))))</f>
        <v/>
      </c>
      <c r="H2317" s="6" t="s">
        <v>43</v>
      </c>
      <c r="I2317" s="6" t="s">
        <v>449</v>
      </c>
      <c r="J2317" s="6" t="s">
        <v>345</v>
      </c>
      <c r="K2317" s="10">
        <v>35</v>
      </c>
      <c r="L2317" s="10">
        <v>35</v>
      </c>
      <c r="M2317" s="6" t="s">
        <v>371</v>
      </c>
    </row>
    <row r="2318" spans="1:13">
      <c r="A2318" s="6">
        <v>2023</v>
      </c>
      <c r="B2318" s="6">
        <v>11</v>
      </c>
      <c r="C2318" s="6" t="s">
        <v>69</v>
      </c>
      <c r="D2318" s="6" t="s">
        <v>468</v>
      </c>
      <c r="E2318" s="6" t="s">
        <v>369</v>
      </c>
      <c r="F2318" s="6" t="str">
        <f>IF($M2318="PADD I","PADD 1",IF($M2318="PADD II","PADD 2",IF($M2318="PADD III","PADD 3",IF($M2318="PADD IV","PADD 4",IF($M2318="PADD V","PADD 5","")))))</f>
        <v>PADD 3</v>
      </c>
      <c r="G2318" s="6" t="str">
        <f>IF(AND($H2318="ATMOS DISTILLATION",ISNUMBER(SEARCH("VPS",$I2318))=FALSE,LEFT($I2318,6)&lt;&gt;"VACUUM"),"CDU",IF($H2318="FLUID CAT CRACKING","FCC",IF(OR($H2318="HYDROCRACKING",$H2318="RESID_HYDROCRACKING"),"Hydrocracker",IF($H2318="REFORMING","Reformer",""))))</f>
        <v>CDU</v>
      </c>
      <c r="H2318" s="6" t="s">
        <v>38</v>
      </c>
      <c r="I2318" s="6" t="s">
        <v>509</v>
      </c>
      <c r="J2318" s="6" t="s">
        <v>349</v>
      </c>
      <c r="K2318" s="10">
        <v>34</v>
      </c>
      <c r="L2318" s="10">
        <v>68</v>
      </c>
      <c r="M2318" s="6" t="s">
        <v>371</v>
      </c>
    </row>
    <row r="2319" spans="1:13">
      <c r="A2319" s="6">
        <v>2023</v>
      </c>
      <c r="B2319" s="6">
        <v>11</v>
      </c>
      <c r="C2319" s="6" t="s">
        <v>69</v>
      </c>
      <c r="D2319" s="6" t="s">
        <v>415</v>
      </c>
      <c r="E2319" s="6" t="s">
        <v>416</v>
      </c>
      <c r="F2319" s="6" t="str">
        <f>IF($M2319="PADD I","PADD 1",IF($M2319="PADD II","PADD 2",IF($M2319="PADD III","PADD 3",IF($M2319="PADD IV","PADD 4",IF($M2319="PADD V","PADD 5","")))))</f>
        <v>PADD 3</v>
      </c>
      <c r="G2319" s="6">
        <f>IF(AND($H2319="ATMOS DISTILLATION",ISNUMBER(SEARCH("VPS",$I2319))=FALSE,LEFT($I2319,6)&lt;&gt;"VACUUM"),"CDU",IF($H2319="FLUID CAT CRACKING","FCC",IF(OR($H2319="HYDROCRACKING",$H2319="RESID_HYDROCRACKING"),"Hydrocracker",IF($H2319="REFORMING","Reformer",""))))</f>
        <v/>
      </c>
      <c r="H2319" s="6" t="s">
        <v>435</v>
      </c>
      <c r="I2319" s="6" t="s">
        <v>453</v>
      </c>
      <c r="J2319" s="6" t="s">
        <v>345</v>
      </c>
      <c r="K2319" s="10">
        <v>34</v>
      </c>
      <c r="L2319" s="10">
        <v>34</v>
      </c>
      <c r="M2319" s="6" t="s">
        <v>371</v>
      </c>
    </row>
    <row r="2320" spans="1:13">
      <c r="A2320" s="6">
        <v>2023</v>
      </c>
      <c r="B2320" s="6">
        <v>11</v>
      </c>
      <c r="C2320" s="6" t="s">
        <v>69</v>
      </c>
      <c r="D2320" s="6" t="s">
        <v>415</v>
      </c>
      <c r="E2320" s="6" t="s">
        <v>416</v>
      </c>
      <c r="F2320" s="6" t="str">
        <f>IF($M2320="PADD I","PADD 1",IF($M2320="PADD II","PADD 2",IF($M2320="PADD III","PADD 3",IF($M2320="PADD IV","PADD 4",IF($M2320="PADD V","PADD 5","")))))</f>
        <v>PADD 3</v>
      </c>
      <c r="G2320" s="6">
        <f>IF(AND($H2320="ATMOS DISTILLATION",ISNUMBER(SEARCH("VPS",$I2320))=FALSE,LEFT($I2320,6)&lt;&gt;"VACUUM"),"CDU",IF($H2320="FLUID CAT CRACKING","FCC",IF(OR($H2320="HYDROCRACKING",$H2320="RESID_HYDROCRACKING"),"Hydrocracker",IF($H2320="REFORMING","Reformer",""))))</f>
        <v/>
      </c>
      <c r="H2320" s="6" t="s">
        <v>435</v>
      </c>
      <c r="I2320" s="6" t="s">
        <v>453</v>
      </c>
      <c r="J2320" s="6" t="s">
        <v>345</v>
      </c>
      <c r="K2320" s="10">
        <v>34</v>
      </c>
      <c r="L2320" s="10">
        <v>34</v>
      </c>
      <c r="M2320" s="6" t="s">
        <v>371</v>
      </c>
    </row>
    <row r="2321" spans="1:13">
      <c r="A2321" s="6">
        <v>2023</v>
      </c>
      <c r="B2321" s="6">
        <v>11</v>
      </c>
      <c r="C2321" s="6" t="s">
        <v>69</v>
      </c>
      <c r="D2321" s="6" t="s">
        <v>572</v>
      </c>
      <c r="E2321" s="6" t="s">
        <v>573</v>
      </c>
      <c r="F2321" s="6" t="str">
        <f>IF($M2321="PADD I","PADD 1",IF($M2321="PADD II","PADD 2",IF($M2321="PADD III","PADD 3",IF($M2321="PADD IV","PADD 4",IF($M2321="PADD V","PADD 5","")))))</f>
        <v>PADD 3</v>
      </c>
      <c r="G2321" s="6" t="str">
        <f>IF(AND($H2321="ATMOS DISTILLATION",ISNUMBER(SEARCH("VPS",$I2321))=FALSE,LEFT($I2321,6)&lt;&gt;"VACUUM"),"CDU",IF($H2321="FLUID CAT CRACKING","FCC",IF(OR($H2321="HYDROCRACKING",$H2321="RESID_HYDROCRACKING"),"Hydrocracker",IF($H2321="REFORMING","Reformer",""))))</f>
        <v>CDU</v>
      </c>
      <c r="H2321" s="6" t="s">
        <v>38</v>
      </c>
      <c r="I2321" s="6" t="s">
        <v>574</v>
      </c>
      <c r="J2321" s="6" t="s">
        <v>345</v>
      </c>
      <c r="K2321" s="10">
        <v>33.5</v>
      </c>
      <c r="L2321" s="10">
        <v>50</v>
      </c>
      <c r="M2321" s="6" t="s">
        <v>371</v>
      </c>
    </row>
    <row r="2322" spans="1:13">
      <c r="A2322" s="6">
        <v>2023</v>
      </c>
      <c r="B2322" s="6">
        <v>11</v>
      </c>
      <c r="C2322" s="6" t="s">
        <v>69</v>
      </c>
      <c r="D2322" s="6" t="s">
        <v>518</v>
      </c>
      <c r="E2322" s="6" t="s">
        <v>369</v>
      </c>
      <c r="F2322" s="6" t="str">
        <f>IF($M2322="PADD I","PADD 1",IF($M2322="PADD II","PADD 2",IF($M2322="PADD III","PADD 3",IF($M2322="PADD IV","PADD 4",IF($M2322="PADD V","PADD 5","")))))</f>
        <v>PADD 5</v>
      </c>
      <c r="G2322" s="6" t="str">
        <f>IF(AND($H2322="ATMOS DISTILLATION",ISNUMBER(SEARCH("VPS",$I2322))=FALSE,LEFT($I2322,6)&lt;&gt;"VACUUM"),"CDU",IF($H2322="FLUID CAT CRACKING","FCC",IF(OR($H2322="HYDROCRACKING",$H2322="RESID_HYDROCRACKING"),"Hydrocracker",IF($H2322="REFORMING","Reformer",""))))</f>
        <v>CDU</v>
      </c>
      <c r="H2322" s="6" t="s">
        <v>38</v>
      </c>
      <c r="I2322" s="6" t="s">
        <v>553</v>
      </c>
      <c r="J2322" s="6" t="s">
        <v>345</v>
      </c>
      <c r="K2322" s="10">
        <v>32</v>
      </c>
      <c r="L2322" s="10">
        <v>32</v>
      </c>
      <c r="M2322" s="6" t="s">
        <v>386</v>
      </c>
    </row>
    <row r="2323" spans="1:13">
      <c r="A2323" s="6">
        <v>2023</v>
      </c>
      <c r="B2323" s="6">
        <v>11</v>
      </c>
      <c r="C2323" s="6" t="s">
        <v>69</v>
      </c>
      <c r="D2323" s="6" t="s">
        <v>446</v>
      </c>
      <c r="E2323" s="6" t="s">
        <v>391</v>
      </c>
      <c r="F2323" s="6" t="str">
        <f>IF($M2323="PADD I","PADD 1",IF($M2323="PADD II","PADD 2",IF($M2323="PADD III","PADD 3",IF($M2323="PADD IV","PADD 4",IF($M2323="PADD V","PADD 5","")))))</f>
        <v>PADD 3</v>
      </c>
      <c r="G2323" s="6">
        <f>IF(AND($H2323="ATMOS DISTILLATION",ISNUMBER(SEARCH("VPS",$I2323))=FALSE,LEFT($I2323,6)&lt;&gt;"VACUUM"),"CDU",IF($H2323="FLUID CAT CRACKING","FCC",IF(OR($H2323="HYDROCRACKING",$H2323="RESID_HYDROCRACKING"),"Hydrocracker",IF($H2323="REFORMING","Reformer",""))))</f>
        <v/>
      </c>
      <c r="H2323" s="6" t="s">
        <v>378</v>
      </c>
      <c r="I2323" s="6" t="s">
        <v>1041</v>
      </c>
      <c r="J2323" s="6" t="s">
        <v>345</v>
      </c>
      <c r="K2323" s="10">
        <v>31.57</v>
      </c>
      <c r="L2323" s="10">
        <v>41</v>
      </c>
      <c r="M2323" s="6" t="s">
        <v>371</v>
      </c>
    </row>
    <row r="2324" spans="1:13">
      <c r="A2324" s="6">
        <v>2023</v>
      </c>
      <c r="B2324" s="6">
        <v>11</v>
      </c>
      <c r="C2324" s="6" t="s">
        <v>69</v>
      </c>
      <c r="D2324" s="6" t="s">
        <v>531</v>
      </c>
      <c r="E2324" s="6" t="s">
        <v>532</v>
      </c>
      <c r="F2324" s="6" t="str">
        <f>IF($M2324="PADD I","PADD 1",IF($M2324="PADD II","PADD 2",IF($M2324="PADD III","PADD 3",IF($M2324="PADD IV","PADD 4",IF($M2324="PADD V","PADD 5","")))))</f>
        <v>PADD 5</v>
      </c>
      <c r="G2324" s="6">
        <f>IF(AND($H2324="ATMOS DISTILLATION",ISNUMBER(SEARCH("VPS",$I2324))=FALSE,LEFT($I2324,6)&lt;&gt;"VACUUM"),"CDU",IF($H2324="FLUID CAT CRACKING","FCC",IF(OR($H2324="HYDROCRACKING",$H2324="RESID_HYDROCRACKING"),"Hydrocracker",IF($H2324="REFORMING","Reformer",""))))</f>
        <v/>
      </c>
      <c r="H2324" s="6" t="s">
        <v>43</v>
      </c>
      <c r="I2324" s="6" t="s">
        <v>567</v>
      </c>
      <c r="J2324" s="6" t="s">
        <v>349</v>
      </c>
      <c r="K2324" s="10">
        <v>31.5</v>
      </c>
      <c r="L2324" s="10">
        <v>105</v>
      </c>
      <c r="M2324" s="6" t="s">
        <v>386</v>
      </c>
    </row>
    <row r="2325" spans="1:13">
      <c r="A2325" s="6">
        <v>2023</v>
      </c>
      <c r="B2325" s="6">
        <v>11</v>
      </c>
      <c r="C2325" s="6" t="s">
        <v>69</v>
      </c>
      <c r="D2325" s="6" t="s">
        <v>468</v>
      </c>
      <c r="E2325" s="6" t="s">
        <v>369</v>
      </c>
      <c r="F2325" s="6" t="str">
        <f>IF($M2325="PADD I","PADD 1",IF($M2325="PADD II","PADD 2",IF($M2325="PADD III","PADD 3",IF($M2325="PADD IV","PADD 4",IF($M2325="PADD V","PADD 5","")))))</f>
        <v>PADD 3</v>
      </c>
      <c r="G2325" s="6" t="str">
        <f>IF(AND($H2325="ATMOS DISTILLATION",ISNUMBER(SEARCH("VPS",$I2325))=FALSE,LEFT($I2325,6)&lt;&gt;"VACUUM"),"CDU",IF($H2325="FLUID CAT CRACKING","FCC",IF(OR($H2325="HYDROCRACKING",$H2325="RESID_HYDROCRACKING"),"Hydrocracker",IF($H2325="REFORMING","Reformer",""))))</f>
        <v>FCC</v>
      </c>
      <c r="H2325" s="6" t="s">
        <v>376</v>
      </c>
      <c r="I2325" s="6" t="s">
        <v>473</v>
      </c>
      <c r="J2325" s="6" t="s">
        <v>349</v>
      </c>
      <c r="K2325" s="10">
        <v>30</v>
      </c>
      <c r="L2325" s="10">
        <v>30</v>
      </c>
      <c r="M2325" s="6" t="s">
        <v>371</v>
      </c>
    </row>
    <row r="2326" spans="1:13">
      <c r="A2326" s="6">
        <v>2023</v>
      </c>
      <c r="B2326" s="6">
        <v>11</v>
      </c>
      <c r="C2326" s="6" t="s">
        <v>69</v>
      </c>
      <c r="D2326" s="6" t="s">
        <v>468</v>
      </c>
      <c r="E2326" s="6" t="s">
        <v>369</v>
      </c>
      <c r="F2326" s="6" t="str">
        <f>IF($M2326="PADD I","PADD 1",IF($M2326="PADD II","PADD 2",IF($M2326="PADD III","PADD 3",IF($M2326="PADD IV","PADD 4",IF($M2326="PADD V","PADD 5","")))))</f>
        <v>PADD 3</v>
      </c>
      <c r="G2326" s="6" t="str">
        <f>IF(AND($H2326="ATMOS DISTILLATION",ISNUMBER(SEARCH("VPS",$I2326))=FALSE,LEFT($I2326,6)&lt;&gt;"VACUUM"),"CDU",IF($H2326="FLUID CAT CRACKING","FCC",IF(OR($H2326="HYDROCRACKING",$H2326="RESID_HYDROCRACKING"),"Hydrocracker",IF($H2326="REFORMING","Reformer",""))))</f>
        <v>FCC</v>
      </c>
      <c r="H2326" s="6" t="s">
        <v>376</v>
      </c>
      <c r="I2326" s="6" t="s">
        <v>469</v>
      </c>
      <c r="J2326" s="6" t="s">
        <v>349</v>
      </c>
      <c r="K2326" s="10">
        <v>30</v>
      </c>
      <c r="L2326" s="10">
        <v>30</v>
      </c>
      <c r="M2326" s="6" t="s">
        <v>371</v>
      </c>
    </row>
    <row r="2327" spans="1:13">
      <c r="A2327" s="6">
        <v>2023</v>
      </c>
      <c r="B2327" s="6">
        <v>11</v>
      </c>
      <c r="C2327" s="6" t="s">
        <v>69</v>
      </c>
      <c r="D2327" s="6" t="s">
        <v>335</v>
      </c>
      <c r="E2327" s="6" t="s">
        <v>369</v>
      </c>
      <c r="F2327" s="6" t="str">
        <f>IF($M2327="PADD I","PADD 1",IF($M2327="PADD II","PADD 2",IF($M2327="PADD III","PADD 3",IF($M2327="PADD IV","PADD 4",IF($M2327="PADD V","PADD 5","")))))</f>
        <v>PADD 3</v>
      </c>
      <c r="G2327" s="6" t="str">
        <f>IF(AND($H2327="ATMOS DISTILLATION",ISNUMBER(SEARCH("VPS",$I2327))=FALSE,LEFT($I2327,6)&lt;&gt;"VACUUM"),"CDU",IF($H2327="FLUID CAT CRACKING","FCC",IF(OR($H2327="HYDROCRACKING",$H2327="RESID_HYDROCRACKING"),"Hydrocracker",IF($H2327="REFORMING","Reformer",""))))</f>
        <v>FCC</v>
      </c>
      <c r="H2327" s="6" t="s">
        <v>376</v>
      </c>
      <c r="I2327" s="6" t="s">
        <v>472</v>
      </c>
      <c r="J2327" s="6" t="s">
        <v>345</v>
      </c>
      <c r="K2327" s="10">
        <v>30</v>
      </c>
      <c r="L2327" s="10">
        <v>30</v>
      </c>
      <c r="M2327" s="6" t="s">
        <v>371</v>
      </c>
    </row>
    <row r="2328" spans="1:13">
      <c r="A2328" s="6">
        <v>2023</v>
      </c>
      <c r="B2328" s="6">
        <v>11</v>
      </c>
      <c r="C2328" s="6" t="s">
        <v>69</v>
      </c>
      <c r="D2328" s="6" t="s">
        <v>468</v>
      </c>
      <c r="E2328" s="6" t="s">
        <v>369</v>
      </c>
      <c r="F2328" s="6" t="str">
        <f>IF($M2328="PADD I","PADD 1",IF($M2328="PADD II","PADD 2",IF($M2328="PADD III","PADD 3",IF($M2328="PADD IV","PADD 4",IF($M2328="PADD V","PADD 5","")))))</f>
        <v>PADD 3</v>
      </c>
      <c r="G2328" s="6">
        <f>IF(AND($H2328="ATMOS DISTILLATION",ISNUMBER(SEARCH("VPS",$I2328))=FALSE,LEFT($I2328,6)&lt;&gt;"VACUUM"),"CDU",IF($H2328="FLUID CAT CRACKING","FCC",IF(OR($H2328="HYDROCRACKING",$H2328="RESID_HYDROCRACKING"),"Hydrocracker",IF($H2328="REFORMING","Reformer",""))))</f>
        <v/>
      </c>
      <c r="H2328" s="6" t="s">
        <v>43</v>
      </c>
      <c r="I2328" s="6" t="s">
        <v>482</v>
      </c>
      <c r="J2328" s="6" t="s">
        <v>349</v>
      </c>
      <c r="K2328" s="10">
        <v>30</v>
      </c>
      <c r="L2328" s="10">
        <v>50</v>
      </c>
      <c r="M2328" s="6" t="s">
        <v>371</v>
      </c>
    </row>
    <row r="2329" spans="1:13">
      <c r="A2329" s="6">
        <v>2023</v>
      </c>
      <c r="B2329" s="6">
        <v>11</v>
      </c>
      <c r="C2329" s="6" t="s">
        <v>69</v>
      </c>
      <c r="D2329" s="6" t="s">
        <v>730</v>
      </c>
      <c r="E2329" s="6" t="s">
        <v>731</v>
      </c>
      <c r="F2329" s="6" t="str">
        <f>IF($M2329="PADD I","PADD 1",IF($M2329="PADD II","PADD 2",IF($M2329="PADD III","PADD 3",IF($M2329="PADD IV","PADD 4",IF($M2329="PADD V","PADD 5","")))))</f>
        <v>PADD 3</v>
      </c>
      <c r="G2329" s="6" t="str">
        <f>IF(AND($H2329="ATMOS DISTILLATION",ISNUMBER(SEARCH("VPS",$I2329))=FALSE,LEFT($I2329,6)&lt;&gt;"VACUUM"),"CDU",IF($H2329="FLUID CAT CRACKING","FCC",IF(OR($H2329="HYDROCRACKING",$H2329="RESID_HYDROCRACKING"),"Hydrocracker",IF($H2329="REFORMING","Reformer",""))))</f>
        <v>CDU</v>
      </c>
      <c r="H2329" s="6" t="s">
        <v>38</v>
      </c>
      <c r="I2329" s="6" t="s">
        <v>81</v>
      </c>
      <c r="J2329" s="6" t="s">
        <v>349</v>
      </c>
      <c r="K2329" s="10">
        <v>29.6</v>
      </c>
      <c r="L2329" s="10">
        <v>80</v>
      </c>
      <c r="M2329" s="6" t="s">
        <v>371</v>
      </c>
    </row>
    <row r="2330" spans="1:13">
      <c r="A2330" s="6">
        <v>2023</v>
      </c>
      <c r="B2330" s="6">
        <v>11</v>
      </c>
      <c r="C2330" s="6" t="s">
        <v>69</v>
      </c>
      <c r="D2330" s="6" t="s">
        <v>319</v>
      </c>
      <c r="E2330" s="6" t="s">
        <v>665</v>
      </c>
      <c r="F2330" s="6" t="str">
        <f>IF($M2330="PADD I","PADD 1",IF($M2330="PADD II","PADD 2",IF($M2330="PADD III","PADD 3",IF($M2330="PADD IV","PADD 4",IF($M2330="PADD V","PADD 5","")))))</f>
        <v>PADD 3</v>
      </c>
      <c r="G2330" s="6">
        <f>IF(AND($H2330="ATMOS DISTILLATION",ISNUMBER(SEARCH("VPS",$I2330))=FALSE,LEFT($I2330,6)&lt;&gt;"VACUUM"),"CDU",IF($H2330="FLUID CAT CRACKING","FCC",IF(OR($H2330="HYDROCRACKING",$H2330="RESID_HYDROCRACKING"),"Hydrocracker",IF($H2330="REFORMING","Reformer",""))))</f>
        <v/>
      </c>
      <c r="H2330" s="6" t="s">
        <v>378</v>
      </c>
      <c r="I2330" s="6" t="s">
        <v>877</v>
      </c>
      <c r="J2330" s="6" t="s">
        <v>345</v>
      </c>
      <c r="K2330" s="10">
        <v>28.86</v>
      </c>
      <c r="L2330" s="10">
        <v>78</v>
      </c>
      <c r="M2330" s="6" t="s">
        <v>371</v>
      </c>
    </row>
    <row r="2331" spans="1:13">
      <c r="A2331" s="6">
        <v>2023</v>
      </c>
      <c r="B2331" s="6">
        <v>11</v>
      </c>
      <c r="C2331" s="6" t="s">
        <v>69</v>
      </c>
      <c r="D2331" s="6" t="s">
        <v>324</v>
      </c>
      <c r="E2331" s="6" t="s">
        <v>388</v>
      </c>
      <c r="F2331" s="6" t="str">
        <f>IF($M2331="PADD I","PADD 1",IF($M2331="PADD II","PADD 2",IF($M2331="PADD III","PADD 3",IF($M2331="PADD IV","PADD 4",IF($M2331="PADD V","PADD 5","")))))</f>
        <v>PADD 3</v>
      </c>
      <c r="G2331" s="6">
        <f>IF(AND($H2331="ATMOS DISTILLATION",ISNUMBER(SEARCH("VPS",$I2331))=FALSE,LEFT($I2331,6)&lt;&gt;"VACUUM"),"CDU",IF($H2331="FLUID CAT CRACKING","FCC",IF(OR($H2331="HYDROCRACKING",$H2331="RESID_HYDROCRACKING"),"Hydrocracker",IF($H2331="REFORMING","Reformer",""))))</f>
        <v/>
      </c>
      <c r="H2331" s="6" t="s">
        <v>43</v>
      </c>
      <c r="I2331" s="6" t="s">
        <v>682</v>
      </c>
      <c r="J2331" s="6" t="s">
        <v>345</v>
      </c>
      <c r="K2331" s="10">
        <v>28.62</v>
      </c>
      <c r="L2331" s="10">
        <v>106</v>
      </c>
      <c r="M2331" s="6" t="s">
        <v>371</v>
      </c>
    </row>
    <row r="2332" spans="1:13">
      <c r="A2332" s="6">
        <v>2023</v>
      </c>
      <c r="B2332" s="6">
        <v>11</v>
      </c>
      <c r="C2332" s="6" t="s">
        <v>69</v>
      </c>
      <c r="D2332" s="6" t="s">
        <v>387</v>
      </c>
      <c r="E2332" s="6" t="s">
        <v>388</v>
      </c>
      <c r="F2332" s="6" t="str">
        <f>IF($M2332="PADD I","PADD 1",IF($M2332="PADD II","PADD 2",IF($M2332="PADD III","PADD 3",IF($M2332="PADD IV","PADD 4",IF($M2332="PADD V","PADD 5","")))))</f>
        <v>PADD 3</v>
      </c>
      <c r="G2332" s="6">
        <f>IF(AND($H2332="ATMOS DISTILLATION",ISNUMBER(SEARCH("VPS",$I2332))=FALSE,LEFT($I2332,6)&lt;&gt;"VACUUM"),"CDU",IF($H2332="FLUID CAT CRACKING","FCC",IF(OR($H2332="HYDROCRACKING",$H2332="RESID_HYDROCRACKING"),"Hydrocracker",IF($H2332="REFORMING","Reformer",""))))</f>
        <v/>
      </c>
      <c r="H2332" s="6" t="s">
        <v>43</v>
      </c>
      <c r="I2332" s="6" t="s">
        <v>848</v>
      </c>
      <c r="J2332" s="6" t="s">
        <v>345</v>
      </c>
      <c r="K2332" s="10">
        <v>28.5</v>
      </c>
      <c r="L2332" s="10">
        <v>50</v>
      </c>
      <c r="M2332" s="6" t="s">
        <v>371</v>
      </c>
    </row>
    <row r="2333" spans="1:13">
      <c r="A2333" s="6">
        <v>2023</v>
      </c>
      <c r="B2333" s="6">
        <v>11</v>
      </c>
      <c r="C2333" s="6" t="s">
        <v>69</v>
      </c>
      <c r="D2333" s="6" t="s">
        <v>547</v>
      </c>
      <c r="E2333" s="6" t="s">
        <v>391</v>
      </c>
      <c r="F2333" s="6" t="str">
        <f>IF($M2333="PADD I","PADD 1",IF($M2333="PADD II","PADD 2",IF($M2333="PADD III","PADD 3",IF($M2333="PADD IV","PADD 4",IF($M2333="PADD V","PADD 5","")))))</f>
        <v>PADD 5</v>
      </c>
      <c r="G2333" s="6" t="str">
        <f>IF(AND($H2333="ATMOS DISTILLATION",ISNUMBER(SEARCH("VPS",$I2333))=FALSE,LEFT($I2333,6)&lt;&gt;"VACUUM"),"CDU",IF($H2333="FLUID CAT CRACKING","FCC",IF(OR($H2333="HYDROCRACKING",$H2333="RESID_HYDROCRACKING"),"Hydrocracker",IF($H2333="REFORMING","Reformer",""))))</f>
        <v>Reformer</v>
      </c>
      <c r="H2333" s="6" t="s">
        <v>421</v>
      </c>
      <c r="I2333" s="6" t="s">
        <v>1049</v>
      </c>
      <c r="J2333" s="6" t="s">
        <v>345</v>
      </c>
      <c r="K2333" s="10">
        <v>28</v>
      </c>
      <c r="L2333" s="10">
        <v>40</v>
      </c>
      <c r="M2333" s="6" t="s">
        <v>386</v>
      </c>
    </row>
    <row r="2334" spans="1:13">
      <c r="A2334" s="6">
        <v>2023</v>
      </c>
      <c r="B2334" s="6">
        <v>11</v>
      </c>
      <c r="C2334" s="6" t="s">
        <v>69</v>
      </c>
      <c r="D2334" s="6" t="s">
        <v>40</v>
      </c>
      <c r="E2334" s="6" t="s">
        <v>736</v>
      </c>
      <c r="F2334" s="6" t="str">
        <f>IF($M2334="PADD I","PADD 1",IF($M2334="PADD II","PADD 2",IF($M2334="PADD III","PADD 3",IF($M2334="PADD IV","PADD 4",IF($M2334="PADD V","PADD 5","")))))</f>
        <v>PADD 1</v>
      </c>
      <c r="G2334" s="6" t="str">
        <f>IF(AND($H2334="ATMOS DISTILLATION",ISNUMBER(SEARCH("VPS",$I2334))=FALSE,LEFT($I2334,6)&lt;&gt;"VACUUM"),"CDU",IF($H2334="FLUID CAT CRACKING","FCC",IF(OR($H2334="HYDROCRACKING",$H2334="RESID_HYDROCRACKING"),"Hydrocracker",IF($H2334="REFORMING","Reformer",""))))</f>
        <v>CDU</v>
      </c>
      <c r="H2334" s="6" t="s">
        <v>38</v>
      </c>
      <c r="I2334" s="6" t="s">
        <v>980</v>
      </c>
      <c r="J2334" s="6" t="s">
        <v>349</v>
      </c>
      <c r="K2334" s="10">
        <v>27.75</v>
      </c>
      <c r="L2334" s="10">
        <v>92.5</v>
      </c>
      <c r="M2334" s="6" t="s">
        <v>413</v>
      </c>
    </row>
    <row r="2335" spans="1:13">
      <c r="A2335" s="6">
        <v>2023</v>
      </c>
      <c r="B2335" s="6">
        <v>11</v>
      </c>
      <c r="C2335" s="6" t="s">
        <v>69</v>
      </c>
      <c r="D2335" s="6" t="s">
        <v>40</v>
      </c>
      <c r="E2335" s="6" t="s">
        <v>736</v>
      </c>
      <c r="F2335" s="6" t="str">
        <f>IF($M2335="PADD I","PADD 1",IF($M2335="PADD II","PADD 2",IF($M2335="PADD III","PADD 3",IF($M2335="PADD IV","PADD 4",IF($M2335="PADD V","PADD 5","")))))</f>
        <v>PADD 1</v>
      </c>
      <c r="G2335" s="6" t="str">
        <f>IF(AND($H2335="ATMOS DISTILLATION",ISNUMBER(SEARCH("VPS",$I2335))=FALSE,LEFT($I2335,6)&lt;&gt;"VACUUM"),"CDU",IF($H2335="FLUID CAT CRACKING","FCC",IF(OR($H2335="HYDROCRACKING",$H2335="RESID_HYDROCRACKING"),"Hydrocracker",IF($H2335="REFORMING","Reformer",""))))</f>
        <v>CDU</v>
      </c>
      <c r="H2335" s="6" t="s">
        <v>38</v>
      </c>
      <c r="I2335" s="6" t="s">
        <v>989</v>
      </c>
      <c r="J2335" s="6" t="s">
        <v>349</v>
      </c>
      <c r="K2335" s="10">
        <v>27.75</v>
      </c>
      <c r="L2335" s="10">
        <v>92.5</v>
      </c>
      <c r="M2335" s="6" t="s">
        <v>413</v>
      </c>
    </row>
    <row r="2336" spans="1:13">
      <c r="A2336" s="6">
        <v>2023</v>
      </c>
      <c r="B2336" s="6">
        <v>11</v>
      </c>
      <c r="C2336" s="6" t="s">
        <v>69</v>
      </c>
      <c r="D2336" s="6" t="s">
        <v>319</v>
      </c>
      <c r="E2336" s="6" t="s">
        <v>665</v>
      </c>
      <c r="F2336" s="6" t="str">
        <f>IF($M2336="PADD I","PADD 1",IF($M2336="PADD II","PADD 2",IF($M2336="PADD III","PADD 3",IF($M2336="PADD IV","PADD 4",IF($M2336="PADD V","PADD 5","")))))</f>
        <v>PADD 3</v>
      </c>
      <c r="G2336" s="6">
        <f>IF(AND($H2336="ATMOS DISTILLATION",ISNUMBER(SEARCH("VPS",$I2336))=FALSE,LEFT($I2336,6)&lt;&gt;"VACUUM"),"CDU",IF($H2336="FLUID CAT CRACKING","FCC",IF(OR($H2336="HYDROCRACKING",$H2336="RESID_HYDROCRACKING"),"Hydrocracker",IF($H2336="REFORMING","Reformer",""))))</f>
        <v/>
      </c>
      <c r="H2336" s="6" t="s">
        <v>43</v>
      </c>
      <c r="I2336" s="6" t="s">
        <v>888</v>
      </c>
      <c r="J2336" s="6" t="s">
        <v>349</v>
      </c>
      <c r="K2336" s="10">
        <v>26.8</v>
      </c>
      <c r="L2336" s="10">
        <v>40</v>
      </c>
      <c r="M2336" s="6" t="s">
        <v>371</v>
      </c>
    </row>
    <row r="2337" spans="1:13">
      <c r="A2337" s="6">
        <v>2023</v>
      </c>
      <c r="B2337" s="6">
        <v>11</v>
      </c>
      <c r="C2337" s="6" t="s">
        <v>69</v>
      </c>
      <c r="D2337" s="6" t="s">
        <v>319</v>
      </c>
      <c r="E2337" s="6" t="s">
        <v>665</v>
      </c>
      <c r="F2337" s="6" t="str">
        <f>IF($M2337="PADD I","PADD 1",IF($M2337="PADD II","PADD 2",IF($M2337="PADD III","PADD 3",IF($M2337="PADD IV","PADD 4",IF($M2337="PADD V","PADD 5","")))))</f>
        <v>PADD 3</v>
      </c>
      <c r="G2337" s="6" t="str">
        <f>IF(AND($H2337="ATMOS DISTILLATION",ISNUMBER(SEARCH("VPS",$I2337))=FALSE,LEFT($I2337,6)&lt;&gt;"VACUUM"),"CDU",IF($H2337="FLUID CAT CRACKING","FCC",IF(OR($H2337="HYDROCRACKING",$H2337="RESID_HYDROCRACKING"),"Hydrocracker",IF($H2337="REFORMING","Reformer",""))))</f>
        <v>Reformer</v>
      </c>
      <c r="H2337" s="6" t="s">
        <v>421</v>
      </c>
      <c r="I2337" s="6" t="s">
        <v>889</v>
      </c>
      <c r="J2337" s="6" t="s">
        <v>349</v>
      </c>
      <c r="K2337" s="10">
        <v>26.8</v>
      </c>
      <c r="L2337" s="10">
        <v>40</v>
      </c>
      <c r="M2337" s="6" t="s">
        <v>371</v>
      </c>
    </row>
    <row r="2338" spans="1:13">
      <c r="A2338" s="6">
        <v>2023</v>
      </c>
      <c r="B2338" s="6">
        <v>11</v>
      </c>
      <c r="C2338" s="6" t="s">
        <v>69</v>
      </c>
      <c r="D2338" s="6" t="s">
        <v>748</v>
      </c>
      <c r="E2338" s="6" t="s">
        <v>388</v>
      </c>
      <c r="F2338" s="6" t="str">
        <f>IF($M2338="PADD I","PADD 1",IF($M2338="PADD II","PADD 2",IF($M2338="PADD III","PADD 3",IF($M2338="PADD IV","PADD 4",IF($M2338="PADD V","PADD 5","")))))</f>
        <v>PADD 3</v>
      </c>
      <c r="G2338" s="6" t="str">
        <f>IF(AND($H2338="ATMOS DISTILLATION",ISNUMBER(SEARCH("VPS",$I2338))=FALSE,LEFT($I2338,6)&lt;&gt;"VACUUM"),"CDU",IF($H2338="FLUID CAT CRACKING","FCC",IF(OR($H2338="HYDROCRACKING",$H2338="RESID_HYDROCRACKING"),"Hydrocracker",IF($H2338="REFORMING","Reformer",""))))</f>
        <v>CDU</v>
      </c>
      <c r="H2338" s="6" t="s">
        <v>38</v>
      </c>
      <c r="I2338" s="6" t="s">
        <v>749</v>
      </c>
      <c r="J2338" s="6" t="s">
        <v>345</v>
      </c>
      <c r="K2338" s="10">
        <v>26.32</v>
      </c>
      <c r="L2338" s="10">
        <v>56</v>
      </c>
      <c r="M2338" s="6" t="s">
        <v>371</v>
      </c>
    </row>
    <row r="2339" spans="1:13">
      <c r="A2339" s="6">
        <v>2023</v>
      </c>
      <c r="B2339" s="6">
        <v>11</v>
      </c>
      <c r="C2339" s="6" t="s">
        <v>69</v>
      </c>
      <c r="D2339" s="6" t="s">
        <v>468</v>
      </c>
      <c r="E2339" s="6" t="s">
        <v>369</v>
      </c>
      <c r="F2339" s="6" t="str">
        <f>IF($M2339="PADD I","PADD 1",IF($M2339="PADD II","PADD 2",IF($M2339="PADD III","PADD 3",IF($M2339="PADD IV","PADD 4",IF($M2339="PADD V","PADD 5","")))))</f>
        <v>PADD 3</v>
      </c>
      <c r="G2339" s="6">
        <f>IF(AND($H2339="ATMOS DISTILLATION",ISNUMBER(SEARCH("VPS",$I2339))=FALSE,LEFT($I2339,6)&lt;&gt;"VACUUM"),"CDU",IF($H2339="FLUID CAT CRACKING","FCC",IF(OR($H2339="HYDROCRACKING",$H2339="RESID_HYDROCRACKING"),"Hydrocracker",IF($H2339="REFORMING","Reformer",""))))</f>
        <v/>
      </c>
      <c r="H2339" s="6" t="s">
        <v>435</v>
      </c>
      <c r="I2339" s="6" t="s">
        <v>939</v>
      </c>
      <c r="J2339" s="6" t="s">
        <v>345</v>
      </c>
      <c r="K2339" s="10">
        <v>26.04</v>
      </c>
      <c r="L2339" s="10">
        <v>28</v>
      </c>
      <c r="M2339" s="6" t="s">
        <v>371</v>
      </c>
    </row>
    <row r="2340" spans="1:13">
      <c r="A2340" s="6">
        <v>2023</v>
      </c>
      <c r="B2340" s="6">
        <v>11</v>
      </c>
      <c r="C2340" s="6" t="s">
        <v>69</v>
      </c>
      <c r="D2340" s="6" t="s">
        <v>40</v>
      </c>
      <c r="E2340" s="6" t="s">
        <v>736</v>
      </c>
      <c r="F2340" s="6" t="str">
        <f>IF($M2340="PADD I","PADD 1",IF($M2340="PADD II","PADD 2",IF($M2340="PADD III","PADD 3",IF($M2340="PADD IV","PADD 4",IF($M2340="PADD V","PADD 5","")))))</f>
        <v>PADD 1</v>
      </c>
      <c r="G2340" s="6">
        <f>IF(AND($H2340="ATMOS DISTILLATION",ISNUMBER(SEARCH("VPS",$I2340))=FALSE,LEFT($I2340,6)&lt;&gt;"VACUUM"),"CDU",IF($H2340="FLUID CAT CRACKING","FCC",IF(OR($H2340="HYDROCRACKING",$H2340="RESID_HYDROCRACKING"),"Hydrocracker",IF($H2340="REFORMING","Reformer",""))))</f>
        <v/>
      </c>
      <c r="H2340" s="6" t="s">
        <v>378</v>
      </c>
      <c r="I2340" s="6" t="s">
        <v>1009</v>
      </c>
      <c r="J2340" s="6" t="s">
        <v>345</v>
      </c>
      <c r="K2340" s="10">
        <v>26</v>
      </c>
      <c r="L2340" s="10">
        <v>26</v>
      </c>
      <c r="M2340" s="6" t="s">
        <v>413</v>
      </c>
    </row>
    <row r="2341" spans="1:13">
      <c r="A2341" s="6">
        <v>2023</v>
      </c>
      <c r="B2341" s="6">
        <v>11</v>
      </c>
      <c r="C2341" s="6" t="s">
        <v>69</v>
      </c>
      <c r="D2341" s="6" t="s">
        <v>612</v>
      </c>
      <c r="E2341" s="6" t="s">
        <v>416</v>
      </c>
      <c r="F2341" s="6" t="str">
        <f>IF($M2341="PADD I","PADD 1",IF($M2341="PADD II","PADD 2",IF($M2341="PADD III","PADD 3",IF($M2341="PADD IV","PADD 4",IF($M2341="PADD V","PADD 5","")))))</f>
        <v>PADD 3</v>
      </c>
      <c r="G2341" s="6">
        <f>IF(AND($H2341="ATMOS DISTILLATION",ISNUMBER(SEARCH("VPS",$I2341))=FALSE,LEFT($I2341,6)&lt;&gt;"VACUUM"),"CDU",IF($H2341="FLUID CAT CRACKING","FCC",IF(OR($H2341="HYDROCRACKING",$H2341="RESID_HYDROCRACKING"),"Hydrocracker",IF($H2341="REFORMING","Reformer",""))))</f>
        <v/>
      </c>
      <c r="H2341" s="6" t="s">
        <v>378</v>
      </c>
      <c r="I2341" s="6" t="s">
        <v>431</v>
      </c>
      <c r="J2341" s="6" t="s">
        <v>345</v>
      </c>
      <c r="K2341" s="10">
        <v>25.59</v>
      </c>
      <c r="L2341" s="10">
        <v>85.3</v>
      </c>
      <c r="M2341" s="6" t="s">
        <v>371</v>
      </c>
    </row>
    <row r="2342" spans="1:13">
      <c r="A2342" s="6">
        <v>2023</v>
      </c>
      <c r="B2342" s="6">
        <v>11</v>
      </c>
      <c r="C2342" s="6" t="s">
        <v>69</v>
      </c>
      <c r="D2342" s="6" t="s">
        <v>960</v>
      </c>
      <c r="E2342" s="6" t="s">
        <v>881</v>
      </c>
      <c r="F2342" s="6" t="str">
        <f>IF($M2342="PADD I","PADD 1",IF($M2342="PADD II","PADD 2",IF($M2342="PADD III","PADD 3",IF($M2342="PADD IV","PADD 4",IF($M2342="PADD V","PADD 5","")))))</f>
        <v>PADD 3</v>
      </c>
      <c r="G2342" s="6" t="str">
        <f>IF(AND($H2342="ATMOS DISTILLATION",ISNUMBER(SEARCH("VPS",$I2342))=FALSE,LEFT($I2342,6)&lt;&gt;"VACUUM"),"CDU",IF($H2342="FLUID CAT CRACKING","FCC",IF(OR($H2342="HYDROCRACKING",$H2342="RESID_HYDROCRACKING"),"Hydrocracker",IF($H2342="REFORMING","Reformer",""))))</f>
        <v>CDU</v>
      </c>
      <c r="H2342" s="6" t="s">
        <v>38</v>
      </c>
      <c r="I2342" s="6" t="s">
        <v>1047</v>
      </c>
      <c r="J2342" s="6" t="s">
        <v>349</v>
      </c>
      <c r="K2342" s="10">
        <v>25.41</v>
      </c>
      <c r="L2342" s="10">
        <v>33</v>
      </c>
      <c r="M2342" s="6" t="s">
        <v>371</v>
      </c>
    </row>
    <row r="2343" spans="1:13">
      <c r="A2343" s="6">
        <v>2023</v>
      </c>
      <c r="B2343" s="6">
        <v>11</v>
      </c>
      <c r="C2343" s="6" t="s">
        <v>69</v>
      </c>
      <c r="D2343" s="6" t="s">
        <v>542</v>
      </c>
      <c r="E2343" s="6" t="s">
        <v>543</v>
      </c>
      <c r="F2343" s="6" t="str">
        <f>IF($M2343="PADD I","PADD 1",IF($M2343="PADD II","PADD 2",IF($M2343="PADD III","PADD 3",IF($M2343="PADD IV","PADD 4",IF($M2343="PADD V","PADD 5","")))))</f>
        <v>PADD 2</v>
      </c>
      <c r="G2343" s="6" t="str">
        <f>IF(AND($H2343="ATMOS DISTILLATION",ISNUMBER(SEARCH("VPS",$I2343))=FALSE,LEFT($I2343,6)&lt;&gt;"VACUUM"),"CDU",IF($H2343="FLUID CAT CRACKING","FCC",IF(OR($H2343="HYDROCRACKING",$H2343="RESID_HYDROCRACKING"),"Hydrocracker",IF($H2343="REFORMING","Reformer",""))))</f>
        <v>CDU</v>
      </c>
      <c r="H2343" s="6" t="s">
        <v>38</v>
      </c>
      <c r="I2343" s="6" t="s">
        <v>690</v>
      </c>
      <c r="J2343" s="6" t="s">
        <v>349</v>
      </c>
      <c r="K2343" s="10">
        <v>24.3</v>
      </c>
      <c r="L2343" s="10">
        <v>90</v>
      </c>
      <c r="M2343" s="6" t="s">
        <v>375</v>
      </c>
    </row>
    <row r="2344" spans="1:13">
      <c r="A2344" s="6">
        <v>2023</v>
      </c>
      <c r="B2344" s="6">
        <v>11</v>
      </c>
      <c r="C2344" s="6" t="s">
        <v>69</v>
      </c>
      <c r="D2344" s="6" t="s">
        <v>490</v>
      </c>
      <c r="E2344" s="6" t="s">
        <v>491</v>
      </c>
      <c r="F2344" s="6" t="str">
        <f>IF($M2344="PADD I","PADD 1",IF($M2344="PADD II","PADD 2",IF($M2344="PADD III","PADD 3",IF($M2344="PADD IV","PADD 4",IF($M2344="PADD V","PADD 5","")))))</f>
        <v>PADD 3</v>
      </c>
      <c r="G2344" s="6">
        <f>IF(AND($H2344="ATMOS DISTILLATION",ISNUMBER(SEARCH("VPS",$I2344))=FALSE,LEFT($I2344,6)&lt;&gt;"VACUUM"),"CDU",IF($H2344="FLUID CAT CRACKING","FCC",IF(OR($H2344="HYDROCRACKING",$H2344="RESID_HYDROCRACKING"),"Hydrocracker",IF($H2344="REFORMING","Reformer",""))))</f>
        <v/>
      </c>
      <c r="H2344" s="6" t="s">
        <v>378</v>
      </c>
      <c r="I2344" s="6" t="s">
        <v>1020</v>
      </c>
      <c r="J2344" s="6" t="s">
        <v>349</v>
      </c>
      <c r="K2344" s="10">
        <v>24</v>
      </c>
      <c r="L2344" s="10">
        <v>40</v>
      </c>
      <c r="M2344" s="6" t="s">
        <v>371</v>
      </c>
    </row>
    <row r="2345" spans="1:13">
      <c r="A2345" s="6">
        <v>2023</v>
      </c>
      <c r="B2345" s="6">
        <v>11</v>
      </c>
      <c r="C2345" s="6" t="s">
        <v>69</v>
      </c>
      <c r="D2345" s="6" t="s">
        <v>547</v>
      </c>
      <c r="E2345" s="6" t="s">
        <v>391</v>
      </c>
      <c r="F2345" s="6" t="str">
        <f>IF($M2345="PADD I","PADD 1",IF($M2345="PADD II","PADD 2",IF($M2345="PADD III","PADD 3",IF($M2345="PADD IV","PADD 4",IF($M2345="PADD V","PADD 5","")))))</f>
        <v>PADD 5</v>
      </c>
      <c r="G2345" s="6" t="str">
        <f>IF(AND($H2345="ATMOS DISTILLATION",ISNUMBER(SEARCH("VPS",$I2345))=FALSE,LEFT($I2345,6)&lt;&gt;"VACUUM"),"CDU",IF($H2345="FLUID CAT CRACKING","FCC",IF(OR($H2345="HYDROCRACKING",$H2345="RESID_HYDROCRACKING"),"Hydrocracker",IF($H2345="REFORMING","Reformer",""))))</f>
        <v>CDU</v>
      </c>
      <c r="H2345" s="6" t="s">
        <v>38</v>
      </c>
      <c r="I2345" s="6" t="s">
        <v>81</v>
      </c>
      <c r="J2345" s="6" t="s">
        <v>345</v>
      </c>
      <c r="K2345" s="10">
        <v>24</v>
      </c>
      <c r="L2345" s="10">
        <v>240</v>
      </c>
      <c r="M2345" s="6" t="s">
        <v>386</v>
      </c>
    </row>
    <row r="2346" spans="1:13">
      <c r="A2346" s="6">
        <v>2023</v>
      </c>
      <c r="B2346" s="6">
        <v>11</v>
      </c>
      <c r="C2346" s="6" t="s">
        <v>69</v>
      </c>
      <c r="D2346" s="6" t="s">
        <v>542</v>
      </c>
      <c r="E2346" s="6" t="s">
        <v>543</v>
      </c>
      <c r="F2346" s="6" t="str">
        <f>IF($M2346="PADD I","PADD 1",IF($M2346="PADD II","PADD 2",IF($M2346="PADD III","PADD 3",IF($M2346="PADD IV","PADD 4",IF($M2346="PADD V","PADD 5","")))))</f>
        <v>PADD 2</v>
      </c>
      <c r="G2346" s="6">
        <f>IF(AND($H2346="ATMOS DISTILLATION",ISNUMBER(SEARCH("VPS",$I2346))=FALSE,LEFT($I2346,6)&lt;&gt;"VACUUM"),"CDU",IF($H2346="FLUID CAT CRACKING","FCC",IF(OR($H2346="HYDROCRACKING",$H2346="RESID_HYDROCRACKING"),"Hydrocracker",IF($H2346="REFORMING","Reformer",""))))</f>
        <v/>
      </c>
      <c r="H2346" s="6" t="s">
        <v>43</v>
      </c>
      <c r="I2346" s="6" t="s">
        <v>551</v>
      </c>
      <c r="J2346" s="6" t="s">
        <v>345</v>
      </c>
      <c r="K2346" s="10">
        <v>23</v>
      </c>
      <c r="L2346" s="10">
        <v>100</v>
      </c>
      <c r="M2346" s="6" t="s">
        <v>375</v>
      </c>
    </row>
    <row r="2347" spans="1:13">
      <c r="A2347" s="6">
        <v>2023</v>
      </c>
      <c r="B2347" s="6">
        <v>11</v>
      </c>
      <c r="C2347" s="6" t="s">
        <v>69</v>
      </c>
      <c r="D2347" s="6" t="s">
        <v>531</v>
      </c>
      <c r="E2347" s="6" t="s">
        <v>532</v>
      </c>
      <c r="F2347" s="6" t="str">
        <f>IF($M2347="PADD I","PADD 1",IF($M2347="PADD II","PADD 2",IF($M2347="PADD III","PADD 3",IF($M2347="PADD IV","PADD 4",IF($M2347="PADD V","PADD 5","")))))</f>
        <v>PADD 5</v>
      </c>
      <c r="G2347" s="6">
        <f>IF(AND($H2347="ATMOS DISTILLATION",ISNUMBER(SEARCH("VPS",$I2347))=FALSE,LEFT($I2347,6)&lt;&gt;"VACUUM"),"CDU",IF($H2347="FLUID CAT CRACKING","FCC",IF(OR($H2347="HYDROCRACKING",$H2347="RESID_HYDROCRACKING"),"Hydrocracker",IF($H2347="REFORMING","Reformer",""))))</f>
        <v/>
      </c>
      <c r="H2347" s="6" t="s">
        <v>460</v>
      </c>
      <c r="I2347" s="6" t="s">
        <v>616</v>
      </c>
      <c r="J2347" s="6" t="s">
        <v>345</v>
      </c>
      <c r="K2347" s="10">
        <v>22</v>
      </c>
      <c r="L2347" s="10">
        <v>22</v>
      </c>
      <c r="M2347" s="6" t="s">
        <v>386</v>
      </c>
    </row>
    <row r="2348" spans="1:13">
      <c r="A2348" s="6">
        <v>2023</v>
      </c>
      <c r="B2348" s="6">
        <v>11</v>
      </c>
      <c r="C2348" s="6" t="s">
        <v>69</v>
      </c>
      <c r="D2348" s="6" t="s">
        <v>434</v>
      </c>
      <c r="E2348" s="6" t="s">
        <v>388</v>
      </c>
      <c r="F2348" s="6" t="str">
        <f>IF($M2348="PADD I","PADD 1",IF($M2348="PADD II","PADD 2",IF($M2348="PADD III","PADD 3",IF($M2348="PADD IV","PADD 4",IF($M2348="PADD V","PADD 5","")))))</f>
        <v>PADD 5</v>
      </c>
      <c r="G2348" s="6">
        <f>IF(AND($H2348="ATMOS DISTILLATION",ISNUMBER(SEARCH("VPS",$I2348))=FALSE,LEFT($I2348,6)&lt;&gt;"VACUUM"),"CDU",IF($H2348="FLUID CAT CRACKING","FCC",IF(OR($H2348="HYDROCRACKING",$H2348="RESID_HYDROCRACKING"),"Hydrocracker",IF($H2348="REFORMING","Reformer",""))))</f>
        <v/>
      </c>
      <c r="H2348" s="6" t="s">
        <v>435</v>
      </c>
      <c r="I2348" s="6" t="s">
        <v>436</v>
      </c>
      <c r="J2348" s="6" t="s">
        <v>345</v>
      </c>
      <c r="K2348" s="10">
        <v>21</v>
      </c>
      <c r="L2348" s="10">
        <v>42</v>
      </c>
      <c r="M2348" s="6" t="s">
        <v>386</v>
      </c>
    </row>
    <row r="2349" spans="1:13">
      <c r="A2349" s="6">
        <v>2023</v>
      </c>
      <c r="B2349" s="6">
        <v>11</v>
      </c>
      <c r="C2349" s="6" t="s">
        <v>69</v>
      </c>
      <c r="D2349" s="6" t="s">
        <v>960</v>
      </c>
      <c r="E2349" s="6" t="s">
        <v>881</v>
      </c>
      <c r="F2349" s="6" t="str">
        <f>IF($M2349="PADD I","PADD 1",IF($M2349="PADD II","PADD 2",IF($M2349="PADD III","PADD 3",IF($M2349="PADD IV","PADD 4",IF($M2349="PADD V","PADD 5","")))))</f>
        <v>PADD 3</v>
      </c>
      <c r="G2349" s="6" t="str">
        <f>IF(AND($H2349="ATMOS DISTILLATION",ISNUMBER(SEARCH("VPS",$I2349))=FALSE,LEFT($I2349,6)&lt;&gt;"VACUUM"),"CDU",IF($H2349="FLUID CAT CRACKING","FCC",IF(OR($H2349="HYDROCRACKING",$H2349="RESID_HYDROCRACKING"),"Hydrocracker",IF($H2349="REFORMING","Reformer",""))))</f>
        <v>CDU</v>
      </c>
      <c r="H2349" s="6" t="s">
        <v>38</v>
      </c>
      <c r="I2349" s="6" t="s">
        <v>374</v>
      </c>
      <c r="J2349" s="6" t="s">
        <v>349</v>
      </c>
      <c r="K2349" s="10">
        <v>20.79</v>
      </c>
      <c r="L2349" s="10">
        <v>27</v>
      </c>
      <c r="M2349" s="6" t="s">
        <v>371</v>
      </c>
    </row>
    <row r="2350" spans="1:13">
      <c r="A2350" s="6">
        <v>2023</v>
      </c>
      <c r="B2350" s="6">
        <v>11</v>
      </c>
      <c r="C2350" s="6" t="s">
        <v>69</v>
      </c>
      <c r="D2350" s="6" t="s">
        <v>398</v>
      </c>
      <c r="E2350" s="6" t="s">
        <v>399</v>
      </c>
      <c r="F2350" s="6" t="str">
        <f>IF($M2350="PADD I","PADD 1",IF($M2350="PADD II","PADD 2",IF($M2350="PADD III","PADD 3",IF($M2350="PADD IV","PADD 4",IF($M2350="PADD V","PADD 5","")))))</f>
        <v>PADD 3</v>
      </c>
      <c r="G2350" s="6" t="str">
        <f>IF(AND($H2350="ATMOS DISTILLATION",ISNUMBER(SEARCH("VPS",$I2350))=FALSE,LEFT($I2350,6)&lt;&gt;"VACUUM"),"CDU",IF($H2350="FLUID CAT CRACKING","FCC",IF(OR($H2350="HYDROCRACKING",$H2350="RESID_HYDROCRACKING"),"Hydrocracker",IF($H2350="REFORMING","Reformer",""))))</f>
        <v>FCC</v>
      </c>
      <c r="H2350" s="6" t="s">
        <v>376</v>
      </c>
      <c r="I2350" s="6" t="s">
        <v>1036</v>
      </c>
      <c r="J2350" s="6" t="s">
        <v>349</v>
      </c>
      <c r="K2350" s="10">
        <v>20.7</v>
      </c>
      <c r="L2350" s="10">
        <v>90</v>
      </c>
      <c r="M2350" s="6" t="s">
        <v>371</v>
      </c>
    </row>
    <row r="2351" spans="1:13">
      <c r="A2351" s="6">
        <v>2023</v>
      </c>
      <c r="B2351" s="6">
        <v>11</v>
      </c>
      <c r="C2351" s="6" t="s">
        <v>69</v>
      </c>
      <c r="D2351" s="6" t="s">
        <v>468</v>
      </c>
      <c r="E2351" s="6" t="s">
        <v>369</v>
      </c>
      <c r="F2351" s="6" t="str">
        <f>IF($M2351="PADD I","PADD 1",IF($M2351="PADD II","PADD 2",IF($M2351="PADD III","PADD 3",IF($M2351="PADD IV","PADD 4",IF($M2351="PADD V","PADD 5","")))))</f>
        <v>PADD 3</v>
      </c>
      <c r="G2351" s="6" t="str">
        <f>IF(AND($H2351="ATMOS DISTILLATION",ISNUMBER(SEARCH("VPS",$I2351))=FALSE,LEFT($I2351,6)&lt;&gt;"VACUUM"),"CDU",IF($H2351="FLUID CAT CRACKING","FCC",IF(OR($H2351="HYDROCRACKING",$H2351="RESID_HYDROCRACKING"),"Hydrocracker",IF($H2351="REFORMING","Reformer",""))))</f>
        <v>CDU</v>
      </c>
      <c r="H2351" s="6" t="s">
        <v>38</v>
      </c>
      <c r="I2351" s="6" t="s">
        <v>561</v>
      </c>
      <c r="J2351" s="6" t="s">
        <v>349</v>
      </c>
      <c r="K2351" s="10">
        <v>20.5</v>
      </c>
      <c r="L2351" s="10">
        <v>41</v>
      </c>
      <c r="M2351" s="6" t="s">
        <v>371</v>
      </c>
    </row>
    <row r="2352" spans="1:13">
      <c r="A2352" s="6">
        <v>2023</v>
      </c>
      <c r="B2352" s="6">
        <v>11</v>
      </c>
      <c r="C2352" s="6" t="s">
        <v>69</v>
      </c>
      <c r="D2352" s="6" t="s">
        <v>468</v>
      </c>
      <c r="E2352" s="6" t="s">
        <v>369</v>
      </c>
      <c r="F2352" s="6" t="str">
        <f>IF($M2352="PADD I","PADD 1",IF($M2352="PADD II","PADD 2",IF($M2352="PADD III","PADD 3",IF($M2352="PADD IV","PADD 4",IF($M2352="PADD V","PADD 5","")))))</f>
        <v>PADD 3</v>
      </c>
      <c r="G2352" s="6">
        <f>IF(AND($H2352="ATMOS DISTILLATION",ISNUMBER(SEARCH("VPS",$I2352))=FALSE,LEFT($I2352,6)&lt;&gt;"VACUUM"),"CDU",IF($H2352="FLUID CAT CRACKING","FCC",IF(OR($H2352="HYDROCRACKING",$H2352="RESID_HYDROCRACKING"),"Hydrocracker",IF($H2352="REFORMING","Reformer",""))))</f>
        <v/>
      </c>
      <c r="H2352" s="6" t="s">
        <v>43</v>
      </c>
      <c r="I2352" s="6" t="s">
        <v>1028</v>
      </c>
      <c r="J2352" s="6" t="s">
        <v>349</v>
      </c>
      <c r="K2352" s="10">
        <v>20.4</v>
      </c>
      <c r="L2352" s="10">
        <v>34</v>
      </c>
      <c r="M2352" s="6" t="s">
        <v>371</v>
      </c>
    </row>
    <row r="2353" spans="1:13">
      <c r="A2353" s="6">
        <v>2023</v>
      </c>
      <c r="B2353" s="6">
        <v>11</v>
      </c>
      <c r="C2353" s="6" t="s">
        <v>69</v>
      </c>
      <c r="D2353" s="6" t="s">
        <v>465</v>
      </c>
      <c r="E2353" s="6" t="s">
        <v>369</v>
      </c>
      <c r="F2353" s="6" t="str">
        <f>IF($M2353="PADD I","PADD 1",IF($M2353="PADD II","PADD 2",IF($M2353="PADD III","PADD 3",IF($M2353="PADD IV","PADD 4",IF($M2353="PADD V","PADD 5","")))))</f>
        <v>PADD 5</v>
      </c>
      <c r="G2353" s="6">
        <f>IF(AND($H2353="ATMOS DISTILLATION",ISNUMBER(SEARCH("VPS",$I2353))=FALSE,LEFT($I2353,6)&lt;&gt;"VACUUM"),"CDU",IF($H2353="FLUID CAT CRACKING","FCC",IF(OR($H2353="HYDROCRACKING",$H2353="RESID_HYDROCRACKING"),"Hydrocracker",IF($H2353="REFORMING","Reformer",""))))</f>
        <v/>
      </c>
      <c r="H2353" s="6" t="s">
        <v>43</v>
      </c>
      <c r="I2353" s="6" t="s">
        <v>466</v>
      </c>
      <c r="J2353" s="6" t="s">
        <v>349</v>
      </c>
      <c r="K2353" s="10">
        <v>20</v>
      </c>
      <c r="L2353" s="10">
        <v>50</v>
      </c>
      <c r="M2353" s="6" t="s">
        <v>386</v>
      </c>
    </row>
    <row r="2354" spans="1:13">
      <c r="A2354" s="6">
        <v>2023</v>
      </c>
      <c r="B2354" s="6">
        <v>11</v>
      </c>
      <c r="C2354" s="6" t="s">
        <v>69</v>
      </c>
      <c r="D2354" s="6" t="s">
        <v>531</v>
      </c>
      <c r="E2354" s="6" t="s">
        <v>532</v>
      </c>
      <c r="F2354" s="6" t="str">
        <f>IF($M2354="PADD I","PADD 1",IF($M2354="PADD II","PADD 2",IF($M2354="PADD III","PADD 3",IF($M2354="PADD IV","PADD 4",IF($M2354="PADD V","PADD 5","")))))</f>
        <v>PADD 5</v>
      </c>
      <c r="G2354" s="6">
        <f>IF(AND($H2354="ATMOS DISTILLATION",ISNUMBER(SEARCH("VPS",$I2354))=FALSE,LEFT($I2354,6)&lt;&gt;"VACUUM"),"CDU",IF($H2354="FLUID CAT CRACKING","FCC",IF(OR($H2354="HYDROCRACKING",$H2354="RESID_HYDROCRACKING"),"Hydrocracker",IF($H2354="REFORMING","Reformer",""))))</f>
        <v/>
      </c>
      <c r="H2354" s="6" t="s">
        <v>435</v>
      </c>
      <c r="I2354" s="6" t="s">
        <v>614</v>
      </c>
      <c r="J2354" s="6" t="s">
        <v>345</v>
      </c>
      <c r="K2354" s="10">
        <v>19.71</v>
      </c>
      <c r="L2354" s="10">
        <v>27</v>
      </c>
      <c r="M2354" s="6" t="s">
        <v>386</v>
      </c>
    </row>
    <row r="2355" spans="1:13">
      <c r="A2355" s="6">
        <v>2023</v>
      </c>
      <c r="B2355" s="6">
        <v>11</v>
      </c>
      <c r="C2355" s="6" t="s">
        <v>69</v>
      </c>
      <c r="D2355" s="6" t="s">
        <v>40</v>
      </c>
      <c r="E2355" s="6" t="s">
        <v>736</v>
      </c>
      <c r="F2355" s="6" t="str">
        <f>IF($M2355="PADD I","PADD 1",IF($M2355="PADD II","PADD 2",IF($M2355="PADD III","PADD 3",IF($M2355="PADD IV","PADD 4",IF($M2355="PADD V","PADD 5","")))))</f>
        <v>PADD 1</v>
      </c>
      <c r="G2355" s="6">
        <f>IF(AND($H2355="ATMOS DISTILLATION",ISNUMBER(SEARCH("VPS",$I2355))=FALSE,LEFT($I2355,6)&lt;&gt;"VACUUM"),"CDU",IF($H2355="FLUID CAT CRACKING","FCC",IF(OR($H2355="HYDROCRACKING",$H2355="RESID_HYDROCRACKING"),"Hydrocracker",IF($H2355="REFORMING","Reformer",""))))</f>
        <v/>
      </c>
      <c r="H2355" s="6" t="s">
        <v>43</v>
      </c>
      <c r="I2355" s="6" t="s">
        <v>994</v>
      </c>
      <c r="J2355" s="6" t="s">
        <v>349</v>
      </c>
      <c r="K2355" s="10">
        <v>19.5</v>
      </c>
      <c r="L2355" s="10">
        <v>65</v>
      </c>
      <c r="M2355" s="6" t="s">
        <v>413</v>
      </c>
    </row>
    <row r="2356" spans="1:13">
      <c r="A2356" s="6">
        <v>2023</v>
      </c>
      <c r="B2356" s="6">
        <v>11</v>
      </c>
      <c r="C2356" s="6" t="s">
        <v>69</v>
      </c>
      <c r="D2356" s="6" t="s">
        <v>748</v>
      </c>
      <c r="E2356" s="6" t="s">
        <v>388</v>
      </c>
      <c r="F2356" s="6" t="str">
        <f>IF($M2356="PADD I","PADD 1",IF($M2356="PADD II","PADD 2",IF($M2356="PADD III","PADD 3",IF($M2356="PADD IV","PADD 4",IF($M2356="PADD V","PADD 5","")))))</f>
        <v>PADD 3</v>
      </c>
      <c r="G2356" s="6">
        <f>IF(AND($H2356="ATMOS DISTILLATION",ISNUMBER(SEARCH("VPS",$I2356))=FALSE,LEFT($I2356,6)&lt;&gt;"VACUUM"),"CDU",IF($H2356="FLUID CAT CRACKING","FCC",IF(OR($H2356="HYDROCRACKING",$H2356="RESID_HYDROCRACKING"),"Hydrocracker",IF($H2356="REFORMING","Reformer",""))))</f>
        <v/>
      </c>
      <c r="H2356" s="6" t="s">
        <v>378</v>
      </c>
      <c r="I2356" s="6" t="s">
        <v>431</v>
      </c>
      <c r="J2356" s="6" t="s">
        <v>345</v>
      </c>
      <c r="K2356" s="10">
        <v>18.8</v>
      </c>
      <c r="L2356" s="10">
        <v>40</v>
      </c>
      <c r="M2356" s="6" t="s">
        <v>371</v>
      </c>
    </row>
    <row r="2357" spans="1:13">
      <c r="A2357" s="6">
        <v>2023</v>
      </c>
      <c r="B2357" s="6">
        <v>11</v>
      </c>
      <c r="C2357" s="6" t="s">
        <v>69</v>
      </c>
      <c r="D2357" s="6" t="s">
        <v>468</v>
      </c>
      <c r="E2357" s="6" t="s">
        <v>369</v>
      </c>
      <c r="F2357" s="6" t="str">
        <f>IF($M2357="PADD I","PADD 1",IF($M2357="PADD II","PADD 2",IF($M2357="PADD III","PADD 3",IF($M2357="PADD IV","PADD 4",IF($M2357="PADD V","PADD 5","")))))</f>
        <v>PADD 3</v>
      </c>
      <c r="G2357" s="6" t="str">
        <f>IF(AND($H2357="ATMOS DISTILLATION",ISNUMBER(SEARCH("VPS",$I2357))=FALSE,LEFT($I2357,6)&lt;&gt;"VACUUM"),"CDU",IF($H2357="FLUID CAT CRACKING","FCC",IF(OR($H2357="HYDROCRACKING",$H2357="RESID_HYDROCRACKING"),"Hydrocracker",IF($H2357="REFORMING","Reformer",""))))</f>
        <v>CDU</v>
      </c>
      <c r="H2357" s="6" t="s">
        <v>38</v>
      </c>
      <c r="I2357" s="6" t="s">
        <v>565</v>
      </c>
      <c r="J2357" s="6" t="s">
        <v>349</v>
      </c>
      <c r="K2357" s="10">
        <v>18.5</v>
      </c>
      <c r="L2357" s="10">
        <v>37</v>
      </c>
      <c r="M2357" s="6" t="s">
        <v>371</v>
      </c>
    </row>
    <row r="2358" spans="1:13">
      <c r="A2358" s="6">
        <v>2023</v>
      </c>
      <c r="B2358" s="6">
        <v>11</v>
      </c>
      <c r="C2358" s="6" t="s">
        <v>69</v>
      </c>
      <c r="D2358" s="6" t="s">
        <v>40</v>
      </c>
      <c r="E2358" s="6" t="s">
        <v>736</v>
      </c>
      <c r="F2358" s="6" t="str">
        <f>IF($M2358="PADD I","PADD 1",IF($M2358="PADD II","PADD 2",IF($M2358="PADD III","PADD 3",IF($M2358="PADD IV","PADD 4",IF($M2358="PADD V","PADD 5","")))))</f>
        <v>PADD 1</v>
      </c>
      <c r="G2358" s="6">
        <f>IF(AND($H2358="ATMOS DISTILLATION",ISNUMBER(SEARCH("VPS",$I2358))=FALSE,LEFT($I2358,6)&lt;&gt;"VACUUM"),"CDU",IF($H2358="FLUID CAT CRACKING","FCC",IF(OR($H2358="HYDROCRACKING",$H2358="RESID_HYDROCRACKING"),"Hydrocracker",IF($H2358="REFORMING","Reformer",""))))</f>
        <v/>
      </c>
      <c r="H2358" s="6" t="s">
        <v>43</v>
      </c>
      <c r="I2358" s="6" t="s">
        <v>493</v>
      </c>
      <c r="J2358" s="6" t="s">
        <v>349</v>
      </c>
      <c r="K2358" s="10">
        <v>18</v>
      </c>
      <c r="L2358" s="10">
        <v>60</v>
      </c>
      <c r="M2358" s="6" t="s">
        <v>413</v>
      </c>
    </row>
    <row r="2359" spans="1:13">
      <c r="A2359" s="6">
        <v>2023</v>
      </c>
      <c r="B2359" s="6">
        <v>11</v>
      </c>
      <c r="C2359" s="6" t="s">
        <v>69</v>
      </c>
      <c r="D2359" s="6" t="s">
        <v>40</v>
      </c>
      <c r="E2359" s="6" t="s">
        <v>736</v>
      </c>
      <c r="F2359" s="6" t="str">
        <f>IF($M2359="PADD I","PADD 1",IF($M2359="PADD II","PADD 2",IF($M2359="PADD III","PADD 3",IF($M2359="PADD IV","PADD 4",IF($M2359="PADD V","PADD 5","")))))</f>
        <v>PADD 1</v>
      </c>
      <c r="G2359" s="6" t="str">
        <f>IF(AND($H2359="ATMOS DISTILLATION",ISNUMBER(SEARCH("VPS",$I2359))=FALSE,LEFT($I2359,6)&lt;&gt;"VACUUM"),"CDU",IF($H2359="FLUID CAT CRACKING","FCC",IF(OR($H2359="HYDROCRACKING",$H2359="RESID_HYDROCRACKING"),"Hydrocracker",IF($H2359="REFORMING","Reformer",""))))</f>
        <v>Reformer</v>
      </c>
      <c r="H2359" s="6" t="s">
        <v>421</v>
      </c>
      <c r="I2359" s="6" t="s">
        <v>782</v>
      </c>
      <c r="J2359" s="6" t="s">
        <v>349</v>
      </c>
      <c r="K2359" s="10">
        <v>18</v>
      </c>
      <c r="L2359" s="10">
        <v>60</v>
      </c>
      <c r="M2359" s="6" t="s">
        <v>413</v>
      </c>
    </row>
    <row r="2360" spans="1:13">
      <c r="A2360" s="6">
        <v>2023</v>
      </c>
      <c r="B2360" s="6">
        <v>11</v>
      </c>
      <c r="C2360" s="6" t="s">
        <v>69</v>
      </c>
      <c r="D2360" s="6" t="s">
        <v>48</v>
      </c>
      <c r="E2360" s="6" t="s">
        <v>388</v>
      </c>
      <c r="F2360" s="6" t="str">
        <f>IF($M2360="PADD I","PADD 1",IF($M2360="PADD II","PADD 2",IF($M2360="PADD III","PADD 3",IF($M2360="PADD IV","PADD 4",IF($M2360="PADD V","PADD 5","")))))</f>
        <v>PADD 2</v>
      </c>
      <c r="G2360" s="6" t="str">
        <f>IF(AND($H2360="ATMOS DISTILLATION",ISNUMBER(SEARCH("VPS",$I2360))=FALSE,LEFT($I2360,6)&lt;&gt;"VACUUM"),"CDU",IF($H2360="FLUID CAT CRACKING","FCC",IF(OR($H2360="HYDROCRACKING",$H2360="RESID_HYDROCRACKING"),"Hydrocracker",IF($H2360="REFORMING","Reformer",""))))</f>
        <v>CDU</v>
      </c>
      <c r="H2360" s="6" t="s">
        <v>38</v>
      </c>
      <c r="I2360" s="6" t="s">
        <v>720</v>
      </c>
      <c r="J2360" s="6" t="s">
        <v>345</v>
      </c>
      <c r="K2360" s="10">
        <v>17.85</v>
      </c>
      <c r="L2360" s="10">
        <v>255</v>
      </c>
      <c r="M2360" s="6" t="s">
        <v>375</v>
      </c>
    </row>
    <row r="2361" spans="1:13">
      <c r="A2361" s="6">
        <v>2023</v>
      </c>
      <c r="B2361" s="6">
        <v>11</v>
      </c>
      <c r="C2361" s="6" t="s">
        <v>69</v>
      </c>
      <c r="D2361" s="6" t="s">
        <v>457</v>
      </c>
      <c r="E2361" s="6" t="s">
        <v>388</v>
      </c>
      <c r="F2361" s="6" t="str">
        <f>IF($M2361="PADD I","PADD 1",IF($M2361="PADD II","PADD 2",IF($M2361="PADD III","PADD 3",IF($M2361="PADD IV","PADD 4",IF($M2361="PADD V","PADD 5","")))))</f>
        <v>PADD 5</v>
      </c>
      <c r="G2361" s="6" t="str">
        <f>IF(AND($H2361="ATMOS DISTILLATION",ISNUMBER(SEARCH("VPS",$I2361))=FALSE,LEFT($I2361,6)&lt;&gt;"VACUUM"),"CDU",IF($H2361="FLUID CAT CRACKING","FCC",IF(OR($H2361="HYDROCRACKING",$H2361="RESID_HYDROCRACKING"),"Hydrocracker",IF($H2361="REFORMING","Reformer",""))))</f>
        <v>CDU</v>
      </c>
      <c r="H2361" s="6" t="s">
        <v>38</v>
      </c>
      <c r="I2361" s="6" t="s">
        <v>135</v>
      </c>
      <c r="J2361" s="6" t="s">
        <v>345</v>
      </c>
      <c r="K2361" s="10">
        <v>17.55</v>
      </c>
      <c r="L2361" s="10">
        <v>65</v>
      </c>
      <c r="M2361" s="6" t="s">
        <v>386</v>
      </c>
    </row>
    <row r="2362" spans="1:13">
      <c r="A2362" s="6">
        <v>2023</v>
      </c>
      <c r="B2362" s="6">
        <v>11</v>
      </c>
      <c r="C2362" s="6" t="s">
        <v>69</v>
      </c>
      <c r="D2362" s="6" t="s">
        <v>457</v>
      </c>
      <c r="E2362" s="6" t="s">
        <v>388</v>
      </c>
      <c r="F2362" s="6" t="str">
        <f>IF($M2362="PADD I","PADD 1",IF($M2362="PADD II","PADD 2",IF($M2362="PADD III","PADD 3",IF($M2362="PADD IV","PADD 4",IF($M2362="PADD V","PADD 5","")))))</f>
        <v>PADD 5</v>
      </c>
      <c r="G2362" s="6">
        <f>IF(AND($H2362="ATMOS DISTILLATION",ISNUMBER(SEARCH("VPS",$I2362))=FALSE,LEFT($I2362,6)&lt;&gt;"VACUUM"),"CDU",IF($H2362="FLUID CAT CRACKING","FCC",IF(OR($H2362="HYDROCRACKING",$H2362="RESID_HYDROCRACKING"),"Hydrocracker",IF($H2362="REFORMING","Reformer",""))))</f>
        <v/>
      </c>
      <c r="H2362" s="6" t="s">
        <v>378</v>
      </c>
      <c r="I2362" s="6" t="s">
        <v>601</v>
      </c>
      <c r="J2362" s="6" t="s">
        <v>345</v>
      </c>
      <c r="K2362" s="10">
        <v>16.74</v>
      </c>
      <c r="L2362" s="10">
        <v>62</v>
      </c>
      <c r="M2362" s="6" t="s">
        <v>386</v>
      </c>
    </row>
    <row r="2363" spans="1:13">
      <c r="A2363" s="6">
        <v>2023</v>
      </c>
      <c r="B2363" s="6">
        <v>11</v>
      </c>
      <c r="C2363" s="6" t="s">
        <v>69</v>
      </c>
      <c r="D2363" s="6" t="s">
        <v>612</v>
      </c>
      <c r="E2363" s="6" t="s">
        <v>416</v>
      </c>
      <c r="F2363" s="6" t="str">
        <f>IF($M2363="PADD I","PADD 1",IF($M2363="PADD II","PADD 2",IF($M2363="PADD III","PADD 3",IF($M2363="PADD IV","PADD 4",IF($M2363="PADD V","PADD 5","")))))</f>
        <v>PADD 3</v>
      </c>
      <c r="G2363" s="6" t="str">
        <f>IF(AND($H2363="ATMOS DISTILLATION",ISNUMBER(SEARCH("VPS",$I2363))=FALSE,LEFT($I2363,6)&lt;&gt;"VACUUM"),"CDU",IF($H2363="FLUID CAT CRACKING","FCC",IF(OR($H2363="HYDROCRACKING",$H2363="RESID_HYDROCRACKING"),"Hydrocracker",IF($H2363="REFORMING","Reformer",""))))</f>
        <v>CDU</v>
      </c>
      <c r="H2363" s="6" t="s">
        <v>38</v>
      </c>
      <c r="I2363" s="6" t="s">
        <v>81</v>
      </c>
      <c r="J2363" s="6" t="s">
        <v>345</v>
      </c>
      <c r="K2363" s="10">
        <v>16.5</v>
      </c>
      <c r="L2363" s="10">
        <v>165</v>
      </c>
      <c r="M2363" s="6" t="s">
        <v>371</v>
      </c>
    </row>
    <row r="2364" spans="1:13">
      <c r="A2364" s="6">
        <v>2023</v>
      </c>
      <c r="B2364" s="6">
        <v>11</v>
      </c>
      <c r="C2364" s="6" t="s">
        <v>69</v>
      </c>
      <c r="D2364" s="6" t="s">
        <v>51</v>
      </c>
      <c r="E2364" s="6" t="s">
        <v>391</v>
      </c>
      <c r="F2364" s="6" t="str">
        <f>IF($M2364="PADD I","PADD 1",IF($M2364="PADD II","PADD 2",IF($M2364="PADD III","PADD 3",IF($M2364="PADD IV","PADD 4",IF($M2364="PADD V","PADD 5","")))))</f>
        <v>PADD 5</v>
      </c>
      <c r="G2364" s="6">
        <f>IF(AND($H2364="ATMOS DISTILLATION",ISNUMBER(SEARCH("VPS",$I2364))=FALSE,LEFT($I2364,6)&lt;&gt;"VACUUM"),"CDU",IF($H2364="FLUID CAT CRACKING","FCC",IF(OR($H2364="HYDROCRACKING",$H2364="RESID_HYDROCRACKING"),"Hydrocracker",IF($H2364="REFORMING","Reformer",""))))</f>
        <v/>
      </c>
      <c r="H2364" s="6" t="s">
        <v>378</v>
      </c>
      <c r="I2364" s="6" t="s">
        <v>1035</v>
      </c>
      <c r="J2364" s="6" t="s">
        <v>349</v>
      </c>
      <c r="K2364" s="10">
        <v>16.1</v>
      </c>
      <c r="L2364" s="10">
        <v>161</v>
      </c>
      <c r="M2364" s="6" t="s">
        <v>386</v>
      </c>
    </row>
    <row r="2365" spans="1:13">
      <c r="A2365" s="6">
        <v>2023</v>
      </c>
      <c r="B2365" s="6">
        <v>11</v>
      </c>
      <c r="C2365" s="6" t="s">
        <v>69</v>
      </c>
      <c r="D2365" s="6" t="s">
        <v>415</v>
      </c>
      <c r="E2365" s="6" t="s">
        <v>416</v>
      </c>
      <c r="F2365" s="6" t="str">
        <f>IF($M2365="PADD I","PADD 1",IF($M2365="PADD II","PADD 2",IF($M2365="PADD III","PADD 3",IF($M2365="PADD IV","PADD 4",IF($M2365="PADD V","PADD 5","")))))</f>
        <v>PADD 3</v>
      </c>
      <c r="G2365" s="6">
        <f>IF(AND($H2365="ATMOS DISTILLATION",ISNUMBER(SEARCH("VPS",$I2365))=FALSE,LEFT($I2365,6)&lt;&gt;"VACUUM"),"CDU",IF($H2365="FLUID CAT CRACKING","FCC",IF(OR($H2365="HYDROCRACKING",$H2365="RESID_HYDROCRACKING"),"Hydrocracker",IF($H2365="REFORMING","Reformer",""))))</f>
        <v/>
      </c>
      <c r="H2365" s="6" t="s">
        <v>43</v>
      </c>
      <c r="I2365" s="6" t="s">
        <v>1005</v>
      </c>
      <c r="J2365" s="6" t="s">
        <v>349</v>
      </c>
      <c r="K2365" s="10">
        <v>15.2</v>
      </c>
      <c r="L2365" s="10">
        <v>38</v>
      </c>
      <c r="M2365" s="6" t="s">
        <v>371</v>
      </c>
    </row>
    <row r="2366" spans="1:13">
      <c r="A2366" s="6">
        <v>2023</v>
      </c>
      <c r="B2366" s="6">
        <v>11</v>
      </c>
      <c r="C2366" s="6" t="s">
        <v>69</v>
      </c>
      <c r="D2366" s="6" t="s">
        <v>415</v>
      </c>
      <c r="E2366" s="6" t="s">
        <v>416</v>
      </c>
      <c r="F2366" s="6" t="str">
        <f>IF($M2366="PADD I","PADD 1",IF($M2366="PADD II","PADD 2",IF($M2366="PADD III","PADD 3",IF($M2366="PADD IV","PADD 4",IF($M2366="PADD V","PADD 5","")))))</f>
        <v>PADD 3</v>
      </c>
      <c r="G2366" s="6">
        <f>IF(AND($H2366="ATMOS DISTILLATION",ISNUMBER(SEARCH("VPS",$I2366))=FALSE,LEFT($I2366,6)&lt;&gt;"VACUUM"),"CDU",IF($H2366="FLUID CAT CRACKING","FCC",IF(OR($H2366="HYDROCRACKING",$H2366="RESID_HYDROCRACKING"),"Hydrocracker",IF($H2366="REFORMING","Reformer",""))))</f>
        <v/>
      </c>
      <c r="H2366" s="6" t="s">
        <v>378</v>
      </c>
      <c r="I2366" s="6" t="s">
        <v>1062</v>
      </c>
      <c r="J2366" s="6" t="s">
        <v>345</v>
      </c>
      <c r="K2366" s="10">
        <v>14</v>
      </c>
      <c r="L2366" s="10">
        <v>140</v>
      </c>
      <c r="M2366" s="6" t="s">
        <v>371</v>
      </c>
    </row>
    <row r="2367" spans="1:13">
      <c r="A2367" s="6">
        <v>2023</v>
      </c>
      <c r="B2367" s="6">
        <v>11</v>
      </c>
      <c r="C2367" s="6" t="s">
        <v>69</v>
      </c>
      <c r="D2367" s="6" t="s">
        <v>985</v>
      </c>
      <c r="E2367" s="6" t="s">
        <v>543</v>
      </c>
      <c r="F2367" s="6" t="str">
        <f>IF($M2367="PADD I","PADD 1",IF($M2367="PADD II","PADD 2",IF($M2367="PADD III","PADD 3",IF($M2367="PADD IV","PADD 4",IF($M2367="PADD V","PADD 5","")))))</f>
        <v>PADD 2</v>
      </c>
      <c r="G2367" s="6">
        <f>IF(AND($H2367="ATMOS DISTILLATION",ISNUMBER(SEARCH("VPS",$I2367))=FALSE,LEFT($I2367,6)&lt;&gt;"VACUUM"),"CDU",IF($H2367="FLUID CAT CRACKING","FCC",IF(OR($H2367="HYDROCRACKING",$H2367="RESID_HYDROCRACKING"),"Hydrocracker",IF($H2367="REFORMING","Reformer",""))))</f>
        <v/>
      </c>
      <c r="H2367" s="6" t="s">
        <v>378</v>
      </c>
      <c r="I2367" s="6" t="s">
        <v>786</v>
      </c>
      <c r="J2367" s="6" t="s">
        <v>345</v>
      </c>
      <c r="K2367" s="10">
        <v>13.8759</v>
      </c>
      <c r="L2367" s="10">
        <v>60.33</v>
      </c>
      <c r="M2367" s="6" t="s">
        <v>375</v>
      </c>
    </row>
    <row r="2368" spans="1:13">
      <c r="A2368" s="6">
        <v>2023</v>
      </c>
      <c r="B2368" s="6">
        <v>11</v>
      </c>
      <c r="C2368" s="6" t="s">
        <v>69</v>
      </c>
      <c r="D2368" s="6" t="s">
        <v>415</v>
      </c>
      <c r="E2368" s="6" t="s">
        <v>416</v>
      </c>
      <c r="F2368" s="6" t="str">
        <f>IF($M2368="PADD I","PADD 1",IF($M2368="PADD II","PADD 2",IF($M2368="PADD III","PADD 3",IF($M2368="PADD IV","PADD 4",IF($M2368="PADD V","PADD 5","")))))</f>
        <v>PADD 3</v>
      </c>
      <c r="G2368" s="6" t="str">
        <f>IF(AND($H2368="ATMOS DISTILLATION",ISNUMBER(SEARCH("VPS",$I2368))=FALSE,LEFT($I2368,6)&lt;&gt;"VACUUM"),"CDU",IF($H2368="FLUID CAT CRACKING","FCC",IF(OR($H2368="HYDROCRACKING",$H2368="RESID_HYDROCRACKING"),"Hydrocracker",IF($H2368="REFORMING","Reformer",""))))</f>
        <v>FCC</v>
      </c>
      <c r="H2368" s="6" t="s">
        <v>376</v>
      </c>
      <c r="I2368" s="6" t="s">
        <v>995</v>
      </c>
      <c r="J2368" s="6" t="s">
        <v>345</v>
      </c>
      <c r="K2368" s="10">
        <v>13.86</v>
      </c>
      <c r="L2368" s="10">
        <v>42</v>
      </c>
      <c r="M2368" s="6" t="s">
        <v>371</v>
      </c>
    </row>
    <row r="2369" spans="1:13">
      <c r="A2369" s="6">
        <v>2023</v>
      </c>
      <c r="B2369" s="6">
        <v>11</v>
      </c>
      <c r="C2369" s="6" t="s">
        <v>69</v>
      </c>
      <c r="D2369" s="6" t="s">
        <v>333</v>
      </c>
      <c r="E2369" s="6" t="s">
        <v>381</v>
      </c>
      <c r="F2369" s="6" t="str">
        <f>IF($M2369="PADD I","PADD 1",IF($M2369="PADD II","PADD 2",IF($M2369="PADD III","PADD 3",IF($M2369="PADD IV","PADD 4",IF($M2369="PADD V","PADD 5","")))))</f>
        <v>PADD 3</v>
      </c>
      <c r="G2369" s="6" t="str">
        <f>IF(AND($H2369="ATMOS DISTILLATION",ISNUMBER(SEARCH("VPS",$I2369))=FALSE,LEFT($I2369,6)&lt;&gt;"VACUUM"),"CDU",IF($H2369="FLUID CAT CRACKING","FCC",IF(OR($H2369="HYDROCRACKING",$H2369="RESID_HYDROCRACKING"),"Hydrocracker",IF($H2369="REFORMING","Reformer",""))))</f>
        <v>Reformer</v>
      </c>
      <c r="H2369" s="6" t="s">
        <v>421</v>
      </c>
      <c r="I2369" s="6" t="s">
        <v>548</v>
      </c>
      <c r="J2369" s="6" t="s">
        <v>345</v>
      </c>
      <c r="K2369" s="10">
        <v>13.6</v>
      </c>
      <c r="L2369" s="10">
        <v>80</v>
      </c>
      <c r="M2369" s="6" t="s">
        <v>371</v>
      </c>
    </row>
    <row r="2370" spans="1:13">
      <c r="A2370" s="6">
        <v>2023</v>
      </c>
      <c r="B2370" s="6">
        <v>11</v>
      </c>
      <c r="C2370" s="6" t="s">
        <v>69</v>
      </c>
      <c r="D2370" s="6" t="s">
        <v>662</v>
      </c>
      <c r="E2370" s="6" t="s">
        <v>552</v>
      </c>
      <c r="F2370" s="6" t="str">
        <f>IF($M2370="PADD I","PADD 1",IF($M2370="PADD II","PADD 2",IF($M2370="PADD III","PADD 3",IF($M2370="PADD IV","PADD 4",IF($M2370="PADD V","PADD 5","")))))</f>
        <v>PADD 3</v>
      </c>
      <c r="G2370" s="6" t="str">
        <f>IF(AND($H2370="ATMOS DISTILLATION",ISNUMBER(SEARCH("VPS",$I2370))=FALSE,LEFT($I2370,6)&lt;&gt;"VACUUM"),"CDU",IF($H2370="FLUID CAT CRACKING","FCC",IF(OR($H2370="HYDROCRACKING",$H2370="RESID_HYDROCRACKING"),"Hydrocracker",IF($H2370="REFORMING","Reformer",""))))</f>
        <v>Reformer</v>
      </c>
      <c r="H2370" s="6" t="s">
        <v>421</v>
      </c>
      <c r="I2370" s="6" t="s">
        <v>1050</v>
      </c>
      <c r="J2370" s="6" t="s">
        <v>349</v>
      </c>
      <c r="K2370" s="10">
        <v>13.23</v>
      </c>
      <c r="L2370" s="10">
        <v>21</v>
      </c>
      <c r="M2370" s="6" t="s">
        <v>371</v>
      </c>
    </row>
    <row r="2371" spans="1:13">
      <c r="A2371" s="6">
        <v>2023</v>
      </c>
      <c r="B2371" s="6">
        <v>11</v>
      </c>
      <c r="C2371" s="6" t="s">
        <v>69</v>
      </c>
      <c r="D2371" s="6" t="s">
        <v>960</v>
      </c>
      <c r="E2371" s="6" t="s">
        <v>881</v>
      </c>
      <c r="F2371" s="6" t="str">
        <f>IF($M2371="PADD I","PADD 1",IF($M2371="PADD II","PADD 2",IF($M2371="PADD III","PADD 3",IF($M2371="PADD IV","PADD 4",IF($M2371="PADD V","PADD 5","")))))</f>
        <v>PADD 3</v>
      </c>
      <c r="G2371" s="6">
        <f>IF(AND($H2371="ATMOS DISTILLATION",ISNUMBER(SEARCH("VPS",$I2371))=FALSE,LEFT($I2371,6)&lt;&gt;"VACUUM"),"CDU",IF($H2371="FLUID CAT CRACKING","FCC",IF(OR($H2371="HYDROCRACKING",$H2371="RESID_HYDROCRACKING"),"Hydrocracker",IF($H2371="REFORMING","Reformer",""))))</f>
        <v/>
      </c>
      <c r="H2371" s="6" t="s">
        <v>43</v>
      </c>
      <c r="I2371" s="6" t="s">
        <v>1055</v>
      </c>
      <c r="J2371" s="6" t="s">
        <v>349</v>
      </c>
      <c r="K2371" s="10">
        <v>12.32</v>
      </c>
      <c r="L2371" s="10">
        <v>16</v>
      </c>
      <c r="M2371" s="6" t="s">
        <v>371</v>
      </c>
    </row>
    <row r="2372" spans="1:13">
      <c r="A2372" s="6">
        <v>2023</v>
      </c>
      <c r="B2372" s="6">
        <v>11</v>
      </c>
      <c r="C2372" s="6" t="s">
        <v>69</v>
      </c>
      <c r="D2372" s="6" t="s">
        <v>547</v>
      </c>
      <c r="E2372" s="6" t="s">
        <v>391</v>
      </c>
      <c r="F2372" s="6" t="str">
        <f>IF($M2372="PADD I","PADD 1",IF($M2372="PADD II","PADD 2",IF($M2372="PADD III","PADD 3",IF($M2372="PADD IV","PADD 4",IF($M2372="PADD V","PADD 5","")))))</f>
        <v>PADD 5</v>
      </c>
      <c r="G2372" s="6">
        <f>IF(AND($H2372="ATMOS DISTILLATION",ISNUMBER(SEARCH("VPS",$I2372))=FALSE,LEFT($I2372,6)&lt;&gt;"VACUUM"),"CDU",IF($H2372="FLUID CAT CRACKING","FCC",IF(OR($H2372="HYDROCRACKING",$H2372="RESID_HYDROCRACKING"),"Hydrocracker",IF($H2372="REFORMING","Reformer",""))))</f>
        <v/>
      </c>
      <c r="H2372" s="6" t="s">
        <v>378</v>
      </c>
      <c r="I2372" s="6" t="s">
        <v>431</v>
      </c>
      <c r="J2372" s="6" t="s">
        <v>345</v>
      </c>
      <c r="K2372" s="10">
        <v>12.3</v>
      </c>
      <c r="L2372" s="10">
        <v>123</v>
      </c>
      <c r="M2372" s="6" t="s">
        <v>386</v>
      </c>
    </row>
    <row r="2373" spans="1:13">
      <c r="A2373" s="6">
        <v>2023</v>
      </c>
      <c r="B2373" s="6">
        <v>11</v>
      </c>
      <c r="C2373" s="6" t="s">
        <v>69</v>
      </c>
      <c r="D2373" s="6" t="s">
        <v>468</v>
      </c>
      <c r="E2373" s="6" t="s">
        <v>369</v>
      </c>
      <c r="F2373" s="6" t="str">
        <f>IF($M2373="PADD I","PADD 1",IF($M2373="PADD II","PADD 2",IF($M2373="PADD III","PADD 3",IF($M2373="PADD IV","PADD 4",IF($M2373="PADD V","PADD 5","")))))</f>
        <v>PADD 3</v>
      </c>
      <c r="G2373" s="6">
        <f>IF(AND($H2373="ATMOS DISTILLATION",ISNUMBER(SEARCH("VPS",$I2373))=FALSE,LEFT($I2373,6)&lt;&gt;"VACUUM"),"CDU",IF($H2373="FLUID CAT CRACKING","FCC",IF(OR($H2373="HYDROCRACKING",$H2373="RESID_HYDROCRACKING"),"Hydrocracker",IF($H2373="REFORMING","Reformer",""))))</f>
        <v/>
      </c>
      <c r="H2373" s="6" t="s">
        <v>43</v>
      </c>
      <c r="I2373" s="6" t="s">
        <v>1030</v>
      </c>
      <c r="J2373" s="6" t="s">
        <v>349</v>
      </c>
      <c r="K2373" s="10">
        <v>12</v>
      </c>
      <c r="L2373" s="10">
        <v>20</v>
      </c>
      <c r="M2373" s="6" t="s">
        <v>371</v>
      </c>
    </row>
    <row r="2374" spans="1:13">
      <c r="A2374" s="6">
        <v>2023</v>
      </c>
      <c r="B2374" s="6">
        <v>11</v>
      </c>
      <c r="C2374" s="6" t="s">
        <v>69</v>
      </c>
      <c r="D2374" s="6" t="s">
        <v>468</v>
      </c>
      <c r="E2374" s="6" t="s">
        <v>369</v>
      </c>
      <c r="F2374" s="6" t="str">
        <f>IF($M2374="PADD I","PADD 1",IF($M2374="PADD II","PADD 2",IF($M2374="PADD III","PADD 3",IF($M2374="PADD IV","PADD 4",IF($M2374="PADD V","PADD 5","")))))</f>
        <v>PADD 3</v>
      </c>
      <c r="G2374" s="6" t="str">
        <f>IF(AND($H2374="ATMOS DISTILLATION",ISNUMBER(SEARCH("VPS",$I2374))=FALSE,LEFT($I2374,6)&lt;&gt;"VACUUM"),"CDU",IF($H2374="FLUID CAT CRACKING","FCC",IF(OR($H2374="HYDROCRACKING",$H2374="RESID_HYDROCRACKING"),"Hydrocracker",IF($H2374="REFORMING","Reformer",""))))</f>
        <v>Reformer</v>
      </c>
      <c r="H2374" s="6" t="s">
        <v>421</v>
      </c>
      <c r="I2374" s="6" t="s">
        <v>858</v>
      </c>
      <c r="J2374" s="6" t="s">
        <v>349</v>
      </c>
      <c r="K2374" s="10">
        <v>12</v>
      </c>
      <c r="L2374" s="10">
        <v>20</v>
      </c>
      <c r="M2374" s="6" t="s">
        <v>371</v>
      </c>
    </row>
    <row r="2375" spans="1:13">
      <c r="A2375" s="6">
        <v>2023</v>
      </c>
      <c r="B2375" s="6">
        <v>11</v>
      </c>
      <c r="C2375" s="6" t="s">
        <v>69</v>
      </c>
      <c r="D2375" s="6" t="s">
        <v>468</v>
      </c>
      <c r="E2375" s="6" t="s">
        <v>369</v>
      </c>
      <c r="F2375" s="6" t="str">
        <f>IF($M2375="PADD I","PADD 1",IF($M2375="PADD II","PADD 2",IF($M2375="PADD III","PADD 3",IF($M2375="PADD IV","PADD 4",IF($M2375="PADD V","PADD 5","")))))</f>
        <v>PADD 3</v>
      </c>
      <c r="G2375" s="6">
        <f>IF(AND($H2375="ATMOS DISTILLATION",ISNUMBER(SEARCH("VPS",$I2375))=FALSE,LEFT($I2375,6)&lt;&gt;"VACUUM"),"CDU",IF($H2375="FLUID CAT CRACKING","FCC",IF(OR($H2375="HYDROCRACKING",$H2375="RESID_HYDROCRACKING"),"Hydrocracker",IF($H2375="REFORMING","Reformer",""))))</f>
        <v/>
      </c>
      <c r="H2375" s="6" t="s">
        <v>43</v>
      </c>
      <c r="I2375" s="6" t="s">
        <v>1031</v>
      </c>
      <c r="J2375" s="6" t="s">
        <v>349</v>
      </c>
      <c r="K2375" s="10">
        <v>12</v>
      </c>
      <c r="L2375" s="10">
        <v>20</v>
      </c>
      <c r="M2375" s="6" t="s">
        <v>371</v>
      </c>
    </row>
    <row r="2376" spans="1:13">
      <c r="A2376" s="6">
        <v>2023</v>
      </c>
      <c r="B2376" s="6">
        <v>11</v>
      </c>
      <c r="C2376" s="6" t="s">
        <v>69</v>
      </c>
      <c r="D2376" s="6" t="s">
        <v>40</v>
      </c>
      <c r="E2376" s="6" t="s">
        <v>736</v>
      </c>
      <c r="F2376" s="6" t="str">
        <f>IF($M2376="PADD I","PADD 1",IF($M2376="PADD II","PADD 2",IF($M2376="PADD III","PADD 3",IF($M2376="PADD IV","PADD 4",IF($M2376="PADD V","PADD 5","")))))</f>
        <v>PADD 1</v>
      </c>
      <c r="G2376" s="6">
        <f>IF(AND($H2376="ATMOS DISTILLATION",ISNUMBER(SEARCH("VPS",$I2376))=FALSE,LEFT($I2376,6)&lt;&gt;"VACUUM"),"CDU",IF($H2376="FLUID CAT CRACKING","FCC",IF(OR($H2376="HYDROCRACKING",$H2376="RESID_HYDROCRACKING"),"Hydrocracker",IF($H2376="REFORMING","Reformer",""))))</f>
        <v/>
      </c>
      <c r="H2376" s="6" t="s">
        <v>43</v>
      </c>
      <c r="I2376" s="6" t="s">
        <v>1003</v>
      </c>
      <c r="J2376" s="6" t="s">
        <v>349</v>
      </c>
      <c r="K2376" s="10">
        <v>12</v>
      </c>
      <c r="L2376" s="10">
        <v>40</v>
      </c>
      <c r="M2376" s="6" t="s">
        <v>413</v>
      </c>
    </row>
    <row r="2377" spans="1:13">
      <c r="A2377" s="6">
        <v>2023</v>
      </c>
      <c r="B2377" s="6">
        <v>11</v>
      </c>
      <c r="C2377" s="6" t="s">
        <v>69</v>
      </c>
      <c r="D2377" s="6" t="s">
        <v>887</v>
      </c>
      <c r="E2377" s="6" t="s">
        <v>405</v>
      </c>
      <c r="F2377" s="6" t="str">
        <f>IF($M2377="PADD I","PADD 1",IF($M2377="PADD II","PADD 2",IF($M2377="PADD III","PADD 3",IF($M2377="PADD IV","PADD 4",IF($M2377="PADD V","PADD 5","")))))</f>
        <v>PADD 3</v>
      </c>
      <c r="G2377" s="6" t="str">
        <f>IF(AND($H2377="ATMOS DISTILLATION",ISNUMBER(SEARCH("VPS",$I2377))=FALSE,LEFT($I2377,6)&lt;&gt;"VACUUM"),"CDU",IF($H2377="FLUID CAT CRACKING","FCC",IF(OR($H2377="HYDROCRACKING",$H2377="RESID_HYDROCRACKING"),"Hydrocracker",IF($H2377="REFORMING","Reformer",""))))</f>
        <v>Hydrocracker</v>
      </c>
      <c r="H2377" s="6" t="s">
        <v>444</v>
      </c>
      <c r="I2377" s="6" t="s">
        <v>1022</v>
      </c>
      <c r="J2377" s="6" t="s">
        <v>349</v>
      </c>
      <c r="K2377" s="10">
        <v>12</v>
      </c>
      <c r="L2377" s="10">
        <v>30</v>
      </c>
      <c r="M2377" s="6" t="s">
        <v>371</v>
      </c>
    </row>
    <row r="2378" spans="1:13">
      <c r="A2378" s="6">
        <v>2023</v>
      </c>
      <c r="B2378" s="6">
        <v>11</v>
      </c>
      <c r="C2378" s="6" t="s">
        <v>69</v>
      </c>
      <c r="D2378" s="6" t="s">
        <v>434</v>
      </c>
      <c r="E2378" s="6" t="s">
        <v>388</v>
      </c>
      <c r="F2378" s="6" t="str">
        <f>IF($M2378="PADD I","PADD 1",IF($M2378="PADD II","PADD 2",IF($M2378="PADD III","PADD 3",IF($M2378="PADD IV","PADD 4",IF($M2378="PADD V","PADD 5","")))))</f>
        <v>PADD 5</v>
      </c>
      <c r="G2378" s="6" t="str">
        <f>IF(AND($H2378="ATMOS DISTILLATION",ISNUMBER(SEARCH("VPS",$I2378))=FALSE,LEFT($I2378,6)&lt;&gt;"VACUUM"),"CDU",IF($H2378="FLUID CAT CRACKING","FCC",IF(OR($H2378="HYDROCRACKING",$H2378="RESID_HYDROCRACKING"),"Hydrocracker",IF($H2378="REFORMING","Reformer",""))))</f>
        <v>Hydrocracker</v>
      </c>
      <c r="H2378" s="6" t="s">
        <v>444</v>
      </c>
      <c r="I2378" s="6" t="s">
        <v>14</v>
      </c>
      <c r="J2378" s="6" t="s">
        <v>345</v>
      </c>
      <c r="K2378" s="10">
        <v>11.84</v>
      </c>
      <c r="L2378" s="10">
        <v>32</v>
      </c>
      <c r="M2378" s="6" t="s">
        <v>386</v>
      </c>
    </row>
    <row r="2379" spans="1:13">
      <c r="A2379" s="6">
        <v>2023</v>
      </c>
      <c r="B2379" s="6">
        <v>11</v>
      </c>
      <c r="C2379" s="6" t="s">
        <v>69</v>
      </c>
      <c r="D2379" s="6" t="s">
        <v>434</v>
      </c>
      <c r="E2379" s="6" t="s">
        <v>388</v>
      </c>
      <c r="F2379" s="6" t="str">
        <f>IF($M2379="PADD I","PADD 1",IF($M2379="PADD II","PADD 2",IF($M2379="PADD III","PADD 3",IF($M2379="PADD IV","PADD 4",IF($M2379="PADD V","PADD 5","")))))</f>
        <v>PADD 5</v>
      </c>
      <c r="G2379" s="6">
        <f>IF(AND($H2379="ATMOS DISTILLATION",ISNUMBER(SEARCH("VPS",$I2379))=FALSE,LEFT($I2379,6)&lt;&gt;"VACUUM"),"CDU",IF($H2379="FLUID CAT CRACKING","FCC",IF(OR($H2379="HYDROCRACKING",$H2379="RESID_HYDROCRACKING"),"Hydrocracker",IF($H2379="REFORMING","Reformer",""))))</f>
        <v/>
      </c>
      <c r="H2379" s="6" t="s">
        <v>43</v>
      </c>
      <c r="I2379" s="6" t="s">
        <v>905</v>
      </c>
      <c r="J2379" s="6" t="s">
        <v>345</v>
      </c>
      <c r="K2379" s="10">
        <v>11.75</v>
      </c>
      <c r="L2379" s="10">
        <v>25</v>
      </c>
      <c r="M2379" s="6" t="s">
        <v>386</v>
      </c>
    </row>
    <row r="2380" spans="1:13">
      <c r="A2380" s="6">
        <v>2023</v>
      </c>
      <c r="B2380" s="6">
        <v>11</v>
      </c>
      <c r="C2380" s="6" t="s">
        <v>69</v>
      </c>
      <c r="D2380" s="6" t="s">
        <v>398</v>
      </c>
      <c r="E2380" s="6" t="s">
        <v>399</v>
      </c>
      <c r="F2380" s="6" t="str">
        <f>IF($M2380="PADD I","PADD 1",IF($M2380="PADD II","PADD 2",IF($M2380="PADD III","PADD 3",IF($M2380="PADD IV","PADD 4",IF($M2380="PADD V","PADD 5","")))))</f>
        <v>PADD 3</v>
      </c>
      <c r="G2380" s="6">
        <f>IF(AND($H2380="ATMOS DISTILLATION",ISNUMBER(SEARCH("VPS",$I2380))=FALSE,LEFT($I2380,6)&lt;&gt;"VACUUM"),"CDU",IF($H2380="FLUID CAT CRACKING","FCC",IF(OR($H2380="HYDROCRACKING",$H2380="RESID_HYDROCRACKING"),"Hydrocracker",IF($H2380="REFORMING","Reformer",""))))</f>
        <v/>
      </c>
      <c r="H2380" s="6" t="s">
        <v>43</v>
      </c>
      <c r="I2380" s="6" t="s">
        <v>1012</v>
      </c>
      <c r="J2380" s="6" t="s">
        <v>349</v>
      </c>
      <c r="K2380" s="10">
        <v>11.5</v>
      </c>
      <c r="L2380" s="10">
        <v>50</v>
      </c>
      <c r="M2380" s="6" t="s">
        <v>371</v>
      </c>
    </row>
    <row r="2381" spans="1:13">
      <c r="A2381" s="6">
        <v>2023</v>
      </c>
      <c r="B2381" s="6">
        <v>11</v>
      </c>
      <c r="C2381" s="6" t="s">
        <v>69</v>
      </c>
      <c r="D2381" s="6" t="s">
        <v>531</v>
      </c>
      <c r="E2381" s="6" t="s">
        <v>532</v>
      </c>
      <c r="F2381" s="6" t="str">
        <f>IF($M2381="PADD I","PADD 1",IF($M2381="PADD II","PADD 2",IF($M2381="PADD III","PADD 3",IF($M2381="PADD IV","PADD 4",IF($M2381="PADD V","PADD 5","")))))</f>
        <v>PADD 5</v>
      </c>
      <c r="G2381" s="6" t="str">
        <f>IF(AND($H2381="ATMOS DISTILLATION",ISNUMBER(SEARCH("VPS",$I2381))=FALSE,LEFT($I2381,6)&lt;&gt;"VACUUM"),"CDU",IF($H2381="FLUID CAT CRACKING","FCC",IF(OR($H2381="HYDROCRACKING",$H2381="RESID_HYDROCRACKING"),"Hydrocracker",IF($H2381="REFORMING","Reformer",""))))</f>
        <v>Hydrocracker</v>
      </c>
      <c r="H2381" s="6" t="s">
        <v>444</v>
      </c>
      <c r="I2381" s="6" t="s">
        <v>14</v>
      </c>
      <c r="J2381" s="6" t="s">
        <v>345</v>
      </c>
      <c r="K2381" s="10">
        <v>11.28</v>
      </c>
      <c r="L2381" s="10">
        <v>24</v>
      </c>
      <c r="M2381" s="6" t="s">
        <v>386</v>
      </c>
    </row>
    <row r="2382" spans="1:13">
      <c r="A2382" s="6">
        <v>2023</v>
      </c>
      <c r="B2382" s="6">
        <v>11</v>
      </c>
      <c r="C2382" s="6" t="s">
        <v>69</v>
      </c>
      <c r="D2382" s="6" t="s">
        <v>398</v>
      </c>
      <c r="E2382" s="6" t="s">
        <v>399</v>
      </c>
      <c r="F2382" s="6" t="str">
        <f>IF($M2382="PADD I","PADD 1",IF($M2382="PADD II","PADD 2",IF($M2382="PADD III","PADD 3",IF($M2382="PADD IV","PADD 4",IF($M2382="PADD V","PADD 5","")))))</f>
        <v>PADD 3</v>
      </c>
      <c r="G2382" s="6">
        <f>IF(AND($H2382="ATMOS DISTILLATION",ISNUMBER(SEARCH("VPS",$I2382))=FALSE,LEFT($I2382,6)&lt;&gt;"VACUUM"),"CDU",IF($H2382="FLUID CAT CRACKING","FCC",IF(OR($H2382="HYDROCRACKING",$H2382="RESID_HYDROCRACKING"),"Hydrocracker",IF($H2382="REFORMING","Reformer",""))))</f>
        <v/>
      </c>
      <c r="H2382" s="6" t="s">
        <v>43</v>
      </c>
      <c r="I2382" s="6" t="s">
        <v>1037</v>
      </c>
      <c r="J2382" s="6" t="s">
        <v>349</v>
      </c>
      <c r="K2382" s="10">
        <v>11.27</v>
      </c>
      <c r="L2382" s="10">
        <v>49</v>
      </c>
      <c r="M2382" s="6" t="s">
        <v>371</v>
      </c>
    </row>
    <row r="2383" spans="1:13">
      <c r="A2383" s="6">
        <v>2023</v>
      </c>
      <c r="B2383" s="6">
        <v>11</v>
      </c>
      <c r="C2383" s="6" t="s">
        <v>69</v>
      </c>
      <c r="D2383" s="6" t="s">
        <v>547</v>
      </c>
      <c r="E2383" s="6" t="s">
        <v>391</v>
      </c>
      <c r="F2383" s="6" t="str">
        <f>IF($M2383="PADD I","PADD 1",IF($M2383="PADD II","PADD 2",IF($M2383="PADD III","PADD 3",IF($M2383="PADD IV","PADD 4",IF($M2383="PADD V","PADD 5","")))))</f>
        <v>PADD 5</v>
      </c>
      <c r="G2383" s="6">
        <f>IF(AND($H2383="ATMOS DISTILLATION",ISNUMBER(SEARCH("VPS",$I2383))=FALSE,LEFT($I2383,6)&lt;&gt;"VACUUM"),"CDU",IF($H2383="FLUID CAT CRACKING","FCC",IF(OR($H2383="HYDROCRACKING",$H2383="RESID_HYDROCRACKING"),"Hydrocracker",IF($H2383="REFORMING","Reformer",""))))</f>
        <v/>
      </c>
      <c r="H2383" s="6" t="s">
        <v>43</v>
      </c>
      <c r="I2383" s="6" t="s">
        <v>105</v>
      </c>
      <c r="J2383" s="6" t="s">
        <v>345</v>
      </c>
      <c r="K2383" s="10">
        <v>11.05</v>
      </c>
      <c r="L2383" s="10">
        <v>65</v>
      </c>
      <c r="M2383" s="6" t="s">
        <v>386</v>
      </c>
    </row>
    <row r="2384" spans="1:13">
      <c r="A2384" s="6">
        <v>2023</v>
      </c>
      <c r="B2384" s="6">
        <v>11</v>
      </c>
      <c r="C2384" s="6" t="s">
        <v>69</v>
      </c>
      <c r="D2384" s="6" t="s">
        <v>788</v>
      </c>
      <c r="E2384" s="6" t="s">
        <v>405</v>
      </c>
      <c r="F2384" s="6" t="str">
        <f>IF($M2384="PADD I","PADD 1",IF($M2384="PADD II","PADD 2",IF($M2384="PADD III","PADD 3",IF($M2384="PADD IV","PADD 4",IF($M2384="PADD V","PADD 5","")))))</f>
        <v>PADD 3</v>
      </c>
      <c r="G2384" s="6" t="str">
        <f>IF(AND($H2384="ATMOS DISTILLATION",ISNUMBER(SEARCH("VPS",$I2384))=FALSE,LEFT($I2384,6)&lt;&gt;"VACUUM"),"CDU",IF($H2384="FLUID CAT CRACKING","FCC",IF(OR($H2384="HYDROCRACKING",$H2384="RESID_HYDROCRACKING"),"Hydrocracker",IF($H2384="REFORMING","Reformer",""))))</f>
        <v>Hydrocracker</v>
      </c>
      <c r="H2384" s="6" t="s">
        <v>444</v>
      </c>
      <c r="I2384" s="6" t="s">
        <v>831</v>
      </c>
      <c r="J2384" s="6" t="s">
        <v>345</v>
      </c>
      <c r="K2384" s="10">
        <v>11</v>
      </c>
      <c r="L2384" s="10">
        <v>55</v>
      </c>
      <c r="M2384" s="6" t="s">
        <v>371</v>
      </c>
    </row>
    <row r="2385" spans="1:13">
      <c r="A2385" s="6">
        <v>2023</v>
      </c>
      <c r="B2385" s="6">
        <v>11</v>
      </c>
      <c r="C2385" s="6" t="s">
        <v>69</v>
      </c>
      <c r="D2385" s="6" t="s">
        <v>960</v>
      </c>
      <c r="E2385" s="6" t="s">
        <v>881</v>
      </c>
      <c r="F2385" s="6" t="str">
        <f>IF($M2385="PADD I","PADD 1",IF($M2385="PADD II","PADD 2",IF($M2385="PADD III","PADD 3",IF($M2385="PADD IV","PADD 4",IF($M2385="PADD V","PADD 5","")))))</f>
        <v>PADD 3</v>
      </c>
      <c r="G2385" s="6">
        <f>IF(AND($H2385="ATMOS DISTILLATION",ISNUMBER(SEARCH("VPS",$I2385))=FALSE,LEFT($I2385,6)&lt;&gt;"VACUUM"),"CDU",IF($H2385="FLUID CAT CRACKING","FCC",IF(OR($H2385="HYDROCRACKING",$H2385="RESID_HYDROCRACKING"),"Hydrocracker",IF($H2385="REFORMING","Reformer",""))))</f>
        <v/>
      </c>
      <c r="H2385" s="6" t="s">
        <v>43</v>
      </c>
      <c r="I2385" s="6" t="s">
        <v>784</v>
      </c>
      <c r="J2385" s="6" t="s">
        <v>349</v>
      </c>
      <c r="K2385" s="10">
        <v>10.78</v>
      </c>
      <c r="L2385" s="10">
        <v>14</v>
      </c>
      <c r="M2385" s="6" t="s">
        <v>371</v>
      </c>
    </row>
    <row r="2386" spans="1:13">
      <c r="A2386" s="6">
        <v>2023</v>
      </c>
      <c r="B2386" s="6">
        <v>11</v>
      </c>
      <c r="C2386" s="6" t="s">
        <v>69</v>
      </c>
      <c r="D2386" s="6" t="s">
        <v>415</v>
      </c>
      <c r="E2386" s="6" t="s">
        <v>416</v>
      </c>
      <c r="F2386" s="6" t="str">
        <f>IF($M2386="PADD I","PADD 1",IF($M2386="PADD II","PADD 2",IF($M2386="PADD III","PADD 3",IF($M2386="PADD IV","PADD 4",IF($M2386="PADD V","PADD 5","")))))</f>
        <v>PADD 3</v>
      </c>
      <c r="G2386" s="6" t="str">
        <f>IF(AND($H2386="ATMOS DISTILLATION",ISNUMBER(SEARCH("VPS",$I2386))=FALSE,LEFT($I2386,6)&lt;&gt;"VACUUM"),"CDU",IF($H2386="FLUID CAT CRACKING","FCC",IF(OR($H2386="HYDROCRACKING",$H2386="RESID_HYDROCRACKING"),"Hydrocracker",IF($H2386="REFORMING","Reformer",""))))</f>
        <v>CDU</v>
      </c>
      <c r="H2386" s="6" t="s">
        <v>38</v>
      </c>
      <c r="I2386" s="6" t="s">
        <v>133</v>
      </c>
      <c r="J2386" s="6" t="s">
        <v>345</v>
      </c>
      <c r="K2386" s="10">
        <v>10</v>
      </c>
      <c r="L2386" s="10">
        <v>100</v>
      </c>
      <c r="M2386" s="6" t="s">
        <v>371</v>
      </c>
    </row>
    <row r="2387" spans="1:13">
      <c r="A2387" s="6">
        <v>2023</v>
      </c>
      <c r="B2387" s="6">
        <v>11</v>
      </c>
      <c r="C2387" s="6" t="s">
        <v>69</v>
      </c>
      <c r="D2387" s="6" t="s">
        <v>415</v>
      </c>
      <c r="E2387" s="6" t="s">
        <v>416</v>
      </c>
      <c r="F2387" s="6" t="str">
        <f>IF($M2387="PADD I","PADD 1",IF($M2387="PADD II","PADD 2",IF($M2387="PADD III","PADD 3",IF($M2387="PADD IV","PADD 4",IF($M2387="PADD V","PADD 5","")))))</f>
        <v>PADD 3</v>
      </c>
      <c r="G2387" s="6">
        <f>IF(AND($H2387="ATMOS DISTILLATION",ISNUMBER(SEARCH("VPS",$I2387))=FALSE,LEFT($I2387,6)&lt;&gt;"VACUUM"),"CDU",IF($H2387="FLUID CAT CRACKING","FCC",IF(OR($H2387="HYDROCRACKING",$H2387="RESID_HYDROCRACKING"),"Hydrocracker",IF($H2387="REFORMING","Reformer",""))))</f>
        <v/>
      </c>
      <c r="H2387" s="6" t="s">
        <v>378</v>
      </c>
      <c r="I2387" s="6" t="s">
        <v>1062</v>
      </c>
      <c r="J2387" s="6" t="s">
        <v>345</v>
      </c>
      <c r="K2387" s="10">
        <v>9.800000000000001</v>
      </c>
      <c r="L2387" s="10">
        <v>140</v>
      </c>
      <c r="M2387" s="6" t="s">
        <v>371</v>
      </c>
    </row>
    <row r="2388" spans="1:13">
      <c r="A2388" s="6">
        <v>2023</v>
      </c>
      <c r="B2388" s="6">
        <v>11</v>
      </c>
      <c r="C2388" s="6" t="s">
        <v>69</v>
      </c>
      <c r="D2388" s="6" t="s">
        <v>468</v>
      </c>
      <c r="E2388" s="6" t="s">
        <v>369</v>
      </c>
      <c r="F2388" s="6" t="str">
        <f>IF($M2388="PADD I","PADD 1",IF($M2388="PADD II","PADD 2",IF($M2388="PADD III","PADD 3",IF($M2388="PADD IV","PADD 4",IF($M2388="PADD V","PADD 5","")))))</f>
        <v>PADD 3</v>
      </c>
      <c r="G2388" s="6">
        <f>IF(AND($H2388="ATMOS DISTILLATION",ISNUMBER(SEARCH("VPS",$I2388))=FALSE,LEFT($I2388,6)&lt;&gt;"VACUUM"),"CDU",IF($H2388="FLUID CAT CRACKING","FCC",IF(OR($H2388="HYDROCRACKING",$H2388="RESID_HYDROCRACKING"),"Hydrocracker",IF($H2388="REFORMING","Reformer",""))))</f>
        <v/>
      </c>
      <c r="H2388" s="6" t="s">
        <v>43</v>
      </c>
      <c r="I2388" s="6" t="s">
        <v>458</v>
      </c>
      <c r="J2388" s="6" t="s">
        <v>349</v>
      </c>
      <c r="K2388" s="10">
        <v>9.6</v>
      </c>
      <c r="L2388" s="10">
        <v>16</v>
      </c>
      <c r="M2388" s="6" t="s">
        <v>371</v>
      </c>
    </row>
    <row r="2389" spans="1:13">
      <c r="A2389" s="6">
        <v>2023</v>
      </c>
      <c r="B2389" s="6">
        <v>11</v>
      </c>
      <c r="C2389" s="6" t="s">
        <v>69</v>
      </c>
      <c r="D2389" s="6" t="s">
        <v>887</v>
      </c>
      <c r="E2389" s="6" t="s">
        <v>405</v>
      </c>
      <c r="F2389" s="6" t="str">
        <f>IF($M2389="PADD I","PADD 1",IF($M2389="PADD II","PADD 2",IF($M2389="PADD III","PADD 3",IF($M2389="PADD IV","PADD 4",IF($M2389="PADD V","PADD 5","")))))</f>
        <v>PADD 3</v>
      </c>
      <c r="G2389" s="6" t="str">
        <f>IF(AND($H2389="ATMOS DISTILLATION",ISNUMBER(SEARCH("VPS",$I2389))=FALSE,LEFT($I2389,6)&lt;&gt;"VACUUM"),"CDU",IF($H2389="FLUID CAT CRACKING","FCC",IF(OR($H2389="HYDROCRACKING",$H2389="RESID_HYDROCRACKING"),"Hydrocracker",IF($H2389="REFORMING","Reformer",""))))</f>
        <v>FCC</v>
      </c>
      <c r="H2389" s="6" t="s">
        <v>376</v>
      </c>
      <c r="I2389" s="6" t="s">
        <v>806</v>
      </c>
      <c r="J2389" s="6" t="s">
        <v>349</v>
      </c>
      <c r="K2389" s="10">
        <v>9.6</v>
      </c>
      <c r="L2389" s="10">
        <v>24</v>
      </c>
      <c r="M2389" s="6" t="s">
        <v>371</v>
      </c>
    </row>
    <row r="2390" spans="1:13">
      <c r="A2390" s="6">
        <v>2023</v>
      </c>
      <c r="B2390" s="6">
        <v>11</v>
      </c>
      <c r="C2390" s="6" t="s">
        <v>69</v>
      </c>
      <c r="D2390" s="6" t="s">
        <v>730</v>
      </c>
      <c r="E2390" s="6" t="s">
        <v>731</v>
      </c>
      <c r="F2390" s="6" t="str">
        <f>IF($M2390="PADD I","PADD 1",IF($M2390="PADD II","PADD 2",IF($M2390="PADD III","PADD 3",IF($M2390="PADD IV","PADD 4",IF($M2390="PADD V","PADD 5","")))))</f>
        <v>PADD 3</v>
      </c>
      <c r="G2390" s="6">
        <f>IF(AND($H2390="ATMOS DISTILLATION",ISNUMBER(SEARCH("VPS",$I2390))=FALSE,LEFT($I2390,6)&lt;&gt;"VACUUM"),"CDU",IF($H2390="FLUID CAT CRACKING","FCC",IF(OR($H2390="HYDROCRACKING",$H2390="RESID_HYDROCRACKING"),"Hydrocracker",IF($H2390="REFORMING","Reformer",""))))</f>
        <v/>
      </c>
      <c r="H2390" s="6" t="s">
        <v>378</v>
      </c>
      <c r="I2390" s="6" t="s">
        <v>431</v>
      </c>
      <c r="J2390" s="6" t="s">
        <v>349</v>
      </c>
      <c r="K2390" s="10">
        <v>9.472</v>
      </c>
      <c r="L2390" s="10">
        <v>25.6</v>
      </c>
      <c r="M2390" s="6" t="s">
        <v>371</v>
      </c>
    </row>
    <row r="2391" spans="1:13">
      <c r="A2391" s="6">
        <v>2023</v>
      </c>
      <c r="B2391" s="6">
        <v>11</v>
      </c>
      <c r="C2391" s="6" t="s">
        <v>69</v>
      </c>
      <c r="D2391" s="6" t="s">
        <v>1063</v>
      </c>
      <c r="E2391" s="6" t="s">
        <v>388</v>
      </c>
      <c r="F2391" s="6" t="str">
        <f>IF($M2391="PADD I","PADD 1",IF($M2391="PADD II","PADD 2",IF($M2391="PADD III","PADD 3",IF($M2391="PADD IV","PADD 4",IF($M2391="PADD V","PADD 5","")))))</f>
        <v>PADD 2</v>
      </c>
      <c r="G2391" s="6" t="str">
        <f>IF(AND($H2391="ATMOS DISTILLATION",ISNUMBER(SEARCH("VPS",$I2391))=FALSE,LEFT($I2391,6)&lt;&gt;"VACUUM"),"CDU",IF($H2391="FLUID CAT CRACKING","FCC",IF(OR($H2391="HYDROCRACKING",$H2391="RESID_HYDROCRACKING"),"Hydrocracker",IF($H2391="REFORMING","Reformer",""))))</f>
        <v>CDU</v>
      </c>
      <c r="H2391" s="6" t="s">
        <v>38</v>
      </c>
      <c r="I2391" s="6" t="s">
        <v>81</v>
      </c>
      <c r="J2391" s="6" t="s">
        <v>345</v>
      </c>
      <c r="K2391" s="10">
        <v>9.449999999999999</v>
      </c>
      <c r="L2391" s="10">
        <v>135</v>
      </c>
      <c r="M2391" s="6" t="s">
        <v>375</v>
      </c>
    </row>
    <row r="2392" spans="1:13">
      <c r="A2392" s="6">
        <v>2023</v>
      </c>
      <c r="B2392" s="6">
        <v>11</v>
      </c>
      <c r="C2392" s="6" t="s">
        <v>69</v>
      </c>
      <c r="D2392" s="6" t="s">
        <v>50</v>
      </c>
      <c r="E2392" s="6" t="s">
        <v>381</v>
      </c>
      <c r="F2392" s="6" t="str">
        <f>IF($M2392="PADD I","PADD 1",IF($M2392="PADD II","PADD 2",IF($M2392="PADD III","PADD 3",IF($M2392="PADD IV","PADD 4",IF($M2392="PADD V","PADD 5","")))))</f>
        <v>PADD 3</v>
      </c>
      <c r="G2392" s="6" t="str">
        <f>IF(AND($H2392="ATMOS DISTILLATION",ISNUMBER(SEARCH("VPS",$I2392))=FALSE,LEFT($I2392,6)&lt;&gt;"VACUUM"),"CDU",IF($H2392="FLUID CAT CRACKING","FCC",IF(OR($H2392="HYDROCRACKING",$H2392="RESID_HYDROCRACKING"),"Hydrocracker",IF($H2392="REFORMING","Reformer",""))))</f>
        <v>CDU</v>
      </c>
      <c r="H2392" s="6" t="s">
        <v>38</v>
      </c>
      <c r="I2392" s="6" t="s">
        <v>769</v>
      </c>
      <c r="J2392" s="6" t="s">
        <v>349</v>
      </c>
      <c r="K2392" s="10">
        <v>9.42</v>
      </c>
      <c r="L2392" s="10">
        <v>314</v>
      </c>
      <c r="M2392" s="6" t="s">
        <v>371</v>
      </c>
    </row>
    <row r="2393" spans="1:13">
      <c r="A2393" s="6">
        <v>2023</v>
      </c>
      <c r="B2393" s="6">
        <v>11</v>
      </c>
      <c r="C2393" s="6" t="s">
        <v>69</v>
      </c>
      <c r="D2393" s="6" t="s">
        <v>415</v>
      </c>
      <c r="E2393" s="6" t="s">
        <v>416</v>
      </c>
      <c r="F2393" s="6" t="str">
        <f>IF($M2393="PADD I","PADD 1",IF($M2393="PADD II","PADD 2",IF($M2393="PADD III","PADD 3",IF($M2393="PADD IV","PADD 4",IF($M2393="PADD V","PADD 5","")))))</f>
        <v>PADD 3</v>
      </c>
      <c r="G2393" s="6" t="str">
        <f>IF(AND($H2393="ATMOS DISTILLATION",ISNUMBER(SEARCH("VPS",$I2393))=FALSE,LEFT($I2393,6)&lt;&gt;"VACUUM"),"CDU",IF($H2393="FLUID CAT CRACKING","FCC",IF(OR($H2393="HYDROCRACKING",$H2393="RESID_HYDROCRACKING"),"Hydrocracker",IF($H2393="REFORMING","Reformer",""))))</f>
        <v>Reformer</v>
      </c>
      <c r="H2393" s="6" t="s">
        <v>421</v>
      </c>
      <c r="I2393" s="6" t="s">
        <v>454</v>
      </c>
      <c r="J2393" s="6" t="s">
        <v>345</v>
      </c>
      <c r="K2393" s="10">
        <v>9.044</v>
      </c>
      <c r="L2393" s="10">
        <v>53.2</v>
      </c>
      <c r="M2393" s="6" t="s">
        <v>371</v>
      </c>
    </row>
    <row r="2394" spans="1:13">
      <c r="A2394" s="6">
        <v>2023</v>
      </c>
      <c r="B2394" s="6">
        <v>11</v>
      </c>
      <c r="C2394" s="6" t="s">
        <v>69</v>
      </c>
      <c r="D2394" s="6" t="s">
        <v>51</v>
      </c>
      <c r="E2394" s="6" t="s">
        <v>391</v>
      </c>
      <c r="F2394" s="6" t="str">
        <f>IF($M2394="PADD I","PADD 1",IF($M2394="PADD II","PADD 2",IF($M2394="PADD III","PADD 3",IF($M2394="PADD IV","PADD 4",IF($M2394="PADD V","PADD 5","")))))</f>
        <v>PADD 5</v>
      </c>
      <c r="G2394" s="6" t="str">
        <f>IF(AND($H2394="ATMOS DISTILLATION",ISNUMBER(SEARCH("VPS",$I2394))=FALSE,LEFT($I2394,6)&lt;&gt;"VACUUM"),"CDU",IF($H2394="FLUID CAT CRACKING","FCC",IF(OR($H2394="HYDROCRACKING",$H2394="RESID_HYDROCRACKING"),"Hydrocracker",IF($H2394="REFORMING","Reformer",""))))</f>
        <v>CDU</v>
      </c>
      <c r="H2394" s="6" t="s">
        <v>38</v>
      </c>
      <c r="I2394" s="6" t="s">
        <v>135</v>
      </c>
      <c r="J2394" s="6" t="s">
        <v>349</v>
      </c>
      <c r="K2394" s="10">
        <v>9</v>
      </c>
      <c r="L2394" s="10">
        <v>90</v>
      </c>
      <c r="M2394" s="6" t="s">
        <v>386</v>
      </c>
    </row>
    <row r="2395" spans="1:13">
      <c r="A2395" s="6">
        <v>2023</v>
      </c>
      <c r="B2395" s="6">
        <v>11</v>
      </c>
      <c r="C2395" s="6" t="s">
        <v>69</v>
      </c>
      <c r="D2395" s="6" t="s">
        <v>326</v>
      </c>
      <c r="E2395" s="6" t="s">
        <v>385</v>
      </c>
      <c r="F2395" s="6" t="str">
        <f>IF($M2395="PADD I","PADD 1",IF($M2395="PADD II","PADD 2",IF($M2395="PADD III","PADD 3",IF($M2395="PADD IV","PADD 4",IF($M2395="PADD V","PADD 5","")))))</f>
        <v>PADD 5</v>
      </c>
      <c r="G2395" s="6">
        <f>IF(AND($H2395="ATMOS DISTILLATION",ISNUMBER(SEARCH("VPS",$I2395))=FALSE,LEFT($I2395,6)&lt;&gt;"VACUUM"),"CDU",IF($H2395="FLUID CAT CRACKING","FCC",IF(OR($H2395="HYDROCRACKING",$H2395="RESID_HYDROCRACKING"),"Hydrocracker",IF($H2395="REFORMING","Reformer",""))))</f>
        <v/>
      </c>
      <c r="H2395" s="6" t="s">
        <v>435</v>
      </c>
      <c r="I2395" s="6" t="s">
        <v>441</v>
      </c>
      <c r="J2395" s="6" t="s">
        <v>345</v>
      </c>
      <c r="K2395" s="10">
        <v>9</v>
      </c>
      <c r="L2395" s="10">
        <v>22.5</v>
      </c>
      <c r="M2395" s="6" t="s">
        <v>386</v>
      </c>
    </row>
    <row r="2396" spans="1:13">
      <c r="A2396" s="6">
        <v>2023</v>
      </c>
      <c r="B2396" s="6">
        <v>11</v>
      </c>
      <c r="C2396" s="6" t="s">
        <v>69</v>
      </c>
      <c r="D2396" s="6" t="s">
        <v>730</v>
      </c>
      <c r="E2396" s="6" t="s">
        <v>731</v>
      </c>
      <c r="F2396" s="6" t="str">
        <f>IF($M2396="PADD I","PADD 1",IF($M2396="PADD II","PADD 2",IF($M2396="PADD III","PADD 3",IF($M2396="PADD IV","PADD 4",IF($M2396="PADD V","PADD 5","")))))</f>
        <v>PADD 3</v>
      </c>
      <c r="G2396" s="6" t="str">
        <f>IF(AND($H2396="ATMOS DISTILLATION",ISNUMBER(SEARCH("VPS",$I2396))=FALSE,LEFT($I2396,6)&lt;&gt;"VACUUM"),"CDU",IF($H2396="FLUID CAT CRACKING","FCC",IF(OR($H2396="HYDROCRACKING",$H2396="RESID_HYDROCRACKING"),"Hydrocracker",IF($H2396="REFORMING","Reformer",""))))</f>
        <v>FCC</v>
      </c>
      <c r="H2396" s="6" t="s">
        <v>376</v>
      </c>
      <c r="I2396" s="6" t="s">
        <v>105</v>
      </c>
      <c r="J2396" s="6" t="s">
        <v>349</v>
      </c>
      <c r="K2396" s="10">
        <v>8.695</v>
      </c>
      <c r="L2396" s="10">
        <v>23.5</v>
      </c>
      <c r="M2396" s="6" t="s">
        <v>371</v>
      </c>
    </row>
    <row r="2397" spans="1:13">
      <c r="A2397" s="6">
        <v>2023</v>
      </c>
      <c r="B2397" s="6">
        <v>11</v>
      </c>
      <c r="C2397" s="6" t="s">
        <v>69</v>
      </c>
      <c r="D2397" s="6" t="s">
        <v>319</v>
      </c>
      <c r="E2397" s="6" t="s">
        <v>665</v>
      </c>
      <c r="F2397" s="6" t="str">
        <f>IF($M2397="PADD I","PADD 1",IF($M2397="PADD II","PADD 2",IF($M2397="PADD III","PADD 3",IF($M2397="PADD IV","PADD 4",IF($M2397="PADD V","PADD 5","")))))</f>
        <v>PADD 3</v>
      </c>
      <c r="G2397" s="6">
        <f>IF(AND($H2397="ATMOS DISTILLATION",ISNUMBER(SEARCH("VPS",$I2397))=FALSE,LEFT($I2397,6)&lt;&gt;"VACUUM"),"CDU",IF($H2397="FLUID CAT CRACKING","FCC",IF(OR($H2397="HYDROCRACKING",$H2397="RESID_HYDROCRACKING"),"Hydrocracker",IF($H2397="REFORMING","Reformer",""))))</f>
        <v/>
      </c>
      <c r="H2397" s="6" t="s">
        <v>435</v>
      </c>
      <c r="I2397" s="6" t="s">
        <v>441</v>
      </c>
      <c r="J2397" s="6" t="s">
        <v>345</v>
      </c>
      <c r="K2397" s="10">
        <v>8.552</v>
      </c>
      <c r="L2397" s="10">
        <v>21.38</v>
      </c>
      <c r="M2397" s="6" t="s">
        <v>371</v>
      </c>
    </row>
    <row r="2398" spans="1:13">
      <c r="A2398" s="6">
        <v>2023</v>
      </c>
      <c r="B2398" s="6">
        <v>11</v>
      </c>
      <c r="C2398" s="6" t="s">
        <v>69</v>
      </c>
      <c r="D2398" s="6" t="s">
        <v>730</v>
      </c>
      <c r="E2398" s="6" t="s">
        <v>731</v>
      </c>
      <c r="F2398" s="6" t="str">
        <f>IF($M2398="PADD I","PADD 1",IF($M2398="PADD II","PADD 2",IF($M2398="PADD III","PADD 3",IF($M2398="PADD IV","PADD 4",IF($M2398="PADD V","PADD 5","")))))</f>
        <v>PADD 3</v>
      </c>
      <c r="G2398" s="6">
        <f>IF(AND($H2398="ATMOS DISTILLATION",ISNUMBER(SEARCH("VPS",$I2398))=FALSE,LEFT($I2398,6)&lt;&gt;"VACUUM"),"CDU",IF($H2398="FLUID CAT CRACKING","FCC",IF(OR($H2398="HYDROCRACKING",$H2398="RESID_HYDROCRACKING"),"Hydrocracker",IF($H2398="REFORMING","Reformer",""))))</f>
        <v/>
      </c>
      <c r="H2398" s="6" t="s">
        <v>43</v>
      </c>
      <c r="I2398" s="6" t="s">
        <v>1045</v>
      </c>
      <c r="J2398" s="6" t="s">
        <v>349</v>
      </c>
      <c r="K2398" s="10">
        <v>8.51</v>
      </c>
      <c r="L2398" s="10">
        <v>23</v>
      </c>
      <c r="M2398" s="6" t="s">
        <v>371</v>
      </c>
    </row>
    <row r="2399" spans="1:13">
      <c r="A2399" s="6">
        <v>2023</v>
      </c>
      <c r="B2399" s="6">
        <v>11</v>
      </c>
      <c r="C2399" s="6" t="s">
        <v>69</v>
      </c>
      <c r="D2399" s="6" t="s">
        <v>468</v>
      </c>
      <c r="E2399" s="6" t="s">
        <v>369</v>
      </c>
      <c r="F2399" s="6" t="str">
        <f>IF($M2399="PADD I","PADD 1",IF($M2399="PADD II","PADD 2",IF($M2399="PADD III","PADD 3",IF($M2399="PADD IV","PADD 4",IF($M2399="PADD V","PADD 5","")))))</f>
        <v>PADD 3</v>
      </c>
      <c r="G2399" s="6">
        <f>IF(AND($H2399="ATMOS DISTILLATION",ISNUMBER(SEARCH("VPS",$I2399))=FALSE,LEFT($I2399,6)&lt;&gt;"VACUUM"),"CDU",IF($H2399="FLUID CAT CRACKING","FCC",IF(OR($H2399="HYDROCRACKING",$H2399="RESID_HYDROCRACKING"),"Hydrocracker",IF($H2399="REFORMING","Reformer",""))))</f>
        <v/>
      </c>
      <c r="H2399" s="6" t="s">
        <v>460</v>
      </c>
      <c r="I2399" s="6" t="s">
        <v>890</v>
      </c>
      <c r="J2399" s="6" t="s">
        <v>349</v>
      </c>
      <c r="K2399" s="10">
        <v>8.4</v>
      </c>
      <c r="L2399" s="10">
        <v>14</v>
      </c>
      <c r="M2399" s="6" t="s">
        <v>371</v>
      </c>
    </row>
    <row r="2400" spans="1:13">
      <c r="A2400" s="6">
        <v>2023</v>
      </c>
      <c r="B2400" s="6">
        <v>11</v>
      </c>
      <c r="C2400" s="6" t="s">
        <v>69</v>
      </c>
      <c r="D2400" s="6" t="s">
        <v>40</v>
      </c>
      <c r="E2400" s="6" t="s">
        <v>736</v>
      </c>
      <c r="F2400" s="6" t="str">
        <f>IF($M2400="PADD I","PADD 1",IF($M2400="PADD II","PADD 2",IF($M2400="PADD III","PADD 3",IF($M2400="PADD IV","PADD 4",IF($M2400="PADD V","PADD 5","")))))</f>
        <v>PADD 1</v>
      </c>
      <c r="G2400" s="6">
        <f>IF(AND($H2400="ATMOS DISTILLATION",ISNUMBER(SEARCH("VPS",$I2400))=FALSE,LEFT($I2400,6)&lt;&gt;"VACUUM"),"CDU",IF($H2400="FLUID CAT CRACKING","FCC",IF(OR($H2400="HYDROCRACKING",$H2400="RESID_HYDROCRACKING"),"Hydrocracker",IF($H2400="REFORMING","Reformer",""))))</f>
        <v/>
      </c>
      <c r="H2400" s="6" t="s">
        <v>43</v>
      </c>
      <c r="I2400" s="6" t="s">
        <v>1014</v>
      </c>
      <c r="J2400" s="6" t="s">
        <v>349</v>
      </c>
      <c r="K2400" s="10">
        <v>8.4</v>
      </c>
      <c r="L2400" s="10">
        <v>28</v>
      </c>
      <c r="M2400" s="6" t="s">
        <v>413</v>
      </c>
    </row>
    <row r="2401" spans="1:13">
      <c r="A2401" s="6">
        <v>2023</v>
      </c>
      <c r="B2401" s="6">
        <v>11</v>
      </c>
      <c r="C2401" s="6" t="s">
        <v>69</v>
      </c>
      <c r="D2401" s="6" t="s">
        <v>40</v>
      </c>
      <c r="E2401" s="6" t="s">
        <v>736</v>
      </c>
      <c r="F2401" s="6" t="str">
        <f>IF($M2401="PADD I","PADD 1",IF($M2401="PADD II","PADD 2",IF($M2401="PADD III","PADD 3",IF($M2401="PADD IV","PADD 4",IF($M2401="PADD V","PADD 5","")))))</f>
        <v>PADD 1</v>
      </c>
      <c r="G2401" s="6">
        <f>IF(AND($H2401="ATMOS DISTILLATION",ISNUMBER(SEARCH("VPS",$I2401))=FALSE,LEFT($I2401,6)&lt;&gt;"VACUUM"),"CDU",IF($H2401="FLUID CAT CRACKING","FCC",IF(OR($H2401="HYDROCRACKING",$H2401="RESID_HYDROCRACKING"),"Hydrocracker",IF($H2401="REFORMING","Reformer",""))))</f>
        <v/>
      </c>
      <c r="H2401" s="6" t="s">
        <v>460</v>
      </c>
      <c r="I2401" s="6" t="s">
        <v>760</v>
      </c>
      <c r="J2401" s="6" t="s">
        <v>349</v>
      </c>
      <c r="K2401" s="10">
        <v>8.039999999999999</v>
      </c>
      <c r="L2401" s="10">
        <v>12</v>
      </c>
      <c r="M2401" s="6" t="s">
        <v>413</v>
      </c>
    </row>
    <row r="2402" spans="1:13">
      <c r="A2402" s="6">
        <v>2023</v>
      </c>
      <c r="B2402" s="6">
        <v>11</v>
      </c>
      <c r="C2402" s="6" t="s">
        <v>69</v>
      </c>
      <c r="D2402" s="6" t="s">
        <v>887</v>
      </c>
      <c r="E2402" s="6" t="s">
        <v>405</v>
      </c>
      <c r="F2402" s="6" t="str">
        <f>IF($M2402="PADD I","PADD 1",IF($M2402="PADD II","PADD 2",IF($M2402="PADD III","PADD 3",IF($M2402="PADD IV","PADD 4",IF($M2402="PADD V","PADD 5","")))))</f>
        <v>PADD 3</v>
      </c>
      <c r="G2402" s="6">
        <f>IF(AND($H2402="ATMOS DISTILLATION",ISNUMBER(SEARCH("VPS",$I2402))=FALSE,LEFT($I2402,6)&lt;&gt;"VACUUM"),"CDU",IF($H2402="FLUID CAT CRACKING","FCC",IF(OR($H2402="HYDROCRACKING",$H2402="RESID_HYDROCRACKING"),"Hydrocracker",IF($H2402="REFORMING","Reformer",""))))</f>
        <v/>
      </c>
      <c r="H2402" s="6" t="s">
        <v>43</v>
      </c>
      <c r="I2402" s="6" t="s">
        <v>918</v>
      </c>
      <c r="J2402" s="6" t="s">
        <v>349</v>
      </c>
      <c r="K2402" s="10">
        <v>8</v>
      </c>
      <c r="L2402" s="10">
        <v>20</v>
      </c>
      <c r="M2402" s="6" t="s">
        <v>371</v>
      </c>
    </row>
    <row r="2403" spans="1:13">
      <c r="A2403" s="6">
        <v>2023</v>
      </c>
      <c r="B2403" s="6">
        <v>11</v>
      </c>
      <c r="C2403" s="6" t="s">
        <v>69</v>
      </c>
      <c r="D2403" s="6" t="s">
        <v>468</v>
      </c>
      <c r="E2403" s="6" t="s">
        <v>369</v>
      </c>
      <c r="F2403" s="6" t="str">
        <f>IF($M2403="PADD I","PADD 1",IF($M2403="PADD II","PADD 2",IF($M2403="PADD III","PADD 3",IF($M2403="PADD IV","PADD 4",IF($M2403="PADD V","PADD 5","")))))</f>
        <v>PADD 3</v>
      </c>
      <c r="G2403" s="6">
        <f>IF(AND($H2403="ATMOS DISTILLATION",ISNUMBER(SEARCH("VPS",$I2403))=FALSE,LEFT($I2403,6)&lt;&gt;"VACUUM"),"CDU",IF($H2403="FLUID CAT CRACKING","FCC",IF(OR($H2403="HYDROCRACKING",$H2403="RESID_HYDROCRACKING"),"Hydrocracker",IF($H2403="REFORMING","Reformer",""))))</f>
        <v/>
      </c>
      <c r="H2403" s="6" t="s">
        <v>378</v>
      </c>
      <c r="I2403" s="6" t="s">
        <v>1023</v>
      </c>
      <c r="J2403" s="6" t="s">
        <v>345</v>
      </c>
      <c r="K2403" s="10">
        <v>8</v>
      </c>
      <c r="L2403" s="10">
        <v>80</v>
      </c>
      <c r="M2403" s="6" t="s">
        <v>371</v>
      </c>
    </row>
    <row r="2404" spans="1:13">
      <c r="A2404" s="6">
        <v>2023</v>
      </c>
      <c r="B2404" s="6">
        <v>11</v>
      </c>
      <c r="C2404" s="6" t="s">
        <v>69</v>
      </c>
      <c r="D2404" s="6" t="s">
        <v>547</v>
      </c>
      <c r="E2404" s="6" t="s">
        <v>391</v>
      </c>
      <c r="F2404" s="6" t="str">
        <f>IF($M2404="PADD I","PADD 1",IF($M2404="PADD II","PADD 2",IF($M2404="PADD III","PADD 3",IF($M2404="PADD IV","PADD 4",IF($M2404="PADD V","PADD 5","")))))</f>
        <v>PADD 5</v>
      </c>
      <c r="G2404" s="6" t="str">
        <f>IF(AND($H2404="ATMOS DISTILLATION",ISNUMBER(SEARCH("VPS",$I2404))=FALSE,LEFT($I2404,6)&lt;&gt;"VACUUM"),"CDU",IF($H2404="FLUID CAT CRACKING","FCC",IF(OR($H2404="HYDROCRACKING",$H2404="RESID_HYDROCRACKING"),"Hydrocracker",IF($H2404="REFORMING","Reformer",""))))</f>
        <v>FCC</v>
      </c>
      <c r="H2404" s="6" t="s">
        <v>376</v>
      </c>
      <c r="I2404" s="6" t="s">
        <v>105</v>
      </c>
      <c r="J2404" s="6" t="s">
        <v>345</v>
      </c>
      <c r="K2404" s="10">
        <v>8</v>
      </c>
      <c r="L2404" s="10">
        <v>80</v>
      </c>
      <c r="M2404" s="6" t="s">
        <v>386</v>
      </c>
    </row>
    <row r="2405" spans="1:13">
      <c r="A2405" s="6">
        <v>2023</v>
      </c>
      <c r="B2405" s="6">
        <v>11</v>
      </c>
      <c r="C2405" s="6" t="s">
        <v>69</v>
      </c>
      <c r="D2405" s="6" t="s">
        <v>547</v>
      </c>
      <c r="E2405" s="6" t="s">
        <v>391</v>
      </c>
      <c r="F2405" s="6" t="str">
        <f>IF($M2405="PADD I","PADD 1",IF($M2405="PADD II","PADD 2",IF($M2405="PADD III","PADD 3",IF($M2405="PADD IV","PADD 4",IF($M2405="PADD V","PADD 5","")))))</f>
        <v>PADD 5</v>
      </c>
      <c r="G2405" s="6">
        <f>IF(AND($H2405="ATMOS DISTILLATION",ISNUMBER(SEARCH("VPS",$I2405))=FALSE,LEFT($I2405,6)&lt;&gt;"VACUUM"),"CDU",IF($H2405="FLUID CAT CRACKING","FCC",IF(OR($H2405="HYDROCRACKING",$H2405="RESID_HYDROCRACKING"),"Hydrocracker",IF($H2405="REFORMING","Reformer",""))))</f>
        <v/>
      </c>
      <c r="H2405" s="6" t="s">
        <v>43</v>
      </c>
      <c r="I2405" s="6" t="s">
        <v>926</v>
      </c>
      <c r="J2405" s="6" t="s">
        <v>345</v>
      </c>
      <c r="K2405" s="10">
        <v>8</v>
      </c>
      <c r="L2405" s="10">
        <v>80</v>
      </c>
      <c r="M2405" s="6" t="s">
        <v>386</v>
      </c>
    </row>
    <row r="2406" spans="1:13">
      <c r="A2406" s="6">
        <v>2023</v>
      </c>
      <c r="B2406" s="6">
        <v>11</v>
      </c>
      <c r="C2406" s="6" t="s">
        <v>69</v>
      </c>
      <c r="D2406" s="6" t="s">
        <v>455</v>
      </c>
      <c r="E2406" s="6" t="s">
        <v>405</v>
      </c>
      <c r="F2406" s="6" t="str">
        <f>IF($M2406="PADD I","PADD 1",IF($M2406="PADD II","PADD 2",IF($M2406="PADD III","PADD 3",IF($M2406="PADD IV","PADD 4",IF($M2406="PADD V","PADD 5","")))))</f>
        <v>PADD 3</v>
      </c>
      <c r="G2406" s="6">
        <f>IF(AND($H2406="ATMOS DISTILLATION",ISNUMBER(SEARCH("VPS",$I2406))=FALSE,LEFT($I2406,6)&lt;&gt;"VACUUM"),"CDU",IF($H2406="FLUID CAT CRACKING","FCC",IF(OR($H2406="HYDROCRACKING",$H2406="RESID_HYDROCRACKING"),"Hydrocracker",IF($H2406="REFORMING","Reformer",""))))</f>
        <v/>
      </c>
      <c r="H2406" s="6" t="s">
        <v>435</v>
      </c>
      <c r="I2406" s="6" t="s">
        <v>441</v>
      </c>
      <c r="J2406" s="6" t="s">
        <v>345</v>
      </c>
      <c r="K2406" s="10">
        <v>8</v>
      </c>
      <c r="L2406" s="10">
        <v>80</v>
      </c>
      <c r="M2406" s="6" t="s">
        <v>371</v>
      </c>
    </row>
    <row r="2407" spans="1:13">
      <c r="A2407" s="6">
        <v>2023</v>
      </c>
      <c r="B2407" s="6">
        <v>11</v>
      </c>
      <c r="C2407" s="6" t="s">
        <v>69</v>
      </c>
      <c r="D2407" s="6" t="s">
        <v>420</v>
      </c>
      <c r="E2407" s="6" t="s">
        <v>373</v>
      </c>
      <c r="F2407" s="6" t="str">
        <f>IF($M2407="PADD I","PADD 1",IF($M2407="PADD II","PADD 2",IF($M2407="PADD III","PADD 3",IF($M2407="PADD IV","PADD 4",IF($M2407="PADD V","PADD 5","")))))</f>
        <v>PADD 2</v>
      </c>
      <c r="G2407" s="6" t="str">
        <f>IF(AND($H2407="ATMOS DISTILLATION",ISNUMBER(SEARCH("VPS",$I2407))=FALSE,LEFT($I2407,6)&lt;&gt;"VACUUM"),"CDU",IF($H2407="FLUID CAT CRACKING","FCC",IF(OR($H2407="HYDROCRACKING",$H2407="RESID_HYDROCRACKING"),"Hydrocracker",IF($H2407="REFORMING","Reformer",""))))</f>
        <v>Reformer</v>
      </c>
      <c r="H2407" s="6" t="s">
        <v>421</v>
      </c>
      <c r="I2407" s="6" t="s">
        <v>571</v>
      </c>
      <c r="J2407" s="6" t="s">
        <v>345</v>
      </c>
      <c r="K2407" s="10">
        <v>8</v>
      </c>
      <c r="L2407" s="10">
        <v>8</v>
      </c>
      <c r="M2407" s="6" t="s">
        <v>375</v>
      </c>
    </row>
    <row r="2408" spans="1:13">
      <c r="A2408" s="6">
        <v>2023</v>
      </c>
      <c r="B2408" s="6">
        <v>11</v>
      </c>
      <c r="C2408" s="6" t="s">
        <v>69</v>
      </c>
      <c r="D2408" s="6" t="s">
        <v>387</v>
      </c>
      <c r="E2408" s="6" t="s">
        <v>388</v>
      </c>
      <c r="F2408" s="6" t="str">
        <f>IF($M2408="PADD I","PADD 1",IF($M2408="PADD II","PADD 2",IF($M2408="PADD III","PADD 3",IF($M2408="PADD IV","PADD 4",IF($M2408="PADD V","PADD 5","")))))</f>
        <v>PADD 3</v>
      </c>
      <c r="G2408" s="6" t="str">
        <f>IF(AND($H2408="ATMOS DISTILLATION",ISNUMBER(SEARCH("VPS",$I2408))=FALSE,LEFT($I2408,6)&lt;&gt;"VACUUM"),"CDU",IF($H2408="FLUID CAT CRACKING","FCC",IF(OR($H2408="HYDROCRACKING",$H2408="RESID_HYDROCRACKING"),"Hydrocracker",IF($H2408="REFORMING","Reformer",""))))</f>
        <v>CDU</v>
      </c>
      <c r="H2408" s="6" t="s">
        <v>38</v>
      </c>
      <c r="I2408" s="6" t="s">
        <v>389</v>
      </c>
      <c r="J2408" s="6" t="s">
        <v>345</v>
      </c>
      <c r="K2408" s="10">
        <v>7.95</v>
      </c>
      <c r="L2408" s="10">
        <v>265</v>
      </c>
      <c r="M2408" s="6" t="s">
        <v>371</v>
      </c>
    </row>
    <row r="2409" spans="1:13">
      <c r="A2409" s="6">
        <v>2023</v>
      </c>
      <c r="B2409" s="6">
        <v>11</v>
      </c>
      <c r="C2409" s="6" t="s">
        <v>69</v>
      </c>
      <c r="D2409" s="6" t="s">
        <v>40</v>
      </c>
      <c r="E2409" s="6" t="s">
        <v>736</v>
      </c>
      <c r="F2409" s="6" t="str">
        <f>IF($M2409="PADD I","PADD 1",IF($M2409="PADD II","PADD 2",IF($M2409="PADD III","PADD 3",IF($M2409="PADD IV","PADD 4",IF($M2409="PADD V","PADD 5","")))))</f>
        <v>PADD 1</v>
      </c>
      <c r="G2409" s="6">
        <f>IF(AND($H2409="ATMOS DISTILLATION",ISNUMBER(SEARCH("VPS",$I2409))=FALSE,LEFT($I2409,6)&lt;&gt;"VACUUM"),"CDU",IF($H2409="FLUID CAT CRACKING","FCC",IF(OR($H2409="HYDROCRACKING",$H2409="RESID_HYDROCRACKING"),"Hydrocracker",IF($H2409="REFORMING","Reformer",""))))</f>
        <v/>
      </c>
      <c r="H2409" s="6" t="s">
        <v>43</v>
      </c>
      <c r="I2409" s="6" t="s">
        <v>1011</v>
      </c>
      <c r="J2409" s="6" t="s">
        <v>349</v>
      </c>
      <c r="K2409" s="10">
        <v>7.8</v>
      </c>
      <c r="L2409" s="10">
        <v>26</v>
      </c>
      <c r="M2409" s="6" t="s">
        <v>413</v>
      </c>
    </row>
    <row r="2410" spans="1:13">
      <c r="A2410" s="6">
        <v>2023</v>
      </c>
      <c r="B2410" s="6">
        <v>11</v>
      </c>
      <c r="C2410" s="6" t="s">
        <v>69</v>
      </c>
      <c r="D2410" s="6" t="s">
        <v>415</v>
      </c>
      <c r="E2410" s="6" t="s">
        <v>416</v>
      </c>
      <c r="F2410" s="6" t="str">
        <f>IF($M2410="PADD I","PADD 1",IF($M2410="PADD II","PADD 2",IF($M2410="PADD III","PADD 3",IF($M2410="PADD IV","PADD 4",IF($M2410="PADD V","PADD 5","")))))</f>
        <v>PADD 3</v>
      </c>
      <c r="G2410" s="6" t="str">
        <f>IF(AND($H2410="ATMOS DISTILLATION",ISNUMBER(SEARCH("VPS",$I2410))=FALSE,LEFT($I2410,6)&lt;&gt;"VACUUM"),"CDU",IF($H2410="FLUID CAT CRACKING","FCC",IF(OR($H2410="HYDROCRACKING",$H2410="RESID_HYDROCRACKING"),"Hydrocracker",IF($H2410="REFORMING","Reformer",""))))</f>
        <v>CDU</v>
      </c>
      <c r="H2410" s="6" t="s">
        <v>38</v>
      </c>
      <c r="I2410" s="6" t="s">
        <v>133</v>
      </c>
      <c r="J2410" s="6" t="s">
        <v>345</v>
      </c>
      <c r="K2410" s="10">
        <v>7.56</v>
      </c>
      <c r="L2410" s="10">
        <v>108</v>
      </c>
      <c r="M2410" s="6" t="s">
        <v>371</v>
      </c>
    </row>
    <row r="2411" spans="1:13">
      <c r="A2411" s="6">
        <v>2023</v>
      </c>
      <c r="B2411" s="6">
        <v>11</v>
      </c>
      <c r="C2411" s="6" t="s">
        <v>69</v>
      </c>
      <c r="D2411" s="6" t="s">
        <v>547</v>
      </c>
      <c r="E2411" s="6" t="s">
        <v>391</v>
      </c>
      <c r="F2411" s="6" t="str">
        <f>IF($M2411="PADD I","PADD 1",IF($M2411="PADD II","PADD 2",IF($M2411="PADD III","PADD 3",IF($M2411="PADD IV","PADD 4",IF($M2411="PADD V","PADD 5","")))))</f>
        <v>PADD 5</v>
      </c>
      <c r="G2411" s="6" t="str">
        <f>IF(AND($H2411="ATMOS DISTILLATION",ISNUMBER(SEARCH("VPS",$I2411))=FALSE,LEFT($I2411,6)&lt;&gt;"VACUUM"),"CDU",IF($H2411="FLUID CAT CRACKING","FCC",IF(OR($H2411="HYDROCRACKING",$H2411="RESID_HYDROCRACKING"),"Hydrocracker",IF($H2411="REFORMING","Reformer",""))))</f>
        <v>Hydrocracker</v>
      </c>
      <c r="H2411" s="6" t="s">
        <v>444</v>
      </c>
      <c r="I2411" s="6" t="s">
        <v>734</v>
      </c>
      <c r="J2411" s="6" t="s">
        <v>345</v>
      </c>
      <c r="K2411" s="10">
        <v>7.48</v>
      </c>
      <c r="L2411" s="10">
        <v>44</v>
      </c>
      <c r="M2411" s="6" t="s">
        <v>386</v>
      </c>
    </row>
    <row r="2412" spans="1:13">
      <c r="A2412" s="6">
        <v>2023</v>
      </c>
      <c r="B2412" s="6">
        <v>11</v>
      </c>
      <c r="C2412" s="6" t="s">
        <v>69</v>
      </c>
      <c r="D2412" s="6" t="s">
        <v>730</v>
      </c>
      <c r="E2412" s="6" t="s">
        <v>731</v>
      </c>
      <c r="F2412" s="6" t="str">
        <f>IF($M2412="PADD I","PADD 1",IF($M2412="PADD II","PADD 2",IF($M2412="PADD III","PADD 3",IF($M2412="PADD IV","PADD 4",IF($M2412="PADD V","PADD 5","")))))</f>
        <v>PADD 3</v>
      </c>
      <c r="G2412" s="6">
        <f>IF(AND($H2412="ATMOS DISTILLATION",ISNUMBER(SEARCH("VPS",$I2412))=FALSE,LEFT($I2412,6)&lt;&gt;"VACUUM"),"CDU",IF($H2412="FLUID CAT CRACKING","FCC",IF(OR($H2412="HYDROCRACKING",$H2412="RESID_HYDROCRACKING"),"Hydrocracker",IF($H2412="REFORMING","Reformer",""))))</f>
        <v/>
      </c>
      <c r="H2412" s="6" t="s">
        <v>43</v>
      </c>
      <c r="I2412" s="6" t="s">
        <v>458</v>
      </c>
      <c r="J2412" s="6" t="s">
        <v>349</v>
      </c>
      <c r="K2412" s="10">
        <v>7.4</v>
      </c>
      <c r="L2412" s="10">
        <v>20</v>
      </c>
      <c r="M2412" s="6" t="s">
        <v>371</v>
      </c>
    </row>
    <row r="2413" spans="1:13">
      <c r="A2413" s="6">
        <v>2023</v>
      </c>
      <c r="B2413" s="6">
        <v>11</v>
      </c>
      <c r="C2413" s="6" t="s">
        <v>69</v>
      </c>
      <c r="D2413" s="6" t="s">
        <v>40</v>
      </c>
      <c r="E2413" s="6" t="s">
        <v>736</v>
      </c>
      <c r="F2413" s="6" t="str">
        <f>IF($M2413="PADD I","PADD 1",IF($M2413="PADD II","PADD 2",IF($M2413="PADD III","PADD 3",IF($M2413="PADD IV","PADD 4",IF($M2413="PADD V","PADD 5","")))))</f>
        <v>PADD 1</v>
      </c>
      <c r="G2413" s="6">
        <f>IF(AND($H2413="ATMOS DISTILLATION",ISNUMBER(SEARCH("VPS",$I2413))=FALSE,LEFT($I2413,6)&lt;&gt;"VACUUM"),"CDU",IF($H2413="FLUID CAT CRACKING","FCC",IF(OR($H2413="HYDROCRACKING",$H2413="RESID_HYDROCRACKING"),"Hydrocracker",IF($H2413="REFORMING","Reformer",""))))</f>
        <v/>
      </c>
      <c r="H2413" s="6" t="s">
        <v>378</v>
      </c>
      <c r="I2413" s="6" t="s">
        <v>963</v>
      </c>
      <c r="J2413" s="6" t="s">
        <v>349</v>
      </c>
      <c r="K2413" s="10">
        <v>7.299</v>
      </c>
      <c r="L2413" s="10">
        <v>24.33</v>
      </c>
      <c r="M2413" s="6" t="s">
        <v>413</v>
      </c>
    </row>
    <row r="2414" spans="1:13">
      <c r="A2414" s="6">
        <v>2023</v>
      </c>
      <c r="B2414" s="6">
        <v>11</v>
      </c>
      <c r="C2414" s="6" t="s">
        <v>69</v>
      </c>
      <c r="D2414" s="6" t="s">
        <v>40</v>
      </c>
      <c r="E2414" s="6" t="s">
        <v>736</v>
      </c>
      <c r="F2414" s="6" t="str">
        <f>IF($M2414="PADD I","PADD 1",IF($M2414="PADD II","PADD 2",IF($M2414="PADD III","PADD 3",IF($M2414="PADD IV","PADD 4",IF($M2414="PADD V","PADD 5","")))))</f>
        <v>PADD 1</v>
      </c>
      <c r="G2414" s="6">
        <f>IF(AND($H2414="ATMOS DISTILLATION",ISNUMBER(SEARCH("VPS",$I2414))=FALSE,LEFT($I2414,6)&lt;&gt;"VACUUM"),"CDU",IF($H2414="FLUID CAT CRACKING","FCC",IF(OR($H2414="HYDROCRACKING",$H2414="RESID_HYDROCRACKING"),"Hydrocracker",IF($H2414="REFORMING","Reformer",""))))</f>
        <v/>
      </c>
      <c r="H2414" s="6" t="s">
        <v>378</v>
      </c>
      <c r="I2414" s="6" t="s">
        <v>1010</v>
      </c>
      <c r="J2414" s="6" t="s">
        <v>349</v>
      </c>
      <c r="K2414" s="10">
        <v>7.299</v>
      </c>
      <c r="L2414" s="10">
        <v>24.33</v>
      </c>
      <c r="M2414" s="6" t="s">
        <v>413</v>
      </c>
    </row>
    <row r="2415" spans="1:13">
      <c r="A2415" s="6">
        <v>2023</v>
      </c>
      <c r="B2415" s="6">
        <v>11</v>
      </c>
      <c r="C2415" s="6" t="s">
        <v>69</v>
      </c>
      <c r="D2415" s="6" t="s">
        <v>40</v>
      </c>
      <c r="E2415" s="6" t="s">
        <v>736</v>
      </c>
      <c r="F2415" s="6" t="str">
        <f>IF($M2415="PADD I","PADD 1",IF($M2415="PADD II","PADD 2",IF($M2415="PADD III","PADD 3",IF($M2415="PADD IV","PADD 4",IF($M2415="PADD V","PADD 5","")))))</f>
        <v>PADD 1</v>
      </c>
      <c r="G2415" s="6">
        <f>IF(AND($H2415="ATMOS DISTILLATION",ISNUMBER(SEARCH("VPS",$I2415))=FALSE,LEFT($I2415,6)&lt;&gt;"VACUUM"),"CDU",IF($H2415="FLUID CAT CRACKING","FCC",IF(OR($H2415="HYDROCRACKING",$H2415="RESID_HYDROCRACKING"),"Hydrocracker",IF($H2415="REFORMING","Reformer",""))))</f>
        <v/>
      </c>
      <c r="H2415" s="6" t="s">
        <v>378</v>
      </c>
      <c r="I2415" s="6" t="s">
        <v>1009</v>
      </c>
      <c r="J2415" s="6" t="s">
        <v>349</v>
      </c>
      <c r="K2415" s="10">
        <v>7.299</v>
      </c>
      <c r="L2415" s="10">
        <v>24.33</v>
      </c>
      <c r="M2415" s="6" t="s">
        <v>413</v>
      </c>
    </row>
    <row r="2416" spans="1:13">
      <c r="A2416" s="6">
        <v>2023</v>
      </c>
      <c r="B2416" s="6">
        <v>11</v>
      </c>
      <c r="C2416" s="6" t="s">
        <v>69</v>
      </c>
      <c r="D2416" s="6" t="s">
        <v>468</v>
      </c>
      <c r="E2416" s="6" t="s">
        <v>369</v>
      </c>
      <c r="F2416" s="6" t="str">
        <f>IF($M2416="PADD I","PADD 1",IF($M2416="PADD II","PADD 2",IF($M2416="PADD III","PADD 3",IF($M2416="PADD IV","PADD 4",IF($M2416="PADD V","PADD 5","")))))</f>
        <v>PADD 3</v>
      </c>
      <c r="G2416" s="6" t="str">
        <f>IF(AND($H2416="ATMOS DISTILLATION",ISNUMBER(SEARCH("VPS",$I2416))=FALSE,LEFT($I2416,6)&lt;&gt;"VACUUM"),"CDU",IF($H2416="FLUID CAT CRACKING","FCC",IF(OR($H2416="HYDROCRACKING",$H2416="RESID_HYDROCRACKING"),"Hydrocracker",IF($H2416="REFORMING","Reformer",""))))</f>
        <v>Reformer</v>
      </c>
      <c r="H2416" s="6" t="s">
        <v>421</v>
      </c>
      <c r="I2416" s="6" t="s">
        <v>635</v>
      </c>
      <c r="J2416" s="6" t="s">
        <v>349</v>
      </c>
      <c r="K2416" s="10">
        <v>7</v>
      </c>
      <c r="L2416" s="10">
        <v>7</v>
      </c>
      <c r="M2416" s="6" t="s">
        <v>371</v>
      </c>
    </row>
    <row r="2417" spans="1:13">
      <c r="A2417" s="6">
        <v>2023</v>
      </c>
      <c r="B2417" s="6">
        <v>11</v>
      </c>
      <c r="C2417" s="6" t="s">
        <v>69</v>
      </c>
      <c r="D2417" s="6" t="s">
        <v>468</v>
      </c>
      <c r="E2417" s="6" t="s">
        <v>369</v>
      </c>
      <c r="F2417" s="6" t="str">
        <f>IF($M2417="PADD I","PADD 1",IF($M2417="PADD II","PADD 2",IF($M2417="PADD III","PADD 3",IF($M2417="PADD IV","PADD 4",IF($M2417="PADD V","PADD 5","")))))</f>
        <v>PADD 3</v>
      </c>
      <c r="G2417" s="6" t="str">
        <f>IF(AND($H2417="ATMOS DISTILLATION",ISNUMBER(SEARCH("VPS",$I2417))=FALSE,LEFT($I2417,6)&lt;&gt;"VACUUM"),"CDU",IF($H2417="FLUID CAT CRACKING","FCC",IF(OR($H2417="HYDROCRACKING",$H2417="RESID_HYDROCRACKING"),"Hydrocracker",IF($H2417="REFORMING","Reformer",""))))</f>
        <v>Reformer</v>
      </c>
      <c r="H2417" s="6" t="s">
        <v>421</v>
      </c>
      <c r="I2417" s="6" t="s">
        <v>635</v>
      </c>
      <c r="J2417" s="6" t="s">
        <v>345</v>
      </c>
      <c r="K2417" s="10">
        <v>7</v>
      </c>
      <c r="L2417" s="10">
        <v>7</v>
      </c>
      <c r="M2417" s="6" t="s">
        <v>371</v>
      </c>
    </row>
    <row r="2418" spans="1:13">
      <c r="A2418" s="6">
        <v>2023</v>
      </c>
      <c r="B2418" s="6">
        <v>11</v>
      </c>
      <c r="C2418" s="6" t="s">
        <v>69</v>
      </c>
      <c r="D2418" s="6" t="s">
        <v>40</v>
      </c>
      <c r="E2418" s="6" t="s">
        <v>736</v>
      </c>
      <c r="F2418" s="6" t="str">
        <f>IF($M2418="PADD I","PADD 1",IF($M2418="PADD II","PADD 2",IF($M2418="PADD III","PADD 3",IF($M2418="PADD IV","PADD 4",IF($M2418="PADD V","PADD 5","")))))</f>
        <v>PADD 1</v>
      </c>
      <c r="G2418" s="6" t="str">
        <f>IF(AND($H2418="ATMOS DISTILLATION",ISNUMBER(SEARCH("VPS",$I2418))=FALSE,LEFT($I2418,6)&lt;&gt;"VACUUM"),"CDU",IF($H2418="FLUID CAT CRACKING","FCC",IF(OR($H2418="HYDROCRACKING",$H2418="RESID_HYDROCRACKING"),"Hydrocracker",IF($H2418="REFORMING","Reformer",""))))</f>
        <v>Hydrocracker</v>
      </c>
      <c r="H2418" s="6" t="s">
        <v>444</v>
      </c>
      <c r="I2418" s="6" t="s">
        <v>445</v>
      </c>
      <c r="J2418" s="6" t="s">
        <v>345</v>
      </c>
      <c r="K2418" s="10">
        <v>6.9</v>
      </c>
      <c r="L2418" s="10">
        <v>23</v>
      </c>
      <c r="M2418" s="6" t="s">
        <v>413</v>
      </c>
    </row>
    <row r="2419" spans="1:13">
      <c r="A2419" s="6">
        <v>2023</v>
      </c>
      <c r="B2419" s="6">
        <v>11</v>
      </c>
      <c r="C2419" s="6" t="s">
        <v>69</v>
      </c>
      <c r="D2419" s="6" t="s">
        <v>51</v>
      </c>
      <c r="E2419" s="6" t="s">
        <v>391</v>
      </c>
      <c r="F2419" s="6" t="str">
        <f>IF($M2419="PADD I","PADD 1",IF($M2419="PADD II","PADD 2",IF($M2419="PADD III","PADD 3",IF($M2419="PADD IV","PADD 4",IF($M2419="PADD V","PADD 5","")))))</f>
        <v>PADD 5</v>
      </c>
      <c r="G2419" s="6">
        <f>IF(AND($H2419="ATMOS DISTILLATION",ISNUMBER(SEARCH("VPS",$I2419))=FALSE,LEFT($I2419,6)&lt;&gt;"VACUUM"),"CDU",IF($H2419="FLUID CAT CRACKING","FCC",IF(OR($H2419="HYDROCRACKING",$H2419="RESID_HYDROCRACKING"),"Hydrocracker",IF($H2419="REFORMING","Reformer",""))))</f>
        <v/>
      </c>
      <c r="H2419" s="6" t="s">
        <v>435</v>
      </c>
      <c r="I2419" s="6" t="s">
        <v>441</v>
      </c>
      <c r="J2419" s="6" t="s">
        <v>349</v>
      </c>
      <c r="K2419" s="10">
        <v>6.8</v>
      </c>
      <c r="L2419" s="10">
        <v>68</v>
      </c>
      <c r="M2419" s="6" t="s">
        <v>386</v>
      </c>
    </row>
    <row r="2420" spans="1:13">
      <c r="A2420" s="6">
        <v>2023</v>
      </c>
      <c r="B2420" s="6">
        <v>11</v>
      </c>
      <c r="C2420" s="6" t="s">
        <v>69</v>
      </c>
      <c r="D2420" s="6" t="s">
        <v>1038</v>
      </c>
      <c r="E2420" s="6" t="s">
        <v>1039</v>
      </c>
      <c r="F2420" s="6" t="str">
        <f>IF($M2420="PADD I","PADD 1",IF($M2420="PADD II","PADD 2",IF($M2420="PADD III","PADD 3",IF($M2420="PADD IV","PADD 4",IF($M2420="PADD V","PADD 5","")))))</f>
        <v>PADD 2</v>
      </c>
      <c r="G2420" s="6" t="str">
        <f>IF(AND($H2420="ATMOS DISTILLATION",ISNUMBER(SEARCH("VPS",$I2420))=FALSE,LEFT($I2420,6)&lt;&gt;"VACUUM"),"CDU",IF($H2420="FLUID CAT CRACKING","FCC",IF(OR($H2420="HYDROCRACKING",$H2420="RESID_HYDROCRACKING"),"Hydrocracker",IF($H2420="REFORMING","Reformer",""))))</f>
        <v>Reformer</v>
      </c>
      <c r="H2420" s="6" t="s">
        <v>421</v>
      </c>
      <c r="I2420" s="6" t="s">
        <v>1046</v>
      </c>
      <c r="J2420" s="6" t="s">
        <v>349</v>
      </c>
      <c r="K2420" s="10">
        <v>6.6</v>
      </c>
      <c r="L2420" s="10">
        <v>20</v>
      </c>
      <c r="M2420" s="6" t="s">
        <v>375</v>
      </c>
    </row>
    <row r="2421" spans="1:13">
      <c r="A2421" s="6">
        <v>2023</v>
      </c>
      <c r="B2421" s="6">
        <v>11</v>
      </c>
      <c r="C2421" s="6" t="s">
        <v>69</v>
      </c>
      <c r="D2421" s="6" t="s">
        <v>547</v>
      </c>
      <c r="E2421" s="6" t="s">
        <v>391</v>
      </c>
      <c r="F2421" s="6" t="str">
        <f>IF($M2421="PADD I","PADD 1",IF($M2421="PADD II","PADD 2",IF($M2421="PADD III","PADD 3",IF($M2421="PADD IV","PADD 4",IF($M2421="PADD V","PADD 5","")))))</f>
        <v>PADD 5</v>
      </c>
      <c r="G2421" s="6">
        <f>IF(AND($H2421="ATMOS DISTILLATION",ISNUMBER(SEARCH("VPS",$I2421))=FALSE,LEFT($I2421,6)&lt;&gt;"VACUUM"),"CDU",IF($H2421="FLUID CAT CRACKING","FCC",IF(OR($H2421="HYDROCRACKING",$H2421="RESID_HYDROCRACKING"),"Hydrocracker",IF($H2421="REFORMING","Reformer",""))))</f>
        <v/>
      </c>
      <c r="H2421" s="6" t="s">
        <v>43</v>
      </c>
      <c r="I2421" s="6" t="s">
        <v>929</v>
      </c>
      <c r="J2421" s="6" t="s">
        <v>345</v>
      </c>
      <c r="K2421" s="10">
        <v>6.48</v>
      </c>
      <c r="L2421" s="10">
        <v>64.8</v>
      </c>
      <c r="M2421" s="6" t="s">
        <v>386</v>
      </c>
    </row>
    <row r="2422" spans="1:13">
      <c r="A2422" s="6">
        <v>2023</v>
      </c>
      <c r="B2422" s="6">
        <v>11</v>
      </c>
      <c r="C2422" s="6" t="s">
        <v>69</v>
      </c>
      <c r="D2422" s="6" t="s">
        <v>887</v>
      </c>
      <c r="E2422" s="6" t="s">
        <v>405</v>
      </c>
      <c r="F2422" s="6" t="str">
        <f>IF($M2422="PADD I","PADD 1",IF($M2422="PADD II","PADD 2",IF($M2422="PADD III","PADD 3",IF($M2422="PADD IV","PADD 4",IF($M2422="PADD V","PADD 5","")))))</f>
        <v>PADD 3</v>
      </c>
      <c r="G2422" s="6" t="str">
        <f>IF(AND($H2422="ATMOS DISTILLATION",ISNUMBER(SEARCH("VPS",$I2422))=FALSE,LEFT($I2422,6)&lt;&gt;"VACUUM"),"CDU",IF($H2422="FLUID CAT CRACKING","FCC",IF(OR($H2422="HYDROCRACKING",$H2422="RESID_HYDROCRACKING"),"Hydrocracker",IF($H2422="REFORMING","Reformer",""))))</f>
        <v>Reformer</v>
      </c>
      <c r="H2422" s="6" t="s">
        <v>421</v>
      </c>
      <c r="I2422" s="6" t="s">
        <v>539</v>
      </c>
      <c r="J2422" s="6" t="s">
        <v>345</v>
      </c>
      <c r="K2422" s="10">
        <v>6.21</v>
      </c>
      <c r="L2422" s="10">
        <v>23</v>
      </c>
      <c r="M2422" s="6" t="s">
        <v>371</v>
      </c>
    </row>
    <row r="2423" spans="1:13">
      <c r="A2423" s="6">
        <v>2023</v>
      </c>
      <c r="B2423" s="6">
        <v>11</v>
      </c>
      <c r="C2423" s="6" t="s">
        <v>69</v>
      </c>
      <c r="D2423" s="6" t="s">
        <v>960</v>
      </c>
      <c r="E2423" s="6" t="s">
        <v>881</v>
      </c>
      <c r="F2423" s="6" t="str">
        <f>IF($M2423="PADD I","PADD 1",IF($M2423="PADD II","PADD 2",IF($M2423="PADD III","PADD 3",IF($M2423="PADD IV","PADD 4",IF($M2423="PADD V","PADD 5","")))))</f>
        <v>PADD 3</v>
      </c>
      <c r="G2423" s="6">
        <f>IF(AND($H2423="ATMOS DISTILLATION",ISNUMBER(SEARCH("VPS",$I2423))=FALSE,LEFT($I2423,6)&lt;&gt;"VACUUM"),"CDU",IF($H2423="FLUID CAT CRACKING","FCC",IF(OR($H2423="HYDROCRACKING",$H2423="RESID_HYDROCRACKING"),"Hydrocracker",IF($H2423="REFORMING","Reformer",""))))</f>
        <v/>
      </c>
      <c r="H2423" s="6" t="s">
        <v>43</v>
      </c>
      <c r="I2423" s="6" t="s">
        <v>961</v>
      </c>
      <c r="J2423" s="6" t="s">
        <v>349</v>
      </c>
      <c r="K2423" s="10">
        <v>6.16</v>
      </c>
      <c r="L2423" s="10">
        <v>8</v>
      </c>
      <c r="M2423" s="6" t="s">
        <v>371</v>
      </c>
    </row>
    <row r="2424" spans="1:13">
      <c r="A2424" s="6">
        <v>2023</v>
      </c>
      <c r="B2424" s="6">
        <v>11</v>
      </c>
      <c r="C2424" s="6" t="s">
        <v>69</v>
      </c>
      <c r="D2424" s="6" t="s">
        <v>434</v>
      </c>
      <c r="E2424" s="6" t="s">
        <v>388</v>
      </c>
      <c r="F2424" s="6" t="str">
        <f>IF($M2424="PADD I","PADD 1",IF($M2424="PADD II","PADD 2",IF($M2424="PADD III","PADD 3",IF($M2424="PADD IV","PADD 4",IF($M2424="PADD V","PADD 5","")))))</f>
        <v>PADD 5</v>
      </c>
      <c r="G2424" s="6" t="str">
        <f>IF(AND($H2424="ATMOS DISTILLATION",ISNUMBER(SEARCH("VPS",$I2424))=FALSE,LEFT($I2424,6)&lt;&gt;"VACUUM"),"CDU",IF($H2424="FLUID CAT CRACKING","FCC",IF(OR($H2424="HYDROCRACKING",$H2424="RESID_HYDROCRACKING"),"Hydrocracker",IF($H2424="REFORMING","Reformer",""))))</f>
        <v>Reformer</v>
      </c>
      <c r="H2424" s="6" t="s">
        <v>421</v>
      </c>
      <c r="I2424" s="6" t="s">
        <v>671</v>
      </c>
      <c r="J2424" s="6" t="s">
        <v>345</v>
      </c>
      <c r="K2424" s="10">
        <v>6.11</v>
      </c>
      <c r="L2424" s="10">
        <v>13</v>
      </c>
      <c r="M2424" s="6" t="s">
        <v>386</v>
      </c>
    </row>
    <row r="2425" spans="1:13">
      <c r="A2425" s="6">
        <v>2023</v>
      </c>
      <c r="B2425" s="6">
        <v>11</v>
      </c>
      <c r="C2425" s="6" t="s">
        <v>69</v>
      </c>
      <c r="D2425" s="6" t="s">
        <v>496</v>
      </c>
      <c r="E2425" s="6" t="s">
        <v>388</v>
      </c>
      <c r="F2425" s="6" t="str">
        <f>IF($M2425="PADD I","PADD 1",IF($M2425="PADD II","PADD 2",IF($M2425="PADD III","PADD 3",IF($M2425="PADD IV","PADD 4",IF($M2425="PADD V","PADD 5","")))))</f>
        <v>PADD 2</v>
      </c>
      <c r="G2425" s="6">
        <f>IF(AND($H2425="ATMOS DISTILLATION",ISNUMBER(SEARCH("VPS",$I2425))=FALSE,LEFT($I2425,6)&lt;&gt;"VACUUM"),"CDU",IF($H2425="FLUID CAT CRACKING","FCC",IF(OR($H2425="HYDROCRACKING",$H2425="RESID_HYDROCRACKING"),"Hydrocracker",IF($H2425="REFORMING","Reformer",""))))</f>
        <v/>
      </c>
      <c r="H2425" s="6" t="s">
        <v>43</v>
      </c>
      <c r="I2425" s="6" t="s">
        <v>955</v>
      </c>
      <c r="J2425" s="6" t="s">
        <v>349</v>
      </c>
      <c r="K2425" s="10">
        <v>6</v>
      </c>
      <c r="L2425" s="10">
        <v>6</v>
      </c>
      <c r="M2425" s="6" t="s">
        <v>375</v>
      </c>
    </row>
    <row r="2426" spans="1:13">
      <c r="A2426" s="6">
        <v>2023</v>
      </c>
      <c r="B2426" s="6">
        <v>11</v>
      </c>
      <c r="C2426" s="6" t="s">
        <v>69</v>
      </c>
      <c r="D2426" s="6" t="s">
        <v>547</v>
      </c>
      <c r="E2426" s="6" t="s">
        <v>391</v>
      </c>
      <c r="F2426" s="6" t="str">
        <f>IF($M2426="PADD I","PADD 1",IF($M2426="PADD II","PADD 2",IF($M2426="PADD III","PADD 3",IF($M2426="PADD IV","PADD 4",IF($M2426="PADD V","PADD 5","")))))</f>
        <v>PADD 5</v>
      </c>
      <c r="G2426" s="6">
        <f>IF(AND($H2426="ATMOS DISTILLATION",ISNUMBER(SEARCH("VPS",$I2426))=FALSE,LEFT($I2426,6)&lt;&gt;"VACUUM"),"CDU",IF($H2426="FLUID CAT CRACKING","FCC",IF(OR($H2426="HYDROCRACKING",$H2426="RESID_HYDROCRACKING"),"Hydrocracker",IF($H2426="REFORMING","Reformer",""))))</f>
        <v/>
      </c>
      <c r="H2426" s="6" t="s">
        <v>43</v>
      </c>
      <c r="I2426" s="6" t="s">
        <v>930</v>
      </c>
      <c r="J2426" s="6" t="s">
        <v>345</v>
      </c>
      <c r="K2426" s="10">
        <v>5.9</v>
      </c>
      <c r="L2426" s="10">
        <v>59</v>
      </c>
      <c r="M2426" s="6" t="s">
        <v>386</v>
      </c>
    </row>
    <row r="2427" spans="1:13">
      <c r="A2427" s="6">
        <v>2023</v>
      </c>
      <c r="B2427" s="6">
        <v>11</v>
      </c>
      <c r="C2427" s="6" t="s">
        <v>69</v>
      </c>
      <c r="D2427" s="6" t="s">
        <v>646</v>
      </c>
      <c r="E2427" s="6" t="s">
        <v>405</v>
      </c>
      <c r="F2427" s="6" t="str">
        <f>IF($M2427="PADD I","PADD 1",IF($M2427="PADD II","PADD 2",IF($M2427="PADD III","PADD 3",IF($M2427="PADD IV","PADD 4",IF($M2427="PADD V","PADD 5","")))))</f>
        <v>PADD 3</v>
      </c>
      <c r="G2427" s="6">
        <f>IF(AND($H2427="ATMOS DISTILLATION",ISNUMBER(SEARCH("VPS",$I2427))=FALSE,LEFT($I2427,6)&lt;&gt;"VACUUM"),"CDU",IF($H2427="FLUID CAT CRACKING","FCC",IF(OR($H2427="HYDROCRACKING",$H2427="RESID_HYDROCRACKING"),"Hydrocracker",IF($H2427="REFORMING","Reformer",""))))</f>
        <v/>
      </c>
      <c r="H2427" s="6" t="s">
        <v>43</v>
      </c>
      <c r="I2427" s="6" t="s">
        <v>647</v>
      </c>
      <c r="J2427" s="6" t="s">
        <v>345</v>
      </c>
      <c r="K2427" s="10">
        <v>5.85</v>
      </c>
      <c r="L2427" s="10">
        <v>45</v>
      </c>
      <c r="M2427" s="6" t="s">
        <v>371</v>
      </c>
    </row>
    <row r="2428" spans="1:13">
      <c r="A2428" s="6">
        <v>2023</v>
      </c>
      <c r="B2428" s="6">
        <v>11</v>
      </c>
      <c r="C2428" s="6" t="s">
        <v>69</v>
      </c>
      <c r="D2428" s="6" t="s">
        <v>547</v>
      </c>
      <c r="E2428" s="6" t="s">
        <v>391</v>
      </c>
      <c r="F2428" s="6" t="str">
        <f>IF($M2428="PADD I","PADD 1",IF($M2428="PADD II","PADD 2",IF($M2428="PADD III","PADD 3",IF($M2428="PADD IV","PADD 4",IF($M2428="PADD V","PADD 5","")))))</f>
        <v>PADD 5</v>
      </c>
      <c r="G2428" s="6">
        <f>IF(AND($H2428="ATMOS DISTILLATION",ISNUMBER(SEARCH("VPS",$I2428))=FALSE,LEFT($I2428,6)&lt;&gt;"VACUUM"),"CDU",IF($H2428="FLUID CAT CRACKING","FCC",IF(OR($H2428="HYDROCRACKING",$H2428="RESID_HYDROCRACKING"),"Hydrocracker",IF($H2428="REFORMING","Reformer",""))))</f>
        <v/>
      </c>
      <c r="H2428" s="6" t="s">
        <v>43</v>
      </c>
      <c r="I2428" s="6" t="s">
        <v>931</v>
      </c>
      <c r="J2428" s="6" t="s">
        <v>345</v>
      </c>
      <c r="K2428" s="10">
        <v>5.76</v>
      </c>
      <c r="L2428" s="10">
        <v>57.6</v>
      </c>
      <c r="M2428" s="6" t="s">
        <v>386</v>
      </c>
    </row>
    <row r="2429" spans="1:13">
      <c r="A2429" s="6">
        <v>2023</v>
      </c>
      <c r="B2429" s="6">
        <v>11</v>
      </c>
      <c r="C2429" s="6" t="s">
        <v>69</v>
      </c>
      <c r="D2429" s="6" t="s">
        <v>48</v>
      </c>
      <c r="E2429" s="6" t="s">
        <v>388</v>
      </c>
      <c r="F2429" s="6" t="str">
        <f>IF($M2429="PADD I","PADD 1",IF($M2429="PADD II","PADD 2",IF($M2429="PADD III","PADD 3",IF($M2429="PADD IV","PADD 4",IF($M2429="PADD V","PADD 5","")))))</f>
        <v>PADD 2</v>
      </c>
      <c r="G2429" s="6">
        <f>IF(AND($H2429="ATMOS DISTILLATION",ISNUMBER(SEARCH("VPS",$I2429))=FALSE,LEFT($I2429,6)&lt;&gt;"VACUUM"),"CDU",IF($H2429="FLUID CAT CRACKING","FCC",IF(OR($H2429="HYDROCRACKING",$H2429="RESID_HYDROCRACKING"),"Hydrocracker",IF($H2429="REFORMING","Reformer",""))))</f>
        <v/>
      </c>
      <c r="H2429" s="6" t="s">
        <v>378</v>
      </c>
      <c r="I2429" s="6" t="s">
        <v>431</v>
      </c>
      <c r="J2429" s="6" t="s">
        <v>345</v>
      </c>
      <c r="K2429" s="10">
        <v>5.32</v>
      </c>
      <c r="L2429" s="10">
        <v>76</v>
      </c>
      <c r="M2429" s="6" t="s">
        <v>375</v>
      </c>
    </row>
    <row r="2430" spans="1:13">
      <c r="A2430" s="6">
        <v>2023</v>
      </c>
      <c r="B2430" s="6">
        <v>11</v>
      </c>
      <c r="C2430" s="6" t="s">
        <v>69</v>
      </c>
      <c r="D2430" s="6" t="s">
        <v>333</v>
      </c>
      <c r="E2430" s="6" t="s">
        <v>381</v>
      </c>
      <c r="F2430" s="6" t="str">
        <f>IF($M2430="PADD I","PADD 1",IF($M2430="PADD II","PADD 2",IF($M2430="PADD III","PADD 3",IF($M2430="PADD IV","PADD 4",IF($M2430="PADD V","PADD 5","")))))</f>
        <v>PADD 3</v>
      </c>
      <c r="G2430" s="6" t="str">
        <f>IF(AND($H2430="ATMOS DISTILLATION",ISNUMBER(SEARCH("VPS",$I2430))=FALSE,LEFT($I2430,6)&lt;&gt;"VACUUM"),"CDU",IF($H2430="FLUID CAT CRACKING","FCC",IF(OR($H2430="HYDROCRACKING",$H2430="RESID_HYDROCRACKING"),"Hydrocracker",IF($H2430="REFORMING","Reformer",""))))</f>
        <v>Reformer</v>
      </c>
      <c r="H2430" s="6" t="s">
        <v>421</v>
      </c>
      <c r="I2430" s="6" t="s">
        <v>1042</v>
      </c>
      <c r="J2430" s="6" t="s">
        <v>349</v>
      </c>
      <c r="K2430" s="10">
        <v>5.25</v>
      </c>
      <c r="L2430" s="10">
        <v>75</v>
      </c>
      <c r="M2430" s="6" t="s">
        <v>371</v>
      </c>
    </row>
    <row r="2431" spans="1:13">
      <c r="A2431" s="6">
        <v>2023</v>
      </c>
      <c r="B2431" s="6">
        <v>11</v>
      </c>
      <c r="C2431" s="6" t="s">
        <v>69</v>
      </c>
      <c r="D2431" s="6" t="s">
        <v>440</v>
      </c>
      <c r="E2431" s="6" t="s">
        <v>369</v>
      </c>
      <c r="F2431" s="6" t="str">
        <f>IF($M2431="PADD I","PADD 1",IF($M2431="PADD II","PADD 2",IF($M2431="PADD III","PADD 3",IF($M2431="PADD IV","PADD 4",IF($M2431="PADD V","PADD 5","")))))</f>
        <v>PADD 5</v>
      </c>
      <c r="G2431" s="6">
        <f>IF(AND($H2431="ATMOS DISTILLATION",ISNUMBER(SEARCH("VPS",$I2431))=FALSE,LEFT($I2431,6)&lt;&gt;"VACUUM"),"CDU",IF($H2431="FLUID CAT CRACKING","FCC",IF(OR($H2431="HYDROCRACKING",$H2431="RESID_HYDROCRACKING"),"Hydrocracker",IF($H2431="REFORMING","Reformer",""))))</f>
        <v/>
      </c>
      <c r="H2431" s="6" t="s">
        <v>43</v>
      </c>
      <c r="I2431" s="6" t="s">
        <v>667</v>
      </c>
      <c r="J2431" s="6" t="s">
        <v>345</v>
      </c>
      <c r="K2431" s="10">
        <v>5.2</v>
      </c>
      <c r="L2431" s="10">
        <v>40</v>
      </c>
      <c r="M2431" s="6" t="s">
        <v>386</v>
      </c>
    </row>
    <row r="2432" spans="1:13">
      <c r="A2432" s="6">
        <v>2023</v>
      </c>
      <c r="B2432" s="6">
        <v>11</v>
      </c>
      <c r="C2432" s="6" t="s">
        <v>69</v>
      </c>
      <c r="D2432" s="6" t="s">
        <v>446</v>
      </c>
      <c r="E2432" s="6" t="s">
        <v>391</v>
      </c>
      <c r="F2432" s="6" t="str">
        <f>IF($M2432="PADD I","PADD 1",IF($M2432="PADD II","PADD 2",IF($M2432="PADD III","PADD 3",IF($M2432="PADD IV","PADD 4",IF($M2432="PADD V","PADD 5","")))))</f>
        <v>PADD 3</v>
      </c>
      <c r="G2432" s="6">
        <f>IF(AND($H2432="ATMOS DISTILLATION",ISNUMBER(SEARCH("VPS",$I2432))=FALSE,LEFT($I2432,6)&lt;&gt;"VACUUM"),"CDU",IF($H2432="FLUID CAT CRACKING","FCC",IF(OR($H2432="HYDROCRACKING",$H2432="RESID_HYDROCRACKING"),"Hydrocracker",IF($H2432="REFORMING","Reformer",""))))</f>
        <v/>
      </c>
      <c r="H2432" s="6" t="s">
        <v>460</v>
      </c>
      <c r="I2432" s="6" t="s">
        <v>580</v>
      </c>
      <c r="J2432" s="6" t="s">
        <v>345</v>
      </c>
      <c r="K2432" s="10">
        <v>5.04</v>
      </c>
      <c r="L2432" s="10">
        <v>7.2</v>
      </c>
      <c r="M2432" s="6" t="s">
        <v>371</v>
      </c>
    </row>
    <row r="2433" spans="1:13">
      <c r="A2433" s="6">
        <v>2023</v>
      </c>
      <c r="B2433" s="6">
        <v>11</v>
      </c>
      <c r="C2433" s="6" t="s">
        <v>69</v>
      </c>
      <c r="D2433" s="6" t="s">
        <v>799</v>
      </c>
      <c r="E2433" s="6" t="s">
        <v>391</v>
      </c>
      <c r="F2433" s="6" t="str">
        <f>IF($M2433="PADD I","PADD 1",IF($M2433="PADD II","PADD 2",IF($M2433="PADD III","PADD 3",IF($M2433="PADD IV","PADD 4",IF($M2433="PADD V","PADD 5","")))))</f>
        <v>PADD 4</v>
      </c>
      <c r="G2433" s="6">
        <f>IF(AND($H2433="ATMOS DISTILLATION",ISNUMBER(SEARCH("VPS",$I2433))=FALSE,LEFT($I2433,6)&lt;&gt;"VACUUM"),"CDU",IF($H2433="FLUID CAT CRACKING","FCC",IF(OR($H2433="HYDROCRACKING",$H2433="RESID_HYDROCRACKING"),"Hydrocracker",IF($H2433="REFORMING","Reformer",""))))</f>
        <v/>
      </c>
      <c r="H2433" s="6" t="s">
        <v>43</v>
      </c>
      <c r="I2433" s="6" t="s">
        <v>1064</v>
      </c>
      <c r="J2433" s="6" t="s">
        <v>345</v>
      </c>
      <c r="K2433" s="10">
        <v>4.921</v>
      </c>
      <c r="L2433" s="10">
        <v>13.3</v>
      </c>
      <c r="M2433" s="6" t="s">
        <v>430</v>
      </c>
    </row>
    <row r="2434" spans="1:13">
      <c r="A2434" s="6">
        <v>2023</v>
      </c>
      <c r="B2434" s="6">
        <v>11</v>
      </c>
      <c r="C2434" s="6" t="s">
        <v>69</v>
      </c>
      <c r="D2434" s="6" t="s">
        <v>602</v>
      </c>
      <c r="E2434" s="6" t="s">
        <v>369</v>
      </c>
      <c r="F2434" s="6" t="str">
        <f>IF($M2434="PADD I","PADD 1",IF($M2434="PADD II","PADD 2",IF($M2434="PADD III","PADD 3",IF($M2434="PADD IV","PADD 4",IF($M2434="PADD V","PADD 5","")))))</f>
        <v>PADD 2</v>
      </c>
      <c r="G2434" s="6">
        <f>IF(AND($H2434="ATMOS DISTILLATION",ISNUMBER(SEARCH("VPS",$I2434))=FALSE,LEFT($I2434,6)&lt;&gt;"VACUUM"),"CDU",IF($H2434="FLUID CAT CRACKING","FCC",IF(OR($H2434="HYDROCRACKING",$H2434="RESID_HYDROCRACKING"),"Hydrocracker",IF($H2434="REFORMING","Reformer",""))))</f>
        <v/>
      </c>
      <c r="H2434" s="6" t="s">
        <v>43</v>
      </c>
      <c r="I2434" s="6" t="s">
        <v>993</v>
      </c>
      <c r="J2434" s="6" t="s">
        <v>349</v>
      </c>
      <c r="K2434" s="10">
        <v>4.55</v>
      </c>
      <c r="L2434" s="10">
        <v>35</v>
      </c>
      <c r="M2434" s="6" t="s">
        <v>375</v>
      </c>
    </row>
    <row r="2435" spans="1:13">
      <c r="A2435" s="6">
        <v>2023</v>
      </c>
      <c r="B2435" s="6">
        <v>11</v>
      </c>
      <c r="C2435" s="6" t="s">
        <v>69</v>
      </c>
      <c r="D2435" s="6" t="s">
        <v>547</v>
      </c>
      <c r="E2435" s="6" t="s">
        <v>391</v>
      </c>
      <c r="F2435" s="6" t="str">
        <f>IF($M2435="PADD I","PADD 1",IF($M2435="PADD II","PADD 2",IF($M2435="PADD III","PADD 3",IF($M2435="PADD IV","PADD 4",IF($M2435="PADD V","PADD 5","")))))</f>
        <v>PADD 5</v>
      </c>
      <c r="G2435" s="6" t="str">
        <f>IF(AND($H2435="ATMOS DISTILLATION",ISNUMBER(SEARCH("VPS",$I2435))=FALSE,LEFT($I2435,6)&lt;&gt;"VACUUM"),"CDU",IF($H2435="FLUID CAT CRACKING","FCC",IF(OR($H2435="HYDROCRACKING",$H2435="RESID_HYDROCRACKING"),"Hydrocracker",IF($H2435="REFORMING","Reformer",""))))</f>
        <v>Hydrocracker</v>
      </c>
      <c r="H2435" s="6" t="s">
        <v>444</v>
      </c>
      <c r="I2435" s="6" t="s">
        <v>734</v>
      </c>
      <c r="J2435" s="6" t="s">
        <v>345</v>
      </c>
      <c r="K2435" s="10">
        <v>4.4</v>
      </c>
      <c r="L2435" s="10">
        <v>44</v>
      </c>
      <c r="M2435" s="6" t="s">
        <v>386</v>
      </c>
    </row>
    <row r="2436" spans="1:13">
      <c r="A2436" s="6">
        <v>2023</v>
      </c>
      <c r="B2436" s="6">
        <v>11</v>
      </c>
      <c r="C2436" s="6" t="s">
        <v>69</v>
      </c>
      <c r="D2436" s="6" t="s">
        <v>1065</v>
      </c>
      <c r="E2436" s="6" t="s">
        <v>416</v>
      </c>
      <c r="F2436" s="6" t="str">
        <f>IF($M2436="PADD I","PADD 1",IF($M2436="PADD II","PADD 2",IF($M2436="PADD III","PADD 3",IF($M2436="PADD IV","PADD 4",IF($M2436="PADD V","PADD 5","")))))</f>
        <v>PADD 2</v>
      </c>
      <c r="G2436" s="6">
        <f>IF(AND($H2436="ATMOS DISTILLATION",ISNUMBER(SEARCH("VPS",$I2436))=FALSE,LEFT($I2436,6)&lt;&gt;"VACUUM"),"CDU",IF($H2436="FLUID CAT CRACKING","FCC",IF(OR($H2436="HYDROCRACKING",$H2436="RESID_HYDROCRACKING"),"Hydrocracker",IF($H2436="REFORMING","Reformer",""))))</f>
        <v/>
      </c>
      <c r="H2436" s="6" t="s">
        <v>460</v>
      </c>
      <c r="I2436" s="6" t="s">
        <v>1066</v>
      </c>
      <c r="J2436" s="6" t="s">
        <v>345</v>
      </c>
      <c r="K2436" s="10">
        <v>4.347</v>
      </c>
      <c r="L2436" s="10">
        <v>18.9</v>
      </c>
      <c r="M2436" s="6" t="s">
        <v>375</v>
      </c>
    </row>
    <row r="2437" spans="1:13">
      <c r="A2437" s="6">
        <v>2023</v>
      </c>
      <c r="B2437" s="6">
        <v>11</v>
      </c>
      <c r="C2437" s="6" t="s">
        <v>69</v>
      </c>
      <c r="D2437" s="6" t="s">
        <v>960</v>
      </c>
      <c r="E2437" s="6" t="s">
        <v>881</v>
      </c>
      <c r="F2437" s="6" t="str">
        <f>IF($M2437="PADD I","PADD 1",IF($M2437="PADD II","PADD 2",IF($M2437="PADD III","PADD 3",IF($M2437="PADD IV","PADD 4",IF($M2437="PADD V","PADD 5","")))))</f>
        <v>PADD 3</v>
      </c>
      <c r="G2437" s="6" t="str">
        <f>IF(AND($H2437="ATMOS DISTILLATION",ISNUMBER(SEARCH("VPS",$I2437))=FALSE,LEFT($I2437,6)&lt;&gt;"VACUUM"),"CDU",IF($H2437="FLUID CAT CRACKING","FCC",IF(OR($H2437="HYDROCRACKING",$H2437="RESID_HYDROCRACKING"),"Hydrocracker",IF($H2437="REFORMING","Reformer",""))))</f>
        <v>Reformer</v>
      </c>
      <c r="H2437" s="6" t="s">
        <v>421</v>
      </c>
      <c r="I2437" s="6" t="s">
        <v>1061</v>
      </c>
      <c r="J2437" s="6" t="s">
        <v>349</v>
      </c>
      <c r="K2437" s="10">
        <v>4.235</v>
      </c>
      <c r="L2437" s="10">
        <v>5.5</v>
      </c>
      <c r="M2437" s="6" t="s">
        <v>371</v>
      </c>
    </row>
    <row r="2438" spans="1:13">
      <c r="A2438" s="6">
        <v>2023</v>
      </c>
      <c r="B2438" s="6">
        <v>11</v>
      </c>
      <c r="C2438" s="6" t="s">
        <v>69</v>
      </c>
      <c r="D2438" s="6" t="s">
        <v>960</v>
      </c>
      <c r="E2438" s="6" t="s">
        <v>881</v>
      </c>
      <c r="F2438" s="6" t="str">
        <f>IF($M2438="PADD I","PADD 1",IF($M2438="PADD II","PADD 2",IF($M2438="PADD III","PADD 3",IF($M2438="PADD IV","PADD 4",IF($M2438="PADD V","PADD 5","")))))</f>
        <v>PADD 3</v>
      </c>
      <c r="G2438" s="6" t="str">
        <f>IF(AND($H2438="ATMOS DISTILLATION",ISNUMBER(SEARCH("VPS",$I2438))=FALSE,LEFT($I2438,6)&lt;&gt;"VACUUM"),"CDU",IF($H2438="FLUID CAT CRACKING","FCC",IF(OR($H2438="HYDROCRACKING",$H2438="RESID_HYDROCRACKING"),"Hydrocracker",IF($H2438="REFORMING","Reformer",""))))</f>
        <v>Reformer</v>
      </c>
      <c r="H2438" s="6" t="s">
        <v>421</v>
      </c>
      <c r="I2438" s="6" t="s">
        <v>810</v>
      </c>
      <c r="J2438" s="6" t="s">
        <v>349</v>
      </c>
      <c r="K2438" s="10">
        <v>4.235</v>
      </c>
      <c r="L2438" s="10">
        <v>5.5</v>
      </c>
      <c r="M2438" s="6" t="s">
        <v>371</v>
      </c>
    </row>
    <row r="2439" spans="1:13">
      <c r="A2439" s="6">
        <v>2023</v>
      </c>
      <c r="B2439" s="6">
        <v>11</v>
      </c>
      <c r="C2439" s="6" t="s">
        <v>69</v>
      </c>
      <c r="D2439" s="6" t="s">
        <v>437</v>
      </c>
      <c r="E2439" s="6" t="s">
        <v>438</v>
      </c>
      <c r="F2439" s="6" t="str">
        <f>IF($M2439="PADD I","PADD 1",IF($M2439="PADD II","PADD 2",IF($M2439="PADD III","PADD 3",IF($M2439="PADD IV","PADD 4",IF($M2439="PADD V","PADD 5","")))))</f>
        <v>PADD 4</v>
      </c>
      <c r="G2439" s="6">
        <f>IF(AND($H2439="ATMOS DISTILLATION",ISNUMBER(SEARCH("VPS",$I2439))=FALSE,LEFT($I2439,6)&lt;&gt;"VACUUM"),"CDU",IF($H2439="FLUID CAT CRACKING","FCC",IF(OR($H2439="HYDROCRACKING",$H2439="RESID_HYDROCRACKING"),"Hydrocracker",IF($H2439="REFORMING","Reformer",""))))</f>
        <v/>
      </c>
      <c r="H2439" s="6" t="s">
        <v>43</v>
      </c>
      <c r="I2439" s="6" t="s">
        <v>493</v>
      </c>
      <c r="J2439" s="6" t="s">
        <v>345</v>
      </c>
      <c r="K2439" s="10">
        <v>4.2</v>
      </c>
      <c r="L2439" s="10">
        <v>21</v>
      </c>
      <c r="M2439" s="6" t="s">
        <v>430</v>
      </c>
    </row>
    <row r="2440" spans="1:13">
      <c r="A2440" s="6">
        <v>2023</v>
      </c>
      <c r="B2440" s="6">
        <v>11</v>
      </c>
      <c r="C2440" s="6" t="s">
        <v>69</v>
      </c>
      <c r="D2440" s="6" t="s">
        <v>40</v>
      </c>
      <c r="E2440" s="6" t="s">
        <v>736</v>
      </c>
      <c r="F2440" s="6" t="str">
        <f>IF($M2440="PADD I","PADD 1",IF($M2440="PADD II","PADD 2",IF($M2440="PADD III","PADD 3",IF($M2440="PADD IV","PADD 4",IF($M2440="PADD V","PADD 5","")))))</f>
        <v>PADD 1</v>
      </c>
      <c r="G2440" s="6">
        <f>IF(AND($H2440="ATMOS DISTILLATION",ISNUMBER(SEARCH("VPS",$I2440))=FALSE,LEFT($I2440,6)&lt;&gt;"VACUUM"),"CDU",IF($H2440="FLUID CAT CRACKING","FCC",IF(OR($H2440="HYDROCRACKING",$H2440="RESID_HYDROCRACKING"),"Hydrocracker",IF($H2440="REFORMING","Reformer",""))))</f>
        <v/>
      </c>
      <c r="H2440" s="6" t="s">
        <v>637</v>
      </c>
      <c r="I2440" s="6" t="s">
        <v>1019</v>
      </c>
      <c r="J2440" s="6" t="s">
        <v>349</v>
      </c>
      <c r="K2440" s="10">
        <v>4.2</v>
      </c>
      <c r="L2440" s="10">
        <v>14</v>
      </c>
      <c r="M2440" s="6" t="s">
        <v>413</v>
      </c>
    </row>
    <row r="2441" spans="1:13">
      <c r="A2441" s="6">
        <v>2023</v>
      </c>
      <c r="B2441" s="6">
        <v>11</v>
      </c>
      <c r="C2441" s="6" t="s">
        <v>69</v>
      </c>
      <c r="D2441" s="6" t="s">
        <v>462</v>
      </c>
      <c r="E2441" s="6" t="s">
        <v>438</v>
      </c>
      <c r="F2441" s="6" t="str">
        <f>IF($M2441="PADD I","PADD 1",IF($M2441="PADD II","PADD 2",IF($M2441="PADD III","PADD 3",IF($M2441="PADD IV","PADD 4",IF($M2441="PADD V","PADD 5","")))))</f>
        <v>PADD 4</v>
      </c>
      <c r="G2441" s="6" t="str">
        <f>IF(AND($H2441="ATMOS DISTILLATION",ISNUMBER(SEARCH("VPS",$I2441))=FALSE,LEFT($I2441,6)&lt;&gt;"VACUUM"),"CDU",IF($H2441="FLUID CAT CRACKING","FCC",IF(OR($H2441="HYDROCRACKING",$H2441="RESID_HYDROCRACKING"),"Hydrocracker",IF($H2441="REFORMING","Reformer",""))))</f>
        <v>FCC</v>
      </c>
      <c r="H2441" s="6" t="s">
        <v>376</v>
      </c>
      <c r="I2441" s="6" t="s">
        <v>105</v>
      </c>
      <c r="J2441" s="6" t="s">
        <v>345</v>
      </c>
      <c r="K2441" s="10">
        <v>4.14</v>
      </c>
      <c r="L2441" s="10">
        <v>20.7</v>
      </c>
      <c r="M2441" s="6" t="s">
        <v>430</v>
      </c>
    </row>
    <row r="2442" spans="1:13">
      <c r="A2442" s="6">
        <v>2023</v>
      </c>
      <c r="B2442" s="6">
        <v>11</v>
      </c>
      <c r="C2442" s="6" t="s">
        <v>69</v>
      </c>
      <c r="D2442" s="6" t="s">
        <v>730</v>
      </c>
      <c r="E2442" s="6" t="s">
        <v>731</v>
      </c>
      <c r="F2442" s="6" t="str">
        <f>IF($M2442="PADD I","PADD 1",IF($M2442="PADD II","PADD 2",IF($M2442="PADD III","PADD 3",IF($M2442="PADD IV","PADD 4",IF($M2442="PADD V","PADD 5","")))))</f>
        <v>PADD 3</v>
      </c>
      <c r="G2442" s="6" t="str">
        <f>IF(AND($H2442="ATMOS DISTILLATION",ISNUMBER(SEARCH("VPS",$I2442))=FALSE,LEFT($I2442,6)&lt;&gt;"VACUUM"),"CDU",IF($H2442="FLUID CAT CRACKING","FCC",IF(OR($H2442="HYDROCRACKING",$H2442="RESID_HYDROCRACKING"),"Hydrocracker",IF($H2442="REFORMING","Reformer",""))))</f>
        <v>Reformer</v>
      </c>
      <c r="H2442" s="6" t="s">
        <v>421</v>
      </c>
      <c r="I2442" s="6" t="s">
        <v>15</v>
      </c>
      <c r="J2442" s="6" t="s">
        <v>349</v>
      </c>
      <c r="K2442" s="10">
        <v>4.07</v>
      </c>
      <c r="L2442" s="10">
        <v>11</v>
      </c>
      <c r="M2442" s="6" t="s">
        <v>371</v>
      </c>
    </row>
    <row r="2443" spans="1:13">
      <c r="A2443" s="6">
        <v>2023</v>
      </c>
      <c r="B2443" s="6">
        <v>11</v>
      </c>
      <c r="C2443" s="6" t="s">
        <v>69</v>
      </c>
      <c r="D2443" s="6" t="s">
        <v>1063</v>
      </c>
      <c r="E2443" s="6" t="s">
        <v>388</v>
      </c>
      <c r="F2443" s="6" t="str">
        <f>IF($M2443="PADD I","PADD 1",IF($M2443="PADD II","PADD 2",IF($M2443="PADD III","PADD 3",IF($M2443="PADD IV","PADD 4",IF($M2443="PADD V","PADD 5","")))))</f>
        <v>PADD 2</v>
      </c>
      <c r="G2443" s="6" t="str">
        <f>IF(AND($H2443="ATMOS DISTILLATION",ISNUMBER(SEARCH("VPS",$I2443))=FALSE,LEFT($I2443,6)&lt;&gt;"VACUUM"),"CDU",IF($H2443="FLUID CAT CRACKING","FCC",IF(OR($H2443="HYDROCRACKING",$H2443="RESID_HYDROCRACKING"),"Hydrocracker",IF($H2443="REFORMING","Reformer",""))))</f>
        <v>CDU</v>
      </c>
      <c r="H2443" s="6" t="s">
        <v>38</v>
      </c>
      <c r="I2443" s="6" t="s">
        <v>81</v>
      </c>
      <c r="J2443" s="6" t="s">
        <v>345</v>
      </c>
      <c r="K2443" s="10">
        <v>4.05</v>
      </c>
      <c r="L2443" s="10">
        <v>135</v>
      </c>
      <c r="M2443" s="6" t="s">
        <v>375</v>
      </c>
    </row>
    <row r="2444" spans="1:13">
      <c r="A2444" s="6">
        <v>2023</v>
      </c>
      <c r="B2444" s="6">
        <v>11</v>
      </c>
      <c r="C2444" s="6" t="s">
        <v>69</v>
      </c>
      <c r="D2444" s="6" t="s">
        <v>602</v>
      </c>
      <c r="E2444" s="6" t="s">
        <v>369</v>
      </c>
      <c r="F2444" s="6" t="str">
        <f>IF($M2444="PADD I","PADD 1",IF($M2444="PADD II","PADD 2",IF($M2444="PADD III","PADD 3",IF($M2444="PADD IV","PADD 4",IF($M2444="PADD V","PADD 5","")))))</f>
        <v>PADD 2</v>
      </c>
      <c r="G2444" s="6">
        <f>IF(AND($H2444="ATMOS DISTILLATION",ISNUMBER(SEARCH("VPS",$I2444))=FALSE,LEFT($I2444,6)&lt;&gt;"VACUUM"),"CDU",IF($H2444="FLUID CAT CRACKING","FCC",IF(OR($H2444="HYDROCRACKING",$H2444="RESID_HYDROCRACKING"),"Hydrocracker",IF($H2444="REFORMING","Reformer",""))))</f>
        <v/>
      </c>
      <c r="H2444" s="6" t="s">
        <v>435</v>
      </c>
      <c r="I2444" s="6" t="s">
        <v>441</v>
      </c>
      <c r="J2444" s="6" t="s">
        <v>349</v>
      </c>
      <c r="K2444" s="10">
        <v>4.03</v>
      </c>
      <c r="L2444" s="10">
        <v>31</v>
      </c>
      <c r="M2444" s="6" t="s">
        <v>375</v>
      </c>
    </row>
    <row r="2445" spans="1:13">
      <c r="A2445" s="6">
        <v>2023</v>
      </c>
      <c r="B2445" s="6">
        <v>11</v>
      </c>
      <c r="C2445" s="6" t="s">
        <v>69</v>
      </c>
      <c r="D2445" s="6" t="s">
        <v>547</v>
      </c>
      <c r="E2445" s="6" t="s">
        <v>391</v>
      </c>
      <c r="F2445" s="6" t="str">
        <f>IF($M2445="PADD I","PADD 1",IF($M2445="PADD II","PADD 2",IF($M2445="PADD III","PADD 3",IF($M2445="PADD IV","PADD 4",IF($M2445="PADD V","PADD 5","")))))</f>
        <v>PADD 5</v>
      </c>
      <c r="G2445" s="6" t="str">
        <f>IF(AND($H2445="ATMOS DISTILLATION",ISNUMBER(SEARCH("VPS",$I2445))=FALSE,LEFT($I2445,6)&lt;&gt;"VACUUM"),"CDU",IF($H2445="FLUID CAT CRACKING","FCC",IF(OR($H2445="HYDROCRACKING",$H2445="RESID_HYDROCRACKING"),"Hydrocracker",IF($H2445="REFORMING","Reformer",""))))</f>
        <v>Reformer</v>
      </c>
      <c r="H2445" s="6" t="s">
        <v>421</v>
      </c>
      <c r="I2445" s="6" t="s">
        <v>932</v>
      </c>
      <c r="J2445" s="6" t="s">
        <v>345</v>
      </c>
      <c r="K2445" s="10">
        <v>4</v>
      </c>
      <c r="L2445" s="10">
        <v>40</v>
      </c>
      <c r="M2445" s="6" t="s">
        <v>386</v>
      </c>
    </row>
    <row r="2446" spans="1:13">
      <c r="A2446" s="6">
        <v>2023</v>
      </c>
      <c r="B2446" s="6">
        <v>11</v>
      </c>
      <c r="C2446" s="6" t="s">
        <v>69</v>
      </c>
      <c r="D2446" s="6" t="s">
        <v>602</v>
      </c>
      <c r="E2446" s="6" t="s">
        <v>369</v>
      </c>
      <c r="F2446" s="6" t="str">
        <f>IF($M2446="PADD I","PADD 1",IF($M2446="PADD II","PADD 2",IF($M2446="PADD III","PADD 3",IF($M2446="PADD IV","PADD 4",IF($M2446="PADD V","PADD 5","")))))</f>
        <v>PADD 2</v>
      </c>
      <c r="G2446" s="6">
        <f>IF(AND($H2446="ATMOS DISTILLATION",ISNUMBER(SEARCH("VPS",$I2446))=FALSE,LEFT($I2446,6)&lt;&gt;"VACUUM"),"CDU",IF($H2446="FLUID CAT CRACKING","FCC",IF(OR($H2446="HYDROCRACKING",$H2446="RESID_HYDROCRACKING"),"Hydrocracker",IF($H2446="REFORMING","Reformer",""))))</f>
        <v/>
      </c>
      <c r="H2446" s="6" t="s">
        <v>43</v>
      </c>
      <c r="I2446" s="6" t="s">
        <v>998</v>
      </c>
      <c r="J2446" s="6" t="s">
        <v>349</v>
      </c>
      <c r="K2446" s="10">
        <v>3.9</v>
      </c>
      <c r="L2446" s="10">
        <v>30</v>
      </c>
      <c r="M2446" s="6" t="s">
        <v>375</v>
      </c>
    </row>
    <row r="2447" spans="1:13">
      <c r="A2447" s="6">
        <v>2023</v>
      </c>
      <c r="B2447" s="6">
        <v>11</v>
      </c>
      <c r="C2447" s="6" t="s">
        <v>69</v>
      </c>
      <c r="D2447" s="6" t="s">
        <v>602</v>
      </c>
      <c r="E2447" s="6" t="s">
        <v>369</v>
      </c>
      <c r="F2447" s="6" t="str">
        <f>IF($M2447="PADD I","PADD 1",IF($M2447="PADD II","PADD 2",IF($M2447="PADD III","PADD 3",IF($M2447="PADD IV","PADD 4",IF($M2447="PADD V","PADD 5","")))))</f>
        <v>PADD 2</v>
      </c>
      <c r="G2447" s="6">
        <f>IF(AND($H2447="ATMOS DISTILLATION",ISNUMBER(SEARCH("VPS",$I2447))=FALSE,LEFT($I2447,6)&lt;&gt;"VACUUM"),"CDU",IF($H2447="FLUID CAT CRACKING","FCC",IF(OR($H2447="HYDROCRACKING",$H2447="RESID_HYDROCRACKING"),"Hydrocracker",IF($H2447="REFORMING","Reformer",""))))</f>
        <v/>
      </c>
      <c r="H2447" s="6" t="s">
        <v>43</v>
      </c>
      <c r="I2447" s="6" t="s">
        <v>999</v>
      </c>
      <c r="J2447" s="6" t="s">
        <v>349</v>
      </c>
      <c r="K2447" s="10">
        <v>3.9</v>
      </c>
      <c r="L2447" s="10">
        <v>30</v>
      </c>
      <c r="M2447" s="6" t="s">
        <v>375</v>
      </c>
    </row>
    <row r="2448" spans="1:13">
      <c r="A2448" s="6">
        <v>2023</v>
      </c>
      <c r="B2448" s="6">
        <v>11</v>
      </c>
      <c r="C2448" s="6" t="s">
        <v>69</v>
      </c>
      <c r="D2448" s="6" t="s">
        <v>415</v>
      </c>
      <c r="E2448" s="6" t="s">
        <v>416</v>
      </c>
      <c r="F2448" s="6" t="str">
        <f>IF($M2448="PADD I","PADD 1",IF($M2448="PADD II","PADD 2",IF($M2448="PADD III","PADD 3",IF($M2448="PADD IV","PADD 4",IF($M2448="PADD V","PADD 5","")))))</f>
        <v>PADD 3</v>
      </c>
      <c r="G2448" s="6" t="str">
        <f>IF(AND($H2448="ATMOS DISTILLATION",ISNUMBER(SEARCH("VPS",$I2448))=FALSE,LEFT($I2448,6)&lt;&gt;"VACUUM"),"CDU",IF($H2448="FLUID CAT CRACKING","FCC",IF(OR($H2448="HYDROCRACKING",$H2448="RESID_HYDROCRACKING"),"Hydrocracker",IF($H2448="REFORMING","Reformer",""))))</f>
        <v>Reformer</v>
      </c>
      <c r="H2448" s="6" t="s">
        <v>421</v>
      </c>
      <c r="I2448" s="6" t="s">
        <v>454</v>
      </c>
      <c r="J2448" s="6" t="s">
        <v>345</v>
      </c>
      <c r="K2448" s="10">
        <v>3.724</v>
      </c>
      <c r="L2448" s="10">
        <v>53.2</v>
      </c>
      <c r="M2448" s="6" t="s">
        <v>371</v>
      </c>
    </row>
    <row r="2449" spans="1:13">
      <c r="A2449" s="6">
        <v>2023</v>
      </c>
      <c r="B2449" s="6">
        <v>11</v>
      </c>
      <c r="C2449" s="6" t="s">
        <v>69</v>
      </c>
      <c r="D2449" s="6" t="s">
        <v>730</v>
      </c>
      <c r="E2449" s="6" t="s">
        <v>731</v>
      </c>
      <c r="F2449" s="6" t="str">
        <f>IF($M2449="PADD I","PADD 1",IF($M2449="PADD II","PADD 2",IF($M2449="PADD III","PADD 3",IF($M2449="PADD IV","PADD 4",IF($M2449="PADD V","PADD 5","")))))</f>
        <v>PADD 3</v>
      </c>
      <c r="G2449" s="6">
        <f>IF(AND($H2449="ATMOS DISTILLATION",ISNUMBER(SEARCH("VPS",$I2449))=FALSE,LEFT($I2449,6)&lt;&gt;"VACUUM"),"CDU",IF($H2449="FLUID CAT CRACKING","FCC",IF(OR($H2449="HYDROCRACKING",$H2449="RESID_HYDROCRACKING"),"Hydrocracker",IF($H2449="REFORMING","Reformer",""))))</f>
        <v/>
      </c>
      <c r="H2449" s="6" t="s">
        <v>43</v>
      </c>
      <c r="I2449" s="6" t="s">
        <v>1054</v>
      </c>
      <c r="J2449" s="6" t="s">
        <v>349</v>
      </c>
      <c r="K2449" s="10">
        <v>3.7</v>
      </c>
      <c r="L2449" s="10">
        <v>10</v>
      </c>
      <c r="M2449" s="6" t="s">
        <v>371</v>
      </c>
    </row>
    <row r="2450" spans="1:13">
      <c r="A2450" s="6">
        <v>2023</v>
      </c>
      <c r="B2450" s="6">
        <v>11</v>
      </c>
      <c r="C2450" s="6" t="s">
        <v>69</v>
      </c>
      <c r="D2450" s="6" t="s">
        <v>40</v>
      </c>
      <c r="E2450" s="6" t="s">
        <v>736</v>
      </c>
      <c r="F2450" s="6" t="str">
        <f>IF($M2450="PADD I","PADD 1",IF($M2450="PADD II","PADD 2",IF($M2450="PADD III","PADD 3",IF($M2450="PADD IV","PADD 4",IF($M2450="PADD V","PADD 5","")))))</f>
        <v>PADD 1</v>
      </c>
      <c r="G2450" s="6">
        <f>IF(AND($H2450="ATMOS DISTILLATION",ISNUMBER(SEARCH("VPS",$I2450))=FALSE,LEFT($I2450,6)&lt;&gt;"VACUUM"),"CDU",IF($H2450="FLUID CAT CRACKING","FCC",IF(OR($H2450="HYDROCRACKING",$H2450="RESID_HYDROCRACKING"),"Hydrocracker",IF($H2450="REFORMING","Reformer",""))))</f>
        <v/>
      </c>
      <c r="H2450" s="6" t="s">
        <v>43</v>
      </c>
      <c r="I2450" s="6" t="s">
        <v>1021</v>
      </c>
      <c r="J2450" s="6" t="s">
        <v>349</v>
      </c>
      <c r="K2450" s="10">
        <v>3.45</v>
      </c>
      <c r="L2450" s="10">
        <v>11.5</v>
      </c>
      <c r="M2450" s="6" t="s">
        <v>413</v>
      </c>
    </row>
    <row r="2451" spans="1:13">
      <c r="A2451" s="6">
        <v>2023</v>
      </c>
      <c r="B2451" s="6">
        <v>11</v>
      </c>
      <c r="C2451" s="6" t="s">
        <v>69</v>
      </c>
      <c r="D2451" s="6" t="s">
        <v>387</v>
      </c>
      <c r="E2451" s="6" t="s">
        <v>388</v>
      </c>
      <c r="F2451" s="6" t="str">
        <f>IF($M2451="PADD I","PADD 1",IF($M2451="PADD II","PADD 2",IF($M2451="PADD III","PADD 3",IF($M2451="PADD IV","PADD 4",IF($M2451="PADD V","PADD 5","")))))</f>
        <v>PADD 3</v>
      </c>
      <c r="G2451" s="6">
        <f>IF(AND($H2451="ATMOS DISTILLATION",ISNUMBER(SEARCH("VPS",$I2451))=FALSE,LEFT($I2451,6)&lt;&gt;"VACUUM"),"CDU",IF($H2451="FLUID CAT CRACKING","FCC",IF(OR($H2451="HYDROCRACKING",$H2451="RESID_HYDROCRACKING"),"Hydrocracker",IF($H2451="REFORMING","Reformer",""))))</f>
        <v/>
      </c>
      <c r="H2451" s="6" t="s">
        <v>378</v>
      </c>
      <c r="I2451" s="6" t="s">
        <v>442</v>
      </c>
      <c r="J2451" s="6" t="s">
        <v>345</v>
      </c>
      <c r="K2451" s="10">
        <v>3.375</v>
      </c>
      <c r="L2451" s="10">
        <v>112.5</v>
      </c>
      <c r="M2451" s="6" t="s">
        <v>371</v>
      </c>
    </row>
    <row r="2452" spans="1:13">
      <c r="A2452" s="6">
        <v>2023</v>
      </c>
      <c r="B2452" s="6">
        <v>11</v>
      </c>
      <c r="C2452" s="6" t="s">
        <v>69</v>
      </c>
      <c r="D2452" s="6" t="s">
        <v>602</v>
      </c>
      <c r="E2452" s="6" t="s">
        <v>369</v>
      </c>
      <c r="F2452" s="6" t="str">
        <f>IF($M2452="PADD I","PADD 1",IF($M2452="PADD II","PADD 2",IF($M2452="PADD III","PADD 3",IF($M2452="PADD IV","PADD 4",IF($M2452="PADD V","PADD 5","")))))</f>
        <v>PADD 2</v>
      </c>
      <c r="G2452" s="6">
        <f>IF(AND($H2452="ATMOS DISTILLATION",ISNUMBER(SEARCH("VPS",$I2452))=FALSE,LEFT($I2452,6)&lt;&gt;"VACUUM"),"CDU",IF($H2452="FLUID CAT CRACKING","FCC",IF(OR($H2452="HYDROCRACKING",$H2452="RESID_HYDROCRACKING"),"Hydrocracker",IF($H2452="REFORMING","Reformer",""))))</f>
        <v/>
      </c>
      <c r="H2452" s="6" t="s">
        <v>43</v>
      </c>
      <c r="I2452" s="6" t="s">
        <v>1001</v>
      </c>
      <c r="J2452" s="6" t="s">
        <v>349</v>
      </c>
      <c r="K2452" s="10">
        <v>3.25</v>
      </c>
      <c r="L2452" s="10">
        <v>25</v>
      </c>
      <c r="M2452" s="6" t="s">
        <v>375</v>
      </c>
    </row>
    <row r="2453" spans="1:13">
      <c r="A2453" s="6">
        <v>2023</v>
      </c>
      <c r="B2453" s="6">
        <v>11</v>
      </c>
      <c r="C2453" s="6" t="s">
        <v>69</v>
      </c>
      <c r="D2453" s="6" t="s">
        <v>602</v>
      </c>
      <c r="E2453" s="6" t="s">
        <v>369</v>
      </c>
      <c r="F2453" s="6" t="str">
        <f>IF($M2453="PADD I","PADD 1",IF($M2453="PADD II","PADD 2",IF($M2453="PADD III","PADD 3",IF($M2453="PADD IV","PADD 4",IF($M2453="PADD V","PADD 5","")))))</f>
        <v>PADD 2</v>
      </c>
      <c r="G2453" s="6">
        <f>IF(AND($H2453="ATMOS DISTILLATION",ISNUMBER(SEARCH("VPS",$I2453))=FALSE,LEFT($I2453,6)&lt;&gt;"VACUUM"),"CDU",IF($H2453="FLUID CAT CRACKING","FCC",IF(OR($H2453="HYDROCRACKING",$H2453="RESID_HYDROCRACKING"),"Hydrocracker",IF($H2453="REFORMING","Reformer",""))))</f>
        <v/>
      </c>
      <c r="H2453" s="6" t="s">
        <v>43</v>
      </c>
      <c r="I2453" s="6" t="s">
        <v>1002</v>
      </c>
      <c r="J2453" s="6" t="s">
        <v>349</v>
      </c>
      <c r="K2453" s="10">
        <v>3.12</v>
      </c>
      <c r="L2453" s="10">
        <v>24</v>
      </c>
      <c r="M2453" s="6" t="s">
        <v>375</v>
      </c>
    </row>
    <row r="2454" spans="1:13">
      <c r="A2454" s="6">
        <v>2023</v>
      </c>
      <c r="B2454" s="6">
        <v>11</v>
      </c>
      <c r="C2454" s="6" t="s">
        <v>69</v>
      </c>
      <c r="D2454" s="6" t="s">
        <v>434</v>
      </c>
      <c r="E2454" s="6" t="s">
        <v>388</v>
      </c>
      <c r="F2454" s="6" t="str">
        <f>IF($M2454="PADD I","PADD 1",IF($M2454="PADD II","PADD 2",IF($M2454="PADD III","PADD 3",IF($M2454="PADD IV","PADD 4",IF($M2454="PADD V","PADD 5","")))))</f>
        <v>PADD 5</v>
      </c>
      <c r="G2454" s="6" t="str">
        <f>IF(AND($H2454="ATMOS DISTILLATION",ISNUMBER(SEARCH("VPS",$I2454))=FALSE,LEFT($I2454,6)&lt;&gt;"VACUUM"),"CDU",IF($H2454="FLUID CAT CRACKING","FCC",IF(OR($H2454="HYDROCRACKING",$H2454="RESID_HYDROCRACKING"),"Hydrocracker",IF($H2454="REFORMING","Reformer",""))))</f>
        <v>Reformer</v>
      </c>
      <c r="H2454" s="6" t="s">
        <v>421</v>
      </c>
      <c r="I2454" s="6" t="s">
        <v>671</v>
      </c>
      <c r="J2454" s="6" t="s">
        <v>345</v>
      </c>
      <c r="K2454" s="10">
        <v>3</v>
      </c>
      <c r="L2454" s="10">
        <v>15</v>
      </c>
      <c r="M2454" s="6" t="s">
        <v>386</v>
      </c>
    </row>
    <row r="2455" spans="1:13">
      <c r="A2455" s="6">
        <v>2023</v>
      </c>
      <c r="B2455" s="6">
        <v>11</v>
      </c>
      <c r="C2455" s="6" t="s">
        <v>69</v>
      </c>
      <c r="D2455" s="6" t="s">
        <v>372</v>
      </c>
      <c r="E2455" s="6" t="s">
        <v>373</v>
      </c>
      <c r="F2455" s="6" t="str">
        <f>IF($M2455="PADD I","PADD 1",IF($M2455="PADD II","PADD 2",IF($M2455="PADD III","PADD 3",IF($M2455="PADD IV","PADD 4",IF($M2455="PADD V","PADD 5","")))))</f>
        <v>PADD 2</v>
      </c>
      <c r="G2455" s="6">
        <f>IF(AND($H2455="ATMOS DISTILLATION",ISNUMBER(SEARCH("VPS",$I2455))=FALSE,LEFT($I2455,6)&lt;&gt;"VACUUM"),"CDU",IF($H2455="FLUID CAT CRACKING","FCC",IF(OR($H2455="HYDROCRACKING",$H2455="RESID_HYDROCRACKING"),"Hydrocracker",IF($H2455="REFORMING","Reformer",""))))</f>
        <v/>
      </c>
      <c r="H2455" s="6" t="s">
        <v>435</v>
      </c>
      <c r="I2455" s="6" t="s">
        <v>584</v>
      </c>
      <c r="J2455" s="6" t="s">
        <v>345</v>
      </c>
      <c r="K2455" s="10">
        <v>3</v>
      </c>
      <c r="L2455" s="10">
        <v>7.5</v>
      </c>
      <c r="M2455" s="6" t="s">
        <v>375</v>
      </c>
    </row>
    <row r="2456" spans="1:13">
      <c r="A2456" s="6">
        <v>2023</v>
      </c>
      <c r="B2456" s="6">
        <v>11</v>
      </c>
      <c r="C2456" s="6" t="s">
        <v>69</v>
      </c>
      <c r="D2456" s="6" t="s">
        <v>547</v>
      </c>
      <c r="E2456" s="6" t="s">
        <v>391</v>
      </c>
      <c r="F2456" s="6" t="str">
        <f>IF($M2456="PADD I","PADD 1",IF($M2456="PADD II","PADD 2",IF($M2456="PADD III","PADD 3",IF($M2456="PADD IV","PADD 4",IF($M2456="PADD V","PADD 5","")))))</f>
        <v>PADD 5</v>
      </c>
      <c r="G2456" s="6" t="str">
        <f>IF(AND($H2456="ATMOS DISTILLATION",ISNUMBER(SEARCH("VPS",$I2456))=FALSE,LEFT($I2456,6)&lt;&gt;"VACUUM"),"CDU",IF($H2456="FLUID CAT CRACKING","FCC",IF(OR($H2456="HYDROCRACKING",$H2456="RESID_HYDROCRACKING"),"Hydrocracker",IF($H2456="REFORMING","Reformer",""))))</f>
        <v>Reformer</v>
      </c>
      <c r="H2456" s="6" t="s">
        <v>421</v>
      </c>
      <c r="I2456" s="6" t="s">
        <v>936</v>
      </c>
      <c r="J2456" s="6" t="s">
        <v>345</v>
      </c>
      <c r="K2456" s="10">
        <v>2.8</v>
      </c>
      <c r="L2456" s="10">
        <v>28</v>
      </c>
      <c r="M2456" s="6" t="s">
        <v>386</v>
      </c>
    </row>
    <row r="2457" spans="1:13">
      <c r="A2457" s="6">
        <v>2023</v>
      </c>
      <c r="B2457" s="6">
        <v>11</v>
      </c>
      <c r="C2457" s="6" t="s">
        <v>69</v>
      </c>
      <c r="D2457" s="6" t="s">
        <v>799</v>
      </c>
      <c r="E2457" s="6" t="s">
        <v>391</v>
      </c>
      <c r="F2457" s="6" t="str">
        <f>IF($M2457="PADD I","PADD 1",IF($M2457="PADD II","PADD 2",IF($M2457="PADD III","PADD 3",IF($M2457="PADD IV","PADD 4",IF($M2457="PADD V","PADD 5","")))))</f>
        <v>PADD 4</v>
      </c>
      <c r="G2457" s="6">
        <f>IF(AND($H2457="ATMOS DISTILLATION",ISNUMBER(SEARCH("VPS",$I2457))=FALSE,LEFT($I2457,6)&lt;&gt;"VACUUM"),"CDU",IF($H2457="FLUID CAT CRACKING","FCC",IF(OR($H2457="HYDROCRACKING",$H2457="RESID_HYDROCRACKING"),"Hydrocracker",IF($H2457="REFORMING","Reformer",""))))</f>
        <v/>
      </c>
      <c r="H2457" s="6" t="s">
        <v>43</v>
      </c>
      <c r="I2457" s="6" t="s">
        <v>800</v>
      </c>
      <c r="J2457" s="6" t="s">
        <v>345</v>
      </c>
      <c r="K2457" s="10">
        <v>2.79</v>
      </c>
      <c r="L2457" s="10">
        <v>27.9</v>
      </c>
      <c r="M2457" s="6" t="s">
        <v>430</v>
      </c>
    </row>
    <row r="2458" spans="1:13">
      <c r="A2458" s="6">
        <v>2023</v>
      </c>
      <c r="B2458" s="6">
        <v>11</v>
      </c>
      <c r="C2458" s="6" t="s">
        <v>69</v>
      </c>
      <c r="D2458" s="6" t="s">
        <v>48</v>
      </c>
      <c r="E2458" s="6" t="s">
        <v>388</v>
      </c>
      <c r="F2458" s="6" t="str">
        <f>IF($M2458="PADD I","PADD 1",IF($M2458="PADD II","PADD 2",IF($M2458="PADD III","PADD 3",IF($M2458="PADD IV","PADD 4",IF($M2458="PADD V","PADD 5","")))))</f>
        <v>PADD 2</v>
      </c>
      <c r="G2458" s="6" t="str">
        <f>IF(AND($H2458="ATMOS DISTILLATION",ISNUMBER(SEARCH("VPS",$I2458))=FALSE,LEFT($I2458,6)&lt;&gt;"VACUUM"),"CDU",IF($H2458="FLUID CAT CRACKING","FCC",IF(OR($H2458="HYDROCRACKING",$H2458="RESID_HYDROCRACKING"),"Hydrocracker",IF($H2458="REFORMING","Reformer",""))))</f>
        <v>Reformer</v>
      </c>
      <c r="H2458" s="6" t="s">
        <v>421</v>
      </c>
      <c r="I2458" s="6" t="s">
        <v>721</v>
      </c>
      <c r="J2458" s="6" t="s">
        <v>345</v>
      </c>
      <c r="K2458" s="10">
        <v>2.73</v>
      </c>
      <c r="L2458" s="10">
        <v>39</v>
      </c>
      <c r="M2458" s="6" t="s">
        <v>375</v>
      </c>
    </row>
    <row r="2459" spans="1:13">
      <c r="A2459" s="6">
        <v>2023</v>
      </c>
      <c r="B2459" s="6">
        <v>11</v>
      </c>
      <c r="C2459" s="6" t="s">
        <v>69</v>
      </c>
      <c r="D2459" s="6" t="s">
        <v>547</v>
      </c>
      <c r="E2459" s="6" t="s">
        <v>391</v>
      </c>
      <c r="F2459" s="6" t="str">
        <f>IF($M2459="PADD I","PADD 1",IF($M2459="PADD II","PADD 2",IF($M2459="PADD III","PADD 3",IF($M2459="PADD IV","PADD 4",IF($M2459="PADD V","PADD 5","")))))</f>
        <v>PADD 5</v>
      </c>
      <c r="G2459" s="6">
        <f>IF(AND($H2459="ATMOS DISTILLATION",ISNUMBER(SEARCH("VPS",$I2459))=FALSE,LEFT($I2459,6)&lt;&gt;"VACUUM"),"CDU",IF($H2459="FLUID CAT CRACKING","FCC",IF(OR($H2459="HYDROCRACKING",$H2459="RESID_HYDROCRACKING"),"Hydrocracker",IF($H2459="REFORMING","Reformer",""))))</f>
        <v/>
      </c>
      <c r="H2459" s="6" t="s">
        <v>43</v>
      </c>
      <c r="I2459" s="6" t="s">
        <v>904</v>
      </c>
      <c r="J2459" s="6" t="s">
        <v>345</v>
      </c>
      <c r="K2459" s="10">
        <v>2.7</v>
      </c>
      <c r="L2459" s="10">
        <v>27</v>
      </c>
      <c r="M2459" s="6" t="s">
        <v>386</v>
      </c>
    </row>
    <row r="2460" spans="1:13">
      <c r="A2460" s="6">
        <v>2023</v>
      </c>
      <c r="B2460" s="6">
        <v>11</v>
      </c>
      <c r="C2460" s="6" t="s">
        <v>69</v>
      </c>
      <c r="D2460" s="6" t="s">
        <v>1063</v>
      </c>
      <c r="E2460" s="6" t="s">
        <v>388</v>
      </c>
      <c r="F2460" s="6" t="str">
        <f>IF($M2460="PADD I","PADD 1",IF($M2460="PADD II","PADD 2",IF($M2460="PADD III","PADD 3",IF($M2460="PADD IV","PADD 4",IF($M2460="PADD V","PADD 5","")))))</f>
        <v>PADD 2</v>
      </c>
      <c r="G2460" s="6">
        <f>IF(AND($H2460="ATMOS DISTILLATION",ISNUMBER(SEARCH("VPS",$I2460))=FALSE,LEFT($I2460,6)&lt;&gt;"VACUUM"),"CDU",IF($H2460="FLUID CAT CRACKING","FCC",IF(OR($H2460="HYDROCRACKING",$H2460="RESID_HYDROCRACKING"),"Hydrocracker",IF($H2460="REFORMING","Reformer",""))))</f>
        <v/>
      </c>
      <c r="H2460" s="6" t="s">
        <v>378</v>
      </c>
      <c r="I2460" s="6" t="s">
        <v>431</v>
      </c>
      <c r="J2460" s="6" t="s">
        <v>345</v>
      </c>
      <c r="K2460" s="10">
        <v>2.66</v>
      </c>
      <c r="L2460" s="10">
        <v>38</v>
      </c>
      <c r="M2460" s="6" t="s">
        <v>375</v>
      </c>
    </row>
    <row r="2461" spans="1:13">
      <c r="A2461" s="6">
        <v>2023</v>
      </c>
      <c r="B2461" s="6">
        <v>11</v>
      </c>
      <c r="C2461" s="6" t="s">
        <v>69</v>
      </c>
      <c r="D2461" s="6" t="s">
        <v>887</v>
      </c>
      <c r="E2461" s="6" t="s">
        <v>405</v>
      </c>
      <c r="F2461" s="6" t="str">
        <f>IF($M2461="PADD I","PADD 1",IF($M2461="PADD II","PADD 2",IF($M2461="PADD III","PADD 3",IF($M2461="PADD IV","PADD 4",IF($M2461="PADD V","PADD 5","")))))</f>
        <v>PADD 3</v>
      </c>
      <c r="G2461" s="6">
        <f>IF(AND($H2461="ATMOS DISTILLATION",ISNUMBER(SEARCH("VPS",$I2461))=FALSE,LEFT($I2461,6)&lt;&gt;"VACUUM"),"CDU",IF($H2461="FLUID CAT CRACKING","FCC",IF(OR($H2461="HYDROCRACKING",$H2461="RESID_HYDROCRACKING"),"Hydrocracker",IF($H2461="REFORMING","Reformer",""))))</f>
        <v/>
      </c>
      <c r="H2461" s="6" t="s">
        <v>460</v>
      </c>
      <c r="I2461" s="6" t="s">
        <v>616</v>
      </c>
      <c r="J2461" s="6" t="s">
        <v>349</v>
      </c>
      <c r="K2461" s="10">
        <v>2.6</v>
      </c>
      <c r="L2461" s="10">
        <v>6.5</v>
      </c>
      <c r="M2461" s="6" t="s">
        <v>371</v>
      </c>
    </row>
    <row r="2462" spans="1:13">
      <c r="A2462" s="6">
        <v>2023</v>
      </c>
      <c r="B2462" s="6">
        <v>11</v>
      </c>
      <c r="C2462" s="6" t="s">
        <v>69</v>
      </c>
      <c r="D2462" s="6" t="s">
        <v>602</v>
      </c>
      <c r="E2462" s="6" t="s">
        <v>369</v>
      </c>
      <c r="F2462" s="6" t="str">
        <f>IF($M2462="PADD I","PADD 1",IF($M2462="PADD II","PADD 2",IF($M2462="PADD III","PADD 3",IF($M2462="PADD IV","PADD 4",IF($M2462="PADD V","PADD 5","")))))</f>
        <v>PADD 2</v>
      </c>
      <c r="G2462" s="6" t="str">
        <f>IF(AND($H2462="ATMOS DISTILLATION",ISNUMBER(SEARCH("VPS",$I2462))=FALSE,LEFT($I2462,6)&lt;&gt;"VACUUM"),"CDU",IF($H2462="FLUID CAT CRACKING","FCC",IF(OR($H2462="HYDROCRACKING",$H2462="RESID_HYDROCRACKING"),"Hydrocracker",IF($H2462="REFORMING","Reformer",""))))</f>
        <v>Reformer</v>
      </c>
      <c r="H2462" s="6" t="s">
        <v>421</v>
      </c>
      <c r="I2462" s="6" t="s">
        <v>697</v>
      </c>
      <c r="J2462" s="6" t="s">
        <v>349</v>
      </c>
      <c r="K2462" s="10">
        <v>2.6</v>
      </c>
      <c r="L2462" s="10">
        <v>20</v>
      </c>
      <c r="M2462" s="6" t="s">
        <v>375</v>
      </c>
    </row>
    <row r="2463" spans="1:13">
      <c r="A2463" s="6">
        <v>2023</v>
      </c>
      <c r="B2463" s="6">
        <v>11</v>
      </c>
      <c r="C2463" s="6" t="s">
        <v>69</v>
      </c>
      <c r="D2463" s="6" t="s">
        <v>662</v>
      </c>
      <c r="E2463" s="6" t="s">
        <v>552</v>
      </c>
      <c r="F2463" s="6" t="str">
        <f>IF($M2463="PADD I","PADD 1",IF($M2463="PADD II","PADD 2",IF($M2463="PADD III","PADD 3",IF($M2463="PADD IV","PADD 4",IF($M2463="PADD V","PADD 5","")))))</f>
        <v>PADD 3</v>
      </c>
      <c r="G2463" s="6">
        <f>IF(AND($H2463="ATMOS DISTILLATION",ISNUMBER(SEARCH("VPS",$I2463))=FALSE,LEFT($I2463,6)&lt;&gt;"VACUUM"),"CDU",IF($H2463="FLUID CAT CRACKING","FCC",IF(OR($H2463="HYDROCRACKING",$H2463="RESID_HYDROCRACKING"),"Hydrocracker",IF($H2463="REFORMING","Reformer",""))))</f>
        <v/>
      </c>
      <c r="H2463" s="6" t="s">
        <v>43</v>
      </c>
      <c r="I2463" s="6" t="s">
        <v>927</v>
      </c>
      <c r="J2463" s="6" t="s">
        <v>349</v>
      </c>
      <c r="K2463" s="10">
        <v>2.55</v>
      </c>
      <c r="L2463" s="10">
        <v>25.5</v>
      </c>
      <c r="M2463" s="6" t="s">
        <v>371</v>
      </c>
    </row>
    <row r="2464" spans="1:13">
      <c r="A2464" s="6">
        <v>2023</v>
      </c>
      <c r="B2464" s="6">
        <v>11</v>
      </c>
      <c r="C2464" s="6" t="s">
        <v>69</v>
      </c>
      <c r="D2464" s="6" t="s">
        <v>48</v>
      </c>
      <c r="E2464" s="6" t="s">
        <v>388</v>
      </c>
      <c r="F2464" s="6" t="str">
        <f>IF($M2464="PADD I","PADD 1",IF($M2464="PADD II","PADD 2",IF($M2464="PADD III","PADD 3",IF($M2464="PADD IV","PADD 4",IF($M2464="PADD V","PADD 5","")))))</f>
        <v>PADD 2</v>
      </c>
      <c r="G2464" s="6">
        <f>IF(AND($H2464="ATMOS DISTILLATION",ISNUMBER(SEARCH("VPS",$I2464))=FALSE,LEFT($I2464,6)&lt;&gt;"VACUUM"),"CDU",IF($H2464="FLUID CAT CRACKING","FCC",IF(OR($H2464="HYDROCRACKING",$H2464="RESID_HYDROCRACKING"),"Hydrocracker",IF($H2464="REFORMING","Reformer",""))))</f>
        <v/>
      </c>
      <c r="H2464" s="6" t="s">
        <v>43</v>
      </c>
      <c r="I2464" s="6" t="s">
        <v>696</v>
      </c>
      <c r="J2464" s="6" t="s">
        <v>345</v>
      </c>
      <c r="K2464" s="10">
        <v>2.505</v>
      </c>
      <c r="L2464" s="10">
        <v>83.5</v>
      </c>
      <c r="M2464" s="6" t="s">
        <v>375</v>
      </c>
    </row>
    <row r="2465" spans="1:13">
      <c r="A2465" s="6">
        <v>2023</v>
      </c>
      <c r="B2465" s="6">
        <v>11</v>
      </c>
      <c r="C2465" s="6" t="s">
        <v>69</v>
      </c>
      <c r="D2465" s="6" t="s">
        <v>662</v>
      </c>
      <c r="E2465" s="6" t="s">
        <v>552</v>
      </c>
      <c r="F2465" s="6" t="str">
        <f>IF($M2465="PADD I","PADD 1",IF($M2465="PADD II","PADD 2",IF($M2465="PADD III","PADD 3",IF($M2465="PADD IV","PADD 4",IF($M2465="PADD V","PADD 5","")))))</f>
        <v>PADD 3</v>
      </c>
      <c r="G2465" s="6" t="str">
        <f>IF(AND($H2465="ATMOS DISTILLATION",ISNUMBER(SEARCH("VPS",$I2465))=FALSE,LEFT($I2465,6)&lt;&gt;"VACUUM"),"CDU",IF($H2465="FLUID CAT CRACKING","FCC",IF(OR($H2465="HYDROCRACKING",$H2465="RESID_HYDROCRACKING"),"Hydrocracker",IF($H2465="REFORMING","Reformer",""))))</f>
        <v>FCC</v>
      </c>
      <c r="H2465" s="6" t="s">
        <v>376</v>
      </c>
      <c r="I2465" s="6" t="s">
        <v>105</v>
      </c>
      <c r="J2465" s="6" t="s">
        <v>349</v>
      </c>
      <c r="K2465" s="10">
        <v>2.5</v>
      </c>
      <c r="L2465" s="10">
        <v>25</v>
      </c>
      <c r="M2465" s="6" t="s">
        <v>371</v>
      </c>
    </row>
    <row r="2466" spans="1:13">
      <c r="A2466" s="6">
        <v>2023</v>
      </c>
      <c r="B2466" s="6">
        <v>11</v>
      </c>
      <c r="C2466" s="6" t="s">
        <v>69</v>
      </c>
      <c r="D2466" s="6" t="s">
        <v>602</v>
      </c>
      <c r="E2466" s="6" t="s">
        <v>369</v>
      </c>
      <c r="F2466" s="6" t="str">
        <f>IF($M2466="PADD I","PADD 1",IF($M2466="PADD II","PADD 2",IF($M2466="PADD III","PADD 3",IF($M2466="PADD IV","PADD 4",IF($M2466="PADD V","PADD 5","")))))</f>
        <v>PADD 2</v>
      </c>
      <c r="G2466" s="6">
        <f>IF(AND($H2466="ATMOS DISTILLATION",ISNUMBER(SEARCH("VPS",$I2466))=FALSE,LEFT($I2466,6)&lt;&gt;"VACUUM"),"CDU",IF($H2466="FLUID CAT CRACKING","FCC",IF(OR($H2466="HYDROCRACKING",$H2466="RESID_HYDROCRACKING"),"Hydrocracker",IF($H2466="REFORMING","Reformer",""))))</f>
        <v/>
      </c>
      <c r="H2466" s="6" t="s">
        <v>43</v>
      </c>
      <c r="I2466" s="6" t="s">
        <v>1007</v>
      </c>
      <c r="J2466" s="6" t="s">
        <v>349</v>
      </c>
      <c r="K2466" s="10">
        <v>2.34</v>
      </c>
      <c r="L2466" s="10">
        <v>18</v>
      </c>
      <c r="M2466" s="6" t="s">
        <v>375</v>
      </c>
    </row>
    <row r="2467" spans="1:13">
      <c r="A2467" s="6">
        <v>2023</v>
      </c>
      <c r="B2467" s="6">
        <v>11</v>
      </c>
      <c r="C2467" s="6" t="s">
        <v>69</v>
      </c>
      <c r="D2467" s="6" t="s">
        <v>387</v>
      </c>
      <c r="E2467" s="6" t="s">
        <v>388</v>
      </c>
      <c r="F2467" s="6" t="str">
        <f>IF($M2467="PADD I","PADD 1",IF($M2467="PADD II","PADD 2",IF($M2467="PADD III","PADD 3",IF($M2467="PADD IV","PADD 4",IF($M2467="PADD V","PADD 5","")))))</f>
        <v>PADD 3</v>
      </c>
      <c r="G2467" s="6" t="str">
        <f>IF(AND($H2467="ATMOS DISTILLATION",ISNUMBER(SEARCH("VPS",$I2467))=FALSE,LEFT($I2467,6)&lt;&gt;"VACUUM"),"CDU",IF($H2467="FLUID CAT CRACKING","FCC",IF(OR($H2467="HYDROCRACKING",$H2467="RESID_HYDROCRACKING"),"Hydrocracker",IF($H2467="REFORMING","Reformer",""))))</f>
        <v>Reformer</v>
      </c>
      <c r="H2467" s="6" t="s">
        <v>421</v>
      </c>
      <c r="I2467" s="6" t="s">
        <v>443</v>
      </c>
      <c r="J2467" s="6" t="s">
        <v>345</v>
      </c>
      <c r="K2467" s="10">
        <v>2.325</v>
      </c>
      <c r="L2467" s="10">
        <v>77.5</v>
      </c>
      <c r="M2467" s="6" t="s">
        <v>371</v>
      </c>
    </row>
    <row r="2468" spans="1:13">
      <c r="A2468" s="6">
        <v>2023</v>
      </c>
      <c r="B2468" s="6">
        <v>11</v>
      </c>
      <c r="C2468" s="6" t="s">
        <v>69</v>
      </c>
      <c r="D2468" s="6" t="s">
        <v>662</v>
      </c>
      <c r="E2468" s="6" t="s">
        <v>552</v>
      </c>
      <c r="F2468" s="6" t="str">
        <f>IF($M2468="PADD I","PADD 1",IF($M2468="PADD II","PADD 2",IF($M2468="PADD III","PADD 3",IF($M2468="PADD IV","PADD 4",IF($M2468="PADD V","PADD 5","")))))</f>
        <v>PADD 3</v>
      </c>
      <c r="G2468" s="6">
        <f>IF(AND($H2468="ATMOS DISTILLATION",ISNUMBER(SEARCH("VPS",$I2468))=FALSE,LEFT($I2468,6)&lt;&gt;"VACUUM"),"CDU",IF($H2468="FLUID CAT CRACKING","FCC",IF(OR($H2468="HYDROCRACKING",$H2468="RESID_HYDROCRACKING"),"Hydrocracker",IF($H2468="REFORMING","Reformer",""))))</f>
        <v/>
      </c>
      <c r="H2468" s="6" t="s">
        <v>43</v>
      </c>
      <c r="I2468" s="6" t="s">
        <v>735</v>
      </c>
      <c r="J2468" s="6" t="s">
        <v>349</v>
      </c>
      <c r="K2468" s="10">
        <v>2.3</v>
      </c>
      <c r="L2468" s="10">
        <v>23</v>
      </c>
      <c r="M2468" s="6" t="s">
        <v>371</v>
      </c>
    </row>
    <row r="2469" spans="1:13">
      <c r="A2469" s="6">
        <v>2023</v>
      </c>
      <c r="B2469" s="6">
        <v>11</v>
      </c>
      <c r="C2469" s="6" t="s">
        <v>69</v>
      </c>
      <c r="D2469" s="6" t="s">
        <v>803</v>
      </c>
      <c r="E2469" s="6" t="s">
        <v>388</v>
      </c>
      <c r="F2469" s="6" t="str">
        <f>IF($M2469="PADD I","PADD 1",IF($M2469="PADD II","PADD 2",IF($M2469="PADD III","PADD 3",IF($M2469="PADD IV","PADD 4",IF($M2469="PADD V","PADD 5","")))))</f>
        <v>PADD 2</v>
      </c>
      <c r="G2469" s="6" t="str">
        <f>IF(AND($H2469="ATMOS DISTILLATION",ISNUMBER(SEARCH("VPS",$I2469))=FALSE,LEFT($I2469,6)&lt;&gt;"VACUUM"),"CDU",IF($H2469="FLUID CAT CRACKING","FCC",IF(OR($H2469="HYDROCRACKING",$H2469="RESID_HYDROCRACKING"),"Hydrocracker",IF($H2469="REFORMING","Reformer",""))))</f>
        <v>Reformer</v>
      </c>
      <c r="H2469" s="6" t="s">
        <v>421</v>
      </c>
      <c r="I2469" s="6" t="s">
        <v>559</v>
      </c>
      <c r="J2469" s="6" t="s">
        <v>345</v>
      </c>
      <c r="K2469" s="10">
        <v>2.25</v>
      </c>
      <c r="L2469" s="10">
        <v>11.25</v>
      </c>
      <c r="M2469" s="6" t="s">
        <v>375</v>
      </c>
    </row>
    <row r="2470" spans="1:13">
      <c r="A2470" s="6">
        <v>2023</v>
      </c>
      <c r="B2470" s="6">
        <v>11</v>
      </c>
      <c r="C2470" s="6" t="s">
        <v>69</v>
      </c>
      <c r="D2470" s="6" t="s">
        <v>335</v>
      </c>
      <c r="E2470" s="6" t="s">
        <v>369</v>
      </c>
      <c r="F2470" s="6" t="str">
        <f>IF($M2470="PADD I","PADD 1",IF($M2470="PADD II","PADD 2",IF($M2470="PADD III","PADD 3",IF($M2470="PADD IV","PADD 4",IF($M2470="PADD V","PADD 5","")))))</f>
        <v>PADD 3</v>
      </c>
      <c r="G2470" s="6" t="str">
        <f>IF(AND($H2470="ATMOS DISTILLATION",ISNUMBER(SEARCH("VPS",$I2470))=FALSE,LEFT($I2470,6)&lt;&gt;"VACUUM"),"CDU",IF($H2470="FLUID CAT CRACKING","FCC",IF(OR($H2470="HYDROCRACKING",$H2470="RESID_HYDROCRACKING"),"Hydrocracker",IF($H2470="REFORMING","Reformer",""))))</f>
        <v>FCC</v>
      </c>
      <c r="H2470" s="6" t="s">
        <v>376</v>
      </c>
      <c r="I2470" s="6" t="s">
        <v>472</v>
      </c>
      <c r="J2470" s="6" t="s">
        <v>345</v>
      </c>
      <c r="K2470" s="10">
        <v>2.1</v>
      </c>
      <c r="L2470" s="10">
        <v>30</v>
      </c>
      <c r="M2470" s="6" t="s">
        <v>371</v>
      </c>
    </row>
    <row r="2471" spans="1:13">
      <c r="A2471" s="6">
        <v>2023</v>
      </c>
      <c r="B2471" s="6">
        <v>11</v>
      </c>
      <c r="C2471" s="6" t="s">
        <v>69</v>
      </c>
      <c r="D2471" s="6" t="s">
        <v>48</v>
      </c>
      <c r="E2471" s="6" t="s">
        <v>388</v>
      </c>
      <c r="F2471" s="6" t="str">
        <f>IF($M2471="PADD I","PADD 1",IF($M2471="PADD II","PADD 2",IF($M2471="PADD III","PADD 3",IF($M2471="PADD IV","PADD 4",IF($M2471="PADD V","PADD 5","")))))</f>
        <v>PADD 2</v>
      </c>
      <c r="G2471" s="6">
        <f>IF(AND($H2471="ATMOS DISTILLATION",ISNUMBER(SEARCH("VPS",$I2471))=FALSE,LEFT($I2471,6)&lt;&gt;"VACUUM"),"CDU",IF($H2471="FLUID CAT CRACKING","FCC",IF(OR($H2471="HYDROCRACKING",$H2471="RESID_HYDROCRACKING"),"Hydrocracker",IF($H2471="REFORMING","Reformer",""))))</f>
        <v/>
      </c>
      <c r="H2471" s="6" t="s">
        <v>637</v>
      </c>
      <c r="I2471" s="6" t="s">
        <v>604</v>
      </c>
      <c r="J2471" s="6" t="s">
        <v>345</v>
      </c>
      <c r="K2471" s="10">
        <v>2.08</v>
      </c>
      <c r="L2471" s="10">
        <v>16</v>
      </c>
      <c r="M2471" s="6" t="s">
        <v>375</v>
      </c>
    </row>
    <row r="2472" spans="1:13">
      <c r="A2472" s="6">
        <v>2023</v>
      </c>
      <c r="B2472" s="6">
        <v>11</v>
      </c>
      <c r="C2472" s="6" t="s">
        <v>69</v>
      </c>
      <c r="D2472" s="6" t="s">
        <v>547</v>
      </c>
      <c r="E2472" s="6" t="s">
        <v>391</v>
      </c>
      <c r="F2472" s="6" t="str">
        <f>IF($M2472="PADD I","PADD 1",IF($M2472="PADD II","PADD 2",IF($M2472="PADD III","PADD 3",IF($M2472="PADD IV","PADD 4",IF($M2472="PADD V","PADD 5","")))))</f>
        <v>PADD 5</v>
      </c>
      <c r="G2472" s="6">
        <f>IF(AND($H2472="ATMOS DISTILLATION",ISNUMBER(SEARCH("VPS",$I2472))=FALSE,LEFT($I2472,6)&lt;&gt;"VACUUM"),"CDU",IF($H2472="FLUID CAT CRACKING","FCC",IF(OR($H2472="HYDROCRACKING",$H2472="RESID_HYDROCRACKING"),"Hydrocracker",IF($H2472="REFORMING","Reformer",""))))</f>
        <v/>
      </c>
      <c r="H2472" s="6" t="s">
        <v>460</v>
      </c>
      <c r="I2472" s="6" t="s">
        <v>461</v>
      </c>
      <c r="J2472" s="6" t="s">
        <v>345</v>
      </c>
      <c r="K2472" s="10">
        <v>2</v>
      </c>
      <c r="L2472" s="10">
        <v>20</v>
      </c>
      <c r="M2472" s="6" t="s">
        <v>386</v>
      </c>
    </row>
    <row r="2473" spans="1:13">
      <c r="A2473" s="6">
        <v>2023</v>
      </c>
      <c r="B2473" s="6">
        <v>11</v>
      </c>
      <c r="C2473" s="6" t="s">
        <v>69</v>
      </c>
      <c r="D2473" s="6" t="s">
        <v>387</v>
      </c>
      <c r="E2473" s="6" t="s">
        <v>388</v>
      </c>
      <c r="F2473" s="6" t="str">
        <f>IF($M2473="PADD I","PADD 1",IF($M2473="PADD II","PADD 2",IF($M2473="PADD III","PADD 3",IF($M2473="PADD IV","PADD 4",IF($M2473="PADD V","PADD 5","")))))</f>
        <v>PADD 3</v>
      </c>
      <c r="G2473" s="6" t="str">
        <f>IF(AND($H2473="ATMOS DISTILLATION",ISNUMBER(SEARCH("VPS",$I2473))=FALSE,LEFT($I2473,6)&lt;&gt;"VACUUM"),"CDU",IF($H2473="FLUID CAT CRACKING","FCC",IF(OR($H2473="HYDROCRACKING",$H2473="RESID_HYDROCRACKING"),"Hydrocracker",IF($H2473="REFORMING","Reformer",""))))</f>
        <v>Reformer</v>
      </c>
      <c r="H2473" s="6" t="s">
        <v>421</v>
      </c>
      <c r="I2473" s="6" t="s">
        <v>583</v>
      </c>
      <c r="J2473" s="6" t="s">
        <v>345</v>
      </c>
      <c r="K2473" s="10">
        <v>1.965</v>
      </c>
      <c r="L2473" s="10">
        <v>65.5</v>
      </c>
      <c r="M2473" s="6" t="s">
        <v>371</v>
      </c>
    </row>
    <row r="2474" spans="1:13">
      <c r="A2474" s="6">
        <v>2023</v>
      </c>
      <c r="B2474" s="6">
        <v>11</v>
      </c>
      <c r="C2474" s="6" t="s">
        <v>69</v>
      </c>
      <c r="D2474" s="6" t="s">
        <v>887</v>
      </c>
      <c r="E2474" s="6" t="s">
        <v>405</v>
      </c>
      <c r="F2474" s="6" t="str">
        <f>IF($M2474="PADD I","PADD 1",IF($M2474="PADD II","PADD 2",IF($M2474="PADD III","PADD 3",IF($M2474="PADD IV","PADD 4",IF($M2474="PADD V","PADD 5","")))))</f>
        <v>PADD 3</v>
      </c>
      <c r="G2474" s="6" t="str">
        <f>IF(AND($H2474="ATMOS DISTILLATION",ISNUMBER(SEARCH("VPS",$I2474))=FALSE,LEFT($I2474,6)&lt;&gt;"VACUUM"),"CDU",IF($H2474="FLUID CAT CRACKING","FCC",IF(OR($H2474="HYDROCRACKING",$H2474="RESID_HYDROCRACKING"),"Hydrocracker",IF($H2474="REFORMING","Reformer",""))))</f>
        <v>Reformer</v>
      </c>
      <c r="H2474" s="6" t="s">
        <v>421</v>
      </c>
      <c r="I2474" s="6" t="s">
        <v>539</v>
      </c>
      <c r="J2474" s="6" t="s">
        <v>345</v>
      </c>
      <c r="K2474" s="10">
        <v>1.61</v>
      </c>
      <c r="L2474" s="10">
        <v>23</v>
      </c>
      <c r="M2474" s="6" t="s">
        <v>371</v>
      </c>
    </row>
    <row r="2475" spans="1:13">
      <c r="A2475" s="6">
        <v>2023</v>
      </c>
      <c r="B2475" s="6">
        <v>11</v>
      </c>
      <c r="C2475" s="6" t="s">
        <v>69</v>
      </c>
      <c r="D2475" s="6" t="s">
        <v>602</v>
      </c>
      <c r="E2475" s="6" t="s">
        <v>369</v>
      </c>
      <c r="F2475" s="6" t="str">
        <f>IF($M2475="PADD I","PADD 1",IF($M2475="PADD II","PADD 2",IF($M2475="PADD III","PADD 3",IF($M2475="PADD IV","PADD 4",IF($M2475="PADD V","PADD 5","")))))</f>
        <v>PADD 2</v>
      </c>
      <c r="G2475" s="6">
        <f>IF(AND($H2475="ATMOS DISTILLATION",ISNUMBER(SEARCH("VPS",$I2475))=FALSE,LEFT($I2475,6)&lt;&gt;"VACUUM"),"CDU",IF($H2475="FLUID CAT CRACKING","FCC",IF(OR($H2475="HYDROCRACKING",$H2475="RESID_HYDROCRACKING"),"Hydrocracker",IF($H2475="REFORMING","Reformer",""))))</f>
        <v/>
      </c>
      <c r="H2475" s="6" t="s">
        <v>568</v>
      </c>
      <c r="I2475" s="6" t="s">
        <v>1015</v>
      </c>
      <c r="J2475" s="6" t="s">
        <v>349</v>
      </c>
      <c r="K2475" s="10">
        <v>1.56</v>
      </c>
      <c r="L2475" s="10">
        <v>12</v>
      </c>
      <c r="M2475" s="6" t="s">
        <v>375</v>
      </c>
    </row>
    <row r="2476" spans="1:13">
      <c r="A2476" s="6">
        <v>2023</v>
      </c>
      <c r="B2476" s="6">
        <v>11</v>
      </c>
      <c r="C2476" s="6" t="s">
        <v>69</v>
      </c>
      <c r="D2476" s="6" t="s">
        <v>662</v>
      </c>
      <c r="E2476" s="6" t="s">
        <v>552</v>
      </c>
      <c r="F2476" s="6" t="str">
        <f>IF($M2476="PADD I","PADD 1",IF($M2476="PADD II","PADD 2",IF($M2476="PADD III","PADD 3",IF($M2476="PADD IV","PADD 4",IF($M2476="PADD V","PADD 5","")))))</f>
        <v>PADD 3</v>
      </c>
      <c r="G2476" s="6" t="str">
        <f>IF(AND($H2476="ATMOS DISTILLATION",ISNUMBER(SEARCH("VPS",$I2476))=FALSE,LEFT($I2476,6)&lt;&gt;"VACUUM"),"CDU",IF($H2476="FLUID CAT CRACKING","FCC",IF(OR($H2476="HYDROCRACKING",$H2476="RESID_HYDROCRACKING"),"Hydrocracker",IF($H2476="REFORMING","Reformer",""))))</f>
        <v>Reformer</v>
      </c>
      <c r="H2476" s="6" t="s">
        <v>421</v>
      </c>
      <c r="I2476" s="6" t="s">
        <v>1049</v>
      </c>
      <c r="J2476" s="6" t="s">
        <v>349</v>
      </c>
      <c r="K2476" s="10">
        <v>1.505</v>
      </c>
      <c r="L2476" s="10">
        <v>21.5</v>
      </c>
      <c r="M2476" s="6" t="s">
        <v>371</v>
      </c>
    </row>
    <row r="2477" spans="1:13">
      <c r="A2477" s="6">
        <v>2023</v>
      </c>
      <c r="B2477" s="6">
        <v>11</v>
      </c>
      <c r="C2477" s="6" t="s">
        <v>69</v>
      </c>
      <c r="D2477" s="6" t="s">
        <v>1063</v>
      </c>
      <c r="E2477" s="6" t="s">
        <v>388</v>
      </c>
      <c r="F2477" s="6" t="str">
        <f>IF($M2477="PADD I","PADD 1",IF($M2477="PADD II","PADD 2",IF($M2477="PADD III","PADD 3",IF($M2477="PADD IV","PADD 4",IF($M2477="PADD V","PADD 5","")))))</f>
        <v>PADD 2</v>
      </c>
      <c r="G2477" s="6" t="str">
        <f>IF(AND($H2477="ATMOS DISTILLATION",ISNUMBER(SEARCH("VPS",$I2477))=FALSE,LEFT($I2477,6)&lt;&gt;"VACUUM"),"CDU",IF($H2477="FLUID CAT CRACKING","FCC",IF(OR($H2477="HYDROCRACKING",$H2477="RESID_HYDROCRACKING"),"Hydrocracker",IF($H2477="REFORMING","Reformer",""))))</f>
        <v>FCC</v>
      </c>
      <c r="H2477" s="6" t="s">
        <v>376</v>
      </c>
      <c r="I2477" s="6" t="s">
        <v>105</v>
      </c>
      <c r="J2477" s="6" t="s">
        <v>345</v>
      </c>
      <c r="K2477" s="10">
        <v>1.5</v>
      </c>
      <c r="L2477" s="10">
        <v>50</v>
      </c>
      <c r="M2477" s="6" t="s">
        <v>375</v>
      </c>
    </row>
    <row r="2478" spans="1:13">
      <c r="A2478" s="6">
        <v>2023</v>
      </c>
      <c r="B2478" s="6">
        <v>11</v>
      </c>
      <c r="C2478" s="6" t="s">
        <v>69</v>
      </c>
      <c r="D2478" s="6" t="s">
        <v>799</v>
      </c>
      <c r="E2478" s="6" t="s">
        <v>391</v>
      </c>
      <c r="F2478" s="6" t="str">
        <f>IF($M2478="PADD I","PADD 1",IF($M2478="PADD II","PADD 2",IF($M2478="PADD III","PADD 3",IF($M2478="PADD IV","PADD 4",IF($M2478="PADD V","PADD 5","")))))</f>
        <v>PADD 4</v>
      </c>
      <c r="G2478" s="6">
        <f>IF(AND($H2478="ATMOS DISTILLATION",ISNUMBER(SEARCH("VPS",$I2478))=FALSE,LEFT($I2478,6)&lt;&gt;"VACUUM"),"CDU",IF($H2478="FLUID CAT CRACKING","FCC",IF(OR($H2478="HYDROCRACKING",$H2478="RESID_HYDROCRACKING"),"Hydrocracker",IF($H2478="REFORMING","Reformer",""))))</f>
        <v/>
      </c>
      <c r="H2478" s="6" t="s">
        <v>43</v>
      </c>
      <c r="I2478" s="6" t="s">
        <v>1067</v>
      </c>
      <c r="J2478" s="6" t="s">
        <v>345</v>
      </c>
      <c r="K2478" s="10">
        <v>1.5</v>
      </c>
      <c r="L2478" s="10">
        <v>15</v>
      </c>
      <c r="M2478" s="6" t="s">
        <v>430</v>
      </c>
    </row>
    <row r="2479" spans="1:13">
      <c r="A2479" s="6">
        <v>2023</v>
      </c>
      <c r="B2479" s="6">
        <v>11</v>
      </c>
      <c r="C2479" s="6" t="s">
        <v>69</v>
      </c>
      <c r="D2479" s="6" t="s">
        <v>730</v>
      </c>
      <c r="E2479" s="6" t="s">
        <v>731</v>
      </c>
      <c r="F2479" s="6" t="str">
        <f>IF($M2479="PADD I","PADD 1",IF($M2479="PADD II","PADD 2",IF($M2479="PADD III","PADD 3",IF($M2479="PADD IV","PADD 4",IF($M2479="PADD V","PADD 5","")))))</f>
        <v>PADD 3</v>
      </c>
      <c r="G2479" s="6">
        <f>IF(AND($H2479="ATMOS DISTILLATION",ISNUMBER(SEARCH("VPS",$I2479))=FALSE,LEFT($I2479,6)&lt;&gt;"VACUUM"),"CDU",IF($H2479="FLUID CAT CRACKING","FCC",IF(OR($H2479="HYDROCRACKING",$H2479="RESID_HYDROCRACKING"),"Hydrocracker",IF($H2479="REFORMING","Reformer",""))))</f>
        <v/>
      </c>
      <c r="H2479" s="6" t="s">
        <v>460</v>
      </c>
      <c r="I2479" s="6" t="s">
        <v>616</v>
      </c>
      <c r="J2479" s="6" t="s">
        <v>349</v>
      </c>
      <c r="K2479" s="10">
        <v>1.48</v>
      </c>
      <c r="L2479" s="10">
        <v>4</v>
      </c>
      <c r="M2479" s="6" t="s">
        <v>371</v>
      </c>
    </row>
    <row r="2480" spans="1:13">
      <c r="A2480" s="6">
        <v>2023</v>
      </c>
      <c r="B2480" s="6">
        <v>11</v>
      </c>
      <c r="C2480" s="6" t="s">
        <v>69</v>
      </c>
      <c r="D2480" s="6" t="s">
        <v>457</v>
      </c>
      <c r="E2480" s="6" t="s">
        <v>388</v>
      </c>
      <c r="F2480" s="6" t="str">
        <f>IF($M2480="PADD I","PADD 1",IF($M2480="PADD II","PADD 2",IF($M2480="PADD III","PADD 3",IF($M2480="PADD IV","PADD 4",IF($M2480="PADD V","PADD 5","")))))</f>
        <v>PADD 5</v>
      </c>
      <c r="G2480" s="6" t="str">
        <f>IF(AND($H2480="ATMOS DISTILLATION",ISNUMBER(SEARCH("VPS",$I2480))=FALSE,LEFT($I2480,6)&lt;&gt;"VACUUM"),"CDU",IF($H2480="FLUID CAT CRACKING","FCC",IF(OR($H2480="HYDROCRACKING",$H2480="RESID_HYDROCRACKING"),"Hydrocracker",IF($H2480="REFORMING","Reformer",""))))</f>
        <v>Reformer</v>
      </c>
      <c r="H2480" s="6" t="s">
        <v>421</v>
      </c>
      <c r="I2480" s="6" t="s">
        <v>557</v>
      </c>
      <c r="J2480" s="6" t="s">
        <v>345</v>
      </c>
      <c r="K2480" s="10">
        <v>1.4</v>
      </c>
      <c r="L2480" s="10">
        <v>20</v>
      </c>
      <c r="M2480" s="6" t="s">
        <v>386</v>
      </c>
    </row>
    <row r="2481" spans="1:13">
      <c r="A2481" s="6">
        <v>2023</v>
      </c>
      <c r="B2481" s="6">
        <v>11</v>
      </c>
      <c r="C2481" s="6" t="s">
        <v>69</v>
      </c>
      <c r="D2481" s="6" t="s">
        <v>48</v>
      </c>
      <c r="E2481" s="6" t="s">
        <v>388</v>
      </c>
      <c r="F2481" s="6" t="str">
        <f>IF($M2481="PADD I","PADD 1",IF($M2481="PADD II","PADD 2",IF($M2481="PADD III","PADD 3",IF($M2481="PADD IV","PADD 4",IF($M2481="PADD V","PADD 5","")))))</f>
        <v>PADD 2</v>
      </c>
      <c r="G2481" s="6" t="str">
        <f>IF(AND($H2481="ATMOS DISTILLATION",ISNUMBER(SEARCH("VPS",$I2481))=FALSE,LEFT($I2481,6)&lt;&gt;"VACUUM"),"CDU",IF($H2481="FLUID CAT CRACKING","FCC",IF(OR($H2481="HYDROCRACKING",$H2481="RESID_HYDROCRACKING"),"Hydrocracker",IF($H2481="REFORMING","Reformer",""))))</f>
        <v>Hydrocracker</v>
      </c>
      <c r="H2481" s="6" t="s">
        <v>444</v>
      </c>
      <c r="I2481" s="6" t="s">
        <v>758</v>
      </c>
      <c r="J2481" s="6" t="s">
        <v>345</v>
      </c>
      <c r="K2481" s="10">
        <v>1.32</v>
      </c>
      <c r="L2481" s="10">
        <v>44</v>
      </c>
      <c r="M2481" s="6" t="s">
        <v>375</v>
      </c>
    </row>
    <row r="2482" spans="1:13">
      <c r="A2482" s="6">
        <v>2023</v>
      </c>
      <c r="B2482" s="6">
        <v>11</v>
      </c>
      <c r="C2482" s="6" t="s">
        <v>69</v>
      </c>
      <c r="D2482" s="6" t="s">
        <v>434</v>
      </c>
      <c r="E2482" s="6" t="s">
        <v>388</v>
      </c>
      <c r="F2482" s="6" t="str">
        <f>IF($M2482="PADD I","PADD 1",IF($M2482="PADD II","PADD 2",IF($M2482="PADD III","PADD 3",IF($M2482="PADD IV","PADD 4",IF($M2482="PADD V","PADD 5","")))))</f>
        <v>PADD 5</v>
      </c>
      <c r="G2482" s="6">
        <f>IF(AND($H2482="ATMOS DISTILLATION",ISNUMBER(SEARCH("VPS",$I2482))=FALSE,LEFT($I2482,6)&lt;&gt;"VACUUM"),"CDU",IF($H2482="FLUID CAT CRACKING","FCC",IF(OR($H2482="HYDROCRACKING",$H2482="RESID_HYDROCRACKING"),"Hydrocracker",IF($H2482="REFORMING","Reformer",""))))</f>
        <v/>
      </c>
      <c r="H2482" s="6" t="s">
        <v>435</v>
      </c>
      <c r="I2482" s="6" t="s">
        <v>436</v>
      </c>
      <c r="J2482" s="6" t="s">
        <v>345</v>
      </c>
      <c r="K2482" s="10">
        <v>1.26</v>
      </c>
      <c r="L2482" s="10">
        <v>42</v>
      </c>
      <c r="M2482" s="6" t="s">
        <v>386</v>
      </c>
    </row>
    <row r="2483" spans="1:13">
      <c r="A2483" s="6">
        <v>2023</v>
      </c>
      <c r="B2483" s="6">
        <v>11</v>
      </c>
      <c r="C2483" s="6" t="s">
        <v>69</v>
      </c>
      <c r="D2483" s="6" t="s">
        <v>40</v>
      </c>
      <c r="E2483" s="6" t="s">
        <v>736</v>
      </c>
      <c r="F2483" s="6" t="str">
        <f>IF($M2483="PADD I","PADD 1",IF($M2483="PADD II","PADD 2",IF($M2483="PADD III","PADD 3",IF($M2483="PADD IV","PADD 4",IF($M2483="PADD V","PADD 5","")))))</f>
        <v>PADD 1</v>
      </c>
      <c r="G2483" s="6">
        <f>IF(AND($H2483="ATMOS DISTILLATION",ISNUMBER(SEARCH("VPS",$I2483))=FALSE,LEFT($I2483,6)&lt;&gt;"VACUUM"),"CDU",IF($H2483="FLUID CAT CRACKING","FCC",IF(OR($H2483="HYDROCRACKING",$H2483="RESID_HYDROCRACKING"),"Hydrocracker",IF($H2483="REFORMING","Reformer",""))))</f>
        <v/>
      </c>
      <c r="H2483" s="6" t="s">
        <v>43</v>
      </c>
      <c r="I2483" s="6" t="s">
        <v>1029</v>
      </c>
      <c r="J2483" s="6" t="s">
        <v>349</v>
      </c>
      <c r="K2483" s="10">
        <v>1.26</v>
      </c>
      <c r="L2483" s="10">
        <v>4.2</v>
      </c>
      <c r="M2483" s="6" t="s">
        <v>413</v>
      </c>
    </row>
    <row r="2484" spans="1:13">
      <c r="A2484" s="6">
        <v>2023</v>
      </c>
      <c r="B2484" s="6">
        <v>11</v>
      </c>
      <c r="C2484" s="6" t="s">
        <v>69</v>
      </c>
      <c r="D2484" s="6" t="s">
        <v>602</v>
      </c>
      <c r="E2484" s="6" t="s">
        <v>369</v>
      </c>
      <c r="F2484" s="6" t="str">
        <f>IF($M2484="PADD I","PADD 1",IF($M2484="PADD II","PADD 2",IF($M2484="PADD III","PADD 3",IF($M2484="PADD IV","PADD 4",IF($M2484="PADD V","PADD 5","")))))</f>
        <v>PADD 2</v>
      </c>
      <c r="G2484" s="6">
        <f>IF(AND($H2484="ATMOS DISTILLATION",ISNUMBER(SEARCH("VPS",$I2484))=FALSE,LEFT($I2484,6)&lt;&gt;"VACUUM"),"CDU",IF($H2484="FLUID CAT CRACKING","FCC",IF(OR($H2484="HYDROCRACKING",$H2484="RESID_HYDROCRACKING"),"Hydrocracker",IF($H2484="REFORMING","Reformer",""))))</f>
        <v/>
      </c>
      <c r="H2484" s="6" t="s">
        <v>568</v>
      </c>
      <c r="I2484" s="6" t="s">
        <v>604</v>
      </c>
      <c r="J2484" s="6" t="s">
        <v>349</v>
      </c>
      <c r="K2484" s="10">
        <v>1.17</v>
      </c>
      <c r="L2484" s="10">
        <v>9</v>
      </c>
      <c r="M2484" s="6" t="s">
        <v>375</v>
      </c>
    </row>
    <row r="2485" spans="1:13">
      <c r="A2485" s="6">
        <v>2023</v>
      </c>
      <c r="B2485" s="6">
        <v>11</v>
      </c>
      <c r="C2485" s="6" t="s">
        <v>69</v>
      </c>
      <c r="D2485" s="6" t="s">
        <v>1063</v>
      </c>
      <c r="E2485" s="6" t="s">
        <v>388</v>
      </c>
      <c r="F2485" s="6" t="str">
        <f>IF($M2485="PADD I","PADD 1",IF($M2485="PADD II","PADD 2",IF($M2485="PADD III","PADD 3",IF($M2485="PADD IV","PADD 4",IF($M2485="PADD V","PADD 5","")))))</f>
        <v>PADD 2</v>
      </c>
      <c r="G2485" s="6">
        <f>IF(AND($H2485="ATMOS DISTILLATION",ISNUMBER(SEARCH("VPS",$I2485))=FALSE,LEFT($I2485,6)&lt;&gt;"VACUUM"),"CDU",IF($H2485="FLUID CAT CRACKING","FCC",IF(OR($H2485="HYDROCRACKING",$H2485="RESID_HYDROCRACKING"),"Hydrocracker",IF($H2485="REFORMING","Reformer",""))))</f>
        <v/>
      </c>
      <c r="H2485" s="6" t="s">
        <v>378</v>
      </c>
      <c r="I2485" s="6" t="s">
        <v>431</v>
      </c>
      <c r="J2485" s="6" t="s">
        <v>345</v>
      </c>
      <c r="K2485" s="10">
        <v>1.14</v>
      </c>
      <c r="L2485" s="10">
        <v>38</v>
      </c>
      <c r="M2485" s="6" t="s">
        <v>375</v>
      </c>
    </row>
    <row r="2486" spans="1:13">
      <c r="A2486" s="6">
        <v>2023</v>
      </c>
      <c r="B2486" s="6">
        <v>11</v>
      </c>
      <c r="C2486" s="6" t="s">
        <v>69</v>
      </c>
      <c r="D2486" s="6" t="s">
        <v>1063</v>
      </c>
      <c r="E2486" s="6" t="s">
        <v>388</v>
      </c>
      <c r="F2486" s="6" t="str">
        <f>IF($M2486="PADD I","PADD 1",IF($M2486="PADD II","PADD 2",IF($M2486="PADD III","PADD 3",IF($M2486="PADD IV","PADD 4",IF($M2486="PADD V","PADD 5","")))))</f>
        <v>PADD 2</v>
      </c>
      <c r="G2486" s="6">
        <f>IF(AND($H2486="ATMOS DISTILLATION",ISNUMBER(SEARCH("VPS",$I2486))=FALSE,LEFT($I2486,6)&lt;&gt;"VACUUM"),"CDU",IF($H2486="FLUID CAT CRACKING","FCC",IF(OR($H2486="HYDROCRACKING",$H2486="RESID_HYDROCRACKING"),"Hydrocracker",IF($H2486="REFORMING","Reformer",""))))</f>
        <v/>
      </c>
      <c r="H2486" s="6" t="s">
        <v>43</v>
      </c>
      <c r="I2486" s="6" t="s">
        <v>449</v>
      </c>
      <c r="J2486" s="6" t="s">
        <v>345</v>
      </c>
      <c r="K2486" s="10">
        <v>0.99</v>
      </c>
      <c r="L2486" s="10">
        <v>33</v>
      </c>
      <c r="M2486" s="6" t="s">
        <v>375</v>
      </c>
    </row>
    <row r="2487" spans="1:13">
      <c r="A2487" s="6">
        <v>2023</v>
      </c>
      <c r="B2487" s="6">
        <v>11</v>
      </c>
      <c r="C2487" s="6" t="s">
        <v>69</v>
      </c>
      <c r="D2487" s="6" t="s">
        <v>1063</v>
      </c>
      <c r="E2487" s="6" t="s">
        <v>388</v>
      </c>
      <c r="F2487" s="6" t="str">
        <f>IF($M2487="PADD I","PADD 1",IF($M2487="PADD II","PADD 2",IF($M2487="PADD III","PADD 3",IF($M2487="PADD IV","PADD 4",IF($M2487="PADD V","PADD 5","")))))</f>
        <v>PADD 2</v>
      </c>
      <c r="G2487" s="6">
        <f>IF(AND($H2487="ATMOS DISTILLATION",ISNUMBER(SEARCH("VPS",$I2487))=FALSE,LEFT($I2487,6)&lt;&gt;"VACUUM"),"CDU",IF($H2487="FLUID CAT CRACKING","FCC",IF(OR($H2487="HYDROCRACKING",$H2487="RESID_HYDROCRACKING"),"Hydrocracker",IF($H2487="REFORMING","Reformer",""))))</f>
        <v/>
      </c>
      <c r="H2487" s="6" t="s">
        <v>43</v>
      </c>
      <c r="I2487" s="6" t="s">
        <v>1068</v>
      </c>
      <c r="J2487" s="6" t="s">
        <v>345</v>
      </c>
      <c r="K2487" s="10">
        <v>0.93</v>
      </c>
      <c r="L2487" s="10">
        <v>31</v>
      </c>
      <c r="M2487" s="6" t="s">
        <v>375</v>
      </c>
    </row>
    <row r="2488" spans="1:13">
      <c r="A2488" s="6">
        <v>2023</v>
      </c>
      <c r="B2488" s="6">
        <v>11</v>
      </c>
      <c r="C2488" s="6" t="s">
        <v>69</v>
      </c>
      <c r="D2488" s="6" t="s">
        <v>547</v>
      </c>
      <c r="E2488" s="6" t="s">
        <v>391</v>
      </c>
      <c r="F2488" s="6" t="str">
        <f>IF($M2488="PADD I","PADD 1",IF($M2488="PADD II","PADD 2",IF($M2488="PADD III","PADD 3",IF($M2488="PADD IV","PADD 4",IF($M2488="PADD V","PADD 5","")))))</f>
        <v>PADD 5</v>
      </c>
      <c r="G2488" s="6">
        <f>IF(AND($H2488="ATMOS DISTILLATION",ISNUMBER(SEARCH("VPS",$I2488))=FALSE,LEFT($I2488,6)&lt;&gt;"VACUUM"),"CDU",IF($H2488="FLUID CAT CRACKING","FCC",IF(OR($H2488="HYDROCRACKING",$H2488="RESID_HYDROCRACKING"),"Hydrocracker",IF($H2488="REFORMING","Reformer",""))))</f>
        <v/>
      </c>
      <c r="H2488" s="6" t="s">
        <v>568</v>
      </c>
      <c r="I2488" s="6" t="s">
        <v>938</v>
      </c>
      <c r="J2488" s="6" t="s">
        <v>345</v>
      </c>
      <c r="K2488" s="10">
        <v>0.86</v>
      </c>
      <c r="L2488" s="10">
        <v>8.6</v>
      </c>
      <c r="M2488" s="6" t="s">
        <v>386</v>
      </c>
    </row>
    <row r="2489" spans="1:13">
      <c r="A2489" s="6">
        <v>2023</v>
      </c>
      <c r="B2489" s="6">
        <v>11</v>
      </c>
      <c r="C2489" s="6" t="s">
        <v>69</v>
      </c>
      <c r="D2489" s="6" t="s">
        <v>1063</v>
      </c>
      <c r="E2489" s="6" t="s">
        <v>388</v>
      </c>
      <c r="F2489" s="6" t="str">
        <f>IF($M2489="PADD I","PADD 1",IF($M2489="PADD II","PADD 2",IF($M2489="PADD III","PADD 3",IF($M2489="PADD IV","PADD 4",IF($M2489="PADD V","PADD 5","")))))</f>
        <v>PADD 2</v>
      </c>
      <c r="G2489" s="6">
        <f>IF(AND($H2489="ATMOS DISTILLATION",ISNUMBER(SEARCH("VPS",$I2489))=FALSE,LEFT($I2489,6)&lt;&gt;"VACUUM"),"CDU",IF($H2489="FLUID CAT CRACKING","FCC",IF(OR($H2489="HYDROCRACKING",$H2489="RESID_HYDROCRACKING"),"Hydrocracker",IF($H2489="REFORMING","Reformer",""))))</f>
        <v/>
      </c>
      <c r="H2489" s="6" t="s">
        <v>435</v>
      </c>
      <c r="I2489" s="6" t="s">
        <v>441</v>
      </c>
      <c r="J2489" s="6" t="s">
        <v>345</v>
      </c>
      <c r="K2489" s="10">
        <v>0.84</v>
      </c>
      <c r="L2489" s="10">
        <v>28</v>
      </c>
      <c r="M2489" s="6" t="s">
        <v>375</v>
      </c>
    </row>
    <row r="2490" spans="1:13">
      <c r="A2490" s="6">
        <v>2023</v>
      </c>
      <c r="B2490" s="6">
        <v>11</v>
      </c>
      <c r="C2490" s="6" t="s">
        <v>69</v>
      </c>
      <c r="D2490" s="6" t="s">
        <v>801</v>
      </c>
      <c r="E2490" s="6" t="s">
        <v>779</v>
      </c>
      <c r="F2490" s="6" t="str">
        <f>IF($M2490="PADD I","PADD 1",IF($M2490="PADD II","PADD 2",IF($M2490="PADD III","PADD 3",IF($M2490="PADD IV","PADD 4",IF($M2490="PADD V","PADD 5","")))))</f>
        <v>PADD 2</v>
      </c>
      <c r="G2490" s="6">
        <f>IF(AND($H2490="ATMOS DISTILLATION",ISNUMBER(SEARCH("VPS",$I2490))=FALSE,LEFT($I2490,6)&lt;&gt;"VACUUM"),"CDU",IF($H2490="FLUID CAT CRACKING","FCC",IF(OR($H2490="HYDROCRACKING",$H2490="RESID_HYDROCRACKING"),"Hydrocracker",IF($H2490="REFORMING","Reformer",""))))</f>
        <v/>
      </c>
      <c r="H2490" s="6" t="s">
        <v>460</v>
      </c>
      <c r="I2490" s="6" t="s">
        <v>461</v>
      </c>
      <c r="J2490" s="6" t="s">
        <v>349</v>
      </c>
      <c r="K2490" s="10">
        <v>0.84</v>
      </c>
      <c r="L2490" s="10">
        <v>12</v>
      </c>
      <c r="M2490" s="6" t="s">
        <v>375</v>
      </c>
    </row>
    <row r="2491" spans="1:13">
      <c r="A2491" s="6">
        <v>2023</v>
      </c>
      <c r="B2491" s="6">
        <v>11</v>
      </c>
      <c r="C2491" s="6" t="s">
        <v>69</v>
      </c>
      <c r="D2491" s="6" t="s">
        <v>632</v>
      </c>
      <c r="E2491" s="6" t="s">
        <v>633</v>
      </c>
      <c r="F2491" s="6" t="str">
        <f>IF($M2491="PADD I","PADD 1",IF($M2491="PADD II","PADD 2",IF($M2491="PADD III","PADD 3",IF($M2491="PADD IV","PADD 4",IF($M2491="PADD V","PADD 5","")))))</f>
        <v>PADD 4</v>
      </c>
      <c r="G2491" s="6">
        <f>IF(AND($H2491="ATMOS DISTILLATION",ISNUMBER(SEARCH("VPS",$I2491))=FALSE,LEFT($I2491,6)&lt;&gt;"VACUUM"),"CDU",IF($H2491="FLUID CAT CRACKING","FCC",IF(OR($H2491="HYDROCRACKING",$H2491="RESID_HYDROCRACKING"),"Hydrocracker",IF($H2491="REFORMING","Reformer",""))))</f>
        <v/>
      </c>
      <c r="H2491" s="6" t="s">
        <v>43</v>
      </c>
      <c r="I2491" s="6" t="s">
        <v>674</v>
      </c>
      <c r="J2491" s="6" t="s">
        <v>345</v>
      </c>
      <c r="K2491" s="10">
        <v>0.805</v>
      </c>
      <c r="L2491" s="10">
        <v>11.5</v>
      </c>
      <c r="M2491" s="6" t="s">
        <v>430</v>
      </c>
    </row>
    <row r="2492" spans="1:13">
      <c r="A2492" s="6">
        <v>2023</v>
      </c>
      <c r="B2492" s="6">
        <v>11</v>
      </c>
      <c r="C2492" s="6" t="s">
        <v>69</v>
      </c>
      <c r="D2492" s="6" t="s">
        <v>662</v>
      </c>
      <c r="E2492" s="6" t="s">
        <v>552</v>
      </c>
      <c r="F2492" s="6" t="str">
        <f>IF($M2492="PADD I","PADD 1",IF($M2492="PADD II","PADD 2",IF($M2492="PADD III","PADD 3",IF($M2492="PADD IV","PADD 4",IF($M2492="PADD V","PADD 5","")))))</f>
        <v>PADD 3</v>
      </c>
      <c r="G2492" s="6">
        <f>IF(AND($H2492="ATMOS DISTILLATION",ISNUMBER(SEARCH("VPS",$I2492))=FALSE,LEFT($I2492,6)&lt;&gt;"VACUUM"),"CDU",IF($H2492="FLUID CAT CRACKING","FCC",IF(OR($H2492="HYDROCRACKING",$H2492="RESID_HYDROCRACKING"),"Hydrocracker",IF($H2492="REFORMING","Reformer",""))))</f>
        <v/>
      </c>
      <c r="H2492" s="6" t="s">
        <v>43</v>
      </c>
      <c r="I2492" s="6" t="s">
        <v>927</v>
      </c>
      <c r="J2492" s="6" t="s">
        <v>349</v>
      </c>
      <c r="K2492" s="10">
        <v>0.765</v>
      </c>
      <c r="L2492" s="10">
        <v>25.5</v>
      </c>
      <c r="M2492" s="6" t="s">
        <v>371</v>
      </c>
    </row>
    <row r="2493" spans="1:13">
      <c r="A2493" s="6">
        <v>2023</v>
      </c>
      <c r="B2493" s="6">
        <v>11</v>
      </c>
      <c r="C2493" s="6" t="s">
        <v>69</v>
      </c>
      <c r="D2493" s="6" t="s">
        <v>662</v>
      </c>
      <c r="E2493" s="6" t="s">
        <v>552</v>
      </c>
      <c r="F2493" s="6" t="str">
        <f>IF($M2493="PADD I","PADD 1",IF($M2493="PADD II","PADD 2",IF($M2493="PADD III","PADD 3",IF($M2493="PADD IV","PADD 4",IF($M2493="PADD V","PADD 5","")))))</f>
        <v>PADD 3</v>
      </c>
      <c r="G2493" s="6">
        <f>IF(AND($H2493="ATMOS DISTILLATION",ISNUMBER(SEARCH("VPS",$I2493))=FALSE,LEFT($I2493,6)&lt;&gt;"VACUUM"),"CDU",IF($H2493="FLUID CAT CRACKING","FCC",IF(OR($H2493="HYDROCRACKING",$H2493="RESID_HYDROCRACKING"),"Hydrocracker",IF($H2493="REFORMING","Reformer",""))))</f>
        <v/>
      </c>
      <c r="H2493" s="6" t="s">
        <v>43</v>
      </c>
      <c r="I2493" s="6" t="s">
        <v>735</v>
      </c>
      <c r="J2493" s="6" t="s">
        <v>349</v>
      </c>
      <c r="K2493" s="10">
        <v>0.6899999999999999</v>
      </c>
      <c r="L2493" s="10">
        <v>23</v>
      </c>
      <c r="M2493" s="6" t="s">
        <v>371</v>
      </c>
    </row>
    <row r="2494" spans="1:13">
      <c r="A2494" s="6">
        <v>2023</v>
      </c>
      <c r="B2494" s="6">
        <v>11</v>
      </c>
      <c r="C2494" s="6" t="s">
        <v>69</v>
      </c>
      <c r="D2494" s="6" t="s">
        <v>662</v>
      </c>
      <c r="E2494" s="6" t="s">
        <v>552</v>
      </c>
      <c r="F2494" s="6" t="str">
        <f>IF($M2494="PADD I","PADD 1",IF($M2494="PADD II","PADD 2",IF($M2494="PADD III","PADD 3",IF($M2494="PADD IV","PADD 4",IF($M2494="PADD V","PADD 5","")))))</f>
        <v>PADD 3</v>
      </c>
      <c r="G2494" s="6" t="str">
        <f>IF(AND($H2494="ATMOS DISTILLATION",ISNUMBER(SEARCH("VPS",$I2494))=FALSE,LEFT($I2494,6)&lt;&gt;"VACUUM"),"CDU",IF($H2494="FLUID CAT CRACKING","FCC",IF(OR($H2494="HYDROCRACKING",$H2494="RESID_HYDROCRACKING"),"Hydrocracker",IF($H2494="REFORMING","Reformer",""))))</f>
        <v>Reformer</v>
      </c>
      <c r="H2494" s="6" t="s">
        <v>421</v>
      </c>
      <c r="I2494" s="6" t="s">
        <v>1049</v>
      </c>
      <c r="J2494" s="6" t="s">
        <v>349</v>
      </c>
      <c r="K2494" s="10">
        <v>0.645</v>
      </c>
      <c r="L2494" s="10">
        <v>21.5</v>
      </c>
      <c r="M2494" s="6" t="s">
        <v>371</v>
      </c>
    </row>
    <row r="2495" spans="1:13">
      <c r="A2495" s="6">
        <v>2023</v>
      </c>
      <c r="B2495" s="6">
        <v>11</v>
      </c>
      <c r="C2495" s="6" t="s">
        <v>69</v>
      </c>
      <c r="D2495" s="6" t="s">
        <v>1063</v>
      </c>
      <c r="E2495" s="6" t="s">
        <v>388</v>
      </c>
      <c r="F2495" s="6" t="str">
        <f>IF($M2495="PADD I","PADD 1",IF($M2495="PADD II","PADD 2",IF($M2495="PADD III","PADD 3",IF($M2495="PADD IV","PADD 4",IF($M2495="PADD V","PADD 5","")))))</f>
        <v>PADD 2</v>
      </c>
      <c r="G2495" s="6" t="str">
        <f>IF(AND($H2495="ATMOS DISTILLATION",ISNUMBER(SEARCH("VPS",$I2495))=FALSE,LEFT($I2495,6)&lt;&gt;"VACUUM"),"CDU",IF($H2495="FLUID CAT CRACKING","FCC",IF(OR($H2495="HYDROCRACKING",$H2495="RESID_HYDROCRACKING"),"Hydrocracker",IF($H2495="REFORMING","Reformer",""))))</f>
        <v>Reformer</v>
      </c>
      <c r="H2495" s="6" t="s">
        <v>421</v>
      </c>
      <c r="I2495" s="6" t="s">
        <v>1069</v>
      </c>
      <c r="J2495" s="6" t="s">
        <v>345</v>
      </c>
      <c r="K2495" s="10">
        <v>0.6</v>
      </c>
      <c r="L2495" s="10">
        <v>20</v>
      </c>
      <c r="M2495" s="6" t="s">
        <v>375</v>
      </c>
    </row>
    <row r="2496" spans="1:13">
      <c r="A2496" s="6">
        <v>2023</v>
      </c>
      <c r="B2496" s="6">
        <v>11</v>
      </c>
      <c r="C2496" s="6" t="s">
        <v>69</v>
      </c>
      <c r="D2496" s="6" t="s">
        <v>632</v>
      </c>
      <c r="E2496" s="6" t="s">
        <v>633</v>
      </c>
      <c r="F2496" s="6" t="str">
        <f>IF($M2496="PADD I","PADD 1",IF($M2496="PADD II","PADD 2",IF($M2496="PADD III","PADD 3",IF($M2496="PADD IV","PADD 4",IF($M2496="PADD V","PADD 5","")))))</f>
        <v>PADD 4</v>
      </c>
      <c r="G2496" s="6" t="str">
        <f>IF(AND($H2496="ATMOS DISTILLATION",ISNUMBER(SEARCH("VPS",$I2496))=FALSE,LEFT($I2496,6)&lt;&gt;"VACUUM"),"CDU",IF($H2496="FLUID CAT CRACKING","FCC",IF(OR($H2496="HYDROCRACKING",$H2496="RESID_HYDROCRACKING"),"Hydrocracker",IF($H2496="REFORMING","Reformer",""))))</f>
        <v>Reformer</v>
      </c>
      <c r="H2496" s="6" t="s">
        <v>421</v>
      </c>
      <c r="I2496" s="6" t="s">
        <v>1070</v>
      </c>
      <c r="J2496" s="6" t="s">
        <v>345</v>
      </c>
      <c r="K2496" s="10">
        <v>0.595</v>
      </c>
      <c r="L2496" s="10">
        <v>8.5</v>
      </c>
      <c r="M2496" s="6" t="s">
        <v>430</v>
      </c>
    </row>
    <row r="2497" spans="1:13">
      <c r="A2497" s="6">
        <v>2023</v>
      </c>
      <c r="B2497" s="6">
        <v>11</v>
      </c>
      <c r="C2497" s="6" t="s">
        <v>69</v>
      </c>
      <c r="D2497" s="6" t="s">
        <v>48</v>
      </c>
      <c r="E2497" s="6" t="s">
        <v>388</v>
      </c>
      <c r="F2497" s="6" t="str">
        <f>IF($M2497="PADD I","PADD 1",IF($M2497="PADD II","PADD 2",IF($M2497="PADD III","PADD 3",IF($M2497="PADD IV","PADD 4",IF($M2497="PADD V","PADD 5","")))))</f>
        <v>PADD 2</v>
      </c>
      <c r="G2497" s="6">
        <f>IF(AND($H2497="ATMOS DISTILLATION",ISNUMBER(SEARCH("VPS",$I2497))=FALSE,LEFT($I2497,6)&lt;&gt;"VACUUM"),"CDU",IF($H2497="FLUID CAT CRACKING","FCC",IF(OR($H2497="HYDROCRACKING",$H2497="RESID_HYDROCRACKING"),"Hydrocracker",IF($H2497="REFORMING","Reformer",""))))</f>
        <v/>
      </c>
      <c r="H2497" s="6" t="s">
        <v>435</v>
      </c>
      <c r="I2497" s="6" t="s">
        <v>754</v>
      </c>
      <c r="J2497" s="6" t="s">
        <v>345</v>
      </c>
      <c r="K2497" s="10">
        <v>0.555</v>
      </c>
      <c r="L2497" s="10">
        <v>18.5</v>
      </c>
      <c r="M2497" s="6" t="s">
        <v>375</v>
      </c>
    </row>
    <row r="2498" spans="1:13">
      <c r="A2498" s="6">
        <v>2023</v>
      </c>
      <c r="B2498" s="6">
        <v>11</v>
      </c>
      <c r="C2498" s="6" t="s">
        <v>69</v>
      </c>
      <c r="D2498" s="6" t="s">
        <v>1063</v>
      </c>
      <c r="E2498" s="6" t="s">
        <v>388</v>
      </c>
      <c r="F2498" s="6" t="str">
        <f>IF($M2498="PADD I","PADD 1",IF($M2498="PADD II","PADD 2",IF($M2498="PADD III","PADD 3",IF($M2498="PADD IV","PADD 4",IF($M2498="PADD V","PADD 5","")))))</f>
        <v>PADD 2</v>
      </c>
      <c r="G2498" s="6">
        <f>IF(AND($H2498="ATMOS DISTILLATION",ISNUMBER(SEARCH("VPS",$I2498))=FALSE,LEFT($I2498,6)&lt;&gt;"VACUUM"),"CDU",IF($H2498="FLUID CAT CRACKING","FCC",IF(OR($H2498="HYDROCRACKING",$H2498="RESID_HYDROCRACKING"),"Hydrocracker",IF($H2498="REFORMING","Reformer",""))))</f>
        <v/>
      </c>
      <c r="H2498" s="6" t="s">
        <v>523</v>
      </c>
      <c r="I2498" s="6" t="s">
        <v>1071</v>
      </c>
      <c r="J2498" s="6" t="s">
        <v>345</v>
      </c>
      <c r="K2498" s="10">
        <v>0.54</v>
      </c>
      <c r="L2498" s="10">
        <v>18</v>
      </c>
      <c r="M2498" s="6" t="s">
        <v>375</v>
      </c>
    </row>
    <row r="2499" spans="1:13">
      <c r="A2499" s="6">
        <v>2023</v>
      </c>
      <c r="B2499" s="6">
        <v>11</v>
      </c>
      <c r="C2499" s="6" t="s">
        <v>69</v>
      </c>
      <c r="D2499" s="6" t="s">
        <v>662</v>
      </c>
      <c r="E2499" s="6" t="s">
        <v>552</v>
      </c>
      <c r="F2499" s="6" t="str">
        <f>IF($M2499="PADD I","PADD 1",IF($M2499="PADD II","PADD 2",IF($M2499="PADD III","PADD 3",IF($M2499="PADD IV","PADD 4",IF($M2499="PADD V","PADD 5","")))))</f>
        <v>PADD 3</v>
      </c>
      <c r="G2499" s="6">
        <f>IF(AND($H2499="ATMOS DISTILLATION",ISNUMBER(SEARCH("VPS",$I2499))=FALSE,LEFT($I2499,6)&lt;&gt;"VACUUM"),"CDU",IF($H2499="FLUID CAT CRACKING","FCC",IF(OR($H2499="HYDROCRACKING",$H2499="RESID_HYDROCRACKING"),"Hydrocracker",IF($H2499="REFORMING","Reformer",""))))</f>
        <v/>
      </c>
      <c r="H2499" s="6" t="s">
        <v>43</v>
      </c>
      <c r="I2499" s="6" t="s">
        <v>844</v>
      </c>
      <c r="J2499" s="6" t="s">
        <v>349</v>
      </c>
      <c r="K2499" s="10">
        <v>0.5</v>
      </c>
      <c r="L2499" s="10">
        <v>5</v>
      </c>
      <c r="M2499" s="6" t="s">
        <v>371</v>
      </c>
    </row>
    <row r="2500" spans="1:13">
      <c r="A2500" s="6">
        <v>2023</v>
      </c>
      <c r="B2500" s="6">
        <v>11</v>
      </c>
      <c r="C2500" s="6" t="s">
        <v>69</v>
      </c>
      <c r="D2500" s="6" t="s">
        <v>1063</v>
      </c>
      <c r="E2500" s="6" t="s">
        <v>388</v>
      </c>
      <c r="F2500" s="6" t="str">
        <f>IF($M2500="PADD I","PADD 1",IF($M2500="PADD II","PADD 2",IF($M2500="PADD III","PADD 3",IF($M2500="PADD IV","PADD 4",IF($M2500="PADD V","PADD 5","")))))</f>
        <v>PADD 2</v>
      </c>
      <c r="G2500" s="6">
        <f>IF(AND($H2500="ATMOS DISTILLATION",ISNUMBER(SEARCH("VPS",$I2500))=FALSE,LEFT($I2500,6)&lt;&gt;"VACUUM"),"CDU",IF($H2500="FLUID CAT CRACKING","FCC",IF(OR($H2500="HYDROCRACKING",$H2500="RESID_HYDROCRACKING"),"Hydrocracker",IF($H2500="REFORMING","Reformer",""))))</f>
        <v/>
      </c>
      <c r="H2500" s="6" t="s">
        <v>43</v>
      </c>
      <c r="I2500" s="6" t="s">
        <v>1072</v>
      </c>
      <c r="J2500" s="6" t="s">
        <v>345</v>
      </c>
      <c r="K2500" s="10">
        <v>0.21</v>
      </c>
      <c r="L2500" s="10">
        <v>7</v>
      </c>
      <c r="M2500" s="6" t="s">
        <v>375</v>
      </c>
    </row>
    <row r="2501" spans="1:13">
      <c r="A2501" s="6">
        <v>2023</v>
      </c>
      <c r="B2501" s="6">
        <v>11</v>
      </c>
      <c r="C2501" s="6" t="s">
        <v>69</v>
      </c>
      <c r="D2501" s="6" t="s">
        <v>662</v>
      </c>
      <c r="E2501" s="6" t="s">
        <v>552</v>
      </c>
      <c r="F2501" s="6" t="str">
        <f>IF($M2501="PADD I","PADD 1",IF($M2501="PADD II","PADD 2",IF($M2501="PADD III","PADD 3",IF($M2501="PADD IV","PADD 4",IF($M2501="PADD V","PADD 5","")))))</f>
        <v>PADD 3</v>
      </c>
      <c r="G2501" s="6">
        <f>IF(AND($H2501="ATMOS DISTILLATION",ISNUMBER(SEARCH("VPS",$I2501))=FALSE,LEFT($I2501,6)&lt;&gt;"VACUUM"),"CDU",IF($H2501="FLUID CAT CRACKING","FCC",IF(OR($H2501="HYDROCRACKING",$H2501="RESID_HYDROCRACKING"),"Hydrocracker",IF($H2501="REFORMING","Reformer",""))))</f>
        <v/>
      </c>
      <c r="H2501" s="6" t="s">
        <v>43</v>
      </c>
      <c r="I2501" s="6" t="s">
        <v>844</v>
      </c>
      <c r="J2501" s="6" t="s">
        <v>349</v>
      </c>
      <c r="K2501" s="10">
        <v>0.15</v>
      </c>
      <c r="L2501" s="10">
        <v>5</v>
      </c>
      <c r="M2501" s="6" t="s">
        <v>371</v>
      </c>
    </row>
    <row r="2502" spans="1:13">
      <c r="A2502" s="6">
        <v>2023</v>
      </c>
      <c r="B2502" s="6">
        <v>11</v>
      </c>
      <c r="C2502" s="6" t="s">
        <v>69</v>
      </c>
      <c r="D2502" s="6" t="s">
        <v>1063</v>
      </c>
      <c r="E2502" s="6" t="s">
        <v>388</v>
      </c>
      <c r="F2502" s="6" t="str">
        <f>IF($M2502="PADD I","PADD 1",IF($M2502="PADD II","PADD 2",IF($M2502="PADD III","PADD 3",IF($M2502="PADD IV","PADD 4",IF($M2502="PADD V","PADD 5","")))))</f>
        <v>PADD 2</v>
      </c>
      <c r="G2502" s="6">
        <f>IF(AND($H2502="ATMOS DISTILLATION",ISNUMBER(SEARCH("VPS",$I2502))=FALSE,LEFT($I2502,6)&lt;&gt;"VACUUM"),"CDU",IF($H2502="FLUID CAT CRACKING","FCC",IF(OR($H2502="HYDROCRACKING",$H2502="RESID_HYDROCRACKING"),"Hydrocracker",IF($H2502="REFORMING","Reformer",""))))</f>
        <v/>
      </c>
      <c r="H2502" s="6" t="s">
        <v>460</v>
      </c>
      <c r="I2502" s="6" t="s">
        <v>461</v>
      </c>
      <c r="J2502" s="6" t="s">
        <v>345</v>
      </c>
      <c r="K2502" s="10">
        <v>0.12</v>
      </c>
      <c r="L2502" s="10">
        <v>4</v>
      </c>
      <c r="M2502" s="6" t="s">
        <v>375</v>
      </c>
    </row>
    <row r="2503" spans="1:13">
      <c r="A2503" s="6">
        <v>2023</v>
      </c>
      <c r="B2503" s="6">
        <v>12</v>
      </c>
      <c r="C2503" s="6" t="s">
        <v>70</v>
      </c>
      <c r="D2503" s="6" t="s">
        <v>408</v>
      </c>
      <c r="E2503" s="6" t="s">
        <v>409</v>
      </c>
      <c r="F2503" s="6" t="str">
        <f>IF($M2503="PADD I","PADD 1",IF($M2503="PADD II","PADD 2",IF($M2503="PADD III","PADD 3",IF($M2503="PADD IV","PADD 4",IF($M2503="PADD V","PADD 5","")))))</f>
        <v>PADD 3</v>
      </c>
      <c r="G2503" s="6" t="str">
        <f>IF(AND($H2503="ATMOS DISTILLATION",ISNUMBER(SEARCH("VPS",$I2503))=FALSE,LEFT($I2503,6)&lt;&gt;"VACUUM"),"CDU",IF($H2503="FLUID CAT CRACKING","FCC",IF(OR($H2503="HYDROCRACKING",$H2503="RESID_HYDROCRACKING"),"Hydrocracker",IF($H2503="REFORMING","Reformer",""))))</f>
        <v>CDU</v>
      </c>
      <c r="H2503" s="6" t="s">
        <v>38</v>
      </c>
      <c r="I2503" s="6" t="s">
        <v>410</v>
      </c>
      <c r="J2503" s="6" t="s">
        <v>345</v>
      </c>
      <c r="K2503" s="10">
        <v>80</v>
      </c>
      <c r="L2503" s="10">
        <v>80</v>
      </c>
      <c r="M2503" s="6" t="s">
        <v>371</v>
      </c>
    </row>
    <row r="2504" spans="1:13">
      <c r="A2504" s="6">
        <v>2023</v>
      </c>
      <c r="B2504" s="6">
        <v>12</v>
      </c>
      <c r="C2504" s="6" t="s">
        <v>70</v>
      </c>
      <c r="D2504" s="6" t="s">
        <v>408</v>
      </c>
      <c r="E2504" s="6" t="s">
        <v>409</v>
      </c>
      <c r="F2504" s="6" t="str">
        <f>IF($M2504="PADD I","PADD 1",IF($M2504="PADD II","PADD 2",IF($M2504="PADD III","PADD 3",IF($M2504="PADD IV","PADD 4",IF($M2504="PADD V","PADD 5","")))))</f>
        <v>PADD 3</v>
      </c>
      <c r="G2504" s="6">
        <f>IF(AND($H2504="ATMOS DISTILLATION",ISNUMBER(SEARCH("VPS",$I2504))=FALSE,LEFT($I2504,6)&lt;&gt;"VACUUM"),"CDU",IF($H2504="FLUID CAT CRACKING","FCC",IF(OR($H2504="HYDROCRACKING",$H2504="RESID_HYDROCRACKING"),"Hydrocracker",IF($H2504="REFORMING","Reformer",""))))</f>
        <v/>
      </c>
      <c r="H2504" s="6" t="s">
        <v>378</v>
      </c>
      <c r="I2504" s="6" t="s">
        <v>506</v>
      </c>
      <c r="J2504" s="6" t="s">
        <v>345</v>
      </c>
      <c r="K2504" s="10">
        <v>52</v>
      </c>
      <c r="L2504" s="10">
        <v>52</v>
      </c>
      <c r="M2504" s="6" t="s">
        <v>371</v>
      </c>
    </row>
    <row r="2505" spans="1:13">
      <c r="A2505" s="6">
        <v>2023</v>
      </c>
      <c r="B2505" s="6">
        <v>12</v>
      </c>
      <c r="C2505" s="6" t="s">
        <v>70</v>
      </c>
      <c r="D2505" s="6" t="s">
        <v>415</v>
      </c>
      <c r="E2505" s="6" t="s">
        <v>416</v>
      </c>
      <c r="F2505" s="6" t="str">
        <f>IF($M2505="PADD I","PADD 1",IF($M2505="PADD II","PADD 2",IF($M2505="PADD III","PADD 3",IF($M2505="PADD IV","PADD 4",IF($M2505="PADD V","PADD 5","")))))</f>
        <v>PADD 3</v>
      </c>
      <c r="G2505" s="6">
        <f>IF(AND($H2505="ATMOS DISTILLATION",ISNUMBER(SEARCH("VPS",$I2505))=FALSE,LEFT($I2505,6)&lt;&gt;"VACUUM"),"CDU",IF($H2505="FLUID CAT CRACKING","FCC",IF(OR($H2505="HYDROCRACKING",$H2505="RESID_HYDROCRACKING"),"Hydrocracker",IF($H2505="REFORMING","Reformer",""))))</f>
        <v/>
      </c>
      <c r="H2505" s="6" t="s">
        <v>378</v>
      </c>
      <c r="I2505" s="6" t="s">
        <v>417</v>
      </c>
      <c r="J2505" s="6" t="s">
        <v>345</v>
      </c>
      <c r="K2505" s="10">
        <v>50</v>
      </c>
      <c r="L2505" s="10">
        <v>50</v>
      </c>
      <c r="M2505" s="6" t="s">
        <v>371</v>
      </c>
    </row>
    <row r="2506" spans="1:13">
      <c r="A2506" s="6">
        <v>2023</v>
      </c>
      <c r="B2506" s="6">
        <v>12</v>
      </c>
      <c r="C2506" s="6" t="s">
        <v>70</v>
      </c>
      <c r="D2506" s="6" t="s">
        <v>446</v>
      </c>
      <c r="E2506" s="6" t="s">
        <v>391</v>
      </c>
      <c r="F2506" s="6" t="str">
        <f>IF($M2506="PADD I","PADD 1",IF($M2506="PADD II","PADD 2",IF($M2506="PADD III","PADD 3",IF($M2506="PADD IV","PADD 4",IF($M2506="PADD V","PADD 5","")))))</f>
        <v>PADD 3</v>
      </c>
      <c r="G2506" s="6">
        <f>IF(AND($H2506="ATMOS DISTILLATION",ISNUMBER(SEARCH("VPS",$I2506))=FALSE,LEFT($I2506,6)&lt;&gt;"VACUUM"),"CDU",IF($H2506="FLUID CAT CRACKING","FCC",IF(OR($H2506="HYDROCRACKING",$H2506="RESID_HYDROCRACKING"),"Hydrocracker",IF($H2506="REFORMING","Reformer",""))))</f>
        <v/>
      </c>
      <c r="H2506" s="6" t="s">
        <v>43</v>
      </c>
      <c r="I2506" s="6" t="s">
        <v>447</v>
      </c>
      <c r="J2506" s="6" t="s">
        <v>349</v>
      </c>
      <c r="K2506" s="10">
        <v>35</v>
      </c>
      <c r="L2506" s="10">
        <v>35</v>
      </c>
      <c r="M2506" s="6" t="s">
        <v>371</v>
      </c>
    </row>
    <row r="2507" spans="1:13">
      <c r="A2507" s="6">
        <v>2023</v>
      </c>
      <c r="B2507" s="6">
        <v>12</v>
      </c>
      <c r="C2507" s="6" t="s">
        <v>70</v>
      </c>
      <c r="D2507" s="6" t="s">
        <v>448</v>
      </c>
      <c r="E2507" s="6" t="s">
        <v>391</v>
      </c>
      <c r="F2507" s="6" t="str">
        <f>IF($M2507="PADD I","PADD 1",IF($M2507="PADD II","PADD 2",IF($M2507="PADD III","PADD 3",IF($M2507="PADD IV","PADD 4",IF($M2507="PADD V","PADD 5","")))))</f>
        <v>PADD 3</v>
      </c>
      <c r="G2507" s="6">
        <f>IF(AND($H2507="ATMOS DISTILLATION",ISNUMBER(SEARCH("VPS",$I2507))=FALSE,LEFT($I2507,6)&lt;&gt;"VACUUM"),"CDU",IF($H2507="FLUID CAT CRACKING","FCC",IF(OR($H2507="HYDROCRACKING",$H2507="RESID_HYDROCRACKING"),"Hydrocracker",IF($H2507="REFORMING","Reformer",""))))</f>
        <v/>
      </c>
      <c r="H2507" s="6" t="s">
        <v>43</v>
      </c>
      <c r="I2507" s="6" t="s">
        <v>449</v>
      </c>
      <c r="J2507" s="6" t="s">
        <v>345</v>
      </c>
      <c r="K2507" s="10">
        <v>35</v>
      </c>
      <c r="L2507" s="10">
        <v>35</v>
      </c>
      <c r="M2507" s="6" t="s">
        <v>371</v>
      </c>
    </row>
    <row r="2508" spans="1:13">
      <c r="A2508" s="6">
        <v>2023</v>
      </c>
      <c r="B2508" s="6">
        <v>12</v>
      </c>
      <c r="C2508" s="6" t="s">
        <v>70</v>
      </c>
      <c r="D2508" s="6" t="s">
        <v>387</v>
      </c>
      <c r="E2508" s="6" t="s">
        <v>388</v>
      </c>
      <c r="F2508" s="6" t="str">
        <f>IF($M2508="PADD I","PADD 1",IF($M2508="PADD II","PADD 2",IF($M2508="PADD III","PADD 3",IF($M2508="PADD IV","PADD 4",IF($M2508="PADD V","PADD 5","")))))</f>
        <v>PADD 3</v>
      </c>
      <c r="G2508" s="6" t="str">
        <f>IF(AND($H2508="ATMOS DISTILLATION",ISNUMBER(SEARCH("VPS",$I2508))=FALSE,LEFT($I2508,6)&lt;&gt;"VACUUM"),"CDU",IF($H2508="FLUID CAT CRACKING","FCC",IF(OR($H2508="HYDROCRACKING",$H2508="RESID_HYDROCRACKING"),"Hydrocracker",IF($H2508="REFORMING","Reformer",""))))</f>
        <v>CDU</v>
      </c>
      <c r="H2508" s="6" t="s">
        <v>38</v>
      </c>
      <c r="I2508" s="6" t="s">
        <v>389</v>
      </c>
      <c r="J2508" s="6" t="s">
        <v>345</v>
      </c>
      <c r="K2508" s="10">
        <v>34.45</v>
      </c>
      <c r="L2508" s="10">
        <v>265</v>
      </c>
      <c r="M2508" s="6" t="s">
        <v>371</v>
      </c>
    </row>
    <row r="2509" spans="1:13">
      <c r="A2509" s="6">
        <v>2023</v>
      </c>
      <c r="B2509" s="6">
        <v>12</v>
      </c>
      <c r="C2509" s="6" t="s">
        <v>70</v>
      </c>
      <c r="D2509" s="6" t="s">
        <v>415</v>
      </c>
      <c r="E2509" s="6" t="s">
        <v>416</v>
      </c>
      <c r="F2509" s="6" t="str">
        <f>IF($M2509="PADD I","PADD 1",IF($M2509="PADD II","PADD 2",IF($M2509="PADD III","PADD 3",IF($M2509="PADD IV","PADD 4",IF($M2509="PADD V","PADD 5","")))))</f>
        <v>PADD 3</v>
      </c>
      <c r="G2509" s="6">
        <f>IF(AND($H2509="ATMOS DISTILLATION",ISNUMBER(SEARCH("VPS",$I2509))=FALSE,LEFT($I2509,6)&lt;&gt;"VACUUM"),"CDU",IF($H2509="FLUID CAT CRACKING","FCC",IF(OR($H2509="HYDROCRACKING",$H2509="RESID_HYDROCRACKING"),"Hydrocracker",IF($H2509="REFORMING","Reformer",""))))</f>
        <v/>
      </c>
      <c r="H2509" s="6" t="s">
        <v>435</v>
      </c>
      <c r="I2509" s="6" t="s">
        <v>453</v>
      </c>
      <c r="J2509" s="6" t="s">
        <v>345</v>
      </c>
      <c r="K2509" s="10">
        <v>34</v>
      </c>
      <c r="L2509" s="10">
        <v>34</v>
      </c>
      <c r="M2509" s="6" t="s">
        <v>371</v>
      </c>
    </row>
    <row r="2510" spans="1:13">
      <c r="A2510" s="6">
        <v>2023</v>
      </c>
      <c r="B2510" s="6">
        <v>12</v>
      </c>
      <c r="C2510" s="6" t="s">
        <v>70</v>
      </c>
      <c r="D2510" s="6" t="s">
        <v>415</v>
      </c>
      <c r="E2510" s="6" t="s">
        <v>416</v>
      </c>
      <c r="F2510" s="6" t="str">
        <f>IF($M2510="PADD I","PADD 1",IF($M2510="PADD II","PADD 2",IF($M2510="PADD III","PADD 3",IF($M2510="PADD IV","PADD 4",IF($M2510="PADD V","PADD 5","")))))</f>
        <v>PADD 3</v>
      </c>
      <c r="G2510" s="6">
        <f>IF(AND($H2510="ATMOS DISTILLATION",ISNUMBER(SEARCH("VPS",$I2510))=FALSE,LEFT($I2510,6)&lt;&gt;"VACUUM"),"CDU",IF($H2510="FLUID CAT CRACKING","FCC",IF(OR($H2510="HYDROCRACKING",$H2510="RESID_HYDROCRACKING"),"Hydrocracker",IF($H2510="REFORMING","Reformer",""))))</f>
        <v/>
      </c>
      <c r="H2510" s="6" t="s">
        <v>435</v>
      </c>
      <c r="I2510" s="6" t="s">
        <v>453</v>
      </c>
      <c r="J2510" s="6" t="s">
        <v>345</v>
      </c>
      <c r="K2510" s="10">
        <v>34</v>
      </c>
      <c r="L2510" s="10">
        <v>34</v>
      </c>
      <c r="M2510" s="6" t="s">
        <v>371</v>
      </c>
    </row>
    <row r="2511" spans="1:13">
      <c r="A2511" s="6">
        <v>2023</v>
      </c>
      <c r="B2511" s="6">
        <v>12</v>
      </c>
      <c r="C2511" s="6" t="s">
        <v>70</v>
      </c>
      <c r="D2511" s="6" t="s">
        <v>518</v>
      </c>
      <c r="E2511" s="6" t="s">
        <v>369</v>
      </c>
      <c r="F2511" s="6" t="str">
        <f>IF($M2511="PADD I","PADD 1",IF($M2511="PADD II","PADD 2",IF($M2511="PADD III","PADD 3",IF($M2511="PADD IV","PADD 4",IF($M2511="PADD V","PADD 5","")))))</f>
        <v>PADD 5</v>
      </c>
      <c r="G2511" s="6" t="str">
        <f>IF(AND($H2511="ATMOS DISTILLATION",ISNUMBER(SEARCH("VPS",$I2511))=FALSE,LEFT($I2511,6)&lt;&gt;"VACUUM"),"CDU",IF($H2511="FLUID CAT CRACKING","FCC",IF(OR($H2511="HYDROCRACKING",$H2511="RESID_HYDROCRACKING"),"Hydrocracker",IF($H2511="REFORMING","Reformer",""))))</f>
        <v>CDU</v>
      </c>
      <c r="H2511" s="6" t="s">
        <v>38</v>
      </c>
      <c r="I2511" s="6" t="s">
        <v>553</v>
      </c>
      <c r="J2511" s="6" t="s">
        <v>345</v>
      </c>
      <c r="K2511" s="10">
        <v>32</v>
      </c>
      <c r="L2511" s="10">
        <v>32</v>
      </c>
      <c r="M2511" s="6" t="s">
        <v>386</v>
      </c>
    </row>
    <row r="2512" spans="1:13">
      <c r="A2512" s="6">
        <v>2023</v>
      </c>
      <c r="B2512" s="6">
        <v>12</v>
      </c>
      <c r="C2512" s="6" t="s">
        <v>70</v>
      </c>
      <c r="D2512" s="6" t="s">
        <v>468</v>
      </c>
      <c r="E2512" s="6" t="s">
        <v>369</v>
      </c>
      <c r="F2512" s="6" t="str">
        <f>IF($M2512="PADD I","PADD 1",IF($M2512="PADD II","PADD 2",IF($M2512="PADD III","PADD 3",IF($M2512="PADD IV","PADD 4",IF($M2512="PADD V","PADD 5","")))))</f>
        <v>PADD 3</v>
      </c>
      <c r="G2512" s="6" t="str">
        <f>IF(AND($H2512="ATMOS DISTILLATION",ISNUMBER(SEARCH("VPS",$I2512))=FALSE,LEFT($I2512,6)&lt;&gt;"VACUUM"),"CDU",IF($H2512="FLUID CAT CRACKING","FCC",IF(OR($H2512="HYDROCRACKING",$H2512="RESID_HYDROCRACKING"),"Hydrocracker",IF($H2512="REFORMING","Reformer",""))))</f>
        <v>FCC</v>
      </c>
      <c r="H2512" s="6" t="s">
        <v>376</v>
      </c>
      <c r="I2512" s="6" t="s">
        <v>473</v>
      </c>
      <c r="J2512" s="6" t="s">
        <v>349</v>
      </c>
      <c r="K2512" s="10">
        <v>30</v>
      </c>
      <c r="L2512" s="10">
        <v>30</v>
      </c>
      <c r="M2512" s="6" t="s">
        <v>371</v>
      </c>
    </row>
    <row r="2513" spans="1:13">
      <c r="A2513" s="6">
        <v>2023</v>
      </c>
      <c r="B2513" s="6">
        <v>12</v>
      </c>
      <c r="C2513" s="6" t="s">
        <v>70</v>
      </c>
      <c r="D2513" s="6" t="s">
        <v>531</v>
      </c>
      <c r="E2513" s="6" t="s">
        <v>532</v>
      </c>
      <c r="F2513" s="6" t="str">
        <f>IF($M2513="PADD I","PADD 1",IF($M2513="PADD II","PADD 2",IF($M2513="PADD III","PADD 3",IF($M2513="PADD IV","PADD 4",IF($M2513="PADD V","PADD 5","")))))</f>
        <v>PADD 5</v>
      </c>
      <c r="G2513" s="6" t="str">
        <f>IF(AND($H2513="ATMOS DISTILLATION",ISNUMBER(SEARCH("VPS",$I2513))=FALSE,LEFT($I2513,6)&lt;&gt;"VACUUM"),"CDU",IF($H2513="FLUID CAT CRACKING","FCC",IF(OR($H2513="HYDROCRACKING",$H2513="RESID_HYDROCRACKING"),"Hydrocracker",IF($H2513="REFORMING","Reformer",""))))</f>
        <v>FCC</v>
      </c>
      <c r="H2513" s="6" t="s">
        <v>376</v>
      </c>
      <c r="I2513" s="6" t="s">
        <v>105</v>
      </c>
      <c r="J2513" s="6" t="s">
        <v>349</v>
      </c>
      <c r="K2513" s="10">
        <v>23</v>
      </c>
      <c r="L2513" s="10">
        <v>100</v>
      </c>
      <c r="M2513" s="6" t="s">
        <v>386</v>
      </c>
    </row>
    <row r="2514" spans="1:13">
      <c r="A2514" s="6">
        <v>2023</v>
      </c>
      <c r="B2514" s="6">
        <v>12</v>
      </c>
      <c r="C2514" s="6" t="s">
        <v>70</v>
      </c>
      <c r="D2514" s="6" t="s">
        <v>457</v>
      </c>
      <c r="E2514" s="6" t="s">
        <v>388</v>
      </c>
      <c r="F2514" s="6" t="str">
        <f>IF($M2514="PADD I","PADD 1",IF($M2514="PADD II","PADD 2",IF($M2514="PADD III","PADD 3",IF($M2514="PADD IV","PADD 4",IF($M2514="PADD V","PADD 5","")))))</f>
        <v>PADD 5</v>
      </c>
      <c r="G2514" s="6">
        <f>IF(AND($H2514="ATMOS DISTILLATION",ISNUMBER(SEARCH("VPS",$I2514))=FALSE,LEFT($I2514,6)&lt;&gt;"VACUUM"),"CDU",IF($H2514="FLUID CAT CRACKING","FCC",IF(OR($H2514="HYDROCRACKING",$H2514="RESID_HYDROCRACKING"),"Hydrocracker",IF($H2514="REFORMING","Reformer",""))))</f>
        <v/>
      </c>
      <c r="H2514" s="6" t="s">
        <v>43</v>
      </c>
      <c r="I2514" s="6" t="s">
        <v>1073</v>
      </c>
      <c r="J2514" s="6" t="s">
        <v>345</v>
      </c>
      <c r="K2514" s="10">
        <v>21.39</v>
      </c>
      <c r="L2514" s="10">
        <v>93</v>
      </c>
      <c r="M2514" s="6" t="s">
        <v>386</v>
      </c>
    </row>
    <row r="2515" spans="1:13">
      <c r="A2515" s="6">
        <v>2023</v>
      </c>
      <c r="B2515" s="6">
        <v>12</v>
      </c>
      <c r="C2515" s="6" t="s">
        <v>70</v>
      </c>
      <c r="D2515" s="6" t="s">
        <v>985</v>
      </c>
      <c r="E2515" s="6" t="s">
        <v>543</v>
      </c>
      <c r="F2515" s="6" t="str">
        <f>IF($M2515="PADD I","PADD 1",IF($M2515="PADD II","PADD 2",IF($M2515="PADD III","PADD 3",IF($M2515="PADD IV","PADD 4",IF($M2515="PADD V","PADD 5","")))))</f>
        <v>PADD 2</v>
      </c>
      <c r="G2515" s="6">
        <f>IF(AND($H2515="ATMOS DISTILLATION",ISNUMBER(SEARCH("VPS",$I2515))=FALSE,LEFT($I2515,6)&lt;&gt;"VACUUM"),"CDU",IF($H2515="FLUID CAT CRACKING","FCC",IF(OR($H2515="HYDROCRACKING",$H2515="RESID_HYDROCRACKING"),"Hydrocracker",IF($H2515="REFORMING","Reformer",""))))</f>
        <v/>
      </c>
      <c r="H2515" s="6" t="s">
        <v>378</v>
      </c>
      <c r="I2515" s="6" t="s">
        <v>786</v>
      </c>
      <c r="J2515" s="6" t="s">
        <v>345</v>
      </c>
      <c r="K2515" s="10">
        <v>19.3056</v>
      </c>
      <c r="L2515" s="10">
        <v>60.33</v>
      </c>
      <c r="M2515" s="6" t="s">
        <v>375</v>
      </c>
    </row>
    <row r="2516" spans="1:13">
      <c r="A2516" s="6">
        <v>2023</v>
      </c>
      <c r="B2516" s="6">
        <v>12</v>
      </c>
      <c r="C2516" s="6" t="s">
        <v>70</v>
      </c>
      <c r="D2516" s="6" t="s">
        <v>946</v>
      </c>
      <c r="E2516" s="6" t="s">
        <v>405</v>
      </c>
      <c r="F2516" s="6" t="str">
        <f>IF($M2516="PADD I","PADD 1",IF($M2516="PADD II","PADD 2",IF($M2516="PADD III","PADD 3",IF($M2516="PADD IV","PADD 4",IF($M2516="PADD V","PADD 5","")))))</f>
        <v>PADD 5</v>
      </c>
      <c r="G2516" s="6" t="str">
        <f>IF(AND($H2516="ATMOS DISTILLATION",ISNUMBER(SEARCH("VPS",$I2516))=FALSE,LEFT($I2516,6)&lt;&gt;"VACUUM"),"CDU",IF($H2516="FLUID CAT CRACKING","FCC",IF(OR($H2516="HYDROCRACKING",$H2516="RESID_HYDROCRACKING"),"Hydrocracker",IF($H2516="REFORMING","Reformer",""))))</f>
        <v>FCC</v>
      </c>
      <c r="H2516" s="6" t="s">
        <v>376</v>
      </c>
      <c r="I2516" s="6" t="s">
        <v>947</v>
      </c>
      <c r="J2516" s="6" t="s">
        <v>345</v>
      </c>
      <c r="K2516" s="10">
        <v>17.92</v>
      </c>
      <c r="L2516" s="10">
        <v>56</v>
      </c>
      <c r="M2516" s="6" t="s">
        <v>386</v>
      </c>
    </row>
    <row r="2517" spans="1:13">
      <c r="A2517" s="6">
        <v>2023</v>
      </c>
      <c r="B2517" s="6">
        <v>12</v>
      </c>
      <c r="C2517" s="6" t="s">
        <v>70</v>
      </c>
      <c r="D2517" s="6" t="s">
        <v>518</v>
      </c>
      <c r="E2517" s="6" t="s">
        <v>369</v>
      </c>
      <c r="F2517" s="6" t="str">
        <f>IF($M2517="PADD I","PADD 1",IF($M2517="PADD II","PADD 2",IF($M2517="PADD III","PADD 3",IF($M2517="PADD IV","PADD 4",IF($M2517="PADD V","PADD 5","")))))</f>
        <v>PADD 5</v>
      </c>
      <c r="G2517" s="6" t="str">
        <f>IF(AND($H2517="ATMOS DISTILLATION",ISNUMBER(SEARCH("VPS",$I2517))=FALSE,LEFT($I2517,6)&lt;&gt;"VACUUM"),"CDU",IF($H2517="FLUID CAT CRACKING","FCC",IF(OR($H2517="HYDROCRACKING",$H2517="RESID_HYDROCRACKING"),"Hydrocracker",IF($H2517="REFORMING","Reformer",""))))</f>
        <v>Hydrocracker</v>
      </c>
      <c r="H2517" s="6" t="s">
        <v>444</v>
      </c>
      <c r="I2517" s="6" t="s">
        <v>582</v>
      </c>
      <c r="J2517" s="6" t="s">
        <v>345</v>
      </c>
      <c r="K2517" s="10">
        <v>17.71</v>
      </c>
      <c r="L2517" s="10">
        <v>23</v>
      </c>
      <c r="M2517" s="6" t="s">
        <v>386</v>
      </c>
    </row>
    <row r="2518" spans="1:13">
      <c r="A2518" s="6">
        <v>2023</v>
      </c>
      <c r="B2518" s="6">
        <v>12</v>
      </c>
      <c r="C2518" s="6" t="s">
        <v>70</v>
      </c>
      <c r="D2518" s="6" t="s">
        <v>788</v>
      </c>
      <c r="E2518" s="6" t="s">
        <v>405</v>
      </c>
      <c r="F2518" s="6" t="str">
        <f>IF($M2518="PADD I","PADD 1",IF($M2518="PADD II","PADD 2",IF($M2518="PADD III","PADD 3",IF($M2518="PADD IV","PADD 4",IF($M2518="PADD V","PADD 5","")))))</f>
        <v>PADD 3</v>
      </c>
      <c r="G2518" s="6" t="str">
        <f>IF(AND($H2518="ATMOS DISTILLATION",ISNUMBER(SEARCH("VPS",$I2518))=FALSE,LEFT($I2518,6)&lt;&gt;"VACUUM"),"CDU",IF($H2518="FLUID CAT CRACKING","FCC",IF(OR($H2518="HYDROCRACKING",$H2518="RESID_HYDROCRACKING"),"Hydrocracker",IF($H2518="REFORMING","Reformer",""))))</f>
        <v>Hydrocracker</v>
      </c>
      <c r="H2518" s="6" t="s">
        <v>444</v>
      </c>
      <c r="I2518" s="6" t="s">
        <v>831</v>
      </c>
      <c r="J2518" s="6" t="s">
        <v>345</v>
      </c>
      <c r="K2518" s="10">
        <v>17.6</v>
      </c>
      <c r="L2518" s="10">
        <v>55</v>
      </c>
      <c r="M2518" s="6" t="s">
        <v>371</v>
      </c>
    </row>
    <row r="2519" spans="1:13">
      <c r="A2519" s="6">
        <v>2023</v>
      </c>
      <c r="B2519" s="6">
        <v>12</v>
      </c>
      <c r="C2519" s="6" t="s">
        <v>70</v>
      </c>
      <c r="D2519" s="6" t="s">
        <v>434</v>
      </c>
      <c r="E2519" s="6" t="s">
        <v>388</v>
      </c>
      <c r="F2519" s="6" t="str">
        <f>IF($M2519="PADD I","PADD 1",IF($M2519="PADD II","PADD 2",IF($M2519="PADD III","PADD 3",IF($M2519="PADD IV","PADD 4",IF($M2519="PADD V","PADD 5","")))))</f>
        <v>PADD 5</v>
      </c>
      <c r="G2519" s="6" t="str">
        <f>IF(AND($H2519="ATMOS DISTILLATION",ISNUMBER(SEARCH("VPS",$I2519))=FALSE,LEFT($I2519,6)&lt;&gt;"VACUUM"),"CDU",IF($H2519="FLUID CAT CRACKING","FCC",IF(OR($H2519="HYDROCRACKING",$H2519="RESID_HYDROCRACKING"),"Hydrocracker",IF($H2519="REFORMING","Reformer",""))))</f>
        <v>CDU</v>
      </c>
      <c r="H2519" s="6" t="s">
        <v>38</v>
      </c>
      <c r="I2519" s="6" t="s">
        <v>663</v>
      </c>
      <c r="J2519" s="6" t="s">
        <v>345</v>
      </c>
      <c r="K2519" s="10">
        <v>16.8</v>
      </c>
      <c r="L2519" s="10">
        <v>105</v>
      </c>
      <c r="M2519" s="6" t="s">
        <v>386</v>
      </c>
    </row>
    <row r="2520" spans="1:13">
      <c r="A2520" s="6">
        <v>2023</v>
      </c>
      <c r="B2520" s="6">
        <v>12</v>
      </c>
      <c r="C2520" s="6" t="s">
        <v>70</v>
      </c>
      <c r="D2520" s="6" t="s">
        <v>387</v>
      </c>
      <c r="E2520" s="6" t="s">
        <v>388</v>
      </c>
      <c r="F2520" s="6" t="str">
        <f>IF($M2520="PADD I","PADD 1",IF($M2520="PADD II","PADD 2",IF($M2520="PADD III","PADD 3",IF($M2520="PADD IV","PADD 4",IF($M2520="PADD V","PADD 5","")))))</f>
        <v>PADD 3</v>
      </c>
      <c r="G2520" s="6">
        <f>IF(AND($H2520="ATMOS DISTILLATION",ISNUMBER(SEARCH("VPS",$I2520))=FALSE,LEFT($I2520,6)&lt;&gt;"VACUUM"),"CDU",IF($H2520="FLUID CAT CRACKING","FCC",IF(OR($H2520="HYDROCRACKING",$H2520="RESID_HYDROCRACKING"),"Hydrocracker",IF($H2520="REFORMING","Reformer",""))))</f>
        <v/>
      </c>
      <c r="H2520" s="6" t="s">
        <v>378</v>
      </c>
      <c r="I2520" s="6" t="s">
        <v>442</v>
      </c>
      <c r="J2520" s="6" t="s">
        <v>345</v>
      </c>
      <c r="K2520" s="10">
        <v>14.625</v>
      </c>
      <c r="L2520" s="10">
        <v>112.5</v>
      </c>
      <c r="M2520" s="6" t="s">
        <v>371</v>
      </c>
    </row>
    <row r="2521" spans="1:13">
      <c r="A2521" s="6">
        <v>2023</v>
      </c>
      <c r="B2521" s="6">
        <v>12</v>
      </c>
      <c r="C2521" s="6" t="s">
        <v>70</v>
      </c>
      <c r="D2521" s="6" t="s">
        <v>437</v>
      </c>
      <c r="E2521" s="6" t="s">
        <v>438</v>
      </c>
      <c r="F2521" s="6" t="str">
        <f>IF($M2521="PADD I","PADD 1",IF($M2521="PADD II","PADD 2",IF($M2521="PADD III","PADD 3",IF($M2521="PADD IV","PADD 4",IF($M2521="PADD V","PADD 5","")))))</f>
        <v>PADD 4</v>
      </c>
      <c r="G2521" s="6" t="str">
        <f>IF(AND($H2521="ATMOS DISTILLATION",ISNUMBER(SEARCH("VPS",$I2521))=FALSE,LEFT($I2521,6)&lt;&gt;"VACUUM"),"CDU",IF($H2521="FLUID CAT CRACKING","FCC",IF(OR($H2521="HYDROCRACKING",$H2521="RESID_HYDROCRACKING"),"Hydrocracker",IF($H2521="REFORMING","Reformer",""))))</f>
        <v>CDU</v>
      </c>
      <c r="H2521" s="6" t="s">
        <v>38</v>
      </c>
      <c r="I2521" s="6" t="s">
        <v>330</v>
      </c>
      <c r="J2521" s="6" t="s">
        <v>345</v>
      </c>
      <c r="K2521" s="10">
        <v>13.65</v>
      </c>
      <c r="L2521" s="10">
        <v>39</v>
      </c>
      <c r="M2521" s="6" t="s">
        <v>430</v>
      </c>
    </row>
    <row r="2522" spans="1:13">
      <c r="A2522" s="6">
        <v>2023</v>
      </c>
      <c r="B2522" s="6">
        <v>12</v>
      </c>
      <c r="C2522" s="6" t="s">
        <v>70</v>
      </c>
      <c r="D2522" s="6" t="s">
        <v>462</v>
      </c>
      <c r="E2522" s="6" t="s">
        <v>438</v>
      </c>
      <c r="F2522" s="6" t="str">
        <f>IF($M2522="PADD I","PADD 1",IF($M2522="PADD II","PADD 2",IF($M2522="PADD III","PADD 3",IF($M2522="PADD IV","PADD 4",IF($M2522="PADD V","PADD 5","")))))</f>
        <v>PADD 4</v>
      </c>
      <c r="G2522" s="6" t="str">
        <f>IF(AND($H2522="ATMOS DISTILLATION",ISNUMBER(SEARCH("VPS",$I2522))=FALSE,LEFT($I2522,6)&lt;&gt;"VACUUM"),"CDU",IF($H2522="FLUID CAT CRACKING","FCC",IF(OR($H2522="HYDROCRACKING",$H2522="RESID_HYDROCRACKING"),"Hydrocracker",IF($H2522="REFORMING","Reformer",""))))</f>
        <v>FCC</v>
      </c>
      <c r="H2522" s="6" t="s">
        <v>376</v>
      </c>
      <c r="I2522" s="6" t="s">
        <v>105</v>
      </c>
      <c r="J2522" s="6" t="s">
        <v>345</v>
      </c>
      <c r="K2522" s="10">
        <v>13.584</v>
      </c>
      <c r="L2522" s="10">
        <v>28.3</v>
      </c>
      <c r="M2522" s="6" t="s">
        <v>430</v>
      </c>
    </row>
    <row r="2523" spans="1:13">
      <c r="A2523" s="6">
        <v>2023</v>
      </c>
      <c r="B2523" s="6">
        <v>12</v>
      </c>
      <c r="C2523" s="6" t="s">
        <v>70</v>
      </c>
      <c r="D2523" s="6" t="s">
        <v>411</v>
      </c>
      <c r="E2523" s="6" t="s">
        <v>369</v>
      </c>
      <c r="F2523" s="6" t="str">
        <f>IF($M2523="PADD I","PADD 1",IF($M2523="PADD II","PADD 2",IF($M2523="PADD III","PADD 3",IF($M2523="PADD IV","PADD 4",IF($M2523="PADD V","PADD 5","")))))</f>
        <v>PADD 1</v>
      </c>
      <c r="G2523" s="6" t="str">
        <f>IF(AND($H2523="ATMOS DISTILLATION",ISNUMBER(SEARCH("VPS",$I2523))=FALSE,LEFT($I2523,6)&lt;&gt;"VACUUM"),"CDU",IF($H2523="FLUID CAT CRACKING","FCC",IF(OR($H2523="HYDROCRACKING",$H2523="RESID_HYDROCRACKING"),"Hydrocracker",IF($H2523="REFORMING","Reformer",""))))</f>
        <v>CDU</v>
      </c>
      <c r="H2523" s="6" t="s">
        <v>38</v>
      </c>
      <c r="I2523" s="6" t="s">
        <v>529</v>
      </c>
      <c r="J2523" s="6" t="s">
        <v>345</v>
      </c>
      <c r="K2523" s="10">
        <v>12.95</v>
      </c>
      <c r="L2523" s="10">
        <v>129.5</v>
      </c>
      <c r="M2523" s="6" t="s">
        <v>413</v>
      </c>
    </row>
    <row r="2524" spans="1:13">
      <c r="A2524" s="6">
        <v>2023</v>
      </c>
      <c r="B2524" s="6">
        <v>12</v>
      </c>
      <c r="C2524" s="6" t="s">
        <v>70</v>
      </c>
      <c r="D2524" s="6" t="s">
        <v>411</v>
      </c>
      <c r="E2524" s="6" t="s">
        <v>369</v>
      </c>
      <c r="F2524" s="6" t="str">
        <f>IF($M2524="PADD I","PADD 1",IF($M2524="PADD II","PADD 2",IF($M2524="PADD III","PADD 3",IF($M2524="PADD IV","PADD 4",IF($M2524="PADD V","PADD 5","")))))</f>
        <v>PADD 1</v>
      </c>
      <c r="G2524" s="6" t="str">
        <f>IF(AND($H2524="ATMOS DISTILLATION",ISNUMBER(SEARCH("VPS",$I2524))=FALSE,LEFT($I2524,6)&lt;&gt;"VACUUM"),"CDU",IF($H2524="FLUID CAT CRACKING","FCC",IF(OR($H2524="HYDROCRACKING",$H2524="RESID_HYDROCRACKING"),"Hydrocracker",IF($H2524="REFORMING","Reformer",""))))</f>
        <v>CDU</v>
      </c>
      <c r="H2524" s="6" t="s">
        <v>38</v>
      </c>
      <c r="I2524" s="6" t="s">
        <v>412</v>
      </c>
      <c r="J2524" s="6" t="s">
        <v>345</v>
      </c>
      <c r="K2524" s="10">
        <v>12.9</v>
      </c>
      <c r="L2524" s="10">
        <v>129</v>
      </c>
      <c r="M2524" s="6" t="s">
        <v>413</v>
      </c>
    </row>
    <row r="2525" spans="1:13">
      <c r="A2525" s="6">
        <v>2023</v>
      </c>
      <c r="B2525" s="6">
        <v>12</v>
      </c>
      <c r="C2525" s="6" t="s">
        <v>70</v>
      </c>
      <c r="D2525" s="6" t="s">
        <v>518</v>
      </c>
      <c r="E2525" s="6" t="s">
        <v>369</v>
      </c>
      <c r="F2525" s="6" t="str">
        <f>IF($M2525="PADD I","PADD 1",IF($M2525="PADD II","PADD 2",IF($M2525="PADD III","PADD 3",IF($M2525="PADD IV","PADD 4",IF($M2525="PADD V","PADD 5","")))))</f>
        <v>PADD 5</v>
      </c>
      <c r="G2525" s="6" t="str">
        <f>IF(AND($H2525="ATMOS DISTILLATION",ISNUMBER(SEARCH("VPS",$I2525))=FALSE,LEFT($I2525,6)&lt;&gt;"VACUUM"),"CDU",IF($H2525="FLUID CAT CRACKING","FCC",IF(OR($H2525="HYDROCRACKING",$H2525="RESID_HYDROCRACKING"),"Hydrocracker",IF($H2525="REFORMING","Reformer",""))))</f>
        <v>Hydrocracker</v>
      </c>
      <c r="H2525" s="6" t="s">
        <v>581</v>
      </c>
      <c r="I2525" s="6" t="s">
        <v>582</v>
      </c>
      <c r="J2525" s="6" t="s">
        <v>345</v>
      </c>
      <c r="K2525" s="10">
        <v>12.65</v>
      </c>
      <c r="L2525" s="10">
        <v>23</v>
      </c>
      <c r="M2525" s="6" t="s">
        <v>386</v>
      </c>
    </row>
    <row r="2526" spans="1:13">
      <c r="A2526" s="6">
        <v>2023</v>
      </c>
      <c r="B2526" s="6">
        <v>12</v>
      </c>
      <c r="C2526" s="6" t="s">
        <v>70</v>
      </c>
      <c r="D2526" s="6" t="s">
        <v>346</v>
      </c>
      <c r="E2526" s="6" t="s">
        <v>383</v>
      </c>
      <c r="F2526" s="6" t="str">
        <f>IF($M2526="PADD I","PADD 1",IF($M2526="PADD II","PADD 2",IF($M2526="PADD III","PADD 3",IF($M2526="PADD IV","PADD 4",IF($M2526="PADD V","PADD 5","")))))</f>
        <v>PADD 2</v>
      </c>
      <c r="G2526" s="6" t="str">
        <f>IF(AND($H2526="ATMOS DISTILLATION",ISNUMBER(SEARCH("VPS",$I2526))=FALSE,LEFT($I2526,6)&lt;&gt;"VACUUM"),"CDU",IF($H2526="FLUID CAT CRACKING","FCC",IF(OR($H2526="HYDROCRACKING",$H2526="RESID_HYDROCRACKING"),"Hydrocracker",IF($H2526="REFORMING","Reformer",""))))</f>
        <v>Reformer</v>
      </c>
      <c r="H2526" s="6" t="s">
        <v>421</v>
      </c>
      <c r="I2526" s="6" t="s">
        <v>471</v>
      </c>
      <c r="J2526" s="6" t="s">
        <v>345</v>
      </c>
      <c r="K2526" s="10">
        <v>12.6</v>
      </c>
      <c r="L2526" s="10">
        <v>30</v>
      </c>
      <c r="M2526" s="6" t="s">
        <v>375</v>
      </c>
    </row>
    <row r="2527" spans="1:13">
      <c r="A2527" s="6">
        <v>2023</v>
      </c>
      <c r="B2527" s="6">
        <v>12</v>
      </c>
      <c r="C2527" s="6" t="s">
        <v>70</v>
      </c>
      <c r="D2527" s="6" t="s">
        <v>398</v>
      </c>
      <c r="E2527" s="6" t="s">
        <v>399</v>
      </c>
      <c r="F2527" s="6" t="str">
        <f>IF($M2527="PADD I","PADD 1",IF($M2527="PADD II","PADD 2",IF($M2527="PADD III","PADD 3",IF($M2527="PADD IV","PADD 4",IF($M2527="PADD V","PADD 5","")))))</f>
        <v>PADD 3</v>
      </c>
      <c r="G2527" s="6" t="str">
        <f>IF(AND($H2527="ATMOS DISTILLATION",ISNUMBER(SEARCH("VPS",$I2527))=FALSE,LEFT($I2527,6)&lt;&gt;"VACUUM"),"CDU",IF($H2527="FLUID CAT CRACKING","FCC",IF(OR($H2527="HYDROCRACKING",$H2527="RESID_HYDROCRACKING"),"Hydrocracker",IF($H2527="REFORMING","Reformer",""))))</f>
        <v>FCC</v>
      </c>
      <c r="H2527" s="6" t="s">
        <v>376</v>
      </c>
      <c r="I2527" s="6" t="s">
        <v>1036</v>
      </c>
      <c r="J2527" s="6" t="s">
        <v>345</v>
      </c>
      <c r="K2527" s="10">
        <v>11.7</v>
      </c>
      <c r="L2527" s="10">
        <v>90</v>
      </c>
      <c r="M2527" s="6" t="s">
        <v>371</v>
      </c>
    </row>
    <row r="2528" spans="1:13">
      <c r="A2528" s="6">
        <v>2023</v>
      </c>
      <c r="B2528" s="6">
        <v>12</v>
      </c>
      <c r="C2528" s="6" t="s">
        <v>70</v>
      </c>
      <c r="D2528" s="6" t="s">
        <v>51</v>
      </c>
      <c r="E2528" s="6" t="s">
        <v>391</v>
      </c>
      <c r="F2528" s="6" t="str">
        <f>IF($M2528="PADD I","PADD 1",IF($M2528="PADD II","PADD 2",IF($M2528="PADD III","PADD 3",IF($M2528="PADD IV","PADD 4",IF($M2528="PADD V","PADD 5","")))))</f>
        <v>PADD 5</v>
      </c>
      <c r="G2528" s="6" t="str">
        <f>IF(AND($H2528="ATMOS DISTILLATION",ISNUMBER(SEARCH("VPS",$I2528))=FALSE,LEFT($I2528,6)&lt;&gt;"VACUUM"),"CDU",IF($H2528="FLUID CAT CRACKING","FCC",IF(OR($H2528="HYDROCRACKING",$H2528="RESID_HYDROCRACKING"),"Hydrocracker",IF($H2528="REFORMING","Reformer",""))))</f>
        <v>FCC</v>
      </c>
      <c r="H2528" s="6" t="s">
        <v>376</v>
      </c>
      <c r="I2528" s="6" t="s">
        <v>105</v>
      </c>
      <c r="J2528" s="6" t="s">
        <v>345</v>
      </c>
      <c r="K2528" s="10">
        <v>11.6</v>
      </c>
      <c r="L2528" s="10">
        <v>72.5</v>
      </c>
      <c r="M2528" s="6" t="s">
        <v>386</v>
      </c>
    </row>
    <row r="2529" spans="1:13">
      <c r="A2529" s="6">
        <v>2023</v>
      </c>
      <c r="B2529" s="6">
        <v>12</v>
      </c>
      <c r="C2529" s="6" t="s">
        <v>70</v>
      </c>
      <c r="D2529" s="6" t="s">
        <v>319</v>
      </c>
      <c r="E2529" s="6" t="s">
        <v>665</v>
      </c>
      <c r="F2529" s="6" t="str">
        <f>IF($M2529="PADD I","PADD 1",IF($M2529="PADD II","PADD 2",IF($M2529="PADD III","PADD 3",IF($M2529="PADD IV","PADD 4",IF($M2529="PADD V","PADD 5","")))))</f>
        <v>PADD 3</v>
      </c>
      <c r="G2529" s="6" t="str">
        <f>IF(AND($H2529="ATMOS DISTILLATION",ISNUMBER(SEARCH("VPS",$I2529))=FALSE,LEFT($I2529,6)&lt;&gt;"VACUUM"),"CDU",IF($H2529="FLUID CAT CRACKING","FCC",IF(OR($H2529="HYDROCRACKING",$H2529="RESID_HYDROCRACKING"),"Hydrocracker",IF($H2529="REFORMING","Reformer",""))))</f>
        <v>FCC</v>
      </c>
      <c r="H2529" s="6" t="s">
        <v>376</v>
      </c>
      <c r="I2529" s="6" t="s">
        <v>875</v>
      </c>
      <c r="J2529" s="6" t="s">
        <v>345</v>
      </c>
      <c r="K2529" s="10">
        <v>11</v>
      </c>
      <c r="L2529" s="10">
        <v>110</v>
      </c>
      <c r="M2529" s="6" t="s">
        <v>371</v>
      </c>
    </row>
    <row r="2530" spans="1:13">
      <c r="A2530" s="6">
        <v>2023</v>
      </c>
      <c r="B2530" s="6">
        <v>12</v>
      </c>
      <c r="C2530" s="6" t="s">
        <v>70</v>
      </c>
      <c r="D2530" s="6" t="s">
        <v>51</v>
      </c>
      <c r="E2530" s="6" t="s">
        <v>391</v>
      </c>
      <c r="F2530" s="6" t="str">
        <f>IF($M2530="PADD I","PADD 1",IF($M2530="PADD II","PADD 2",IF($M2530="PADD III","PADD 3",IF($M2530="PADD IV","PADD 4",IF($M2530="PADD V","PADD 5","")))))</f>
        <v>PADD 5</v>
      </c>
      <c r="G2530" s="6">
        <f>IF(AND($H2530="ATMOS DISTILLATION",ISNUMBER(SEARCH("VPS",$I2530))=FALSE,LEFT($I2530,6)&lt;&gt;"VACUUM"),"CDU",IF($H2530="FLUID CAT CRACKING","FCC",IF(OR($H2530="HYDROCRACKING",$H2530="RESID_HYDROCRACKING"),"Hydrocracker",IF($H2530="REFORMING","Reformer",""))))</f>
        <v/>
      </c>
      <c r="H2530" s="6" t="s">
        <v>460</v>
      </c>
      <c r="I2530" s="6" t="s">
        <v>461</v>
      </c>
      <c r="J2530" s="6" t="s">
        <v>345</v>
      </c>
      <c r="K2530" s="10">
        <v>10.56</v>
      </c>
      <c r="L2530" s="10">
        <v>33</v>
      </c>
      <c r="M2530" s="6" t="s">
        <v>386</v>
      </c>
    </row>
    <row r="2531" spans="1:13">
      <c r="A2531" s="6">
        <v>2023</v>
      </c>
      <c r="B2531" s="6">
        <v>12</v>
      </c>
      <c r="C2531" s="6" t="s">
        <v>70</v>
      </c>
      <c r="D2531" s="6" t="s">
        <v>335</v>
      </c>
      <c r="E2531" s="6" t="s">
        <v>369</v>
      </c>
      <c r="F2531" s="6" t="str">
        <f>IF($M2531="PADD I","PADD 1",IF($M2531="PADD II","PADD 2",IF($M2531="PADD III","PADD 3",IF($M2531="PADD IV","PADD 4",IF($M2531="PADD V","PADD 5","")))))</f>
        <v>PADD 3</v>
      </c>
      <c r="G2531" s="6" t="str">
        <f>IF(AND($H2531="ATMOS DISTILLATION",ISNUMBER(SEARCH("VPS",$I2531))=FALSE,LEFT($I2531,6)&lt;&gt;"VACUUM"),"CDU",IF($H2531="FLUID CAT CRACKING","FCC",IF(OR($H2531="HYDROCRACKING",$H2531="RESID_HYDROCRACKING"),"Hydrocracker",IF($H2531="REFORMING","Reformer",""))))</f>
        <v>FCC</v>
      </c>
      <c r="H2531" s="6" t="s">
        <v>376</v>
      </c>
      <c r="I2531" s="6" t="s">
        <v>472</v>
      </c>
      <c r="J2531" s="6" t="s">
        <v>345</v>
      </c>
      <c r="K2531" s="10">
        <v>10.5</v>
      </c>
      <c r="L2531" s="10">
        <v>30</v>
      </c>
      <c r="M2531" s="6" t="s">
        <v>371</v>
      </c>
    </row>
    <row r="2532" spans="1:13">
      <c r="A2532" s="6">
        <v>2023</v>
      </c>
      <c r="B2532" s="6">
        <v>12</v>
      </c>
      <c r="C2532" s="6" t="s">
        <v>70</v>
      </c>
      <c r="D2532" s="6" t="s">
        <v>335</v>
      </c>
      <c r="E2532" s="6" t="s">
        <v>369</v>
      </c>
      <c r="F2532" s="6" t="str">
        <f>IF($M2532="PADD I","PADD 1",IF($M2532="PADD II","PADD 2",IF($M2532="PADD III","PADD 3",IF($M2532="PADD IV","PADD 4",IF($M2532="PADD V","PADD 5","")))))</f>
        <v>PADD 3</v>
      </c>
      <c r="G2532" s="6" t="str">
        <f>IF(AND($H2532="ATMOS DISTILLATION",ISNUMBER(SEARCH("VPS",$I2532))=FALSE,LEFT($I2532,6)&lt;&gt;"VACUUM"),"CDU",IF($H2532="FLUID CAT CRACKING","FCC",IF(OR($H2532="HYDROCRACKING",$H2532="RESID_HYDROCRACKING"),"Hydrocracker",IF($H2532="REFORMING","Reformer",""))))</f>
        <v>FCC</v>
      </c>
      <c r="H2532" s="6" t="s">
        <v>376</v>
      </c>
      <c r="I2532" s="6" t="s">
        <v>472</v>
      </c>
      <c r="J2532" s="6" t="s">
        <v>345</v>
      </c>
      <c r="K2532" s="10">
        <v>10.5</v>
      </c>
      <c r="L2532" s="10">
        <v>30</v>
      </c>
      <c r="M2532" s="6" t="s">
        <v>371</v>
      </c>
    </row>
    <row r="2533" spans="1:13">
      <c r="A2533" s="6">
        <v>2023</v>
      </c>
      <c r="B2533" s="6">
        <v>12</v>
      </c>
      <c r="C2533" s="6" t="s">
        <v>70</v>
      </c>
      <c r="D2533" s="6" t="s">
        <v>437</v>
      </c>
      <c r="E2533" s="6" t="s">
        <v>438</v>
      </c>
      <c r="F2533" s="6" t="str">
        <f>IF($M2533="PADD I","PADD 1",IF($M2533="PADD II","PADD 2",IF($M2533="PADD III","PADD 3",IF($M2533="PADD IV","PADD 4",IF($M2533="PADD V","PADD 5","")))))</f>
        <v>PADD 4</v>
      </c>
      <c r="G2533" s="6">
        <f>IF(AND($H2533="ATMOS DISTILLATION",ISNUMBER(SEARCH("VPS",$I2533))=FALSE,LEFT($I2533,6)&lt;&gt;"VACUUM"),"CDU",IF($H2533="FLUID CAT CRACKING","FCC",IF(OR($H2533="HYDROCRACKING",$H2533="RESID_HYDROCRACKING"),"Hydrocracker",IF($H2533="REFORMING","Reformer",""))))</f>
        <v/>
      </c>
      <c r="H2533" s="6" t="s">
        <v>43</v>
      </c>
      <c r="I2533" s="6" t="s">
        <v>493</v>
      </c>
      <c r="J2533" s="6" t="s">
        <v>345</v>
      </c>
      <c r="K2533" s="10">
        <v>10.08</v>
      </c>
      <c r="L2533" s="10">
        <v>21</v>
      </c>
      <c r="M2533" s="6" t="s">
        <v>430</v>
      </c>
    </row>
    <row r="2534" spans="1:13">
      <c r="A2534" s="6">
        <v>2023</v>
      </c>
      <c r="B2534" s="6">
        <v>12</v>
      </c>
      <c r="C2534" s="6" t="s">
        <v>70</v>
      </c>
      <c r="D2534" s="6" t="s">
        <v>387</v>
      </c>
      <c r="E2534" s="6" t="s">
        <v>388</v>
      </c>
      <c r="F2534" s="6" t="str">
        <f>IF($M2534="PADD I","PADD 1",IF($M2534="PADD II","PADD 2",IF($M2534="PADD III","PADD 3",IF($M2534="PADD IV","PADD 4",IF($M2534="PADD V","PADD 5","")))))</f>
        <v>PADD 3</v>
      </c>
      <c r="G2534" s="6" t="str">
        <f>IF(AND($H2534="ATMOS DISTILLATION",ISNUMBER(SEARCH("VPS",$I2534))=FALSE,LEFT($I2534,6)&lt;&gt;"VACUUM"),"CDU",IF($H2534="FLUID CAT CRACKING","FCC",IF(OR($H2534="HYDROCRACKING",$H2534="RESID_HYDROCRACKING"),"Hydrocracker",IF($H2534="REFORMING","Reformer",""))))</f>
        <v>Reformer</v>
      </c>
      <c r="H2534" s="6" t="s">
        <v>421</v>
      </c>
      <c r="I2534" s="6" t="s">
        <v>443</v>
      </c>
      <c r="J2534" s="6" t="s">
        <v>345</v>
      </c>
      <c r="K2534" s="10">
        <v>10.075</v>
      </c>
      <c r="L2534" s="10">
        <v>77.5</v>
      </c>
      <c r="M2534" s="6" t="s">
        <v>371</v>
      </c>
    </row>
    <row r="2535" spans="1:13">
      <c r="A2535" s="6">
        <v>2023</v>
      </c>
      <c r="B2535" s="6">
        <v>12</v>
      </c>
      <c r="C2535" s="6" t="s">
        <v>70</v>
      </c>
      <c r="D2535" s="6" t="s">
        <v>799</v>
      </c>
      <c r="E2535" s="6" t="s">
        <v>391</v>
      </c>
      <c r="F2535" s="6" t="str">
        <f>IF($M2535="PADD I","PADD 1",IF($M2535="PADD II","PADD 2",IF($M2535="PADD III","PADD 3",IF($M2535="PADD IV","PADD 4",IF($M2535="PADD V","PADD 5","")))))</f>
        <v>PADD 4</v>
      </c>
      <c r="G2535" s="6">
        <f>IF(AND($H2535="ATMOS DISTILLATION",ISNUMBER(SEARCH("VPS",$I2535))=FALSE,LEFT($I2535,6)&lt;&gt;"VACUUM"),"CDU",IF($H2535="FLUID CAT CRACKING","FCC",IF(OR($H2535="HYDROCRACKING",$H2535="RESID_HYDROCRACKING"),"Hydrocracker",IF($H2535="REFORMING","Reformer",""))))</f>
        <v/>
      </c>
      <c r="H2535" s="6" t="s">
        <v>43</v>
      </c>
      <c r="I2535" s="6" t="s">
        <v>800</v>
      </c>
      <c r="J2535" s="6" t="s">
        <v>345</v>
      </c>
      <c r="K2535" s="10">
        <v>9.765000000000001</v>
      </c>
      <c r="L2535" s="10">
        <v>27.9</v>
      </c>
      <c r="M2535" s="6" t="s">
        <v>430</v>
      </c>
    </row>
    <row r="2536" spans="1:13">
      <c r="A2536" s="6">
        <v>2023</v>
      </c>
      <c r="B2536" s="6">
        <v>12</v>
      </c>
      <c r="C2536" s="6" t="s">
        <v>70</v>
      </c>
      <c r="D2536" s="6" t="s">
        <v>662</v>
      </c>
      <c r="E2536" s="6" t="s">
        <v>552</v>
      </c>
      <c r="F2536" s="6" t="str">
        <f>IF($M2536="PADD I","PADD 1",IF($M2536="PADD II","PADD 2",IF($M2536="PADD III","PADD 3",IF($M2536="PADD IV","PADD 4",IF($M2536="PADD V","PADD 5","")))))</f>
        <v>PADD 3</v>
      </c>
      <c r="G2536" s="6" t="str">
        <f>IF(AND($H2536="ATMOS DISTILLATION",ISNUMBER(SEARCH("VPS",$I2536))=FALSE,LEFT($I2536,6)&lt;&gt;"VACUUM"),"CDU",IF($H2536="FLUID CAT CRACKING","FCC",IF(OR($H2536="HYDROCRACKING",$H2536="RESID_HYDROCRACKING"),"Hydrocracker",IF($H2536="REFORMING","Reformer",""))))</f>
        <v>CDU</v>
      </c>
      <c r="H2536" s="6" t="s">
        <v>38</v>
      </c>
      <c r="I2536" s="6" t="s">
        <v>663</v>
      </c>
      <c r="J2536" s="6" t="s">
        <v>345</v>
      </c>
      <c r="K2536" s="10">
        <v>9.49</v>
      </c>
      <c r="L2536" s="10">
        <v>73</v>
      </c>
      <c r="M2536" s="6" t="s">
        <v>371</v>
      </c>
    </row>
    <row r="2537" spans="1:13">
      <c r="A2537" s="6">
        <v>2023</v>
      </c>
      <c r="B2537" s="6">
        <v>12</v>
      </c>
      <c r="C2537" s="6" t="s">
        <v>70</v>
      </c>
      <c r="D2537" s="6" t="s">
        <v>946</v>
      </c>
      <c r="E2537" s="6" t="s">
        <v>405</v>
      </c>
      <c r="F2537" s="6" t="str">
        <f>IF($M2537="PADD I","PADD 1",IF($M2537="PADD II","PADD 2",IF($M2537="PADD III","PADD 3",IF($M2537="PADD IV","PADD 4",IF($M2537="PADD V","PADD 5","")))))</f>
        <v>PADD 5</v>
      </c>
      <c r="G2537" s="6">
        <f>IF(AND($H2537="ATMOS DISTILLATION",ISNUMBER(SEARCH("VPS",$I2537))=FALSE,LEFT($I2537,6)&lt;&gt;"VACUUM"),"CDU",IF($H2537="FLUID CAT CRACKING","FCC",IF(OR($H2537="HYDROCRACKING",$H2537="RESID_HYDROCRACKING"),"Hydrocracker",IF($H2537="REFORMING","Reformer",""))))</f>
        <v/>
      </c>
      <c r="H2537" s="6" t="s">
        <v>460</v>
      </c>
      <c r="I2537" s="6" t="s">
        <v>952</v>
      </c>
      <c r="J2537" s="6" t="s">
        <v>345</v>
      </c>
      <c r="K2537" s="10">
        <v>9</v>
      </c>
      <c r="L2537" s="10">
        <v>20</v>
      </c>
      <c r="M2537" s="6" t="s">
        <v>386</v>
      </c>
    </row>
    <row r="2538" spans="1:13">
      <c r="A2538" s="6">
        <v>2023</v>
      </c>
      <c r="B2538" s="6">
        <v>12</v>
      </c>
      <c r="C2538" s="6" t="s">
        <v>70</v>
      </c>
      <c r="D2538" s="6" t="s">
        <v>437</v>
      </c>
      <c r="E2538" s="6" t="s">
        <v>438</v>
      </c>
      <c r="F2538" s="6" t="str">
        <f>IF($M2538="PADD I","PADD 1",IF($M2538="PADD II","PADD 2",IF($M2538="PADD III","PADD 3",IF($M2538="PADD IV","PADD 4",IF($M2538="PADD V","PADD 5","")))))</f>
        <v>PADD 4</v>
      </c>
      <c r="G2538" s="6" t="str">
        <f>IF(AND($H2538="ATMOS DISTILLATION",ISNUMBER(SEARCH("VPS",$I2538))=FALSE,LEFT($I2538,6)&lt;&gt;"VACUUM"),"CDU",IF($H2538="FLUID CAT CRACKING","FCC",IF(OR($H2538="HYDROCRACKING",$H2538="RESID_HYDROCRACKING"),"Hydrocracker",IF($H2538="REFORMING","Reformer",""))))</f>
        <v>CDU</v>
      </c>
      <c r="H2538" s="6" t="s">
        <v>38</v>
      </c>
      <c r="I2538" s="6" t="s">
        <v>439</v>
      </c>
      <c r="J2538" s="6" t="s">
        <v>345</v>
      </c>
      <c r="K2538" s="10">
        <v>8.970000000000001</v>
      </c>
      <c r="L2538" s="10">
        <v>39</v>
      </c>
      <c r="M2538" s="6" t="s">
        <v>430</v>
      </c>
    </row>
    <row r="2539" spans="1:13">
      <c r="A2539" s="6">
        <v>2023</v>
      </c>
      <c r="B2539" s="6">
        <v>12</v>
      </c>
      <c r="C2539" s="6" t="s">
        <v>70</v>
      </c>
      <c r="D2539" s="6" t="s">
        <v>437</v>
      </c>
      <c r="E2539" s="6" t="s">
        <v>438</v>
      </c>
      <c r="F2539" s="6" t="str">
        <f>IF($M2539="PADD I","PADD 1",IF($M2539="PADD II","PADD 2",IF($M2539="PADD III","PADD 3",IF($M2539="PADD IV","PADD 4",IF($M2539="PADD V","PADD 5","")))))</f>
        <v>PADD 4</v>
      </c>
      <c r="G2539" s="6" t="str">
        <f>IF(AND($H2539="ATMOS DISTILLATION",ISNUMBER(SEARCH("VPS",$I2539))=FALSE,LEFT($I2539,6)&lt;&gt;"VACUUM"),"CDU",IF($H2539="FLUID CAT CRACKING","FCC",IF(OR($H2539="HYDROCRACKING",$H2539="RESID_HYDROCRACKING"),"Hydrocracker",IF($H2539="REFORMING","Reformer",""))))</f>
        <v>CDU</v>
      </c>
      <c r="H2539" s="6" t="s">
        <v>38</v>
      </c>
      <c r="I2539" s="6" t="s">
        <v>439</v>
      </c>
      <c r="J2539" s="6" t="s">
        <v>345</v>
      </c>
      <c r="K2539" s="10">
        <v>8.74</v>
      </c>
      <c r="L2539" s="10">
        <v>38</v>
      </c>
      <c r="M2539" s="6" t="s">
        <v>430</v>
      </c>
    </row>
    <row r="2540" spans="1:13">
      <c r="A2540" s="6">
        <v>2023</v>
      </c>
      <c r="B2540" s="6">
        <v>12</v>
      </c>
      <c r="C2540" s="6" t="s">
        <v>70</v>
      </c>
      <c r="D2540" s="6" t="s">
        <v>319</v>
      </c>
      <c r="E2540" s="6" t="s">
        <v>665</v>
      </c>
      <c r="F2540" s="6" t="str">
        <f>IF($M2540="PADD I","PADD 1",IF($M2540="PADD II","PADD 2",IF($M2540="PADD III","PADD 3",IF($M2540="PADD IV","PADD 4",IF($M2540="PADD V","PADD 5","")))))</f>
        <v>PADD 3</v>
      </c>
      <c r="G2540" s="6">
        <f>IF(AND($H2540="ATMOS DISTILLATION",ISNUMBER(SEARCH("VPS",$I2540))=FALSE,LEFT($I2540,6)&lt;&gt;"VACUUM"),"CDU",IF($H2540="FLUID CAT CRACKING","FCC",IF(OR($H2540="HYDROCRACKING",$H2540="RESID_HYDROCRACKING"),"Hydrocracker",IF($H2540="REFORMING","Reformer",""))))</f>
        <v/>
      </c>
      <c r="H2540" s="6" t="s">
        <v>435</v>
      </c>
      <c r="I2540" s="6" t="s">
        <v>441</v>
      </c>
      <c r="J2540" s="6" t="s">
        <v>349</v>
      </c>
      <c r="K2540" s="10">
        <v>8.338200000000001</v>
      </c>
      <c r="L2540" s="10">
        <v>21.38</v>
      </c>
      <c r="M2540" s="6" t="s">
        <v>371</v>
      </c>
    </row>
    <row r="2541" spans="1:13">
      <c r="A2541" s="6">
        <v>2023</v>
      </c>
      <c r="B2541" s="6">
        <v>12</v>
      </c>
      <c r="C2541" s="6" t="s">
        <v>70</v>
      </c>
      <c r="D2541" s="6" t="s">
        <v>331</v>
      </c>
      <c r="E2541" s="6" t="s">
        <v>373</v>
      </c>
      <c r="F2541" s="6" t="str">
        <f>IF($M2541="PADD I","PADD 1",IF($M2541="PADD II","PADD 2",IF($M2541="PADD III","PADD 3",IF($M2541="PADD IV","PADD 4",IF($M2541="PADD V","PADD 5","")))))</f>
        <v>PADD 2</v>
      </c>
      <c r="G2541" s="6">
        <f>IF(AND($H2541="ATMOS DISTILLATION",ISNUMBER(SEARCH("VPS",$I2541))=FALSE,LEFT($I2541,6)&lt;&gt;"VACUUM"),"CDU",IF($H2541="FLUID CAT CRACKING","FCC",IF(OR($H2541="HYDROCRACKING",$H2541="RESID_HYDROCRACKING"),"Hydrocracker",IF($H2541="REFORMING","Reformer",""))))</f>
        <v/>
      </c>
      <c r="H2541" s="6" t="s">
        <v>435</v>
      </c>
      <c r="I2541" s="6" t="s">
        <v>441</v>
      </c>
      <c r="J2541" s="6" t="s">
        <v>345</v>
      </c>
      <c r="K2541" s="10">
        <v>8.050000000000001</v>
      </c>
      <c r="L2541" s="10">
        <v>23</v>
      </c>
      <c r="M2541" s="6" t="s">
        <v>375</v>
      </c>
    </row>
    <row r="2542" spans="1:13">
      <c r="A2542" s="6">
        <v>2023</v>
      </c>
      <c r="B2542" s="6">
        <v>12</v>
      </c>
      <c r="C2542" s="6" t="s">
        <v>70</v>
      </c>
      <c r="D2542" s="6" t="s">
        <v>51</v>
      </c>
      <c r="E2542" s="6" t="s">
        <v>391</v>
      </c>
      <c r="F2542" s="6" t="str">
        <f>IF($M2542="PADD I","PADD 1",IF($M2542="PADD II","PADD 2",IF($M2542="PADD III","PADD 3",IF($M2542="PADD IV","PADD 4",IF($M2542="PADD V","PADD 5","")))))</f>
        <v>PADD 5</v>
      </c>
      <c r="G2542" s="6" t="str">
        <f>IF(AND($H2542="ATMOS DISTILLATION",ISNUMBER(SEARCH("VPS",$I2542))=FALSE,LEFT($I2542,6)&lt;&gt;"VACUUM"),"CDU",IF($H2542="FLUID CAT CRACKING","FCC",IF(OR($H2542="HYDROCRACKING",$H2542="RESID_HYDROCRACKING"),"Hydrocracker",IF($H2542="REFORMING","Reformer",""))))</f>
        <v>Hydrocracker</v>
      </c>
      <c r="H2542" s="6" t="s">
        <v>444</v>
      </c>
      <c r="I2542" s="6" t="s">
        <v>1074</v>
      </c>
      <c r="J2542" s="6" t="s">
        <v>345</v>
      </c>
      <c r="K2542" s="10">
        <v>7.2</v>
      </c>
      <c r="L2542" s="10">
        <v>45</v>
      </c>
      <c r="M2542" s="6" t="s">
        <v>386</v>
      </c>
    </row>
    <row r="2543" spans="1:13">
      <c r="A2543" s="6">
        <v>2023</v>
      </c>
      <c r="B2543" s="6">
        <v>12</v>
      </c>
      <c r="C2543" s="6" t="s">
        <v>70</v>
      </c>
      <c r="D2543" s="6" t="s">
        <v>468</v>
      </c>
      <c r="E2543" s="6" t="s">
        <v>369</v>
      </c>
      <c r="F2543" s="6" t="str">
        <f>IF($M2543="PADD I","PADD 1",IF($M2543="PADD II","PADD 2",IF($M2543="PADD III","PADD 3",IF($M2543="PADD IV","PADD 4",IF($M2543="PADD V","PADD 5","")))))</f>
        <v>PADD 3</v>
      </c>
      <c r="G2543" s="6" t="str">
        <f>IF(AND($H2543="ATMOS DISTILLATION",ISNUMBER(SEARCH("VPS",$I2543))=FALSE,LEFT($I2543,6)&lt;&gt;"VACUUM"),"CDU",IF($H2543="FLUID CAT CRACKING","FCC",IF(OR($H2543="HYDROCRACKING",$H2543="RESID_HYDROCRACKING"),"Hydrocracker",IF($H2543="REFORMING","Reformer",""))))</f>
        <v>Reformer</v>
      </c>
      <c r="H2543" s="6" t="s">
        <v>421</v>
      </c>
      <c r="I2543" s="6" t="s">
        <v>635</v>
      </c>
      <c r="J2543" s="6" t="s">
        <v>349</v>
      </c>
      <c r="K2543" s="10">
        <v>7</v>
      </c>
      <c r="L2543" s="10">
        <v>7</v>
      </c>
      <c r="M2543" s="6" t="s">
        <v>371</v>
      </c>
    </row>
    <row r="2544" spans="1:13">
      <c r="A2544" s="6">
        <v>2023</v>
      </c>
      <c r="B2544" s="6">
        <v>12</v>
      </c>
      <c r="C2544" s="6" t="s">
        <v>70</v>
      </c>
      <c r="D2544" s="6" t="s">
        <v>434</v>
      </c>
      <c r="E2544" s="6" t="s">
        <v>388</v>
      </c>
      <c r="F2544" s="6" t="str">
        <f>IF($M2544="PADD I","PADD 1",IF($M2544="PADD II","PADD 2",IF($M2544="PADD III","PADD 3",IF($M2544="PADD IV","PADD 4",IF($M2544="PADD V","PADD 5","")))))</f>
        <v>PADD 5</v>
      </c>
      <c r="G2544" s="6">
        <f>IF(AND($H2544="ATMOS DISTILLATION",ISNUMBER(SEARCH("VPS",$I2544))=FALSE,LEFT($I2544,6)&lt;&gt;"VACUUM"),"CDU",IF($H2544="FLUID CAT CRACKING","FCC",IF(OR($H2544="HYDROCRACKING",$H2544="RESID_HYDROCRACKING"),"Hydrocracker",IF($H2544="REFORMING","Reformer",""))))</f>
        <v/>
      </c>
      <c r="H2544" s="6" t="s">
        <v>435</v>
      </c>
      <c r="I2544" s="6" t="s">
        <v>436</v>
      </c>
      <c r="J2544" s="6" t="s">
        <v>345</v>
      </c>
      <c r="K2544" s="10">
        <v>6.72</v>
      </c>
      <c r="L2544" s="10">
        <v>42</v>
      </c>
      <c r="M2544" s="6" t="s">
        <v>386</v>
      </c>
    </row>
    <row r="2545" spans="1:13">
      <c r="A2545" s="6">
        <v>2023</v>
      </c>
      <c r="B2545" s="6">
        <v>12</v>
      </c>
      <c r="C2545" s="6" t="s">
        <v>70</v>
      </c>
      <c r="D2545" s="6" t="s">
        <v>387</v>
      </c>
      <c r="E2545" s="6" t="s">
        <v>388</v>
      </c>
      <c r="F2545" s="6" t="str">
        <f>IF($M2545="PADD I","PADD 1",IF($M2545="PADD II","PADD 2",IF($M2545="PADD III","PADD 3",IF($M2545="PADD IV","PADD 4",IF($M2545="PADD V","PADD 5","")))))</f>
        <v>PADD 3</v>
      </c>
      <c r="G2545" s="6" t="str">
        <f>IF(AND($H2545="ATMOS DISTILLATION",ISNUMBER(SEARCH("VPS",$I2545))=FALSE,LEFT($I2545,6)&lt;&gt;"VACUUM"),"CDU",IF($H2545="FLUID CAT CRACKING","FCC",IF(OR($H2545="HYDROCRACKING",$H2545="RESID_HYDROCRACKING"),"Hydrocracker",IF($H2545="REFORMING","Reformer",""))))</f>
        <v>Reformer</v>
      </c>
      <c r="H2545" s="6" t="s">
        <v>421</v>
      </c>
      <c r="I2545" s="6" t="s">
        <v>583</v>
      </c>
      <c r="J2545" s="6" t="s">
        <v>345</v>
      </c>
      <c r="K2545" s="10">
        <v>6.55</v>
      </c>
      <c r="L2545" s="10">
        <v>65.5</v>
      </c>
      <c r="M2545" s="6" t="s">
        <v>371</v>
      </c>
    </row>
    <row r="2546" spans="1:13">
      <c r="A2546" s="6">
        <v>2023</v>
      </c>
      <c r="B2546" s="6">
        <v>12</v>
      </c>
      <c r="C2546" s="6" t="s">
        <v>70</v>
      </c>
      <c r="D2546" s="6" t="s">
        <v>518</v>
      </c>
      <c r="E2546" s="6" t="s">
        <v>369</v>
      </c>
      <c r="F2546" s="6" t="str">
        <f>IF($M2546="PADD I","PADD 1",IF($M2546="PADD II","PADD 2",IF($M2546="PADD III","PADD 3",IF($M2546="PADD IV","PADD 4",IF($M2546="PADD V","PADD 5","")))))</f>
        <v>PADD 5</v>
      </c>
      <c r="G2546" s="6" t="str">
        <f>IF(AND($H2546="ATMOS DISTILLATION",ISNUMBER(SEARCH("VPS",$I2546))=FALSE,LEFT($I2546,6)&lt;&gt;"VACUUM"),"CDU",IF($H2546="FLUID CAT CRACKING","FCC",IF(OR($H2546="HYDROCRACKING",$H2546="RESID_HYDROCRACKING"),"Hydrocracker",IF($H2546="REFORMING","Reformer",""))))</f>
        <v>Reformer</v>
      </c>
      <c r="H2546" s="6" t="s">
        <v>421</v>
      </c>
      <c r="I2546" s="6" t="s">
        <v>586</v>
      </c>
      <c r="J2546" s="6" t="s">
        <v>345</v>
      </c>
      <c r="K2546" s="10">
        <v>6.475</v>
      </c>
      <c r="L2546" s="10">
        <v>18.5</v>
      </c>
      <c r="M2546" s="6" t="s">
        <v>386</v>
      </c>
    </row>
    <row r="2547" spans="1:13">
      <c r="A2547" s="6">
        <v>2023</v>
      </c>
      <c r="B2547" s="6">
        <v>12</v>
      </c>
      <c r="C2547" s="6" t="s">
        <v>70</v>
      </c>
      <c r="D2547" s="6" t="s">
        <v>437</v>
      </c>
      <c r="E2547" s="6" t="s">
        <v>438</v>
      </c>
      <c r="F2547" s="6" t="str">
        <f>IF($M2547="PADD I","PADD 1",IF($M2547="PADD II","PADD 2",IF($M2547="PADD III","PADD 3",IF($M2547="PADD IV","PADD 4",IF($M2547="PADD V","PADD 5","")))))</f>
        <v>PADD 4</v>
      </c>
      <c r="G2547" s="6" t="str">
        <f>IF(AND($H2547="ATMOS DISTILLATION",ISNUMBER(SEARCH("VPS",$I2547))=FALSE,LEFT($I2547,6)&lt;&gt;"VACUUM"),"CDU",IF($H2547="FLUID CAT CRACKING","FCC",IF(OR($H2547="HYDROCRACKING",$H2547="RESID_HYDROCRACKING"),"Hydrocracker",IF($H2547="REFORMING","Reformer",""))))</f>
        <v>CDU</v>
      </c>
      <c r="H2547" s="6" t="s">
        <v>38</v>
      </c>
      <c r="I2547" s="6" t="s">
        <v>330</v>
      </c>
      <c r="J2547" s="6" t="s">
        <v>349</v>
      </c>
      <c r="K2547" s="10">
        <v>6.44</v>
      </c>
      <c r="L2547" s="10">
        <v>28</v>
      </c>
      <c r="M2547" s="6" t="s">
        <v>430</v>
      </c>
    </row>
    <row r="2548" spans="1:13">
      <c r="A2548" s="6">
        <v>2023</v>
      </c>
      <c r="B2548" s="6">
        <v>12</v>
      </c>
      <c r="C2548" s="6" t="s">
        <v>70</v>
      </c>
      <c r="D2548" s="6" t="s">
        <v>437</v>
      </c>
      <c r="E2548" s="6" t="s">
        <v>438</v>
      </c>
      <c r="F2548" s="6" t="str">
        <f>IF($M2548="PADD I","PADD 1",IF($M2548="PADD II","PADD 2",IF($M2548="PADD III","PADD 3",IF($M2548="PADD IV","PADD 4",IF($M2548="PADD V","PADD 5","")))))</f>
        <v>PADD 4</v>
      </c>
      <c r="G2548" s="6" t="str">
        <f>IF(AND($H2548="ATMOS DISTILLATION",ISNUMBER(SEARCH("VPS",$I2548))=FALSE,LEFT($I2548,6)&lt;&gt;"VACUUM"),"CDU",IF($H2548="FLUID CAT CRACKING","FCC",IF(OR($H2548="HYDROCRACKING",$H2548="RESID_HYDROCRACKING"),"Hydrocracker",IF($H2548="REFORMING","Reformer",""))))</f>
        <v>CDU</v>
      </c>
      <c r="H2548" s="6" t="s">
        <v>38</v>
      </c>
      <c r="I2548" s="6" t="s">
        <v>439</v>
      </c>
      <c r="J2548" s="6" t="s">
        <v>345</v>
      </c>
      <c r="K2548" s="10">
        <v>6.08</v>
      </c>
      <c r="L2548" s="10">
        <v>38</v>
      </c>
      <c r="M2548" s="6" t="s">
        <v>430</v>
      </c>
    </row>
    <row r="2549" spans="1:13">
      <c r="A2549" s="6">
        <v>2023</v>
      </c>
      <c r="B2549" s="6">
        <v>12</v>
      </c>
      <c r="C2549" s="6" t="s">
        <v>70</v>
      </c>
      <c r="D2549" s="6" t="s">
        <v>496</v>
      </c>
      <c r="E2549" s="6" t="s">
        <v>388</v>
      </c>
      <c r="F2549" s="6" t="str">
        <f>IF($M2549="PADD I","PADD 1",IF($M2549="PADD II","PADD 2",IF($M2549="PADD III","PADD 3",IF($M2549="PADD IV","PADD 4",IF($M2549="PADD V","PADD 5","")))))</f>
        <v>PADD 2</v>
      </c>
      <c r="G2549" s="6">
        <f>IF(AND($H2549="ATMOS DISTILLATION",ISNUMBER(SEARCH("VPS",$I2549))=FALSE,LEFT($I2549,6)&lt;&gt;"VACUUM"),"CDU",IF($H2549="FLUID CAT CRACKING","FCC",IF(OR($H2549="HYDROCRACKING",$H2549="RESID_HYDROCRACKING"),"Hydrocracker",IF($H2549="REFORMING","Reformer",""))))</f>
        <v/>
      </c>
      <c r="H2549" s="6" t="s">
        <v>43</v>
      </c>
      <c r="I2549" s="6" t="s">
        <v>955</v>
      </c>
      <c r="J2549" s="6" t="s">
        <v>349</v>
      </c>
      <c r="K2549" s="10">
        <v>6</v>
      </c>
      <c r="L2549" s="10">
        <v>6</v>
      </c>
      <c r="M2549" s="6" t="s">
        <v>375</v>
      </c>
    </row>
    <row r="2550" spans="1:13">
      <c r="A2550" s="6">
        <v>2023</v>
      </c>
      <c r="B2550" s="6">
        <v>12</v>
      </c>
      <c r="C2550" s="6" t="s">
        <v>70</v>
      </c>
      <c r="D2550" s="6" t="s">
        <v>437</v>
      </c>
      <c r="E2550" s="6" t="s">
        <v>438</v>
      </c>
      <c r="F2550" s="6" t="str">
        <f>IF($M2550="PADD I","PADD 1",IF($M2550="PADD II","PADD 2",IF($M2550="PADD III","PADD 3",IF($M2550="PADD IV","PADD 4",IF($M2550="PADD V","PADD 5","")))))</f>
        <v>PADD 4</v>
      </c>
      <c r="G2550" s="6">
        <f>IF(AND($H2550="ATMOS DISTILLATION",ISNUMBER(SEARCH("VPS",$I2550))=FALSE,LEFT($I2550,6)&lt;&gt;"VACUUM"),"CDU",IF($H2550="FLUID CAT CRACKING","FCC",IF(OR($H2550="HYDROCRACKING",$H2550="RESID_HYDROCRACKING"),"Hydrocracker",IF($H2550="REFORMING","Reformer",""))))</f>
        <v/>
      </c>
      <c r="H2550" s="6" t="s">
        <v>378</v>
      </c>
      <c r="I2550" s="6" t="s">
        <v>494</v>
      </c>
      <c r="J2550" s="6" t="s">
        <v>345</v>
      </c>
      <c r="K2550" s="10">
        <v>5.8625</v>
      </c>
      <c r="L2550" s="10">
        <v>16.75</v>
      </c>
      <c r="M2550" s="6" t="s">
        <v>430</v>
      </c>
    </row>
    <row r="2551" spans="1:13">
      <c r="A2551" s="6">
        <v>2023</v>
      </c>
      <c r="B2551" s="6">
        <v>12</v>
      </c>
      <c r="C2551" s="6" t="s">
        <v>70</v>
      </c>
      <c r="D2551" s="6" t="s">
        <v>518</v>
      </c>
      <c r="E2551" s="6" t="s">
        <v>369</v>
      </c>
      <c r="F2551" s="6" t="str">
        <f>IF($M2551="PADD I","PADD 1",IF($M2551="PADD II","PADD 2",IF($M2551="PADD III","PADD 3",IF($M2551="PADD IV","PADD 4",IF($M2551="PADD V","PADD 5","")))))</f>
        <v>PADD 5</v>
      </c>
      <c r="G2551" s="6">
        <f>IF(AND($H2551="ATMOS DISTILLATION",ISNUMBER(SEARCH("VPS",$I2551))=FALSE,LEFT($I2551,6)&lt;&gt;"VACUUM"),"CDU",IF($H2551="FLUID CAT CRACKING","FCC",IF(OR($H2551="HYDROCRACKING",$H2551="RESID_HYDROCRACKING"),"Hydrocracker",IF($H2551="REFORMING","Reformer",""))))</f>
        <v/>
      </c>
      <c r="H2551" s="6" t="s">
        <v>43</v>
      </c>
      <c r="I2551" s="6" t="s">
        <v>579</v>
      </c>
      <c r="J2551" s="6" t="s">
        <v>345</v>
      </c>
      <c r="K2551" s="10">
        <v>5.859</v>
      </c>
      <c r="L2551" s="10">
        <v>16.74</v>
      </c>
      <c r="M2551" s="6" t="s">
        <v>386</v>
      </c>
    </row>
    <row r="2552" spans="1:13">
      <c r="A2552" s="6">
        <v>2023</v>
      </c>
      <c r="B2552" s="6">
        <v>12</v>
      </c>
      <c r="C2552" s="6" t="s">
        <v>70</v>
      </c>
      <c r="D2552" s="6" t="s">
        <v>799</v>
      </c>
      <c r="E2552" s="6" t="s">
        <v>391</v>
      </c>
      <c r="F2552" s="6" t="str">
        <f>IF($M2552="PADD I","PADD 1",IF($M2552="PADD II","PADD 2",IF($M2552="PADD III","PADD 3",IF($M2552="PADD IV","PADD 4",IF($M2552="PADD V","PADD 5","")))))</f>
        <v>PADD 4</v>
      </c>
      <c r="G2552" s="6">
        <f>IF(AND($H2552="ATMOS DISTILLATION",ISNUMBER(SEARCH("VPS",$I2552))=FALSE,LEFT($I2552,6)&lt;&gt;"VACUUM"),"CDU",IF($H2552="FLUID CAT CRACKING","FCC",IF(OR($H2552="HYDROCRACKING",$H2552="RESID_HYDROCRACKING"),"Hydrocracker",IF($H2552="REFORMING","Reformer",""))))</f>
        <v/>
      </c>
      <c r="H2552" s="6" t="s">
        <v>43</v>
      </c>
      <c r="I2552" s="6" t="s">
        <v>1067</v>
      </c>
      <c r="J2552" s="6" t="s">
        <v>345</v>
      </c>
      <c r="K2552" s="10">
        <v>5.85</v>
      </c>
      <c r="L2552" s="10">
        <v>15</v>
      </c>
      <c r="M2552" s="6" t="s">
        <v>430</v>
      </c>
    </row>
    <row r="2553" spans="1:13">
      <c r="A2553" s="6">
        <v>2023</v>
      </c>
      <c r="B2553" s="6">
        <v>12</v>
      </c>
      <c r="C2553" s="6" t="s">
        <v>70</v>
      </c>
      <c r="D2553" s="6" t="s">
        <v>446</v>
      </c>
      <c r="E2553" s="6" t="s">
        <v>391</v>
      </c>
      <c r="F2553" s="6" t="str">
        <f>IF($M2553="PADD I","PADD 1",IF($M2553="PADD II","PADD 2",IF($M2553="PADD III","PADD 3",IF($M2553="PADD IV","PADD 4",IF($M2553="PADD V","PADD 5","")))))</f>
        <v>PADD 3</v>
      </c>
      <c r="G2553" s="6">
        <f>IF(AND($H2553="ATMOS DISTILLATION",ISNUMBER(SEARCH("VPS",$I2553))=FALSE,LEFT($I2553,6)&lt;&gt;"VACUUM"),"CDU",IF($H2553="FLUID CAT CRACKING","FCC",IF(OR($H2553="HYDROCRACKING",$H2553="RESID_HYDROCRACKING"),"Hydrocracker",IF($H2553="REFORMING","Reformer",""))))</f>
        <v/>
      </c>
      <c r="H2553" s="6" t="s">
        <v>460</v>
      </c>
      <c r="I2553" s="6" t="s">
        <v>1075</v>
      </c>
      <c r="J2553" s="6" t="s">
        <v>345</v>
      </c>
      <c r="K2553" s="10">
        <v>5.544</v>
      </c>
      <c r="L2553" s="10">
        <v>7.2</v>
      </c>
      <c r="M2553" s="6" t="s">
        <v>371</v>
      </c>
    </row>
    <row r="2554" spans="1:13">
      <c r="A2554" s="6">
        <v>2023</v>
      </c>
      <c r="B2554" s="6">
        <v>12</v>
      </c>
      <c r="C2554" s="6" t="s">
        <v>70</v>
      </c>
      <c r="D2554" s="6" t="s">
        <v>526</v>
      </c>
      <c r="E2554" s="6" t="s">
        <v>405</v>
      </c>
      <c r="F2554" s="6" t="str">
        <f>IF($M2554="PADD I","PADD 1",IF($M2554="PADD II","PADD 2",IF($M2554="PADD III","PADD 3",IF($M2554="PADD IV","PADD 4",IF($M2554="PADD V","PADD 5","")))))</f>
        <v>PADD 3</v>
      </c>
      <c r="G2554" s="6">
        <f>IF(AND($H2554="ATMOS DISTILLATION",ISNUMBER(SEARCH("VPS",$I2554))=FALSE,LEFT($I2554,6)&lt;&gt;"VACUUM"),"CDU",IF($H2554="FLUID CAT CRACKING","FCC",IF(OR($H2554="HYDROCRACKING",$H2554="RESID_HYDROCRACKING"),"Hydrocracker",IF($H2554="REFORMING","Reformer",""))))</f>
        <v/>
      </c>
      <c r="H2554" s="6" t="s">
        <v>43</v>
      </c>
      <c r="I2554" s="6" t="s">
        <v>1076</v>
      </c>
      <c r="J2554" s="6" t="s">
        <v>345</v>
      </c>
      <c r="K2554" s="10">
        <v>5.5</v>
      </c>
      <c r="L2554" s="10">
        <v>55</v>
      </c>
      <c r="M2554" s="6" t="s">
        <v>371</v>
      </c>
    </row>
    <row r="2555" spans="1:13">
      <c r="A2555" s="6">
        <v>2023</v>
      </c>
      <c r="B2555" s="6">
        <v>12</v>
      </c>
      <c r="C2555" s="6" t="s">
        <v>70</v>
      </c>
      <c r="D2555" s="6" t="s">
        <v>51</v>
      </c>
      <c r="E2555" s="6" t="s">
        <v>391</v>
      </c>
      <c r="F2555" s="6" t="str">
        <f>IF($M2555="PADD I","PADD 1",IF($M2555="PADD II","PADD 2",IF($M2555="PADD III","PADD 3",IF($M2555="PADD IV","PADD 4",IF($M2555="PADD V","PADD 5","")))))</f>
        <v>PADD 5</v>
      </c>
      <c r="G2555" s="6">
        <f>IF(AND($H2555="ATMOS DISTILLATION",ISNUMBER(SEARCH("VPS",$I2555))=FALSE,LEFT($I2555,6)&lt;&gt;"VACUUM"),"CDU",IF($H2555="FLUID CAT CRACKING","FCC",IF(OR($H2555="HYDROCRACKING",$H2555="RESID_HYDROCRACKING"),"Hydrocracker",IF($H2555="REFORMING","Reformer",""))))</f>
        <v/>
      </c>
      <c r="H2555" s="6" t="s">
        <v>460</v>
      </c>
      <c r="I2555" s="6" t="s">
        <v>461</v>
      </c>
      <c r="J2555" s="6" t="s">
        <v>345</v>
      </c>
      <c r="K2555" s="10">
        <v>5.28</v>
      </c>
      <c r="L2555" s="10">
        <v>33</v>
      </c>
      <c r="M2555" s="6" t="s">
        <v>386</v>
      </c>
    </row>
    <row r="2556" spans="1:13">
      <c r="A2556" s="6">
        <v>2023</v>
      </c>
      <c r="B2556" s="6">
        <v>12</v>
      </c>
      <c r="C2556" s="6" t="s">
        <v>70</v>
      </c>
      <c r="D2556" s="6" t="s">
        <v>434</v>
      </c>
      <c r="E2556" s="6" t="s">
        <v>388</v>
      </c>
      <c r="F2556" s="6" t="str">
        <f>IF($M2556="PADD I","PADD 1",IF($M2556="PADD II","PADD 2",IF($M2556="PADD III","PADD 3",IF($M2556="PADD IV","PADD 4",IF($M2556="PADD V","PADD 5","")))))</f>
        <v>PADD 5</v>
      </c>
      <c r="G2556" s="6" t="str">
        <f>IF(AND($H2556="ATMOS DISTILLATION",ISNUMBER(SEARCH("VPS",$I2556))=FALSE,LEFT($I2556,6)&lt;&gt;"VACUUM"),"CDU",IF($H2556="FLUID CAT CRACKING","FCC",IF(OR($H2556="HYDROCRACKING",$H2556="RESID_HYDROCRACKING"),"Hydrocracker",IF($H2556="REFORMING","Reformer",""))))</f>
        <v>Hydrocracker</v>
      </c>
      <c r="H2556" s="6" t="s">
        <v>444</v>
      </c>
      <c r="I2556" s="6" t="s">
        <v>14</v>
      </c>
      <c r="J2556" s="6" t="s">
        <v>345</v>
      </c>
      <c r="K2556" s="10">
        <v>5.12</v>
      </c>
      <c r="L2556" s="10">
        <v>32</v>
      </c>
      <c r="M2556" s="6" t="s">
        <v>386</v>
      </c>
    </row>
    <row r="2557" spans="1:13">
      <c r="A2557" s="6">
        <v>2023</v>
      </c>
      <c r="B2557" s="6">
        <v>12</v>
      </c>
      <c r="C2557" s="6" t="s">
        <v>70</v>
      </c>
      <c r="D2557" s="6" t="s">
        <v>437</v>
      </c>
      <c r="E2557" s="6" t="s">
        <v>438</v>
      </c>
      <c r="F2557" s="6" t="str">
        <f>IF($M2557="PADD I","PADD 1",IF($M2557="PADD II","PADD 2",IF($M2557="PADD III","PADD 3",IF($M2557="PADD IV","PADD 4",IF($M2557="PADD V","PADD 5","")))))</f>
        <v>PADD 4</v>
      </c>
      <c r="G2557" s="6" t="str">
        <f>IF(AND($H2557="ATMOS DISTILLATION",ISNUMBER(SEARCH("VPS",$I2557))=FALSE,LEFT($I2557,6)&lt;&gt;"VACUUM"),"CDU",IF($H2557="FLUID CAT CRACKING","FCC",IF(OR($H2557="HYDROCRACKING",$H2557="RESID_HYDROCRACKING"),"Hydrocracker",IF($H2557="REFORMING","Reformer",""))))</f>
        <v>CDU</v>
      </c>
      <c r="H2557" s="6" t="s">
        <v>38</v>
      </c>
      <c r="I2557" s="6" t="s">
        <v>439</v>
      </c>
      <c r="J2557" s="6" t="s">
        <v>345</v>
      </c>
      <c r="K2557" s="10">
        <v>5.07</v>
      </c>
      <c r="L2557" s="10">
        <v>39</v>
      </c>
      <c r="M2557" s="6" t="s">
        <v>430</v>
      </c>
    </row>
    <row r="2558" spans="1:13">
      <c r="A2558" s="6">
        <v>2023</v>
      </c>
      <c r="B2558" s="6">
        <v>12</v>
      </c>
      <c r="C2558" s="6" t="s">
        <v>70</v>
      </c>
      <c r="D2558" s="6" t="s">
        <v>946</v>
      </c>
      <c r="E2558" s="6" t="s">
        <v>405</v>
      </c>
      <c r="F2558" s="6" t="str">
        <f>IF($M2558="PADD I","PADD 1",IF($M2558="PADD II","PADD 2",IF($M2558="PADD III","PADD 3",IF($M2558="PADD IV","PADD 4",IF($M2558="PADD V","PADD 5","")))))</f>
        <v>PADD 5</v>
      </c>
      <c r="G2558" s="6">
        <f>IF(AND($H2558="ATMOS DISTILLATION",ISNUMBER(SEARCH("VPS",$I2558))=FALSE,LEFT($I2558,6)&lt;&gt;"VACUUM"),"CDU",IF($H2558="FLUID CAT CRACKING","FCC",IF(OR($H2558="HYDROCRACKING",$H2558="RESID_HYDROCRACKING"),"Hydrocracker",IF($H2558="REFORMING","Reformer",""))))</f>
        <v/>
      </c>
      <c r="H2558" s="6" t="s">
        <v>460</v>
      </c>
      <c r="I2558" s="6" t="s">
        <v>952</v>
      </c>
      <c r="J2558" s="6" t="s">
        <v>345</v>
      </c>
      <c r="K2558" s="10">
        <v>5.06</v>
      </c>
      <c r="L2558" s="10">
        <v>22</v>
      </c>
      <c r="M2558" s="6" t="s">
        <v>386</v>
      </c>
    </row>
    <row r="2559" spans="1:13">
      <c r="A2559" s="6">
        <v>2023</v>
      </c>
      <c r="B2559" s="6">
        <v>12</v>
      </c>
      <c r="C2559" s="6" t="s">
        <v>70</v>
      </c>
      <c r="D2559" s="6" t="s">
        <v>40</v>
      </c>
      <c r="E2559" s="6" t="s">
        <v>736</v>
      </c>
      <c r="F2559" s="6" t="str">
        <f>IF($M2559="PADD I","PADD 1",IF($M2559="PADD II","PADD 2",IF($M2559="PADD III","PADD 3",IF($M2559="PADD IV","PADD 4",IF($M2559="PADD V","PADD 5","")))))</f>
        <v>PADD 1</v>
      </c>
      <c r="G2559" s="6">
        <f>IF(AND($H2559="ATMOS DISTILLATION",ISNUMBER(SEARCH("VPS",$I2559))=FALSE,LEFT($I2559,6)&lt;&gt;"VACUUM"),"CDU",IF($H2559="FLUID CAT CRACKING","FCC",IF(OR($H2559="HYDROCRACKING",$H2559="RESID_HYDROCRACKING"),"Hydrocracker",IF($H2559="REFORMING","Reformer",""))))</f>
        <v/>
      </c>
      <c r="H2559" s="6" t="s">
        <v>378</v>
      </c>
      <c r="I2559" s="6" t="s">
        <v>1009</v>
      </c>
      <c r="J2559" s="6" t="s">
        <v>345</v>
      </c>
      <c r="K2559" s="10">
        <v>4.94</v>
      </c>
      <c r="L2559" s="10">
        <v>26</v>
      </c>
      <c r="M2559" s="6" t="s">
        <v>413</v>
      </c>
    </row>
    <row r="2560" spans="1:13">
      <c r="A2560" s="6">
        <v>2023</v>
      </c>
      <c r="B2560" s="6">
        <v>12</v>
      </c>
      <c r="C2560" s="6" t="s">
        <v>70</v>
      </c>
      <c r="D2560" s="6" t="s">
        <v>500</v>
      </c>
      <c r="E2560" s="6" t="s">
        <v>388</v>
      </c>
      <c r="F2560" s="6" t="str">
        <f>IF($M2560="PADD I","PADD 1",IF($M2560="PADD II","PADD 2",IF($M2560="PADD III","PADD 3",IF($M2560="PADD IV","PADD 4",IF($M2560="PADD V","PADD 5","")))))</f>
        <v>PADD 2</v>
      </c>
      <c r="G2560" s="6">
        <f>IF(AND($H2560="ATMOS DISTILLATION",ISNUMBER(SEARCH("VPS",$I2560))=FALSE,LEFT($I2560,6)&lt;&gt;"VACUUM"),"CDU",IF($H2560="FLUID CAT CRACKING","FCC",IF(OR($H2560="HYDROCRACKING",$H2560="RESID_HYDROCRACKING"),"Hydrocracker",IF($H2560="REFORMING","Reformer",""))))</f>
        <v/>
      </c>
      <c r="H2560" s="6" t="s">
        <v>43</v>
      </c>
      <c r="I2560" s="6" t="s">
        <v>501</v>
      </c>
      <c r="J2560" s="6" t="s">
        <v>345</v>
      </c>
      <c r="K2560" s="10">
        <v>4.88</v>
      </c>
      <c r="L2560" s="10">
        <v>30.5</v>
      </c>
      <c r="M2560" s="6" t="s">
        <v>375</v>
      </c>
    </row>
    <row r="2561" spans="1:13">
      <c r="A2561" s="6">
        <v>2023</v>
      </c>
      <c r="B2561" s="6">
        <v>12</v>
      </c>
      <c r="C2561" s="6" t="s">
        <v>70</v>
      </c>
      <c r="D2561" s="6" t="s">
        <v>415</v>
      </c>
      <c r="E2561" s="6" t="s">
        <v>416</v>
      </c>
      <c r="F2561" s="6" t="str">
        <f>IF($M2561="PADD I","PADD 1",IF($M2561="PADD II","PADD 2",IF($M2561="PADD III","PADD 3",IF($M2561="PADD IV","PADD 4",IF($M2561="PADD V","PADD 5","")))))</f>
        <v>PADD 3</v>
      </c>
      <c r="G2561" s="6">
        <f>IF(AND($H2561="ATMOS DISTILLATION",ISNUMBER(SEARCH("VPS",$I2561))=FALSE,LEFT($I2561,6)&lt;&gt;"VACUUM"),"CDU",IF($H2561="FLUID CAT CRACKING","FCC",IF(OR($H2561="HYDROCRACKING",$H2561="RESID_HYDROCRACKING"),"Hydrocracker",IF($H2561="REFORMING","Reformer",""))))</f>
        <v/>
      </c>
      <c r="H2561" s="6" t="s">
        <v>378</v>
      </c>
      <c r="I2561" s="6" t="s">
        <v>1077</v>
      </c>
      <c r="J2561" s="6" t="s">
        <v>349</v>
      </c>
      <c r="K2561" s="10">
        <v>4.68</v>
      </c>
      <c r="L2561" s="10">
        <v>36</v>
      </c>
      <c r="M2561" s="6" t="s">
        <v>371</v>
      </c>
    </row>
    <row r="2562" spans="1:13">
      <c r="A2562" s="6">
        <v>2023</v>
      </c>
      <c r="B2562" s="6">
        <v>12</v>
      </c>
      <c r="C2562" s="6" t="s">
        <v>70</v>
      </c>
      <c r="D2562" s="6" t="s">
        <v>462</v>
      </c>
      <c r="E2562" s="6" t="s">
        <v>438</v>
      </c>
      <c r="F2562" s="6" t="str">
        <f>IF($M2562="PADD I","PADD 1",IF($M2562="PADD II","PADD 2",IF($M2562="PADD III","PADD 3",IF($M2562="PADD IV","PADD 4",IF($M2562="PADD V","PADD 5","")))))</f>
        <v>PADD 4</v>
      </c>
      <c r="G2562" s="6" t="str">
        <f>IF(AND($H2562="ATMOS DISTILLATION",ISNUMBER(SEARCH("VPS",$I2562))=FALSE,LEFT($I2562,6)&lt;&gt;"VACUUM"),"CDU",IF($H2562="FLUID CAT CRACKING","FCC",IF(OR($H2562="HYDROCRACKING",$H2562="RESID_HYDROCRACKING"),"Hydrocracker",IF($H2562="REFORMING","Reformer",""))))</f>
        <v>CDU</v>
      </c>
      <c r="H2562" s="6" t="s">
        <v>38</v>
      </c>
      <c r="I2562" s="6" t="s">
        <v>123</v>
      </c>
      <c r="J2562" s="6" t="s">
        <v>345</v>
      </c>
      <c r="K2562" s="10">
        <v>4.16</v>
      </c>
      <c r="L2562" s="10">
        <v>32</v>
      </c>
      <c r="M2562" s="6" t="s">
        <v>430</v>
      </c>
    </row>
    <row r="2563" spans="1:13">
      <c r="A2563" s="6">
        <v>2023</v>
      </c>
      <c r="B2563" s="6">
        <v>12</v>
      </c>
      <c r="C2563" s="6" t="s">
        <v>70</v>
      </c>
      <c r="D2563" s="6" t="s">
        <v>434</v>
      </c>
      <c r="E2563" s="6" t="s">
        <v>388</v>
      </c>
      <c r="F2563" s="6" t="str">
        <f>IF($M2563="PADD I","PADD 1",IF($M2563="PADD II","PADD 2",IF($M2563="PADD III","PADD 3",IF($M2563="PADD IV","PADD 4",IF($M2563="PADD V","PADD 5","")))))</f>
        <v>PADD 5</v>
      </c>
      <c r="G2563" s="6">
        <f>IF(AND($H2563="ATMOS DISTILLATION",ISNUMBER(SEARCH("VPS",$I2563))=FALSE,LEFT($I2563,6)&lt;&gt;"VACUUM"),"CDU",IF($H2563="FLUID CAT CRACKING","FCC",IF(OR($H2563="HYDROCRACKING",$H2563="RESID_HYDROCRACKING"),"Hydrocracker",IF($H2563="REFORMING","Reformer",""))))</f>
        <v/>
      </c>
      <c r="H2563" s="6" t="s">
        <v>43</v>
      </c>
      <c r="I2563" s="6" t="s">
        <v>905</v>
      </c>
      <c r="J2563" s="6" t="s">
        <v>345</v>
      </c>
      <c r="K2563" s="10">
        <v>4</v>
      </c>
      <c r="L2563" s="10">
        <v>25</v>
      </c>
      <c r="M2563" s="6" t="s">
        <v>386</v>
      </c>
    </row>
    <row r="2564" spans="1:13">
      <c r="A2564" s="6">
        <v>2023</v>
      </c>
      <c r="B2564" s="6">
        <v>12</v>
      </c>
      <c r="C2564" s="6" t="s">
        <v>70</v>
      </c>
      <c r="D2564" s="6" t="s">
        <v>468</v>
      </c>
      <c r="E2564" s="6" t="s">
        <v>369</v>
      </c>
      <c r="F2564" s="6" t="str">
        <f>IF($M2564="PADD I","PADD 1",IF($M2564="PADD II","PADD 2",IF($M2564="PADD III","PADD 3",IF($M2564="PADD IV","PADD 4",IF($M2564="PADD V","PADD 5","")))))</f>
        <v>PADD 3</v>
      </c>
      <c r="G2564" s="6" t="str">
        <f>IF(AND($H2564="ATMOS DISTILLATION",ISNUMBER(SEARCH("VPS",$I2564))=FALSE,LEFT($I2564,6)&lt;&gt;"VACUUM"),"CDU",IF($H2564="FLUID CAT CRACKING","FCC",IF(OR($H2564="HYDROCRACKING",$H2564="RESID_HYDROCRACKING"),"Hydrocracker",IF($H2564="REFORMING","Reformer",""))))</f>
        <v>FCC</v>
      </c>
      <c r="H2564" s="6" t="s">
        <v>376</v>
      </c>
      <c r="I2564" s="6" t="s">
        <v>469</v>
      </c>
      <c r="J2564" s="6" t="s">
        <v>349</v>
      </c>
      <c r="K2564" s="10">
        <v>3.9</v>
      </c>
      <c r="L2564" s="10">
        <v>30</v>
      </c>
      <c r="M2564" s="6" t="s">
        <v>371</v>
      </c>
    </row>
    <row r="2565" spans="1:13">
      <c r="A2565" s="6">
        <v>2023</v>
      </c>
      <c r="B2565" s="6">
        <v>12</v>
      </c>
      <c r="C2565" s="6" t="s">
        <v>70</v>
      </c>
      <c r="D2565" s="6" t="s">
        <v>670</v>
      </c>
      <c r="E2565" s="6" t="s">
        <v>405</v>
      </c>
      <c r="F2565" s="6" t="str">
        <f>IF($M2565="PADD I","PADD 1",IF($M2565="PADD II","PADD 2",IF($M2565="PADD III","PADD 3",IF($M2565="PADD IV","PADD 4",IF($M2565="PADD V","PADD 5","")))))</f>
        <v>PADD 2</v>
      </c>
      <c r="G2565" s="6" t="str">
        <f>IF(AND($H2565="ATMOS DISTILLATION",ISNUMBER(SEARCH("VPS",$I2565))=FALSE,LEFT($I2565,6)&lt;&gt;"VACUUM"),"CDU",IF($H2565="FLUID CAT CRACKING","FCC",IF(OR($H2565="HYDROCRACKING",$H2565="RESID_HYDROCRACKING"),"Hydrocracker",IF($H2565="REFORMING","Reformer",""))))</f>
        <v>FCC</v>
      </c>
      <c r="H2565" s="6" t="s">
        <v>376</v>
      </c>
      <c r="I2565" s="6" t="s">
        <v>105</v>
      </c>
      <c r="J2565" s="6" t="s">
        <v>345</v>
      </c>
      <c r="K2565" s="10">
        <v>3.9</v>
      </c>
      <c r="L2565" s="10">
        <v>65</v>
      </c>
      <c r="M2565" s="6" t="s">
        <v>375</v>
      </c>
    </row>
    <row r="2566" spans="1:13">
      <c r="A2566" s="6">
        <v>2023</v>
      </c>
      <c r="B2566" s="6">
        <v>12</v>
      </c>
      <c r="C2566" s="6" t="s">
        <v>70</v>
      </c>
      <c r="D2566" s="6" t="s">
        <v>434</v>
      </c>
      <c r="E2566" s="6" t="s">
        <v>388</v>
      </c>
      <c r="F2566" s="6" t="str">
        <f>IF($M2566="PADD I","PADD 1",IF($M2566="PADD II","PADD 2",IF($M2566="PADD III","PADD 3",IF($M2566="PADD IV","PADD 4",IF($M2566="PADD V","PADD 5","")))))</f>
        <v>PADD 5</v>
      </c>
      <c r="G2566" s="6" t="str">
        <f>IF(AND($H2566="ATMOS DISTILLATION",ISNUMBER(SEARCH("VPS",$I2566))=FALSE,LEFT($I2566,6)&lt;&gt;"VACUUM"),"CDU",IF($H2566="FLUID CAT CRACKING","FCC",IF(OR($H2566="HYDROCRACKING",$H2566="RESID_HYDROCRACKING"),"Hydrocracker",IF($H2566="REFORMING","Reformer",""))))</f>
        <v>Reformer</v>
      </c>
      <c r="H2566" s="6" t="s">
        <v>421</v>
      </c>
      <c r="I2566" s="6" t="s">
        <v>671</v>
      </c>
      <c r="J2566" s="6" t="s">
        <v>345</v>
      </c>
      <c r="K2566" s="10">
        <v>3.9</v>
      </c>
      <c r="L2566" s="10">
        <v>15</v>
      </c>
      <c r="M2566" s="6" t="s">
        <v>386</v>
      </c>
    </row>
    <row r="2567" spans="1:13">
      <c r="A2567" s="6">
        <v>2023</v>
      </c>
      <c r="B2567" s="6">
        <v>12</v>
      </c>
      <c r="C2567" s="6" t="s">
        <v>70</v>
      </c>
      <c r="D2567" s="6" t="s">
        <v>468</v>
      </c>
      <c r="E2567" s="6" t="s">
        <v>369</v>
      </c>
      <c r="F2567" s="6" t="str">
        <f>IF($M2567="PADD I","PADD 1",IF($M2567="PADD II","PADD 2",IF($M2567="PADD III","PADD 3",IF($M2567="PADD IV","PADD 4",IF($M2567="PADD V","PADD 5","")))))</f>
        <v>PADD 3</v>
      </c>
      <c r="G2567" s="6" t="str">
        <f>IF(AND($H2567="ATMOS DISTILLATION",ISNUMBER(SEARCH("VPS",$I2567))=FALSE,LEFT($I2567,6)&lt;&gt;"VACUUM"),"CDU",IF($H2567="FLUID CAT CRACKING","FCC",IF(OR($H2567="HYDROCRACKING",$H2567="RESID_HYDROCRACKING"),"Hydrocracker",IF($H2567="REFORMING","Reformer",""))))</f>
        <v>Reformer</v>
      </c>
      <c r="H2567" s="6" t="s">
        <v>421</v>
      </c>
      <c r="I2567" s="6" t="s">
        <v>635</v>
      </c>
      <c r="J2567" s="6" t="s">
        <v>345</v>
      </c>
      <c r="K2567" s="10">
        <v>3.64</v>
      </c>
      <c r="L2567" s="10">
        <v>7</v>
      </c>
      <c r="M2567" s="6" t="s">
        <v>371</v>
      </c>
    </row>
    <row r="2568" spans="1:13">
      <c r="A2568" s="6">
        <v>2023</v>
      </c>
      <c r="B2568" s="6">
        <v>12</v>
      </c>
      <c r="C2568" s="6" t="s">
        <v>70</v>
      </c>
      <c r="D2568" s="6" t="s">
        <v>662</v>
      </c>
      <c r="E2568" s="6" t="s">
        <v>552</v>
      </c>
      <c r="F2568" s="6" t="str">
        <f>IF($M2568="PADD I","PADD 1",IF($M2568="PADD II","PADD 2",IF($M2568="PADD III","PADD 3",IF($M2568="PADD IV","PADD 4",IF($M2568="PADD V","PADD 5","")))))</f>
        <v>PADD 3</v>
      </c>
      <c r="G2568" s="6">
        <f>IF(AND($H2568="ATMOS DISTILLATION",ISNUMBER(SEARCH("VPS",$I2568))=FALSE,LEFT($I2568,6)&lt;&gt;"VACUUM"),"CDU",IF($H2568="FLUID CAT CRACKING","FCC",IF(OR($H2568="HYDROCRACKING",$H2568="RESID_HYDROCRACKING"),"Hydrocracker",IF($H2568="REFORMING","Reformer",""))))</f>
        <v/>
      </c>
      <c r="H2568" s="6" t="s">
        <v>378</v>
      </c>
      <c r="I2568" s="6" t="s">
        <v>431</v>
      </c>
      <c r="J2568" s="6" t="s">
        <v>345</v>
      </c>
      <c r="K2568" s="10">
        <v>3.12</v>
      </c>
      <c r="L2568" s="10">
        <v>24</v>
      </c>
      <c r="M2568" s="6" t="s">
        <v>371</v>
      </c>
    </row>
    <row r="2569" spans="1:13">
      <c r="A2569" s="6">
        <v>2023</v>
      </c>
      <c r="B2569" s="6">
        <v>12</v>
      </c>
      <c r="C2569" s="6" t="s">
        <v>70</v>
      </c>
      <c r="D2569" s="6" t="s">
        <v>602</v>
      </c>
      <c r="E2569" s="6" t="s">
        <v>369</v>
      </c>
      <c r="F2569" s="6" t="str">
        <f>IF($M2569="PADD I","PADD 1",IF($M2569="PADD II","PADD 2",IF($M2569="PADD III","PADD 3",IF($M2569="PADD IV","PADD 4",IF($M2569="PADD V","PADD 5","")))))</f>
        <v>PADD 2</v>
      </c>
      <c r="G2569" s="6">
        <f>IF(AND($H2569="ATMOS DISTILLATION",ISNUMBER(SEARCH("VPS",$I2569))=FALSE,LEFT($I2569,6)&lt;&gt;"VACUUM"),"CDU",IF($H2569="FLUID CAT CRACKING","FCC",IF(OR($H2569="HYDROCRACKING",$H2569="RESID_HYDROCRACKING"),"Hydrocracker",IF($H2569="REFORMING","Reformer",""))))</f>
        <v/>
      </c>
      <c r="H2569" s="6" t="s">
        <v>435</v>
      </c>
      <c r="I2569" s="6" t="s">
        <v>441</v>
      </c>
      <c r="J2569" s="6" t="s">
        <v>345</v>
      </c>
      <c r="K2569" s="10">
        <v>3.003</v>
      </c>
      <c r="L2569" s="10">
        <v>23.1</v>
      </c>
      <c r="M2569" s="6" t="s">
        <v>375</v>
      </c>
    </row>
    <row r="2570" spans="1:13">
      <c r="A2570" s="6">
        <v>2023</v>
      </c>
      <c r="B2570" s="6">
        <v>12</v>
      </c>
      <c r="C2570" s="6" t="s">
        <v>70</v>
      </c>
      <c r="D2570" s="6" t="s">
        <v>335</v>
      </c>
      <c r="E2570" s="6" t="s">
        <v>369</v>
      </c>
      <c r="F2570" s="6" t="str">
        <f>IF($M2570="PADD I","PADD 1",IF($M2570="PADD II","PADD 2",IF($M2570="PADD III","PADD 3",IF($M2570="PADD IV","PADD 4",IF($M2570="PADD V","PADD 5","")))))</f>
        <v>PADD 3</v>
      </c>
      <c r="G2570" s="6" t="str">
        <f>IF(AND($H2570="ATMOS DISTILLATION",ISNUMBER(SEARCH("VPS",$I2570))=FALSE,LEFT($I2570,6)&lt;&gt;"VACUUM"),"CDU",IF($H2570="FLUID CAT CRACKING","FCC",IF(OR($H2570="HYDROCRACKING",$H2570="RESID_HYDROCRACKING"),"Hydrocracker",IF($H2570="REFORMING","Reformer",""))))</f>
        <v>FCC</v>
      </c>
      <c r="H2570" s="6" t="s">
        <v>376</v>
      </c>
      <c r="I2570" s="6" t="s">
        <v>472</v>
      </c>
      <c r="J2570" s="6" t="s">
        <v>345</v>
      </c>
      <c r="K2570" s="10">
        <v>3</v>
      </c>
      <c r="L2570" s="10">
        <v>30</v>
      </c>
      <c r="M2570" s="6" t="s">
        <v>371</v>
      </c>
    </row>
    <row r="2571" spans="1:13">
      <c r="A2571" s="6">
        <v>2023</v>
      </c>
      <c r="B2571" s="6">
        <v>12</v>
      </c>
      <c r="C2571" s="6" t="s">
        <v>70</v>
      </c>
      <c r="D2571" s="6" t="s">
        <v>628</v>
      </c>
      <c r="E2571" s="6" t="s">
        <v>388</v>
      </c>
      <c r="F2571" s="6" t="str">
        <f>IF($M2571="PADD I","PADD 1",IF($M2571="PADD II","PADD 2",IF($M2571="PADD III","PADD 3",IF($M2571="PADD IV","PADD 4",IF($M2571="PADD V","PADD 5","")))))</f>
        <v>PADD 3</v>
      </c>
      <c r="G2571" s="6" t="str">
        <f>IF(AND($H2571="ATMOS DISTILLATION",ISNUMBER(SEARCH("VPS",$I2571))=FALSE,LEFT($I2571,6)&lt;&gt;"VACUUM"),"CDU",IF($H2571="FLUID CAT CRACKING","FCC",IF(OR($H2571="HYDROCRACKING",$H2571="RESID_HYDROCRACKING"),"Hydrocracker",IF($H2571="REFORMING","Reformer",""))))</f>
        <v>CDU</v>
      </c>
      <c r="H2571" s="6" t="s">
        <v>38</v>
      </c>
      <c r="I2571" s="6" t="s">
        <v>1048</v>
      </c>
      <c r="J2571" s="6" t="s">
        <v>349</v>
      </c>
      <c r="K2571" s="10">
        <v>3</v>
      </c>
      <c r="L2571" s="10">
        <v>50</v>
      </c>
      <c r="M2571" s="6" t="s">
        <v>371</v>
      </c>
    </row>
    <row r="2572" spans="1:13">
      <c r="A2572" s="6">
        <v>2023</v>
      </c>
      <c r="B2572" s="6">
        <v>12</v>
      </c>
      <c r="C2572" s="6" t="s">
        <v>70</v>
      </c>
      <c r="D2572" s="6" t="s">
        <v>420</v>
      </c>
      <c r="E2572" s="6" t="s">
        <v>373</v>
      </c>
      <c r="F2572" s="6" t="str">
        <f>IF($M2572="PADD I","PADD 1",IF($M2572="PADD II","PADD 2",IF($M2572="PADD III","PADD 3",IF($M2572="PADD IV","PADD 4",IF($M2572="PADD V","PADD 5","")))))</f>
        <v>PADD 2</v>
      </c>
      <c r="G2572" s="6" t="str">
        <f>IF(AND($H2572="ATMOS DISTILLATION",ISNUMBER(SEARCH("VPS",$I2572))=FALSE,LEFT($I2572,6)&lt;&gt;"VACUUM"),"CDU",IF($H2572="FLUID CAT CRACKING","FCC",IF(OR($H2572="HYDROCRACKING",$H2572="RESID_HYDROCRACKING"),"Hydrocracker",IF($H2572="REFORMING","Reformer",""))))</f>
        <v>Reformer</v>
      </c>
      <c r="H2572" s="6" t="s">
        <v>421</v>
      </c>
      <c r="I2572" s="6" t="s">
        <v>571</v>
      </c>
      <c r="J2572" s="6" t="s">
        <v>345</v>
      </c>
      <c r="K2572" s="10">
        <v>2.8</v>
      </c>
      <c r="L2572" s="10">
        <v>8</v>
      </c>
      <c r="M2572" s="6" t="s">
        <v>375</v>
      </c>
    </row>
    <row r="2573" spans="1:13">
      <c r="A2573" s="6">
        <v>2023</v>
      </c>
      <c r="B2573" s="6">
        <v>12</v>
      </c>
      <c r="C2573" s="6" t="s">
        <v>70</v>
      </c>
      <c r="D2573" s="6" t="s">
        <v>437</v>
      </c>
      <c r="E2573" s="6" t="s">
        <v>438</v>
      </c>
      <c r="F2573" s="6" t="str">
        <f>IF($M2573="PADD I","PADD 1",IF($M2573="PADD II","PADD 2",IF($M2573="PADD III","PADD 3",IF($M2573="PADD IV","PADD 4",IF($M2573="PADD V","PADD 5","")))))</f>
        <v>PADD 4</v>
      </c>
      <c r="G2573" s="6" t="str">
        <f>IF(AND($H2573="ATMOS DISTILLATION",ISNUMBER(SEARCH("VPS",$I2573))=FALSE,LEFT($I2573,6)&lt;&gt;"VACUUM"),"CDU",IF($H2573="FLUID CAT CRACKING","FCC",IF(OR($H2573="HYDROCRACKING",$H2573="RESID_HYDROCRACKING"),"Hydrocracker",IF($H2573="REFORMING","Reformer",""))))</f>
        <v>Reformer</v>
      </c>
      <c r="H2573" s="6" t="s">
        <v>421</v>
      </c>
      <c r="I2573" s="6" t="s">
        <v>557</v>
      </c>
      <c r="J2573" s="6" t="s">
        <v>345</v>
      </c>
      <c r="K2573" s="10">
        <v>2.64</v>
      </c>
      <c r="L2573" s="10">
        <v>5.5</v>
      </c>
      <c r="M2573" s="6" t="s">
        <v>430</v>
      </c>
    </row>
    <row r="2574" spans="1:13">
      <c r="A2574" s="6">
        <v>2023</v>
      </c>
      <c r="B2574" s="6">
        <v>12</v>
      </c>
      <c r="C2574" s="6" t="s">
        <v>70</v>
      </c>
      <c r="D2574" s="6" t="s">
        <v>434</v>
      </c>
      <c r="E2574" s="6" t="s">
        <v>388</v>
      </c>
      <c r="F2574" s="6" t="str">
        <f>IF($M2574="PADD I","PADD 1",IF($M2574="PADD II","PADD 2",IF($M2574="PADD III","PADD 3",IF($M2574="PADD IV","PADD 4",IF($M2574="PADD V","PADD 5","")))))</f>
        <v>PADD 5</v>
      </c>
      <c r="G2574" s="6" t="str">
        <f>IF(AND($H2574="ATMOS DISTILLATION",ISNUMBER(SEARCH("VPS",$I2574))=FALSE,LEFT($I2574,6)&lt;&gt;"VACUUM"),"CDU",IF($H2574="FLUID CAT CRACKING","FCC",IF(OR($H2574="HYDROCRACKING",$H2574="RESID_HYDROCRACKING"),"Hydrocracker",IF($H2574="REFORMING","Reformer",""))))</f>
        <v>Reformer</v>
      </c>
      <c r="H2574" s="6" t="s">
        <v>421</v>
      </c>
      <c r="I2574" s="6" t="s">
        <v>906</v>
      </c>
      <c r="J2574" s="6" t="s">
        <v>345</v>
      </c>
      <c r="K2574" s="10">
        <v>2.47</v>
      </c>
      <c r="L2574" s="10">
        <v>13</v>
      </c>
      <c r="M2574" s="6" t="s">
        <v>386</v>
      </c>
    </row>
    <row r="2575" spans="1:13">
      <c r="A2575" s="6">
        <v>2023</v>
      </c>
      <c r="B2575" s="6">
        <v>12</v>
      </c>
      <c r="C2575" s="6" t="s">
        <v>70</v>
      </c>
      <c r="D2575" s="6" t="s">
        <v>387</v>
      </c>
      <c r="E2575" s="6" t="s">
        <v>388</v>
      </c>
      <c r="F2575" s="6" t="str">
        <f>IF($M2575="PADD I","PADD 1",IF($M2575="PADD II","PADD 2",IF($M2575="PADD III","PADD 3",IF($M2575="PADD IV","PADD 4",IF($M2575="PADD V","PADD 5","")))))</f>
        <v>PADD 3</v>
      </c>
      <c r="G2575" s="6" t="str">
        <f>IF(AND($H2575="ATMOS DISTILLATION",ISNUMBER(SEARCH("VPS",$I2575))=FALSE,LEFT($I2575,6)&lt;&gt;"VACUUM"),"CDU",IF($H2575="FLUID CAT CRACKING","FCC",IF(OR($H2575="HYDROCRACKING",$H2575="RESID_HYDROCRACKING"),"Hydrocracker",IF($H2575="REFORMING","Reformer",""))))</f>
        <v>Reformer</v>
      </c>
      <c r="H2575" s="6" t="s">
        <v>421</v>
      </c>
      <c r="I2575" s="6" t="s">
        <v>443</v>
      </c>
      <c r="J2575" s="6" t="s">
        <v>345</v>
      </c>
      <c r="K2575" s="10">
        <v>2.325</v>
      </c>
      <c r="L2575" s="10">
        <v>77.5</v>
      </c>
      <c r="M2575" s="6" t="s">
        <v>371</v>
      </c>
    </row>
    <row r="2576" spans="1:13">
      <c r="A2576" s="6">
        <v>2023</v>
      </c>
      <c r="B2576" s="6">
        <v>12</v>
      </c>
      <c r="C2576" s="6" t="s">
        <v>70</v>
      </c>
      <c r="D2576" s="6" t="s">
        <v>531</v>
      </c>
      <c r="E2576" s="6" t="s">
        <v>532</v>
      </c>
      <c r="F2576" s="6" t="str">
        <f>IF($M2576="PADD I","PADD 1",IF($M2576="PADD II","PADD 2",IF($M2576="PADD III","PADD 3",IF($M2576="PADD IV","PADD 4",IF($M2576="PADD V","PADD 5","")))))</f>
        <v>PADD 5</v>
      </c>
      <c r="G2576" s="6">
        <f>IF(AND($H2576="ATMOS DISTILLATION",ISNUMBER(SEARCH("VPS",$I2576))=FALSE,LEFT($I2576,6)&lt;&gt;"VACUUM"),"CDU",IF($H2576="FLUID CAT CRACKING","FCC",IF(OR($H2576="HYDROCRACKING",$H2576="RESID_HYDROCRACKING"),"Hydrocracker",IF($H2576="REFORMING","Reformer",""))))</f>
        <v/>
      </c>
      <c r="H2576" s="6" t="s">
        <v>460</v>
      </c>
      <c r="I2576" s="6" t="s">
        <v>616</v>
      </c>
      <c r="J2576" s="6" t="s">
        <v>345</v>
      </c>
      <c r="K2576" s="10">
        <v>2.2</v>
      </c>
      <c r="L2576" s="10">
        <v>22</v>
      </c>
      <c r="M2576" s="6" t="s">
        <v>386</v>
      </c>
    </row>
    <row r="2577" spans="1:13">
      <c r="A2577" s="6">
        <v>2023</v>
      </c>
      <c r="B2577" s="6">
        <v>12</v>
      </c>
      <c r="C2577" s="6" t="s">
        <v>70</v>
      </c>
      <c r="D2577" s="6" t="s">
        <v>437</v>
      </c>
      <c r="E2577" s="6" t="s">
        <v>438</v>
      </c>
      <c r="F2577" s="6" t="str">
        <f>IF($M2577="PADD I","PADD 1",IF($M2577="PADD II","PADD 2",IF($M2577="PADD III","PADD 3",IF($M2577="PADD IV","PADD 4",IF($M2577="PADD V","PADD 5","")))))</f>
        <v>PADD 4</v>
      </c>
      <c r="G2577" s="6">
        <f>IF(AND($H2577="ATMOS DISTILLATION",ISNUMBER(SEARCH("VPS",$I2577))=FALSE,LEFT($I2577,6)&lt;&gt;"VACUUM"),"CDU",IF($H2577="FLUID CAT CRACKING","FCC",IF(OR($H2577="HYDROCRACKING",$H2577="RESID_HYDROCRACKING"),"Hydrocracker",IF($H2577="REFORMING","Reformer",""))))</f>
        <v/>
      </c>
      <c r="H2577" s="6" t="s">
        <v>43</v>
      </c>
      <c r="I2577" s="6" t="s">
        <v>493</v>
      </c>
      <c r="J2577" s="6" t="s">
        <v>345</v>
      </c>
      <c r="K2577" s="10">
        <v>2.1</v>
      </c>
      <c r="L2577" s="10">
        <v>21</v>
      </c>
      <c r="M2577" s="6" t="s">
        <v>430</v>
      </c>
    </row>
    <row r="2578" spans="1:13">
      <c r="A2578" s="6">
        <v>2023</v>
      </c>
      <c r="B2578" s="6">
        <v>12</v>
      </c>
      <c r="C2578" s="6" t="s">
        <v>70</v>
      </c>
      <c r="D2578" s="6" t="s">
        <v>434</v>
      </c>
      <c r="E2578" s="6" t="s">
        <v>388</v>
      </c>
      <c r="F2578" s="6" t="str">
        <f>IF($M2578="PADD I","PADD 1",IF($M2578="PADD II","PADD 2",IF($M2578="PADD III","PADD 3",IF($M2578="PADD IV","PADD 4",IF($M2578="PADD V","PADD 5","")))))</f>
        <v>PADD 5</v>
      </c>
      <c r="G2578" s="6" t="str">
        <f>IF(AND($H2578="ATMOS DISTILLATION",ISNUMBER(SEARCH("VPS",$I2578))=FALSE,LEFT($I2578,6)&lt;&gt;"VACUUM"),"CDU",IF($H2578="FLUID CAT CRACKING","FCC",IF(OR($H2578="HYDROCRACKING",$H2578="RESID_HYDROCRACKING"),"Hydrocracker",IF($H2578="REFORMING","Reformer",""))))</f>
        <v>Reformer</v>
      </c>
      <c r="H2578" s="6" t="s">
        <v>421</v>
      </c>
      <c r="I2578" s="6" t="s">
        <v>671</v>
      </c>
      <c r="J2578" s="6" t="s">
        <v>345</v>
      </c>
      <c r="K2578" s="10">
        <v>2.08</v>
      </c>
      <c r="L2578" s="10">
        <v>13</v>
      </c>
      <c r="M2578" s="6" t="s">
        <v>386</v>
      </c>
    </row>
    <row r="2579" spans="1:13">
      <c r="A2579" s="6">
        <v>2023</v>
      </c>
      <c r="B2579" s="6">
        <v>12</v>
      </c>
      <c r="C2579" s="6" t="s">
        <v>70</v>
      </c>
      <c r="D2579" s="6" t="s">
        <v>437</v>
      </c>
      <c r="E2579" s="6" t="s">
        <v>438</v>
      </c>
      <c r="F2579" s="6" t="str">
        <f>IF($M2579="PADD I","PADD 1",IF($M2579="PADD II","PADD 2",IF($M2579="PADD III","PADD 3",IF($M2579="PADD IV","PADD 4",IF($M2579="PADD V","PADD 5","")))))</f>
        <v>PADD 4</v>
      </c>
      <c r="G2579" s="6">
        <f>IF(AND($H2579="ATMOS DISTILLATION",ISNUMBER(SEARCH("VPS",$I2579))=FALSE,LEFT($I2579,6)&lt;&gt;"VACUUM"),"CDU",IF($H2579="FLUID CAT CRACKING","FCC",IF(OR($H2579="HYDROCRACKING",$H2579="RESID_HYDROCRACKING"),"Hydrocracker",IF($H2579="REFORMING","Reformer",""))))</f>
        <v/>
      </c>
      <c r="H2579" s="6" t="s">
        <v>378</v>
      </c>
      <c r="I2579" s="6" t="s">
        <v>556</v>
      </c>
      <c r="J2579" s="6" t="s">
        <v>345</v>
      </c>
      <c r="K2579" s="10">
        <v>1.9274</v>
      </c>
      <c r="L2579" s="10">
        <v>8.380000000000001</v>
      </c>
      <c r="M2579" s="6" t="s">
        <v>430</v>
      </c>
    </row>
    <row r="2580" spans="1:13">
      <c r="A2580" s="6">
        <v>2023</v>
      </c>
      <c r="B2580" s="6">
        <v>12</v>
      </c>
      <c r="C2580" s="6" t="s">
        <v>70</v>
      </c>
      <c r="D2580" s="6" t="s">
        <v>468</v>
      </c>
      <c r="E2580" s="6" t="s">
        <v>369</v>
      </c>
      <c r="F2580" s="6" t="str">
        <f>IF($M2580="PADD I","PADD 1",IF($M2580="PADD II","PADD 2",IF($M2580="PADD III","PADD 3",IF($M2580="PADD IV","PADD 4",IF($M2580="PADD V","PADD 5","")))))</f>
        <v>PADD 3</v>
      </c>
      <c r="G2580" s="6" t="str">
        <f>IF(AND($H2580="ATMOS DISTILLATION",ISNUMBER(SEARCH("VPS",$I2580))=FALSE,LEFT($I2580,6)&lt;&gt;"VACUUM"),"CDU",IF($H2580="FLUID CAT CRACKING","FCC",IF(OR($H2580="HYDROCRACKING",$H2580="RESID_HYDROCRACKING"),"Hydrocracker",IF($H2580="REFORMING","Reformer",""))))</f>
        <v>Reformer</v>
      </c>
      <c r="H2580" s="6" t="s">
        <v>421</v>
      </c>
      <c r="I2580" s="6" t="s">
        <v>635</v>
      </c>
      <c r="J2580" s="6" t="s">
        <v>345</v>
      </c>
      <c r="K2580" s="10">
        <v>1.82</v>
      </c>
      <c r="L2580" s="10">
        <v>7</v>
      </c>
      <c r="M2580" s="6" t="s">
        <v>371</v>
      </c>
    </row>
    <row r="2581" spans="1:13">
      <c r="A2581" s="6">
        <v>2023</v>
      </c>
      <c r="B2581" s="6">
        <v>12</v>
      </c>
      <c r="C2581" s="6" t="s">
        <v>70</v>
      </c>
      <c r="D2581" s="6" t="s">
        <v>335</v>
      </c>
      <c r="E2581" s="6" t="s">
        <v>369</v>
      </c>
      <c r="F2581" s="6" t="str">
        <f>IF($M2581="PADD I","PADD 1",IF($M2581="PADD II","PADD 2",IF($M2581="PADD III","PADD 3",IF($M2581="PADD IV","PADD 4",IF($M2581="PADD V","PADD 5","")))))</f>
        <v>PADD 3</v>
      </c>
      <c r="G2581" s="6" t="str">
        <f>IF(AND($H2581="ATMOS DISTILLATION",ISNUMBER(SEARCH("VPS",$I2581))=FALSE,LEFT($I2581,6)&lt;&gt;"VACUUM"),"CDU",IF($H2581="FLUID CAT CRACKING","FCC",IF(OR($H2581="HYDROCRACKING",$H2581="RESID_HYDROCRACKING"),"Hydrocracker",IF($H2581="REFORMING","Reformer",""))))</f>
        <v>FCC</v>
      </c>
      <c r="H2581" s="6" t="s">
        <v>376</v>
      </c>
      <c r="I2581" s="6" t="s">
        <v>472</v>
      </c>
      <c r="J2581" s="6" t="s">
        <v>345</v>
      </c>
      <c r="K2581" s="10">
        <v>1.8</v>
      </c>
      <c r="L2581" s="10">
        <v>30</v>
      </c>
      <c r="M2581" s="6" t="s">
        <v>371</v>
      </c>
    </row>
    <row r="2582" spans="1:13">
      <c r="A2582" s="6">
        <v>2023</v>
      </c>
      <c r="B2582" s="6">
        <v>12</v>
      </c>
      <c r="C2582" s="6" t="s">
        <v>70</v>
      </c>
      <c r="D2582" s="6" t="s">
        <v>437</v>
      </c>
      <c r="E2582" s="6" t="s">
        <v>438</v>
      </c>
      <c r="F2582" s="6" t="str">
        <f>IF($M2582="PADD I","PADD 1",IF($M2582="PADD II","PADD 2",IF($M2582="PADD III","PADD 3",IF($M2582="PADD IV","PADD 4",IF($M2582="PADD V","PADD 5","")))))</f>
        <v>PADD 4</v>
      </c>
      <c r="G2582" s="6">
        <f>IF(AND($H2582="ATMOS DISTILLATION",ISNUMBER(SEARCH("VPS",$I2582))=FALSE,LEFT($I2582,6)&lt;&gt;"VACUUM"),"CDU",IF($H2582="FLUID CAT CRACKING","FCC",IF(OR($H2582="HYDROCRACKING",$H2582="RESID_HYDROCRACKING"),"Hydrocracker",IF($H2582="REFORMING","Reformer",""))))</f>
        <v/>
      </c>
      <c r="H2582" s="6" t="s">
        <v>378</v>
      </c>
      <c r="I2582" s="6" t="s">
        <v>556</v>
      </c>
      <c r="J2582" s="6" t="s">
        <v>345</v>
      </c>
      <c r="K2582" s="10">
        <v>1.3408</v>
      </c>
      <c r="L2582" s="10">
        <v>8.380000000000001</v>
      </c>
      <c r="M2582" s="6" t="s">
        <v>430</v>
      </c>
    </row>
    <row r="2583" spans="1:13">
      <c r="A2583" s="6">
        <v>2023</v>
      </c>
      <c r="B2583" s="6">
        <v>12</v>
      </c>
      <c r="C2583" s="6" t="s">
        <v>70</v>
      </c>
      <c r="D2583" s="6" t="s">
        <v>462</v>
      </c>
      <c r="E2583" s="6" t="s">
        <v>438</v>
      </c>
      <c r="F2583" s="6" t="str">
        <f>IF($M2583="PADD I","PADD 1",IF($M2583="PADD II","PADD 2",IF($M2583="PADD III","PADD 3",IF($M2583="PADD IV","PADD 4",IF($M2583="PADD V","PADD 5","")))))</f>
        <v>PADD 4</v>
      </c>
      <c r="G2583" s="6">
        <f>IF(AND($H2583="ATMOS DISTILLATION",ISNUMBER(SEARCH("VPS",$I2583))=FALSE,LEFT($I2583,6)&lt;&gt;"VACUUM"),"CDU",IF($H2583="FLUID CAT CRACKING","FCC",IF(OR($H2583="HYDROCRACKING",$H2583="RESID_HYDROCRACKING"),"Hydrocracker",IF($H2583="REFORMING","Reformer",""))))</f>
        <v/>
      </c>
      <c r="H2583" s="6" t="s">
        <v>378</v>
      </c>
      <c r="I2583" s="6" t="s">
        <v>555</v>
      </c>
      <c r="J2583" s="6" t="s">
        <v>345</v>
      </c>
      <c r="K2583" s="10">
        <v>1.3</v>
      </c>
      <c r="L2583" s="10">
        <v>10</v>
      </c>
      <c r="M2583" s="6" t="s">
        <v>430</v>
      </c>
    </row>
    <row r="2584" spans="1:13">
      <c r="A2584" s="6">
        <v>2023</v>
      </c>
      <c r="B2584" s="6">
        <v>12</v>
      </c>
      <c r="C2584" s="6" t="s">
        <v>70</v>
      </c>
      <c r="D2584" s="6" t="s">
        <v>434</v>
      </c>
      <c r="E2584" s="6" t="s">
        <v>388</v>
      </c>
      <c r="F2584" s="6" t="str">
        <f>IF($M2584="PADD I","PADD 1",IF($M2584="PADD II","PADD 2",IF($M2584="PADD III","PADD 3",IF($M2584="PADD IV","PADD 4",IF($M2584="PADD V","PADD 5","")))))</f>
        <v>PADD 5</v>
      </c>
      <c r="G2584" s="6" t="str">
        <f>IF(AND($H2584="ATMOS DISTILLATION",ISNUMBER(SEARCH("VPS",$I2584))=FALSE,LEFT($I2584,6)&lt;&gt;"VACUUM"),"CDU",IF($H2584="FLUID CAT CRACKING","FCC",IF(OR($H2584="HYDROCRACKING",$H2584="RESID_HYDROCRACKING"),"Hydrocracker",IF($H2584="REFORMING","Reformer",""))))</f>
        <v>Reformer</v>
      </c>
      <c r="H2584" s="6" t="s">
        <v>421</v>
      </c>
      <c r="I2584" s="6" t="s">
        <v>671</v>
      </c>
      <c r="J2584" s="6" t="s">
        <v>345</v>
      </c>
      <c r="K2584" s="10">
        <v>1.3</v>
      </c>
      <c r="L2584" s="10">
        <v>13</v>
      </c>
      <c r="M2584" s="6" t="s">
        <v>386</v>
      </c>
    </row>
    <row r="2585" spans="1:13">
      <c r="A2585" s="6">
        <v>2023</v>
      </c>
      <c r="B2585" s="6">
        <v>12</v>
      </c>
      <c r="C2585" s="6" t="s">
        <v>70</v>
      </c>
      <c r="D2585" s="6" t="s">
        <v>615</v>
      </c>
      <c r="E2585" s="6" t="s">
        <v>405</v>
      </c>
      <c r="F2585" s="6" t="str">
        <f>IF($M2585="PADD I","PADD 1",IF($M2585="PADD II","PADD 2",IF($M2585="PADD III","PADD 3",IF($M2585="PADD IV","PADD 4",IF($M2585="PADD V","PADD 5","")))))</f>
        <v>PADD 5</v>
      </c>
      <c r="G2585" s="6" t="str">
        <f>IF(AND($H2585="ATMOS DISTILLATION",ISNUMBER(SEARCH("VPS",$I2585))=FALSE,LEFT($I2585,6)&lt;&gt;"VACUUM"),"CDU",IF($H2585="FLUID CAT CRACKING","FCC",IF(OR($H2585="HYDROCRACKING",$H2585="RESID_HYDROCRACKING"),"Hydrocracker",IF($H2585="REFORMING","Reformer",""))))</f>
        <v>Reformer</v>
      </c>
      <c r="H2585" s="6" t="s">
        <v>421</v>
      </c>
      <c r="I2585" s="6" t="s">
        <v>666</v>
      </c>
      <c r="J2585" s="6" t="s">
        <v>345</v>
      </c>
      <c r="K2585" s="10">
        <v>1.2</v>
      </c>
      <c r="L2585" s="10">
        <v>40</v>
      </c>
      <c r="M2585" s="6" t="s">
        <v>386</v>
      </c>
    </row>
    <row r="2586" spans="1:13">
      <c r="A2586" s="6">
        <v>2023</v>
      </c>
      <c r="B2586" s="6">
        <v>12</v>
      </c>
      <c r="C2586" s="6" t="s">
        <v>70</v>
      </c>
      <c r="D2586" s="6" t="s">
        <v>628</v>
      </c>
      <c r="E2586" s="6" t="s">
        <v>388</v>
      </c>
      <c r="F2586" s="6" t="str">
        <f>IF($M2586="PADD I","PADD 1",IF($M2586="PADD II","PADD 2",IF($M2586="PADD III","PADD 3",IF($M2586="PADD IV","PADD 4",IF($M2586="PADD V","PADD 5","")))))</f>
        <v>PADD 3</v>
      </c>
      <c r="G2586" s="6" t="str">
        <f>IF(AND($H2586="ATMOS DISTILLATION",ISNUMBER(SEARCH("VPS",$I2586))=FALSE,LEFT($I2586,6)&lt;&gt;"VACUUM"),"CDU",IF($H2586="FLUID CAT CRACKING","FCC",IF(OR($H2586="HYDROCRACKING",$H2586="RESID_HYDROCRACKING"),"Hydrocracker",IF($H2586="REFORMING","Reformer",""))))</f>
        <v>CDU</v>
      </c>
      <c r="H2586" s="6" t="s">
        <v>38</v>
      </c>
      <c r="I2586" s="6" t="s">
        <v>1053</v>
      </c>
      <c r="J2586" s="6" t="s">
        <v>349</v>
      </c>
      <c r="K2586" s="10">
        <v>1.2</v>
      </c>
      <c r="L2586" s="10">
        <v>20</v>
      </c>
      <c r="M2586" s="6" t="s">
        <v>371</v>
      </c>
    </row>
    <row r="2587" spans="1:13">
      <c r="A2587" s="6">
        <v>2023</v>
      </c>
      <c r="B2587" s="6">
        <v>12</v>
      </c>
      <c r="C2587" s="6" t="s">
        <v>70</v>
      </c>
      <c r="D2587" s="6" t="s">
        <v>462</v>
      </c>
      <c r="E2587" s="6" t="s">
        <v>438</v>
      </c>
      <c r="F2587" s="6" t="str">
        <f>IF($M2587="PADD I","PADD 1",IF($M2587="PADD II","PADD 2",IF($M2587="PADD III","PADD 3",IF($M2587="PADD IV","PADD 4",IF($M2587="PADD V","PADD 5","")))))</f>
        <v>PADD 4</v>
      </c>
      <c r="G2587" s="6">
        <f>IF(AND($H2587="ATMOS DISTILLATION",ISNUMBER(SEARCH("VPS",$I2587))=FALSE,LEFT($I2587,6)&lt;&gt;"VACUUM"),"CDU",IF($H2587="FLUID CAT CRACKING","FCC",IF(OR($H2587="HYDROCRACKING",$H2587="RESID_HYDROCRACKING"),"Hydrocracker",IF($H2587="REFORMING","Reformer",""))))</f>
        <v/>
      </c>
      <c r="H2587" s="6" t="s">
        <v>43</v>
      </c>
      <c r="I2587" s="6" t="s">
        <v>470</v>
      </c>
      <c r="J2587" s="6" t="s">
        <v>345</v>
      </c>
      <c r="K2587" s="10">
        <v>0.9</v>
      </c>
      <c r="L2587" s="10">
        <v>30</v>
      </c>
      <c r="M2587" s="6" t="s">
        <v>430</v>
      </c>
    </row>
    <row r="2588" spans="1:13">
      <c r="A2588" s="6">
        <v>2023</v>
      </c>
      <c r="B2588" s="6">
        <v>12</v>
      </c>
      <c r="C2588" s="6" t="s">
        <v>70</v>
      </c>
      <c r="D2588" s="6" t="s">
        <v>799</v>
      </c>
      <c r="E2588" s="6" t="s">
        <v>391</v>
      </c>
      <c r="F2588" s="6" t="str">
        <f>IF($M2588="PADD I","PADD 1",IF($M2588="PADD II","PADD 2",IF($M2588="PADD III","PADD 3",IF($M2588="PADD IV","PADD 4",IF($M2588="PADD V","PADD 5","")))))</f>
        <v>PADD 4</v>
      </c>
      <c r="G2588" s="6">
        <f>IF(AND($H2588="ATMOS DISTILLATION",ISNUMBER(SEARCH("VPS",$I2588))=FALSE,LEFT($I2588,6)&lt;&gt;"VACUUM"),"CDU",IF($H2588="FLUID CAT CRACKING","FCC",IF(OR($H2588="HYDROCRACKING",$H2588="RESID_HYDROCRACKING"),"Hydrocracker",IF($H2588="REFORMING","Reformer",""))))</f>
        <v/>
      </c>
      <c r="H2588" s="6" t="s">
        <v>460</v>
      </c>
      <c r="I2588" s="6" t="s">
        <v>908</v>
      </c>
      <c r="J2588" s="6" t="s">
        <v>345</v>
      </c>
      <c r="K2588" s="10">
        <v>0.896</v>
      </c>
      <c r="L2588" s="10">
        <v>5.6</v>
      </c>
      <c r="M2588" s="6" t="s">
        <v>430</v>
      </c>
    </row>
    <row r="2589" spans="1:13">
      <c r="A2589" s="6">
        <v>2023</v>
      </c>
      <c r="B2589" s="6">
        <v>12</v>
      </c>
      <c r="C2589" s="6" t="s">
        <v>70</v>
      </c>
      <c r="D2589" s="6" t="s">
        <v>462</v>
      </c>
      <c r="E2589" s="6" t="s">
        <v>438</v>
      </c>
      <c r="F2589" s="6" t="str">
        <f>IF($M2589="PADD I","PADD 1",IF($M2589="PADD II","PADD 2",IF($M2589="PADD III","PADD 3",IF($M2589="PADD IV","PADD 4",IF($M2589="PADD V","PADD 5","")))))</f>
        <v>PADD 4</v>
      </c>
      <c r="G2589" s="6">
        <f>IF(AND($H2589="ATMOS DISTILLATION",ISNUMBER(SEARCH("VPS",$I2589))=FALSE,LEFT($I2589,6)&lt;&gt;"VACUUM"),"CDU",IF($H2589="FLUID CAT CRACKING","FCC",IF(OR($H2589="HYDROCRACKING",$H2589="RESID_HYDROCRACKING"),"Hydrocracker",IF($H2589="REFORMING","Reformer",""))))</f>
        <v/>
      </c>
      <c r="H2589" s="6" t="s">
        <v>43</v>
      </c>
      <c r="I2589" s="6" t="s">
        <v>495</v>
      </c>
      <c r="J2589" s="6" t="s">
        <v>345</v>
      </c>
      <c r="K2589" s="10">
        <v>0.6</v>
      </c>
      <c r="L2589" s="10">
        <v>20</v>
      </c>
      <c r="M2589" s="6" t="s">
        <v>430</v>
      </c>
    </row>
    <row r="2590" spans="1:13">
      <c r="A2590" s="6">
        <v>2023</v>
      </c>
      <c r="B2590" s="6">
        <v>12</v>
      </c>
      <c r="C2590" s="6" t="s">
        <v>70</v>
      </c>
      <c r="D2590" s="6" t="s">
        <v>462</v>
      </c>
      <c r="E2590" s="6" t="s">
        <v>438</v>
      </c>
      <c r="F2590" s="6" t="str">
        <f>IF($M2590="PADD I","PADD 1",IF($M2590="PADD II","PADD 2",IF($M2590="PADD III","PADD 3",IF($M2590="PADD IV","PADD 4",IF($M2590="PADD V","PADD 5","")))))</f>
        <v>PADD 4</v>
      </c>
      <c r="G2590" s="6">
        <f>IF(AND($H2590="ATMOS DISTILLATION",ISNUMBER(SEARCH("VPS",$I2590))=FALSE,LEFT($I2590,6)&lt;&gt;"VACUUM"),"CDU",IF($H2590="FLUID CAT CRACKING","FCC",IF(OR($H2590="HYDROCRACKING",$H2590="RESID_HYDROCRACKING"),"Hydrocracker",IF($H2590="REFORMING","Reformer",""))))</f>
        <v/>
      </c>
      <c r="H2590" s="6" t="s">
        <v>43</v>
      </c>
      <c r="I2590" s="6" t="s">
        <v>535</v>
      </c>
      <c r="J2590" s="6" t="s">
        <v>345</v>
      </c>
      <c r="K2590" s="10">
        <v>0.36</v>
      </c>
      <c r="L2590" s="10">
        <v>12</v>
      </c>
      <c r="M2590" s="6" t="s">
        <v>430</v>
      </c>
    </row>
    <row r="2591" spans="1:13">
      <c r="A2591" s="6">
        <v>2023</v>
      </c>
      <c r="B2591" s="6">
        <v>12</v>
      </c>
      <c r="C2591" s="6" t="s">
        <v>70</v>
      </c>
      <c r="D2591" s="6" t="s">
        <v>462</v>
      </c>
      <c r="E2591" s="6" t="s">
        <v>438</v>
      </c>
      <c r="F2591" s="6" t="str">
        <f>IF($M2591="PADD I","PADD 1",IF($M2591="PADD II","PADD 2",IF($M2591="PADD III","PADD 3",IF($M2591="PADD IV","PADD 4",IF($M2591="PADD V","PADD 5","")))))</f>
        <v>PADD 4</v>
      </c>
      <c r="G2591" s="6">
        <f>IF(AND($H2591="ATMOS DISTILLATION",ISNUMBER(SEARCH("VPS",$I2591))=FALSE,LEFT($I2591,6)&lt;&gt;"VACUUM"),"CDU",IF($H2591="FLUID CAT CRACKING","FCC",IF(OR($H2591="HYDROCRACKING",$H2591="RESID_HYDROCRACKING"),"Hydrocracker",IF($H2591="REFORMING","Reformer",""))))</f>
        <v/>
      </c>
      <c r="H2591" s="6" t="s">
        <v>43</v>
      </c>
      <c r="I2591" s="6" t="s">
        <v>558</v>
      </c>
      <c r="J2591" s="6" t="s">
        <v>345</v>
      </c>
      <c r="K2591" s="10">
        <v>0.3</v>
      </c>
      <c r="L2591" s="10">
        <v>10</v>
      </c>
      <c r="M2591" s="6" t="s">
        <v>430</v>
      </c>
    </row>
    <row r="2592" spans="1:13">
      <c r="A2592" s="6">
        <v>2023</v>
      </c>
      <c r="B2592" s="6">
        <v>12</v>
      </c>
      <c r="C2592" s="6" t="s">
        <v>70</v>
      </c>
      <c r="D2592" s="6" t="s">
        <v>462</v>
      </c>
      <c r="E2592" s="6" t="s">
        <v>438</v>
      </c>
      <c r="F2592" s="6" t="str">
        <f>IF($M2592="PADD I","PADD 1",IF($M2592="PADD II","PADD 2",IF($M2592="PADD III","PADD 3",IF($M2592="PADD IV","PADD 4",IF($M2592="PADD V","PADD 5","")))))</f>
        <v>PADD 4</v>
      </c>
      <c r="G2592" s="6" t="str">
        <f>IF(AND($H2592="ATMOS DISTILLATION",ISNUMBER(SEARCH("VPS",$I2592))=FALSE,LEFT($I2592,6)&lt;&gt;"VACUUM"),"CDU",IF($H2592="FLUID CAT CRACKING","FCC",IF(OR($H2592="HYDROCRACKING",$H2592="RESID_HYDROCRACKING"),"Hydrocracker",IF($H2592="REFORMING","Reformer",""))))</f>
        <v>Reformer</v>
      </c>
      <c r="H2592" s="6" t="s">
        <v>421</v>
      </c>
      <c r="I2592" s="6" t="s">
        <v>559</v>
      </c>
      <c r="J2592" s="6" t="s">
        <v>345</v>
      </c>
      <c r="K2592" s="10">
        <v>0.3</v>
      </c>
      <c r="L2592" s="10">
        <v>10</v>
      </c>
      <c r="M2592" s="6" t="s">
        <v>430</v>
      </c>
    </row>
    <row r="2593" spans="1:13">
      <c r="A2593" s="6">
        <v>2023</v>
      </c>
      <c r="B2593" s="6">
        <v>12</v>
      </c>
      <c r="C2593" s="6" t="s">
        <v>70</v>
      </c>
      <c r="D2593" s="6" t="s">
        <v>462</v>
      </c>
      <c r="E2593" s="6" t="s">
        <v>438</v>
      </c>
      <c r="F2593" s="6" t="str">
        <f>IF($M2593="PADD I","PADD 1",IF($M2593="PADD II","PADD 2",IF($M2593="PADD III","PADD 3",IF($M2593="PADD IV","PADD 4",IF($M2593="PADD V","PADD 5","")))))</f>
        <v>PADD 4</v>
      </c>
      <c r="G2593" s="6">
        <f>IF(AND($H2593="ATMOS DISTILLATION",ISNUMBER(SEARCH("VPS",$I2593))=FALSE,LEFT($I2593,6)&lt;&gt;"VACUUM"),"CDU",IF($H2593="FLUID CAT CRACKING","FCC",IF(OR($H2593="HYDROCRACKING",$H2593="RESID_HYDROCRACKING"),"Hydrocracker",IF($H2593="REFORMING","Reformer",""))))</f>
        <v/>
      </c>
      <c r="H2593" s="6" t="s">
        <v>43</v>
      </c>
      <c r="I2593" s="6" t="s">
        <v>493</v>
      </c>
      <c r="J2593" s="6" t="s">
        <v>345</v>
      </c>
      <c r="K2593" s="10">
        <v>0.3</v>
      </c>
      <c r="L2593" s="10">
        <v>10</v>
      </c>
      <c r="M2593" s="6" t="s">
        <v>430</v>
      </c>
    </row>
    <row r="2594" spans="1:13">
      <c r="A2594" s="6">
        <v>2023</v>
      </c>
      <c r="B2594" s="6">
        <v>12</v>
      </c>
      <c r="C2594" s="6" t="s">
        <v>70</v>
      </c>
      <c r="D2594" s="6" t="s">
        <v>1078</v>
      </c>
      <c r="E2594" s="6" t="s">
        <v>1079</v>
      </c>
      <c r="F2594" s="6" t="str">
        <f>IF($M2594="PADD I","PADD 1",IF($M2594="PADD II","PADD 2",IF($M2594="PADD III","PADD 3",IF($M2594="PADD IV","PADD 4",IF($M2594="PADD V","PADD 5","")))))</f>
        <v>PADD 3</v>
      </c>
      <c r="G2594" s="6">
        <f>IF(AND($H2594="ATMOS DISTILLATION",ISNUMBER(SEARCH("VPS",$I2594))=FALSE,LEFT($I2594,6)&lt;&gt;"VACUUM"),"CDU",IF($H2594="FLUID CAT CRACKING","FCC",IF(OR($H2594="HYDROCRACKING",$H2594="RESID_HYDROCRACKING"),"Hydrocracker",IF($H2594="REFORMING","Reformer",""))))</f>
        <v/>
      </c>
      <c r="H2594" s="6" t="s">
        <v>378</v>
      </c>
      <c r="I2594" s="6" t="s">
        <v>536</v>
      </c>
      <c r="J2594" s="6" t="s">
        <v>345</v>
      </c>
      <c r="K2594" s="10">
        <v>0.27</v>
      </c>
      <c r="L2594" s="10">
        <v>4.5</v>
      </c>
      <c r="M2594" s="6" t="s">
        <v>371</v>
      </c>
    </row>
    <row r="2595" spans="1:13">
      <c r="A2595" s="6">
        <v>2023</v>
      </c>
      <c r="B2595" s="6">
        <v>12</v>
      </c>
      <c r="C2595" s="6" t="s">
        <v>70</v>
      </c>
      <c r="D2595" s="6" t="s">
        <v>718</v>
      </c>
      <c r="E2595" s="6" t="s">
        <v>405</v>
      </c>
      <c r="F2595" s="6" t="str">
        <f>IF($M2595="PADD I","PADD 1",IF($M2595="PADD II","PADD 2",IF($M2595="PADD III","PADD 3",IF($M2595="PADD IV","PADD 4",IF($M2595="PADD V","PADD 5","")))))</f>
        <v>PADD 5</v>
      </c>
      <c r="G2595" s="6" t="str">
        <f>IF(AND($H2595="ATMOS DISTILLATION",ISNUMBER(SEARCH("VPS",$I2595))=FALSE,LEFT($I2595,6)&lt;&gt;"VACUUM"),"CDU",IF($H2595="FLUID CAT CRACKING","FCC",IF(OR($H2595="HYDROCRACKING",$H2595="RESID_HYDROCRACKING"),"Hydrocracker",IF($H2595="REFORMING","Reformer",""))))</f>
        <v>CDU</v>
      </c>
      <c r="H2595" s="6" t="s">
        <v>38</v>
      </c>
      <c r="I2595" s="6" t="s">
        <v>81</v>
      </c>
      <c r="J2595" s="6" t="s">
        <v>345</v>
      </c>
      <c r="K2595" s="10">
        <v>0.18</v>
      </c>
      <c r="L2595" s="10">
        <v>6</v>
      </c>
      <c r="M2595" s="6" t="s">
        <v>386</v>
      </c>
    </row>
    <row r="2596" spans="1:13">
      <c r="A2596" s="6">
        <v>2023</v>
      </c>
      <c r="B2596" s="6">
        <v>12</v>
      </c>
      <c r="C2596" s="6" t="s">
        <v>70</v>
      </c>
      <c r="D2596" s="6" t="s">
        <v>718</v>
      </c>
      <c r="E2596" s="6" t="s">
        <v>405</v>
      </c>
      <c r="F2596" s="6" t="str">
        <f>IF($M2596="PADD I","PADD 1",IF($M2596="PADD II","PADD 2",IF($M2596="PADD III","PADD 3",IF($M2596="PADD IV","PADD 4",IF($M2596="PADD V","PADD 5","")))))</f>
        <v>PADD 5</v>
      </c>
      <c r="G2596" s="6">
        <f>IF(AND($H2596="ATMOS DISTILLATION",ISNUMBER(SEARCH("VPS",$I2596))=FALSE,LEFT($I2596,6)&lt;&gt;"VACUUM"),"CDU",IF($H2596="FLUID CAT CRACKING","FCC",IF(OR($H2596="HYDROCRACKING",$H2596="RESID_HYDROCRACKING"),"Hydrocracker",IF($H2596="REFORMING","Reformer",""))))</f>
        <v/>
      </c>
      <c r="H2596" s="6" t="s">
        <v>378</v>
      </c>
      <c r="I2596" s="6" t="s">
        <v>431</v>
      </c>
      <c r="J2596" s="6" t="s">
        <v>345</v>
      </c>
      <c r="K2596" s="10">
        <v>0.15</v>
      </c>
      <c r="L2596" s="10">
        <v>5</v>
      </c>
      <c r="M2596" s="6" t="s">
        <v>386</v>
      </c>
    </row>
    <row r="2597" spans="1:13">
      <c r="A2597" s="6">
        <v>2023</v>
      </c>
      <c r="B2597" s="6">
        <v>12</v>
      </c>
      <c r="C2597" s="6" t="s">
        <v>70</v>
      </c>
      <c r="D2597" s="6" t="s">
        <v>718</v>
      </c>
      <c r="E2597" s="6" t="s">
        <v>405</v>
      </c>
      <c r="F2597" s="6" t="str">
        <f>IF($M2597="PADD I","PADD 1",IF($M2597="PADD II","PADD 2",IF($M2597="PADD III","PADD 3",IF($M2597="PADD IV","PADD 4",IF($M2597="PADD V","PADD 5","")))))</f>
        <v>PADD 5</v>
      </c>
      <c r="G2597" s="6">
        <f>IF(AND($H2597="ATMOS DISTILLATION",ISNUMBER(SEARCH("VPS",$I2597))=FALSE,LEFT($I2597,6)&lt;&gt;"VACUUM"),"CDU",IF($H2597="FLUID CAT CRACKING","FCC",IF(OR($H2597="HYDROCRACKING",$H2597="RESID_HYDROCRACKING"),"Hydrocracker",IF($H2597="REFORMING","Reformer",""))))</f>
        <v/>
      </c>
      <c r="H2597" s="6" t="s">
        <v>523</v>
      </c>
      <c r="I2597" s="6" t="s">
        <v>524</v>
      </c>
      <c r="J2597" s="6" t="s">
        <v>345</v>
      </c>
      <c r="K2597" s="10">
        <v>0.105</v>
      </c>
      <c r="L2597" s="10">
        <v>3.5</v>
      </c>
      <c r="M2597" s="6" t="s">
        <v>386</v>
      </c>
    </row>
    <row r="2598" spans="1:13">
      <c r="A2598" s="6">
        <v>2024</v>
      </c>
      <c r="B2598" s="6">
        <v>1</v>
      </c>
      <c r="C2598" s="6" t="s">
        <v>59</v>
      </c>
      <c r="D2598" s="6" t="s">
        <v>490</v>
      </c>
      <c r="E2598" s="6" t="s">
        <v>491</v>
      </c>
      <c r="F2598" s="6" t="str">
        <f>IF($M2598="PADD I","PADD 1",IF($M2598="PADD II","PADD 2",IF($M2598="PADD III","PADD 3",IF($M2598="PADD IV","PADD 4",IF($M2598="PADD V","PADD 5","")))))</f>
        <v>PADD 3</v>
      </c>
      <c r="G2598" s="6">
        <f>IF(AND($H2598="ATMOS DISTILLATION",ISNUMBER(SEARCH("VPS",$I2598))=FALSE,LEFT($I2598,6)&lt;&gt;"VACUUM"),"CDU",IF($H2598="FLUID CAT CRACKING","FCC",IF(OR($H2598="HYDROCRACKING",$H2598="RESID_HYDROCRACKING"),"Hydrocracker",IF($H2598="REFORMING","Reformer",""))))</f>
        <v/>
      </c>
      <c r="H2598" s="6" t="s">
        <v>38</v>
      </c>
      <c r="I2598" s="6" t="s">
        <v>1080</v>
      </c>
      <c r="J2598" s="6" t="s">
        <v>349</v>
      </c>
      <c r="K2598" s="10">
        <v>269.5</v>
      </c>
      <c r="L2598" s="10">
        <v>350</v>
      </c>
      <c r="M2598" s="6" t="s">
        <v>371</v>
      </c>
    </row>
    <row r="2599" spans="1:13">
      <c r="A2599" s="6">
        <v>2024</v>
      </c>
      <c r="B2599" s="6">
        <v>1</v>
      </c>
      <c r="C2599" s="6" t="s">
        <v>59</v>
      </c>
      <c r="D2599" s="6" t="s">
        <v>455</v>
      </c>
      <c r="E2599" s="6" t="s">
        <v>405</v>
      </c>
      <c r="F2599" s="6" t="str">
        <f>IF($M2599="PADD I","PADD 1",IF($M2599="PADD II","PADD 2",IF($M2599="PADD III","PADD 3",IF($M2599="PADD IV","PADD 4",IF($M2599="PADD V","PADD 5","")))))</f>
        <v>PADD 3</v>
      </c>
      <c r="G2599" s="6" t="str">
        <f>IF(AND($H2599="ATMOS DISTILLATION",ISNUMBER(SEARCH("VPS",$I2599))=FALSE,LEFT($I2599,6)&lt;&gt;"VACUUM"),"CDU",IF($H2599="FLUID CAT CRACKING","FCC",IF(OR($H2599="HYDROCRACKING",$H2599="RESID_HYDROCRACKING"),"Hydrocracker",IF($H2599="REFORMING","Reformer",""))))</f>
        <v>CDU</v>
      </c>
      <c r="H2599" s="6" t="s">
        <v>38</v>
      </c>
      <c r="I2599" s="6" t="s">
        <v>330</v>
      </c>
      <c r="J2599" s="6" t="s">
        <v>349</v>
      </c>
      <c r="K2599" s="10">
        <v>220.9</v>
      </c>
      <c r="L2599" s="10">
        <v>235</v>
      </c>
      <c r="M2599" s="6" t="s">
        <v>371</v>
      </c>
    </row>
    <row r="2600" spans="1:13">
      <c r="A2600" s="6">
        <v>2024</v>
      </c>
      <c r="B2600" s="6">
        <v>1</v>
      </c>
      <c r="C2600" s="6" t="s">
        <v>59</v>
      </c>
      <c r="D2600" s="6" t="s">
        <v>455</v>
      </c>
      <c r="E2600" s="6" t="s">
        <v>405</v>
      </c>
      <c r="F2600" s="6" t="str">
        <f>IF($M2600="PADD I","PADD 1",IF($M2600="PADD II","PADD 2",IF($M2600="PADD III","PADD 3",IF($M2600="PADD IV","PADD 4",IF($M2600="PADD V","PADD 5","")))))</f>
        <v>PADD 3</v>
      </c>
      <c r="G2600" s="6">
        <f>IF(AND($H2600="ATMOS DISTILLATION",ISNUMBER(SEARCH("VPS",$I2600))=FALSE,LEFT($I2600,6)&lt;&gt;"VACUUM"),"CDU",IF($H2600="FLUID CAT CRACKING","FCC",IF(OR($H2600="HYDROCRACKING",$H2600="RESID_HYDROCRACKING"),"Hydrocracker",IF($H2600="REFORMING","Reformer",""))))</f>
        <v/>
      </c>
      <c r="H2600" s="6" t="s">
        <v>378</v>
      </c>
      <c r="I2600" s="6" t="s">
        <v>964</v>
      </c>
      <c r="J2600" s="6" t="s">
        <v>349</v>
      </c>
      <c r="K2600" s="10">
        <v>169.2</v>
      </c>
      <c r="L2600" s="10">
        <v>180</v>
      </c>
      <c r="M2600" s="6" t="s">
        <v>371</v>
      </c>
    </row>
    <row r="2601" spans="1:13">
      <c r="A2601" s="6">
        <v>2024</v>
      </c>
      <c r="B2601" s="6">
        <v>1</v>
      </c>
      <c r="C2601" s="6" t="s">
        <v>59</v>
      </c>
      <c r="D2601" s="6" t="s">
        <v>324</v>
      </c>
      <c r="E2601" s="6" t="s">
        <v>388</v>
      </c>
      <c r="F2601" s="6" t="str">
        <f>IF($M2601="PADD I","PADD 1",IF($M2601="PADD II","PADD 2",IF($M2601="PADD III","PADD 3",IF($M2601="PADD IV","PADD 4",IF($M2601="PADD V","PADD 5","")))))</f>
        <v>PADD 3</v>
      </c>
      <c r="G2601" s="6" t="str">
        <f>IF(AND($H2601="ATMOS DISTILLATION",ISNUMBER(SEARCH("VPS",$I2601))=FALSE,LEFT($I2601,6)&lt;&gt;"VACUUM"),"CDU",IF($H2601="FLUID CAT CRACKING","FCC",IF(OR($H2601="HYDROCRACKING",$H2601="RESID_HYDROCRACKING"),"Hydrocracker",IF($H2601="REFORMING","Reformer",""))))</f>
        <v>CDU</v>
      </c>
      <c r="H2601" s="6" t="s">
        <v>38</v>
      </c>
      <c r="I2601" s="6" t="s">
        <v>99</v>
      </c>
      <c r="J2601" s="6" t="s">
        <v>345</v>
      </c>
      <c r="K2601" s="10">
        <v>155.65</v>
      </c>
      <c r="L2601" s="10">
        <v>283</v>
      </c>
      <c r="M2601" s="6" t="s">
        <v>371</v>
      </c>
    </row>
    <row r="2602" spans="1:13">
      <c r="A2602" s="6">
        <v>2024</v>
      </c>
      <c r="B2602" s="6">
        <v>1</v>
      </c>
      <c r="C2602" s="6" t="s">
        <v>59</v>
      </c>
      <c r="D2602" s="6" t="s">
        <v>490</v>
      </c>
      <c r="E2602" s="6" t="s">
        <v>491</v>
      </c>
      <c r="F2602" s="6" t="str">
        <f>IF($M2602="PADD I","PADD 1",IF($M2602="PADD II","PADD 2",IF($M2602="PADD III","PADD 3",IF($M2602="PADD IV","PADD 4",IF($M2602="PADD V","PADD 5","")))))</f>
        <v>PADD 3</v>
      </c>
      <c r="G2602" s="6">
        <f>IF(AND($H2602="ATMOS DISTILLATION",ISNUMBER(SEARCH("VPS",$I2602))=FALSE,LEFT($I2602,6)&lt;&gt;"VACUUM"),"CDU",IF($H2602="FLUID CAT CRACKING","FCC",IF(OR($H2602="HYDROCRACKING",$H2602="RESID_HYDROCRACKING"),"Hydrocracker",IF($H2602="REFORMING","Reformer",""))))</f>
        <v/>
      </c>
      <c r="H2602" s="6" t="s">
        <v>378</v>
      </c>
      <c r="I2602" s="6" t="s">
        <v>1081</v>
      </c>
      <c r="J2602" s="6" t="s">
        <v>345</v>
      </c>
      <c r="K2602" s="10">
        <v>123.2</v>
      </c>
      <c r="L2602" s="10">
        <v>160</v>
      </c>
      <c r="M2602" s="6" t="s">
        <v>371</v>
      </c>
    </row>
    <row r="2603" spans="1:13">
      <c r="A2603" s="6">
        <v>2024</v>
      </c>
      <c r="B2603" s="6">
        <v>1</v>
      </c>
      <c r="C2603" s="6" t="s">
        <v>59</v>
      </c>
      <c r="D2603" s="6" t="s">
        <v>526</v>
      </c>
      <c r="E2603" s="6" t="s">
        <v>405</v>
      </c>
      <c r="F2603" s="6" t="str">
        <f>IF($M2603="PADD I","PADD 1",IF($M2603="PADD II","PADD 2",IF($M2603="PADD III","PADD 3",IF($M2603="PADD IV","PADD 4",IF($M2603="PADD V","PADD 5","")))))</f>
        <v>PADD 3</v>
      </c>
      <c r="G2603" s="6" t="str">
        <f>IF(AND($H2603="ATMOS DISTILLATION",ISNUMBER(SEARCH("VPS",$I2603))=FALSE,LEFT($I2603,6)&lt;&gt;"VACUUM"),"CDU",IF($H2603="FLUID CAT CRACKING","FCC",IF(OR($H2603="HYDROCRACKING",$H2603="RESID_HYDROCRACKING"),"Hydrocracker",IF($H2603="REFORMING","Reformer",""))))</f>
        <v>CDU</v>
      </c>
      <c r="H2603" s="6" t="s">
        <v>38</v>
      </c>
      <c r="I2603" s="6" t="s">
        <v>350</v>
      </c>
      <c r="J2603" s="6" t="s">
        <v>349</v>
      </c>
      <c r="K2603" s="10">
        <v>115.5</v>
      </c>
      <c r="L2603" s="10">
        <v>210</v>
      </c>
      <c r="M2603" s="6" t="s">
        <v>371</v>
      </c>
    </row>
    <row r="2604" spans="1:13">
      <c r="A2604" s="6">
        <v>2024</v>
      </c>
      <c r="B2604" s="6">
        <v>1</v>
      </c>
      <c r="C2604" s="6" t="s">
        <v>59</v>
      </c>
      <c r="D2604" s="6" t="s">
        <v>457</v>
      </c>
      <c r="E2604" s="6" t="s">
        <v>388</v>
      </c>
      <c r="F2604" s="6" t="str">
        <f>IF($M2604="PADD I","PADD 1",IF($M2604="PADD II","PADD 2",IF($M2604="PADD III","PADD 3",IF($M2604="PADD IV","PADD 4",IF($M2604="PADD V","PADD 5","")))))</f>
        <v>PADD 5</v>
      </c>
      <c r="G2604" s="6" t="str">
        <f>IF(AND($H2604="ATMOS DISTILLATION",ISNUMBER(SEARCH("VPS",$I2604))=FALSE,LEFT($I2604,6)&lt;&gt;"VACUUM"),"CDU",IF($H2604="FLUID CAT CRACKING","FCC",IF(OR($H2604="HYDROCRACKING",$H2604="RESID_HYDROCRACKING"),"Hydrocracker",IF($H2604="REFORMING","Reformer",""))))</f>
        <v>CDU</v>
      </c>
      <c r="H2604" s="6" t="s">
        <v>38</v>
      </c>
      <c r="I2604" s="6" t="s">
        <v>131</v>
      </c>
      <c r="J2604" s="6" t="s">
        <v>349</v>
      </c>
      <c r="K2604" s="10">
        <v>104</v>
      </c>
      <c r="L2604" s="10">
        <v>160</v>
      </c>
      <c r="M2604" s="6" t="s">
        <v>386</v>
      </c>
    </row>
    <row r="2605" spans="1:13">
      <c r="A2605" s="6">
        <v>2024</v>
      </c>
      <c r="B2605" s="6">
        <v>1</v>
      </c>
      <c r="C2605" s="6" t="s">
        <v>59</v>
      </c>
      <c r="D2605" s="6" t="s">
        <v>526</v>
      </c>
      <c r="E2605" s="6" t="s">
        <v>405</v>
      </c>
      <c r="F2605" s="6" t="str">
        <f>IF($M2605="PADD I","PADD 1",IF($M2605="PADD II","PADD 2",IF($M2605="PADD III","PADD 3",IF($M2605="PADD IV","PADD 4",IF($M2605="PADD V","PADD 5","")))))</f>
        <v>PADD 3</v>
      </c>
      <c r="G2605" s="6">
        <f>IF(AND($H2605="ATMOS DISTILLATION",ISNUMBER(SEARCH("VPS",$I2605))=FALSE,LEFT($I2605,6)&lt;&gt;"VACUUM"),"CDU",IF($H2605="FLUID CAT CRACKING","FCC",IF(OR($H2605="HYDROCRACKING",$H2605="RESID_HYDROCRACKING"),"Hydrocracker",IF($H2605="REFORMING","Reformer",""))))</f>
        <v/>
      </c>
      <c r="H2605" s="6" t="s">
        <v>378</v>
      </c>
      <c r="I2605" s="6" t="s">
        <v>649</v>
      </c>
      <c r="J2605" s="6" t="s">
        <v>349</v>
      </c>
      <c r="K2605" s="10">
        <v>94.59999999999999</v>
      </c>
      <c r="L2605" s="10">
        <v>172</v>
      </c>
      <c r="M2605" s="6" t="s">
        <v>371</v>
      </c>
    </row>
    <row r="2606" spans="1:13">
      <c r="A2606" s="6">
        <v>2024</v>
      </c>
      <c r="B2606" s="6">
        <v>1</v>
      </c>
      <c r="C2606" s="6" t="s">
        <v>59</v>
      </c>
      <c r="D2606" s="6" t="s">
        <v>408</v>
      </c>
      <c r="E2606" s="6" t="s">
        <v>409</v>
      </c>
      <c r="F2606" s="6" t="str">
        <f>IF($M2606="PADD I","PADD 1",IF($M2606="PADD II","PADD 2",IF($M2606="PADD III","PADD 3",IF($M2606="PADD IV","PADD 4",IF($M2606="PADD V","PADD 5","")))))</f>
        <v>PADD 3</v>
      </c>
      <c r="G2606" s="6" t="str">
        <f>IF(AND($H2606="ATMOS DISTILLATION",ISNUMBER(SEARCH("VPS",$I2606))=FALSE,LEFT($I2606,6)&lt;&gt;"VACUUM"),"CDU",IF($H2606="FLUID CAT CRACKING","FCC",IF(OR($H2606="HYDROCRACKING",$H2606="RESID_HYDROCRACKING"),"Hydrocracker",IF($H2606="REFORMING","Reformer",""))))</f>
        <v>CDU</v>
      </c>
      <c r="H2606" s="6" t="s">
        <v>38</v>
      </c>
      <c r="I2606" s="6" t="s">
        <v>410</v>
      </c>
      <c r="J2606" s="6" t="s">
        <v>345</v>
      </c>
      <c r="K2606" s="10">
        <v>85.8</v>
      </c>
      <c r="L2606" s="10">
        <v>165</v>
      </c>
      <c r="M2606" s="6" t="s">
        <v>371</v>
      </c>
    </row>
    <row r="2607" spans="1:13">
      <c r="A2607" s="6">
        <v>2024</v>
      </c>
      <c r="B2607" s="6">
        <v>1</v>
      </c>
      <c r="C2607" s="6" t="s">
        <v>59</v>
      </c>
      <c r="D2607" s="6" t="s">
        <v>455</v>
      </c>
      <c r="E2607" s="6" t="s">
        <v>405</v>
      </c>
      <c r="F2607" s="6" t="str">
        <f>IF($M2607="PADD I","PADD 1",IF($M2607="PADD II","PADD 2",IF($M2607="PADD III","PADD 3",IF($M2607="PADD IV","PADD 4",IF($M2607="PADD V","PADD 5","")))))</f>
        <v>PADD 3</v>
      </c>
      <c r="G2607" s="6">
        <f>IF(AND($H2607="ATMOS DISTILLATION",ISNUMBER(SEARCH("VPS",$I2607))=FALSE,LEFT($I2607,6)&lt;&gt;"VACUUM"),"CDU",IF($H2607="FLUID CAT CRACKING","FCC",IF(OR($H2607="HYDROCRACKING",$H2607="RESID_HYDROCRACKING"),"Hydrocracker",IF($H2607="REFORMING","Reformer",""))))</f>
        <v/>
      </c>
      <c r="H2607" s="6" t="s">
        <v>435</v>
      </c>
      <c r="I2607" s="6" t="s">
        <v>441</v>
      </c>
      <c r="J2607" s="6" t="s">
        <v>349</v>
      </c>
      <c r="K2607" s="10">
        <v>75.2</v>
      </c>
      <c r="L2607" s="10">
        <v>80</v>
      </c>
      <c r="M2607" s="6" t="s">
        <v>371</v>
      </c>
    </row>
    <row r="2608" spans="1:13">
      <c r="A2608" s="6">
        <v>2024</v>
      </c>
      <c r="B2608" s="6">
        <v>1</v>
      </c>
      <c r="C2608" s="6" t="s">
        <v>59</v>
      </c>
      <c r="D2608" s="6" t="s">
        <v>490</v>
      </c>
      <c r="E2608" s="6" t="s">
        <v>491</v>
      </c>
      <c r="F2608" s="6" t="str">
        <f>IF($M2608="PADD I","PADD 1",IF($M2608="PADD II","PADD 2",IF($M2608="PADD III","PADD 3",IF($M2608="PADD IV","PADD 4",IF($M2608="PADD V","PADD 5","")))))</f>
        <v>PADD 3</v>
      </c>
      <c r="G2608" s="6">
        <f>IF(AND($H2608="ATMOS DISTILLATION",ISNUMBER(SEARCH("VPS",$I2608))=FALSE,LEFT($I2608,6)&lt;&gt;"VACUUM"),"CDU",IF($H2608="FLUID CAT CRACKING","FCC",IF(OR($H2608="HYDROCRACKING",$H2608="RESID_HYDROCRACKING"),"Hydrocracker",IF($H2608="REFORMING","Reformer",""))))</f>
        <v/>
      </c>
      <c r="H2608" s="6" t="s">
        <v>435</v>
      </c>
      <c r="I2608" s="6" t="s">
        <v>643</v>
      </c>
      <c r="J2608" s="6" t="s">
        <v>345</v>
      </c>
      <c r="K2608" s="10">
        <v>73.15000000000001</v>
      </c>
      <c r="L2608" s="10">
        <v>95</v>
      </c>
      <c r="M2608" s="6" t="s">
        <v>371</v>
      </c>
    </row>
    <row r="2609" spans="1:13">
      <c r="A2609" s="6">
        <v>2024</v>
      </c>
      <c r="B2609" s="6">
        <v>1</v>
      </c>
      <c r="C2609" s="6" t="s">
        <v>59</v>
      </c>
      <c r="D2609" s="6" t="s">
        <v>329</v>
      </c>
      <c r="E2609" s="6" t="s">
        <v>427</v>
      </c>
      <c r="F2609" s="6" t="str">
        <f>IF($M2609="PADD I","PADD 1",IF($M2609="PADD II","PADD 2",IF($M2609="PADD III","PADD 3",IF($M2609="PADD IV","PADD 4",IF($M2609="PADD V","PADD 5","")))))</f>
        <v>PADD 3</v>
      </c>
      <c r="G2609" s="6">
        <f>IF(AND($H2609="ATMOS DISTILLATION",ISNUMBER(SEARCH("VPS",$I2609))=FALSE,LEFT($I2609,6)&lt;&gt;"VACUUM"),"CDU",IF($H2609="FLUID CAT CRACKING","FCC",IF(OR($H2609="HYDROCRACKING",$H2609="RESID_HYDROCRACKING"),"Hydrocracker",IF($H2609="REFORMING","Reformer",""))))</f>
        <v/>
      </c>
      <c r="H2609" s="6" t="s">
        <v>378</v>
      </c>
      <c r="I2609" s="6" t="s">
        <v>428</v>
      </c>
      <c r="J2609" s="6" t="s">
        <v>345</v>
      </c>
      <c r="K2609" s="10">
        <v>72.8</v>
      </c>
      <c r="L2609" s="10">
        <v>112</v>
      </c>
      <c r="M2609" s="6" t="s">
        <v>371</v>
      </c>
    </row>
    <row r="2610" spans="1:13">
      <c r="A2610" s="6">
        <v>2024</v>
      </c>
      <c r="B2610" s="6">
        <v>1</v>
      </c>
      <c r="C2610" s="6" t="s">
        <v>59</v>
      </c>
      <c r="D2610" s="6" t="s">
        <v>324</v>
      </c>
      <c r="E2610" s="6" t="s">
        <v>388</v>
      </c>
      <c r="F2610" s="6" t="str">
        <f>IF($M2610="PADD I","PADD 1",IF($M2610="PADD II","PADD 2",IF($M2610="PADD III","PADD 3",IF($M2610="PADD IV","PADD 4",IF($M2610="PADD V","PADD 5","")))))</f>
        <v>PADD 3</v>
      </c>
      <c r="G2610" s="6" t="str">
        <f>IF(AND($H2610="ATMOS DISTILLATION",ISNUMBER(SEARCH("VPS",$I2610))=FALSE,LEFT($I2610,6)&lt;&gt;"VACUUM"),"CDU",IF($H2610="FLUID CAT CRACKING","FCC",IF(OR($H2610="HYDROCRACKING",$H2610="RESID_HYDROCRACKING"),"Hydrocracker",IF($H2610="REFORMING","Reformer",""))))</f>
        <v>Hydrocracker</v>
      </c>
      <c r="H2610" s="6" t="s">
        <v>444</v>
      </c>
      <c r="I2610" s="6" t="s">
        <v>945</v>
      </c>
      <c r="J2610" s="6" t="s">
        <v>345</v>
      </c>
      <c r="K2610" s="10">
        <v>59.28</v>
      </c>
      <c r="L2610" s="10">
        <v>114</v>
      </c>
      <c r="M2610" s="6" t="s">
        <v>371</v>
      </c>
    </row>
    <row r="2611" spans="1:13">
      <c r="A2611" s="6">
        <v>2024</v>
      </c>
      <c r="B2611" s="6">
        <v>1</v>
      </c>
      <c r="C2611" s="6" t="s">
        <v>59</v>
      </c>
      <c r="D2611" s="6" t="s">
        <v>490</v>
      </c>
      <c r="E2611" s="6" t="s">
        <v>491</v>
      </c>
      <c r="F2611" s="6" t="str">
        <f>IF($M2611="PADD I","PADD 1",IF($M2611="PADD II","PADD 2",IF($M2611="PADD III","PADD 3",IF($M2611="PADD IV","PADD 4",IF($M2611="PADD V","PADD 5","")))))</f>
        <v>PADD 3</v>
      </c>
      <c r="G2611" s="6" t="str">
        <f>IF(AND($H2611="ATMOS DISTILLATION",ISNUMBER(SEARCH("VPS",$I2611))=FALSE,LEFT($I2611,6)&lt;&gt;"VACUUM"),"CDU",IF($H2611="FLUID CAT CRACKING","FCC",IF(OR($H2611="HYDROCRACKING",$H2611="RESID_HYDROCRACKING"),"Hydrocracker",IF($H2611="REFORMING","Reformer",""))))</f>
        <v>Reformer</v>
      </c>
      <c r="H2611" s="6" t="s">
        <v>421</v>
      </c>
      <c r="I2611" s="6" t="s">
        <v>1082</v>
      </c>
      <c r="J2611" s="6" t="s">
        <v>345</v>
      </c>
      <c r="K2611" s="10">
        <v>57.8</v>
      </c>
      <c r="L2611" s="10">
        <v>85</v>
      </c>
      <c r="M2611" s="6" t="s">
        <v>371</v>
      </c>
    </row>
    <row r="2612" spans="1:13">
      <c r="A2612" s="6">
        <v>2024</v>
      </c>
      <c r="B2612" s="6">
        <v>1</v>
      </c>
      <c r="C2612" s="6" t="s">
        <v>59</v>
      </c>
      <c r="D2612" s="6" t="s">
        <v>455</v>
      </c>
      <c r="E2612" s="6" t="s">
        <v>405</v>
      </c>
      <c r="F2612" s="6" t="str">
        <f>IF($M2612="PADD I","PADD 1",IF($M2612="PADD II","PADD 2",IF($M2612="PADD III","PADD 3",IF($M2612="PADD IV","PADD 4",IF($M2612="PADD V","PADD 5","")))))</f>
        <v>PADD 3</v>
      </c>
      <c r="G2612" s="6" t="str">
        <f>IF(AND($H2612="ATMOS DISTILLATION",ISNUMBER(SEARCH("VPS",$I2612))=FALSE,LEFT($I2612,6)&lt;&gt;"VACUUM"),"CDU",IF($H2612="FLUID CAT CRACKING","FCC",IF(OR($H2612="HYDROCRACKING",$H2612="RESID_HYDROCRACKING"),"Hydrocracker",IF($H2612="REFORMING","Reformer",""))))</f>
        <v>CDU</v>
      </c>
      <c r="H2612" s="6" t="s">
        <v>38</v>
      </c>
      <c r="I2612" s="6" t="s">
        <v>330</v>
      </c>
      <c r="J2612" s="6" t="s">
        <v>345</v>
      </c>
      <c r="K2612" s="10">
        <v>57.2</v>
      </c>
      <c r="L2612" s="10">
        <v>220</v>
      </c>
      <c r="M2612" s="6" t="s">
        <v>371</v>
      </c>
    </row>
    <row r="2613" spans="1:13">
      <c r="A2613" s="6">
        <v>2024</v>
      </c>
      <c r="B2613" s="6">
        <v>1</v>
      </c>
      <c r="C2613" s="6" t="s">
        <v>59</v>
      </c>
      <c r="D2613" s="6" t="s">
        <v>526</v>
      </c>
      <c r="E2613" s="6" t="s">
        <v>405</v>
      </c>
      <c r="F2613" s="6" t="str">
        <f>IF($M2613="PADD I","PADD 1",IF($M2613="PADD II","PADD 2",IF($M2613="PADD III","PADD 3",IF($M2613="PADD IV","PADD 4",IF($M2613="PADD V","PADD 5","")))))</f>
        <v>PADD 3</v>
      </c>
      <c r="G2613" s="6">
        <f>IF(AND($H2613="ATMOS DISTILLATION",ISNUMBER(SEARCH("VPS",$I2613))=FALSE,LEFT($I2613,6)&lt;&gt;"VACUUM"),"CDU",IF($H2613="FLUID CAT CRACKING","FCC",IF(OR($H2613="HYDROCRACKING",$H2613="RESID_HYDROCRACKING"),"Hydrocracker",IF($H2613="REFORMING","Reformer",""))))</f>
        <v/>
      </c>
      <c r="H2613" s="6" t="s">
        <v>435</v>
      </c>
      <c r="I2613" s="6" t="s">
        <v>954</v>
      </c>
      <c r="J2613" s="6" t="s">
        <v>345</v>
      </c>
      <c r="K2613" s="10">
        <v>55</v>
      </c>
      <c r="L2613" s="10">
        <v>100</v>
      </c>
      <c r="M2613" s="6" t="s">
        <v>371</v>
      </c>
    </row>
    <row r="2614" spans="1:13">
      <c r="A2614" s="6">
        <v>2024</v>
      </c>
      <c r="B2614" s="6">
        <v>1</v>
      </c>
      <c r="C2614" s="6" t="s">
        <v>59</v>
      </c>
      <c r="D2614" s="6" t="s">
        <v>415</v>
      </c>
      <c r="E2614" s="6" t="s">
        <v>416</v>
      </c>
      <c r="F2614" s="6" t="str">
        <f>IF($M2614="PADD I","PADD 1",IF($M2614="PADD II","PADD 2",IF($M2614="PADD III","PADD 3",IF($M2614="PADD IV","PADD 4",IF($M2614="PADD V","PADD 5","")))))</f>
        <v>PADD 3</v>
      </c>
      <c r="G2614" s="6">
        <f>IF(AND($H2614="ATMOS DISTILLATION",ISNUMBER(SEARCH("VPS",$I2614))=FALSE,LEFT($I2614,6)&lt;&gt;"VACUUM"),"CDU",IF($H2614="FLUID CAT CRACKING","FCC",IF(OR($H2614="HYDROCRACKING",$H2614="RESID_HYDROCRACKING"),"Hydrocracker",IF($H2614="REFORMING","Reformer",""))))</f>
        <v/>
      </c>
      <c r="H2614" s="6" t="s">
        <v>378</v>
      </c>
      <c r="I2614" s="6" t="s">
        <v>417</v>
      </c>
      <c r="J2614" s="6" t="s">
        <v>345</v>
      </c>
      <c r="K2614" s="10">
        <v>50</v>
      </c>
      <c r="L2614" s="10">
        <v>50</v>
      </c>
      <c r="M2614" s="6" t="s">
        <v>371</v>
      </c>
    </row>
    <row r="2615" spans="1:13">
      <c r="A2615" s="6">
        <v>2024</v>
      </c>
      <c r="B2615" s="6">
        <v>1</v>
      </c>
      <c r="C2615" s="6" t="s">
        <v>59</v>
      </c>
      <c r="D2615" s="6" t="s">
        <v>329</v>
      </c>
      <c r="E2615" s="6" t="s">
        <v>427</v>
      </c>
      <c r="F2615" s="6" t="str">
        <f>IF($M2615="PADD I","PADD 1",IF($M2615="PADD II","PADD 2",IF($M2615="PADD III","PADD 3",IF($M2615="PADD IV","PADD 4",IF($M2615="PADD V","PADD 5","")))))</f>
        <v>PADD 3</v>
      </c>
      <c r="G2615" s="6" t="str">
        <f>IF(AND($H2615="ATMOS DISTILLATION",ISNUMBER(SEARCH("VPS",$I2615))=FALSE,LEFT($I2615,6)&lt;&gt;"VACUUM"),"CDU",IF($H2615="FLUID CAT CRACKING","FCC",IF(OR($H2615="HYDROCRACKING",$H2615="RESID_HYDROCRACKING"),"Hydrocracker",IF($H2615="REFORMING","Reformer",""))))</f>
        <v>CDU</v>
      </c>
      <c r="H2615" s="6" t="s">
        <v>38</v>
      </c>
      <c r="I2615" s="6" t="s">
        <v>123</v>
      </c>
      <c r="J2615" s="6" t="s">
        <v>349</v>
      </c>
      <c r="K2615" s="10">
        <v>46.08</v>
      </c>
      <c r="L2615" s="10">
        <v>96</v>
      </c>
      <c r="M2615" s="6" t="s">
        <v>371</v>
      </c>
    </row>
    <row r="2616" spans="1:13">
      <c r="A2616" s="6">
        <v>2024</v>
      </c>
      <c r="B2616" s="6">
        <v>1</v>
      </c>
      <c r="C2616" s="6" t="s">
        <v>59</v>
      </c>
      <c r="D2616" s="6" t="s">
        <v>730</v>
      </c>
      <c r="E2616" s="6" t="s">
        <v>731</v>
      </c>
      <c r="F2616" s="6" t="str">
        <f>IF($M2616="PADD I","PADD 1",IF($M2616="PADD II","PADD 2",IF($M2616="PADD III","PADD 3",IF($M2616="PADD IV","PADD 4",IF($M2616="PADD V","PADD 5","")))))</f>
        <v>PADD 3</v>
      </c>
      <c r="G2616" s="6" t="str">
        <f>IF(AND($H2616="ATMOS DISTILLATION",ISNUMBER(SEARCH("VPS",$I2616))=FALSE,LEFT($I2616,6)&lt;&gt;"VACUUM"),"CDU",IF($H2616="FLUID CAT CRACKING","FCC",IF(OR($H2616="HYDROCRACKING",$H2616="RESID_HYDROCRACKING"),"Hydrocracker",IF($H2616="REFORMING","Reformer",""))))</f>
        <v>CDU</v>
      </c>
      <c r="H2616" s="6" t="s">
        <v>38</v>
      </c>
      <c r="I2616" s="6" t="s">
        <v>81</v>
      </c>
      <c r="J2616" s="6" t="s">
        <v>345</v>
      </c>
      <c r="K2616" s="10">
        <v>41.6</v>
      </c>
      <c r="L2616" s="10">
        <v>80</v>
      </c>
      <c r="M2616" s="6" t="s">
        <v>371</v>
      </c>
    </row>
    <row r="2617" spans="1:13">
      <c r="A2617" s="6">
        <v>2024</v>
      </c>
      <c r="B2617" s="6">
        <v>1</v>
      </c>
      <c r="C2617" s="6" t="s">
        <v>59</v>
      </c>
      <c r="D2617" s="6" t="s">
        <v>408</v>
      </c>
      <c r="E2617" s="6" t="s">
        <v>409</v>
      </c>
      <c r="F2617" s="6" t="str">
        <f>IF($M2617="PADD I","PADD 1",IF($M2617="PADD II","PADD 2",IF($M2617="PADD III","PADD 3",IF($M2617="PADD IV","PADD 4",IF($M2617="PADD V","PADD 5","")))))</f>
        <v>PADD 3</v>
      </c>
      <c r="G2617" s="6" t="str">
        <f>IF(AND($H2617="ATMOS DISTILLATION",ISNUMBER(SEARCH("VPS",$I2617))=FALSE,LEFT($I2617,6)&lt;&gt;"VACUUM"),"CDU",IF($H2617="FLUID CAT CRACKING","FCC",IF(OR($H2617="HYDROCRACKING",$H2617="RESID_HYDROCRACKING"),"Hydrocracker",IF($H2617="REFORMING","Reformer",""))))</f>
        <v>CDU</v>
      </c>
      <c r="H2617" s="6" t="s">
        <v>38</v>
      </c>
      <c r="I2617" s="6" t="s">
        <v>410</v>
      </c>
      <c r="J2617" s="6" t="s">
        <v>345</v>
      </c>
      <c r="K2617" s="10">
        <v>41.6</v>
      </c>
      <c r="L2617" s="10">
        <v>80</v>
      </c>
      <c r="M2617" s="6" t="s">
        <v>371</v>
      </c>
    </row>
    <row r="2618" spans="1:13">
      <c r="A2618" s="6">
        <v>2024</v>
      </c>
      <c r="B2618" s="6">
        <v>1</v>
      </c>
      <c r="C2618" s="6" t="s">
        <v>59</v>
      </c>
      <c r="D2618" s="6" t="s">
        <v>455</v>
      </c>
      <c r="E2618" s="6" t="s">
        <v>405</v>
      </c>
      <c r="F2618" s="6" t="str">
        <f>IF($M2618="PADD I","PADD 1",IF($M2618="PADD II","PADD 2",IF($M2618="PADD III","PADD 3",IF($M2618="PADD IV","PADD 4",IF($M2618="PADD V","PADD 5","")))))</f>
        <v>PADD 3</v>
      </c>
      <c r="G2618" s="6">
        <f>IF(AND($H2618="ATMOS DISTILLATION",ISNUMBER(SEARCH("VPS",$I2618))=FALSE,LEFT($I2618,6)&lt;&gt;"VACUUM"),"CDU",IF($H2618="FLUID CAT CRACKING","FCC",IF(OR($H2618="HYDROCRACKING",$H2618="RESID_HYDROCRACKING"),"Hydrocracker",IF($H2618="REFORMING","Reformer",""))))</f>
        <v/>
      </c>
      <c r="H2618" s="6" t="s">
        <v>378</v>
      </c>
      <c r="I2618" s="6" t="s">
        <v>964</v>
      </c>
      <c r="J2618" s="6" t="s">
        <v>345</v>
      </c>
      <c r="K2618" s="10">
        <v>41.6</v>
      </c>
      <c r="L2618" s="10">
        <v>160</v>
      </c>
      <c r="M2618" s="6" t="s">
        <v>371</v>
      </c>
    </row>
    <row r="2619" spans="1:13">
      <c r="A2619" s="6">
        <v>2024</v>
      </c>
      <c r="B2619" s="6">
        <v>1</v>
      </c>
      <c r="C2619" s="6" t="s">
        <v>59</v>
      </c>
      <c r="D2619" s="6" t="s">
        <v>415</v>
      </c>
      <c r="E2619" s="6" t="s">
        <v>416</v>
      </c>
      <c r="F2619" s="6" t="str">
        <f>IF($M2619="PADD I","PADD 1",IF($M2619="PADD II","PADD 2",IF($M2619="PADD III","PADD 3",IF($M2619="PADD IV","PADD 4",IF($M2619="PADD V","PADD 5","")))))</f>
        <v>PADD 3</v>
      </c>
      <c r="G2619" s="6" t="str">
        <f>IF(AND($H2619="ATMOS DISTILLATION",ISNUMBER(SEARCH("VPS",$I2619))=FALSE,LEFT($I2619,6)&lt;&gt;"VACUUM"),"CDU",IF($H2619="FLUID CAT CRACKING","FCC",IF(OR($H2619="HYDROCRACKING",$H2619="RESID_HYDROCRACKING"),"Hydrocracker",IF($H2619="REFORMING","Reformer",""))))</f>
        <v>Reformer</v>
      </c>
      <c r="H2619" s="6" t="s">
        <v>421</v>
      </c>
      <c r="I2619" s="6" t="s">
        <v>454</v>
      </c>
      <c r="J2619" s="6" t="s">
        <v>345</v>
      </c>
      <c r="K2619" s="10">
        <v>40.964</v>
      </c>
      <c r="L2619" s="10">
        <v>53.2</v>
      </c>
      <c r="M2619" s="6" t="s">
        <v>371</v>
      </c>
    </row>
    <row r="2620" spans="1:13">
      <c r="A2620" s="6">
        <v>2024</v>
      </c>
      <c r="B2620" s="6">
        <v>1</v>
      </c>
      <c r="C2620" s="6" t="s">
        <v>59</v>
      </c>
      <c r="D2620" s="6" t="s">
        <v>628</v>
      </c>
      <c r="E2620" s="6" t="s">
        <v>388</v>
      </c>
      <c r="F2620" s="6" t="str">
        <f>IF($M2620="PADD I","PADD 1",IF($M2620="PADD II","PADD 2",IF($M2620="PADD III","PADD 3",IF($M2620="PADD IV","PADD 4",IF($M2620="PADD V","PADD 5","")))))</f>
        <v>PADD 3</v>
      </c>
      <c r="G2620" s="6" t="str">
        <f>IF(AND($H2620="ATMOS DISTILLATION",ISNUMBER(SEARCH("VPS",$I2620))=FALSE,LEFT($I2620,6)&lt;&gt;"VACUUM"),"CDU",IF($H2620="FLUID CAT CRACKING","FCC",IF(OR($H2620="HYDROCRACKING",$H2620="RESID_HYDROCRACKING"),"Hydrocracker",IF($H2620="REFORMING","Reformer",""))))</f>
        <v>FCC</v>
      </c>
      <c r="H2620" s="6" t="s">
        <v>376</v>
      </c>
      <c r="I2620" s="6" t="s">
        <v>105</v>
      </c>
      <c r="J2620" s="6" t="s">
        <v>349</v>
      </c>
      <c r="K2620" s="10">
        <v>40.8</v>
      </c>
      <c r="L2620" s="10">
        <v>60</v>
      </c>
      <c r="M2620" s="6" t="s">
        <v>371</v>
      </c>
    </row>
    <row r="2621" spans="1:13">
      <c r="A2621" s="6">
        <v>2024</v>
      </c>
      <c r="B2621" s="6">
        <v>1</v>
      </c>
      <c r="C2621" s="6" t="s">
        <v>59</v>
      </c>
      <c r="D2621" s="6" t="s">
        <v>408</v>
      </c>
      <c r="E2621" s="6" t="s">
        <v>409</v>
      </c>
      <c r="F2621" s="6" t="str">
        <f>IF($M2621="PADD I","PADD 1",IF($M2621="PADD II","PADD 2",IF($M2621="PADD III","PADD 3",IF($M2621="PADD IV","PADD 4",IF($M2621="PADD V","PADD 5","")))))</f>
        <v>PADD 3</v>
      </c>
      <c r="G2621" s="6" t="str">
        <f>IF(AND($H2621="ATMOS DISTILLATION",ISNUMBER(SEARCH("VPS",$I2621))=FALSE,LEFT($I2621,6)&lt;&gt;"VACUUM"),"CDU",IF($H2621="FLUID CAT CRACKING","FCC",IF(OR($H2621="HYDROCRACKING",$H2621="RESID_HYDROCRACKING"),"Hydrocracker",IF($H2621="REFORMING","Reformer",""))))</f>
        <v>FCC</v>
      </c>
      <c r="H2621" s="6" t="s">
        <v>376</v>
      </c>
      <c r="I2621" s="6" t="s">
        <v>426</v>
      </c>
      <c r="J2621" s="6" t="s">
        <v>345</v>
      </c>
      <c r="K2621" s="10">
        <v>39.52</v>
      </c>
      <c r="L2621" s="10">
        <v>76</v>
      </c>
      <c r="M2621" s="6" t="s">
        <v>371</v>
      </c>
    </row>
    <row r="2622" spans="1:13">
      <c r="A2622" s="6">
        <v>2024</v>
      </c>
      <c r="B2622" s="6">
        <v>1</v>
      </c>
      <c r="C2622" s="6" t="s">
        <v>59</v>
      </c>
      <c r="D2622" s="6" t="s">
        <v>50</v>
      </c>
      <c r="E2622" s="6" t="s">
        <v>381</v>
      </c>
      <c r="F2622" s="6" t="str">
        <f>IF($M2622="PADD I","PADD 1",IF($M2622="PADD II","PADD 2",IF($M2622="PADD III","PADD 3",IF($M2622="PADD IV","PADD 4",IF($M2622="PADD V","PADD 5","")))))</f>
        <v>PADD 3</v>
      </c>
      <c r="G2622" s="6">
        <f>IF(AND($H2622="ATMOS DISTILLATION",ISNUMBER(SEARCH("VPS",$I2622))=FALSE,LEFT($I2622,6)&lt;&gt;"VACUUM"),"CDU",IF($H2622="FLUID CAT CRACKING","FCC",IF(OR($H2622="HYDROCRACKING",$H2622="RESID_HYDROCRACKING"),"Hydrocracker",IF($H2622="REFORMING","Reformer",""))))</f>
        <v/>
      </c>
      <c r="H2622" s="6" t="s">
        <v>43</v>
      </c>
      <c r="I2622" s="6" t="s">
        <v>1083</v>
      </c>
      <c r="J2622" s="6" t="s">
        <v>349</v>
      </c>
      <c r="K2622" s="10">
        <v>38.4</v>
      </c>
      <c r="L2622" s="10">
        <v>80</v>
      </c>
      <c r="M2622" s="6" t="s">
        <v>371</v>
      </c>
    </row>
    <row r="2623" spans="1:13">
      <c r="A2623" s="6">
        <v>2024</v>
      </c>
      <c r="B2623" s="6">
        <v>1</v>
      </c>
      <c r="C2623" s="6" t="s">
        <v>59</v>
      </c>
      <c r="D2623" s="6" t="s">
        <v>457</v>
      </c>
      <c r="E2623" s="6" t="s">
        <v>388</v>
      </c>
      <c r="F2623" s="6" t="str">
        <f>IF($M2623="PADD I","PADD 1",IF($M2623="PADD II","PADD 2",IF($M2623="PADD III","PADD 3",IF($M2623="PADD IV","PADD 4",IF($M2623="PADD V","PADD 5","")))))</f>
        <v>PADD 5</v>
      </c>
      <c r="G2623" s="6">
        <f>IF(AND($H2623="ATMOS DISTILLATION",ISNUMBER(SEARCH("VPS",$I2623))=FALSE,LEFT($I2623,6)&lt;&gt;"VACUUM"),"CDU",IF($H2623="FLUID CAT CRACKING","FCC",IF(OR($H2623="HYDROCRACKING",$H2623="RESID_HYDROCRACKING"),"Hydrocracker",IF($H2623="REFORMING","Reformer",""))))</f>
        <v/>
      </c>
      <c r="H2623" s="6" t="s">
        <v>378</v>
      </c>
      <c r="I2623" s="6" t="s">
        <v>585</v>
      </c>
      <c r="J2623" s="6" t="s">
        <v>349</v>
      </c>
      <c r="K2623" s="10">
        <v>37.82</v>
      </c>
      <c r="L2623" s="10">
        <v>62</v>
      </c>
      <c r="M2623" s="6" t="s">
        <v>386</v>
      </c>
    </row>
    <row r="2624" spans="1:13">
      <c r="A2624" s="6">
        <v>2024</v>
      </c>
      <c r="B2624" s="6">
        <v>1</v>
      </c>
      <c r="C2624" s="6" t="s">
        <v>59</v>
      </c>
      <c r="D2624" s="6" t="s">
        <v>807</v>
      </c>
      <c r="E2624" s="6" t="s">
        <v>779</v>
      </c>
      <c r="F2624" s="6" t="str">
        <f>IF($M2624="PADD I","PADD 1",IF($M2624="PADD II","PADD 2",IF($M2624="PADD III","PADD 3",IF($M2624="PADD IV","PADD 4",IF($M2624="PADD V","PADD 5","")))))</f>
        <v>PADD 3</v>
      </c>
      <c r="G2624" s="6" t="str">
        <f>IF(AND($H2624="ATMOS DISTILLATION",ISNUMBER(SEARCH("VPS",$I2624))=FALSE,LEFT($I2624,6)&lt;&gt;"VACUUM"),"CDU",IF($H2624="FLUID CAT CRACKING","FCC",IF(OR($H2624="HYDROCRACKING",$H2624="RESID_HYDROCRACKING"),"Hydrocracker",IF($H2624="REFORMING","Reformer",""))))</f>
        <v>CDU</v>
      </c>
      <c r="H2624" s="6" t="s">
        <v>38</v>
      </c>
      <c r="I2624" s="6" t="s">
        <v>135</v>
      </c>
      <c r="J2624" s="6" t="s">
        <v>349</v>
      </c>
      <c r="K2624" s="10">
        <v>36.85</v>
      </c>
      <c r="L2624" s="10">
        <v>67</v>
      </c>
      <c r="M2624" s="6" t="s">
        <v>371</v>
      </c>
    </row>
    <row r="2625" spans="1:13">
      <c r="A2625" s="6">
        <v>2024</v>
      </c>
      <c r="B2625" s="6">
        <v>1</v>
      </c>
      <c r="C2625" s="6" t="s">
        <v>59</v>
      </c>
      <c r="D2625" s="6" t="s">
        <v>446</v>
      </c>
      <c r="E2625" s="6" t="s">
        <v>391</v>
      </c>
      <c r="F2625" s="6" t="str">
        <f>IF($M2625="PADD I","PADD 1",IF($M2625="PADD II","PADD 2",IF($M2625="PADD III","PADD 3",IF($M2625="PADD IV","PADD 4",IF($M2625="PADD V","PADD 5","")))))</f>
        <v>PADD 3</v>
      </c>
      <c r="G2625" s="6">
        <f>IF(AND($H2625="ATMOS DISTILLATION",ISNUMBER(SEARCH("VPS",$I2625))=FALSE,LEFT($I2625,6)&lt;&gt;"VACUUM"),"CDU",IF($H2625="FLUID CAT CRACKING","FCC",IF(OR($H2625="HYDROCRACKING",$H2625="RESID_HYDROCRACKING"),"Hydrocracker",IF($H2625="REFORMING","Reformer",""))))</f>
        <v/>
      </c>
      <c r="H2625" s="6" t="s">
        <v>43</v>
      </c>
      <c r="I2625" s="6" t="s">
        <v>447</v>
      </c>
      <c r="J2625" s="6" t="s">
        <v>349</v>
      </c>
      <c r="K2625" s="10">
        <v>35</v>
      </c>
      <c r="L2625" s="10">
        <v>35</v>
      </c>
      <c r="M2625" s="6" t="s">
        <v>371</v>
      </c>
    </row>
    <row r="2626" spans="1:13">
      <c r="A2626" s="6">
        <v>2024</v>
      </c>
      <c r="B2626" s="6">
        <v>1</v>
      </c>
      <c r="C2626" s="6" t="s">
        <v>59</v>
      </c>
      <c r="D2626" s="6" t="s">
        <v>448</v>
      </c>
      <c r="E2626" s="6" t="s">
        <v>391</v>
      </c>
      <c r="F2626" s="6" t="str">
        <f>IF($M2626="PADD I","PADD 1",IF($M2626="PADD II","PADD 2",IF($M2626="PADD III","PADD 3",IF($M2626="PADD IV","PADD 4",IF($M2626="PADD V","PADD 5","")))))</f>
        <v>PADD 3</v>
      </c>
      <c r="G2626" s="6">
        <f>IF(AND($H2626="ATMOS DISTILLATION",ISNUMBER(SEARCH("VPS",$I2626))=FALSE,LEFT($I2626,6)&lt;&gt;"VACUUM"),"CDU",IF($H2626="FLUID CAT CRACKING","FCC",IF(OR($H2626="HYDROCRACKING",$H2626="RESID_HYDROCRACKING"),"Hydrocracker",IF($H2626="REFORMING","Reformer",""))))</f>
        <v/>
      </c>
      <c r="H2626" s="6" t="s">
        <v>43</v>
      </c>
      <c r="I2626" s="6" t="s">
        <v>449</v>
      </c>
      <c r="J2626" s="6" t="s">
        <v>345</v>
      </c>
      <c r="K2626" s="10">
        <v>35</v>
      </c>
      <c r="L2626" s="10">
        <v>35</v>
      </c>
      <c r="M2626" s="6" t="s">
        <v>371</v>
      </c>
    </row>
    <row r="2627" spans="1:13">
      <c r="A2627" s="6">
        <v>2024</v>
      </c>
      <c r="B2627" s="6">
        <v>1</v>
      </c>
      <c r="C2627" s="6" t="s">
        <v>59</v>
      </c>
      <c r="D2627" s="6" t="s">
        <v>484</v>
      </c>
      <c r="E2627" s="6" t="s">
        <v>409</v>
      </c>
      <c r="F2627" s="6" t="str">
        <f>IF($M2627="PADD I","PADD 1",IF($M2627="PADD II","PADD 2",IF($M2627="PADD III","PADD 3",IF($M2627="PADD IV","PADD 4",IF($M2627="PADD V","PADD 5","")))))</f>
        <v>PADD 3</v>
      </c>
      <c r="G2627" s="6">
        <f>IF(AND($H2627="ATMOS DISTILLATION",ISNUMBER(SEARCH("VPS",$I2627))=FALSE,LEFT($I2627,6)&lt;&gt;"VACUUM"),"CDU",IF($H2627="FLUID CAT CRACKING","FCC",IF(OR($H2627="HYDROCRACKING",$H2627="RESID_HYDROCRACKING"),"Hydrocracker",IF($H2627="REFORMING","Reformer",""))))</f>
        <v/>
      </c>
      <c r="H2627" s="6" t="s">
        <v>43</v>
      </c>
      <c r="I2627" s="6" t="s">
        <v>485</v>
      </c>
      <c r="J2627" s="6" t="s">
        <v>345</v>
      </c>
      <c r="K2627" s="10">
        <v>34.32</v>
      </c>
      <c r="L2627" s="10">
        <v>66</v>
      </c>
      <c r="M2627" s="6" t="s">
        <v>371</v>
      </c>
    </row>
    <row r="2628" spans="1:13">
      <c r="A2628" s="6">
        <v>2024</v>
      </c>
      <c r="B2628" s="6">
        <v>1</v>
      </c>
      <c r="C2628" s="6" t="s">
        <v>59</v>
      </c>
      <c r="D2628" s="6" t="s">
        <v>457</v>
      </c>
      <c r="E2628" s="6" t="s">
        <v>388</v>
      </c>
      <c r="F2628" s="6" t="str">
        <f>IF($M2628="PADD I","PADD 1",IF($M2628="PADD II","PADD 2",IF($M2628="PADD III","PADD 3",IF($M2628="PADD IV","PADD 4",IF($M2628="PADD V","PADD 5","")))))</f>
        <v>PADD 5</v>
      </c>
      <c r="G2628" s="6">
        <f>IF(AND($H2628="ATMOS DISTILLATION",ISNUMBER(SEARCH("VPS",$I2628))=FALSE,LEFT($I2628,6)&lt;&gt;"VACUUM"),"CDU",IF($H2628="FLUID CAT CRACKING","FCC",IF(OR($H2628="HYDROCRACKING",$H2628="RESID_HYDROCRACKING"),"Hydrocracker",IF($H2628="REFORMING","Reformer",""))))</f>
        <v/>
      </c>
      <c r="H2628" s="6" t="s">
        <v>43</v>
      </c>
      <c r="I2628" s="6" t="s">
        <v>1073</v>
      </c>
      <c r="J2628" s="6" t="s">
        <v>349</v>
      </c>
      <c r="K2628" s="10">
        <v>34.125</v>
      </c>
      <c r="L2628" s="10">
        <v>52.5</v>
      </c>
      <c r="M2628" s="6" t="s">
        <v>386</v>
      </c>
    </row>
    <row r="2629" spans="1:13">
      <c r="A2629" s="6">
        <v>2024</v>
      </c>
      <c r="B2629" s="6">
        <v>1</v>
      </c>
      <c r="C2629" s="6" t="s">
        <v>59</v>
      </c>
      <c r="D2629" s="6" t="s">
        <v>807</v>
      </c>
      <c r="E2629" s="6" t="s">
        <v>779</v>
      </c>
      <c r="F2629" s="6" t="str">
        <f>IF($M2629="PADD I","PADD 1",IF($M2629="PADD II","PADD 2",IF($M2629="PADD III","PADD 3",IF($M2629="PADD IV","PADD 4",IF($M2629="PADD V","PADD 5","")))))</f>
        <v>PADD 3</v>
      </c>
      <c r="G2629" s="6">
        <f>IF(AND($H2629="ATMOS DISTILLATION",ISNUMBER(SEARCH("VPS",$I2629))=FALSE,LEFT($I2629,6)&lt;&gt;"VACUUM"),"CDU",IF($H2629="FLUID CAT CRACKING","FCC",IF(OR($H2629="HYDROCRACKING",$H2629="RESID_HYDROCRACKING"),"Hydrocracker",IF($H2629="REFORMING","Reformer",""))))</f>
        <v/>
      </c>
      <c r="H2629" s="6" t="s">
        <v>43</v>
      </c>
      <c r="I2629" s="6" t="s">
        <v>793</v>
      </c>
      <c r="J2629" s="6" t="s">
        <v>349</v>
      </c>
      <c r="K2629" s="10">
        <v>34</v>
      </c>
      <c r="L2629" s="10">
        <v>50</v>
      </c>
      <c r="M2629" s="6" t="s">
        <v>371</v>
      </c>
    </row>
    <row r="2630" spans="1:13">
      <c r="A2630" s="6">
        <v>2024</v>
      </c>
      <c r="B2630" s="6">
        <v>1</v>
      </c>
      <c r="C2630" s="6" t="s">
        <v>59</v>
      </c>
      <c r="D2630" s="6" t="s">
        <v>415</v>
      </c>
      <c r="E2630" s="6" t="s">
        <v>416</v>
      </c>
      <c r="F2630" s="6" t="str">
        <f>IF($M2630="PADD I","PADD 1",IF($M2630="PADD II","PADD 2",IF($M2630="PADD III","PADD 3",IF($M2630="PADD IV","PADD 4",IF($M2630="PADD V","PADD 5","")))))</f>
        <v>PADD 3</v>
      </c>
      <c r="G2630" s="6">
        <f>IF(AND($H2630="ATMOS DISTILLATION",ISNUMBER(SEARCH("VPS",$I2630))=FALSE,LEFT($I2630,6)&lt;&gt;"VACUUM"),"CDU",IF($H2630="FLUID CAT CRACKING","FCC",IF(OR($H2630="HYDROCRACKING",$H2630="RESID_HYDROCRACKING"),"Hydrocracker",IF($H2630="REFORMING","Reformer",""))))</f>
        <v/>
      </c>
      <c r="H2630" s="6" t="s">
        <v>435</v>
      </c>
      <c r="I2630" s="6" t="s">
        <v>453</v>
      </c>
      <c r="J2630" s="6" t="s">
        <v>345</v>
      </c>
      <c r="K2630" s="10">
        <v>34</v>
      </c>
      <c r="L2630" s="10">
        <v>34</v>
      </c>
      <c r="M2630" s="6" t="s">
        <v>371</v>
      </c>
    </row>
    <row r="2631" spans="1:13">
      <c r="A2631" s="6">
        <v>2024</v>
      </c>
      <c r="B2631" s="6">
        <v>1</v>
      </c>
      <c r="C2631" s="6" t="s">
        <v>59</v>
      </c>
      <c r="D2631" s="6" t="s">
        <v>628</v>
      </c>
      <c r="E2631" s="6" t="s">
        <v>388</v>
      </c>
      <c r="F2631" s="6" t="str">
        <f>IF($M2631="PADD I","PADD 1",IF($M2631="PADD II","PADD 2",IF($M2631="PADD III","PADD 3",IF($M2631="PADD IV","PADD 4",IF($M2631="PADD V","PADD 5","")))))</f>
        <v>PADD 3</v>
      </c>
      <c r="G2631" s="6" t="str">
        <f>IF(AND($H2631="ATMOS DISTILLATION",ISNUMBER(SEARCH("VPS",$I2631))=FALSE,LEFT($I2631,6)&lt;&gt;"VACUUM"),"CDU",IF($H2631="FLUID CAT CRACKING","FCC",IF(OR($H2631="HYDROCRACKING",$H2631="RESID_HYDROCRACKING"),"Hydrocracker",IF($H2631="REFORMING","Reformer",""))))</f>
        <v>CDU</v>
      </c>
      <c r="H2631" s="6" t="s">
        <v>38</v>
      </c>
      <c r="I2631" s="6" t="s">
        <v>1048</v>
      </c>
      <c r="J2631" s="6" t="s">
        <v>349</v>
      </c>
      <c r="K2631" s="10">
        <v>34</v>
      </c>
      <c r="L2631" s="10">
        <v>50</v>
      </c>
      <c r="M2631" s="6" t="s">
        <v>371</v>
      </c>
    </row>
    <row r="2632" spans="1:13">
      <c r="A2632" s="6">
        <v>2024</v>
      </c>
      <c r="B2632" s="6">
        <v>1</v>
      </c>
      <c r="C2632" s="6" t="s">
        <v>59</v>
      </c>
      <c r="D2632" s="6" t="s">
        <v>415</v>
      </c>
      <c r="E2632" s="6" t="s">
        <v>416</v>
      </c>
      <c r="F2632" s="6" t="str">
        <f>IF($M2632="PADD I","PADD 1",IF($M2632="PADD II","PADD 2",IF($M2632="PADD III","PADD 3",IF($M2632="PADD IV","PADD 4",IF($M2632="PADD V","PADD 5","")))))</f>
        <v>PADD 3</v>
      </c>
      <c r="G2632" s="6">
        <f>IF(AND($H2632="ATMOS DISTILLATION",ISNUMBER(SEARCH("VPS",$I2632))=FALSE,LEFT($I2632,6)&lt;&gt;"VACUUM"),"CDU",IF($H2632="FLUID CAT CRACKING","FCC",IF(OR($H2632="HYDROCRACKING",$H2632="RESID_HYDROCRACKING"),"Hydrocracker",IF($H2632="REFORMING","Reformer",""))))</f>
        <v/>
      </c>
      <c r="H2632" s="6" t="s">
        <v>435</v>
      </c>
      <c r="I2632" s="6" t="s">
        <v>453</v>
      </c>
      <c r="J2632" s="6" t="s">
        <v>345</v>
      </c>
      <c r="K2632" s="10">
        <v>34</v>
      </c>
      <c r="L2632" s="10">
        <v>34</v>
      </c>
      <c r="M2632" s="6" t="s">
        <v>371</v>
      </c>
    </row>
    <row r="2633" spans="1:13">
      <c r="A2633" s="6">
        <v>2024</v>
      </c>
      <c r="B2633" s="6">
        <v>1</v>
      </c>
      <c r="C2633" s="6" t="s">
        <v>59</v>
      </c>
      <c r="D2633" s="6" t="s">
        <v>457</v>
      </c>
      <c r="E2633" s="6" t="s">
        <v>388</v>
      </c>
      <c r="F2633" s="6" t="str">
        <f>IF($M2633="PADD I","PADD 1",IF($M2633="PADD II","PADD 2",IF($M2633="PADD III","PADD 3",IF($M2633="PADD IV","PADD 4",IF($M2633="PADD V","PADD 5","")))))</f>
        <v>PADD 5</v>
      </c>
      <c r="G2633" s="6" t="str">
        <f>IF(AND($H2633="ATMOS DISTILLATION",ISNUMBER(SEARCH("VPS",$I2633))=FALSE,LEFT($I2633,6)&lt;&gt;"VACUUM"),"CDU",IF($H2633="FLUID CAT CRACKING","FCC",IF(OR($H2633="HYDROCRACKING",$H2633="RESID_HYDROCRACKING"),"Hydrocracker",IF($H2633="REFORMING","Reformer",""))))</f>
        <v>FCC</v>
      </c>
      <c r="H2633" s="6" t="s">
        <v>376</v>
      </c>
      <c r="I2633" s="6" t="s">
        <v>105</v>
      </c>
      <c r="J2633" s="6" t="s">
        <v>349</v>
      </c>
      <c r="K2633" s="10">
        <v>33.8</v>
      </c>
      <c r="L2633" s="10">
        <v>52</v>
      </c>
      <c r="M2633" s="6" t="s">
        <v>386</v>
      </c>
    </row>
    <row r="2634" spans="1:13">
      <c r="A2634" s="6">
        <v>2024</v>
      </c>
      <c r="B2634" s="6">
        <v>1</v>
      </c>
      <c r="C2634" s="6" t="s">
        <v>59</v>
      </c>
      <c r="D2634" s="6" t="s">
        <v>518</v>
      </c>
      <c r="E2634" s="6" t="s">
        <v>369</v>
      </c>
      <c r="F2634" s="6" t="str">
        <f>IF($M2634="PADD I","PADD 1",IF($M2634="PADD II","PADD 2",IF($M2634="PADD III","PADD 3",IF($M2634="PADD IV","PADD 4",IF($M2634="PADD V","PADD 5","")))))</f>
        <v>PADD 5</v>
      </c>
      <c r="G2634" s="6" t="str">
        <f>IF(AND($H2634="ATMOS DISTILLATION",ISNUMBER(SEARCH("VPS",$I2634))=FALSE,LEFT($I2634,6)&lt;&gt;"VACUUM"),"CDU",IF($H2634="FLUID CAT CRACKING","FCC",IF(OR($H2634="HYDROCRACKING",$H2634="RESID_HYDROCRACKING"),"Hydrocracker",IF($H2634="REFORMING","Reformer",""))))</f>
        <v>CDU</v>
      </c>
      <c r="H2634" s="6" t="s">
        <v>38</v>
      </c>
      <c r="I2634" s="6" t="s">
        <v>553</v>
      </c>
      <c r="J2634" s="6" t="s">
        <v>345</v>
      </c>
      <c r="K2634" s="10">
        <v>32</v>
      </c>
      <c r="L2634" s="10">
        <v>32</v>
      </c>
      <c r="M2634" s="6" t="s">
        <v>386</v>
      </c>
    </row>
    <row r="2635" spans="1:13">
      <c r="A2635" s="6">
        <v>2024</v>
      </c>
      <c r="B2635" s="6">
        <v>1</v>
      </c>
      <c r="C2635" s="6" t="s">
        <v>59</v>
      </c>
      <c r="D2635" s="6" t="s">
        <v>390</v>
      </c>
      <c r="E2635" s="6" t="s">
        <v>391</v>
      </c>
      <c r="F2635" s="6" t="str">
        <f>IF($M2635="PADD I","PADD 1",IF($M2635="PADD II","PADD 2",IF($M2635="PADD III","PADD 3",IF($M2635="PADD IV","PADD 4",IF($M2635="PADD V","PADD 5","")))))</f>
        <v>PADD 3</v>
      </c>
      <c r="G2635" s="6">
        <f>IF(AND($H2635="ATMOS DISTILLATION",ISNUMBER(SEARCH("VPS",$I2635))=FALSE,LEFT($I2635,6)&lt;&gt;"VACUUM"),"CDU",IF($H2635="FLUID CAT CRACKING","FCC",IF(OR($H2635="HYDROCRACKING",$H2635="RESID_HYDROCRACKING"),"Hydrocracker",IF($H2635="REFORMING","Reformer",""))))</f>
        <v/>
      </c>
      <c r="H2635" s="6" t="s">
        <v>43</v>
      </c>
      <c r="I2635" s="6" t="s">
        <v>1084</v>
      </c>
      <c r="J2635" s="6" t="s">
        <v>349</v>
      </c>
      <c r="K2635" s="10">
        <v>31.95</v>
      </c>
      <c r="L2635" s="10">
        <v>45</v>
      </c>
      <c r="M2635" s="6" t="s">
        <v>371</v>
      </c>
    </row>
    <row r="2636" spans="1:13">
      <c r="A2636" s="6">
        <v>2024</v>
      </c>
      <c r="B2636" s="6">
        <v>1</v>
      </c>
      <c r="C2636" s="6" t="s">
        <v>59</v>
      </c>
      <c r="D2636" s="6" t="s">
        <v>415</v>
      </c>
      <c r="E2636" s="6" t="s">
        <v>416</v>
      </c>
      <c r="F2636" s="6" t="str">
        <f>IF($M2636="PADD I","PADD 1",IF($M2636="PADD II","PADD 2",IF($M2636="PADD III","PADD 3",IF($M2636="PADD IV","PADD 4",IF($M2636="PADD V","PADD 5","")))))</f>
        <v>PADD 3</v>
      </c>
      <c r="G2636" s="6" t="str">
        <f>IF(AND($H2636="ATMOS DISTILLATION",ISNUMBER(SEARCH("VPS",$I2636))=FALSE,LEFT($I2636,6)&lt;&gt;"VACUUM"),"CDU",IF($H2636="FLUID CAT CRACKING","FCC",IF(OR($H2636="HYDROCRACKING",$H2636="RESID_HYDROCRACKING"),"Hydrocracker",IF($H2636="REFORMING","Reformer",""))))</f>
        <v>CDU</v>
      </c>
      <c r="H2636" s="6" t="s">
        <v>38</v>
      </c>
      <c r="I2636" s="6" t="s">
        <v>1085</v>
      </c>
      <c r="J2636" s="6" t="s">
        <v>349</v>
      </c>
      <c r="K2636" s="10">
        <v>31.5</v>
      </c>
      <c r="L2636" s="10">
        <v>75</v>
      </c>
      <c r="M2636" s="6" t="s">
        <v>371</v>
      </c>
    </row>
    <row r="2637" spans="1:13">
      <c r="A2637" s="6">
        <v>2024</v>
      </c>
      <c r="B2637" s="6">
        <v>1</v>
      </c>
      <c r="C2637" s="6" t="s">
        <v>59</v>
      </c>
      <c r="D2637" s="6" t="s">
        <v>526</v>
      </c>
      <c r="E2637" s="6" t="s">
        <v>405</v>
      </c>
      <c r="F2637" s="6" t="str">
        <f>IF($M2637="PADD I","PADD 1",IF($M2637="PADD II","PADD 2",IF($M2637="PADD III","PADD 3",IF($M2637="PADD IV","PADD 4",IF($M2637="PADD V","PADD 5","")))))</f>
        <v>PADD 3</v>
      </c>
      <c r="G2637" s="6" t="str">
        <f>IF(AND($H2637="ATMOS DISTILLATION",ISNUMBER(SEARCH("VPS",$I2637))=FALSE,LEFT($I2637,6)&lt;&gt;"VACUUM"),"CDU",IF($H2637="FLUID CAT CRACKING","FCC",IF(OR($H2637="HYDROCRACKING",$H2637="RESID_HYDROCRACKING"),"Hydrocracker",IF($H2637="REFORMING","Reformer",""))))</f>
        <v>Hydrocracker</v>
      </c>
      <c r="H2637" s="6" t="s">
        <v>444</v>
      </c>
      <c r="I2637" s="6" t="s">
        <v>527</v>
      </c>
      <c r="J2637" s="6" t="s">
        <v>349</v>
      </c>
      <c r="K2637" s="10">
        <v>31.35</v>
      </c>
      <c r="L2637" s="10">
        <v>57</v>
      </c>
      <c r="M2637" s="6" t="s">
        <v>371</v>
      </c>
    </row>
    <row r="2638" spans="1:13">
      <c r="A2638" s="6">
        <v>2024</v>
      </c>
      <c r="B2638" s="6">
        <v>1</v>
      </c>
      <c r="C2638" s="6" t="s">
        <v>59</v>
      </c>
      <c r="D2638" s="6" t="s">
        <v>50</v>
      </c>
      <c r="E2638" s="6" t="s">
        <v>381</v>
      </c>
      <c r="F2638" s="6" t="str">
        <f>IF($M2638="PADD I","PADD 1",IF($M2638="PADD II","PADD 2",IF($M2638="PADD III","PADD 3",IF($M2638="PADD IV","PADD 4",IF($M2638="PADD V","PADD 5","")))))</f>
        <v>PADD 3</v>
      </c>
      <c r="G2638" s="6" t="str">
        <f>IF(AND($H2638="ATMOS DISTILLATION",ISNUMBER(SEARCH("VPS",$I2638))=FALSE,LEFT($I2638,6)&lt;&gt;"VACUUM"),"CDU",IF($H2638="FLUID CAT CRACKING","FCC",IF(OR($H2638="HYDROCRACKING",$H2638="RESID_HYDROCRACKING"),"Hydrocracker",IF($H2638="REFORMING","Reformer",""))))</f>
        <v>Reformer</v>
      </c>
      <c r="H2638" s="6" t="s">
        <v>421</v>
      </c>
      <c r="I2638" s="6" t="s">
        <v>1086</v>
      </c>
      <c r="J2638" s="6" t="s">
        <v>349</v>
      </c>
      <c r="K2638" s="10">
        <v>31.35</v>
      </c>
      <c r="L2638" s="10">
        <v>57</v>
      </c>
      <c r="M2638" s="6" t="s">
        <v>371</v>
      </c>
    </row>
    <row r="2639" spans="1:13">
      <c r="A2639" s="6">
        <v>2024</v>
      </c>
      <c r="B2639" s="6">
        <v>1</v>
      </c>
      <c r="C2639" s="6" t="s">
        <v>59</v>
      </c>
      <c r="D2639" s="6" t="s">
        <v>526</v>
      </c>
      <c r="E2639" s="6" t="s">
        <v>405</v>
      </c>
      <c r="F2639" s="6" t="str">
        <f>IF($M2639="PADD I","PADD 1",IF($M2639="PADD II","PADD 2",IF($M2639="PADD III","PADD 3",IF($M2639="PADD IV","PADD 4",IF($M2639="PADD V","PADD 5","")))))</f>
        <v>PADD 3</v>
      </c>
      <c r="G2639" s="6" t="str">
        <f>IF(AND($H2639="ATMOS DISTILLATION",ISNUMBER(SEARCH("VPS",$I2639))=FALSE,LEFT($I2639,6)&lt;&gt;"VACUUM"),"CDU",IF($H2639="FLUID CAT CRACKING","FCC",IF(OR($H2639="HYDROCRACKING",$H2639="RESID_HYDROCRACKING"),"Hydrocracker",IF($H2639="REFORMING","Reformer",""))))</f>
        <v>Hydrocracker</v>
      </c>
      <c r="H2639" s="6" t="s">
        <v>444</v>
      </c>
      <c r="I2639" s="6" t="s">
        <v>351</v>
      </c>
      <c r="J2639" s="6" t="s">
        <v>345</v>
      </c>
      <c r="K2639" s="10">
        <v>31.35</v>
      </c>
      <c r="L2639" s="10">
        <v>57</v>
      </c>
      <c r="M2639" s="6" t="s">
        <v>371</v>
      </c>
    </row>
    <row r="2640" spans="1:13">
      <c r="A2640" s="6">
        <v>2024</v>
      </c>
      <c r="B2640" s="6">
        <v>1</v>
      </c>
      <c r="C2640" s="6" t="s">
        <v>59</v>
      </c>
      <c r="D2640" s="6" t="s">
        <v>408</v>
      </c>
      <c r="E2640" s="6" t="s">
        <v>409</v>
      </c>
      <c r="F2640" s="6" t="str">
        <f>IF($M2640="PADD I","PADD 1",IF($M2640="PADD II","PADD 2",IF($M2640="PADD III","PADD 3",IF($M2640="PADD IV","PADD 4",IF($M2640="PADD V","PADD 5","")))))</f>
        <v>PADD 3</v>
      </c>
      <c r="G2640" s="6">
        <f>IF(AND($H2640="ATMOS DISTILLATION",ISNUMBER(SEARCH("VPS",$I2640))=FALSE,LEFT($I2640,6)&lt;&gt;"VACUUM"),"CDU",IF($H2640="FLUID CAT CRACKING","FCC",IF(OR($H2640="HYDROCRACKING",$H2640="RESID_HYDROCRACKING"),"Hydrocracker",IF($H2640="REFORMING","Reformer",""))))</f>
        <v/>
      </c>
      <c r="H2640" s="6" t="s">
        <v>435</v>
      </c>
      <c r="I2640" s="6" t="s">
        <v>459</v>
      </c>
      <c r="J2640" s="6" t="s">
        <v>345</v>
      </c>
      <c r="K2640" s="10">
        <v>31.2</v>
      </c>
      <c r="L2640" s="10">
        <v>60</v>
      </c>
      <c r="M2640" s="6" t="s">
        <v>371</v>
      </c>
    </row>
    <row r="2641" spans="1:13">
      <c r="A2641" s="6">
        <v>2024</v>
      </c>
      <c r="B2641" s="6">
        <v>1</v>
      </c>
      <c r="C2641" s="6" t="s">
        <v>59</v>
      </c>
      <c r="D2641" s="6" t="s">
        <v>662</v>
      </c>
      <c r="E2641" s="6" t="s">
        <v>552</v>
      </c>
      <c r="F2641" s="6" t="str">
        <f>IF($M2641="PADD I","PADD 1",IF($M2641="PADD II","PADD 2",IF($M2641="PADD III","PADD 3",IF($M2641="PADD IV","PADD 4",IF($M2641="PADD V","PADD 5","")))))</f>
        <v>PADD 3</v>
      </c>
      <c r="G2641" s="6" t="str">
        <f>IF(AND($H2641="ATMOS DISTILLATION",ISNUMBER(SEARCH("VPS",$I2641))=FALSE,LEFT($I2641,6)&lt;&gt;"VACUUM"),"CDU",IF($H2641="FLUID CAT CRACKING","FCC",IF(OR($H2641="HYDROCRACKING",$H2641="RESID_HYDROCRACKING"),"Hydrocracker",IF($H2641="REFORMING","Reformer",""))))</f>
        <v>CDU</v>
      </c>
      <c r="H2641" s="6" t="s">
        <v>38</v>
      </c>
      <c r="I2641" s="6" t="s">
        <v>663</v>
      </c>
      <c r="J2641" s="6" t="s">
        <v>345</v>
      </c>
      <c r="K2641" s="10">
        <v>30.66</v>
      </c>
      <c r="L2641" s="10">
        <v>73</v>
      </c>
      <c r="M2641" s="6" t="s">
        <v>371</v>
      </c>
    </row>
    <row r="2642" spans="1:13">
      <c r="A2642" s="6">
        <v>2024</v>
      </c>
      <c r="B2642" s="6">
        <v>1</v>
      </c>
      <c r="C2642" s="6" t="s">
        <v>59</v>
      </c>
      <c r="D2642" s="6" t="s">
        <v>807</v>
      </c>
      <c r="E2642" s="6" t="s">
        <v>779</v>
      </c>
      <c r="F2642" s="6" t="str">
        <f>IF($M2642="PADD I","PADD 1",IF($M2642="PADD II","PADD 2",IF($M2642="PADD III","PADD 3",IF($M2642="PADD IV","PADD 4",IF($M2642="PADD V","PADD 5","")))))</f>
        <v>PADD 3</v>
      </c>
      <c r="G2642" s="6" t="str">
        <f>IF(AND($H2642="ATMOS DISTILLATION",ISNUMBER(SEARCH("VPS",$I2642))=FALSE,LEFT($I2642,6)&lt;&gt;"VACUUM"),"CDU",IF($H2642="FLUID CAT CRACKING","FCC",IF(OR($H2642="HYDROCRACKING",$H2642="RESID_HYDROCRACKING"),"Hydrocracker",IF($H2642="REFORMING","Reformer",""))))</f>
        <v>FCC</v>
      </c>
      <c r="H2642" s="6" t="s">
        <v>376</v>
      </c>
      <c r="I2642" s="6" t="s">
        <v>428</v>
      </c>
      <c r="J2642" s="6" t="s">
        <v>349</v>
      </c>
      <c r="K2642" s="10">
        <v>30.25</v>
      </c>
      <c r="L2642" s="10">
        <v>55</v>
      </c>
      <c r="M2642" s="6" t="s">
        <v>371</v>
      </c>
    </row>
    <row r="2643" spans="1:13">
      <c r="A2643" s="6">
        <v>2024</v>
      </c>
      <c r="B2643" s="6">
        <v>1</v>
      </c>
      <c r="C2643" s="6" t="s">
        <v>59</v>
      </c>
      <c r="D2643" s="6" t="s">
        <v>468</v>
      </c>
      <c r="E2643" s="6" t="s">
        <v>369</v>
      </c>
      <c r="F2643" s="6" t="str">
        <f>IF($M2643="PADD I","PADD 1",IF($M2643="PADD II","PADD 2",IF($M2643="PADD III","PADD 3",IF($M2643="PADD IV","PADD 4",IF($M2643="PADD V","PADD 5","")))))</f>
        <v>PADD 3</v>
      </c>
      <c r="G2643" s="6" t="str">
        <f>IF(AND($H2643="ATMOS DISTILLATION",ISNUMBER(SEARCH("VPS",$I2643))=FALSE,LEFT($I2643,6)&lt;&gt;"VACUUM"),"CDU",IF($H2643="FLUID CAT CRACKING","FCC",IF(OR($H2643="HYDROCRACKING",$H2643="RESID_HYDROCRACKING"),"Hydrocracker",IF($H2643="REFORMING","Reformer",""))))</f>
        <v>FCC</v>
      </c>
      <c r="H2643" s="6" t="s">
        <v>376</v>
      </c>
      <c r="I2643" s="6" t="s">
        <v>473</v>
      </c>
      <c r="J2643" s="6" t="s">
        <v>349</v>
      </c>
      <c r="K2643" s="10">
        <v>30</v>
      </c>
      <c r="L2643" s="10">
        <v>30</v>
      </c>
      <c r="M2643" s="6" t="s">
        <v>371</v>
      </c>
    </row>
    <row r="2644" spans="1:13">
      <c r="A2644" s="6">
        <v>2024</v>
      </c>
      <c r="B2644" s="6">
        <v>1</v>
      </c>
      <c r="C2644" s="6" t="s">
        <v>59</v>
      </c>
      <c r="D2644" s="6" t="s">
        <v>380</v>
      </c>
      <c r="E2644" s="6" t="s">
        <v>381</v>
      </c>
      <c r="F2644" s="6" t="str">
        <f>IF($M2644="PADD I","PADD 1",IF($M2644="PADD II","PADD 2",IF($M2644="PADD III","PADD 3",IF($M2644="PADD IV","PADD 4",IF($M2644="PADD V","PADD 5","")))))</f>
        <v>PADD 3</v>
      </c>
      <c r="G2644" s="6" t="str">
        <f>IF(AND($H2644="ATMOS DISTILLATION",ISNUMBER(SEARCH("VPS",$I2644))=FALSE,LEFT($I2644,6)&lt;&gt;"VACUUM"),"CDU",IF($H2644="FLUID CAT CRACKING","FCC",IF(OR($H2644="HYDROCRACKING",$H2644="RESID_HYDROCRACKING"),"Hydrocracker",IF($H2644="REFORMING","Reformer",""))))</f>
        <v>FCC</v>
      </c>
      <c r="H2644" s="6" t="s">
        <v>376</v>
      </c>
      <c r="I2644" s="6" t="s">
        <v>652</v>
      </c>
      <c r="J2644" s="6" t="s">
        <v>349</v>
      </c>
      <c r="K2644" s="10">
        <v>28.6</v>
      </c>
      <c r="L2644" s="10">
        <v>110</v>
      </c>
      <c r="M2644" s="6" t="s">
        <v>371</v>
      </c>
    </row>
    <row r="2645" spans="1:13">
      <c r="A2645" s="6">
        <v>2024</v>
      </c>
      <c r="B2645" s="6">
        <v>1</v>
      </c>
      <c r="C2645" s="6" t="s">
        <v>59</v>
      </c>
      <c r="D2645" s="6" t="s">
        <v>457</v>
      </c>
      <c r="E2645" s="6" t="s">
        <v>388</v>
      </c>
      <c r="F2645" s="6" t="str">
        <f>IF($M2645="PADD I","PADD 1",IF($M2645="PADD II","PADD 2",IF($M2645="PADD III","PADD 3",IF($M2645="PADD IV","PADD 4",IF($M2645="PADD V","PADD 5","")))))</f>
        <v>PADD 5</v>
      </c>
      <c r="G2645" s="6" t="str">
        <f>IF(AND($H2645="ATMOS DISTILLATION",ISNUMBER(SEARCH("VPS",$I2645))=FALSE,LEFT($I2645,6)&lt;&gt;"VACUUM"),"CDU",IF($H2645="FLUID CAT CRACKING","FCC",IF(OR($H2645="HYDROCRACKING",$H2645="RESID_HYDROCRACKING"),"Hydrocracker",IF($H2645="REFORMING","Reformer",""))))</f>
        <v>Hydrocracker</v>
      </c>
      <c r="H2645" s="6" t="s">
        <v>444</v>
      </c>
      <c r="I2645" s="6" t="s">
        <v>14</v>
      </c>
      <c r="J2645" s="6" t="s">
        <v>345</v>
      </c>
      <c r="K2645" s="10">
        <v>28.6</v>
      </c>
      <c r="L2645" s="10">
        <v>55</v>
      </c>
      <c r="M2645" s="6" t="s">
        <v>386</v>
      </c>
    </row>
    <row r="2646" spans="1:13">
      <c r="A2646" s="6">
        <v>2024</v>
      </c>
      <c r="B2646" s="6">
        <v>1</v>
      </c>
      <c r="C2646" s="6" t="s">
        <v>59</v>
      </c>
      <c r="D2646" s="6" t="s">
        <v>408</v>
      </c>
      <c r="E2646" s="6" t="s">
        <v>409</v>
      </c>
      <c r="F2646" s="6" t="str">
        <f>IF($M2646="PADD I","PADD 1",IF($M2646="PADD II","PADD 2",IF($M2646="PADD III","PADD 3",IF($M2646="PADD IV","PADD 4",IF($M2646="PADD V","PADD 5","")))))</f>
        <v>PADD 3</v>
      </c>
      <c r="G2646" s="6">
        <f>IF(AND($H2646="ATMOS DISTILLATION",ISNUMBER(SEARCH("VPS",$I2646))=FALSE,LEFT($I2646,6)&lt;&gt;"VACUUM"),"CDU",IF($H2646="FLUID CAT CRACKING","FCC",IF(OR($H2646="HYDROCRACKING",$H2646="RESID_HYDROCRACKING"),"Hydrocracker",IF($H2646="REFORMING","Reformer",""))))</f>
        <v/>
      </c>
      <c r="H2646" s="6" t="s">
        <v>378</v>
      </c>
      <c r="I2646" s="6" t="s">
        <v>489</v>
      </c>
      <c r="J2646" s="6" t="s">
        <v>345</v>
      </c>
      <c r="K2646" s="10">
        <v>28.6</v>
      </c>
      <c r="L2646" s="10">
        <v>55</v>
      </c>
      <c r="M2646" s="6" t="s">
        <v>371</v>
      </c>
    </row>
    <row r="2647" spans="1:13">
      <c r="A2647" s="6">
        <v>2024</v>
      </c>
      <c r="B2647" s="6">
        <v>1</v>
      </c>
      <c r="C2647" s="6" t="s">
        <v>59</v>
      </c>
      <c r="D2647" s="6" t="s">
        <v>526</v>
      </c>
      <c r="E2647" s="6" t="s">
        <v>405</v>
      </c>
      <c r="F2647" s="6" t="str">
        <f>IF($M2647="PADD I","PADD 1",IF($M2647="PADD II","PADD 2",IF($M2647="PADD III","PADD 3",IF($M2647="PADD IV","PADD 4",IF($M2647="PADD V","PADD 5","")))))</f>
        <v>PADD 3</v>
      </c>
      <c r="G2647" s="6" t="str">
        <f>IF(AND($H2647="ATMOS DISTILLATION",ISNUMBER(SEARCH("VPS",$I2647))=FALSE,LEFT($I2647,6)&lt;&gt;"VACUUM"),"CDU",IF($H2647="FLUID CAT CRACKING","FCC",IF(OR($H2647="HYDROCRACKING",$H2647="RESID_HYDROCRACKING"),"Hydrocracker",IF($H2647="REFORMING","Reformer",""))))</f>
        <v>Reformer</v>
      </c>
      <c r="H2647" s="6" t="s">
        <v>421</v>
      </c>
      <c r="I2647" s="6" t="s">
        <v>597</v>
      </c>
      <c r="J2647" s="6" t="s">
        <v>349</v>
      </c>
      <c r="K2647" s="10">
        <v>27.56</v>
      </c>
      <c r="L2647" s="10">
        <v>53</v>
      </c>
      <c r="M2647" s="6" t="s">
        <v>371</v>
      </c>
    </row>
    <row r="2648" spans="1:13">
      <c r="A2648" s="6">
        <v>2024</v>
      </c>
      <c r="B2648" s="6">
        <v>1</v>
      </c>
      <c r="C2648" s="6" t="s">
        <v>59</v>
      </c>
      <c r="D2648" s="6" t="s">
        <v>526</v>
      </c>
      <c r="E2648" s="6" t="s">
        <v>405</v>
      </c>
      <c r="F2648" s="6" t="str">
        <f>IF($M2648="PADD I","PADD 1",IF($M2648="PADD II","PADD 2",IF($M2648="PADD III","PADD 3",IF($M2648="PADD IV","PADD 4",IF($M2648="PADD V","PADD 5","")))))</f>
        <v>PADD 3</v>
      </c>
      <c r="G2648" s="6" t="str">
        <f>IF(AND($H2648="ATMOS DISTILLATION",ISNUMBER(SEARCH("VPS",$I2648))=FALSE,LEFT($I2648,6)&lt;&gt;"VACUUM"),"CDU",IF($H2648="FLUID CAT CRACKING","FCC",IF(OR($H2648="HYDROCRACKING",$H2648="RESID_HYDROCRACKING"),"Hydrocracker",IF($H2648="REFORMING","Reformer",""))))</f>
        <v>Reformer</v>
      </c>
      <c r="H2648" s="6" t="s">
        <v>421</v>
      </c>
      <c r="I2648" s="6" t="s">
        <v>597</v>
      </c>
      <c r="J2648" s="6" t="s">
        <v>345</v>
      </c>
      <c r="K2648" s="10">
        <v>27.56</v>
      </c>
      <c r="L2648" s="10">
        <v>53</v>
      </c>
      <c r="M2648" s="6" t="s">
        <v>371</v>
      </c>
    </row>
    <row r="2649" spans="1:13">
      <c r="A2649" s="6">
        <v>2024</v>
      </c>
      <c r="B2649" s="6">
        <v>1</v>
      </c>
      <c r="C2649" s="6" t="s">
        <v>59</v>
      </c>
      <c r="D2649" s="6" t="s">
        <v>526</v>
      </c>
      <c r="E2649" s="6" t="s">
        <v>405</v>
      </c>
      <c r="F2649" s="6" t="str">
        <f>IF($M2649="PADD I","PADD 1",IF($M2649="PADD II","PADD 2",IF($M2649="PADD III","PADD 3",IF($M2649="PADD IV","PADD 4",IF($M2649="PADD V","PADD 5","")))))</f>
        <v>PADD 3</v>
      </c>
      <c r="G2649" s="6" t="str">
        <f>IF(AND($H2649="ATMOS DISTILLATION",ISNUMBER(SEARCH("VPS",$I2649))=FALSE,LEFT($I2649,6)&lt;&gt;"VACUUM"),"CDU",IF($H2649="FLUID CAT CRACKING","FCC",IF(OR($H2649="HYDROCRACKING",$H2649="RESID_HYDROCRACKING"),"Hydrocracker",IF($H2649="REFORMING","Reformer",""))))</f>
        <v>Reformer</v>
      </c>
      <c r="H2649" s="6" t="s">
        <v>421</v>
      </c>
      <c r="I2649" s="6" t="s">
        <v>928</v>
      </c>
      <c r="J2649" s="6" t="s">
        <v>349</v>
      </c>
      <c r="K2649" s="10">
        <v>27.5</v>
      </c>
      <c r="L2649" s="10">
        <v>50</v>
      </c>
      <c r="M2649" s="6" t="s">
        <v>371</v>
      </c>
    </row>
    <row r="2650" spans="1:13">
      <c r="A2650" s="6">
        <v>2024</v>
      </c>
      <c r="B2650" s="6">
        <v>1</v>
      </c>
      <c r="C2650" s="6" t="s">
        <v>59</v>
      </c>
      <c r="D2650" s="6" t="s">
        <v>408</v>
      </c>
      <c r="E2650" s="6" t="s">
        <v>409</v>
      </c>
      <c r="F2650" s="6" t="str">
        <f>IF($M2650="PADD I","PADD 1",IF($M2650="PADD II","PADD 2",IF($M2650="PADD III","PADD 3",IF($M2650="PADD IV","PADD 4",IF($M2650="PADD V","PADD 5","")))))</f>
        <v>PADD 3</v>
      </c>
      <c r="G2650" s="6">
        <f>IF(AND($H2650="ATMOS DISTILLATION",ISNUMBER(SEARCH("VPS",$I2650))=FALSE,LEFT($I2650,6)&lt;&gt;"VACUUM"),"CDU",IF($H2650="FLUID CAT CRACKING","FCC",IF(OR($H2650="HYDROCRACKING",$H2650="RESID_HYDROCRACKING"),"Hydrocracker",IF($H2650="REFORMING","Reformer",""))))</f>
        <v/>
      </c>
      <c r="H2650" s="6" t="s">
        <v>43</v>
      </c>
      <c r="I2650" s="6" t="s">
        <v>464</v>
      </c>
      <c r="J2650" s="6" t="s">
        <v>345</v>
      </c>
      <c r="K2650" s="10">
        <v>27.5</v>
      </c>
      <c r="L2650" s="10">
        <v>50</v>
      </c>
      <c r="M2650" s="6" t="s">
        <v>371</v>
      </c>
    </row>
    <row r="2651" spans="1:13">
      <c r="A2651" s="6">
        <v>2024</v>
      </c>
      <c r="B2651" s="6">
        <v>1</v>
      </c>
      <c r="C2651" s="6" t="s">
        <v>59</v>
      </c>
      <c r="D2651" s="6" t="s">
        <v>415</v>
      </c>
      <c r="E2651" s="6" t="s">
        <v>416</v>
      </c>
      <c r="F2651" s="6" t="str">
        <f>IF($M2651="PADD I","PADD 1",IF($M2651="PADD II","PADD 2",IF($M2651="PADD III","PADD 3",IF($M2651="PADD IV","PADD 4",IF($M2651="PADD V","PADD 5","")))))</f>
        <v>PADD 3</v>
      </c>
      <c r="G2651" s="6" t="str">
        <f>IF(AND($H2651="ATMOS DISTILLATION",ISNUMBER(SEARCH("VPS",$I2651))=FALSE,LEFT($I2651,6)&lt;&gt;"VACUUM"),"CDU",IF($H2651="FLUID CAT CRACKING","FCC",IF(OR($H2651="HYDROCRACKING",$H2651="RESID_HYDROCRACKING"),"Hydrocracker",IF($H2651="REFORMING","Reformer",""))))</f>
        <v>Reformer</v>
      </c>
      <c r="H2651" s="6" t="s">
        <v>421</v>
      </c>
      <c r="I2651" s="6" t="s">
        <v>454</v>
      </c>
      <c r="J2651" s="6" t="s">
        <v>345</v>
      </c>
      <c r="K2651" s="10">
        <v>27.04</v>
      </c>
      <c r="L2651" s="10">
        <v>52</v>
      </c>
      <c r="M2651" s="6" t="s">
        <v>371</v>
      </c>
    </row>
    <row r="2652" spans="1:13">
      <c r="A2652" s="6">
        <v>2024</v>
      </c>
      <c r="B2652" s="6">
        <v>1</v>
      </c>
      <c r="C2652" s="6" t="s">
        <v>59</v>
      </c>
      <c r="D2652" s="6" t="s">
        <v>408</v>
      </c>
      <c r="E2652" s="6" t="s">
        <v>409</v>
      </c>
      <c r="F2652" s="6" t="str">
        <f>IF($M2652="PADD I","PADD 1",IF($M2652="PADD II","PADD 2",IF($M2652="PADD III","PADD 3",IF($M2652="PADD IV","PADD 4",IF($M2652="PADD V","PADD 5","")))))</f>
        <v>PADD 3</v>
      </c>
      <c r="G2652" s="6">
        <f>IF(AND($H2652="ATMOS DISTILLATION",ISNUMBER(SEARCH("VPS",$I2652))=FALSE,LEFT($I2652,6)&lt;&gt;"VACUUM"),"CDU",IF($H2652="FLUID CAT CRACKING","FCC",IF(OR($H2652="HYDROCRACKING",$H2652="RESID_HYDROCRACKING"),"Hydrocracker",IF($H2652="REFORMING","Reformer",""))))</f>
        <v/>
      </c>
      <c r="H2652" s="6" t="s">
        <v>378</v>
      </c>
      <c r="I2652" s="6" t="s">
        <v>506</v>
      </c>
      <c r="J2652" s="6" t="s">
        <v>345</v>
      </c>
      <c r="K2652" s="10">
        <v>27.04</v>
      </c>
      <c r="L2652" s="10">
        <v>52</v>
      </c>
      <c r="M2652" s="6" t="s">
        <v>371</v>
      </c>
    </row>
    <row r="2653" spans="1:13">
      <c r="A2653" s="6">
        <v>2024</v>
      </c>
      <c r="B2653" s="6">
        <v>1</v>
      </c>
      <c r="C2653" s="6" t="s">
        <v>59</v>
      </c>
      <c r="D2653" s="6" t="s">
        <v>457</v>
      </c>
      <c r="E2653" s="6" t="s">
        <v>388</v>
      </c>
      <c r="F2653" s="6" t="str">
        <f>IF($M2653="PADD I","PADD 1",IF($M2653="PADD II","PADD 2",IF($M2653="PADD III","PADD 3",IF($M2653="PADD IV","PADD 4",IF($M2653="PADD V","PADD 5","")))))</f>
        <v>PADD 5</v>
      </c>
      <c r="G2653" s="6" t="str">
        <f>IF(AND($H2653="ATMOS DISTILLATION",ISNUMBER(SEARCH("VPS",$I2653))=FALSE,LEFT($I2653,6)&lt;&gt;"VACUUM"),"CDU",IF($H2653="FLUID CAT CRACKING","FCC",IF(OR($H2653="HYDROCRACKING",$H2653="RESID_HYDROCRACKING"),"Hydrocracker",IF($H2653="REFORMING","Reformer",""))))</f>
        <v>CDU</v>
      </c>
      <c r="H2653" s="6" t="s">
        <v>38</v>
      </c>
      <c r="I2653" s="6" t="s">
        <v>137</v>
      </c>
      <c r="J2653" s="6" t="s">
        <v>349</v>
      </c>
      <c r="K2653" s="10">
        <v>26</v>
      </c>
      <c r="L2653" s="10">
        <v>40</v>
      </c>
      <c r="M2653" s="6" t="s">
        <v>386</v>
      </c>
    </row>
    <row r="2654" spans="1:13">
      <c r="A2654" s="6">
        <v>2024</v>
      </c>
      <c r="B2654" s="6">
        <v>1</v>
      </c>
      <c r="C2654" s="6" t="s">
        <v>59</v>
      </c>
      <c r="D2654" s="6" t="s">
        <v>526</v>
      </c>
      <c r="E2654" s="6" t="s">
        <v>405</v>
      </c>
      <c r="F2654" s="6" t="str">
        <f>IF($M2654="PADD I","PADD 1",IF($M2654="PADD II","PADD 2",IF($M2654="PADD III","PADD 3",IF($M2654="PADD IV","PADD 4",IF($M2654="PADD V","PADD 5","")))))</f>
        <v>PADD 3</v>
      </c>
      <c r="G2654" s="6">
        <f>IF(AND($H2654="ATMOS DISTILLATION",ISNUMBER(SEARCH("VPS",$I2654))=FALSE,LEFT($I2654,6)&lt;&gt;"VACUUM"),"CDU",IF($H2654="FLUID CAT CRACKING","FCC",IF(OR($H2654="HYDROCRACKING",$H2654="RESID_HYDROCRACKING"),"Hydrocracker",IF($H2654="REFORMING","Reformer",""))))</f>
        <v/>
      </c>
      <c r="H2654" s="6" t="s">
        <v>43</v>
      </c>
      <c r="I2654" s="6" t="s">
        <v>1076</v>
      </c>
      <c r="J2654" s="6" t="s">
        <v>349</v>
      </c>
      <c r="K2654" s="10">
        <v>25.85</v>
      </c>
      <c r="L2654" s="10">
        <v>47</v>
      </c>
      <c r="M2654" s="6" t="s">
        <v>371</v>
      </c>
    </row>
    <row r="2655" spans="1:13">
      <c r="A2655" s="6">
        <v>2024</v>
      </c>
      <c r="B2655" s="6">
        <v>1</v>
      </c>
      <c r="C2655" s="6" t="s">
        <v>59</v>
      </c>
      <c r="D2655" s="6" t="s">
        <v>778</v>
      </c>
      <c r="E2655" s="6" t="s">
        <v>779</v>
      </c>
      <c r="F2655" s="6" t="str">
        <f>IF($M2655="PADD I","PADD 1",IF($M2655="PADD II","PADD 2",IF($M2655="PADD III","PADD 3",IF($M2655="PADD IV","PADD 4",IF($M2655="PADD V","PADD 5","")))))</f>
        <v>PADD 3</v>
      </c>
      <c r="G2655" s="6" t="str">
        <f>IF(AND($H2655="ATMOS DISTILLATION",ISNUMBER(SEARCH("VPS",$I2655))=FALSE,LEFT($I2655,6)&lt;&gt;"VACUUM"),"CDU",IF($H2655="FLUID CAT CRACKING","FCC",IF(OR($H2655="HYDROCRACKING",$H2655="RESID_HYDROCRACKING"),"Hydrocracker",IF($H2655="REFORMING","Reformer",""))))</f>
        <v>CDU</v>
      </c>
      <c r="H2655" s="6" t="s">
        <v>38</v>
      </c>
      <c r="I2655" s="6" t="s">
        <v>780</v>
      </c>
      <c r="J2655" s="6" t="s">
        <v>345</v>
      </c>
      <c r="K2655" s="10">
        <v>25.61</v>
      </c>
      <c r="L2655" s="10">
        <v>197</v>
      </c>
      <c r="M2655" s="6" t="s">
        <v>371</v>
      </c>
    </row>
    <row r="2656" spans="1:13">
      <c r="A2656" s="6">
        <v>2024</v>
      </c>
      <c r="B2656" s="6">
        <v>1</v>
      </c>
      <c r="C2656" s="6" t="s">
        <v>59</v>
      </c>
      <c r="D2656" s="6" t="s">
        <v>457</v>
      </c>
      <c r="E2656" s="6" t="s">
        <v>388</v>
      </c>
      <c r="F2656" s="6" t="str">
        <f>IF($M2656="PADD I","PADD 1",IF($M2656="PADD II","PADD 2",IF($M2656="PADD III","PADD 3",IF($M2656="PADD IV","PADD 4",IF($M2656="PADD V","PADD 5","")))))</f>
        <v>PADD 5</v>
      </c>
      <c r="G2656" s="6">
        <f>IF(AND($H2656="ATMOS DISTILLATION",ISNUMBER(SEARCH("VPS",$I2656))=FALSE,LEFT($I2656,6)&lt;&gt;"VACUUM"),"CDU",IF($H2656="FLUID CAT CRACKING","FCC",IF(OR($H2656="HYDROCRACKING",$H2656="RESID_HYDROCRACKING"),"Hydrocracker",IF($H2656="REFORMING","Reformer",""))))</f>
        <v/>
      </c>
      <c r="H2656" s="6" t="s">
        <v>435</v>
      </c>
      <c r="I2656" s="6" t="s">
        <v>453</v>
      </c>
      <c r="J2656" s="6" t="s">
        <v>349</v>
      </c>
      <c r="K2656" s="10">
        <v>25.35</v>
      </c>
      <c r="L2656" s="10">
        <v>39</v>
      </c>
      <c r="M2656" s="6" t="s">
        <v>386</v>
      </c>
    </row>
    <row r="2657" spans="1:13">
      <c r="A2657" s="6">
        <v>2024</v>
      </c>
      <c r="B2657" s="6">
        <v>1</v>
      </c>
      <c r="C2657" s="6" t="s">
        <v>59</v>
      </c>
      <c r="D2657" s="6" t="s">
        <v>42</v>
      </c>
      <c r="E2657" s="6" t="s">
        <v>405</v>
      </c>
      <c r="F2657" s="6" t="str">
        <f>IF($M2657="PADD I","PADD 1",IF($M2657="PADD II","PADD 2",IF($M2657="PADD III","PADD 3",IF($M2657="PADD IV","PADD 4",IF($M2657="PADD V","PADD 5","")))))</f>
        <v>PADD 3</v>
      </c>
      <c r="G2657" s="6">
        <f>IF(AND($H2657="ATMOS DISTILLATION",ISNUMBER(SEARCH("VPS",$I2657))=FALSE,LEFT($I2657,6)&lt;&gt;"VACUUM"),"CDU",IF($H2657="FLUID CAT CRACKING","FCC",IF(OR($H2657="HYDROCRACKING",$H2657="RESID_HYDROCRACKING"),"Hydrocracker",IF($H2657="REFORMING","Reformer",""))))</f>
        <v/>
      </c>
      <c r="H2657" s="6" t="s">
        <v>43</v>
      </c>
      <c r="I2657" s="6" t="s">
        <v>1087</v>
      </c>
      <c r="J2657" s="6" t="s">
        <v>349</v>
      </c>
      <c r="K2657" s="10">
        <v>25.3</v>
      </c>
      <c r="L2657" s="10">
        <v>110</v>
      </c>
      <c r="M2657" s="6" t="s">
        <v>371</v>
      </c>
    </row>
    <row r="2658" spans="1:13">
      <c r="A2658" s="6">
        <v>2024</v>
      </c>
      <c r="B2658" s="6">
        <v>1</v>
      </c>
      <c r="C2658" s="6" t="s">
        <v>59</v>
      </c>
      <c r="D2658" s="6" t="s">
        <v>42</v>
      </c>
      <c r="E2658" s="6" t="s">
        <v>405</v>
      </c>
      <c r="F2658" s="6" t="str">
        <f>IF($M2658="PADD I","PADD 1",IF($M2658="PADD II","PADD 2",IF($M2658="PADD III","PADD 3",IF($M2658="PADD IV","PADD 4",IF($M2658="PADD V","PADD 5","")))))</f>
        <v>PADD 3</v>
      </c>
      <c r="G2658" s="6">
        <f>IF(AND($H2658="ATMOS DISTILLATION",ISNUMBER(SEARCH("VPS",$I2658))=FALSE,LEFT($I2658,6)&lt;&gt;"VACUUM"),"CDU",IF($H2658="FLUID CAT CRACKING","FCC",IF(OR($H2658="HYDROCRACKING",$H2658="RESID_HYDROCRACKING"),"Hydrocracker",IF($H2658="REFORMING","Reformer",""))))</f>
        <v/>
      </c>
      <c r="H2658" s="6" t="s">
        <v>43</v>
      </c>
      <c r="I2658" s="6" t="s">
        <v>1088</v>
      </c>
      <c r="J2658" s="6" t="s">
        <v>345</v>
      </c>
      <c r="K2658" s="10">
        <v>25.3</v>
      </c>
      <c r="L2658" s="10">
        <v>110</v>
      </c>
      <c r="M2658" s="6" t="s">
        <v>371</v>
      </c>
    </row>
    <row r="2659" spans="1:13">
      <c r="A2659" s="6">
        <v>2024</v>
      </c>
      <c r="B2659" s="6">
        <v>1</v>
      </c>
      <c r="C2659" s="6" t="s">
        <v>59</v>
      </c>
      <c r="D2659" s="6" t="s">
        <v>415</v>
      </c>
      <c r="E2659" s="6" t="s">
        <v>416</v>
      </c>
      <c r="F2659" s="6" t="str">
        <f>IF($M2659="PADD I","PADD 1",IF($M2659="PADD II","PADD 2",IF($M2659="PADD III","PADD 3",IF($M2659="PADD IV","PADD 4",IF($M2659="PADD V","PADD 5","")))))</f>
        <v>PADD 3</v>
      </c>
      <c r="G2659" s="6" t="str">
        <f>IF(AND($H2659="ATMOS DISTILLATION",ISNUMBER(SEARCH("VPS",$I2659))=FALSE,LEFT($I2659,6)&lt;&gt;"VACUUM"),"CDU",IF($H2659="FLUID CAT CRACKING","FCC",IF(OR($H2659="HYDROCRACKING",$H2659="RESID_HYDROCRACKING"),"Hydrocracker",IF($H2659="REFORMING","Reformer",""))))</f>
        <v>Hydrocracker</v>
      </c>
      <c r="H2659" s="6" t="s">
        <v>444</v>
      </c>
      <c r="I2659" s="6" t="s">
        <v>940</v>
      </c>
      <c r="J2659" s="6" t="s">
        <v>345</v>
      </c>
      <c r="K2659" s="10">
        <v>24.576</v>
      </c>
      <c r="L2659" s="10">
        <v>51.2</v>
      </c>
      <c r="M2659" s="6" t="s">
        <v>371</v>
      </c>
    </row>
    <row r="2660" spans="1:13">
      <c r="A2660" s="6">
        <v>2024</v>
      </c>
      <c r="B2660" s="6">
        <v>1</v>
      </c>
      <c r="C2660" s="6" t="s">
        <v>59</v>
      </c>
      <c r="D2660" s="6" t="s">
        <v>807</v>
      </c>
      <c r="E2660" s="6" t="s">
        <v>779</v>
      </c>
      <c r="F2660" s="6" t="str">
        <f>IF($M2660="PADD I","PADD 1",IF($M2660="PADD II","PADD 2",IF($M2660="PADD III","PADD 3",IF($M2660="PADD IV","PADD 4",IF($M2660="PADD V","PADD 5","")))))</f>
        <v>PADD 3</v>
      </c>
      <c r="G2660" s="6">
        <f>IF(AND($H2660="ATMOS DISTILLATION",ISNUMBER(SEARCH("VPS",$I2660))=FALSE,LEFT($I2660,6)&lt;&gt;"VACUUM"),"CDU",IF($H2660="FLUID CAT CRACKING","FCC",IF(OR($H2660="HYDROCRACKING",$H2660="RESID_HYDROCRACKING"),"Hydrocracker",IF($H2660="REFORMING","Reformer",""))))</f>
        <v/>
      </c>
      <c r="H2660" s="6" t="s">
        <v>378</v>
      </c>
      <c r="I2660" s="6" t="s">
        <v>431</v>
      </c>
      <c r="J2660" s="6" t="s">
        <v>349</v>
      </c>
      <c r="K2660" s="10">
        <v>24.48</v>
      </c>
      <c r="L2660" s="10">
        <v>36</v>
      </c>
      <c r="M2660" s="6" t="s">
        <v>371</v>
      </c>
    </row>
    <row r="2661" spans="1:13">
      <c r="A2661" s="6">
        <v>2024</v>
      </c>
      <c r="B2661" s="6">
        <v>1</v>
      </c>
      <c r="C2661" s="6" t="s">
        <v>59</v>
      </c>
      <c r="D2661" s="6" t="s">
        <v>628</v>
      </c>
      <c r="E2661" s="6" t="s">
        <v>388</v>
      </c>
      <c r="F2661" s="6" t="str">
        <f>IF($M2661="PADD I","PADD 1",IF($M2661="PADD II","PADD 2",IF($M2661="PADD III","PADD 3",IF($M2661="PADD IV","PADD 4",IF($M2661="PADD V","PADD 5","")))))</f>
        <v>PADD 3</v>
      </c>
      <c r="G2661" s="6" t="str">
        <f>IF(AND($H2661="ATMOS DISTILLATION",ISNUMBER(SEARCH("VPS",$I2661))=FALSE,LEFT($I2661,6)&lt;&gt;"VACUUM"),"CDU",IF($H2661="FLUID CAT CRACKING","FCC",IF(OR($H2661="HYDROCRACKING",$H2661="RESID_HYDROCRACKING"),"Hydrocracker",IF($H2661="REFORMING","Reformer",""))))</f>
        <v>CDU</v>
      </c>
      <c r="H2661" s="6" t="s">
        <v>38</v>
      </c>
      <c r="I2661" s="6" t="s">
        <v>1053</v>
      </c>
      <c r="J2661" s="6" t="s">
        <v>349</v>
      </c>
      <c r="K2661" s="10">
        <v>23.8</v>
      </c>
      <c r="L2661" s="10">
        <v>35</v>
      </c>
      <c r="M2661" s="6" t="s">
        <v>371</v>
      </c>
    </row>
    <row r="2662" spans="1:13">
      <c r="A2662" s="6">
        <v>2024</v>
      </c>
      <c r="B2662" s="6">
        <v>1</v>
      </c>
      <c r="C2662" s="6" t="s">
        <v>59</v>
      </c>
      <c r="D2662" s="6" t="s">
        <v>484</v>
      </c>
      <c r="E2662" s="6" t="s">
        <v>409</v>
      </c>
      <c r="F2662" s="6" t="str">
        <f>IF($M2662="PADD I","PADD 1",IF($M2662="PADD II","PADD 2",IF($M2662="PADD III","PADD 3",IF($M2662="PADD IV","PADD 4",IF($M2662="PADD V","PADD 5","")))))</f>
        <v>PADD 3</v>
      </c>
      <c r="G2662" s="6">
        <f>IF(AND($H2662="ATMOS DISTILLATION",ISNUMBER(SEARCH("VPS",$I2662))=FALSE,LEFT($I2662,6)&lt;&gt;"VACUUM"),"CDU",IF($H2662="FLUID CAT CRACKING","FCC",IF(OR($H2662="HYDROCRACKING",$H2662="RESID_HYDROCRACKING"),"Hydrocracker",IF($H2662="REFORMING","Reformer",""))))</f>
        <v/>
      </c>
      <c r="H2662" s="6" t="s">
        <v>43</v>
      </c>
      <c r="I2662" s="6" t="s">
        <v>501</v>
      </c>
      <c r="J2662" s="6" t="s">
        <v>345</v>
      </c>
      <c r="K2662" s="10">
        <v>23.66</v>
      </c>
      <c r="L2662" s="10">
        <v>45.5</v>
      </c>
      <c r="M2662" s="6" t="s">
        <v>371</v>
      </c>
    </row>
    <row r="2663" spans="1:13">
      <c r="A2663" s="6">
        <v>2024</v>
      </c>
      <c r="B2663" s="6">
        <v>1</v>
      </c>
      <c r="C2663" s="6" t="s">
        <v>59</v>
      </c>
      <c r="D2663" s="6" t="s">
        <v>526</v>
      </c>
      <c r="E2663" s="6" t="s">
        <v>405</v>
      </c>
      <c r="F2663" s="6" t="str">
        <f>IF($M2663="PADD I","PADD 1",IF($M2663="PADD II","PADD 2",IF($M2663="PADD III","PADD 3",IF($M2663="PADD IV","PADD 4",IF($M2663="PADD V","PADD 5","")))))</f>
        <v>PADD 3</v>
      </c>
      <c r="G2663" s="6">
        <f>IF(AND($H2663="ATMOS DISTILLATION",ISNUMBER(SEARCH("VPS",$I2663))=FALSE,LEFT($I2663,6)&lt;&gt;"VACUUM"),"CDU",IF($H2663="FLUID CAT CRACKING","FCC",IF(OR($H2663="HYDROCRACKING",$H2663="RESID_HYDROCRACKING"),"Hydrocracker",IF($H2663="REFORMING","Reformer",""))))</f>
        <v/>
      </c>
      <c r="H2663" s="6" t="s">
        <v>43</v>
      </c>
      <c r="I2663" s="6" t="s">
        <v>1089</v>
      </c>
      <c r="J2663" s="6" t="s">
        <v>349</v>
      </c>
      <c r="K2663" s="10">
        <v>23.65</v>
      </c>
      <c r="L2663" s="10">
        <v>43</v>
      </c>
      <c r="M2663" s="6" t="s">
        <v>371</v>
      </c>
    </row>
    <row r="2664" spans="1:13">
      <c r="A2664" s="6">
        <v>2024</v>
      </c>
      <c r="B2664" s="6">
        <v>1</v>
      </c>
      <c r="C2664" s="6" t="s">
        <v>59</v>
      </c>
      <c r="D2664" s="6" t="s">
        <v>408</v>
      </c>
      <c r="E2664" s="6" t="s">
        <v>409</v>
      </c>
      <c r="F2664" s="6" t="str">
        <f>IF($M2664="PADD I","PADD 1",IF($M2664="PADD II","PADD 2",IF($M2664="PADD III","PADD 3",IF($M2664="PADD IV","PADD 4",IF($M2664="PADD V","PADD 5","")))))</f>
        <v>PADD 3</v>
      </c>
      <c r="G2664" s="6">
        <f>IF(AND($H2664="ATMOS DISTILLATION",ISNUMBER(SEARCH("VPS",$I2664))=FALSE,LEFT($I2664,6)&lt;&gt;"VACUUM"),"CDU",IF($H2664="FLUID CAT CRACKING","FCC",IF(OR($H2664="HYDROCRACKING",$H2664="RESID_HYDROCRACKING"),"Hydrocracker",IF($H2664="REFORMING","Reformer",""))))</f>
        <v/>
      </c>
      <c r="H2664" s="6" t="s">
        <v>43</v>
      </c>
      <c r="I2664" s="6" t="s">
        <v>478</v>
      </c>
      <c r="J2664" s="6" t="s">
        <v>345</v>
      </c>
      <c r="K2664" s="10">
        <v>23.1</v>
      </c>
      <c r="L2664" s="10">
        <v>42</v>
      </c>
      <c r="M2664" s="6" t="s">
        <v>371</v>
      </c>
    </row>
    <row r="2665" spans="1:13">
      <c r="A2665" s="6">
        <v>2024</v>
      </c>
      <c r="B2665" s="6">
        <v>1</v>
      </c>
      <c r="C2665" s="6" t="s">
        <v>59</v>
      </c>
      <c r="D2665" s="6" t="s">
        <v>518</v>
      </c>
      <c r="E2665" s="6" t="s">
        <v>369</v>
      </c>
      <c r="F2665" s="6" t="str">
        <f>IF($M2665="PADD I","PADD 1",IF($M2665="PADD II","PADD 2",IF($M2665="PADD III","PADD 3",IF($M2665="PADD IV","PADD 4",IF($M2665="PADD V","PADD 5","")))))</f>
        <v>PADD 5</v>
      </c>
      <c r="G2665" s="6" t="str">
        <f>IF(AND($H2665="ATMOS DISTILLATION",ISNUMBER(SEARCH("VPS",$I2665))=FALSE,LEFT($I2665,6)&lt;&gt;"VACUUM"),"CDU",IF($H2665="FLUID CAT CRACKING","FCC",IF(OR($H2665="HYDROCRACKING",$H2665="RESID_HYDROCRACKING"),"Hydrocracker",IF($H2665="REFORMING","Reformer",""))))</f>
        <v>Hydrocracker</v>
      </c>
      <c r="H2665" s="6" t="s">
        <v>444</v>
      </c>
      <c r="I2665" s="6" t="s">
        <v>582</v>
      </c>
      <c r="J2665" s="6" t="s">
        <v>345</v>
      </c>
      <c r="K2665" s="10">
        <v>23</v>
      </c>
      <c r="L2665" s="10">
        <v>23</v>
      </c>
      <c r="M2665" s="6" t="s">
        <v>386</v>
      </c>
    </row>
    <row r="2666" spans="1:13">
      <c r="A2666" s="6">
        <v>2024</v>
      </c>
      <c r="B2666" s="6">
        <v>1</v>
      </c>
      <c r="C2666" s="6" t="s">
        <v>59</v>
      </c>
      <c r="D2666" s="6" t="s">
        <v>329</v>
      </c>
      <c r="E2666" s="6" t="s">
        <v>427</v>
      </c>
      <c r="F2666" s="6" t="str">
        <f>IF($M2666="PADD I","PADD 1",IF($M2666="PADD II","PADD 2",IF($M2666="PADD III","PADD 3",IF($M2666="PADD IV","PADD 4",IF($M2666="PADD V","PADD 5","")))))</f>
        <v>PADD 3</v>
      </c>
      <c r="G2666" s="6">
        <f>IF(AND($H2666="ATMOS DISTILLATION",ISNUMBER(SEARCH("VPS",$I2666))=FALSE,LEFT($I2666,6)&lt;&gt;"VACUUM"),"CDU",IF($H2666="FLUID CAT CRACKING","FCC",IF(OR($H2666="HYDROCRACKING",$H2666="RESID_HYDROCRACKING"),"Hydrocracker",IF($H2666="REFORMING","Reformer",""))))</f>
        <v/>
      </c>
      <c r="H2666" s="6" t="s">
        <v>378</v>
      </c>
      <c r="I2666" s="6" t="s">
        <v>964</v>
      </c>
      <c r="J2666" s="6" t="s">
        <v>345</v>
      </c>
      <c r="K2666" s="10">
        <v>22</v>
      </c>
      <c r="L2666" s="10">
        <v>40</v>
      </c>
      <c r="M2666" s="6" t="s">
        <v>371</v>
      </c>
    </row>
    <row r="2667" spans="1:13">
      <c r="A2667" s="6">
        <v>2024</v>
      </c>
      <c r="B2667" s="6">
        <v>1</v>
      </c>
      <c r="C2667" s="6" t="s">
        <v>59</v>
      </c>
      <c r="D2667" s="6" t="s">
        <v>387</v>
      </c>
      <c r="E2667" s="6" t="s">
        <v>388</v>
      </c>
      <c r="F2667" s="6" t="str">
        <f>IF($M2667="PADD I","PADD 1",IF($M2667="PADD II","PADD 2",IF($M2667="PADD III","PADD 3",IF($M2667="PADD IV","PADD 4",IF($M2667="PADD V","PADD 5","")))))</f>
        <v>PADD 3</v>
      </c>
      <c r="G2667" s="6">
        <f>IF(AND($H2667="ATMOS DISTILLATION",ISNUMBER(SEARCH("VPS",$I2667))=FALSE,LEFT($I2667,6)&lt;&gt;"VACUUM"),"CDU",IF($H2667="FLUID CAT CRACKING","FCC",IF(OR($H2667="HYDROCRACKING",$H2667="RESID_HYDROCRACKING"),"Hydrocracker",IF($H2667="REFORMING","Reformer",""))))</f>
        <v/>
      </c>
      <c r="H2667" s="6" t="s">
        <v>43</v>
      </c>
      <c r="I2667" s="6" t="s">
        <v>1090</v>
      </c>
      <c r="J2667" s="6" t="s">
        <v>349</v>
      </c>
      <c r="K2667" s="10">
        <v>21.85</v>
      </c>
      <c r="L2667" s="10">
        <v>115</v>
      </c>
      <c r="M2667" s="6" t="s">
        <v>371</v>
      </c>
    </row>
    <row r="2668" spans="1:13">
      <c r="A2668" s="6">
        <v>2024</v>
      </c>
      <c r="B2668" s="6">
        <v>1</v>
      </c>
      <c r="C2668" s="6" t="s">
        <v>59</v>
      </c>
      <c r="D2668" s="6" t="s">
        <v>50</v>
      </c>
      <c r="E2668" s="6" t="s">
        <v>381</v>
      </c>
      <c r="F2668" s="6" t="str">
        <f>IF($M2668="PADD I","PADD 1",IF($M2668="PADD II","PADD 2",IF($M2668="PADD III","PADD 3",IF($M2668="PADD IV","PADD 4",IF($M2668="PADD V","PADD 5","")))))</f>
        <v>PADD 3</v>
      </c>
      <c r="G2668" s="6">
        <f>IF(AND($H2668="ATMOS DISTILLATION",ISNUMBER(SEARCH("VPS",$I2668))=FALSE,LEFT($I2668,6)&lt;&gt;"VACUUM"),"CDU",IF($H2668="FLUID CAT CRACKING","FCC",IF(OR($H2668="HYDROCRACKING",$H2668="RESID_HYDROCRACKING"),"Hydrocracker",IF($H2668="REFORMING","Reformer",""))))</f>
        <v/>
      </c>
      <c r="H2668" s="6" t="s">
        <v>43</v>
      </c>
      <c r="I2668" s="6" t="s">
        <v>1091</v>
      </c>
      <c r="J2668" s="6" t="s">
        <v>349</v>
      </c>
      <c r="K2668" s="10">
        <v>20.8</v>
      </c>
      <c r="L2668" s="10">
        <v>40</v>
      </c>
      <c r="M2668" s="6" t="s">
        <v>371</v>
      </c>
    </row>
    <row r="2669" spans="1:13">
      <c r="A2669" s="6">
        <v>2024</v>
      </c>
      <c r="B2669" s="6">
        <v>1</v>
      </c>
      <c r="C2669" s="6" t="s">
        <v>59</v>
      </c>
      <c r="D2669" s="6" t="s">
        <v>455</v>
      </c>
      <c r="E2669" s="6" t="s">
        <v>405</v>
      </c>
      <c r="F2669" s="6" t="str">
        <f>IF($M2669="PADD I","PADD 1",IF($M2669="PADD II","PADD 2",IF($M2669="PADD III","PADD 3",IF($M2669="PADD IV","PADD 4",IF($M2669="PADD V","PADD 5","")))))</f>
        <v>PADD 3</v>
      </c>
      <c r="G2669" s="6">
        <f>IF(AND($H2669="ATMOS DISTILLATION",ISNUMBER(SEARCH("VPS",$I2669))=FALSE,LEFT($I2669,6)&lt;&gt;"VACUUM"),"CDU",IF($H2669="FLUID CAT CRACKING","FCC",IF(OR($H2669="HYDROCRACKING",$H2669="RESID_HYDROCRACKING"),"Hydrocracker",IF($H2669="REFORMING","Reformer",""))))</f>
        <v/>
      </c>
      <c r="H2669" s="6" t="s">
        <v>435</v>
      </c>
      <c r="I2669" s="6" t="s">
        <v>441</v>
      </c>
      <c r="J2669" s="6" t="s">
        <v>345</v>
      </c>
      <c r="K2669" s="10">
        <v>20.8</v>
      </c>
      <c r="L2669" s="10">
        <v>80</v>
      </c>
      <c r="M2669" s="6" t="s">
        <v>371</v>
      </c>
    </row>
    <row r="2670" spans="1:13">
      <c r="A2670" s="6">
        <v>2024</v>
      </c>
      <c r="B2670" s="6">
        <v>1</v>
      </c>
      <c r="C2670" s="6" t="s">
        <v>59</v>
      </c>
      <c r="D2670" s="6" t="s">
        <v>730</v>
      </c>
      <c r="E2670" s="6" t="s">
        <v>731</v>
      </c>
      <c r="F2670" s="6" t="str">
        <f>IF($M2670="PADD I","PADD 1",IF($M2670="PADD II","PADD 2",IF($M2670="PADD III","PADD 3",IF($M2670="PADD IV","PADD 4",IF($M2670="PADD V","PADD 5","")))))</f>
        <v>PADD 3</v>
      </c>
      <c r="G2670" s="6" t="str">
        <f>IF(AND($H2670="ATMOS DISTILLATION",ISNUMBER(SEARCH("VPS",$I2670))=FALSE,LEFT($I2670,6)&lt;&gt;"VACUUM"),"CDU",IF($H2670="FLUID CAT CRACKING","FCC",IF(OR($H2670="HYDROCRACKING",$H2670="RESID_HYDROCRACKING"),"Hydrocracker",IF($H2670="REFORMING","Reformer",""))))</f>
        <v>FCC</v>
      </c>
      <c r="H2670" s="6" t="s">
        <v>376</v>
      </c>
      <c r="I2670" s="6" t="s">
        <v>105</v>
      </c>
      <c r="J2670" s="6" t="s">
        <v>345</v>
      </c>
      <c r="K2670" s="10">
        <v>20.445</v>
      </c>
      <c r="L2670" s="10">
        <v>23.5</v>
      </c>
      <c r="M2670" s="6" t="s">
        <v>371</v>
      </c>
    </row>
    <row r="2671" spans="1:13">
      <c r="A2671" s="6">
        <v>2024</v>
      </c>
      <c r="B2671" s="6">
        <v>1</v>
      </c>
      <c r="C2671" s="6" t="s">
        <v>59</v>
      </c>
      <c r="D2671" s="6" t="s">
        <v>628</v>
      </c>
      <c r="E2671" s="6" t="s">
        <v>388</v>
      </c>
      <c r="F2671" s="6" t="str">
        <f>IF($M2671="PADD I","PADD 1",IF($M2671="PADD II","PADD 2",IF($M2671="PADD III","PADD 3",IF($M2671="PADD IV","PADD 4",IF($M2671="PADD V","PADD 5","")))))</f>
        <v>PADD 3</v>
      </c>
      <c r="G2671" s="6">
        <f>IF(AND($H2671="ATMOS DISTILLATION",ISNUMBER(SEARCH("VPS",$I2671))=FALSE,LEFT($I2671,6)&lt;&gt;"VACUUM"),"CDU",IF($H2671="FLUID CAT CRACKING","FCC",IF(OR($H2671="HYDROCRACKING",$H2671="RESID_HYDROCRACKING"),"Hydrocracker",IF($H2671="REFORMING","Reformer",""))))</f>
        <v/>
      </c>
      <c r="H2671" s="6" t="s">
        <v>43</v>
      </c>
      <c r="I2671" s="6" t="s">
        <v>464</v>
      </c>
      <c r="J2671" s="6" t="s">
        <v>349</v>
      </c>
      <c r="K2671" s="10">
        <v>20.4</v>
      </c>
      <c r="L2671" s="10">
        <v>30</v>
      </c>
      <c r="M2671" s="6" t="s">
        <v>371</v>
      </c>
    </row>
    <row r="2672" spans="1:13">
      <c r="A2672" s="6">
        <v>2024</v>
      </c>
      <c r="B2672" s="6">
        <v>1</v>
      </c>
      <c r="C2672" s="6" t="s">
        <v>59</v>
      </c>
      <c r="D2672" s="6" t="s">
        <v>772</v>
      </c>
      <c r="E2672" s="6" t="s">
        <v>405</v>
      </c>
      <c r="F2672" s="6" t="str">
        <f>IF($M2672="PADD I","PADD 1",IF($M2672="PADD II","PADD 2",IF($M2672="PADD III","PADD 3",IF($M2672="PADD IV","PADD 4",IF($M2672="PADD V","PADD 5","")))))</f>
        <v>PADD 3</v>
      </c>
      <c r="G2672" s="6">
        <f>IF(AND($H2672="ATMOS DISTILLATION",ISNUMBER(SEARCH("VPS",$I2672))=FALSE,LEFT($I2672,6)&lt;&gt;"VACUUM"),"CDU",IF($H2672="FLUID CAT CRACKING","FCC",IF(OR($H2672="HYDROCRACKING",$H2672="RESID_HYDROCRACKING"),"Hydrocracker",IF($H2672="REFORMING","Reformer",""))))</f>
        <v/>
      </c>
      <c r="H2672" s="6" t="s">
        <v>378</v>
      </c>
      <c r="I2672" s="6" t="s">
        <v>431</v>
      </c>
      <c r="J2672" s="6" t="s">
        <v>345</v>
      </c>
      <c r="K2672" s="10">
        <v>20.4</v>
      </c>
      <c r="L2672" s="10">
        <v>30</v>
      </c>
      <c r="M2672" s="6" t="s">
        <v>371</v>
      </c>
    </row>
    <row r="2673" spans="1:13">
      <c r="A2673" s="6">
        <v>2024</v>
      </c>
      <c r="B2673" s="6">
        <v>1</v>
      </c>
      <c r="C2673" s="6" t="s">
        <v>59</v>
      </c>
      <c r="D2673" s="6" t="s">
        <v>335</v>
      </c>
      <c r="E2673" s="6" t="s">
        <v>369</v>
      </c>
      <c r="F2673" s="6" t="str">
        <f>IF($M2673="PADD I","PADD 1",IF($M2673="PADD II","PADD 2",IF($M2673="PADD III","PADD 3",IF($M2673="PADD IV","PADD 4",IF($M2673="PADD V","PADD 5","")))))</f>
        <v>PADD 3</v>
      </c>
      <c r="G2673" s="6" t="str">
        <f>IF(AND($H2673="ATMOS DISTILLATION",ISNUMBER(SEARCH("VPS",$I2673))=FALSE,LEFT($I2673,6)&lt;&gt;"VACUUM"),"CDU",IF($H2673="FLUID CAT CRACKING","FCC",IF(OR($H2673="HYDROCRACKING",$H2673="RESID_HYDROCRACKING"),"Hydrocracker",IF($H2673="REFORMING","Reformer",""))))</f>
        <v>FCC</v>
      </c>
      <c r="H2673" s="6" t="s">
        <v>376</v>
      </c>
      <c r="I2673" s="6" t="s">
        <v>472</v>
      </c>
      <c r="J2673" s="6" t="s">
        <v>345</v>
      </c>
      <c r="K2673" s="10">
        <v>20.4</v>
      </c>
      <c r="L2673" s="10">
        <v>30</v>
      </c>
      <c r="M2673" s="6" t="s">
        <v>371</v>
      </c>
    </row>
    <row r="2674" spans="1:13">
      <c r="A2674" s="6">
        <v>2024</v>
      </c>
      <c r="B2674" s="6">
        <v>1</v>
      </c>
      <c r="C2674" s="6" t="s">
        <v>59</v>
      </c>
      <c r="D2674" s="6" t="s">
        <v>42</v>
      </c>
      <c r="E2674" s="6" t="s">
        <v>405</v>
      </c>
      <c r="F2674" s="6" t="str">
        <f>IF($M2674="PADD I","PADD 1",IF($M2674="PADD II","PADD 2",IF($M2674="PADD III","PADD 3",IF($M2674="PADD IV","PADD 4",IF($M2674="PADD V","PADD 5","")))))</f>
        <v>PADD 3</v>
      </c>
      <c r="G2674" s="6" t="str">
        <f>IF(AND($H2674="ATMOS DISTILLATION",ISNUMBER(SEARCH("VPS",$I2674))=FALSE,LEFT($I2674,6)&lt;&gt;"VACUUM"),"CDU",IF($H2674="FLUID CAT CRACKING","FCC",IF(OR($H2674="HYDROCRACKING",$H2674="RESID_HYDROCRACKING"),"Hydrocracker",IF($H2674="REFORMING","Reformer",""))))</f>
        <v>FCC</v>
      </c>
      <c r="H2674" s="6" t="s">
        <v>376</v>
      </c>
      <c r="I2674" s="6" t="s">
        <v>105</v>
      </c>
      <c r="J2674" s="6" t="s">
        <v>349</v>
      </c>
      <c r="K2674" s="10">
        <v>20.24</v>
      </c>
      <c r="L2674" s="10">
        <v>88</v>
      </c>
      <c r="M2674" s="6" t="s">
        <v>371</v>
      </c>
    </row>
    <row r="2675" spans="1:13">
      <c r="A2675" s="6">
        <v>2024</v>
      </c>
      <c r="B2675" s="6">
        <v>1</v>
      </c>
      <c r="C2675" s="6" t="s">
        <v>59</v>
      </c>
      <c r="D2675" s="6" t="s">
        <v>398</v>
      </c>
      <c r="E2675" s="6" t="s">
        <v>399</v>
      </c>
      <c r="F2675" s="6" t="str">
        <f>IF($M2675="PADD I","PADD 1",IF($M2675="PADD II","PADD 2",IF($M2675="PADD III","PADD 3",IF($M2675="PADD IV","PADD 4",IF($M2675="PADD V","PADD 5","")))))</f>
        <v>PADD 3</v>
      </c>
      <c r="G2675" s="6">
        <f>IF(AND($H2675="ATMOS DISTILLATION",ISNUMBER(SEARCH("VPS",$I2675))=FALSE,LEFT($I2675,6)&lt;&gt;"VACUUM"),"CDU",IF($H2675="FLUID CAT CRACKING","FCC",IF(OR($H2675="HYDROCRACKING",$H2675="RESID_HYDROCRACKING"),"Hydrocracker",IF($H2675="REFORMING","Reformer",""))))</f>
        <v/>
      </c>
      <c r="H2675" s="6" t="s">
        <v>435</v>
      </c>
      <c r="I2675" s="6" t="s">
        <v>528</v>
      </c>
      <c r="J2675" s="6" t="s">
        <v>345</v>
      </c>
      <c r="K2675" s="10">
        <v>19.95</v>
      </c>
      <c r="L2675" s="10">
        <v>57</v>
      </c>
      <c r="M2675" s="6" t="s">
        <v>371</v>
      </c>
    </row>
    <row r="2676" spans="1:13">
      <c r="A2676" s="6">
        <v>2024</v>
      </c>
      <c r="B2676" s="6">
        <v>1</v>
      </c>
      <c r="C2676" s="6" t="s">
        <v>59</v>
      </c>
      <c r="D2676" s="6" t="s">
        <v>457</v>
      </c>
      <c r="E2676" s="6" t="s">
        <v>388</v>
      </c>
      <c r="F2676" s="6" t="str">
        <f>IF($M2676="PADD I","PADD 1",IF($M2676="PADD II","PADD 2",IF($M2676="PADD III","PADD 3",IF($M2676="PADD IV","PADD 4",IF($M2676="PADD V","PADD 5","")))))</f>
        <v>PADD 5</v>
      </c>
      <c r="G2676" s="6" t="str">
        <f>IF(AND($H2676="ATMOS DISTILLATION",ISNUMBER(SEARCH("VPS",$I2676))=FALSE,LEFT($I2676,6)&lt;&gt;"VACUUM"),"CDU",IF($H2676="FLUID CAT CRACKING","FCC",IF(OR($H2676="HYDROCRACKING",$H2676="RESID_HYDROCRACKING"),"Hydrocracker",IF($H2676="REFORMING","Reformer",""))))</f>
        <v>CDU</v>
      </c>
      <c r="H2676" s="6" t="s">
        <v>38</v>
      </c>
      <c r="I2676" s="6" t="s">
        <v>135</v>
      </c>
      <c r="J2676" s="6" t="s">
        <v>349</v>
      </c>
      <c r="K2676" s="10">
        <v>19.5</v>
      </c>
      <c r="L2676" s="10">
        <v>30</v>
      </c>
      <c r="M2676" s="6" t="s">
        <v>386</v>
      </c>
    </row>
    <row r="2677" spans="1:13">
      <c r="A2677" s="6">
        <v>2024</v>
      </c>
      <c r="B2677" s="6">
        <v>1</v>
      </c>
      <c r="C2677" s="6" t="s">
        <v>59</v>
      </c>
      <c r="D2677" s="6" t="s">
        <v>457</v>
      </c>
      <c r="E2677" s="6" t="s">
        <v>388</v>
      </c>
      <c r="F2677" s="6" t="str">
        <f>IF($M2677="PADD I","PADD 1",IF($M2677="PADD II","PADD 2",IF($M2677="PADD III","PADD 3",IF($M2677="PADD IV","PADD 4",IF($M2677="PADD V","PADD 5","")))))</f>
        <v>PADD 5</v>
      </c>
      <c r="G2677" s="6">
        <f>IF(AND($H2677="ATMOS DISTILLATION",ISNUMBER(SEARCH("VPS",$I2677))=FALSE,LEFT($I2677,6)&lt;&gt;"VACUUM"),"CDU",IF($H2677="FLUID CAT CRACKING","FCC",IF(OR($H2677="HYDROCRACKING",$H2677="RESID_HYDROCRACKING"),"Hydrocracker",IF($H2677="REFORMING","Reformer",""))))</f>
        <v/>
      </c>
      <c r="H2677" s="6" t="s">
        <v>378</v>
      </c>
      <c r="I2677" s="6" t="s">
        <v>601</v>
      </c>
      <c r="J2677" s="6" t="s">
        <v>349</v>
      </c>
      <c r="K2677" s="10">
        <v>18.91</v>
      </c>
      <c r="L2677" s="10">
        <v>31</v>
      </c>
      <c r="M2677" s="6" t="s">
        <v>386</v>
      </c>
    </row>
    <row r="2678" spans="1:13">
      <c r="A2678" s="6">
        <v>2024</v>
      </c>
      <c r="B2678" s="6">
        <v>1</v>
      </c>
      <c r="C2678" s="6" t="s">
        <v>59</v>
      </c>
      <c r="D2678" s="6" t="s">
        <v>324</v>
      </c>
      <c r="E2678" s="6" t="s">
        <v>388</v>
      </c>
      <c r="F2678" s="6" t="str">
        <f>IF($M2678="PADD I","PADD 1",IF($M2678="PADD II","PADD 2",IF($M2678="PADD III","PADD 3",IF($M2678="PADD IV","PADD 4",IF($M2678="PADD V","PADD 5","")))))</f>
        <v>PADD 3</v>
      </c>
      <c r="G2678" s="6">
        <f>IF(AND($H2678="ATMOS DISTILLATION",ISNUMBER(SEARCH("VPS",$I2678))=FALSE,LEFT($I2678,6)&lt;&gt;"VACUUM"),"CDU",IF($H2678="FLUID CAT CRACKING","FCC",IF(OR($H2678="HYDROCRACKING",$H2678="RESID_HYDROCRACKING"),"Hydrocracker",IF($H2678="REFORMING","Reformer",""))))</f>
        <v/>
      </c>
      <c r="H2678" s="6" t="s">
        <v>435</v>
      </c>
      <c r="I2678" s="6" t="s">
        <v>956</v>
      </c>
      <c r="J2678" s="6" t="s">
        <v>349</v>
      </c>
      <c r="K2678" s="10">
        <v>18.48</v>
      </c>
      <c r="L2678" s="10">
        <v>44</v>
      </c>
      <c r="M2678" s="6" t="s">
        <v>371</v>
      </c>
    </row>
    <row r="2679" spans="1:13">
      <c r="A2679" s="6">
        <v>2024</v>
      </c>
      <c r="B2679" s="6">
        <v>1</v>
      </c>
      <c r="C2679" s="6" t="s">
        <v>59</v>
      </c>
      <c r="D2679" s="6" t="s">
        <v>415</v>
      </c>
      <c r="E2679" s="6" t="s">
        <v>416</v>
      </c>
      <c r="F2679" s="6" t="str">
        <f>IF($M2679="PADD I","PADD 1",IF($M2679="PADD II","PADD 2",IF($M2679="PADD III","PADD 3",IF($M2679="PADD IV","PADD 4",IF($M2679="PADD V","PADD 5","")))))</f>
        <v>PADD 3</v>
      </c>
      <c r="G2679" s="6" t="str">
        <f>IF(AND($H2679="ATMOS DISTILLATION",ISNUMBER(SEARCH("VPS",$I2679))=FALSE,LEFT($I2679,6)&lt;&gt;"VACUUM"),"CDU",IF($H2679="FLUID CAT CRACKING","FCC",IF(OR($H2679="HYDROCRACKING",$H2679="RESID_HYDROCRACKING"),"Hydrocracker",IF($H2679="REFORMING","Reformer",""))))</f>
        <v>Hydrocracker</v>
      </c>
      <c r="H2679" s="6" t="s">
        <v>444</v>
      </c>
      <c r="I2679" s="6" t="s">
        <v>940</v>
      </c>
      <c r="J2679" s="6" t="s">
        <v>345</v>
      </c>
      <c r="K2679" s="10">
        <v>18.24</v>
      </c>
      <c r="L2679" s="10">
        <v>38</v>
      </c>
      <c r="M2679" s="6" t="s">
        <v>371</v>
      </c>
    </row>
    <row r="2680" spans="1:13">
      <c r="A2680" s="6">
        <v>2024</v>
      </c>
      <c r="B2680" s="6">
        <v>1</v>
      </c>
      <c r="C2680" s="6" t="s">
        <v>59</v>
      </c>
      <c r="D2680" s="6" t="s">
        <v>398</v>
      </c>
      <c r="E2680" s="6" t="s">
        <v>399</v>
      </c>
      <c r="F2680" s="6" t="str">
        <f>IF($M2680="PADD I","PADD 1",IF($M2680="PADD II","PADD 2",IF($M2680="PADD III","PADD 3",IF($M2680="PADD IV","PADD 4",IF($M2680="PADD V","PADD 5","")))))</f>
        <v>PADD 3</v>
      </c>
      <c r="G2680" s="6">
        <f>IF(AND($H2680="ATMOS DISTILLATION",ISNUMBER(SEARCH("VPS",$I2680))=FALSE,LEFT($I2680,6)&lt;&gt;"VACUUM"),"CDU",IF($H2680="FLUID CAT CRACKING","FCC",IF(OR($H2680="HYDROCRACKING",$H2680="RESID_HYDROCRACKING"),"Hydrocracker",IF($H2680="REFORMING","Reformer",""))))</f>
        <v/>
      </c>
      <c r="H2680" s="6" t="s">
        <v>435</v>
      </c>
      <c r="I2680" s="6" t="s">
        <v>528</v>
      </c>
      <c r="J2680" s="6" t="s">
        <v>349</v>
      </c>
      <c r="K2680" s="10">
        <v>18.24</v>
      </c>
      <c r="L2680" s="10">
        <v>57</v>
      </c>
      <c r="M2680" s="6" t="s">
        <v>371</v>
      </c>
    </row>
    <row r="2681" spans="1:13">
      <c r="A2681" s="6">
        <v>2024</v>
      </c>
      <c r="B2681" s="6">
        <v>1</v>
      </c>
      <c r="C2681" s="6" t="s">
        <v>59</v>
      </c>
      <c r="D2681" s="6" t="s">
        <v>408</v>
      </c>
      <c r="E2681" s="6" t="s">
        <v>409</v>
      </c>
      <c r="F2681" s="6" t="str">
        <f>IF($M2681="PADD I","PADD 1",IF($M2681="PADD II","PADD 2",IF($M2681="PADD III","PADD 3",IF($M2681="PADD IV","PADD 4",IF($M2681="PADD V","PADD 5","")))))</f>
        <v>PADD 3</v>
      </c>
      <c r="G2681" s="6" t="str">
        <f>IF(AND($H2681="ATMOS DISTILLATION",ISNUMBER(SEARCH("VPS",$I2681))=FALSE,LEFT($I2681,6)&lt;&gt;"VACUUM"),"CDU",IF($H2681="FLUID CAT CRACKING","FCC",IF(OR($H2681="HYDROCRACKING",$H2681="RESID_HYDROCRACKING"),"Hydrocracker",IF($H2681="REFORMING","Reformer",""))))</f>
        <v>Reformer</v>
      </c>
      <c r="H2681" s="6" t="s">
        <v>421</v>
      </c>
      <c r="I2681" s="6" t="s">
        <v>533</v>
      </c>
      <c r="J2681" s="6" t="s">
        <v>345</v>
      </c>
      <c r="K2681" s="10">
        <v>18.2</v>
      </c>
      <c r="L2681" s="10">
        <v>35</v>
      </c>
      <c r="M2681" s="6" t="s">
        <v>371</v>
      </c>
    </row>
    <row r="2682" spans="1:13">
      <c r="A2682" s="6">
        <v>2024</v>
      </c>
      <c r="B2682" s="6">
        <v>1</v>
      </c>
      <c r="C2682" s="6" t="s">
        <v>59</v>
      </c>
      <c r="D2682" s="6" t="s">
        <v>324</v>
      </c>
      <c r="E2682" s="6" t="s">
        <v>388</v>
      </c>
      <c r="F2682" s="6" t="str">
        <f>IF($M2682="PADD I","PADD 1",IF($M2682="PADD II","PADD 2",IF($M2682="PADD III","PADD 3",IF($M2682="PADD IV","PADD 4",IF($M2682="PADD V","PADD 5","")))))</f>
        <v>PADD 3</v>
      </c>
      <c r="G2682" s="6">
        <f>IF(AND($H2682="ATMOS DISTILLATION",ISNUMBER(SEARCH("VPS",$I2682))=FALSE,LEFT($I2682,6)&lt;&gt;"VACUUM"),"CDU",IF($H2682="FLUID CAT CRACKING","FCC",IF(OR($H2682="HYDROCRACKING",$H2682="RESID_HYDROCRACKING"),"Hydrocracker",IF($H2682="REFORMING","Reformer",""))))</f>
        <v/>
      </c>
      <c r="H2682" s="6" t="s">
        <v>378</v>
      </c>
      <c r="I2682" s="6" t="s">
        <v>1092</v>
      </c>
      <c r="J2682" s="6" t="s">
        <v>349</v>
      </c>
      <c r="K2682" s="10">
        <v>18.15</v>
      </c>
      <c r="L2682" s="10">
        <v>33</v>
      </c>
      <c r="M2682" s="6" t="s">
        <v>371</v>
      </c>
    </row>
    <row r="2683" spans="1:13">
      <c r="A2683" s="6">
        <v>2024</v>
      </c>
      <c r="B2683" s="6">
        <v>1</v>
      </c>
      <c r="C2683" s="6" t="s">
        <v>59</v>
      </c>
      <c r="D2683" s="6" t="s">
        <v>437</v>
      </c>
      <c r="E2683" s="6" t="s">
        <v>438</v>
      </c>
      <c r="F2683" s="6" t="str">
        <f>IF($M2683="PADD I","PADD 1",IF($M2683="PADD II","PADD 2",IF($M2683="PADD III","PADD 3",IF($M2683="PADD IV","PADD 4",IF($M2683="PADD V","PADD 5","")))))</f>
        <v>PADD 4</v>
      </c>
      <c r="G2683" s="6" t="str">
        <f>IF(AND($H2683="ATMOS DISTILLATION",ISNUMBER(SEARCH("VPS",$I2683))=FALSE,LEFT($I2683,6)&lt;&gt;"VACUUM"),"CDU",IF($H2683="FLUID CAT CRACKING","FCC",IF(OR($H2683="HYDROCRACKING",$H2683="RESID_HYDROCRACKING"),"Hydrocracker",IF($H2683="REFORMING","Reformer",""))))</f>
        <v>CDU</v>
      </c>
      <c r="H2683" s="6" t="s">
        <v>38</v>
      </c>
      <c r="I2683" s="6" t="s">
        <v>439</v>
      </c>
      <c r="J2683" s="6" t="s">
        <v>345</v>
      </c>
      <c r="K2683" s="10">
        <v>17.524</v>
      </c>
      <c r="L2683" s="10">
        <v>33.7</v>
      </c>
      <c r="M2683" s="6" t="s">
        <v>430</v>
      </c>
    </row>
    <row r="2684" spans="1:13">
      <c r="A2684" s="6">
        <v>2024</v>
      </c>
      <c r="B2684" s="6">
        <v>1</v>
      </c>
      <c r="C2684" s="6" t="s">
        <v>59</v>
      </c>
      <c r="D2684" s="6" t="s">
        <v>730</v>
      </c>
      <c r="E2684" s="6" t="s">
        <v>731</v>
      </c>
      <c r="F2684" s="6" t="str">
        <f>IF($M2684="PADD I","PADD 1",IF($M2684="PADD II","PADD 2",IF($M2684="PADD III","PADD 3",IF($M2684="PADD IV","PADD 4",IF($M2684="PADD V","PADD 5","")))))</f>
        <v>PADD 3</v>
      </c>
      <c r="G2684" s="6">
        <f>IF(AND($H2684="ATMOS DISTILLATION",ISNUMBER(SEARCH("VPS",$I2684))=FALSE,LEFT($I2684,6)&lt;&gt;"VACUUM"),"CDU",IF($H2684="FLUID CAT CRACKING","FCC",IF(OR($H2684="HYDROCRACKING",$H2684="RESID_HYDROCRACKING"),"Hydrocracker",IF($H2684="REFORMING","Reformer",""))))</f>
        <v/>
      </c>
      <c r="H2684" s="6" t="s">
        <v>43</v>
      </c>
      <c r="I2684" s="6" t="s">
        <v>458</v>
      </c>
      <c r="J2684" s="6" t="s">
        <v>345</v>
      </c>
      <c r="K2684" s="10">
        <v>17.4</v>
      </c>
      <c r="L2684" s="10">
        <v>20</v>
      </c>
      <c r="M2684" s="6" t="s">
        <v>371</v>
      </c>
    </row>
    <row r="2685" spans="1:13">
      <c r="A2685" s="6">
        <v>2024</v>
      </c>
      <c r="B2685" s="6">
        <v>1</v>
      </c>
      <c r="C2685" s="6" t="s">
        <v>59</v>
      </c>
      <c r="D2685" s="6" t="s">
        <v>408</v>
      </c>
      <c r="E2685" s="6" t="s">
        <v>409</v>
      </c>
      <c r="F2685" s="6" t="str">
        <f>IF($M2685="PADD I","PADD 1",IF($M2685="PADD II","PADD 2",IF($M2685="PADD III","PADD 3",IF($M2685="PADD IV","PADD 4",IF($M2685="PADD V","PADD 5","")))))</f>
        <v>PADD 3</v>
      </c>
      <c r="G2685" s="6">
        <f>IF(AND($H2685="ATMOS DISTILLATION",ISNUMBER(SEARCH("VPS",$I2685))=FALSE,LEFT($I2685,6)&lt;&gt;"VACUUM"),"CDU",IF($H2685="FLUID CAT CRACKING","FCC",IF(OR($H2685="HYDROCRACKING",$H2685="RESID_HYDROCRACKING"),"Hydrocracker",IF($H2685="REFORMING","Reformer",""))))</f>
        <v/>
      </c>
      <c r="H2685" s="6" t="s">
        <v>43</v>
      </c>
      <c r="I2685" s="6" t="s">
        <v>497</v>
      </c>
      <c r="J2685" s="6" t="s">
        <v>345</v>
      </c>
      <c r="K2685" s="10">
        <v>17.05</v>
      </c>
      <c r="L2685" s="10">
        <v>31</v>
      </c>
      <c r="M2685" s="6" t="s">
        <v>371</v>
      </c>
    </row>
    <row r="2686" spans="1:13">
      <c r="A2686" s="6">
        <v>2024</v>
      </c>
      <c r="B2686" s="6">
        <v>1</v>
      </c>
      <c r="C2686" s="6" t="s">
        <v>59</v>
      </c>
      <c r="D2686" s="6" t="s">
        <v>324</v>
      </c>
      <c r="E2686" s="6" t="s">
        <v>388</v>
      </c>
      <c r="F2686" s="6" t="str">
        <f>IF($M2686="PADD I","PADD 1",IF($M2686="PADD II","PADD 2",IF($M2686="PADD III","PADD 3",IF($M2686="PADD IV","PADD 4",IF($M2686="PADD V","PADD 5","")))))</f>
        <v>PADD 3</v>
      </c>
      <c r="G2686" s="6" t="str">
        <f>IF(AND($H2686="ATMOS DISTILLATION",ISNUMBER(SEARCH("VPS",$I2686))=FALSE,LEFT($I2686,6)&lt;&gt;"VACUUM"),"CDU",IF($H2686="FLUID CAT CRACKING","FCC",IF(OR($H2686="HYDROCRACKING",$H2686="RESID_HYDROCRACKING"),"Hydrocracker",IF($H2686="REFORMING","Reformer",""))))</f>
        <v>Reformer</v>
      </c>
      <c r="H2686" s="6" t="s">
        <v>421</v>
      </c>
      <c r="I2686" s="6" t="s">
        <v>642</v>
      </c>
      <c r="J2686" s="6" t="s">
        <v>349</v>
      </c>
      <c r="K2686" s="10">
        <v>16.9</v>
      </c>
      <c r="L2686" s="10">
        <v>65</v>
      </c>
      <c r="M2686" s="6" t="s">
        <v>371</v>
      </c>
    </row>
    <row r="2687" spans="1:13">
      <c r="A2687" s="6">
        <v>2024</v>
      </c>
      <c r="B2687" s="6">
        <v>1</v>
      </c>
      <c r="C2687" s="6" t="s">
        <v>59</v>
      </c>
      <c r="D2687" s="6" t="s">
        <v>518</v>
      </c>
      <c r="E2687" s="6" t="s">
        <v>369</v>
      </c>
      <c r="F2687" s="6" t="str">
        <f>IF($M2687="PADD I","PADD 1",IF($M2687="PADD II","PADD 2",IF($M2687="PADD III","PADD 3",IF($M2687="PADD IV","PADD 4",IF($M2687="PADD V","PADD 5","")))))</f>
        <v>PADD 5</v>
      </c>
      <c r="G2687" s="6">
        <f>IF(AND($H2687="ATMOS DISTILLATION",ISNUMBER(SEARCH("VPS",$I2687))=FALSE,LEFT($I2687,6)&lt;&gt;"VACUUM"),"CDU",IF($H2687="FLUID CAT CRACKING","FCC",IF(OR($H2687="HYDROCRACKING",$H2687="RESID_HYDROCRACKING"),"Hydrocracker",IF($H2687="REFORMING","Reformer",""))))</f>
        <v/>
      </c>
      <c r="H2687" s="6" t="s">
        <v>43</v>
      </c>
      <c r="I2687" s="6" t="s">
        <v>579</v>
      </c>
      <c r="J2687" s="6" t="s">
        <v>345</v>
      </c>
      <c r="K2687" s="10">
        <v>16.74</v>
      </c>
      <c r="L2687" s="10">
        <v>16.74</v>
      </c>
      <c r="M2687" s="6" t="s">
        <v>386</v>
      </c>
    </row>
    <row r="2688" spans="1:13">
      <c r="A2688" s="6">
        <v>2024</v>
      </c>
      <c r="B2688" s="6">
        <v>1</v>
      </c>
      <c r="C2688" s="6" t="s">
        <v>59</v>
      </c>
      <c r="D2688" s="6" t="s">
        <v>462</v>
      </c>
      <c r="E2688" s="6" t="s">
        <v>438</v>
      </c>
      <c r="F2688" s="6" t="str">
        <f>IF($M2688="PADD I","PADD 1",IF($M2688="PADD II","PADD 2",IF($M2688="PADD III","PADD 3",IF($M2688="PADD IV","PADD 4",IF($M2688="PADD V","PADD 5","")))))</f>
        <v>PADD 4</v>
      </c>
      <c r="G2688" s="6" t="str">
        <f>IF(AND($H2688="ATMOS DISTILLATION",ISNUMBER(SEARCH("VPS",$I2688))=FALSE,LEFT($I2688,6)&lt;&gt;"VACUUM"),"CDU",IF($H2688="FLUID CAT CRACKING","FCC",IF(OR($H2688="HYDROCRACKING",$H2688="RESID_HYDROCRACKING"),"Hydrocracker",IF($H2688="REFORMING","Reformer",""))))</f>
        <v>CDU</v>
      </c>
      <c r="H2688" s="6" t="s">
        <v>38</v>
      </c>
      <c r="I2688" s="6" t="s">
        <v>123</v>
      </c>
      <c r="J2688" s="6" t="s">
        <v>345</v>
      </c>
      <c r="K2688" s="10">
        <v>16.64</v>
      </c>
      <c r="L2688" s="10">
        <v>32</v>
      </c>
      <c r="M2688" s="6" t="s">
        <v>430</v>
      </c>
    </row>
    <row r="2689" spans="1:13">
      <c r="A2689" s="6">
        <v>2024</v>
      </c>
      <c r="B2689" s="6">
        <v>1</v>
      </c>
      <c r="C2689" s="6" t="s">
        <v>59</v>
      </c>
      <c r="D2689" s="6" t="s">
        <v>408</v>
      </c>
      <c r="E2689" s="6" t="s">
        <v>409</v>
      </c>
      <c r="F2689" s="6" t="str">
        <f>IF($M2689="PADD I","PADD 1",IF($M2689="PADD II","PADD 2",IF($M2689="PADD III","PADD 3",IF($M2689="PADD IV","PADD 4",IF($M2689="PADD V","PADD 5","")))))</f>
        <v>PADD 3</v>
      </c>
      <c r="G2689" s="6">
        <f>IF(AND($H2689="ATMOS DISTILLATION",ISNUMBER(SEARCH("VPS",$I2689))=FALSE,LEFT($I2689,6)&lt;&gt;"VACUUM"),"CDU",IF($H2689="FLUID CAT CRACKING","FCC",IF(OR($H2689="HYDROCRACKING",$H2689="RESID_HYDROCRACKING"),"Hydrocracker",IF($H2689="REFORMING","Reformer",""))))</f>
        <v/>
      </c>
      <c r="H2689" s="6" t="s">
        <v>43</v>
      </c>
      <c r="I2689" s="6" t="s">
        <v>502</v>
      </c>
      <c r="J2689" s="6" t="s">
        <v>345</v>
      </c>
      <c r="K2689" s="10">
        <v>16.5</v>
      </c>
      <c r="L2689" s="10">
        <v>30</v>
      </c>
      <c r="M2689" s="6" t="s">
        <v>371</v>
      </c>
    </row>
    <row r="2690" spans="1:13">
      <c r="A2690" s="6">
        <v>2024</v>
      </c>
      <c r="B2690" s="6">
        <v>1</v>
      </c>
      <c r="C2690" s="6" t="s">
        <v>59</v>
      </c>
      <c r="D2690" s="6" t="s">
        <v>408</v>
      </c>
      <c r="E2690" s="6" t="s">
        <v>409</v>
      </c>
      <c r="F2690" s="6" t="str">
        <f>IF($M2690="PADD I","PADD 1",IF($M2690="PADD II","PADD 2",IF($M2690="PADD III","PADD 3",IF($M2690="PADD IV","PADD 4",IF($M2690="PADD V","PADD 5","")))))</f>
        <v>PADD 3</v>
      </c>
      <c r="G2690" s="6">
        <f>IF(AND($H2690="ATMOS DISTILLATION",ISNUMBER(SEARCH("VPS",$I2690))=FALSE,LEFT($I2690,6)&lt;&gt;"VACUUM"),"CDU",IF($H2690="FLUID CAT CRACKING","FCC",IF(OR($H2690="HYDROCRACKING",$H2690="RESID_HYDROCRACKING"),"Hydrocracker",IF($H2690="REFORMING","Reformer",""))))</f>
        <v/>
      </c>
      <c r="H2690" s="6" t="s">
        <v>43</v>
      </c>
      <c r="I2690" s="6" t="s">
        <v>503</v>
      </c>
      <c r="J2690" s="6" t="s">
        <v>345</v>
      </c>
      <c r="K2690" s="10">
        <v>16.5</v>
      </c>
      <c r="L2690" s="10">
        <v>30</v>
      </c>
      <c r="M2690" s="6" t="s">
        <v>371</v>
      </c>
    </row>
    <row r="2691" spans="1:13">
      <c r="A2691" s="6">
        <v>2024</v>
      </c>
      <c r="B2691" s="6">
        <v>1</v>
      </c>
      <c r="C2691" s="6" t="s">
        <v>59</v>
      </c>
      <c r="D2691" s="6" t="s">
        <v>457</v>
      </c>
      <c r="E2691" s="6" t="s">
        <v>388</v>
      </c>
      <c r="F2691" s="6" t="str">
        <f>IF($M2691="PADD I","PADD 1",IF($M2691="PADD II","PADD 2",IF($M2691="PADD III","PADD 3",IF($M2691="PADD IV","PADD 4",IF($M2691="PADD V","PADD 5","")))))</f>
        <v>PADD 5</v>
      </c>
      <c r="G2691" s="6">
        <f>IF(AND($H2691="ATMOS DISTILLATION",ISNUMBER(SEARCH("VPS",$I2691))=FALSE,LEFT($I2691,6)&lt;&gt;"VACUUM"),"CDU",IF($H2691="FLUID CAT CRACKING","FCC",IF(OR($H2691="HYDROCRACKING",$H2691="RESID_HYDROCRACKING"),"Hydrocracker",IF($H2691="REFORMING","Reformer",""))))</f>
        <v/>
      </c>
      <c r="H2691" s="6" t="s">
        <v>43</v>
      </c>
      <c r="I2691" s="6" t="s">
        <v>1093</v>
      </c>
      <c r="J2691" s="6" t="s">
        <v>349</v>
      </c>
      <c r="K2691" s="10">
        <v>16.25</v>
      </c>
      <c r="L2691" s="10">
        <v>25</v>
      </c>
      <c r="M2691" s="6" t="s">
        <v>386</v>
      </c>
    </row>
    <row r="2692" spans="1:13">
      <c r="A2692" s="6">
        <v>2024</v>
      </c>
      <c r="B2692" s="6">
        <v>1</v>
      </c>
      <c r="C2692" s="6" t="s">
        <v>59</v>
      </c>
      <c r="D2692" s="6" t="s">
        <v>457</v>
      </c>
      <c r="E2692" s="6" t="s">
        <v>388</v>
      </c>
      <c r="F2692" s="6" t="str">
        <f>IF($M2692="PADD I","PADD 1",IF($M2692="PADD II","PADD 2",IF($M2692="PADD III","PADD 3",IF($M2692="PADD IV","PADD 4",IF($M2692="PADD V","PADD 5","")))))</f>
        <v>PADD 5</v>
      </c>
      <c r="G2692" s="6">
        <f>IF(AND($H2692="ATMOS DISTILLATION",ISNUMBER(SEARCH("VPS",$I2692))=FALSE,LEFT($I2692,6)&lt;&gt;"VACUUM"),"CDU",IF($H2692="FLUID CAT CRACKING","FCC",IF(OR($H2692="HYDROCRACKING",$H2692="RESID_HYDROCRACKING"),"Hydrocracker",IF($H2692="REFORMING","Reformer",""))))</f>
        <v/>
      </c>
      <c r="H2692" s="6" t="s">
        <v>43</v>
      </c>
      <c r="I2692" s="6" t="s">
        <v>1094</v>
      </c>
      <c r="J2692" s="6" t="s">
        <v>349</v>
      </c>
      <c r="K2692" s="10">
        <v>16.25</v>
      </c>
      <c r="L2692" s="10">
        <v>25</v>
      </c>
      <c r="M2692" s="6" t="s">
        <v>386</v>
      </c>
    </row>
    <row r="2693" spans="1:13">
      <c r="A2693" s="6">
        <v>2024</v>
      </c>
      <c r="B2693" s="6">
        <v>1</v>
      </c>
      <c r="C2693" s="6" t="s">
        <v>59</v>
      </c>
      <c r="D2693" s="6" t="s">
        <v>415</v>
      </c>
      <c r="E2693" s="6" t="s">
        <v>416</v>
      </c>
      <c r="F2693" s="6" t="str">
        <f>IF($M2693="PADD I","PADD 1",IF($M2693="PADD II","PADD 2",IF($M2693="PADD III","PADD 3",IF($M2693="PADD IV","PADD 4",IF($M2693="PADD V","PADD 5","")))))</f>
        <v>PADD 3</v>
      </c>
      <c r="G2693" s="6">
        <f>IF(AND($H2693="ATMOS DISTILLATION",ISNUMBER(SEARCH("VPS",$I2693))=FALSE,LEFT($I2693,6)&lt;&gt;"VACUUM"),"CDU",IF($H2693="FLUID CAT CRACKING","FCC",IF(OR($H2693="HYDROCRACKING",$H2693="RESID_HYDROCRACKING"),"Hydrocracker",IF($H2693="REFORMING","Reformer",""))))</f>
        <v/>
      </c>
      <c r="H2693" s="6" t="s">
        <v>43</v>
      </c>
      <c r="I2693" s="6" t="s">
        <v>1095</v>
      </c>
      <c r="J2693" s="6" t="s">
        <v>349</v>
      </c>
      <c r="K2693" s="10">
        <v>15.96</v>
      </c>
      <c r="L2693" s="10">
        <v>38</v>
      </c>
      <c r="M2693" s="6" t="s">
        <v>371</v>
      </c>
    </row>
    <row r="2694" spans="1:13">
      <c r="A2694" s="6">
        <v>2024</v>
      </c>
      <c r="B2694" s="6">
        <v>1</v>
      </c>
      <c r="C2694" s="6" t="s">
        <v>59</v>
      </c>
      <c r="D2694" s="6" t="s">
        <v>395</v>
      </c>
      <c r="E2694" s="6" t="s">
        <v>396</v>
      </c>
      <c r="F2694" s="6" t="str">
        <f>IF($M2694="PADD I","PADD 1",IF($M2694="PADD II","PADD 2",IF($M2694="PADD III","PADD 3",IF($M2694="PADD IV","PADD 4",IF($M2694="PADD V","PADD 5","")))))</f>
        <v>PADD 3</v>
      </c>
      <c r="G2694" s="6" t="str">
        <f>IF(AND($H2694="ATMOS DISTILLATION",ISNUMBER(SEARCH("VPS",$I2694))=FALSE,LEFT($I2694,6)&lt;&gt;"VACUUM"),"CDU",IF($H2694="FLUID CAT CRACKING","FCC",IF(OR($H2694="HYDROCRACKING",$H2694="RESID_HYDROCRACKING"),"Hydrocracker",IF($H2694="REFORMING","Reformer",""))))</f>
        <v>CDU</v>
      </c>
      <c r="H2694" s="6" t="s">
        <v>38</v>
      </c>
      <c r="I2694" s="6" t="s">
        <v>397</v>
      </c>
      <c r="J2694" s="6" t="s">
        <v>345</v>
      </c>
      <c r="K2694" s="10">
        <v>15.66</v>
      </c>
      <c r="L2694" s="10">
        <v>54</v>
      </c>
      <c r="M2694" s="6" t="s">
        <v>371</v>
      </c>
    </row>
    <row r="2695" spans="1:13">
      <c r="A2695" s="6">
        <v>2024</v>
      </c>
      <c r="B2695" s="6">
        <v>1</v>
      </c>
      <c r="C2695" s="6" t="s">
        <v>59</v>
      </c>
      <c r="D2695" s="6" t="s">
        <v>408</v>
      </c>
      <c r="E2695" s="6" t="s">
        <v>409</v>
      </c>
      <c r="F2695" s="6" t="str">
        <f>IF($M2695="PADD I","PADD 1",IF($M2695="PADD II","PADD 2",IF($M2695="PADD III","PADD 3",IF($M2695="PADD IV","PADD 4",IF($M2695="PADD V","PADD 5","")))))</f>
        <v>PADD 3</v>
      </c>
      <c r="G2695" s="6" t="str">
        <f>IF(AND($H2695="ATMOS DISTILLATION",ISNUMBER(SEARCH("VPS",$I2695))=FALSE,LEFT($I2695,6)&lt;&gt;"VACUUM"),"CDU",IF($H2695="FLUID CAT CRACKING","FCC",IF(OR($H2695="HYDROCRACKING",$H2695="RESID_HYDROCRACKING"),"Hydrocracker",IF($H2695="REFORMING","Reformer",""))))</f>
        <v>CDU</v>
      </c>
      <c r="H2695" s="6" t="s">
        <v>38</v>
      </c>
      <c r="I2695" s="6" t="s">
        <v>410</v>
      </c>
      <c r="J2695" s="6" t="s">
        <v>345</v>
      </c>
      <c r="K2695" s="10">
        <v>15.2</v>
      </c>
      <c r="L2695" s="10">
        <v>80</v>
      </c>
      <c r="M2695" s="6" t="s">
        <v>371</v>
      </c>
    </row>
    <row r="2696" spans="1:13">
      <c r="A2696" s="6">
        <v>2024</v>
      </c>
      <c r="B2696" s="6">
        <v>1</v>
      </c>
      <c r="C2696" s="6" t="s">
        <v>59</v>
      </c>
      <c r="D2696" s="6" t="s">
        <v>772</v>
      </c>
      <c r="E2696" s="6" t="s">
        <v>405</v>
      </c>
      <c r="F2696" s="6" t="str">
        <f>IF($M2696="PADD I","PADD 1",IF($M2696="PADD II","PADD 2",IF($M2696="PADD III","PADD 3",IF($M2696="PADD IV","PADD 4",IF($M2696="PADD V","PADD 5","")))))</f>
        <v>PADD 3</v>
      </c>
      <c r="G2696" s="6" t="str">
        <f>IF(AND($H2696="ATMOS DISTILLATION",ISNUMBER(SEARCH("VPS",$I2696))=FALSE,LEFT($I2696,6)&lt;&gt;"VACUUM"),"CDU",IF($H2696="FLUID CAT CRACKING","FCC",IF(OR($H2696="HYDROCRACKING",$H2696="RESID_HYDROCRACKING"),"Hydrocracker",IF($H2696="REFORMING","Reformer",""))))</f>
        <v>Hydrocracker</v>
      </c>
      <c r="H2696" s="6" t="s">
        <v>444</v>
      </c>
      <c r="I2696" s="6" t="s">
        <v>861</v>
      </c>
      <c r="J2696" s="6" t="s">
        <v>345</v>
      </c>
      <c r="K2696" s="10">
        <v>15.12</v>
      </c>
      <c r="L2696" s="10">
        <v>36</v>
      </c>
      <c r="M2696" s="6" t="s">
        <v>371</v>
      </c>
    </row>
    <row r="2697" spans="1:13">
      <c r="A2697" s="6">
        <v>2024</v>
      </c>
      <c r="B2697" s="6">
        <v>1</v>
      </c>
      <c r="C2697" s="6" t="s">
        <v>59</v>
      </c>
      <c r="D2697" s="6" t="s">
        <v>953</v>
      </c>
      <c r="E2697" s="6" t="s">
        <v>733</v>
      </c>
      <c r="F2697" s="6" t="str">
        <f>IF($M2697="PADD I","PADD 1",IF($M2697="PADD II","PADD 2",IF($M2697="PADD III","PADD 3",IF($M2697="PADD IV","PADD 4",IF($M2697="PADD V","PADD 5","")))))</f>
        <v>PADD 2</v>
      </c>
      <c r="G2697" s="6" t="str">
        <f>IF(AND($H2697="ATMOS DISTILLATION",ISNUMBER(SEARCH("VPS",$I2697))=FALSE,LEFT($I2697,6)&lt;&gt;"VACUUM"),"CDU",IF($H2697="FLUID CAT CRACKING","FCC",IF(OR($H2697="HYDROCRACKING",$H2697="RESID_HYDROCRACKING"),"Hydrocracker",IF($H2697="REFORMING","Reformer",""))))</f>
        <v>Reformer</v>
      </c>
      <c r="H2697" s="6" t="s">
        <v>421</v>
      </c>
      <c r="I2697" s="6" t="s">
        <v>782</v>
      </c>
      <c r="J2697" s="6" t="s">
        <v>345</v>
      </c>
      <c r="K2697" s="10">
        <v>14.4</v>
      </c>
      <c r="L2697" s="10">
        <v>32</v>
      </c>
      <c r="M2697" s="6" t="s">
        <v>375</v>
      </c>
    </row>
    <row r="2698" spans="1:13">
      <c r="A2698" s="6">
        <v>2024</v>
      </c>
      <c r="B2698" s="6">
        <v>1</v>
      </c>
      <c r="C2698" s="6" t="s">
        <v>59</v>
      </c>
      <c r="D2698" s="6" t="s">
        <v>730</v>
      </c>
      <c r="E2698" s="6" t="s">
        <v>731</v>
      </c>
      <c r="F2698" s="6" t="str">
        <f>IF($M2698="PADD I","PADD 1",IF($M2698="PADD II","PADD 2",IF($M2698="PADD III","PADD 3",IF($M2698="PADD IV","PADD 4",IF($M2698="PADD V","PADD 5","")))))</f>
        <v>PADD 3</v>
      </c>
      <c r="G2698" s="6">
        <f>IF(AND($H2698="ATMOS DISTILLATION",ISNUMBER(SEARCH("VPS",$I2698))=FALSE,LEFT($I2698,6)&lt;&gt;"VACUUM"),"CDU",IF($H2698="FLUID CAT CRACKING","FCC",IF(OR($H2698="HYDROCRACKING",$H2698="RESID_HYDROCRACKING"),"Hydrocracker",IF($H2698="REFORMING","Reformer",""))))</f>
        <v/>
      </c>
      <c r="H2698" s="6" t="s">
        <v>378</v>
      </c>
      <c r="I2698" s="6" t="s">
        <v>431</v>
      </c>
      <c r="J2698" s="6" t="s">
        <v>345</v>
      </c>
      <c r="K2698" s="10">
        <v>14.08</v>
      </c>
      <c r="L2698" s="10">
        <v>25.6</v>
      </c>
      <c r="M2698" s="6" t="s">
        <v>371</v>
      </c>
    </row>
    <row r="2699" spans="1:13">
      <c r="A2699" s="6">
        <v>2024</v>
      </c>
      <c r="B2699" s="6">
        <v>1</v>
      </c>
      <c r="C2699" s="6" t="s">
        <v>59</v>
      </c>
      <c r="D2699" s="6" t="s">
        <v>408</v>
      </c>
      <c r="E2699" s="6" t="s">
        <v>409</v>
      </c>
      <c r="F2699" s="6" t="str">
        <f>IF($M2699="PADD I","PADD 1",IF($M2699="PADD II","PADD 2",IF($M2699="PADD III","PADD 3",IF($M2699="PADD IV","PADD 4",IF($M2699="PADD V","PADD 5","")))))</f>
        <v>PADD 3</v>
      </c>
      <c r="G2699" s="6">
        <f>IF(AND($H2699="ATMOS DISTILLATION",ISNUMBER(SEARCH("VPS",$I2699))=FALSE,LEFT($I2699,6)&lt;&gt;"VACUUM"),"CDU",IF($H2699="FLUID CAT CRACKING","FCC",IF(OR($H2699="HYDROCRACKING",$H2699="RESID_HYDROCRACKING"),"Hydrocracker",IF($H2699="REFORMING","Reformer",""))))</f>
        <v/>
      </c>
      <c r="H2699" s="6" t="s">
        <v>43</v>
      </c>
      <c r="I2699" s="6" t="s">
        <v>517</v>
      </c>
      <c r="J2699" s="6" t="s">
        <v>345</v>
      </c>
      <c r="K2699" s="10">
        <v>13.2</v>
      </c>
      <c r="L2699" s="10">
        <v>24</v>
      </c>
      <c r="M2699" s="6" t="s">
        <v>371</v>
      </c>
    </row>
    <row r="2700" spans="1:13">
      <c r="A2700" s="6">
        <v>2024</v>
      </c>
      <c r="B2700" s="6">
        <v>1</v>
      </c>
      <c r="C2700" s="6" t="s">
        <v>59</v>
      </c>
      <c r="D2700" s="6" t="s">
        <v>639</v>
      </c>
      <c r="E2700" s="6" t="s">
        <v>452</v>
      </c>
      <c r="F2700" s="6" t="str">
        <f>IF($M2700="PADD I","PADD 1",IF($M2700="PADD II","PADD 2",IF($M2700="PADD III","PADD 3",IF($M2700="PADD IV","PADD 4",IF($M2700="PADD V","PADD 5","")))))</f>
        <v>PADD 5</v>
      </c>
      <c r="G2700" s="6">
        <f>IF(AND($H2700="ATMOS DISTILLATION",ISNUMBER(SEARCH("VPS",$I2700))=FALSE,LEFT($I2700,6)&lt;&gt;"VACUUM"),"CDU",IF($H2700="FLUID CAT CRACKING","FCC",IF(OR($H2700="HYDROCRACKING",$H2700="RESID_HYDROCRACKING"),"Hydrocracker",IF($H2700="REFORMING","Reformer",""))))</f>
        <v/>
      </c>
      <c r="H2700" s="6" t="s">
        <v>435</v>
      </c>
      <c r="I2700" s="6" t="s">
        <v>1096</v>
      </c>
      <c r="J2700" s="6" t="s">
        <v>345</v>
      </c>
      <c r="K2700" s="10">
        <v>13.2</v>
      </c>
      <c r="L2700" s="10">
        <v>24</v>
      </c>
      <c r="M2700" s="6" t="s">
        <v>386</v>
      </c>
    </row>
    <row r="2701" spans="1:13">
      <c r="A2701" s="6">
        <v>2024</v>
      </c>
      <c r="B2701" s="6">
        <v>1</v>
      </c>
      <c r="C2701" s="6" t="s">
        <v>59</v>
      </c>
      <c r="D2701" s="6" t="s">
        <v>457</v>
      </c>
      <c r="E2701" s="6" t="s">
        <v>388</v>
      </c>
      <c r="F2701" s="6" t="str">
        <f>IF($M2701="PADD I","PADD 1",IF($M2701="PADD II","PADD 2",IF($M2701="PADD III","PADD 3",IF($M2701="PADD IV","PADD 4",IF($M2701="PADD V","PADD 5","")))))</f>
        <v>PADD 5</v>
      </c>
      <c r="G2701" s="6" t="str">
        <f>IF(AND($H2701="ATMOS DISTILLATION",ISNUMBER(SEARCH("VPS",$I2701))=FALSE,LEFT($I2701,6)&lt;&gt;"VACUUM"),"CDU",IF($H2701="FLUID CAT CRACKING","FCC",IF(OR($H2701="HYDROCRACKING",$H2701="RESID_HYDROCRACKING"),"Hydrocracker",IF($H2701="REFORMING","Reformer",""))))</f>
        <v>Reformer</v>
      </c>
      <c r="H2701" s="6" t="s">
        <v>421</v>
      </c>
      <c r="I2701" s="6" t="s">
        <v>559</v>
      </c>
      <c r="J2701" s="6" t="s">
        <v>349</v>
      </c>
      <c r="K2701" s="10">
        <v>13</v>
      </c>
      <c r="L2701" s="10">
        <v>20</v>
      </c>
      <c r="M2701" s="6" t="s">
        <v>386</v>
      </c>
    </row>
    <row r="2702" spans="1:13">
      <c r="A2702" s="6">
        <v>2024</v>
      </c>
      <c r="B2702" s="6">
        <v>1</v>
      </c>
      <c r="C2702" s="6" t="s">
        <v>59</v>
      </c>
      <c r="D2702" s="6" t="s">
        <v>547</v>
      </c>
      <c r="E2702" s="6" t="s">
        <v>391</v>
      </c>
      <c r="F2702" s="6" t="str">
        <f>IF($M2702="PADD I","PADD 1",IF($M2702="PADD II","PADD 2",IF($M2702="PADD III","PADD 3",IF($M2702="PADD IV","PADD 4",IF($M2702="PADD V","PADD 5","")))))</f>
        <v>PADD 5</v>
      </c>
      <c r="G2702" s="6" t="str">
        <f>IF(AND($H2702="ATMOS DISTILLATION",ISNUMBER(SEARCH("VPS",$I2702))=FALSE,LEFT($I2702,6)&lt;&gt;"VACUUM"),"CDU",IF($H2702="FLUID CAT CRACKING","FCC",IF(OR($H2702="HYDROCRACKING",$H2702="RESID_HYDROCRACKING"),"Hydrocracker",IF($H2702="REFORMING","Reformer",""))))</f>
        <v>Reformer</v>
      </c>
      <c r="H2702" s="6" t="s">
        <v>421</v>
      </c>
      <c r="I2702" s="6" t="s">
        <v>548</v>
      </c>
      <c r="J2702" s="6" t="s">
        <v>345</v>
      </c>
      <c r="K2702" s="10">
        <v>12.6</v>
      </c>
      <c r="L2702" s="10">
        <v>28</v>
      </c>
      <c r="M2702" s="6" t="s">
        <v>386</v>
      </c>
    </row>
    <row r="2703" spans="1:13">
      <c r="A2703" s="6">
        <v>2024</v>
      </c>
      <c r="B2703" s="6">
        <v>1</v>
      </c>
      <c r="C2703" s="6" t="s">
        <v>59</v>
      </c>
      <c r="D2703" s="6" t="s">
        <v>40</v>
      </c>
      <c r="E2703" s="6" t="s">
        <v>736</v>
      </c>
      <c r="F2703" s="6" t="str">
        <f>IF($M2703="PADD I","PADD 1",IF($M2703="PADD II","PADD 2",IF($M2703="PADD III","PADD 3",IF($M2703="PADD IV","PADD 4",IF($M2703="PADD V","PADD 5","")))))</f>
        <v>PADD 1</v>
      </c>
      <c r="G2703" s="6" t="str">
        <f>IF(AND($H2703="ATMOS DISTILLATION",ISNUMBER(SEARCH("VPS",$I2703))=FALSE,LEFT($I2703,6)&lt;&gt;"VACUUM"),"CDU",IF($H2703="FLUID CAT CRACKING","FCC",IF(OR($H2703="HYDROCRACKING",$H2703="RESID_HYDROCRACKING"),"Hydrocracker",IF($H2703="REFORMING","Reformer",""))))</f>
        <v>CDU</v>
      </c>
      <c r="H2703" s="6" t="s">
        <v>38</v>
      </c>
      <c r="I2703" s="6" t="s">
        <v>989</v>
      </c>
      <c r="J2703" s="6" t="s">
        <v>345</v>
      </c>
      <c r="K2703" s="10">
        <v>12.025</v>
      </c>
      <c r="L2703" s="10">
        <v>92.5</v>
      </c>
      <c r="M2703" s="6" t="s">
        <v>413</v>
      </c>
    </row>
    <row r="2704" spans="1:13">
      <c r="A2704" s="6">
        <v>2024</v>
      </c>
      <c r="B2704" s="6">
        <v>1</v>
      </c>
      <c r="C2704" s="6" t="s">
        <v>59</v>
      </c>
      <c r="D2704" s="6" t="s">
        <v>40</v>
      </c>
      <c r="E2704" s="6" t="s">
        <v>736</v>
      </c>
      <c r="F2704" s="6" t="str">
        <f>IF($M2704="PADD I","PADD 1",IF($M2704="PADD II","PADD 2",IF($M2704="PADD III","PADD 3",IF($M2704="PADD IV","PADD 4",IF($M2704="PADD V","PADD 5","")))))</f>
        <v>PADD 1</v>
      </c>
      <c r="G2704" s="6" t="str">
        <f>IF(AND($H2704="ATMOS DISTILLATION",ISNUMBER(SEARCH("VPS",$I2704))=FALSE,LEFT($I2704,6)&lt;&gt;"VACUUM"),"CDU",IF($H2704="FLUID CAT CRACKING","FCC",IF(OR($H2704="HYDROCRACKING",$H2704="RESID_HYDROCRACKING"),"Hydrocracker",IF($H2704="REFORMING","Reformer",""))))</f>
        <v>CDU</v>
      </c>
      <c r="H2704" s="6" t="s">
        <v>38</v>
      </c>
      <c r="I2704" s="6" t="s">
        <v>980</v>
      </c>
      <c r="J2704" s="6" t="s">
        <v>345</v>
      </c>
      <c r="K2704" s="10">
        <v>12.025</v>
      </c>
      <c r="L2704" s="10">
        <v>92.5</v>
      </c>
      <c r="M2704" s="6" t="s">
        <v>413</v>
      </c>
    </row>
    <row r="2705" spans="1:13">
      <c r="A2705" s="6">
        <v>2024</v>
      </c>
      <c r="B2705" s="6">
        <v>1</v>
      </c>
      <c r="C2705" s="6" t="s">
        <v>59</v>
      </c>
      <c r="D2705" s="6" t="s">
        <v>662</v>
      </c>
      <c r="E2705" s="6" t="s">
        <v>552</v>
      </c>
      <c r="F2705" s="6" t="str">
        <f>IF($M2705="PADD I","PADD 1",IF($M2705="PADD II","PADD 2",IF($M2705="PADD III","PADD 3",IF($M2705="PADD IV","PADD 4",IF($M2705="PADD V","PADD 5","")))))</f>
        <v>PADD 3</v>
      </c>
      <c r="G2705" s="6" t="str">
        <f>IF(AND($H2705="ATMOS DISTILLATION",ISNUMBER(SEARCH("VPS",$I2705))=FALSE,LEFT($I2705,6)&lt;&gt;"VACUUM"),"CDU",IF($H2705="FLUID CAT CRACKING","FCC",IF(OR($H2705="HYDROCRACKING",$H2705="RESID_HYDROCRACKING"),"Hydrocracker",IF($H2705="REFORMING","Reformer",""))))</f>
        <v>FCC</v>
      </c>
      <c r="H2705" s="6" t="s">
        <v>376</v>
      </c>
      <c r="I2705" s="6" t="s">
        <v>105</v>
      </c>
      <c r="J2705" s="6" t="s">
        <v>345</v>
      </c>
      <c r="K2705" s="10">
        <v>12</v>
      </c>
      <c r="L2705" s="10">
        <v>25</v>
      </c>
      <c r="M2705" s="6" t="s">
        <v>371</v>
      </c>
    </row>
    <row r="2706" spans="1:13">
      <c r="A2706" s="6">
        <v>2024</v>
      </c>
      <c r="B2706" s="6">
        <v>1</v>
      </c>
      <c r="C2706" s="6" t="s">
        <v>59</v>
      </c>
      <c r="D2706" s="6" t="s">
        <v>457</v>
      </c>
      <c r="E2706" s="6" t="s">
        <v>388</v>
      </c>
      <c r="F2706" s="6" t="str">
        <f>IF($M2706="PADD I","PADD 1",IF($M2706="PADD II","PADD 2",IF($M2706="PADD III","PADD 3",IF($M2706="PADD IV","PADD 4",IF($M2706="PADD V","PADD 5","")))))</f>
        <v>PADD 5</v>
      </c>
      <c r="G2706" s="6" t="str">
        <f>IF(AND($H2706="ATMOS DISTILLATION",ISNUMBER(SEARCH("VPS",$I2706))=FALSE,LEFT($I2706,6)&lt;&gt;"VACUUM"),"CDU",IF($H2706="FLUID CAT CRACKING","FCC",IF(OR($H2706="HYDROCRACKING",$H2706="RESID_HYDROCRACKING"),"Hydrocracker",IF($H2706="REFORMING","Reformer",""))))</f>
        <v>Reformer</v>
      </c>
      <c r="H2706" s="6" t="s">
        <v>421</v>
      </c>
      <c r="I2706" s="6" t="s">
        <v>557</v>
      </c>
      <c r="J2706" s="6" t="s">
        <v>345</v>
      </c>
      <c r="K2706" s="10">
        <v>11.6</v>
      </c>
      <c r="L2706" s="10">
        <v>20</v>
      </c>
      <c r="M2706" s="6" t="s">
        <v>386</v>
      </c>
    </row>
    <row r="2707" spans="1:13">
      <c r="A2707" s="6">
        <v>2024</v>
      </c>
      <c r="B2707" s="6">
        <v>1</v>
      </c>
      <c r="C2707" s="6" t="s">
        <v>59</v>
      </c>
      <c r="D2707" s="6" t="s">
        <v>730</v>
      </c>
      <c r="E2707" s="6" t="s">
        <v>731</v>
      </c>
      <c r="F2707" s="6" t="str">
        <f>IF($M2707="PADD I","PADD 1",IF($M2707="PADD II","PADD 2",IF($M2707="PADD III","PADD 3",IF($M2707="PADD IV","PADD 4",IF($M2707="PADD V","PADD 5","")))))</f>
        <v>PADD 3</v>
      </c>
      <c r="G2707" s="6">
        <f>IF(AND($H2707="ATMOS DISTILLATION",ISNUMBER(SEARCH("VPS",$I2707))=FALSE,LEFT($I2707,6)&lt;&gt;"VACUUM"),"CDU",IF($H2707="FLUID CAT CRACKING","FCC",IF(OR($H2707="HYDROCRACKING",$H2707="RESID_HYDROCRACKING"),"Hydrocracker",IF($H2707="REFORMING","Reformer",""))))</f>
        <v/>
      </c>
      <c r="H2707" s="6" t="s">
        <v>43</v>
      </c>
      <c r="I2707" s="6" t="s">
        <v>1045</v>
      </c>
      <c r="J2707" s="6" t="s">
        <v>345</v>
      </c>
      <c r="K2707" s="10">
        <v>11</v>
      </c>
      <c r="L2707" s="10">
        <v>20</v>
      </c>
      <c r="M2707" s="6" t="s">
        <v>371</v>
      </c>
    </row>
    <row r="2708" spans="1:13">
      <c r="A2708" s="6">
        <v>2024</v>
      </c>
      <c r="B2708" s="6">
        <v>1</v>
      </c>
      <c r="C2708" s="6" t="s">
        <v>59</v>
      </c>
      <c r="D2708" s="6" t="s">
        <v>772</v>
      </c>
      <c r="E2708" s="6" t="s">
        <v>405</v>
      </c>
      <c r="F2708" s="6" t="str">
        <f>IF($M2708="PADD I","PADD 1",IF($M2708="PADD II","PADD 2",IF($M2708="PADD III","PADD 3",IF($M2708="PADD IV","PADD 4",IF($M2708="PADD V","PADD 5","")))))</f>
        <v>PADD 3</v>
      </c>
      <c r="G2708" s="6" t="str">
        <f>IF(AND($H2708="ATMOS DISTILLATION",ISNUMBER(SEARCH("VPS",$I2708))=FALSE,LEFT($I2708,6)&lt;&gt;"VACUUM"),"CDU",IF($H2708="FLUID CAT CRACKING","FCC",IF(OR($H2708="HYDROCRACKING",$H2708="RESID_HYDROCRACKING"),"Hydrocracker",IF($H2708="REFORMING","Reformer",""))))</f>
        <v>CDU</v>
      </c>
      <c r="H2708" s="6" t="s">
        <v>38</v>
      </c>
      <c r="I2708" s="6" t="s">
        <v>1097</v>
      </c>
      <c r="J2708" s="6" t="s">
        <v>345</v>
      </c>
      <c r="K2708" s="10">
        <v>10.788</v>
      </c>
      <c r="L2708" s="10">
        <v>37.2</v>
      </c>
      <c r="M2708" s="6" t="s">
        <v>371</v>
      </c>
    </row>
    <row r="2709" spans="1:13">
      <c r="A2709" s="6">
        <v>2024</v>
      </c>
      <c r="B2709" s="6">
        <v>1</v>
      </c>
      <c r="C2709" s="6" t="s">
        <v>59</v>
      </c>
      <c r="D2709" s="6" t="s">
        <v>662</v>
      </c>
      <c r="E2709" s="6" t="s">
        <v>552</v>
      </c>
      <c r="F2709" s="6" t="str">
        <f>IF($M2709="PADD I","PADD 1",IF($M2709="PADD II","PADD 2",IF($M2709="PADD III","PADD 3",IF($M2709="PADD IV","PADD 4",IF($M2709="PADD V","PADD 5","")))))</f>
        <v>PADD 3</v>
      </c>
      <c r="G2709" s="6">
        <f>IF(AND($H2709="ATMOS DISTILLATION",ISNUMBER(SEARCH("VPS",$I2709))=FALSE,LEFT($I2709,6)&lt;&gt;"VACUUM"),"CDU",IF($H2709="FLUID CAT CRACKING","FCC",IF(OR($H2709="HYDROCRACKING",$H2709="RESID_HYDROCRACKING"),"Hydrocracker",IF($H2709="REFORMING","Reformer",""))))</f>
        <v/>
      </c>
      <c r="H2709" s="6" t="s">
        <v>43</v>
      </c>
      <c r="I2709" s="6" t="s">
        <v>927</v>
      </c>
      <c r="J2709" s="6" t="s">
        <v>349</v>
      </c>
      <c r="K2709" s="10">
        <v>10.71</v>
      </c>
      <c r="L2709" s="10">
        <v>25.5</v>
      </c>
      <c r="M2709" s="6" t="s">
        <v>371</v>
      </c>
    </row>
    <row r="2710" spans="1:13">
      <c r="A2710" s="6">
        <v>2024</v>
      </c>
      <c r="B2710" s="6">
        <v>1</v>
      </c>
      <c r="C2710" s="6" t="s">
        <v>59</v>
      </c>
      <c r="D2710" s="6" t="s">
        <v>490</v>
      </c>
      <c r="E2710" s="6" t="s">
        <v>491</v>
      </c>
      <c r="F2710" s="6" t="str">
        <f>IF($M2710="PADD I","PADD 1",IF($M2710="PADD II","PADD 2",IF($M2710="PADD III","PADD 3",IF($M2710="PADD IV","PADD 4",IF($M2710="PADD V","PADD 5","")))))</f>
        <v>PADD 3</v>
      </c>
      <c r="G2710" s="6" t="str">
        <f>IF(AND($H2710="ATMOS DISTILLATION",ISNUMBER(SEARCH("VPS",$I2710))=FALSE,LEFT($I2710,6)&lt;&gt;"VACUUM"),"CDU",IF($H2710="FLUID CAT CRACKING","FCC",IF(OR($H2710="HYDROCRACKING",$H2710="RESID_HYDROCRACKING"),"Hydrocracker",IF($H2710="REFORMING","Reformer",""))))</f>
        <v>FCC</v>
      </c>
      <c r="H2710" s="6" t="s">
        <v>376</v>
      </c>
      <c r="I2710" s="6" t="s">
        <v>472</v>
      </c>
      <c r="J2710" s="6" t="s">
        <v>345</v>
      </c>
      <c r="K2710" s="10">
        <v>10.53</v>
      </c>
      <c r="L2710" s="10">
        <v>81</v>
      </c>
      <c r="M2710" s="6" t="s">
        <v>371</v>
      </c>
    </row>
    <row r="2711" spans="1:13">
      <c r="A2711" s="6">
        <v>2024</v>
      </c>
      <c r="B2711" s="6">
        <v>1</v>
      </c>
      <c r="C2711" s="6" t="s">
        <v>59</v>
      </c>
      <c r="D2711" s="6" t="s">
        <v>662</v>
      </c>
      <c r="E2711" s="6" t="s">
        <v>552</v>
      </c>
      <c r="F2711" s="6" t="str">
        <f>IF($M2711="PADD I","PADD 1",IF($M2711="PADD II","PADD 2",IF($M2711="PADD III","PADD 3",IF($M2711="PADD IV","PADD 4",IF($M2711="PADD V","PADD 5","")))))</f>
        <v>PADD 3</v>
      </c>
      <c r="G2711" s="6">
        <f>IF(AND($H2711="ATMOS DISTILLATION",ISNUMBER(SEARCH("VPS",$I2711))=FALSE,LEFT($I2711,6)&lt;&gt;"VACUUM"),"CDU",IF($H2711="FLUID CAT CRACKING","FCC",IF(OR($H2711="HYDROCRACKING",$H2711="RESID_HYDROCRACKING"),"Hydrocracker",IF($H2711="REFORMING","Reformer",""))))</f>
        <v/>
      </c>
      <c r="H2711" s="6" t="s">
        <v>378</v>
      </c>
      <c r="I2711" s="6" t="s">
        <v>431</v>
      </c>
      <c r="J2711" s="6" t="s">
        <v>345</v>
      </c>
      <c r="K2711" s="10">
        <v>10.08</v>
      </c>
      <c r="L2711" s="10">
        <v>24</v>
      </c>
      <c r="M2711" s="6" t="s">
        <v>371</v>
      </c>
    </row>
    <row r="2712" spans="1:13">
      <c r="A2712" s="6">
        <v>2024</v>
      </c>
      <c r="B2712" s="6">
        <v>1</v>
      </c>
      <c r="C2712" s="6" t="s">
        <v>59</v>
      </c>
      <c r="D2712" s="6" t="s">
        <v>408</v>
      </c>
      <c r="E2712" s="6" t="s">
        <v>409</v>
      </c>
      <c r="F2712" s="6" t="str">
        <f>IF($M2712="PADD I","PADD 1",IF($M2712="PADD II","PADD 2",IF($M2712="PADD III","PADD 3",IF($M2712="PADD IV","PADD 4",IF($M2712="PADD V","PADD 5","")))))</f>
        <v>PADD 3</v>
      </c>
      <c r="G2712" s="6">
        <f>IF(AND($H2712="ATMOS DISTILLATION",ISNUMBER(SEARCH("VPS",$I2712))=FALSE,LEFT($I2712,6)&lt;&gt;"VACUUM"),"CDU",IF($H2712="FLUID CAT CRACKING","FCC",IF(OR($H2712="HYDROCRACKING",$H2712="RESID_HYDROCRACKING"),"Hydrocracker",IF($H2712="REFORMING","Reformer",""))))</f>
        <v/>
      </c>
      <c r="H2712" s="6" t="s">
        <v>378</v>
      </c>
      <c r="I2712" s="6" t="s">
        <v>506</v>
      </c>
      <c r="J2712" s="6" t="s">
        <v>345</v>
      </c>
      <c r="K2712" s="10">
        <v>9.880000000000001</v>
      </c>
      <c r="L2712" s="10">
        <v>52</v>
      </c>
      <c r="M2712" s="6" t="s">
        <v>371</v>
      </c>
    </row>
    <row r="2713" spans="1:13">
      <c r="A2713" s="6">
        <v>2024</v>
      </c>
      <c r="B2713" s="6">
        <v>1</v>
      </c>
      <c r="C2713" s="6" t="s">
        <v>59</v>
      </c>
      <c r="D2713" s="6" t="s">
        <v>602</v>
      </c>
      <c r="E2713" s="6" t="s">
        <v>369</v>
      </c>
      <c r="F2713" s="6" t="str">
        <f>IF($M2713="PADD I","PADD 1",IF($M2713="PADD II","PADD 2",IF($M2713="PADD III","PADD 3",IF($M2713="PADD IV","PADD 4",IF($M2713="PADD V","PADD 5","")))))</f>
        <v>PADD 2</v>
      </c>
      <c r="G2713" s="6">
        <f>IF(AND($H2713="ATMOS DISTILLATION",ISNUMBER(SEARCH("VPS",$I2713))=FALSE,LEFT($I2713,6)&lt;&gt;"VACUUM"),"CDU",IF($H2713="FLUID CAT CRACKING","FCC",IF(OR($H2713="HYDROCRACKING",$H2713="RESID_HYDROCRACKING"),"Hydrocracker",IF($H2713="REFORMING","Reformer",""))))</f>
        <v/>
      </c>
      <c r="H2713" s="6" t="s">
        <v>435</v>
      </c>
      <c r="I2713" s="6" t="s">
        <v>441</v>
      </c>
      <c r="J2713" s="6" t="s">
        <v>345</v>
      </c>
      <c r="K2713" s="10">
        <v>9.702</v>
      </c>
      <c r="L2713" s="10">
        <v>23.1</v>
      </c>
      <c r="M2713" s="6" t="s">
        <v>375</v>
      </c>
    </row>
    <row r="2714" spans="1:13">
      <c r="A2714" s="6">
        <v>2024</v>
      </c>
      <c r="B2714" s="6">
        <v>1</v>
      </c>
      <c r="C2714" s="6" t="s">
        <v>59</v>
      </c>
      <c r="D2714" s="6" t="s">
        <v>662</v>
      </c>
      <c r="E2714" s="6" t="s">
        <v>552</v>
      </c>
      <c r="F2714" s="6" t="str">
        <f>IF($M2714="PADD I","PADD 1",IF($M2714="PADD II","PADD 2",IF($M2714="PADD III","PADD 3",IF($M2714="PADD IV","PADD 4",IF($M2714="PADD V","PADD 5","")))))</f>
        <v>PADD 3</v>
      </c>
      <c r="G2714" s="6">
        <f>IF(AND($H2714="ATMOS DISTILLATION",ISNUMBER(SEARCH("VPS",$I2714))=FALSE,LEFT($I2714,6)&lt;&gt;"VACUUM"),"CDU",IF($H2714="FLUID CAT CRACKING","FCC",IF(OR($H2714="HYDROCRACKING",$H2714="RESID_HYDROCRACKING"),"Hydrocracker",IF($H2714="REFORMING","Reformer",""))))</f>
        <v/>
      </c>
      <c r="H2714" s="6" t="s">
        <v>43</v>
      </c>
      <c r="I2714" s="6" t="s">
        <v>735</v>
      </c>
      <c r="J2714" s="6" t="s">
        <v>349</v>
      </c>
      <c r="K2714" s="10">
        <v>9.66</v>
      </c>
      <c r="L2714" s="10">
        <v>23</v>
      </c>
      <c r="M2714" s="6" t="s">
        <v>371</v>
      </c>
    </row>
    <row r="2715" spans="1:13">
      <c r="A2715" s="6">
        <v>2024</v>
      </c>
      <c r="B2715" s="6">
        <v>1</v>
      </c>
      <c r="C2715" s="6" t="s">
        <v>59</v>
      </c>
      <c r="D2715" s="6" t="s">
        <v>662</v>
      </c>
      <c r="E2715" s="6" t="s">
        <v>552</v>
      </c>
      <c r="F2715" s="6" t="str">
        <f>IF($M2715="PADD I","PADD 1",IF($M2715="PADD II","PADD 2",IF($M2715="PADD III","PADD 3",IF($M2715="PADD IV","PADD 4",IF($M2715="PADD V","PADD 5","")))))</f>
        <v>PADD 3</v>
      </c>
      <c r="G2715" s="6" t="str">
        <f>IF(AND($H2715="ATMOS DISTILLATION",ISNUMBER(SEARCH("VPS",$I2715))=FALSE,LEFT($I2715,6)&lt;&gt;"VACUUM"),"CDU",IF($H2715="FLUID CAT CRACKING","FCC",IF(OR($H2715="HYDROCRACKING",$H2715="RESID_HYDROCRACKING"),"Hydrocracker",IF($H2715="REFORMING","Reformer",""))))</f>
        <v>Reformer</v>
      </c>
      <c r="H2715" s="6" t="s">
        <v>421</v>
      </c>
      <c r="I2715" s="6" t="s">
        <v>1050</v>
      </c>
      <c r="J2715" s="6" t="s">
        <v>345</v>
      </c>
      <c r="K2715" s="10">
        <v>9.449999999999999</v>
      </c>
      <c r="L2715" s="10">
        <v>21</v>
      </c>
      <c r="M2715" s="6" t="s">
        <v>371</v>
      </c>
    </row>
    <row r="2716" spans="1:13">
      <c r="A2716" s="6">
        <v>2024</v>
      </c>
      <c r="B2716" s="6">
        <v>1</v>
      </c>
      <c r="C2716" s="6" t="s">
        <v>59</v>
      </c>
      <c r="D2716" s="6" t="s">
        <v>628</v>
      </c>
      <c r="E2716" s="6" t="s">
        <v>388</v>
      </c>
      <c r="F2716" s="6" t="str">
        <f>IF($M2716="PADD I","PADD 1",IF($M2716="PADD II","PADD 2",IF($M2716="PADD III","PADD 3",IF($M2716="PADD IV","PADD 4",IF($M2716="PADD V","PADD 5","")))))</f>
        <v>PADD 3</v>
      </c>
      <c r="G2716" s="6">
        <f>IF(AND($H2716="ATMOS DISTILLATION",ISNUMBER(SEARCH("VPS",$I2716))=FALSE,LEFT($I2716,6)&lt;&gt;"VACUUM"),"CDU",IF($H2716="FLUID CAT CRACKING","FCC",IF(OR($H2716="HYDROCRACKING",$H2716="RESID_HYDROCRACKING"),"Hydrocracker",IF($H2716="REFORMING","Reformer",""))))</f>
        <v/>
      </c>
      <c r="H2716" s="6" t="s">
        <v>460</v>
      </c>
      <c r="I2716" s="6" t="s">
        <v>616</v>
      </c>
      <c r="J2716" s="6" t="s">
        <v>345</v>
      </c>
      <c r="K2716" s="10">
        <v>9.384</v>
      </c>
      <c r="L2716" s="10">
        <v>13.8</v>
      </c>
      <c r="M2716" s="6" t="s">
        <v>371</v>
      </c>
    </row>
    <row r="2717" spans="1:13">
      <c r="A2717" s="6">
        <v>2024</v>
      </c>
      <c r="B2717" s="6">
        <v>1</v>
      </c>
      <c r="C2717" s="6" t="s">
        <v>59</v>
      </c>
      <c r="D2717" s="6" t="s">
        <v>778</v>
      </c>
      <c r="E2717" s="6" t="s">
        <v>779</v>
      </c>
      <c r="F2717" s="6" t="str">
        <f>IF($M2717="PADD I","PADD 1",IF($M2717="PADD II","PADD 2",IF($M2717="PADD III","PADD 3",IF($M2717="PADD IV","PADD 4",IF($M2717="PADD V","PADD 5","")))))</f>
        <v>PADD 3</v>
      </c>
      <c r="G2717" s="6" t="str">
        <f>IF(AND($H2717="ATMOS DISTILLATION",ISNUMBER(SEARCH("VPS",$I2717))=FALSE,LEFT($I2717,6)&lt;&gt;"VACUUM"),"CDU",IF($H2717="FLUID CAT CRACKING","FCC",IF(OR($H2717="HYDROCRACKING",$H2717="RESID_HYDROCRACKING"),"Hydrocracker",IF($H2717="REFORMING","Reformer",""))))</f>
        <v>CDU</v>
      </c>
      <c r="H2717" s="6" t="s">
        <v>38</v>
      </c>
      <c r="I2717" s="6" t="s">
        <v>805</v>
      </c>
      <c r="J2717" s="6" t="s">
        <v>345</v>
      </c>
      <c r="K2717" s="10">
        <v>9.279999999999999</v>
      </c>
      <c r="L2717" s="10">
        <v>58</v>
      </c>
      <c r="M2717" s="6" t="s">
        <v>371</v>
      </c>
    </row>
    <row r="2718" spans="1:13">
      <c r="A2718" s="6">
        <v>2024</v>
      </c>
      <c r="B2718" s="6">
        <v>1</v>
      </c>
      <c r="C2718" s="6" t="s">
        <v>59</v>
      </c>
      <c r="D2718" s="6" t="s">
        <v>518</v>
      </c>
      <c r="E2718" s="6" t="s">
        <v>369</v>
      </c>
      <c r="F2718" s="6" t="str">
        <f>IF($M2718="PADD I","PADD 1",IF($M2718="PADD II","PADD 2",IF($M2718="PADD III","PADD 3",IF($M2718="PADD IV","PADD 4",IF($M2718="PADD V","PADD 5","")))))</f>
        <v>PADD 5</v>
      </c>
      <c r="G2718" s="6" t="str">
        <f>IF(AND($H2718="ATMOS DISTILLATION",ISNUMBER(SEARCH("VPS",$I2718))=FALSE,LEFT($I2718,6)&lt;&gt;"VACUUM"),"CDU",IF($H2718="FLUID CAT CRACKING","FCC",IF(OR($H2718="HYDROCRACKING",$H2718="RESID_HYDROCRACKING"),"Hydrocracker",IF($H2718="REFORMING","Reformer",""))))</f>
        <v>Reformer</v>
      </c>
      <c r="H2718" s="6" t="s">
        <v>421</v>
      </c>
      <c r="I2718" s="6" t="s">
        <v>586</v>
      </c>
      <c r="J2718" s="6" t="s">
        <v>345</v>
      </c>
      <c r="K2718" s="10">
        <v>8.880000000000001</v>
      </c>
      <c r="L2718" s="10">
        <v>18.5</v>
      </c>
      <c r="M2718" s="6" t="s">
        <v>386</v>
      </c>
    </row>
    <row r="2719" spans="1:13">
      <c r="A2719" s="6">
        <v>2024</v>
      </c>
      <c r="B2719" s="6">
        <v>1</v>
      </c>
      <c r="C2719" s="6" t="s">
        <v>59</v>
      </c>
      <c r="D2719" s="6" t="s">
        <v>40</v>
      </c>
      <c r="E2719" s="6" t="s">
        <v>736</v>
      </c>
      <c r="F2719" s="6" t="str">
        <f>IF($M2719="PADD I","PADD 1",IF($M2719="PADD II","PADD 2",IF($M2719="PADD III","PADD 3",IF($M2719="PADD IV","PADD 4",IF($M2719="PADD V","PADD 5","")))))</f>
        <v>PADD 1</v>
      </c>
      <c r="G2719" s="6" t="str">
        <f>IF(AND($H2719="ATMOS DISTILLATION",ISNUMBER(SEARCH("VPS",$I2719))=FALSE,LEFT($I2719,6)&lt;&gt;"VACUUM"),"CDU",IF($H2719="FLUID CAT CRACKING","FCC",IF(OR($H2719="HYDROCRACKING",$H2719="RESID_HYDROCRACKING"),"Hydrocracker",IF($H2719="REFORMING","Reformer",""))))</f>
        <v>FCC</v>
      </c>
      <c r="H2719" s="6" t="s">
        <v>376</v>
      </c>
      <c r="I2719" s="6" t="s">
        <v>737</v>
      </c>
      <c r="J2719" s="6" t="s">
        <v>345</v>
      </c>
      <c r="K2719" s="10">
        <v>8.84</v>
      </c>
      <c r="L2719" s="10">
        <v>68</v>
      </c>
      <c r="M2719" s="6" t="s">
        <v>413</v>
      </c>
    </row>
    <row r="2720" spans="1:13">
      <c r="A2720" s="6">
        <v>2024</v>
      </c>
      <c r="B2720" s="6">
        <v>1</v>
      </c>
      <c r="C2720" s="6" t="s">
        <v>59</v>
      </c>
      <c r="D2720" s="6" t="s">
        <v>778</v>
      </c>
      <c r="E2720" s="6" t="s">
        <v>779</v>
      </c>
      <c r="F2720" s="6" t="str">
        <f>IF($M2720="PADD I","PADD 1",IF($M2720="PADD II","PADD 2",IF($M2720="PADD III","PADD 3",IF($M2720="PADD IV","PADD 4",IF($M2720="PADD V","PADD 5","")))))</f>
        <v>PADD 3</v>
      </c>
      <c r="G2720" s="6">
        <f>IF(AND($H2720="ATMOS DISTILLATION",ISNUMBER(SEARCH("VPS",$I2720))=FALSE,LEFT($I2720,6)&lt;&gt;"VACUUM"),"CDU",IF($H2720="FLUID CAT CRACKING","FCC",IF(OR($H2720="HYDROCRACKING",$H2720="RESID_HYDROCRACKING"),"Hydrocracker",IF($H2720="REFORMING","Reformer",""))))</f>
        <v/>
      </c>
      <c r="H2720" s="6" t="s">
        <v>378</v>
      </c>
      <c r="I2720" s="6" t="s">
        <v>797</v>
      </c>
      <c r="J2720" s="6" t="s">
        <v>345</v>
      </c>
      <c r="K2720" s="10">
        <v>8.385</v>
      </c>
      <c r="L2720" s="10">
        <v>64.5</v>
      </c>
      <c r="M2720" s="6" t="s">
        <v>371</v>
      </c>
    </row>
    <row r="2721" spans="1:13">
      <c r="A2721" s="6">
        <v>2024</v>
      </c>
      <c r="B2721" s="6">
        <v>1</v>
      </c>
      <c r="C2721" s="6" t="s">
        <v>59</v>
      </c>
      <c r="D2721" s="6" t="s">
        <v>662</v>
      </c>
      <c r="E2721" s="6" t="s">
        <v>552</v>
      </c>
      <c r="F2721" s="6" t="str">
        <f>IF($M2721="PADD I","PADD 1",IF($M2721="PADD II","PADD 2",IF($M2721="PADD III","PADD 3",IF($M2721="PADD IV","PADD 4",IF($M2721="PADD V","PADD 5","")))))</f>
        <v>PADD 3</v>
      </c>
      <c r="G2721" s="6" t="str">
        <f>IF(AND($H2721="ATMOS DISTILLATION",ISNUMBER(SEARCH("VPS",$I2721))=FALSE,LEFT($I2721,6)&lt;&gt;"VACUUM"),"CDU",IF($H2721="FLUID CAT CRACKING","FCC",IF(OR($H2721="HYDROCRACKING",$H2721="RESID_HYDROCRACKING"),"Hydrocracker",IF($H2721="REFORMING","Reformer",""))))</f>
        <v>Reformer</v>
      </c>
      <c r="H2721" s="6" t="s">
        <v>421</v>
      </c>
      <c r="I2721" s="6" t="s">
        <v>1049</v>
      </c>
      <c r="J2721" s="6" t="s">
        <v>349</v>
      </c>
      <c r="K2721" s="10">
        <v>8.385</v>
      </c>
      <c r="L2721" s="10">
        <v>21.5</v>
      </c>
      <c r="M2721" s="6" t="s">
        <v>371</v>
      </c>
    </row>
    <row r="2722" spans="1:13">
      <c r="A2722" s="6">
        <v>2024</v>
      </c>
      <c r="B2722" s="6">
        <v>1</v>
      </c>
      <c r="C2722" s="6" t="s">
        <v>59</v>
      </c>
      <c r="D2722" s="6" t="s">
        <v>437</v>
      </c>
      <c r="E2722" s="6" t="s">
        <v>438</v>
      </c>
      <c r="F2722" s="6" t="str">
        <f>IF($M2722="PADD I","PADD 1",IF($M2722="PADD II","PADD 2",IF($M2722="PADD III","PADD 3",IF($M2722="PADD IV","PADD 4",IF($M2722="PADD V","PADD 5","")))))</f>
        <v>PADD 4</v>
      </c>
      <c r="G2722" s="6" t="str">
        <f>IF(AND($H2722="ATMOS DISTILLATION",ISNUMBER(SEARCH("VPS",$I2722))=FALSE,LEFT($I2722,6)&lt;&gt;"VACUUM"),"CDU",IF($H2722="FLUID CAT CRACKING","FCC",IF(OR($H2722="HYDROCRACKING",$H2722="RESID_HYDROCRACKING"),"Hydrocracker",IF($H2722="REFORMING","Reformer",""))))</f>
        <v>CDU</v>
      </c>
      <c r="H2722" s="6" t="s">
        <v>38</v>
      </c>
      <c r="I2722" s="6" t="s">
        <v>330</v>
      </c>
      <c r="J2722" s="6" t="s">
        <v>349</v>
      </c>
      <c r="K2722" s="10">
        <v>8.119999999999999</v>
      </c>
      <c r="L2722" s="10">
        <v>28</v>
      </c>
      <c r="M2722" s="6" t="s">
        <v>430</v>
      </c>
    </row>
    <row r="2723" spans="1:13">
      <c r="A2723" s="6">
        <v>2024</v>
      </c>
      <c r="B2723" s="6">
        <v>1</v>
      </c>
      <c r="C2723" s="6" t="s">
        <v>59</v>
      </c>
      <c r="D2723" s="6" t="s">
        <v>408</v>
      </c>
      <c r="E2723" s="6" t="s">
        <v>409</v>
      </c>
      <c r="F2723" s="6" t="str">
        <f>IF($M2723="PADD I","PADD 1",IF($M2723="PADD II","PADD 2",IF($M2723="PADD III","PADD 3",IF($M2723="PADD IV","PADD 4",IF($M2723="PADD V","PADD 5","")))))</f>
        <v>PADD 3</v>
      </c>
      <c r="G2723" s="6" t="str">
        <f>IF(AND($H2723="ATMOS DISTILLATION",ISNUMBER(SEARCH("VPS",$I2723))=FALSE,LEFT($I2723,6)&lt;&gt;"VACUUM"),"CDU",IF($H2723="FLUID CAT CRACKING","FCC",IF(OR($H2723="HYDROCRACKING",$H2723="RESID_HYDROCRACKING"),"Hydrocracker",IF($H2723="REFORMING","Reformer",""))))</f>
        <v>CDU</v>
      </c>
      <c r="H2723" s="6" t="s">
        <v>38</v>
      </c>
      <c r="I2723" s="6" t="s">
        <v>410</v>
      </c>
      <c r="J2723" s="6" t="s">
        <v>345</v>
      </c>
      <c r="K2723" s="10">
        <v>8</v>
      </c>
      <c r="L2723" s="10">
        <v>80</v>
      </c>
      <c r="M2723" s="6" t="s">
        <v>371</v>
      </c>
    </row>
    <row r="2724" spans="1:13">
      <c r="A2724" s="6">
        <v>2024</v>
      </c>
      <c r="B2724" s="6">
        <v>1</v>
      </c>
      <c r="C2724" s="6" t="s">
        <v>59</v>
      </c>
      <c r="D2724" s="6" t="s">
        <v>40</v>
      </c>
      <c r="E2724" s="6" t="s">
        <v>736</v>
      </c>
      <c r="F2724" s="6" t="str">
        <f>IF($M2724="PADD I","PADD 1",IF($M2724="PADD II","PADD 2",IF($M2724="PADD III","PADD 3",IF($M2724="PADD IV","PADD 4",IF($M2724="PADD V","PADD 5","")))))</f>
        <v>PADD 1</v>
      </c>
      <c r="G2724" s="6" t="str">
        <f>IF(AND($H2724="ATMOS DISTILLATION",ISNUMBER(SEARCH("VPS",$I2724))=FALSE,LEFT($I2724,6)&lt;&gt;"VACUUM"),"CDU",IF($H2724="FLUID CAT CRACKING","FCC",IF(OR($H2724="HYDROCRACKING",$H2724="RESID_HYDROCRACKING"),"Hydrocracker",IF($H2724="REFORMING","Reformer",""))))</f>
        <v>Reformer</v>
      </c>
      <c r="H2724" s="6" t="s">
        <v>421</v>
      </c>
      <c r="I2724" s="6" t="s">
        <v>782</v>
      </c>
      <c r="J2724" s="6" t="s">
        <v>345</v>
      </c>
      <c r="K2724" s="10">
        <v>7.8</v>
      </c>
      <c r="L2724" s="10">
        <v>60</v>
      </c>
      <c r="M2724" s="6" t="s">
        <v>413</v>
      </c>
    </row>
    <row r="2725" spans="1:13">
      <c r="A2725" s="6">
        <v>2024</v>
      </c>
      <c r="B2725" s="6">
        <v>1</v>
      </c>
      <c r="C2725" s="6" t="s">
        <v>59</v>
      </c>
      <c r="D2725" s="6" t="s">
        <v>411</v>
      </c>
      <c r="E2725" s="6" t="s">
        <v>369</v>
      </c>
      <c r="F2725" s="6" t="str">
        <f>IF($M2725="PADD I","PADD 1",IF($M2725="PADD II","PADD 2",IF($M2725="PADD III","PADD 3",IF($M2725="PADD IV","PADD 4",IF($M2725="PADD V","PADD 5","")))))</f>
        <v>PADD 1</v>
      </c>
      <c r="G2725" s="6" t="str">
        <f>IF(AND($H2725="ATMOS DISTILLATION",ISNUMBER(SEARCH("VPS",$I2725))=FALSE,LEFT($I2725,6)&lt;&gt;"VACUUM"),"CDU",IF($H2725="FLUID CAT CRACKING","FCC",IF(OR($H2725="HYDROCRACKING",$H2725="RESID_HYDROCRACKING"),"Hydrocracker",IF($H2725="REFORMING","Reformer",""))))</f>
        <v>CDU</v>
      </c>
      <c r="H2725" s="6" t="s">
        <v>38</v>
      </c>
      <c r="I2725" s="6" t="s">
        <v>529</v>
      </c>
      <c r="J2725" s="6" t="s">
        <v>345</v>
      </c>
      <c r="K2725" s="10">
        <v>7.77</v>
      </c>
      <c r="L2725" s="10">
        <v>129.5</v>
      </c>
      <c r="M2725" s="6" t="s">
        <v>413</v>
      </c>
    </row>
    <row r="2726" spans="1:13">
      <c r="A2726" s="6">
        <v>2024</v>
      </c>
      <c r="B2726" s="6">
        <v>1</v>
      </c>
      <c r="C2726" s="6" t="s">
        <v>59</v>
      </c>
      <c r="D2726" s="6" t="s">
        <v>411</v>
      </c>
      <c r="E2726" s="6" t="s">
        <v>369</v>
      </c>
      <c r="F2726" s="6" t="str">
        <f>IF($M2726="PADD I","PADD 1",IF($M2726="PADD II","PADD 2",IF($M2726="PADD III","PADD 3",IF($M2726="PADD IV","PADD 4",IF($M2726="PADD V","PADD 5","")))))</f>
        <v>PADD 1</v>
      </c>
      <c r="G2726" s="6" t="str">
        <f>IF(AND($H2726="ATMOS DISTILLATION",ISNUMBER(SEARCH("VPS",$I2726))=FALSE,LEFT($I2726,6)&lt;&gt;"VACUUM"),"CDU",IF($H2726="FLUID CAT CRACKING","FCC",IF(OR($H2726="HYDROCRACKING",$H2726="RESID_HYDROCRACKING"),"Hydrocracker",IF($H2726="REFORMING","Reformer",""))))</f>
        <v>CDU</v>
      </c>
      <c r="H2726" s="6" t="s">
        <v>38</v>
      </c>
      <c r="I2726" s="6" t="s">
        <v>412</v>
      </c>
      <c r="J2726" s="6" t="s">
        <v>345</v>
      </c>
      <c r="K2726" s="10">
        <v>7.74</v>
      </c>
      <c r="L2726" s="10">
        <v>129</v>
      </c>
      <c r="M2726" s="6" t="s">
        <v>413</v>
      </c>
    </row>
    <row r="2727" spans="1:13">
      <c r="A2727" s="6">
        <v>2024</v>
      </c>
      <c r="B2727" s="6">
        <v>1</v>
      </c>
      <c r="C2727" s="6" t="s">
        <v>59</v>
      </c>
      <c r="D2727" s="6" t="s">
        <v>415</v>
      </c>
      <c r="E2727" s="6" t="s">
        <v>416</v>
      </c>
      <c r="F2727" s="6" t="str">
        <f>IF($M2727="PADD I","PADD 1",IF($M2727="PADD II","PADD 2",IF($M2727="PADD III","PADD 3",IF($M2727="PADD IV","PADD 4",IF($M2727="PADD V","PADD 5","")))))</f>
        <v>PADD 3</v>
      </c>
      <c r="G2727" s="6" t="str">
        <f>IF(AND($H2727="ATMOS DISTILLATION",ISNUMBER(SEARCH("VPS",$I2727))=FALSE,LEFT($I2727,6)&lt;&gt;"VACUUM"),"CDU",IF($H2727="FLUID CAT CRACKING","FCC",IF(OR($H2727="HYDROCRACKING",$H2727="RESID_HYDROCRACKING"),"Hydrocracker",IF($H2727="REFORMING","Reformer",""))))</f>
        <v>Reformer</v>
      </c>
      <c r="H2727" s="6" t="s">
        <v>421</v>
      </c>
      <c r="I2727" s="6" t="s">
        <v>1098</v>
      </c>
      <c r="J2727" s="6" t="s">
        <v>349</v>
      </c>
      <c r="K2727" s="10">
        <v>7.56</v>
      </c>
      <c r="L2727" s="10">
        <v>18</v>
      </c>
      <c r="M2727" s="6" t="s">
        <v>371</v>
      </c>
    </row>
    <row r="2728" spans="1:13">
      <c r="A2728" s="6">
        <v>2024</v>
      </c>
      <c r="B2728" s="6">
        <v>1</v>
      </c>
      <c r="C2728" s="6" t="s">
        <v>59</v>
      </c>
      <c r="D2728" s="6" t="s">
        <v>408</v>
      </c>
      <c r="E2728" s="6" t="s">
        <v>409</v>
      </c>
      <c r="F2728" s="6" t="str">
        <f>IF($M2728="PADD I","PADD 1",IF($M2728="PADD II","PADD 2",IF($M2728="PADD III","PADD 3",IF($M2728="PADD IV","PADD 4",IF($M2728="PADD V","PADD 5","")))))</f>
        <v>PADD 3</v>
      </c>
      <c r="G2728" s="6">
        <f>IF(AND($H2728="ATMOS DISTILLATION",ISNUMBER(SEARCH("VPS",$I2728))=FALSE,LEFT($I2728,6)&lt;&gt;"VACUUM"),"CDU",IF($H2728="FLUID CAT CRACKING","FCC",IF(OR($H2728="HYDROCRACKING",$H2728="RESID_HYDROCRACKING"),"Hydrocracker",IF($H2728="REFORMING","Reformer",""))))</f>
        <v/>
      </c>
      <c r="H2728" s="6" t="s">
        <v>568</v>
      </c>
      <c r="I2728" s="6" t="s">
        <v>569</v>
      </c>
      <c r="J2728" s="6" t="s">
        <v>345</v>
      </c>
      <c r="K2728" s="10">
        <v>7.425</v>
      </c>
      <c r="L2728" s="10">
        <v>13.5</v>
      </c>
      <c r="M2728" s="6" t="s">
        <v>371</v>
      </c>
    </row>
    <row r="2729" spans="1:13">
      <c r="A2729" s="6">
        <v>2024</v>
      </c>
      <c r="B2729" s="6">
        <v>1</v>
      </c>
      <c r="C2729" s="6" t="s">
        <v>59</v>
      </c>
      <c r="D2729" s="6" t="s">
        <v>446</v>
      </c>
      <c r="E2729" s="6" t="s">
        <v>391</v>
      </c>
      <c r="F2729" s="6" t="str">
        <f>IF($M2729="PADD I","PADD 1",IF($M2729="PADD II","PADD 2",IF($M2729="PADD III","PADD 3",IF($M2729="PADD IV","PADD 4",IF($M2729="PADD V","PADD 5","")))))</f>
        <v>PADD 3</v>
      </c>
      <c r="G2729" s="6">
        <f>IF(AND($H2729="ATMOS DISTILLATION",ISNUMBER(SEARCH("VPS",$I2729))=FALSE,LEFT($I2729,6)&lt;&gt;"VACUUM"),"CDU",IF($H2729="FLUID CAT CRACKING","FCC",IF(OR($H2729="HYDROCRACKING",$H2729="RESID_HYDROCRACKING"),"Hydrocracker",IF($H2729="REFORMING","Reformer",""))))</f>
        <v/>
      </c>
      <c r="H2729" s="6" t="s">
        <v>460</v>
      </c>
      <c r="I2729" s="6" t="s">
        <v>1075</v>
      </c>
      <c r="J2729" s="6" t="s">
        <v>345</v>
      </c>
      <c r="K2729" s="10">
        <v>7.2</v>
      </c>
      <c r="L2729" s="10">
        <v>7.2</v>
      </c>
      <c r="M2729" s="6" t="s">
        <v>371</v>
      </c>
    </row>
    <row r="2730" spans="1:13">
      <c r="A2730" s="6">
        <v>2024</v>
      </c>
      <c r="B2730" s="6">
        <v>1</v>
      </c>
      <c r="C2730" s="6" t="s">
        <v>59</v>
      </c>
      <c r="D2730" s="6" t="s">
        <v>490</v>
      </c>
      <c r="E2730" s="6" t="s">
        <v>491</v>
      </c>
      <c r="F2730" s="6" t="str">
        <f>IF($M2730="PADD I","PADD 1",IF($M2730="PADD II","PADD 2",IF($M2730="PADD III","PADD 3",IF($M2730="PADD IV","PADD 4",IF($M2730="PADD V","PADD 5","")))))</f>
        <v>PADD 3</v>
      </c>
      <c r="G2730" s="6">
        <f>IF(AND($H2730="ATMOS DISTILLATION",ISNUMBER(SEARCH("VPS",$I2730))=FALSE,LEFT($I2730,6)&lt;&gt;"VACUUM"),"CDU",IF($H2730="FLUID CAT CRACKING","FCC",IF(OR($H2730="HYDROCRACKING",$H2730="RESID_HYDROCRACKING"),"Hydrocracker",IF($H2730="REFORMING","Reformer",""))))</f>
        <v/>
      </c>
      <c r="H2730" s="6" t="s">
        <v>435</v>
      </c>
      <c r="I2730" s="6" t="s">
        <v>687</v>
      </c>
      <c r="J2730" s="6" t="s">
        <v>345</v>
      </c>
      <c r="K2730" s="10">
        <v>7.02</v>
      </c>
      <c r="L2730" s="10">
        <v>54</v>
      </c>
      <c r="M2730" s="6" t="s">
        <v>371</v>
      </c>
    </row>
    <row r="2731" spans="1:13">
      <c r="A2731" s="6">
        <v>2024</v>
      </c>
      <c r="B2731" s="6">
        <v>1</v>
      </c>
      <c r="C2731" s="6" t="s">
        <v>59</v>
      </c>
      <c r="D2731" s="6" t="s">
        <v>468</v>
      </c>
      <c r="E2731" s="6" t="s">
        <v>369</v>
      </c>
      <c r="F2731" s="6" t="str">
        <f>IF($M2731="PADD I","PADD 1",IF($M2731="PADD II","PADD 2",IF($M2731="PADD III","PADD 3",IF($M2731="PADD IV","PADD 4",IF($M2731="PADD V","PADD 5","")))))</f>
        <v>PADD 3</v>
      </c>
      <c r="G2731" s="6" t="str">
        <f>IF(AND($H2731="ATMOS DISTILLATION",ISNUMBER(SEARCH("VPS",$I2731))=FALSE,LEFT($I2731,6)&lt;&gt;"VACUUM"),"CDU",IF($H2731="FLUID CAT CRACKING","FCC",IF(OR($H2731="HYDROCRACKING",$H2731="RESID_HYDROCRACKING"),"Hydrocracker",IF($H2731="REFORMING","Reformer",""))))</f>
        <v>Reformer</v>
      </c>
      <c r="H2731" s="6" t="s">
        <v>421</v>
      </c>
      <c r="I2731" s="6" t="s">
        <v>635</v>
      </c>
      <c r="J2731" s="6" t="s">
        <v>349</v>
      </c>
      <c r="K2731" s="10">
        <v>7</v>
      </c>
      <c r="L2731" s="10">
        <v>7</v>
      </c>
      <c r="M2731" s="6" t="s">
        <v>371</v>
      </c>
    </row>
    <row r="2732" spans="1:13">
      <c r="A2732" s="6">
        <v>2024</v>
      </c>
      <c r="B2732" s="6">
        <v>1</v>
      </c>
      <c r="C2732" s="6" t="s">
        <v>59</v>
      </c>
      <c r="D2732" s="6" t="s">
        <v>628</v>
      </c>
      <c r="E2732" s="6" t="s">
        <v>388</v>
      </c>
      <c r="F2732" s="6" t="str">
        <f>IF($M2732="PADD I","PADD 1",IF($M2732="PADD II","PADD 2",IF($M2732="PADD III","PADD 3",IF($M2732="PADD IV","PADD 4",IF($M2732="PADD V","PADD 5","")))))</f>
        <v>PADD 3</v>
      </c>
      <c r="G2732" s="6" t="str">
        <f>IF(AND($H2732="ATMOS DISTILLATION",ISNUMBER(SEARCH("VPS",$I2732))=FALSE,LEFT($I2732,6)&lt;&gt;"VACUUM"),"CDU",IF($H2732="FLUID CAT CRACKING","FCC",IF(OR($H2732="HYDROCRACKING",$H2732="RESID_HYDROCRACKING"),"Hydrocracker",IF($H2732="REFORMING","Reformer",""))))</f>
        <v>Reformer</v>
      </c>
      <c r="H2732" s="6" t="s">
        <v>421</v>
      </c>
      <c r="I2732" s="6" t="s">
        <v>571</v>
      </c>
      <c r="J2732" s="6" t="s">
        <v>349</v>
      </c>
      <c r="K2732" s="10">
        <v>6.8</v>
      </c>
      <c r="L2732" s="10">
        <v>10</v>
      </c>
      <c r="M2732" s="6" t="s">
        <v>371</v>
      </c>
    </row>
    <row r="2733" spans="1:13">
      <c r="A2733" s="6">
        <v>2024</v>
      </c>
      <c r="B2733" s="6">
        <v>1</v>
      </c>
      <c r="C2733" s="6" t="s">
        <v>59</v>
      </c>
      <c r="D2733" s="6" t="s">
        <v>395</v>
      </c>
      <c r="E2733" s="6" t="s">
        <v>396</v>
      </c>
      <c r="F2733" s="6" t="str">
        <f>IF($M2733="PADD I","PADD 1",IF($M2733="PADD II","PADD 2",IF($M2733="PADD III","PADD 3",IF($M2733="PADD IV","PADD 4",IF($M2733="PADD V","PADD 5","")))))</f>
        <v>PADD 3</v>
      </c>
      <c r="G2733" s="6">
        <f>IF(AND($H2733="ATMOS DISTILLATION",ISNUMBER(SEARCH("VPS",$I2733))=FALSE,LEFT($I2733,6)&lt;&gt;"VACUUM"),"CDU",IF($H2733="FLUID CAT CRACKING","FCC",IF(OR($H2733="HYDROCRACKING",$H2733="RESID_HYDROCRACKING"),"Hydrocracker",IF($H2733="REFORMING","Reformer",""))))</f>
        <v/>
      </c>
      <c r="H2733" s="6" t="s">
        <v>378</v>
      </c>
      <c r="I2733" s="6" t="s">
        <v>474</v>
      </c>
      <c r="J2733" s="6" t="s">
        <v>345</v>
      </c>
      <c r="K2733" s="10">
        <v>6.67</v>
      </c>
      <c r="L2733" s="10">
        <v>23</v>
      </c>
      <c r="M2733" s="6" t="s">
        <v>371</v>
      </c>
    </row>
    <row r="2734" spans="1:13">
      <c r="A2734" s="6">
        <v>2024</v>
      </c>
      <c r="B2734" s="6">
        <v>1</v>
      </c>
      <c r="C2734" s="6" t="s">
        <v>59</v>
      </c>
      <c r="D2734" s="6" t="s">
        <v>335</v>
      </c>
      <c r="E2734" s="6" t="s">
        <v>369</v>
      </c>
      <c r="F2734" s="6" t="str">
        <f>IF($M2734="PADD I","PADD 1",IF($M2734="PADD II","PADD 2",IF($M2734="PADD III","PADD 3",IF($M2734="PADD IV","PADD 4",IF($M2734="PADD V","PADD 5","")))))</f>
        <v>PADD 3</v>
      </c>
      <c r="G2734" s="6" t="str">
        <f>IF(AND($H2734="ATMOS DISTILLATION",ISNUMBER(SEARCH("VPS",$I2734))=FALSE,LEFT($I2734,6)&lt;&gt;"VACUUM"),"CDU",IF($H2734="FLUID CAT CRACKING","FCC",IF(OR($H2734="HYDROCRACKING",$H2734="RESID_HYDROCRACKING"),"Hydrocracker",IF($H2734="REFORMING","Reformer",""))))</f>
        <v>Reformer</v>
      </c>
      <c r="H2734" s="6" t="s">
        <v>421</v>
      </c>
      <c r="I2734" s="6" t="s">
        <v>1099</v>
      </c>
      <c r="J2734" s="6" t="s">
        <v>349</v>
      </c>
      <c r="K2734" s="10">
        <v>6.65</v>
      </c>
      <c r="L2734" s="10">
        <v>35</v>
      </c>
      <c r="M2734" s="6" t="s">
        <v>371</v>
      </c>
    </row>
    <row r="2735" spans="1:13">
      <c r="A2735" s="6">
        <v>2024</v>
      </c>
      <c r="B2735" s="6">
        <v>1</v>
      </c>
      <c r="C2735" s="6" t="s">
        <v>59</v>
      </c>
      <c r="D2735" s="6" t="s">
        <v>457</v>
      </c>
      <c r="E2735" s="6" t="s">
        <v>388</v>
      </c>
      <c r="F2735" s="6" t="str">
        <f>IF($M2735="PADD I","PADD 1",IF($M2735="PADD II","PADD 2",IF($M2735="PADD III","PADD 3",IF($M2735="PADD IV","PADD 4",IF($M2735="PADD V","PADD 5","")))))</f>
        <v>PADD 5</v>
      </c>
      <c r="G2735" s="6">
        <f>IF(AND($H2735="ATMOS DISTILLATION",ISNUMBER(SEARCH("VPS",$I2735))=FALSE,LEFT($I2735,6)&lt;&gt;"VACUUM"),"CDU",IF($H2735="FLUID CAT CRACKING","FCC",IF(OR($H2735="HYDROCRACKING",$H2735="RESID_HYDROCRACKING"),"Hydrocracker",IF($H2735="REFORMING","Reformer",""))))</f>
        <v/>
      </c>
      <c r="H2735" s="6" t="s">
        <v>43</v>
      </c>
      <c r="I2735" s="6" t="s">
        <v>1100</v>
      </c>
      <c r="J2735" s="6" t="s">
        <v>349</v>
      </c>
      <c r="K2735" s="10">
        <v>6.5</v>
      </c>
      <c r="L2735" s="10">
        <v>10</v>
      </c>
      <c r="M2735" s="6" t="s">
        <v>386</v>
      </c>
    </row>
    <row r="2736" spans="1:13">
      <c r="A2736" s="6">
        <v>2024</v>
      </c>
      <c r="B2736" s="6">
        <v>1</v>
      </c>
      <c r="C2736" s="6" t="s">
        <v>59</v>
      </c>
      <c r="D2736" s="6" t="s">
        <v>40</v>
      </c>
      <c r="E2736" s="6" t="s">
        <v>736</v>
      </c>
      <c r="F2736" s="6" t="str">
        <f>IF($M2736="PADD I","PADD 1",IF($M2736="PADD II","PADD 2",IF($M2736="PADD III","PADD 3",IF($M2736="PADD IV","PADD 4",IF($M2736="PADD V","PADD 5","")))))</f>
        <v>PADD 1</v>
      </c>
      <c r="G2736" s="6">
        <f>IF(AND($H2736="ATMOS DISTILLATION",ISNUMBER(SEARCH("VPS",$I2736))=FALSE,LEFT($I2736,6)&lt;&gt;"VACUUM"),"CDU",IF($H2736="FLUID CAT CRACKING","FCC",IF(OR($H2736="HYDROCRACKING",$H2736="RESID_HYDROCRACKING"),"Hydrocracker",IF($H2736="REFORMING","Reformer",""))))</f>
        <v/>
      </c>
      <c r="H2736" s="6" t="s">
        <v>43</v>
      </c>
      <c r="I2736" s="6" t="s">
        <v>994</v>
      </c>
      <c r="J2736" s="6" t="s">
        <v>345</v>
      </c>
      <c r="K2736" s="10">
        <v>6.5</v>
      </c>
      <c r="L2736" s="10">
        <v>65</v>
      </c>
      <c r="M2736" s="6" t="s">
        <v>413</v>
      </c>
    </row>
    <row r="2737" spans="1:13">
      <c r="A2737" s="6">
        <v>2024</v>
      </c>
      <c r="B2737" s="6">
        <v>1</v>
      </c>
      <c r="C2737" s="6" t="s">
        <v>59</v>
      </c>
      <c r="D2737" s="6" t="s">
        <v>730</v>
      </c>
      <c r="E2737" s="6" t="s">
        <v>731</v>
      </c>
      <c r="F2737" s="6" t="str">
        <f>IF($M2737="PADD I","PADD 1",IF($M2737="PADD II","PADD 2",IF($M2737="PADD III","PADD 3",IF($M2737="PADD IV","PADD 4",IF($M2737="PADD V","PADD 5","")))))</f>
        <v>PADD 3</v>
      </c>
      <c r="G2737" s="6">
        <f>IF(AND($H2737="ATMOS DISTILLATION",ISNUMBER(SEARCH("VPS",$I2737))=FALSE,LEFT($I2737,6)&lt;&gt;"VACUUM"),"CDU",IF($H2737="FLUID CAT CRACKING","FCC",IF(OR($H2737="HYDROCRACKING",$H2737="RESID_HYDROCRACKING"),"Hydrocracker",IF($H2737="REFORMING","Reformer",""))))</f>
        <v/>
      </c>
      <c r="H2737" s="6" t="s">
        <v>43</v>
      </c>
      <c r="I2737" s="6" t="s">
        <v>1054</v>
      </c>
      <c r="J2737" s="6" t="s">
        <v>345</v>
      </c>
      <c r="K2737" s="10">
        <v>6.5</v>
      </c>
      <c r="L2737" s="10">
        <v>10</v>
      </c>
      <c r="M2737" s="6" t="s">
        <v>371</v>
      </c>
    </row>
    <row r="2738" spans="1:13">
      <c r="A2738" s="6">
        <v>2024</v>
      </c>
      <c r="B2738" s="6">
        <v>1</v>
      </c>
      <c r="C2738" s="6" t="s">
        <v>59</v>
      </c>
      <c r="D2738" s="6" t="s">
        <v>40</v>
      </c>
      <c r="E2738" s="6" t="s">
        <v>736</v>
      </c>
      <c r="F2738" s="6" t="str">
        <f>IF($M2738="PADD I","PADD 1",IF($M2738="PADD II","PADD 2",IF($M2738="PADD III","PADD 3",IF($M2738="PADD IV","PADD 4",IF($M2738="PADD V","PADD 5","")))))</f>
        <v>PADD 1</v>
      </c>
      <c r="G2738" s="6">
        <f>IF(AND($H2738="ATMOS DISTILLATION",ISNUMBER(SEARCH("VPS",$I2738))=FALSE,LEFT($I2738,6)&lt;&gt;"VACUUM"),"CDU",IF($H2738="FLUID CAT CRACKING","FCC",IF(OR($H2738="HYDROCRACKING",$H2738="RESID_HYDROCRACKING"),"Hydrocracker",IF($H2738="REFORMING","Reformer",""))))</f>
        <v/>
      </c>
      <c r="H2738" s="6" t="s">
        <v>43</v>
      </c>
      <c r="I2738" s="6" t="s">
        <v>493</v>
      </c>
      <c r="J2738" s="6" t="s">
        <v>345</v>
      </c>
      <c r="K2738" s="10">
        <v>6</v>
      </c>
      <c r="L2738" s="10">
        <v>60</v>
      </c>
      <c r="M2738" s="6" t="s">
        <v>413</v>
      </c>
    </row>
    <row r="2739" spans="1:13">
      <c r="A2739" s="6">
        <v>2024</v>
      </c>
      <c r="B2739" s="6">
        <v>1</v>
      </c>
      <c r="C2739" s="6" t="s">
        <v>59</v>
      </c>
      <c r="D2739" s="6" t="s">
        <v>496</v>
      </c>
      <c r="E2739" s="6" t="s">
        <v>388</v>
      </c>
      <c r="F2739" s="6" t="str">
        <f>IF($M2739="PADD I","PADD 1",IF($M2739="PADD II","PADD 2",IF($M2739="PADD III","PADD 3",IF($M2739="PADD IV","PADD 4",IF($M2739="PADD V","PADD 5","")))))</f>
        <v>PADD 2</v>
      </c>
      <c r="G2739" s="6">
        <f>IF(AND($H2739="ATMOS DISTILLATION",ISNUMBER(SEARCH("VPS",$I2739))=FALSE,LEFT($I2739,6)&lt;&gt;"VACUUM"),"CDU",IF($H2739="FLUID CAT CRACKING","FCC",IF(OR($H2739="HYDROCRACKING",$H2739="RESID_HYDROCRACKING"),"Hydrocracker",IF($H2739="REFORMING","Reformer",""))))</f>
        <v/>
      </c>
      <c r="H2739" s="6" t="s">
        <v>43</v>
      </c>
      <c r="I2739" s="6" t="s">
        <v>955</v>
      </c>
      <c r="J2739" s="6" t="s">
        <v>349</v>
      </c>
      <c r="K2739" s="10">
        <v>6</v>
      </c>
      <c r="L2739" s="10">
        <v>6</v>
      </c>
      <c r="M2739" s="6" t="s">
        <v>375</v>
      </c>
    </row>
    <row r="2740" spans="1:13">
      <c r="A2740" s="6">
        <v>2024</v>
      </c>
      <c r="B2740" s="6">
        <v>1</v>
      </c>
      <c r="C2740" s="6" t="s">
        <v>59</v>
      </c>
      <c r="D2740" s="6" t="s">
        <v>953</v>
      </c>
      <c r="E2740" s="6" t="s">
        <v>733</v>
      </c>
      <c r="F2740" s="6" t="str">
        <f>IF($M2740="PADD I","PADD 1",IF($M2740="PADD II","PADD 2",IF($M2740="PADD III","PADD 3",IF($M2740="PADD IV","PADD 4",IF($M2740="PADD V","PADD 5","")))))</f>
        <v>PADD 2</v>
      </c>
      <c r="G2740" s="6" t="str">
        <f>IF(AND($H2740="ATMOS DISTILLATION",ISNUMBER(SEARCH("VPS",$I2740))=FALSE,LEFT($I2740,6)&lt;&gt;"VACUUM"),"CDU",IF($H2740="FLUID CAT CRACKING","FCC",IF(OR($H2740="HYDROCRACKING",$H2740="RESID_HYDROCRACKING"),"Hydrocracker",IF($H2740="REFORMING","Reformer",""))))</f>
        <v>CDU</v>
      </c>
      <c r="H2740" s="6" t="s">
        <v>38</v>
      </c>
      <c r="I2740" s="6" t="s">
        <v>123</v>
      </c>
      <c r="J2740" s="6" t="s">
        <v>345</v>
      </c>
      <c r="K2740" s="10">
        <v>5.9</v>
      </c>
      <c r="L2740" s="10">
        <v>59</v>
      </c>
      <c r="M2740" s="6" t="s">
        <v>375</v>
      </c>
    </row>
    <row r="2741" spans="1:13">
      <c r="A2741" s="6">
        <v>2024</v>
      </c>
      <c r="B2741" s="6">
        <v>1</v>
      </c>
      <c r="C2741" s="6" t="s">
        <v>59</v>
      </c>
      <c r="D2741" s="6" t="s">
        <v>662</v>
      </c>
      <c r="E2741" s="6" t="s">
        <v>552</v>
      </c>
      <c r="F2741" s="6" t="str">
        <f>IF($M2741="PADD I","PADD 1",IF($M2741="PADD II","PADD 2",IF($M2741="PADD III","PADD 3",IF($M2741="PADD IV","PADD 4",IF($M2741="PADD V","PADD 5","")))))</f>
        <v>PADD 3</v>
      </c>
      <c r="G2741" s="6">
        <f>IF(AND($H2741="ATMOS DISTILLATION",ISNUMBER(SEARCH("VPS",$I2741))=FALSE,LEFT($I2741,6)&lt;&gt;"VACUUM"),"CDU",IF($H2741="FLUID CAT CRACKING","FCC",IF(OR($H2741="HYDROCRACKING",$H2741="RESID_HYDROCRACKING"),"Hydrocracker",IF($H2741="REFORMING","Reformer",""))))</f>
        <v/>
      </c>
      <c r="H2741" s="6" t="s">
        <v>43</v>
      </c>
      <c r="I2741" s="6" t="s">
        <v>828</v>
      </c>
      <c r="J2741" s="6" t="s">
        <v>349</v>
      </c>
      <c r="K2741" s="10">
        <v>5.76</v>
      </c>
      <c r="L2741" s="10">
        <v>12</v>
      </c>
      <c r="M2741" s="6" t="s">
        <v>371</v>
      </c>
    </row>
    <row r="2742" spans="1:13">
      <c r="A2742" s="6">
        <v>2024</v>
      </c>
      <c r="B2742" s="6">
        <v>1</v>
      </c>
      <c r="C2742" s="6" t="s">
        <v>59</v>
      </c>
      <c r="D2742" s="6" t="s">
        <v>730</v>
      </c>
      <c r="E2742" s="6" t="s">
        <v>731</v>
      </c>
      <c r="F2742" s="6" t="str">
        <f>IF($M2742="PADD I","PADD 1",IF($M2742="PADD II","PADD 2",IF($M2742="PADD III","PADD 3",IF($M2742="PADD IV","PADD 4",IF($M2742="PADD V","PADD 5","")))))</f>
        <v>PADD 3</v>
      </c>
      <c r="G2742" s="6" t="str">
        <f>IF(AND($H2742="ATMOS DISTILLATION",ISNUMBER(SEARCH("VPS",$I2742))=FALSE,LEFT($I2742,6)&lt;&gt;"VACUUM"),"CDU",IF($H2742="FLUID CAT CRACKING","FCC",IF(OR($H2742="HYDROCRACKING",$H2742="RESID_HYDROCRACKING"),"Hydrocracker",IF($H2742="REFORMING","Reformer",""))))</f>
        <v>Reformer</v>
      </c>
      <c r="H2742" s="6" t="s">
        <v>421</v>
      </c>
      <c r="I2742" s="6" t="s">
        <v>15</v>
      </c>
      <c r="J2742" s="6" t="s">
        <v>345</v>
      </c>
      <c r="K2742" s="10">
        <v>5.72</v>
      </c>
      <c r="L2742" s="10">
        <v>11</v>
      </c>
      <c r="M2742" s="6" t="s">
        <v>371</v>
      </c>
    </row>
    <row r="2743" spans="1:13">
      <c r="A2743" s="6">
        <v>2024</v>
      </c>
      <c r="B2743" s="6">
        <v>1</v>
      </c>
      <c r="C2743" s="6" t="s">
        <v>59</v>
      </c>
      <c r="D2743" s="6" t="s">
        <v>395</v>
      </c>
      <c r="E2743" s="6" t="s">
        <v>396</v>
      </c>
      <c r="F2743" s="6" t="str">
        <f>IF($M2743="PADD I","PADD 1",IF($M2743="PADD II","PADD 2",IF($M2743="PADD III","PADD 3",IF($M2743="PADD IV","PADD 4",IF($M2743="PADD V","PADD 5","")))))</f>
        <v>PADD 3</v>
      </c>
      <c r="G2743" s="6">
        <f>IF(AND($H2743="ATMOS DISTILLATION",ISNUMBER(SEARCH("VPS",$I2743))=FALSE,LEFT($I2743,6)&lt;&gt;"VACUUM"),"CDU",IF($H2743="FLUID CAT CRACKING","FCC",IF(OR($H2743="HYDROCRACKING",$H2743="RESID_HYDROCRACKING"),"Hydrocracker",IF($H2743="REFORMING","Reformer",""))))</f>
        <v/>
      </c>
      <c r="H2743" s="6" t="s">
        <v>435</v>
      </c>
      <c r="I2743" s="6" t="s">
        <v>441</v>
      </c>
      <c r="J2743" s="6" t="s">
        <v>345</v>
      </c>
      <c r="K2743" s="10">
        <v>5.336</v>
      </c>
      <c r="L2743" s="10">
        <v>18.4</v>
      </c>
      <c r="M2743" s="6" t="s">
        <v>371</v>
      </c>
    </row>
    <row r="2744" spans="1:13">
      <c r="A2744" s="6">
        <v>2024</v>
      </c>
      <c r="B2744" s="6">
        <v>1</v>
      </c>
      <c r="C2744" s="6" t="s">
        <v>59</v>
      </c>
      <c r="D2744" s="6" t="s">
        <v>563</v>
      </c>
      <c r="E2744" s="6" t="s">
        <v>396</v>
      </c>
      <c r="F2744" s="6" t="str">
        <f>IF($M2744="PADD I","PADD 1",IF($M2744="PADD II","PADD 2",IF($M2744="PADD III","PADD 3",IF($M2744="PADD IV","PADD 4",IF($M2744="PADD V","PADD 5","")))))</f>
        <v>PADD 3</v>
      </c>
      <c r="G2744" s="6">
        <f>IF(AND($H2744="ATMOS DISTILLATION",ISNUMBER(SEARCH("VPS",$I2744))=FALSE,LEFT($I2744,6)&lt;&gt;"VACUUM"),"CDU",IF($H2744="FLUID CAT CRACKING","FCC",IF(OR($H2744="HYDROCRACKING",$H2744="RESID_HYDROCRACKING"),"Hydrocracker",IF($H2744="REFORMING","Reformer",""))))</f>
        <v/>
      </c>
      <c r="H2744" s="6" t="s">
        <v>43</v>
      </c>
      <c r="I2744" s="6" t="s">
        <v>564</v>
      </c>
      <c r="J2744" s="6" t="s">
        <v>345</v>
      </c>
      <c r="K2744" s="10">
        <v>5.317</v>
      </c>
      <c r="L2744" s="10">
        <v>40.9</v>
      </c>
      <c r="M2744" s="6" t="s">
        <v>371</v>
      </c>
    </row>
    <row r="2745" spans="1:13">
      <c r="A2745" s="6">
        <v>2024</v>
      </c>
      <c r="B2745" s="6">
        <v>1</v>
      </c>
      <c r="C2745" s="6" t="s">
        <v>59</v>
      </c>
      <c r="D2745" s="6" t="s">
        <v>331</v>
      </c>
      <c r="E2745" s="6" t="s">
        <v>373</v>
      </c>
      <c r="F2745" s="6" t="str">
        <f>IF($M2745="PADD I","PADD 1",IF($M2745="PADD II","PADD 2",IF($M2745="PADD III","PADD 3",IF($M2745="PADD IV","PADD 4",IF($M2745="PADD V","PADD 5","")))))</f>
        <v>PADD 2</v>
      </c>
      <c r="G2745" s="6">
        <f>IF(AND($H2745="ATMOS DISTILLATION",ISNUMBER(SEARCH("VPS",$I2745))=FALSE,LEFT($I2745,6)&lt;&gt;"VACUUM"),"CDU",IF($H2745="FLUID CAT CRACKING","FCC",IF(OR($H2745="HYDROCRACKING",$H2745="RESID_HYDROCRACKING"),"Hydrocracker",IF($H2745="REFORMING","Reformer",""))))</f>
        <v/>
      </c>
      <c r="H2745" s="6" t="s">
        <v>435</v>
      </c>
      <c r="I2745" s="6" t="s">
        <v>441</v>
      </c>
      <c r="J2745" s="6" t="s">
        <v>345</v>
      </c>
      <c r="K2745" s="10">
        <v>5.29</v>
      </c>
      <c r="L2745" s="10">
        <v>23</v>
      </c>
      <c r="M2745" s="6" t="s">
        <v>375</v>
      </c>
    </row>
    <row r="2746" spans="1:13">
      <c r="A2746" s="6">
        <v>2024</v>
      </c>
      <c r="B2746" s="6">
        <v>1</v>
      </c>
      <c r="C2746" s="6" t="s">
        <v>59</v>
      </c>
      <c r="D2746" s="6" t="s">
        <v>953</v>
      </c>
      <c r="E2746" s="6" t="s">
        <v>733</v>
      </c>
      <c r="F2746" s="6" t="str">
        <f>IF($M2746="PADD I","PADD 1",IF($M2746="PADD II","PADD 2",IF($M2746="PADD III","PADD 3",IF($M2746="PADD IV","PADD 4",IF($M2746="PADD V","PADD 5","")))))</f>
        <v>PADD 2</v>
      </c>
      <c r="G2746" s="6">
        <f>IF(AND($H2746="ATMOS DISTILLATION",ISNUMBER(SEARCH("VPS",$I2746))=FALSE,LEFT($I2746,6)&lt;&gt;"VACUUM"),"CDU",IF($H2746="FLUID CAT CRACKING","FCC",IF(OR($H2746="HYDROCRACKING",$H2746="RESID_HYDROCRACKING"),"Hydrocracker",IF($H2746="REFORMING","Reformer",""))))</f>
        <v/>
      </c>
      <c r="H2746" s="6" t="s">
        <v>43</v>
      </c>
      <c r="I2746" s="6" t="s">
        <v>520</v>
      </c>
      <c r="J2746" s="6" t="s">
        <v>345</v>
      </c>
      <c r="K2746" s="10">
        <v>5.2</v>
      </c>
      <c r="L2746" s="10">
        <v>52</v>
      </c>
      <c r="M2746" s="6" t="s">
        <v>375</v>
      </c>
    </row>
    <row r="2747" spans="1:13">
      <c r="A2747" s="6">
        <v>2024</v>
      </c>
      <c r="B2747" s="6">
        <v>1</v>
      </c>
      <c r="C2747" s="6" t="s">
        <v>59</v>
      </c>
      <c r="D2747" s="6" t="s">
        <v>615</v>
      </c>
      <c r="E2747" s="6" t="s">
        <v>405</v>
      </c>
      <c r="F2747" s="6" t="str">
        <f>IF($M2747="PADD I","PADD 1",IF($M2747="PADD II","PADD 2",IF($M2747="PADD III","PADD 3",IF($M2747="PADD IV","PADD 4",IF($M2747="PADD V","PADD 5","")))))</f>
        <v>PADD 5</v>
      </c>
      <c r="G2747" s="6" t="str">
        <f>IF(AND($H2747="ATMOS DISTILLATION",ISNUMBER(SEARCH("VPS",$I2747))=FALSE,LEFT($I2747,6)&lt;&gt;"VACUUM"),"CDU",IF($H2747="FLUID CAT CRACKING","FCC",IF(OR($H2747="HYDROCRACKING",$H2747="RESID_HYDROCRACKING"),"Hydrocracker",IF($H2747="REFORMING","Reformer",""))))</f>
        <v>Reformer</v>
      </c>
      <c r="H2747" s="6" t="s">
        <v>421</v>
      </c>
      <c r="I2747" s="6" t="s">
        <v>666</v>
      </c>
      <c r="J2747" s="6" t="s">
        <v>345</v>
      </c>
      <c r="K2747" s="10">
        <v>5.2</v>
      </c>
      <c r="L2747" s="10">
        <v>40</v>
      </c>
      <c r="M2747" s="6" t="s">
        <v>386</v>
      </c>
    </row>
    <row r="2748" spans="1:13">
      <c r="A2748" s="6">
        <v>2024</v>
      </c>
      <c r="B2748" s="6">
        <v>1</v>
      </c>
      <c r="C2748" s="6" t="s">
        <v>59</v>
      </c>
      <c r="D2748" s="6" t="s">
        <v>408</v>
      </c>
      <c r="E2748" s="6" t="s">
        <v>409</v>
      </c>
      <c r="F2748" s="6" t="str">
        <f>IF($M2748="PADD I","PADD 1",IF($M2748="PADD II","PADD 2",IF($M2748="PADD III","PADD 3",IF($M2748="PADD IV","PADD 4",IF($M2748="PADD V","PADD 5","")))))</f>
        <v>PADD 3</v>
      </c>
      <c r="G2748" s="6">
        <f>IF(AND($H2748="ATMOS DISTILLATION",ISNUMBER(SEARCH("VPS",$I2748))=FALSE,LEFT($I2748,6)&lt;&gt;"VACUUM"),"CDU",IF($H2748="FLUID CAT CRACKING","FCC",IF(OR($H2748="HYDROCRACKING",$H2748="RESID_HYDROCRACKING"),"Hydrocracker",IF($H2748="REFORMING","Reformer",""))))</f>
        <v/>
      </c>
      <c r="H2748" s="6" t="s">
        <v>378</v>
      </c>
      <c r="I2748" s="6" t="s">
        <v>506</v>
      </c>
      <c r="J2748" s="6" t="s">
        <v>345</v>
      </c>
      <c r="K2748" s="10">
        <v>5.2</v>
      </c>
      <c r="L2748" s="10">
        <v>52</v>
      </c>
      <c r="M2748" s="6" t="s">
        <v>371</v>
      </c>
    </row>
    <row r="2749" spans="1:13">
      <c r="A2749" s="6">
        <v>2024</v>
      </c>
      <c r="B2749" s="6">
        <v>1</v>
      </c>
      <c r="C2749" s="6" t="s">
        <v>59</v>
      </c>
      <c r="D2749" s="6" t="s">
        <v>484</v>
      </c>
      <c r="E2749" s="6" t="s">
        <v>409</v>
      </c>
      <c r="F2749" s="6" t="str">
        <f>IF($M2749="PADD I","PADD 1",IF($M2749="PADD II","PADD 2",IF($M2749="PADD III","PADD 3",IF($M2749="PADD IV","PADD 4",IF($M2749="PADD V","PADD 5","")))))</f>
        <v>PADD 3</v>
      </c>
      <c r="G2749" s="6">
        <f>IF(AND($H2749="ATMOS DISTILLATION",ISNUMBER(SEARCH("VPS",$I2749))=FALSE,LEFT($I2749,6)&lt;&gt;"VACUUM"),"CDU",IF($H2749="FLUID CAT CRACKING","FCC",IF(OR($H2749="HYDROCRACKING",$H2749="RESID_HYDROCRACKING"),"Hydrocracker",IF($H2749="REFORMING","Reformer",""))))</f>
        <v/>
      </c>
      <c r="H2749" s="6" t="s">
        <v>43</v>
      </c>
      <c r="I2749" s="6" t="s">
        <v>493</v>
      </c>
      <c r="J2749" s="6" t="s">
        <v>345</v>
      </c>
      <c r="K2749" s="10">
        <v>5.2</v>
      </c>
      <c r="L2749" s="10">
        <v>10</v>
      </c>
      <c r="M2749" s="6" t="s">
        <v>371</v>
      </c>
    </row>
    <row r="2750" spans="1:13">
      <c r="A2750" s="6">
        <v>2024</v>
      </c>
      <c r="B2750" s="6">
        <v>1</v>
      </c>
      <c r="C2750" s="6" t="s">
        <v>59</v>
      </c>
      <c r="D2750" s="6" t="s">
        <v>615</v>
      </c>
      <c r="E2750" s="6" t="s">
        <v>405</v>
      </c>
      <c r="F2750" s="6" t="str">
        <f>IF($M2750="PADD I","PADD 1",IF($M2750="PADD II","PADD 2",IF($M2750="PADD III","PADD 3",IF($M2750="PADD IV","PADD 4",IF($M2750="PADD V","PADD 5","")))))</f>
        <v>PADD 5</v>
      </c>
      <c r="G2750" s="6" t="str">
        <f>IF(AND($H2750="ATMOS DISTILLATION",ISNUMBER(SEARCH("VPS",$I2750))=FALSE,LEFT($I2750,6)&lt;&gt;"VACUUM"),"CDU",IF($H2750="FLUID CAT CRACKING","FCC",IF(OR($H2750="HYDROCRACKING",$H2750="RESID_HYDROCRACKING"),"Hydrocracker",IF($H2750="REFORMING","Reformer",""))))</f>
        <v>Reformer</v>
      </c>
      <c r="H2750" s="6" t="s">
        <v>421</v>
      </c>
      <c r="I2750" s="6" t="s">
        <v>666</v>
      </c>
      <c r="J2750" s="6" t="s">
        <v>349</v>
      </c>
      <c r="K2750" s="10">
        <v>5.2</v>
      </c>
      <c r="L2750" s="10">
        <v>40</v>
      </c>
      <c r="M2750" s="6" t="s">
        <v>386</v>
      </c>
    </row>
    <row r="2751" spans="1:13">
      <c r="A2751" s="6">
        <v>2024</v>
      </c>
      <c r="B2751" s="6">
        <v>1</v>
      </c>
      <c r="C2751" s="6" t="s">
        <v>59</v>
      </c>
      <c r="D2751" s="6" t="s">
        <v>953</v>
      </c>
      <c r="E2751" s="6" t="s">
        <v>733</v>
      </c>
      <c r="F2751" s="6" t="str">
        <f>IF($M2751="PADD I","PADD 1",IF($M2751="PADD II","PADD 2",IF($M2751="PADD III","PADD 3",IF($M2751="PADD IV","PADD 4",IF($M2751="PADD V","PADD 5","")))))</f>
        <v>PADD 2</v>
      </c>
      <c r="G2751" s="6" t="str">
        <f>IF(AND($H2751="ATMOS DISTILLATION",ISNUMBER(SEARCH("VPS",$I2751))=FALSE,LEFT($I2751,6)&lt;&gt;"VACUUM"),"CDU",IF($H2751="FLUID CAT CRACKING","FCC",IF(OR($H2751="HYDROCRACKING",$H2751="RESID_HYDROCRACKING"),"Hydrocracker",IF($H2751="REFORMING","Reformer",""))))</f>
        <v>CDU</v>
      </c>
      <c r="H2751" s="6" t="s">
        <v>38</v>
      </c>
      <c r="I2751" s="6" t="s">
        <v>330</v>
      </c>
      <c r="J2751" s="6" t="s">
        <v>345</v>
      </c>
      <c r="K2751" s="10">
        <v>5</v>
      </c>
      <c r="L2751" s="10">
        <v>50</v>
      </c>
      <c r="M2751" s="6" t="s">
        <v>375</v>
      </c>
    </row>
    <row r="2752" spans="1:13">
      <c r="A2752" s="6">
        <v>2024</v>
      </c>
      <c r="B2752" s="6">
        <v>1</v>
      </c>
      <c r="C2752" s="6" t="s">
        <v>59</v>
      </c>
      <c r="D2752" s="6" t="s">
        <v>628</v>
      </c>
      <c r="E2752" s="6" t="s">
        <v>388</v>
      </c>
      <c r="F2752" s="6" t="str">
        <f>IF($M2752="PADD I","PADD 1",IF($M2752="PADD II","PADD 2",IF($M2752="PADD III","PADD 3",IF($M2752="PADD IV","PADD 4",IF($M2752="PADD V","PADD 5","")))))</f>
        <v>PADD 3</v>
      </c>
      <c r="G2752" s="6" t="str">
        <f>IF(AND($H2752="ATMOS DISTILLATION",ISNUMBER(SEARCH("VPS",$I2752))=FALSE,LEFT($I2752,6)&lt;&gt;"VACUUM"),"CDU",IF($H2752="FLUID CAT CRACKING","FCC",IF(OR($H2752="HYDROCRACKING",$H2752="RESID_HYDROCRACKING"),"Hydrocracker",IF($H2752="REFORMING","Reformer",""))))</f>
        <v>CDU</v>
      </c>
      <c r="H2752" s="6" t="s">
        <v>38</v>
      </c>
      <c r="I2752" s="6" t="s">
        <v>1048</v>
      </c>
      <c r="J2752" s="6" t="s">
        <v>349</v>
      </c>
      <c r="K2752" s="10">
        <v>5</v>
      </c>
      <c r="L2752" s="10">
        <v>50</v>
      </c>
      <c r="M2752" s="6" t="s">
        <v>371</v>
      </c>
    </row>
    <row r="2753" spans="1:13">
      <c r="A2753" s="6">
        <v>2024</v>
      </c>
      <c r="B2753" s="6">
        <v>1</v>
      </c>
      <c r="C2753" s="6" t="s">
        <v>59</v>
      </c>
      <c r="D2753" s="6" t="s">
        <v>408</v>
      </c>
      <c r="E2753" s="6" t="s">
        <v>409</v>
      </c>
      <c r="F2753" s="6" t="str">
        <f>IF($M2753="PADD I","PADD 1",IF($M2753="PADD II","PADD 2",IF($M2753="PADD III","PADD 3",IF($M2753="PADD IV","PADD 4",IF($M2753="PADD V","PADD 5","")))))</f>
        <v>PADD 3</v>
      </c>
      <c r="G2753" s="6" t="str">
        <f>IF(AND($H2753="ATMOS DISTILLATION",ISNUMBER(SEARCH("VPS",$I2753))=FALSE,LEFT($I2753,6)&lt;&gt;"VACUUM"),"CDU",IF($H2753="FLUID CAT CRACKING","FCC",IF(OR($H2753="HYDROCRACKING",$H2753="RESID_HYDROCRACKING"),"Hydrocracker",IF($H2753="REFORMING","Reformer",""))))</f>
        <v>CDU</v>
      </c>
      <c r="H2753" s="6" t="s">
        <v>38</v>
      </c>
      <c r="I2753" s="6" t="s">
        <v>410</v>
      </c>
      <c r="J2753" s="6" t="s">
        <v>345</v>
      </c>
      <c r="K2753" s="10">
        <v>4.5</v>
      </c>
      <c r="L2753" s="10">
        <v>150</v>
      </c>
      <c r="M2753" s="6" t="s">
        <v>371</v>
      </c>
    </row>
    <row r="2754" spans="1:13">
      <c r="A2754" s="6">
        <v>2024</v>
      </c>
      <c r="B2754" s="6">
        <v>1</v>
      </c>
      <c r="C2754" s="6" t="s">
        <v>59</v>
      </c>
      <c r="D2754" s="6" t="s">
        <v>1101</v>
      </c>
      <c r="E2754" s="6" t="s">
        <v>881</v>
      </c>
      <c r="F2754" s="6" t="str">
        <f>IF($M2754="PADD I","PADD 1",IF($M2754="PADD II","PADD 2",IF($M2754="PADD III","PADD 3",IF($M2754="PADD IV","PADD 4",IF($M2754="PADD V","PADD 5","")))))</f>
        <v>PADD 3</v>
      </c>
      <c r="G2754" s="6" t="str">
        <f>IF(AND($H2754="ATMOS DISTILLATION",ISNUMBER(SEARCH("VPS",$I2754))=FALSE,LEFT($I2754,6)&lt;&gt;"VACUUM"),"CDU",IF($H2754="FLUID CAT CRACKING","FCC",IF(OR($H2754="HYDROCRACKING",$H2754="RESID_HYDROCRACKING"),"Hydrocracker",IF($H2754="REFORMING","Reformer",""))))</f>
        <v>CDU</v>
      </c>
      <c r="H2754" s="6" t="s">
        <v>38</v>
      </c>
      <c r="I2754" s="6" t="s">
        <v>81</v>
      </c>
      <c r="J2754" s="6" t="s">
        <v>349</v>
      </c>
      <c r="K2754" s="10">
        <v>4.5</v>
      </c>
      <c r="L2754" s="10">
        <v>10</v>
      </c>
      <c r="M2754" s="6" t="s">
        <v>371</v>
      </c>
    </row>
    <row r="2755" spans="1:13">
      <c r="A2755" s="6">
        <v>2024</v>
      </c>
      <c r="B2755" s="6">
        <v>1</v>
      </c>
      <c r="C2755" s="6" t="s">
        <v>59</v>
      </c>
      <c r="D2755" s="6" t="s">
        <v>462</v>
      </c>
      <c r="E2755" s="6" t="s">
        <v>438</v>
      </c>
      <c r="F2755" s="6" t="str">
        <f>IF($M2755="PADD I","PADD 1",IF($M2755="PADD II","PADD 2",IF($M2755="PADD III","PADD 3",IF($M2755="PADD IV","PADD 4",IF($M2755="PADD V","PADD 5","")))))</f>
        <v>PADD 4</v>
      </c>
      <c r="G2755" s="6">
        <f>IF(AND($H2755="ATMOS DISTILLATION",ISNUMBER(SEARCH("VPS",$I2755))=FALSE,LEFT($I2755,6)&lt;&gt;"VACUUM"),"CDU",IF($H2755="FLUID CAT CRACKING","FCC",IF(OR($H2755="HYDROCRACKING",$H2755="RESID_HYDROCRACKING"),"Hydrocracker",IF($H2755="REFORMING","Reformer",""))))</f>
        <v/>
      </c>
      <c r="H2755" s="6" t="s">
        <v>378</v>
      </c>
      <c r="I2755" s="6" t="s">
        <v>555</v>
      </c>
      <c r="J2755" s="6" t="s">
        <v>345</v>
      </c>
      <c r="K2755" s="10">
        <v>4.3576</v>
      </c>
      <c r="L2755" s="10">
        <v>8.380000000000001</v>
      </c>
      <c r="M2755" s="6" t="s">
        <v>430</v>
      </c>
    </row>
    <row r="2756" spans="1:13">
      <c r="A2756" s="6">
        <v>2024</v>
      </c>
      <c r="B2756" s="6">
        <v>1</v>
      </c>
      <c r="C2756" s="6" t="s">
        <v>59</v>
      </c>
      <c r="D2756" s="6" t="s">
        <v>462</v>
      </c>
      <c r="E2756" s="6" t="s">
        <v>438</v>
      </c>
      <c r="F2756" s="6" t="str">
        <f>IF($M2756="PADD I","PADD 1",IF($M2756="PADD II","PADD 2",IF($M2756="PADD III","PADD 3",IF($M2756="PADD IV","PADD 4",IF($M2756="PADD V","PADD 5","")))))</f>
        <v>PADD 4</v>
      </c>
      <c r="G2756" s="6">
        <f>IF(AND($H2756="ATMOS DISTILLATION",ISNUMBER(SEARCH("VPS",$I2756))=FALSE,LEFT($I2756,6)&lt;&gt;"VACUUM"),"CDU",IF($H2756="FLUID CAT CRACKING","FCC",IF(OR($H2756="HYDROCRACKING",$H2756="RESID_HYDROCRACKING"),"Hydrocracker",IF($H2756="REFORMING","Reformer",""))))</f>
        <v/>
      </c>
      <c r="H2756" s="6" t="s">
        <v>378</v>
      </c>
      <c r="I2756" s="6" t="s">
        <v>555</v>
      </c>
      <c r="J2756" s="6" t="s">
        <v>345</v>
      </c>
      <c r="K2756" s="10">
        <v>4.316</v>
      </c>
      <c r="L2756" s="10">
        <v>8.300000000000001</v>
      </c>
      <c r="M2756" s="6" t="s">
        <v>430</v>
      </c>
    </row>
    <row r="2757" spans="1:13">
      <c r="A2757" s="6">
        <v>2024</v>
      </c>
      <c r="B2757" s="6">
        <v>1</v>
      </c>
      <c r="C2757" s="6" t="s">
        <v>59</v>
      </c>
      <c r="D2757" s="6" t="s">
        <v>437</v>
      </c>
      <c r="E2757" s="6" t="s">
        <v>438</v>
      </c>
      <c r="F2757" s="6" t="str">
        <f>IF($M2757="PADD I","PADD 1",IF($M2757="PADD II","PADD 2",IF($M2757="PADD III","PADD 3",IF($M2757="PADD IV","PADD 4",IF($M2757="PADD V","PADD 5","")))))</f>
        <v>PADD 4</v>
      </c>
      <c r="G2757" s="6">
        <f>IF(AND($H2757="ATMOS DISTILLATION",ISNUMBER(SEARCH("VPS",$I2757))=FALSE,LEFT($I2757,6)&lt;&gt;"VACUUM"),"CDU",IF($H2757="FLUID CAT CRACKING","FCC",IF(OR($H2757="HYDROCRACKING",$H2757="RESID_HYDROCRACKING"),"Hydrocracker",IF($H2757="REFORMING","Reformer",""))))</f>
        <v/>
      </c>
      <c r="H2757" s="6" t="s">
        <v>378</v>
      </c>
      <c r="I2757" s="6" t="s">
        <v>556</v>
      </c>
      <c r="J2757" s="6" t="s">
        <v>345</v>
      </c>
      <c r="K2757" s="10">
        <v>4.316</v>
      </c>
      <c r="L2757" s="10">
        <v>8.300000000000001</v>
      </c>
      <c r="M2757" s="6" t="s">
        <v>430</v>
      </c>
    </row>
    <row r="2758" spans="1:13">
      <c r="A2758" s="6">
        <v>2024</v>
      </c>
      <c r="B2758" s="6">
        <v>1</v>
      </c>
      <c r="C2758" s="6" t="s">
        <v>59</v>
      </c>
      <c r="D2758" s="6" t="s">
        <v>518</v>
      </c>
      <c r="E2758" s="6" t="s">
        <v>369</v>
      </c>
      <c r="F2758" s="6" t="str">
        <f>IF($M2758="PADD I","PADD 1",IF($M2758="PADD II","PADD 2",IF($M2758="PADD III","PADD 3",IF($M2758="PADD IV","PADD 4",IF($M2758="PADD V","PADD 5","")))))</f>
        <v>PADD 5</v>
      </c>
      <c r="G2758" s="6" t="str">
        <f>IF(AND($H2758="ATMOS DISTILLATION",ISNUMBER(SEARCH("VPS",$I2758))=FALSE,LEFT($I2758,6)&lt;&gt;"VACUUM"),"CDU",IF($H2758="FLUID CAT CRACKING","FCC",IF(OR($H2758="HYDROCRACKING",$H2758="RESID_HYDROCRACKING"),"Hydrocracker",IF($H2758="REFORMING","Reformer",""))))</f>
        <v>Reformer</v>
      </c>
      <c r="H2758" s="6" t="s">
        <v>421</v>
      </c>
      <c r="I2758" s="6" t="s">
        <v>845</v>
      </c>
      <c r="J2758" s="6" t="s">
        <v>345</v>
      </c>
      <c r="K2758" s="10">
        <v>4.255</v>
      </c>
      <c r="L2758" s="10">
        <v>18.5</v>
      </c>
      <c r="M2758" s="6" t="s">
        <v>386</v>
      </c>
    </row>
    <row r="2759" spans="1:13">
      <c r="A2759" s="6">
        <v>2024</v>
      </c>
      <c r="B2759" s="6">
        <v>1</v>
      </c>
      <c r="C2759" s="6" t="s">
        <v>59</v>
      </c>
      <c r="D2759" s="6" t="s">
        <v>518</v>
      </c>
      <c r="E2759" s="6" t="s">
        <v>369</v>
      </c>
      <c r="F2759" s="6" t="str">
        <f>IF($M2759="PADD I","PADD 1",IF($M2759="PADD II","PADD 2",IF($M2759="PADD III","PADD 3",IF($M2759="PADD IV","PADD 4",IF($M2759="PADD V","PADD 5","")))))</f>
        <v>PADD 5</v>
      </c>
      <c r="G2759" s="6" t="str">
        <f>IF(AND($H2759="ATMOS DISTILLATION",ISNUMBER(SEARCH("VPS",$I2759))=FALSE,LEFT($I2759,6)&lt;&gt;"VACUUM"),"CDU",IF($H2759="FLUID CAT CRACKING","FCC",IF(OR($H2759="HYDROCRACKING",$H2759="RESID_HYDROCRACKING"),"Hydrocracker",IF($H2759="REFORMING","Reformer",""))))</f>
        <v>Reformer</v>
      </c>
      <c r="H2759" s="6" t="s">
        <v>421</v>
      </c>
      <c r="I2759" s="6" t="s">
        <v>586</v>
      </c>
      <c r="J2759" s="6" t="s">
        <v>345</v>
      </c>
      <c r="K2759" s="10">
        <v>4.255</v>
      </c>
      <c r="L2759" s="10">
        <v>18.5</v>
      </c>
      <c r="M2759" s="6" t="s">
        <v>386</v>
      </c>
    </row>
    <row r="2760" spans="1:13">
      <c r="A2760" s="6">
        <v>2024</v>
      </c>
      <c r="B2760" s="6">
        <v>1</v>
      </c>
      <c r="C2760" s="6" t="s">
        <v>59</v>
      </c>
      <c r="D2760" s="6" t="s">
        <v>457</v>
      </c>
      <c r="E2760" s="6" t="s">
        <v>388</v>
      </c>
      <c r="F2760" s="6" t="str">
        <f>IF($M2760="PADD I","PADD 1",IF($M2760="PADD II","PADD 2",IF($M2760="PADD III","PADD 3",IF($M2760="PADD IV","PADD 4",IF($M2760="PADD V","PADD 5","")))))</f>
        <v>PADD 5</v>
      </c>
      <c r="G2760" s="6">
        <f>IF(AND($H2760="ATMOS DISTILLATION",ISNUMBER(SEARCH("VPS",$I2760))=FALSE,LEFT($I2760,6)&lt;&gt;"VACUUM"),"CDU",IF($H2760="FLUID CAT CRACKING","FCC",IF(OR($H2760="HYDROCRACKING",$H2760="RESID_HYDROCRACKING"),"Hydrocracker",IF($H2760="REFORMING","Reformer",""))))</f>
        <v/>
      </c>
      <c r="H2760" s="6" t="s">
        <v>460</v>
      </c>
      <c r="I2760" s="6" t="s">
        <v>461</v>
      </c>
      <c r="J2760" s="6" t="s">
        <v>349</v>
      </c>
      <c r="K2760" s="10">
        <v>4.225</v>
      </c>
      <c r="L2760" s="10">
        <v>6.5</v>
      </c>
      <c r="M2760" s="6" t="s">
        <v>386</v>
      </c>
    </row>
    <row r="2761" spans="1:13">
      <c r="A2761" s="6">
        <v>2024</v>
      </c>
      <c r="B2761" s="6">
        <v>1</v>
      </c>
      <c r="C2761" s="6" t="s">
        <v>59</v>
      </c>
      <c r="D2761" s="6" t="s">
        <v>395</v>
      </c>
      <c r="E2761" s="6" t="s">
        <v>396</v>
      </c>
      <c r="F2761" s="6" t="str">
        <f>IF($M2761="PADD I","PADD 1",IF($M2761="PADD II","PADD 2",IF($M2761="PADD III","PADD 3",IF($M2761="PADD IV","PADD 4",IF($M2761="PADD V","PADD 5","")))))</f>
        <v>PADD 3</v>
      </c>
      <c r="G2761" s="6">
        <f>IF(AND($H2761="ATMOS DISTILLATION",ISNUMBER(SEARCH("VPS",$I2761))=FALSE,LEFT($I2761,6)&lt;&gt;"VACUUM"),"CDU",IF($H2761="FLUID CAT CRACKING","FCC",IF(OR($H2761="HYDROCRACKING",$H2761="RESID_HYDROCRACKING"),"Hydrocracker",IF($H2761="REFORMING","Reformer",""))))</f>
        <v/>
      </c>
      <c r="H2761" s="6" t="s">
        <v>43</v>
      </c>
      <c r="I2761" s="6" t="s">
        <v>499</v>
      </c>
      <c r="J2761" s="6" t="s">
        <v>345</v>
      </c>
      <c r="K2761" s="10">
        <v>4.176</v>
      </c>
      <c r="L2761" s="10">
        <v>14.4</v>
      </c>
      <c r="M2761" s="6" t="s">
        <v>371</v>
      </c>
    </row>
    <row r="2762" spans="1:13">
      <c r="A2762" s="6">
        <v>2024</v>
      </c>
      <c r="B2762" s="6">
        <v>1</v>
      </c>
      <c r="C2762" s="6" t="s">
        <v>59</v>
      </c>
      <c r="D2762" s="6" t="s">
        <v>40</v>
      </c>
      <c r="E2762" s="6" t="s">
        <v>736</v>
      </c>
      <c r="F2762" s="6" t="str">
        <f>IF($M2762="PADD I","PADD 1",IF($M2762="PADD II","PADD 2",IF($M2762="PADD III","PADD 3",IF($M2762="PADD IV","PADD 4",IF($M2762="PADD V","PADD 5","")))))</f>
        <v>PADD 1</v>
      </c>
      <c r="G2762" s="6">
        <f>IF(AND($H2762="ATMOS DISTILLATION",ISNUMBER(SEARCH("VPS",$I2762))=FALSE,LEFT($I2762,6)&lt;&gt;"VACUUM"),"CDU",IF($H2762="FLUID CAT CRACKING","FCC",IF(OR($H2762="HYDROCRACKING",$H2762="RESID_HYDROCRACKING"),"Hydrocracker",IF($H2762="REFORMING","Reformer",""))))</f>
        <v/>
      </c>
      <c r="H2762" s="6" t="s">
        <v>378</v>
      </c>
      <c r="I2762" s="6" t="s">
        <v>1009</v>
      </c>
      <c r="J2762" s="6" t="s">
        <v>345</v>
      </c>
      <c r="K2762" s="10">
        <v>4.16</v>
      </c>
      <c r="L2762" s="10">
        <v>26</v>
      </c>
      <c r="M2762" s="6" t="s">
        <v>413</v>
      </c>
    </row>
    <row r="2763" spans="1:13">
      <c r="A2763" s="6">
        <v>2024</v>
      </c>
      <c r="B2763" s="6">
        <v>1</v>
      </c>
      <c r="C2763" s="6" t="s">
        <v>59</v>
      </c>
      <c r="D2763" s="6" t="s">
        <v>395</v>
      </c>
      <c r="E2763" s="6" t="s">
        <v>396</v>
      </c>
      <c r="F2763" s="6" t="str">
        <f>IF($M2763="PADD I","PADD 1",IF($M2763="PADD II","PADD 2",IF($M2763="PADD III","PADD 3",IF($M2763="PADD IV","PADD 4",IF($M2763="PADD V","PADD 5","")))))</f>
        <v>PADD 3</v>
      </c>
      <c r="G2763" s="6" t="str">
        <f>IF(AND($H2763="ATMOS DISTILLATION",ISNUMBER(SEARCH("VPS",$I2763))=FALSE,LEFT($I2763,6)&lt;&gt;"VACUUM"),"CDU",IF($H2763="FLUID CAT CRACKING","FCC",IF(OR($H2763="HYDROCRACKING",$H2763="RESID_HYDROCRACKING"),"Hydrocracker",IF($H2763="REFORMING","Reformer",""))))</f>
        <v>CDU</v>
      </c>
      <c r="H2763" s="6" t="s">
        <v>38</v>
      </c>
      <c r="I2763" s="6" t="s">
        <v>510</v>
      </c>
      <c r="J2763" s="6" t="s">
        <v>345</v>
      </c>
      <c r="K2763" s="10">
        <v>4.06</v>
      </c>
      <c r="L2763" s="10">
        <v>14</v>
      </c>
      <c r="M2763" s="6" t="s">
        <v>371</v>
      </c>
    </row>
    <row r="2764" spans="1:13">
      <c r="A2764" s="6">
        <v>2024</v>
      </c>
      <c r="B2764" s="6">
        <v>1</v>
      </c>
      <c r="C2764" s="6" t="s">
        <v>59</v>
      </c>
      <c r="D2764" s="6" t="s">
        <v>395</v>
      </c>
      <c r="E2764" s="6" t="s">
        <v>396</v>
      </c>
      <c r="F2764" s="6" t="str">
        <f>IF($M2764="PADD I","PADD 1",IF($M2764="PADD II","PADD 2",IF($M2764="PADD III","PADD 3",IF($M2764="PADD IV","PADD 4",IF($M2764="PADD V","PADD 5","")))))</f>
        <v>PADD 3</v>
      </c>
      <c r="G2764" s="6" t="str">
        <f>IF(AND($H2764="ATMOS DISTILLATION",ISNUMBER(SEARCH("VPS",$I2764))=FALSE,LEFT($I2764,6)&lt;&gt;"VACUUM"),"CDU",IF($H2764="FLUID CAT CRACKING","FCC",IF(OR($H2764="HYDROCRACKING",$H2764="RESID_HYDROCRACKING"),"Hydrocracker",IF($H2764="REFORMING","Reformer",""))))</f>
        <v>FCC</v>
      </c>
      <c r="H2764" s="6" t="s">
        <v>376</v>
      </c>
      <c r="I2764" s="6" t="s">
        <v>105</v>
      </c>
      <c r="J2764" s="6" t="s">
        <v>345</v>
      </c>
      <c r="K2764" s="10">
        <v>4.06</v>
      </c>
      <c r="L2764" s="10">
        <v>14</v>
      </c>
      <c r="M2764" s="6" t="s">
        <v>371</v>
      </c>
    </row>
    <row r="2765" spans="1:13">
      <c r="A2765" s="6">
        <v>2024</v>
      </c>
      <c r="B2765" s="6">
        <v>1</v>
      </c>
      <c r="C2765" s="6" t="s">
        <v>59</v>
      </c>
      <c r="D2765" s="6" t="s">
        <v>395</v>
      </c>
      <c r="E2765" s="6" t="s">
        <v>396</v>
      </c>
      <c r="F2765" s="6" t="str">
        <f>IF($M2765="PADD I","PADD 1",IF($M2765="PADD II","PADD 2",IF($M2765="PADD III","PADD 3",IF($M2765="PADD IV","PADD 4",IF($M2765="PADD V","PADD 5","")))))</f>
        <v>PADD 3</v>
      </c>
      <c r="G2765" s="6" t="str">
        <f>IF(AND($H2765="ATMOS DISTILLATION",ISNUMBER(SEARCH("VPS",$I2765))=FALSE,LEFT($I2765,6)&lt;&gt;"VACUUM"),"CDU",IF($H2765="FLUID CAT CRACKING","FCC",IF(OR($H2765="HYDROCRACKING",$H2765="RESID_HYDROCRACKING"),"Hydrocracker",IF($H2765="REFORMING","Reformer",""))))</f>
        <v>Hydrocracker</v>
      </c>
      <c r="H2765" s="6" t="s">
        <v>444</v>
      </c>
      <c r="I2765" s="6" t="s">
        <v>512</v>
      </c>
      <c r="J2765" s="6" t="s">
        <v>345</v>
      </c>
      <c r="K2765" s="10">
        <v>4.02</v>
      </c>
      <c r="L2765" s="10">
        <v>67</v>
      </c>
      <c r="M2765" s="6" t="s">
        <v>371</v>
      </c>
    </row>
    <row r="2766" spans="1:13">
      <c r="A2766" s="6">
        <v>2024</v>
      </c>
      <c r="B2766" s="6">
        <v>1</v>
      </c>
      <c r="C2766" s="6" t="s">
        <v>59</v>
      </c>
      <c r="D2766" s="6" t="s">
        <v>40</v>
      </c>
      <c r="E2766" s="6" t="s">
        <v>736</v>
      </c>
      <c r="F2766" s="6" t="str">
        <f>IF($M2766="PADD I","PADD 1",IF($M2766="PADD II","PADD 2",IF($M2766="PADD III","PADD 3",IF($M2766="PADD IV","PADD 4",IF($M2766="PADD V","PADD 5","")))))</f>
        <v>PADD 1</v>
      </c>
      <c r="G2766" s="6">
        <f>IF(AND($H2766="ATMOS DISTILLATION",ISNUMBER(SEARCH("VPS",$I2766))=FALSE,LEFT($I2766,6)&lt;&gt;"VACUUM"),"CDU",IF($H2766="FLUID CAT CRACKING","FCC",IF(OR($H2766="HYDROCRACKING",$H2766="RESID_HYDROCRACKING"),"Hydrocracker",IF($H2766="REFORMING","Reformer",""))))</f>
        <v/>
      </c>
      <c r="H2766" s="6" t="s">
        <v>43</v>
      </c>
      <c r="I2766" s="6" t="s">
        <v>1003</v>
      </c>
      <c r="J2766" s="6" t="s">
        <v>345</v>
      </c>
      <c r="K2766" s="10">
        <v>4</v>
      </c>
      <c r="L2766" s="10">
        <v>40</v>
      </c>
      <c r="M2766" s="6" t="s">
        <v>413</v>
      </c>
    </row>
    <row r="2767" spans="1:13">
      <c r="A2767" s="6">
        <v>2024</v>
      </c>
      <c r="B2767" s="6">
        <v>1</v>
      </c>
      <c r="C2767" s="6" t="s">
        <v>59</v>
      </c>
      <c r="D2767" s="6" t="s">
        <v>335</v>
      </c>
      <c r="E2767" s="6" t="s">
        <v>369</v>
      </c>
      <c r="F2767" s="6" t="str">
        <f>IF($M2767="PADD I","PADD 1",IF($M2767="PADD II","PADD 2",IF($M2767="PADD III","PADD 3",IF($M2767="PADD IV","PADD 4",IF($M2767="PADD V","PADD 5","")))))</f>
        <v>PADD 3</v>
      </c>
      <c r="G2767" s="6" t="str">
        <f>IF(AND($H2767="ATMOS DISTILLATION",ISNUMBER(SEARCH("VPS",$I2767))=FALSE,LEFT($I2767,6)&lt;&gt;"VACUUM"),"CDU",IF($H2767="FLUID CAT CRACKING","FCC",IF(OR($H2767="HYDROCRACKING",$H2767="RESID_HYDROCRACKING"),"Hydrocracker",IF($H2767="REFORMING","Reformer",""))))</f>
        <v>FCC</v>
      </c>
      <c r="H2767" s="6" t="s">
        <v>376</v>
      </c>
      <c r="I2767" s="6" t="s">
        <v>472</v>
      </c>
      <c r="J2767" s="6" t="s">
        <v>345</v>
      </c>
      <c r="K2767" s="10">
        <v>3.9</v>
      </c>
      <c r="L2767" s="10">
        <v>30</v>
      </c>
      <c r="M2767" s="6" t="s">
        <v>371</v>
      </c>
    </row>
    <row r="2768" spans="1:13">
      <c r="A2768" s="6">
        <v>2024</v>
      </c>
      <c r="B2768" s="6">
        <v>1</v>
      </c>
      <c r="C2768" s="6" t="s">
        <v>59</v>
      </c>
      <c r="D2768" s="6" t="s">
        <v>395</v>
      </c>
      <c r="E2768" s="6" t="s">
        <v>396</v>
      </c>
      <c r="F2768" s="6" t="str">
        <f>IF($M2768="PADD I","PADD 1",IF($M2768="PADD II","PADD 2",IF($M2768="PADD III","PADD 3",IF($M2768="PADD IV","PADD 4",IF($M2768="PADD V","PADD 5","")))))</f>
        <v>PADD 3</v>
      </c>
      <c r="G2768" s="6" t="str">
        <f>IF(AND($H2768="ATMOS DISTILLATION",ISNUMBER(SEARCH("VPS",$I2768))=FALSE,LEFT($I2768,6)&lt;&gt;"VACUUM"),"CDU",IF($H2768="FLUID CAT CRACKING","FCC",IF(OR($H2768="HYDROCRACKING",$H2768="RESID_HYDROCRACKING"),"Hydrocracker",IF($H2768="REFORMING","Reformer",""))))</f>
        <v>Hydrocracker</v>
      </c>
      <c r="H2768" s="6" t="s">
        <v>444</v>
      </c>
      <c r="I2768" s="6" t="s">
        <v>512</v>
      </c>
      <c r="J2768" s="6" t="s">
        <v>345</v>
      </c>
      <c r="K2768" s="10">
        <v>3.886</v>
      </c>
      <c r="L2768" s="10">
        <v>13.4</v>
      </c>
      <c r="M2768" s="6" t="s">
        <v>371</v>
      </c>
    </row>
    <row r="2769" spans="1:13">
      <c r="A2769" s="6">
        <v>2024</v>
      </c>
      <c r="B2769" s="6">
        <v>1</v>
      </c>
      <c r="C2769" s="6" t="s">
        <v>59</v>
      </c>
      <c r="D2769" s="6" t="s">
        <v>437</v>
      </c>
      <c r="E2769" s="6" t="s">
        <v>438</v>
      </c>
      <c r="F2769" s="6" t="str">
        <f>IF($M2769="PADD I","PADD 1",IF($M2769="PADD II","PADD 2",IF($M2769="PADD III","PADD 3",IF($M2769="PADD IV","PADD 4",IF($M2769="PADD V","PADD 5","")))))</f>
        <v>PADD 4</v>
      </c>
      <c r="G2769" s="6" t="str">
        <f>IF(AND($H2769="ATMOS DISTILLATION",ISNUMBER(SEARCH("VPS",$I2769))=FALSE,LEFT($I2769,6)&lt;&gt;"VACUUM"),"CDU",IF($H2769="FLUID CAT CRACKING","FCC",IF(OR($H2769="HYDROCRACKING",$H2769="RESID_HYDROCRACKING"),"Hydrocracker",IF($H2769="REFORMING","Reformer",""))))</f>
        <v>CDU</v>
      </c>
      <c r="H2769" s="6" t="s">
        <v>38</v>
      </c>
      <c r="I2769" s="6" t="s">
        <v>439</v>
      </c>
      <c r="J2769" s="6" t="s">
        <v>345</v>
      </c>
      <c r="K2769" s="10">
        <v>3.8</v>
      </c>
      <c r="L2769" s="10">
        <v>38</v>
      </c>
      <c r="M2769" s="6" t="s">
        <v>430</v>
      </c>
    </row>
    <row r="2770" spans="1:13">
      <c r="A2770" s="6">
        <v>2024</v>
      </c>
      <c r="B2770" s="6">
        <v>1</v>
      </c>
      <c r="C2770" s="6" t="s">
        <v>59</v>
      </c>
      <c r="D2770" s="6" t="s">
        <v>953</v>
      </c>
      <c r="E2770" s="6" t="s">
        <v>733</v>
      </c>
      <c r="F2770" s="6" t="str">
        <f>IF($M2770="PADD I","PADD 1",IF($M2770="PADD II","PADD 2",IF($M2770="PADD III","PADD 3",IF($M2770="PADD IV","PADD 4",IF($M2770="PADD V","PADD 5","")))))</f>
        <v>PADD 2</v>
      </c>
      <c r="G2770" s="6">
        <f>IF(AND($H2770="ATMOS DISTILLATION",ISNUMBER(SEARCH("VPS",$I2770))=FALSE,LEFT($I2770,6)&lt;&gt;"VACUUM"),"CDU",IF($H2770="FLUID CAT CRACKING","FCC",IF(OR($H2770="HYDROCRACKING",$H2770="RESID_HYDROCRACKING"),"Hydrocracker",IF($H2770="REFORMING","Reformer",""))))</f>
        <v/>
      </c>
      <c r="H2770" s="6" t="s">
        <v>378</v>
      </c>
      <c r="I2770" s="6" t="s">
        <v>431</v>
      </c>
      <c r="J2770" s="6" t="s">
        <v>345</v>
      </c>
      <c r="K2770" s="10">
        <v>3.75</v>
      </c>
      <c r="L2770" s="10">
        <v>37.5</v>
      </c>
      <c r="M2770" s="6" t="s">
        <v>375</v>
      </c>
    </row>
    <row r="2771" spans="1:13">
      <c r="A2771" s="6">
        <v>2024</v>
      </c>
      <c r="B2771" s="6">
        <v>1</v>
      </c>
      <c r="C2771" s="6" t="s">
        <v>59</v>
      </c>
      <c r="D2771" s="6" t="s">
        <v>1101</v>
      </c>
      <c r="E2771" s="6" t="s">
        <v>881</v>
      </c>
      <c r="F2771" s="6" t="str">
        <f>IF($M2771="PADD I","PADD 1",IF($M2771="PADD II","PADD 2",IF($M2771="PADD III","PADD 3",IF($M2771="PADD IV","PADD 4",IF($M2771="PADD V","PADD 5","")))))</f>
        <v>PADD 3</v>
      </c>
      <c r="G2771" s="6">
        <f>IF(AND($H2771="ATMOS DISTILLATION",ISNUMBER(SEARCH("VPS",$I2771))=FALSE,LEFT($I2771,6)&lt;&gt;"VACUUM"),"CDU",IF($H2771="FLUID CAT CRACKING","FCC",IF(OR($H2771="HYDROCRACKING",$H2771="RESID_HYDROCRACKING"),"Hydrocracker",IF($H2771="REFORMING","Reformer",""))))</f>
        <v/>
      </c>
      <c r="H2771" s="6" t="s">
        <v>43</v>
      </c>
      <c r="I2771" s="6" t="s">
        <v>1102</v>
      </c>
      <c r="J2771" s="6" t="s">
        <v>349</v>
      </c>
      <c r="K2771" s="10">
        <v>3.6</v>
      </c>
      <c r="L2771" s="10">
        <v>8</v>
      </c>
      <c r="M2771" s="6" t="s">
        <v>371</v>
      </c>
    </row>
    <row r="2772" spans="1:13">
      <c r="A2772" s="6">
        <v>2024</v>
      </c>
      <c r="B2772" s="6">
        <v>1</v>
      </c>
      <c r="C2772" s="6" t="s">
        <v>59</v>
      </c>
      <c r="D2772" s="6" t="s">
        <v>434</v>
      </c>
      <c r="E2772" s="6" t="s">
        <v>388</v>
      </c>
      <c r="F2772" s="6" t="str">
        <f>IF($M2772="PADD I","PADD 1",IF($M2772="PADD II","PADD 2",IF($M2772="PADD III","PADD 3",IF($M2772="PADD IV","PADD 4",IF($M2772="PADD V","PADD 5","")))))</f>
        <v>PADD 5</v>
      </c>
      <c r="G2772" s="6" t="str">
        <f>IF(AND($H2772="ATMOS DISTILLATION",ISNUMBER(SEARCH("VPS",$I2772))=FALSE,LEFT($I2772,6)&lt;&gt;"VACUUM"),"CDU",IF($H2772="FLUID CAT CRACKING","FCC",IF(OR($H2772="HYDROCRACKING",$H2772="RESID_HYDROCRACKING"),"Hydrocracker",IF($H2772="REFORMING","Reformer",""))))</f>
        <v>Reformer</v>
      </c>
      <c r="H2772" s="6" t="s">
        <v>421</v>
      </c>
      <c r="I2772" s="6" t="s">
        <v>671</v>
      </c>
      <c r="J2772" s="6" t="s">
        <v>345</v>
      </c>
      <c r="K2772" s="10">
        <v>3.45</v>
      </c>
      <c r="L2772" s="10">
        <v>15</v>
      </c>
      <c r="M2772" s="6" t="s">
        <v>386</v>
      </c>
    </row>
    <row r="2773" spans="1:13">
      <c r="A2773" s="6">
        <v>2024</v>
      </c>
      <c r="B2773" s="6">
        <v>1</v>
      </c>
      <c r="C2773" s="6" t="s">
        <v>59</v>
      </c>
      <c r="D2773" s="6" t="s">
        <v>40</v>
      </c>
      <c r="E2773" s="6" t="s">
        <v>736</v>
      </c>
      <c r="F2773" s="6" t="str">
        <f>IF($M2773="PADD I","PADD 1",IF($M2773="PADD II","PADD 2",IF($M2773="PADD III","PADD 3",IF($M2773="PADD IV","PADD 4",IF($M2773="PADD V","PADD 5","")))))</f>
        <v>PADD 1</v>
      </c>
      <c r="G2773" s="6">
        <f>IF(AND($H2773="ATMOS DISTILLATION",ISNUMBER(SEARCH("VPS",$I2773))=FALSE,LEFT($I2773,6)&lt;&gt;"VACUUM"),"CDU",IF($H2773="FLUID CAT CRACKING","FCC",IF(OR($H2773="HYDROCRACKING",$H2773="RESID_HYDROCRACKING"),"Hydrocracker",IF($H2773="REFORMING","Reformer",""))))</f>
        <v/>
      </c>
      <c r="H2773" s="6" t="s">
        <v>43</v>
      </c>
      <c r="I2773" s="6" t="s">
        <v>1011</v>
      </c>
      <c r="J2773" s="6" t="s">
        <v>345</v>
      </c>
      <c r="K2773" s="10">
        <v>3.38</v>
      </c>
      <c r="L2773" s="10">
        <v>26</v>
      </c>
      <c r="M2773" s="6" t="s">
        <v>413</v>
      </c>
    </row>
    <row r="2774" spans="1:13">
      <c r="A2774" s="6">
        <v>2024</v>
      </c>
      <c r="B2774" s="6">
        <v>1</v>
      </c>
      <c r="C2774" s="6" t="s">
        <v>59</v>
      </c>
      <c r="D2774" s="6" t="s">
        <v>40</v>
      </c>
      <c r="E2774" s="6" t="s">
        <v>736</v>
      </c>
      <c r="F2774" s="6" t="str">
        <f>IF($M2774="PADD I","PADD 1",IF($M2774="PADD II","PADD 2",IF($M2774="PADD III","PADD 3",IF($M2774="PADD IV","PADD 4",IF($M2774="PADD V","PADD 5","")))))</f>
        <v>PADD 1</v>
      </c>
      <c r="G2774" s="6">
        <f>IF(AND($H2774="ATMOS DISTILLATION",ISNUMBER(SEARCH("VPS",$I2774))=FALSE,LEFT($I2774,6)&lt;&gt;"VACUUM"),"CDU",IF($H2774="FLUID CAT CRACKING","FCC",IF(OR($H2774="HYDROCRACKING",$H2774="RESID_HYDROCRACKING"),"Hydrocracker",IF($H2774="REFORMING","Reformer",""))))</f>
        <v/>
      </c>
      <c r="H2774" s="6" t="s">
        <v>378</v>
      </c>
      <c r="I2774" s="6" t="s">
        <v>963</v>
      </c>
      <c r="J2774" s="6" t="s">
        <v>345</v>
      </c>
      <c r="K2774" s="10">
        <v>3.38</v>
      </c>
      <c r="L2774" s="10">
        <v>26</v>
      </c>
      <c r="M2774" s="6" t="s">
        <v>413</v>
      </c>
    </row>
    <row r="2775" spans="1:13">
      <c r="A2775" s="6">
        <v>2024</v>
      </c>
      <c r="B2775" s="6">
        <v>1</v>
      </c>
      <c r="C2775" s="6" t="s">
        <v>59</v>
      </c>
      <c r="D2775" s="6" t="s">
        <v>40</v>
      </c>
      <c r="E2775" s="6" t="s">
        <v>736</v>
      </c>
      <c r="F2775" s="6" t="str">
        <f>IF($M2775="PADD I","PADD 1",IF($M2775="PADD II","PADD 2",IF($M2775="PADD III","PADD 3",IF($M2775="PADD IV","PADD 4",IF($M2775="PADD V","PADD 5","")))))</f>
        <v>PADD 1</v>
      </c>
      <c r="G2775" s="6">
        <f>IF(AND($H2775="ATMOS DISTILLATION",ISNUMBER(SEARCH("VPS",$I2775))=FALSE,LEFT($I2775,6)&lt;&gt;"VACUUM"),"CDU",IF($H2775="FLUID CAT CRACKING","FCC",IF(OR($H2775="HYDROCRACKING",$H2775="RESID_HYDROCRACKING"),"Hydrocracker",IF($H2775="REFORMING","Reformer",""))))</f>
        <v/>
      </c>
      <c r="H2775" s="6" t="s">
        <v>378</v>
      </c>
      <c r="I2775" s="6" t="s">
        <v>1010</v>
      </c>
      <c r="J2775" s="6" t="s">
        <v>345</v>
      </c>
      <c r="K2775" s="10">
        <v>3.38</v>
      </c>
      <c r="L2775" s="10">
        <v>26</v>
      </c>
      <c r="M2775" s="6" t="s">
        <v>413</v>
      </c>
    </row>
    <row r="2776" spans="1:13">
      <c r="A2776" s="6">
        <v>2024</v>
      </c>
      <c r="B2776" s="6">
        <v>1</v>
      </c>
      <c r="C2776" s="6" t="s">
        <v>59</v>
      </c>
      <c r="D2776" s="6" t="s">
        <v>878</v>
      </c>
      <c r="E2776" s="6" t="s">
        <v>452</v>
      </c>
      <c r="F2776" s="6" t="str">
        <f>IF($M2776="PADD I","PADD 1",IF($M2776="PADD II","PADD 2",IF($M2776="PADD III","PADD 3",IF($M2776="PADD IV","PADD 4",IF($M2776="PADD V","PADD 5","")))))</f>
        <v>PADD 2</v>
      </c>
      <c r="G2776" s="6">
        <f>IF(AND($H2776="ATMOS DISTILLATION",ISNUMBER(SEARCH("VPS",$I2776))=FALSE,LEFT($I2776,6)&lt;&gt;"VACUUM"),"CDU",IF($H2776="FLUID CAT CRACKING","FCC",IF(OR($H2776="HYDROCRACKING",$H2776="RESID_HYDROCRACKING"),"Hydrocracker",IF($H2776="REFORMING","Reformer",""))))</f>
        <v/>
      </c>
      <c r="H2776" s="6" t="s">
        <v>435</v>
      </c>
      <c r="I2776" s="6" t="s">
        <v>441</v>
      </c>
      <c r="J2776" s="6" t="s">
        <v>345</v>
      </c>
      <c r="K2776" s="10">
        <v>3.315</v>
      </c>
      <c r="L2776" s="10">
        <v>8.5</v>
      </c>
      <c r="M2776" s="6" t="s">
        <v>375</v>
      </c>
    </row>
    <row r="2777" spans="1:13">
      <c r="A2777" s="6">
        <v>2024</v>
      </c>
      <c r="B2777" s="6">
        <v>1</v>
      </c>
      <c r="C2777" s="6" t="s">
        <v>59</v>
      </c>
      <c r="D2777" s="6" t="s">
        <v>490</v>
      </c>
      <c r="E2777" s="6" t="s">
        <v>491</v>
      </c>
      <c r="F2777" s="6" t="str">
        <f>IF($M2777="PADD I","PADD 1",IF($M2777="PADD II","PADD 2",IF($M2777="PADD III","PADD 3",IF($M2777="PADD IV","PADD 4",IF($M2777="PADD V","PADD 5","")))))</f>
        <v>PADD 3</v>
      </c>
      <c r="G2777" s="6">
        <f>IF(AND($H2777="ATMOS DISTILLATION",ISNUMBER(SEARCH("VPS",$I2777))=FALSE,LEFT($I2777,6)&lt;&gt;"VACUUM"),"CDU",IF($H2777="FLUID CAT CRACKING","FCC",IF(OR($H2777="HYDROCRACKING",$H2777="RESID_HYDROCRACKING"),"Hydrocracker",IF($H2777="REFORMING","Reformer",""))))</f>
        <v/>
      </c>
      <c r="H2777" s="6" t="s">
        <v>43</v>
      </c>
      <c r="I2777" s="6" t="s">
        <v>957</v>
      </c>
      <c r="J2777" s="6" t="s">
        <v>345</v>
      </c>
      <c r="K2777" s="10">
        <v>3.276</v>
      </c>
      <c r="L2777" s="10">
        <v>25.2</v>
      </c>
      <c r="M2777" s="6" t="s">
        <v>371</v>
      </c>
    </row>
    <row r="2778" spans="1:13">
      <c r="A2778" s="6">
        <v>2024</v>
      </c>
      <c r="B2778" s="6">
        <v>1</v>
      </c>
      <c r="C2778" s="6" t="s">
        <v>59</v>
      </c>
      <c r="D2778" s="6" t="s">
        <v>457</v>
      </c>
      <c r="E2778" s="6" t="s">
        <v>388</v>
      </c>
      <c r="F2778" s="6" t="str">
        <f>IF($M2778="PADD I","PADD 1",IF($M2778="PADD II","PADD 2",IF($M2778="PADD III","PADD 3",IF($M2778="PADD IV","PADD 4",IF($M2778="PADD V","PADD 5","")))))</f>
        <v>PADD 5</v>
      </c>
      <c r="G2778" s="6" t="str">
        <f>IF(AND($H2778="ATMOS DISTILLATION",ISNUMBER(SEARCH("VPS",$I2778))=FALSE,LEFT($I2778,6)&lt;&gt;"VACUUM"),"CDU",IF($H2778="FLUID CAT CRACKING","FCC",IF(OR($H2778="HYDROCRACKING",$H2778="RESID_HYDROCRACKING"),"Hydrocracker",IF($H2778="REFORMING","Reformer",""))))</f>
        <v>Reformer</v>
      </c>
      <c r="H2778" s="6" t="s">
        <v>421</v>
      </c>
      <c r="I2778" s="6" t="s">
        <v>1103</v>
      </c>
      <c r="J2778" s="6" t="s">
        <v>349</v>
      </c>
      <c r="K2778" s="10">
        <v>3.25</v>
      </c>
      <c r="L2778" s="10">
        <v>5</v>
      </c>
      <c r="M2778" s="6" t="s">
        <v>386</v>
      </c>
    </row>
    <row r="2779" spans="1:13">
      <c r="A2779" s="6">
        <v>2024</v>
      </c>
      <c r="B2779" s="6">
        <v>1</v>
      </c>
      <c r="C2779" s="6" t="s">
        <v>59</v>
      </c>
      <c r="D2779" s="6" t="s">
        <v>799</v>
      </c>
      <c r="E2779" s="6" t="s">
        <v>391</v>
      </c>
      <c r="F2779" s="6" t="str">
        <f>IF($M2779="PADD I","PADD 1",IF($M2779="PADD II","PADD 2",IF($M2779="PADD III","PADD 3",IF($M2779="PADD IV","PADD 4",IF($M2779="PADD V","PADD 5","")))))</f>
        <v>PADD 4</v>
      </c>
      <c r="G2779" s="6" t="str">
        <f>IF(AND($H2779="ATMOS DISTILLATION",ISNUMBER(SEARCH("VPS",$I2779))=FALSE,LEFT($I2779,6)&lt;&gt;"VACUUM"),"CDU",IF($H2779="FLUID CAT CRACKING","FCC",IF(OR($H2779="HYDROCRACKING",$H2779="RESID_HYDROCRACKING"),"Hydrocracker",IF($H2779="REFORMING","Reformer",""))))</f>
        <v>CDU</v>
      </c>
      <c r="H2779" s="6" t="s">
        <v>38</v>
      </c>
      <c r="I2779" s="6" t="s">
        <v>1104</v>
      </c>
      <c r="J2779" s="6" t="s">
        <v>345</v>
      </c>
      <c r="K2779" s="10">
        <v>3.12</v>
      </c>
      <c r="L2779" s="10">
        <v>52</v>
      </c>
      <c r="M2779" s="6" t="s">
        <v>430</v>
      </c>
    </row>
    <row r="2780" spans="1:13">
      <c r="A2780" s="6">
        <v>2024</v>
      </c>
      <c r="B2780" s="6">
        <v>1</v>
      </c>
      <c r="C2780" s="6" t="s">
        <v>59</v>
      </c>
      <c r="D2780" s="6" t="s">
        <v>953</v>
      </c>
      <c r="E2780" s="6" t="s">
        <v>733</v>
      </c>
      <c r="F2780" s="6" t="str">
        <f>IF($M2780="PADD I","PADD 1",IF($M2780="PADD II","PADD 2",IF($M2780="PADD III","PADD 3",IF($M2780="PADD IV","PADD 4",IF($M2780="PADD V","PADD 5","")))))</f>
        <v>PADD 2</v>
      </c>
      <c r="G2780" s="6" t="str">
        <f>IF(AND($H2780="ATMOS DISTILLATION",ISNUMBER(SEARCH("VPS",$I2780))=FALSE,LEFT($I2780,6)&lt;&gt;"VACUUM"),"CDU",IF($H2780="FLUID CAT CRACKING","FCC",IF(OR($H2780="HYDROCRACKING",$H2780="RESID_HYDROCRACKING"),"Hydrocracker",IF($H2780="REFORMING","Reformer",""))))</f>
        <v>Hydrocracker</v>
      </c>
      <c r="H2780" s="6" t="s">
        <v>444</v>
      </c>
      <c r="I2780" s="6" t="s">
        <v>14</v>
      </c>
      <c r="J2780" s="6" t="s">
        <v>345</v>
      </c>
      <c r="K2780" s="10">
        <v>3</v>
      </c>
      <c r="L2780" s="10">
        <v>30</v>
      </c>
      <c r="M2780" s="6" t="s">
        <v>375</v>
      </c>
    </row>
    <row r="2781" spans="1:13">
      <c r="A2781" s="6">
        <v>2024</v>
      </c>
      <c r="B2781" s="6">
        <v>1</v>
      </c>
      <c r="C2781" s="6" t="s">
        <v>59</v>
      </c>
      <c r="D2781" s="6" t="s">
        <v>953</v>
      </c>
      <c r="E2781" s="6" t="s">
        <v>733</v>
      </c>
      <c r="F2781" s="6" t="str">
        <f>IF($M2781="PADD I","PADD 1",IF($M2781="PADD II","PADD 2",IF($M2781="PADD III","PADD 3",IF($M2781="PADD IV","PADD 4",IF($M2781="PADD V","PADD 5","")))))</f>
        <v>PADD 2</v>
      </c>
      <c r="G2781" s="6">
        <f>IF(AND($H2781="ATMOS DISTILLATION",ISNUMBER(SEARCH("VPS",$I2781))=FALSE,LEFT($I2781,6)&lt;&gt;"VACUUM"),"CDU",IF($H2781="FLUID CAT CRACKING","FCC",IF(OR($H2781="HYDROCRACKING",$H2781="RESID_HYDROCRACKING"),"Hydrocracker",IF($H2781="REFORMING","Reformer",""))))</f>
        <v/>
      </c>
      <c r="H2781" s="6" t="s">
        <v>43</v>
      </c>
      <c r="I2781" s="6" t="s">
        <v>493</v>
      </c>
      <c r="J2781" s="6" t="s">
        <v>345</v>
      </c>
      <c r="K2781" s="10">
        <v>3</v>
      </c>
      <c r="L2781" s="10">
        <v>30</v>
      </c>
      <c r="M2781" s="6" t="s">
        <v>375</v>
      </c>
    </row>
    <row r="2782" spans="1:13">
      <c r="A2782" s="6">
        <v>2024</v>
      </c>
      <c r="B2782" s="6">
        <v>1</v>
      </c>
      <c r="C2782" s="6" t="s">
        <v>59</v>
      </c>
      <c r="D2782" s="6" t="s">
        <v>40</v>
      </c>
      <c r="E2782" s="6" t="s">
        <v>736</v>
      </c>
      <c r="F2782" s="6" t="str">
        <f>IF($M2782="PADD I","PADD 1",IF($M2782="PADD II","PADD 2",IF($M2782="PADD III","PADD 3",IF($M2782="PADD IV","PADD 4",IF($M2782="PADD V","PADD 5","")))))</f>
        <v>PADD 1</v>
      </c>
      <c r="G2782" s="6" t="str">
        <f>IF(AND($H2782="ATMOS DISTILLATION",ISNUMBER(SEARCH("VPS",$I2782))=FALSE,LEFT($I2782,6)&lt;&gt;"VACUUM"),"CDU",IF($H2782="FLUID CAT CRACKING","FCC",IF(OR($H2782="HYDROCRACKING",$H2782="RESID_HYDROCRACKING"),"Hydrocracker",IF($H2782="REFORMING","Reformer",""))))</f>
        <v>Hydrocracker</v>
      </c>
      <c r="H2782" s="6" t="s">
        <v>444</v>
      </c>
      <c r="I2782" s="6" t="s">
        <v>445</v>
      </c>
      <c r="J2782" s="6" t="s">
        <v>345</v>
      </c>
      <c r="K2782" s="10">
        <v>2.99</v>
      </c>
      <c r="L2782" s="10">
        <v>23</v>
      </c>
      <c r="M2782" s="6" t="s">
        <v>413</v>
      </c>
    </row>
    <row r="2783" spans="1:13">
      <c r="A2783" s="6">
        <v>2024</v>
      </c>
      <c r="B2783" s="6">
        <v>1</v>
      </c>
      <c r="C2783" s="6" t="s">
        <v>59</v>
      </c>
      <c r="D2783" s="6" t="s">
        <v>518</v>
      </c>
      <c r="E2783" s="6" t="s">
        <v>369</v>
      </c>
      <c r="F2783" s="6" t="str">
        <f>IF($M2783="PADD I","PADD 1",IF($M2783="PADD II","PADD 2",IF($M2783="PADD III","PADD 3",IF($M2783="PADD IV","PADD 4",IF($M2783="PADD V","PADD 5","")))))</f>
        <v>PADD 5</v>
      </c>
      <c r="G2783" s="6" t="str">
        <f>IF(AND($H2783="ATMOS DISTILLATION",ISNUMBER(SEARCH("VPS",$I2783))=FALSE,LEFT($I2783,6)&lt;&gt;"VACUUM"),"CDU",IF($H2783="FLUID CAT CRACKING","FCC",IF(OR($H2783="HYDROCRACKING",$H2783="RESID_HYDROCRACKING"),"Hydrocracker",IF($H2783="REFORMING","Reformer",""))))</f>
        <v>Reformer</v>
      </c>
      <c r="H2783" s="6" t="s">
        <v>421</v>
      </c>
      <c r="I2783" s="6" t="s">
        <v>586</v>
      </c>
      <c r="J2783" s="6" t="s">
        <v>345</v>
      </c>
      <c r="K2783" s="10">
        <v>2.96</v>
      </c>
      <c r="L2783" s="10">
        <v>18.5</v>
      </c>
      <c r="M2783" s="6" t="s">
        <v>386</v>
      </c>
    </row>
    <row r="2784" spans="1:13">
      <c r="A2784" s="6">
        <v>2024</v>
      </c>
      <c r="B2784" s="6">
        <v>1</v>
      </c>
      <c r="C2784" s="6" t="s">
        <v>59</v>
      </c>
      <c r="D2784" s="6" t="s">
        <v>934</v>
      </c>
      <c r="E2784" s="6" t="s">
        <v>388</v>
      </c>
      <c r="F2784" s="6" t="str">
        <f>IF($M2784="PADD I","PADD 1",IF($M2784="PADD II","PADD 2",IF($M2784="PADD III","PADD 3",IF($M2784="PADD IV","PADD 4",IF($M2784="PADD V","PADD 5","")))))</f>
        <v>PADD 3</v>
      </c>
      <c r="G2784" s="6" t="str">
        <f>IF(AND($H2784="ATMOS DISTILLATION",ISNUMBER(SEARCH("VPS",$I2784))=FALSE,LEFT($I2784,6)&lt;&gt;"VACUUM"),"CDU",IF($H2784="FLUID CAT CRACKING","FCC",IF(OR($H2784="HYDROCRACKING",$H2784="RESID_HYDROCRACKING"),"Hydrocracker",IF($H2784="REFORMING","Reformer",""))))</f>
        <v>FCC</v>
      </c>
      <c r="H2784" s="6" t="s">
        <v>376</v>
      </c>
      <c r="I2784" s="6" t="s">
        <v>105</v>
      </c>
      <c r="J2784" s="6" t="s">
        <v>345</v>
      </c>
      <c r="K2784" s="10">
        <v>2.95</v>
      </c>
      <c r="L2784" s="10">
        <v>29.5</v>
      </c>
      <c r="M2784" s="6" t="s">
        <v>371</v>
      </c>
    </row>
    <row r="2785" spans="1:13">
      <c r="A2785" s="6">
        <v>2024</v>
      </c>
      <c r="B2785" s="6">
        <v>1</v>
      </c>
      <c r="C2785" s="6" t="s">
        <v>59</v>
      </c>
      <c r="D2785" s="6" t="s">
        <v>934</v>
      </c>
      <c r="E2785" s="6" t="s">
        <v>388</v>
      </c>
      <c r="F2785" s="6" t="str">
        <f>IF($M2785="PADD I","PADD 1",IF($M2785="PADD II","PADD 2",IF($M2785="PADD III","PADD 3",IF($M2785="PADD IV","PADD 4",IF($M2785="PADD V","PADD 5","")))))</f>
        <v>PADD 3</v>
      </c>
      <c r="G2785" s="6">
        <f>IF(AND($H2785="ATMOS DISTILLATION",ISNUMBER(SEARCH("VPS",$I2785))=FALSE,LEFT($I2785,6)&lt;&gt;"VACUUM"),"CDU",IF($H2785="FLUID CAT CRACKING","FCC",IF(OR($H2785="HYDROCRACKING",$H2785="RESID_HYDROCRACKING"),"Hydrocracker",IF($H2785="REFORMING","Reformer",""))))</f>
        <v/>
      </c>
      <c r="H2785" s="6" t="s">
        <v>43</v>
      </c>
      <c r="I2785" s="6" t="s">
        <v>458</v>
      </c>
      <c r="J2785" s="6" t="s">
        <v>345</v>
      </c>
      <c r="K2785" s="10">
        <v>2.928</v>
      </c>
      <c r="L2785" s="10">
        <v>18.3</v>
      </c>
      <c r="M2785" s="6" t="s">
        <v>371</v>
      </c>
    </row>
    <row r="2786" spans="1:13">
      <c r="A2786" s="6">
        <v>2024</v>
      </c>
      <c r="B2786" s="6">
        <v>1</v>
      </c>
      <c r="C2786" s="6" t="s">
        <v>59</v>
      </c>
      <c r="D2786" s="6" t="s">
        <v>526</v>
      </c>
      <c r="E2786" s="6" t="s">
        <v>405</v>
      </c>
      <c r="F2786" s="6" t="str">
        <f>IF($M2786="PADD I","PADD 1",IF($M2786="PADD II","PADD 2",IF($M2786="PADD III","PADD 3",IF($M2786="PADD IV","PADD 4",IF($M2786="PADD V","PADD 5","")))))</f>
        <v>PADD 3</v>
      </c>
      <c r="G2786" s="6">
        <f>IF(AND($H2786="ATMOS DISTILLATION",ISNUMBER(SEARCH("VPS",$I2786))=FALSE,LEFT($I2786,6)&lt;&gt;"VACUUM"),"CDU",IF($H2786="FLUID CAT CRACKING","FCC",IF(OR($H2786="HYDROCRACKING",$H2786="RESID_HYDROCRACKING"),"Hydrocracker",IF($H2786="REFORMING","Reformer",""))))</f>
        <v/>
      </c>
      <c r="H2786" s="6" t="s">
        <v>43</v>
      </c>
      <c r="I2786" s="6" t="s">
        <v>1076</v>
      </c>
      <c r="J2786" s="6" t="s">
        <v>349</v>
      </c>
      <c r="K2786" s="10">
        <v>2.82</v>
      </c>
      <c r="L2786" s="10">
        <v>47</v>
      </c>
      <c r="M2786" s="6" t="s">
        <v>371</v>
      </c>
    </row>
    <row r="2787" spans="1:13">
      <c r="A2787" s="6">
        <v>2024</v>
      </c>
      <c r="B2787" s="6">
        <v>1</v>
      </c>
      <c r="C2787" s="6" t="s">
        <v>59</v>
      </c>
      <c r="D2787" s="6" t="s">
        <v>40</v>
      </c>
      <c r="E2787" s="6" t="s">
        <v>736</v>
      </c>
      <c r="F2787" s="6" t="str">
        <f>IF($M2787="PADD I","PADD 1",IF($M2787="PADD II","PADD 2",IF($M2787="PADD III","PADD 3",IF($M2787="PADD IV","PADD 4",IF($M2787="PADD V","PADD 5","")))))</f>
        <v>PADD 1</v>
      </c>
      <c r="G2787" s="6">
        <f>IF(AND($H2787="ATMOS DISTILLATION",ISNUMBER(SEARCH("VPS",$I2787))=FALSE,LEFT($I2787,6)&lt;&gt;"VACUUM"),"CDU",IF($H2787="FLUID CAT CRACKING","FCC",IF(OR($H2787="HYDROCRACKING",$H2787="RESID_HYDROCRACKING"),"Hydrocracker",IF($H2787="REFORMING","Reformer",""))))</f>
        <v/>
      </c>
      <c r="H2787" s="6" t="s">
        <v>43</v>
      </c>
      <c r="I2787" s="6" t="s">
        <v>1014</v>
      </c>
      <c r="J2787" s="6" t="s">
        <v>345</v>
      </c>
      <c r="K2787" s="10">
        <v>2.8</v>
      </c>
      <c r="L2787" s="10">
        <v>28</v>
      </c>
      <c r="M2787" s="6" t="s">
        <v>413</v>
      </c>
    </row>
    <row r="2788" spans="1:13">
      <c r="A2788" s="6">
        <v>2024</v>
      </c>
      <c r="B2788" s="6">
        <v>1</v>
      </c>
      <c r="C2788" s="6" t="s">
        <v>59</v>
      </c>
      <c r="D2788" s="6" t="s">
        <v>42</v>
      </c>
      <c r="E2788" s="6" t="s">
        <v>405</v>
      </c>
      <c r="F2788" s="6" t="str">
        <f>IF($M2788="PADD I","PADD 1",IF($M2788="PADD II","PADD 2",IF($M2788="PADD III","PADD 3",IF($M2788="PADD IV","PADD 4",IF($M2788="PADD V","PADD 5","")))))</f>
        <v>PADD 3</v>
      </c>
      <c r="G2788" s="6">
        <f>IF(AND($H2788="ATMOS DISTILLATION",ISNUMBER(SEARCH("VPS",$I2788))=FALSE,LEFT($I2788,6)&lt;&gt;"VACUUM"),"CDU",IF($H2788="FLUID CAT CRACKING","FCC",IF(OR($H2788="HYDROCRACKING",$H2788="RESID_HYDROCRACKING"),"Hydrocracker",IF($H2788="REFORMING","Reformer",""))))</f>
        <v/>
      </c>
      <c r="H2788" s="6" t="s">
        <v>460</v>
      </c>
      <c r="I2788" s="6" t="s">
        <v>616</v>
      </c>
      <c r="J2788" s="6" t="s">
        <v>349</v>
      </c>
      <c r="K2788" s="10">
        <v>2.76</v>
      </c>
      <c r="L2788" s="10">
        <v>12</v>
      </c>
      <c r="M2788" s="6" t="s">
        <v>371</v>
      </c>
    </row>
    <row r="2789" spans="1:13">
      <c r="A2789" s="6">
        <v>2024</v>
      </c>
      <c r="B2789" s="6">
        <v>1</v>
      </c>
      <c r="C2789" s="6" t="s">
        <v>59</v>
      </c>
      <c r="D2789" s="6" t="s">
        <v>408</v>
      </c>
      <c r="E2789" s="6" t="s">
        <v>409</v>
      </c>
      <c r="F2789" s="6" t="str">
        <f>IF($M2789="PADD I","PADD 1",IF($M2789="PADD II","PADD 2",IF($M2789="PADD III","PADD 3",IF($M2789="PADD IV","PADD 4",IF($M2789="PADD V","PADD 5","")))))</f>
        <v>PADD 3</v>
      </c>
      <c r="G2789" s="6">
        <f>IF(AND($H2789="ATMOS DISTILLATION",ISNUMBER(SEARCH("VPS",$I2789))=FALSE,LEFT($I2789,6)&lt;&gt;"VACUUM"),"CDU",IF($H2789="FLUID CAT CRACKING","FCC",IF(OR($H2789="HYDROCRACKING",$H2789="RESID_HYDROCRACKING"),"Hydrocracker",IF($H2789="REFORMING","Reformer",""))))</f>
        <v/>
      </c>
      <c r="H2789" s="6" t="s">
        <v>460</v>
      </c>
      <c r="I2789" s="6" t="s">
        <v>606</v>
      </c>
      <c r="J2789" s="6" t="s">
        <v>345</v>
      </c>
      <c r="K2789" s="10">
        <v>2.75</v>
      </c>
      <c r="L2789" s="10">
        <v>5</v>
      </c>
      <c r="M2789" s="6" t="s">
        <v>371</v>
      </c>
    </row>
    <row r="2790" spans="1:13">
      <c r="A2790" s="6">
        <v>2024</v>
      </c>
      <c r="B2790" s="6">
        <v>1</v>
      </c>
      <c r="C2790" s="6" t="s">
        <v>59</v>
      </c>
      <c r="D2790" s="6" t="s">
        <v>395</v>
      </c>
      <c r="E2790" s="6" t="s">
        <v>396</v>
      </c>
      <c r="F2790" s="6" t="str">
        <f>IF($M2790="PADD I","PADD 1",IF($M2790="PADD II","PADD 2",IF($M2790="PADD III","PADD 3",IF($M2790="PADD IV","PADD 4",IF($M2790="PADD V","PADD 5","")))))</f>
        <v>PADD 3</v>
      </c>
      <c r="G2790" s="6" t="str">
        <f>IF(AND($H2790="ATMOS DISTILLATION",ISNUMBER(SEARCH("VPS",$I2790))=FALSE,LEFT($I2790,6)&lt;&gt;"VACUUM"),"CDU",IF($H2790="FLUID CAT CRACKING","FCC",IF(OR($H2790="HYDROCRACKING",$H2790="RESID_HYDROCRACKING"),"Hydrocracker",IF($H2790="REFORMING","Reformer",""))))</f>
        <v>Reformer</v>
      </c>
      <c r="H2790" s="6" t="s">
        <v>421</v>
      </c>
      <c r="I2790" s="6" t="s">
        <v>538</v>
      </c>
      <c r="J2790" s="6" t="s">
        <v>345</v>
      </c>
      <c r="K2790" s="10">
        <v>2.6622</v>
      </c>
      <c r="L2790" s="10">
        <v>9.18</v>
      </c>
      <c r="M2790" s="6" t="s">
        <v>371</v>
      </c>
    </row>
    <row r="2791" spans="1:13">
      <c r="A2791" s="6">
        <v>2024</v>
      </c>
      <c r="B2791" s="6">
        <v>1</v>
      </c>
      <c r="C2791" s="6" t="s">
        <v>59</v>
      </c>
      <c r="D2791" s="6" t="s">
        <v>730</v>
      </c>
      <c r="E2791" s="6" t="s">
        <v>731</v>
      </c>
      <c r="F2791" s="6" t="str">
        <f>IF($M2791="PADD I","PADD 1",IF($M2791="PADD II","PADD 2",IF($M2791="PADD III","PADD 3",IF($M2791="PADD IV","PADD 4",IF($M2791="PADD V","PADD 5","")))))</f>
        <v>PADD 3</v>
      </c>
      <c r="G2791" s="6">
        <f>IF(AND($H2791="ATMOS DISTILLATION",ISNUMBER(SEARCH("VPS",$I2791))=FALSE,LEFT($I2791,6)&lt;&gt;"VACUUM"),"CDU",IF($H2791="FLUID CAT CRACKING","FCC",IF(OR($H2791="HYDROCRACKING",$H2791="RESID_HYDROCRACKING"),"Hydrocracker",IF($H2791="REFORMING","Reformer",""))))</f>
        <v/>
      </c>
      <c r="H2791" s="6" t="s">
        <v>460</v>
      </c>
      <c r="I2791" s="6" t="s">
        <v>616</v>
      </c>
      <c r="J2791" s="6" t="s">
        <v>345</v>
      </c>
      <c r="K2791" s="10">
        <v>2.6</v>
      </c>
      <c r="L2791" s="10">
        <v>4</v>
      </c>
      <c r="M2791" s="6" t="s">
        <v>371</v>
      </c>
    </row>
    <row r="2792" spans="1:13">
      <c r="A2792" s="6">
        <v>2024</v>
      </c>
      <c r="B2792" s="6">
        <v>1</v>
      </c>
      <c r="C2792" s="6" t="s">
        <v>59</v>
      </c>
      <c r="D2792" s="6" t="s">
        <v>610</v>
      </c>
      <c r="E2792" s="6" t="s">
        <v>611</v>
      </c>
      <c r="F2792" s="6" t="str">
        <f>IF($M2792="PADD I","PADD 1",IF($M2792="PADD II","PADD 2",IF($M2792="PADD III","PADD 3",IF($M2792="PADD IV","PADD 4",IF($M2792="PADD V","PADD 5","")))))</f>
        <v>PADD 2</v>
      </c>
      <c r="G2792" s="6">
        <f>IF(AND($H2792="ATMOS DISTILLATION",ISNUMBER(SEARCH("VPS",$I2792))=FALSE,LEFT($I2792,6)&lt;&gt;"VACUUM"),"CDU",IF($H2792="FLUID CAT CRACKING","FCC",IF(OR($H2792="HYDROCRACKING",$H2792="RESID_HYDROCRACKING"),"Hydrocracker",IF($H2792="REFORMING","Reformer",""))))</f>
        <v/>
      </c>
      <c r="H2792" s="6" t="s">
        <v>435</v>
      </c>
      <c r="I2792" s="6" t="s">
        <v>441</v>
      </c>
      <c r="J2792" s="6" t="s">
        <v>345</v>
      </c>
      <c r="K2792" s="10">
        <v>2.535</v>
      </c>
      <c r="L2792" s="10">
        <v>19.5</v>
      </c>
      <c r="M2792" s="6" t="s">
        <v>375</v>
      </c>
    </row>
    <row r="2793" spans="1:13">
      <c r="A2793" s="6">
        <v>2024</v>
      </c>
      <c r="B2793" s="6">
        <v>1</v>
      </c>
      <c r="C2793" s="6" t="s">
        <v>59</v>
      </c>
      <c r="D2793" s="6" t="s">
        <v>953</v>
      </c>
      <c r="E2793" s="6" t="s">
        <v>733</v>
      </c>
      <c r="F2793" s="6" t="str">
        <f>IF($M2793="PADD I","PADD 1",IF($M2793="PADD II","PADD 2",IF($M2793="PADD III","PADD 3",IF($M2793="PADD IV","PADD 4",IF($M2793="PADD V","PADD 5","")))))</f>
        <v>PADD 2</v>
      </c>
      <c r="G2793" s="6">
        <f>IF(AND($H2793="ATMOS DISTILLATION",ISNUMBER(SEARCH("VPS",$I2793))=FALSE,LEFT($I2793,6)&lt;&gt;"VACUUM"),"CDU",IF($H2793="FLUID CAT CRACKING","FCC",IF(OR($H2793="HYDROCRACKING",$H2793="RESID_HYDROCRACKING"),"Hydrocracker",IF($H2793="REFORMING","Reformer",""))))</f>
        <v/>
      </c>
      <c r="H2793" s="6" t="s">
        <v>568</v>
      </c>
      <c r="I2793" s="6" t="s">
        <v>1105</v>
      </c>
      <c r="J2793" s="6" t="s">
        <v>345</v>
      </c>
      <c r="K2793" s="10">
        <v>2.52</v>
      </c>
      <c r="L2793" s="10">
        <v>25.2</v>
      </c>
      <c r="M2793" s="6" t="s">
        <v>375</v>
      </c>
    </row>
    <row r="2794" spans="1:13">
      <c r="A2794" s="6">
        <v>2024</v>
      </c>
      <c r="B2794" s="6">
        <v>1</v>
      </c>
      <c r="C2794" s="6" t="s">
        <v>59</v>
      </c>
      <c r="D2794" s="6" t="s">
        <v>953</v>
      </c>
      <c r="E2794" s="6" t="s">
        <v>733</v>
      </c>
      <c r="F2794" s="6" t="str">
        <f>IF($M2794="PADD I","PADD 1",IF($M2794="PADD II","PADD 2",IF($M2794="PADD III","PADD 3",IF($M2794="PADD IV","PADD 4",IF($M2794="PADD V","PADD 5","")))))</f>
        <v>PADD 2</v>
      </c>
      <c r="G2794" s="6">
        <f>IF(AND($H2794="ATMOS DISTILLATION",ISNUMBER(SEARCH("VPS",$I2794))=FALSE,LEFT($I2794,6)&lt;&gt;"VACUUM"),"CDU",IF($H2794="FLUID CAT CRACKING","FCC",IF(OR($H2794="HYDROCRACKING",$H2794="RESID_HYDROCRACKING"),"Hydrocracker",IF($H2794="REFORMING","Reformer",""))))</f>
        <v/>
      </c>
      <c r="H2794" s="6" t="s">
        <v>435</v>
      </c>
      <c r="I2794" s="6" t="s">
        <v>441</v>
      </c>
      <c r="J2794" s="6" t="s">
        <v>345</v>
      </c>
      <c r="K2794" s="10">
        <v>2.5</v>
      </c>
      <c r="L2794" s="10">
        <v>25</v>
      </c>
      <c r="M2794" s="6" t="s">
        <v>375</v>
      </c>
    </row>
    <row r="2795" spans="1:13">
      <c r="A2795" s="6">
        <v>2024</v>
      </c>
      <c r="B2795" s="6">
        <v>1</v>
      </c>
      <c r="C2795" s="6" t="s">
        <v>59</v>
      </c>
      <c r="D2795" s="6" t="s">
        <v>395</v>
      </c>
      <c r="E2795" s="6" t="s">
        <v>396</v>
      </c>
      <c r="F2795" s="6" t="str">
        <f>IF($M2795="PADD I","PADD 1",IF($M2795="PADD II","PADD 2",IF($M2795="PADD III","PADD 3",IF($M2795="PADD IV","PADD 4",IF($M2795="PADD V","PADD 5","")))))</f>
        <v>PADD 3</v>
      </c>
      <c r="G2795" s="6">
        <f>IF(AND($H2795="ATMOS DISTILLATION",ISNUMBER(SEARCH("VPS",$I2795))=FALSE,LEFT($I2795,6)&lt;&gt;"VACUUM"),"CDU",IF($H2795="FLUID CAT CRACKING","FCC",IF(OR($H2795="HYDROCRACKING",$H2795="RESID_HYDROCRACKING"),"Hydrocracker",IF($H2795="REFORMING","Reformer",""))))</f>
        <v/>
      </c>
      <c r="H2795" s="6" t="s">
        <v>43</v>
      </c>
      <c r="I2795" s="6" t="s">
        <v>545</v>
      </c>
      <c r="J2795" s="6" t="s">
        <v>345</v>
      </c>
      <c r="K2795" s="10">
        <v>2.494</v>
      </c>
      <c r="L2795" s="10">
        <v>8.6</v>
      </c>
      <c r="M2795" s="6" t="s">
        <v>371</v>
      </c>
    </row>
    <row r="2796" spans="1:13">
      <c r="A2796" s="6">
        <v>2024</v>
      </c>
      <c r="B2796" s="6">
        <v>1</v>
      </c>
      <c r="C2796" s="6" t="s">
        <v>59</v>
      </c>
      <c r="D2796" s="6" t="s">
        <v>395</v>
      </c>
      <c r="E2796" s="6" t="s">
        <v>396</v>
      </c>
      <c r="F2796" s="6" t="str">
        <f>IF($M2796="PADD I","PADD 1",IF($M2796="PADD II","PADD 2",IF($M2796="PADD III","PADD 3",IF($M2796="PADD IV","PADD 4",IF($M2796="PADD V","PADD 5","")))))</f>
        <v>PADD 3</v>
      </c>
      <c r="G2796" s="6">
        <f>IF(AND($H2796="ATMOS DISTILLATION",ISNUMBER(SEARCH("VPS",$I2796))=FALSE,LEFT($I2796,6)&lt;&gt;"VACUUM"),"CDU",IF($H2796="FLUID CAT CRACKING","FCC",IF(OR($H2796="HYDROCRACKING",$H2796="RESID_HYDROCRACKING"),"Hydrocracker",IF($H2796="REFORMING","Reformer",""))))</f>
        <v/>
      </c>
      <c r="H2796" s="6" t="s">
        <v>43</v>
      </c>
      <c r="I2796" s="6" t="s">
        <v>549</v>
      </c>
      <c r="J2796" s="6" t="s">
        <v>345</v>
      </c>
      <c r="K2796" s="10">
        <v>2.407</v>
      </c>
      <c r="L2796" s="10">
        <v>8.300000000000001</v>
      </c>
      <c r="M2796" s="6" t="s">
        <v>371</v>
      </c>
    </row>
    <row r="2797" spans="1:13">
      <c r="A2797" s="6">
        <v>2024</v>
      </c>
      <c r="B2797" s="6">
        <v>1</v>
      </c>
      <c r="C2797" s="6" t="s">
        <v>59</v>
      </c>
      <c r="D2797" s="6" t="s">
        <v>662</v>
      </c>
      <c r="E2797" s="6" t="s">
        <v>552</v>
      </c>
      <c r="F2797" s="6" t="str">
        <f>IF($M2797="PADD I","PADD 1",IF($M2797="PADD II","PADD 2",IF($M2797="PADD III","PADD 3",IF($M2797="PADD IV","PADD 4",IF($M2797="PADD V","PADD 5","")))))</f>
        <v>PADD 3</v>
      </c>
      <c r="G2797" s="6">
        <f>IF(AND($H2797="ATMOS DISTILLATION",ISNUMBER(SEARCH("VPS",$I2797))=FALSE,LEFT($I2797,6)&lt;&gt;"VACUUM"),"CDU",IF($H2797="FLUID CAT CRACKING","FCC",IF(OR($H2797="HYDROCRACKING",$H2797="RESID_HYDROCRACKING"),"Hydrocracker",IF($H2797="REFORMING","Reformer",""))))</f>
        <v/>
      </c>
      <c r="H2797" s="6" t="s">
        <v>43</v>
      </c>
      <c r="I2797" s="6" t="s">
        <v>844</v>
      </c>
      <c r="J2797" s="6" t="s">
        <v>349</v>
      </c>
      <c r="K2797" s="10">
        <v>2.4</v>
      </c>
      <c r="L2797" s="10">
        <v>5</v>
      </c>
      <c r="M2797" s="6" t="s">
        <v>371</v>
      </c>
    </row>
    <row r="2798" spans="1:13">
      <c r="A2798" s="6">
        <v>2024</v>
      </c>
      <c r="B2798" s="6">
        <v>1</v>
      </c>
      <c r="C2798" s="6" t="s">
        <v>59</v>
      </c>
      <c r="D2798" s="6" t="s">
        <v>395</v>
      </c>
      <c r="E2798" s="6" t="s">
        <v>396</v>
      </c>
      <c r="F2798" s="6" t="str">
        <f>IF($M2798="PADD I","PADD 1",IF($M2798="PADD II","PADD 2",IF($M2798="PADD III","PADD 3",IF($M2798="PADD IV","PADD 4",IF($M2798="PADD V","PADD 5","")))))</f>
        <v>PADD 3</v>
      </c>
      <c r="G2798" s="6">
        <f>IF(AND($H2798="ATMOS DISTILLATION",ISNUMBER(SEARCH("VPS",$I2798))=FALSE,LEFT($I2798,6)&lt;&gt;"VACUUM"),"CDU",IF($H2798="FLUID CAT CRACKING","FCC",IF(OR($H2798="HYDROCRACKING",$H2798="RESID_HYDROCRACKING"),"Hydrocracker",IF($H2798="REFORMING","Reformer",""))))</f>
        <v/>
      </c>
      <c r="H2798" s="6" t="s">
        <v>43</v>
      </c>
      <c r="I2798" s="6" t="s">
        <v>550</v>
      </c>
      <c r="J2798" s="6" t="s">
        <v>345</v>
      </c>
      <c r="K2798" s="10">
        <v>2.3838</v>
      </c>
      <c r="L2798" s="10">
        <v>8.220000000000001</v>
      </c>
      <c r="M2798" s="6" t="s">
        <v>371</v>
      </c>
    </row>
    <row r="2799" spans="1:13">
      <c r="A2799" s="6">
        <v>2024</v>
      </c>
      <c r="B2799" s="6">
        <v>1</v>
      </c>
      <c r="C2799" s="6" t="s">
        <v>59</v>
      </c>
      <c r="D2799" s="6" t="s">
        <v>395</v>
      </c>
      <c r="E2799" s="6" t="s">
        <v>396</v>
      </c>
      <c r="F2799" s="6" t="str">
        <f>IF($M2799="PADD I","PADD 1",IF($M2799="PADD II","PADD 2",IF($M2799="PADD III","PADD 3",IF($M2799="PADD IV","PADD 4",IF($M2799="PADD V","PADD 5","")))))</f>
        <v>PADD 3</v>
      </c>
      <c r="G2799" s="6">
        <f>IF(AND($H2799="ATMOS DISTILLATION",ISNUMBER(SEARCH("VPS",$I2799))=FALSE,LEFT($I2799,6)&lt;&gt;"VACUUM"),"CDU",IF($H2799="FLUID CAT CRACKING","FCC",IF(OR($H2799="HYDROCRACKING",$H2799="RESID_HYDROCRACKING"),"Hydrocracker",IF($H2799="REFORMING","Reformer",""))))</f>
        <v/>
      </c>
      <c r="H2799" s="6" t="s">
        <v>43</v>
      </c>
      <c r="I2799" s="6" t="s">
        <v>551</v>
      </c>
      <c r="J2799" s="6" t="s">
        <v>345</v>
      </c>
      <c r="K2799" s="10">
        <v>2.3722</v>
      </c>
      <c r="L2799" s="10">
        <v>8.18</v>
      </c>
      <c r="M2799" s="6" t="s">
        <v>371</v>
      </c>
    </row>
    <row r="2800" spans="1:13">
      <c r="A2800" s="6">
        <v>2024</v>
      </c>
      <c r="B2800" s="6">
        <v>1</v>
      </c>
      <c r="C2800" s="6" t="s">
        <v>59</v>
      </c>
      <c r="D2800" s="6" t="s">
        <v>437</v>
      </c>
      <c r="E2800" s="6" t="s">
        <v>438</v>
      </c>
      <c r="F2800" s="6" t="str">
        <f>IF($M2800="PADD I","PADD 1",IF($M2800="PADD II","PADD 2",IF($M2800="PADD III","PADD 3",IF($M2800="PADD IV","PADD 4",IF($M2800="PADD V","PADD 5","")))))</f>
        <v>PADD 4</v>
      </c>
      <c r="G2800" s="6" t="str">
        <f>IF(AND($H2800="ATMOS DISTILLATION",ISNUMBER(SEARCH("VPS",$I2800))=FALSE,LEFT($I2800,6)&lt;&gt;"VACUUM"),"CDU",IF($H2800="FLUID CAT CRACKING","FCC",IF(OR($H2800="HYDROCRACKING",$H2800="RESID_HYDROCRACKING"),"Hydrocracker",IF($H2800="REFORMING","Reformer",""))))</f>
        <v>CDU</v>
      </c>
      <c r="H2800" s="6" t="s">
        <v>38</v>
      </c>
      <c r="I2800" s="6" t="s">
        <v>439</v>
      </c>
      <c r="J2800" s="6" t="s">
        <v>345</v>
      </c>
      <c r="K2800" s="10">
        <v>2.34</v>
      </c>
      <c r="L2800" s="10">
        <v>39</v>
      </c>
      <c r="M2800" s="6" t="s">
        <v>430</v>
      </c>
    </row>
    <row r="2801" spans="1:13">
      <c r="A2801" s="6">
        <v>2024</v>
      </c>
      <c r="B2801" s="6">
        <v>1</v>
      </c>
      <c r="C2801" s="6" t="s">
        <v>59</v>
      </c>
      <c r="D2801" s="6" t="s">
        <v>722</v>
      </c>
      <c r="E2801" s="6" t="s">
        <v>452</v>
      </c>
      <c r="F2801" s="6" t="str">
        <f>IF($M2801="PADD I","PADD 1",IF($M2801="PADD II","PADD 2",IF($M2801="PADD III","PADD 3",IF($M2801="PADD IV","PADD 4",IF($M2801="PADD V","PADD 5","")))))</f>
        <v>PADD 4</v>
      </c>
      <c r="G2801" s="6" t="str">
        <f>IF(AND($H2801="ATMOS DISTILLATION",ISNUMBER(SEARCH("VPS",$I2801))=FALSE,LEFT($I2801,6)&lt;&gt;"VACUUM"),"CDU",IF($H2801="FLUID CAT CRACKING","FCC",IF(OR($H2801="HYDROCRACKING",$H2801="RESID_HYDROCRACKING"),"Hydrocracker",IF($H2801="REFORMING","Reformer",""))))</f>
        <v>FCC</v>
      </c>
      <c r="H2801" s="6" t="s">
        <v>376</v>
      </c>
      <c r="I2801" s="6" t="s">
        <v>1106</v>
      </c>
      <c r="J2801" s="6" t="s">
        <v>349</v>
      </c>
      <c r="K2801" s="10">
        <v>2.314</v>
      </c>
      <c r="L2801" s="10">
        <v>8.9</v>
      </c>
      <c r="M2801" s="6" t="s">
        <v>430</v>
      </c>
    </row>
    <row r="2802" spans="1:13">
      <c r="A2802" s="6">
        <v>2024</v>
      </c>
      <c r="B2802" s="6">
        <v>1</v>
      </c>
      <c r="C2802" s="6" t="s">
        <v>59</v>
      </c>
      <c r="D2802" s="6" t="s">
        <v>446</v>
      </c>
      <c r="E2802" s="6" t="s">
        <v>391</v>
      </c>
      <c r="F2802" s="6" t="str">
        <f>IF($M2802="PADD I","PADD 1",IF($M2802="PADD II","PADD 2",IF($M2802="PADD III","PADD 3",IF($M2802="PADD IV","PADD 4",IF($M2802="PADD V","PADD 5","")))))</f>
        <v>PADD 3</v>
      </c>
      <c r="G2802" s="6" t="str">
        <f>IF(AND($H2802="ATMOS DISTILLATION",ISNUMBER(SEARCH("VPS",$I2802))=FALSE,LEFT($I2802,6)&lt;&gt;"VACUUM"),"CDU",IF($H2802="FLUID CAT CRACKING","FCC",IF(OR($H2802="HYDROCRACKING",$H2802="RESID_HYDROCRACKING"),"Hydrocracker",IF($H2802="REFORMING","Reformer",""))))</f>
        <v>Reformer</v>
      </c>
      <c r="H2802" s="6" t="s">
        <v>421</v>
      </c>
      <c r="I2802" s="6" t="s">
        <v>483</v>
      </c>
      <c r="J2802" s="6" t="s">
        <v>345</v>
      </c>
      <c r="K2802" s="10">
        <v>2.3</v>
      </c>
      <c r="L2802" s="10">
        <v>23</v>
      </c>
      <c r="M2802" s="6" t="s">
        <v>371</v>
      </c>
    </row>
    <row r="2803" spans="1:13">
      <c r="A2803" s="6">
        <v>2024</v>
      </c>
      <c r="B2803" s="6">
        <v>1</v>
      </c>
      <c r="C2803" s="6" t="s">
        <v>59</v>
      </c>
      <c r="D2803" s="6" t="s">
        <v>408</v>
      </c>
      <c r="E2803" s="6" t="s">
        <v>409</v>
      </c>
      <c r="F2803" s="6" t="str">
        <f>IF($M2803="PADD I","PADD 1",IF($M2803="PADD II","PADD 2",IF($M2803="PADD III","PADD 3",IF($M2803="PADD IV","PADD 4",IF($M2803="PADD V","PADD 5","")))))</f>
        <v>PADD 3</v>
      </c>
      <c r="G2803" s="6" t="str">
        <f>IF(AND($H2803="ATMOS DISTILLATION",ISNUMBER(SEARCH("VPS",$I2803))=FALSE,LEFT($I2803,6)&lt;&gt;"VACUUM"),"CDU",IF($H2803="FLUID CAT CRACKING","FCC",IF(OR($H2803="HYDROCRACKING",$H2803="RESID_HYDROCRACKING"),"Hydrocracker",IF($H2803="REFORMING","Reformer",""))))</f>
        <v>FCC</v>
      </c>
      <c r="H2803" s="6" t="s">
        <v>376</v>
      </c>
      <c r="I2803" s="6" t="s">
        <v>426</v>
      </c>
      <c r="J2803" s="6" t="s">
        <v>345</v>
      </c>
      <c r="K2803" s="10">
        <v>2.28</v>
      </c>
      <c r="L2803" s="10">
        <v>76</v>
      </c>
      <c r="M2803" s="6" t="s">
        <v>371</v>
      </c>
    </row>
    <row r="2804" spans="1:13">
      <c r="A2804" s="6">
        <v>2024</v>
      </c>
      <c r="B2804" s="6">
        <v>1</v>
      </c>
      <c r="C2804" s="6" t="s">
        <v>59</v>
      </c>
      <c r="D2804" s="6" t="s">
        <v>953</v>
      </c>
      <c r="E2804" s="6" t="s">
        <v>733</v>
      </c>
      <c r="F2804" s="6" t="str">
        <f>IF($M2804="PADD I","PADD 1",IF($M2804="PADD II","PADD 2",IF($M2804="PADD III","PADD 3",IF($M2804="PADD IV","PADD 4",IF($M2804="PADD V","PADD 5","")))))</f>
        <v>PADD 2</v>
      </c>
      <c r="G2804" s="6" t="str">
        <f>IF(AND($H2804="ATMOS DISTILLATION",ISNUMBER(SEARCH("VPS",$I2804))=FALSE,LEFT($I2804,6)&lt;&gt;"VACUUM"),"CDU",IF($H2804="FLUID CAT CRACKING","FCC",IF(OR($H2804="HYDROCRACKING",$H2804="RESID_HYDROCRACKING"),"Hydrocracker",IF($H2804="REFORMING","Reformer",""))))</f>
        <v>FCC</v>
      </c>
      <c r="H2804" s="6" t="s">
        <v>376</v>
      </c>
      <c r="I2804" s="6" t="s">
        <v>105</v>
      </c>
      <c r="J2804" s="6" t="s">
        <v>345</v>
      </c>
      <c r="K2804" s="10">
        <v>2.27</v>
      </c>
      <c r="L2804" s="10">
        <v>22.7</v>
      </c>
      <c r="M2804" s="6" t="s">
        <v>375</v>
      </c>
    </row>
    <row r="2805" spans="1:13">
      <c r="A2805" s="6">
        <v>2024</v>
      </c>
      <c r="B2805" s="6">
        <v>1</v>
      </c>
      <c r="C2805" s="6" t="s">
        <v>59</v>
      </c>
      <c r="D2805" s="6" t="s">
        <v>395</v>
      </c>
      <c r="E2805" s="6" t="s">
        <v>396</v>
      </c>
      <c r="F2805" s="6" t="str">
        <f>IF($M2805="PADD I","PADD 1",IF($M2805="PADD II","PADD 2",IF($M2805="PADD III","PADD 3",IF($M2805="PADD IV","PADD 4",IF($M2805="PADD V","PADD 5","")))))</f>
        <v>PADD 3</v>
      </c>
      <c r="G2805" s="6">
        <f>IF(AND($H2805="ATMOS DISTILLATION",ISNUMBER(SEARCH("VPS",$I2805))=FALSE,LEFT($I2805,6)&lt;&gt;"VACUUM"),"CDU",IF($H2805="FLUID CAT CRACKING","FCC",IF(OR($H2805="HYDROCRACKING",$H2805="RESID_HYDROCRACKING"),"Hydrocracker",IF($H2805="REFORMING","Reformer",""))))</f>
        <v/>
      </c>
      <c r="H2805" s="6" t="s">
        <v>43</v>
      </c>
      <c r="I2805" s="6" t="s">
        <v>554</v>
      </c>
      <c r="J2805" s="6" t="s">
        <v>345</v>
      </c>
      <c r="K2805" s="10">
        <v>2.233</v>
      </c>
      <c r="L2805" s="10">
        <v>7.7</v>
      </c>
      <c r="M2805" s="6" t="s">
        <v>371</v>
      </c>
    </row>
    <row r="2806" spans="1:13">
      <c r="A2806" s="6">
        <v>2024</v>
      </c>
      <c r="B2806" s="6">
        <v>1</v>
      </c>
      <c r="C2806" s="6" t="s">
        <v>59</v>
      </c>
      <c r="D2806" s="6" t="s">
        <v>319</v>
      </c>
      <c r="E2806" s="6" t="s">
        <v>665</v>
      </c>
      <c r="F2806" s="6" t="str">
        <f>IF($M2806="PADD I","PADD 1",IF($M2806="PADD II","PADD 2",IF($M2806="PADD III","PADD 3",IF($M2806="PADD IV","PADD 4",IF($M2806="PADD V","PADD 5","")))))</f>
        <v>PADD 3</v>
      </c>
      <c r="G2806" s="6">
        <f>IF(AND($H2806="ATMOS DISTILLATION",ISNUMBER(SEARCH("VPS",$I2806))=FALSE,LEFT($I2806,6)&lt;&gt;"VACUUM"),"CDU",IF($H2806="FLUID CAT CRACKING","FCC",IF(OR($H2806="HYDROCRACKING",$H2806="RESID_HYDROCRACKING"),"Hydrocracker",IF($H2806="REFORMING","Reformer",""))))</f>
        <v/>
      </c>
      <c r="H2806" s="6" t="s">
        <v>435</v>
      </c>
      <c r="I2806" s="6" t="s">
        <v>441</v>
      </c>
      <c r="J2806" s="6" t="s">
        <v>349</v>
      </c>
      <c r="K2806" s="10">
        <v>2.138</v>
      </c>
      <c r="L2806" s="10">
        <v>21.38</v>
      </c>
      <c r="M2806" s="6" t="s">
        <v>371</v>
      </c>
    </row>
    <row r="2807" spans="1:13">
      <c r="A2807" s="6">
        <v>2024</v>
      </c>
      <c r="B2807" s="6">
        <v>1</v>
      </c>
      <c r="C2807" s="6" t="s">
        <v>59</v>
      </c>
      <c r="D2807" s="6" t="s">
        <v>722</v>
      </c>
      <c r="E2807" s="6" t="s">
        <v>452</v>
      </c>
      <c r="F2807" s="6" t="str">
        <f>IF($M2807="PADD I","PADD 1",IF($M2807="PADD II","PADD 2",IF($M2807="PADD III","PADD 3",IF($M2807="PADD IV","PADD 4",IF($M2807="PADD V","PADD 5","")))))</f>
        <v>PADD 4</v>
      </c>
      <c r="G2807" s="6" t="str">
        <f>IF(AND($H2807="ATMOS DISTILLATION",ISNUMBER(SEARCH("VPS",$I2807))=FALSE,LEFT($I2807,6)&lt;&gt;"VACUUM"),"CDU",IF($H2807="FLUID CAT CRACKING","FCC",IF(OR($H2807="HYDROCRACKING",$H2807="RESID_HYDROCRACKING"),"Hydrocracker",IF($H2807="REFORMING","Reformer",""))))</f>
        <v>Reformer</v>
      </c>
      <c r="H2807" s="6" t="s">
        <v>421</v>
      </c>
      <c r="I2807" s="6" t="s">
        <v>1107</v>
      </c>
      <c r="J2807" s="6" t="s">
        <v>349</v>
      </c>
      <c r="K2807" s="10">
        <v>2.08</v>
      </c>
      <c r="L2807" s="10">
        <v>8</v>
      </c>
      <c r="M2807" s="6" t="s">
        <v>430</v>
      </c>
    </row>
    <row r="2808" spans="1:13">
      <c r="A2808" s="6">
        <v>2024</v>
      </c>
      <c r="B2808" s="6">
        <v>1</v>
      </c>
      <c r="C2808" s="6" t="s">
        <v>59</v>
      </c>
      <c r="D2808" s="6" t="s">
        <v>807</v>
      </c>
      <c r="E2808" s="6" t="s">
        <v>779</v>
      </c>
      <c r="F2808" s="6" t="str">
        <f>IF($M2808="PADD I","PADD 1",IF($M2808="PADD II","PADD 2",IF($M2808="PADD III","PADD 3",IF($M2808="PADD IV","PADD 4",IF($M2808="PADD V","PADD 5","")))))</f>
        <v>PADD 3</v>
      </c>
      <c r="G2808" s="6">
        <f>IF(AND($H2808="ATMOS DISTILLATION",ISNUMBER(SEARCH("VPS",$I2808))=FALSE,LEFT($I2808,6)&lt;&gt;"VACUUM"),"CDU",IF($H2808="FLUID CAT CRACKING","FCC",IF(OR($H2808="HYDROCRACKING",$H2808="RESID_HYDROCRACKING"),"Hydrocracker",IF($H2808="REFORMING","Reformer",""))))</f>
        <v/>
      </c>
      <c r="H2808" s="6" t="s">
        <v>1108</v>
      </c>
      <c r="I2808" s="6" t="s">
        <v>1108</v>
      </c>
      <c r="J2808" s="6" t="s">
        <v>349</v>
      </c>
      <c r="K2808" s="10">
        <v>2.04</v>
      </c>
      <c r="L2808" s="10">
        <v>3</v>
      </c>
      <c r="M2808" s="6" t="s">
        <v>371</v>
      </c>
    </row>
    <row r="2809" spans="1:13">
      <c r="A2809" s="6">
        <v>2024</v>
      </c>
      <c r="B2809" s="6">
        <v>1</v>
      </c>
      <c r="C2809" s="6" t="s">
        <v>59</v>
      </c>
      <c r="D2809" s="6" t="s">
        <v>628</v>
      </c>
      <c r="E2809" s="6" t="s">
        <v>388</v>
      </c>
      <c r="F2809" s="6" t="str">
        <f>IF($M2809="PADD I","PADD 1",IF($M2809="PADD II","PADD 2",IF($M2809="PADD III","PADD 3",IF($M2809="PADD IV","PADD 4",IF($M2809="PADD V","PADD 5","")))))</f>
        <v>PADD 3</v>
      </c>
      <c r="G2809" s="6" t="str">
        <f>IF(AND($H2809="ATMOS DISTILLATION",ISNUMBER(SEARCH("VPS",$I2809))=FALSE,LEFT($I2809,6)&lt;&gt;"VACUUM"),"CDU",IF($H2809="FLUID CAT CRACKING","FCC",IF(OR($H2809="HYDROCRACKING",$H2809="RESID_HYDROCRACKING"),"Hydrocracker",IF($H2809="REFORMING","Reformer",""))))</f>
        <v>CDU</v>
      </c>
      <c r="H2809" s="6" t="s">
        <v>38</v>
      </c>
      <c r="I2809" s="6" t="s">
        <v>1053</v>
      </c>
      <c r="J2809" s="6" t="s">
        <v>349</v>
      </c>
      <c r="K2809" s="10">
        <v>2</v>
      </c>
      <c r="L2809" s="10">
        <v>20</v>
      </c>
      <c r="M2809" s="6" t="s">
        <v>371</v>
      </c>
    </row>
    <row r="2810" spans="1:13">
      <c r="A2810" s="6">
        <v>2024</v>
      </c>
      <c r="B2810" s="6">
        <v>1</v>
      </c>
      <c r="C2810" s="6" t="s">
        <v>59</v>
      </c>
      <c r="D2810" s="6" t="s">
        <v>1038</v>
      </c>
      <c r="E2810" s="6" t="s">
        <v>1039</v>
      </c>
      <c r="F2810" s="6" t="str">
        <f>IF($M2810="PADD I","PADD 1",IF($M2810="PADD II","PADD 2",IF($M2810="PADD III","PADD 3",IF($M2810="PADD IV","PADD 4",IF($M2810="PADD V","PADD 5","")))))</f>
        <v>PADD 2</v>
      </c>
      <c r="G2810" s="6" t="str">
        <f>IF(AND($H2810="ATMOS DISTILLATION",ISNUMBER(SEARCH("VPS",$I2810))=FALSE,LEFT($I2810,6)&lt;&gt;"VACUUM"),"CDU",IF($H2810="FLUID CAT CRACKING","FCC",IF(OR($H2810="HYDROCRACKING",$H2810="RESID_HYDROCRACKING"),"Hydrocracker",IF($H2810="REFORMING","Reformer",""))))</f>
        <v>Reformer</v>
      </c>
      <c r="H2810" s="6" t="s">
        <v>421</v>
      </c>
      <c r="I2810" s="6" t="s">
        <v>1046</v>
      </c>
      <c r="J2810" s="6" t="s">
        <v>345</v>
      </c>
      <c r="K2810" s="10">
        <v>2</v>
      </c>
      <c r="L2810" s="10">
        <v>20</v>
      </c>
      <c r="M2810" s="6" t="s">
        <v>375</v>
      </c>
    </row>
    <row r="2811" spans="1:13">
      <c r="A2811" s="6">
        <v>2024</v>
      </c>
      <c r="B2811" s="6">
        <v>1</v>
      </c>
      <c r="C2811" s="6" t="s">
        <v>59</v>
      </c>
      <c r="D2811" s="6" t="s">
        <v>1101</v>
      </c>
      <c r="E2811" s="6" t="s">
        <v>881</v>
      </c>
      <c r="F2811" s="6" t="str">
        <f>IF($M2811="PADD I","PADD 1",IF($M2811="PADD II","PADD 2",IF($M2811="PADD III","PADD 3",IF($M2811="PADD IV","PADD 4",IF($M2811="PADD V","PADD 5","")))))</f>
        <v>PADD 3</v>
      </c>
      <c r="G2811" s="6">
        <f>IF(AND($H2811="ATMOS DISTILLATION",ISNUMBER(SEARCH("VPS",$I2811))=FALSE,LEFT($I2811,6)&lt;&gt;"VACUUM"),"CDU",IF($H2811="FLUID CAT CRACKING","FCC",IF(OR($H2811="HYDROCRACKING",$H2811="RESID_HYDROCRACKING"),"Hydrocracker",IF($H2811="REFORMING","Reformer",""))))</f>
        <v/>
      </c>
      <c r="H2811" s="6" t="s">
        <v>378</v>
      </c>
      <c r="I2811" s="6" t="s">
        <v>431</v>
      </c>
      <c r="J2811" s="6" t="s">
        <v>349</v>
      </c>
      <c r="K2811" s="10">
        <v>1.978</v>
      </c>
      <c r="L2811" s="10">
        <v>8.6</v>
      </c>
      <c r="M2811" s="6" t="s">
        <v>371</v>
      </c>
    </row>
    <row r="2812" spans="1:13">
      <c r="A2812" s="6">
        <v>2024</v>
      </c>
      <c r="B2812" s="6">
        <v>1</v>
      </c>
      <c r="C2812" s="6" t="s">
        <v>59</v>
      </c>
      <c r="D2812" s="6" t="s">
        <v>346</v>
      </c>
      <c r="E2812" s="6" t="s">
        <v>383</v>
      </c>
      <c r="F2812" s="6" t="str">
        <f>IF($M2812="PADD I","PADD 1",IF($M2812="PADD II","PADD 2",IF($M2812="PADD III","PADD 3",IF($M2812="PADD IV","PADD 4",IF($M2812="PADD V","PADD 5","")))))</f>
        <v>PADD 2</v>
      </c>
      <c r="G2812" s="6" t="str">
        <f>IF(AND($H2812="ATMOS DISTILLATION",ISNUMBER(SEARCH("VPS",$I2812))=FALSE,LEFT($I2812,6)&lt;&gt;"VACUUM"),"CDU",IF($H2812="FLUID CAT CRACKING","FCC",IF(OR($H2812="HYDROCRACKING",$H2812="RESID_HYDROCRACKING"),"Hydrocracker",IF($H2812="REFORMING","Reformer",""))))</f>
        <v>Reformer</v>
      </c>
      <c r="H2812" s="6" t="s">
        <v>421</v>
      </c>
      <c r="I2812" s="6" t="s">
        <v>471</v>
      </c>
      <c r="J2812" s="6" t="s">
        <v>345</v>
      </c>
      <c r="K2812" s="10">
        <v>1.8</v>
      </c>
      <c r="L2812" s="10">
        <v>30</v>
      </c>
      <c r="M2812" s="6" t="s">
        <v>375</v>
      </c>
    </row>
    <row r="2813" spans="1:13">
      <c r="A2813" s="6">
        <v>2024</v>
      </c>
      <c r="B2813" s="6">
        <v>1</v>
      </c>
      <c r="C2813" s="6" t="s">
        <v>59</v>
      </c>
      <c r="D2813" s="6" t="s">
        <v>434</v>
      </c>
      <c r="E2813" s="6" t="s">
        <v>388</v>
      </c>
      <c r="F2813" s="6" t="str">
        <f>IF($M2813="PADD I","PADD 1",IF($M2813="PADD II","PADD 2",IF($M2813="PADD III","PADD 3",IF($M2813="PADD IV","PADD 4",IF($M2813="PADD V","PADD 5","")))))</f>
        <v>PADD 5</v>
      </c>
      <c r="G2813" s="6" t="str">
        <f>IF(AND($H2813="ATMOS DISTILLATION",ISNUMBER(SEARCH("VPS",$I2813))=FALSE,LEFT($I2813,6)&lt;&gt;"VACUUM"),"CDU",IF($H2813="FLUID CAT CRACKING","FCC",IF(OR($H2813="HYDROCRACKING",$H2813="RESID_HYDROCRACKING"),"Hydrocracker",IF($H2813="REFORMING","Reformer",""))))</f>
        <v>Hydrocracker</v>
      </c>
      <c r="H2813" s="6" t="s">
        <v>444</v>
      </c>
      <c r="I2813" s="6" t="s">
        <v>14</v>
      </c>
      <c r="J2813" s="6" t="s">
        <v>345</v>
      </c>
      <c r="K2813" s="10">
        <v>1.8</v>
      </c>
      <c r="L2813" s="10">
        <v>30</v>
      </c>
      <c r="M2813" s="6" t="s">
        <v>386</v>
      </c>
    </row>
    <row r="2814" spans="1:13">
      <c r="A2814" s="6">
        <v>2024</v>
      </c>
      <c r="B2814" s="6">
        <v>1</v>
      </c>
      <c r="C2814" s="6" t="s">
        <v>59</v>
      </c>
      <c r="D2814" s="6" t="s">
        <v>526</v>
      </c>
      <c r="E2814" s="6" t="s">
        <v>405</v>
      </c>
      <c r="F2814" s="6" t="str">
        <f>IF($M2814="PADD I","PADD 1",IF($M2814="PADD II","PADD 2",IF($M2814="PADD III","PADD 3",IF($M2814="PADD IV","PADD 4",IF($M2814="PADD V","PADD 5","")))))</f>
        <v>PADD 3</v>
      </c>
      <c r="G2814" s="6">
        <f>IF(AND($H2814="ATMOS DISTILLATION",ISNUMBER(SEARCH("VPS",$I2814))=FALSE,LEFT($I2814,6)&lt;&gt;"VACUUM"),"CDU",IF($H2814="FLUID CAT CRACKING","FCC",IF(OR($H2814="HYDROCRACKING",$H2814="RESID_HYDROCRACKING"),"Hydrocracker",IF($H2814="REFORMING","Reformer",""))))</f>
        <v/>
      </c>
      <c r="H2814" s="6" t="s">
        <v>43</v>
      </c>
      <c r="I2814" s="6" t="s">
        <v>1076</v>
      </c>
      <c r="J2814" s="6" t="s">
        <v>345</v>
      </c>
      <c r="K2814" s="10">
        <v>1.65</v>
      </c>
      <c r="L2814" s="10">
        <v>55</v>
      </c>
      <c r="M2814" s="6" t="s">
        <v>371</v>
      </c>
    </row>
    <row r="2815" spans="1:13">
      <c r="A2815" s="6">
        <v>2024</v>
      </c>
      <c r="B2815" s="6">
        <v>1</v>
      </c>
      <c r="C2815" s="6" t="s">
        <v>59</v>
      </c>
      <c r="D2815" s="6" t="s">
        <v>408</v>
      </c>
      <c r="E2815" s="6" t="s">
        <v>409</v>
      </c>
      <c r="F2815" s="6" t="str">
        <f>IF($M2815="PADD I","PADD 1",IF($M2815="PADD II","PADD 2",IF($M2815="PADD III","PADD 3",IF($M2815="PADD IV","PADD 4",IF($M2815="PADD V","PADD 5","")))))</f>
        <v>PADD 3</v>
      </c>
      <c r="G2815" s="6">
        <f>IF(AND($H2815="ATMOS DISTILLATION",ISNUMBER(SEARCH("VPS",$I2815))=FALSE,LEFT($I2815,6)&lt;&gt;"VACUUM"),"CDU",IF($H2815="FLUID CAT CRACKING","FCC",IF(OR($H2815="HYDROCRACKING",$H2815="RESID_HYDROCRACKING"),"Hydrocracker",IF($H2815="REFORMING","Reformer",""))))</f>
        <v/>
      </c>
      <c r="H2815" s="6" t="s">
        <v>378</v>
      </c>
      <c r="I2815" s="6" t="s">
        <v>489</v>
      </c>
      <c r="J2815" s="6" t="s">
        <v>345</v>
      </c>
      <c r="K2815" s="10">
        <v>1.65</v>
      </c>
      <c r="L2815" s="10">
        <v>55</v>
      </c>
      <c r="M2815" s="6" t="s">
        <v>371</v>
      </c>
    </row>
    <row r="2816" spans="1:13">
      <c r="A2816" s="6">
        <v>2024</v>
      </c>
      <c r="B2816" s="6">
        <v>1</v>
      </c>
      <c r="C2816" s="6" t="s">
        <v>59</v>
      </c>
      <c r="D2816" s="6" t="s">
        <v>799</v>
      </c>
      <c r="E2816" s="6" t="s">
        <v>391</v>
      </c>
      <c r="F2816" s="6" t="str">
        <f>IF($M2816="PADD I","PADD 1",IF($M2816="PADD II","PADD 2",IF($M2816="PADD III","PADD 3",IF($M2816="PADD IV","PADD 4",IF($M2816="PADD V","PADD 5","")))))</f>
        <v>PADD 4</v>
      </c>
      <c r="G2816" s="6">
        <f>IF(AND($H2816="ATMOS DISTILLATION",ISNUMBER(SEARCH("VPS",$I2816))=FALSE,LEFT($I2816,6)&lt;&gt;"VACUUM"),"CDU",IF($H2816="FLUID CAT CRACKING","FCC",IF(OR($H2816="HYDROCRACKING",$H2816="RESID_HYDROCRACKING"),"Hydrocracker",IF($H2816="REFORMING","Reformer",""))))</f>
        <v/>
      </c>
      <c r="H2816" s="6" t="s">
        <v>378</v>
      </c>
      <c r="I2816" s="6" t="s">
        <v>379</v>
      </c>
      <c r="J2816" s="6" t="s">
        <v>345</v>
      </c>
      <c r="K2816" s="10">
        <v>1.536</v>
      </c>
      <c r="L2816" s="10">
        <v>25.6</v>
      </c>
      <c r="M2816" s="6" t="s">
        <v>430</v>
      </c>
    </row>
    <row r="2817" spans="1:13">
      <c r="A2817" s="6">
        <v>2024</v>
      </c>
      <c r="B2817" s="6">
        <v>1</v>
      </c>
      <c r="C2817" s="6" t="s">
        <v>59</v>
      </c>
      <c r="D2817" s="6" t="s">
        <v>572</v>
      </c>
      <c r="E2817" s="6" t="s">
        <v>573</v>
      </c>
      <c r="F2817" s="6" t="str">
        <f>IF($M2817="PADD I","PADD 1",IF($M2817="PADD II","PADD 2",IF($M2817="PADD III","PADD 3",IF($M2817="PADD IV","PADD 4",IF($M2817="PADD V","PADD 5","")))))</f>
        <v>PADD 3</v>
      </c>
      <c r="G2817" s="6" t="str">
        <f>IF(AND($H2817="ATMOS DISTILLATION",ISNUMBER(SEARCH("VPS",$I2817))=FALSE,LEFT($I2817,6)&lt;&gt;"VACUUM"),"CDU",IF($H2817="FLUID CAT CRACKING","FCC",IF(OR($H2817="HYDROCRACKING",$H2817="RESID_HYDROCRACKING"),"Hydrocracker",IF($H2817="REFORMING","Reformer",""))))</f>
        <v>CDU</v>
      </c>
      <c r="H2817" s="6" t="s">
        <v>38</v>
      </c>
      <c r="I2817" s="6" t="s">
        <v>574</v>
      </c>
      <c r="J2817" s="6" t="s">
        <v>345</v>
      </c>
      <c r="K2817" s="10">
        <v>1.5</v>
      </c>
      <c r="L2817" s="10">
        <v>50</v>
      </c>
      <c r="M2817" s="6" t="s">
        <v>371</v>
      </c>
    </row>
    <row r="2818" spans="1:13">
      <c r="A2818" s="6">
        <v>2024</v>
      </c>
      <c r="B2818" s="6">
        <v>1</v>
      </c>
      <c r="C2818" s="6" t="s">
        <v>59</v>
      </c>
      <c r="D2818" s="6" t="s">
        <v>756</v>
      </c>
      <c r="E2818" s="6" t="s">
        <v>757</v>
      </c>
      <c r="F2818" s="6" t="str">
        <f>IF($M2818="PADD I","PADD 1",IF($M2818="PADD II","PADD 2",IF($M2818="PADD III","PADD 3",IF($M2818="PADD IV","PADD 4",IF($M2818="PADD V","PADD 5","")))))</f>
        <v>PADD 3</v>
      </c>
      <c r="G2818" s="6" t="str">
        <f>IF(AND($H2818="ATMOS DISTILLATION",ISNUMBER(SEARCH("VPS",$I2818))=FALSE,LEFT($I2818,6)&lt;&gt;"VACUUM"),"CDU",IF($H2818="FLUID CAT CRACKING","FCC",IF(OR($H2818="HYDROCRACKING",$H2818="RESID_HYDROCRACKING"),"Hydrocracker",IF($H2818="REFORMING","Reformer",""))))</f>
        <v>CDU</v>
      </c>
      <c r="H2818" s="6" t="s">
        <v>38</v>
      </c>
      <c r="I2818" s="6" t="s">
        <v>81</v>
      </c>
      <c r="J2818" s="6" t="s">
        <v>345</v>
      </c>
      <c r="K2818" s="10">
        <v>1.5</v>
      </c>
      <c r="L2818" s="10">
        <v>15</v>
      </c>
      <c r="M2818" s="6" t="s">
        <v>371</v>
      </c>
    </row>
    <row r="2819" spans="1:13">
      <c r="A2819" s="6">
        <v>2024</v>
      </c>
      <c r="B2819" s="6">
        <v>1</v>
      </c>
      <c r="C2819" s="6" t="s">
        <v>59</v>
      </c>
      <c r="D2819" s="6" t="s">
        <v>40</v>
      </c>
      <c r="E2819" s="6" t="s">
        <v>736</v>
      </c>
      <c r="F2819" s="6" t="str">
        <f>IF($M2819="PADD I","PADD 1",IF($M2819="PADD II","PADD 2",IF($M2819="PADD III","PADD 3",IF($M2819="PADD IV","PADD 4",IF($M2819="PADD V","PADD 5","")))))</f>
        <v>PADD 1</v>
      </c>
      <c r="G2819" s="6">
        <f>IF(AND($H2819="ATMOS DISTILLATION",ISNUMBER(SEARCH("VPS",$I2819))=FALSE,LEFT($I2819,6)&lt;&gt;"VACUUM"),"CDU",IF($H2819="FLUID CAT CRACKING","FCC",IF(OR($H2819="HYDROCRACKING",$H2819="RESID_HYDROCRACKING"),"Hydrocracker",IF($H2819="REFORMING","Reformer",""))))</f>
        <v/>
      </c>
      <c r="H2819" s="6" t="s">
        <v>378</v>
      </c>
      <c r="I2819" s="6" t="s">
        <v>963</v>
      </c>
      <c r="J2819" s="6" t="s">
        <v>345</v>
      </c>
      <c r="K2819" s="10">
        <v>1.4598</v>
      </c>
      <c r="L2819" s="10">
        <v>24.33</v>
      </c>
      <c r="M2819" s="6" t="s">
        <v>413</v>
      </c>
    </row>
    <row r="2820" spans="1:13">
      <c r="A2820" s="6">
        <v>2024</v>
      </c>
      <c r="B2820" s="6">
        <v>1</v>
      </c>
      <c r="C2820" s="6" t="s">
        <v>59</v>
      </c>
      <c r="D2820" s="6" t="s">
        <v>40</v>
      </c>
      <c r="E2820" s="6" t="s">
        <v>736</v>
      </c>
      <c r="F2820" s="6" t="str">
        <f>IF($M2820="PADD I","PADD 1",IF($M2820="PADD II","PADD 2",IF($M2820="PADD III","PADD 3",IF($M2820="PADD IV","PADD 4",IF($M2820="PADD V","PADD 5","")))))</f>
        <v>PADD 1</v>
      </c>
      <c r="G2820" s="6">
        <f>IF(AND($H2820="ATMOS DISTILLATION",ISNUMBER(SEARCH("VPS",$I2820))=FALSE,LEFT($I2820,6)&lt;&gt;"VACUUM"),"CDU",IF($H2820="FLUID CAT CRACKING","FCC",IF(OR($H2820="HYDROCRACKING",$H2820="RESID_HYDROCRACKING"),"Hydrocracker",IF($H2820="REFORMING","Reformer",""))))</f>
        <v/>
      </c>
      <c r="H2820" s="6" t="s">
        <v>637</v>
      </c>
      <c r="I2820" s="6" t="s">
        <v>1019</v>
      </c>
      <c r="J2820" s="6" t="s">
        <v>345</v>
      </c>
      <c r="K2820" s="10">
        <v>1.4</v>
      </c>
      <c r="L2820" s="10">
        <v>14</v>
      </c>
      <c r="M2820" s="6" t="s">
        <v>413</v>
      </c>
    </row>
    <row r="2821" spans="1:13">
      <c r="A2821" s="6">
        <v>2024</v>
      </c>
      <c r="B2821" s="6">
        <v>1</v>
      </c>
      <c r="C2821" s="6" t="s">
        <v>59</v>
      </c>
      <c r="D2821" s="6" t="s">
        <v>602</v>
      </c>
      <c r="E2821" s="6" t="s">
        <v>369</v>
      </c>
      <c r="F2821" s="6" t="str">
        <f>IF($M2821="PADD I","PADD 1",IF($M2821="PADD II","PADD 2",IF($M2821="PADD III","PADD 3",IF($M2821="PADD IV","PADD 4",IF($M2821="PADD V","PADD 5","")))))</f>
        <v>PADD 2</v>
      </c>
      <c r="G2821" s="6">
        <f>IF(AND($H2821="ATMOS DISTILLATION",ISNUMBER(SEARCH("VPS",$I2821))=FALSE,LEFT($I2821,6)&lt;&gt;"VACUUM"),"CDU",IF($H2821="FLUID CAT CRACKING","FCC",IF(OR($H2821="HYDROCRACKING",$H2821="RESID_HYDROCRACKING"),"Hydrocracker",IF($H2821="REFORMING","Reformer",""))))</f>
        <v/>
      </c>
      <c r="H2821" s="6" t="s">
        <v>460</v>
      </c>
      <c r="I2821" s="6" t="s">
        <v>616</v>
      </c>
      <c r="J2821" s="6" t="s">
        <v>345</v>
      </c>
      <c r="K2821" s="10">
        <v>1.38</v>
      </c>
      <c r="L2821" s="10">
        <v>23</v>
      </c>
      <c r="M2821" s="6" t="s">
        <v>375</v>
      </c>
    </row>
    <row r="2822" spans="1:13">
      <c r="A2822" s="6">
        <v>2024</v>
      </c>
      <c r="B2822" s="6">
        <v>1</v>
      </c>
      <c r="C2822" s="6" t="s">
        <v>59</v>
      </c>
      <c r="D2822" s="6" t="s">
        <v>40</v>
      </c>
      <c r="E2822" s="6" t="s">
        <v>736</v>
      </c>
      <c r="F2822" s="6" t="str">
        <f>IF($M2822="PADD I","PADD 1",IF($M2822="PADD II","PADD 2",IF($M2822="PADD III","PADD 3",IF($M2822="PADD IV","PADD 4",IF($M2822="PADD V","PADD 5","")))))</f>
        <v>PADD 1</v>
      </c>
      <c r="G2822" s="6">
        <f>IF(AND($H2822="ATMOS DISTILLATION",ISNUMBER(SEARCH("VPS",$I2822))=FALSE,LEFT($I2822,6)&lt;&gt;"VACUUM"),"CDU",IF($H2822="FLUID CAT CRACKING","FCC",IF(OR($H2822="HYDROCRACKING",$H2822="RESID_HYDROCRACKING"),"Hydrocracker",IF($H2822="REFORMING","Reformer",""))))</f>
        <v/>
      </c>
      <c r="H2822" s="6" t="s">
        <v>460</v>
      </c>
      <c r="I2822" s="6" t="s">
        <v>760</v>
      </c>
      <c r="J2822" s="6" t="s">
        <v>345</v>
      </c>
      <c r="K2822" s="10">
        <v>1.2</v>
      </c>
      <c r="L2822" s="10">
        <v>12</v>
      </c>
      <c r="M2822" s="6" t="s">
        <v>413</v>
      </c>
    </row>
    <row r="2823" spans="1:13">
      <c r="A2823" s="6">
        <v>2024</v>
      </c>
      <c r="B2823" s="6">
        <v>1</v>
      </c>
      <c r="C2823" s="6" t="s">
        <v>59</v>
      </c>
      <c r="D2823" s="6" t="s">
        <v>408</v>
      </c>
      <c r="E2823" s="6" t="s">
        <v>409</v>
      </c>
      <c r="F2823" s="6" t="str">
        <f>IF($M2823="PADD I","PADD 1",IF($M2823="PADD II","PADD 2",IF($M2823="PADD III","PADD 3",IF($M2823="PADD IV","PADD 4",IF($M2823="PADD V","PADD 5","")))))</f>
        <v>PADD 3</v>
      </c>
      <c r="G2823" s="6" t="str">
        <f>IF(AND($H2823="ATMOS DISTILLATION",ISNUMBER(SEARCH("VPS",$I2823))=FALSE,LEFT($I2823,6)&lt;&gt;"VACUUM"),"CDU",IF($H2823="FLUID CAT CRACKING","FCC",IF(OR($H2823="HYDROCRACKING",$H2823="RESID_HYDROCRACKING"),"Hydrocracker",IF($H2823="REFORMING","Reformer",""))))</f>
        <v>CDU</v>
      </c>
      <c r="H2823" s="6" t="s">
        <v>38</v>
      </c>
      <c r="I2823" s="6" t="s">
        <v>522</v>
      </c>
      <c r="J2823" s="6" t="s">
        <v>345</v>
      </c>
      <c r="K2823" s="10">
        <v>1.2</v>
      </c>
      <c r="L2823" s="10">
        <v>40</v>
      </c>
      <c r="M2823" s="6" t="s">
        <v>371</v>
      </c>
    </row>
    <row r="2824" spans="1:13">
      <c r="A2824" s="6">
        <v>2024</v>
      </c>
      <c r="B2824" s="6">
        <v>1</v>
      </c>
      <c r="C2824" s="6" t="s">
        <v>59</v>
      </c>
      <c r="D2824" s="6" t="s">
        <v>953</v>
      </c>
      <c r="E2824" s="6" t="s">
        <v>733</v>
      </c>
      <c r="F2824" s="6" t="str">
        <f>IF($M2824="PADD I","PADD 1",IF($M2824="PADD II","PADD 2",IF($M2824="PADD III","PADD 3",IF($M2824="PADD IV","PADD 4",IF($M2824="PADD V","PADD 5","")))))</f>
        <v>PADD 2</v>
      </c>
      <c r="G2824" s="6">
        <f>IF(AND($H2824="ATMOS DISTILLATION",ISNUMBER(SEARCH("VPS",$I2824))=FALSE,LEFT($I2824,6)&lt;&gt;"VACUUM"),"CDU",IF($H2824="FLUID CAT CRACKING","FCC",IF(OR($H2824="HYDROCRACKING",$H2824="RESID_HYDROCRACKING"),"Hydrocracker",IF($H2824="REFORMING","Reformer",""))))</f>
        <v/>
      </c>
      <c r="H2824" s="6" t="s">
        <v>43</v>
      </c>
      <c r="I2824" s="6" t="s">
        <v>449</v>
      </c>
      <c r="J2824" s="6" t="s">
        <v>345</v>
      </c>
      <c r="K2824" s="10">
        <v>1.2</v>
      </c>
      <c r="L2824" s="10">
        <v>12</v>
      </c>
      <c r="M2824" s="6" t="s">
        <v>375</v>
      </c>
    </row>
    <row r="2825" spans="1:13">
      <c r="A2825" s="6">
        <v>2024</v>
      </c>
      <c r="B2825" s="6">
        <v>1</v>
      </c>
      <c r="C2825" s="6" t="s">
        <v>59</v>
      </c>
      <c r="D2825" s="6" t="s">
        <v>602</v>
      </c>
      <c r="E2825" s="6" t="s">
        <v>369</v>
      </c>
      <c r="F2825" s="6" t="str">
        <f>IF($M2825="PADD I","PADD 1",IF($M2825="PADD II","PADD 2",IF($M2825="PADD III","PADD 3",IF($M2825="PADD IV","PADD 4",IF($M2825="PADD V","PADD 5","")))))</f>
        <v>PADD 2</v>
      </c>
      <c r="G2825" s="6">
        <f>IF(AND($H2825="ATMOS DISTILLATION",ISNUMBER(SEARCH("VPS",$I2825))=FALSE,LEFT($I2825,6)&lt;&gt;"VACUUM"),"CDU",IF($H2825="FLUID CAT CRACKING","FCC",IF(OR($H2825="HYDROCRACKING",$H2825="RESID_HYDROCRACKING"),"Hydrocracker",IF($H2825="REFORMING","Reformer",""))))</f>
        <v/>
      </c>
      <c r="H2825" s="6" t="s">
        <v>460</v>
      </c>
      <c r="I2825" s="6" t="s">
        <v>616</v>
      </c>
      <c r="J2825" s="6" t="s">
        <v>345</v>
      </c>
      <c r="K2825" s="10">
        <v>1.2</v>
      </c>
      <c r="L2825" s="10">
        <v>12</v>
      </c>
      <c r="M2825" s="6" t="s">
        <v>375</v>
      </c>
    </row>
    <row r="2826" spans="1:13">
      <c r="A2826" s="6">
        <v>2024</v>
      </c>
      <c r="B2826" s="6">
        <v>1</v>
      </c>
      <c r="C2826" s="6" t="s">
        <v>59</v>
      </c>
      <c r="D2826" s="6" t="s">
        <v>839</v>
      </c>
      <c r="E2826" s="6" t="s">
        <v>840</v>
      </c>
      <c r="F2826" s="6" t="str">
        <f>IF($M2826="PADD I","PADD 1",IF($M2826="PADD II","PADD 2",IF($M2826="PADD III","PADD 3",IF($M2826="PADD IV","PADD 4",IF($M2826="PADD V","PADD 5","")))))</f>
        <v>PADD 1</v>
      </c>
      <c r="G2826" s="6">
        <f>IF(AND($H2826="ATMOS DISTILLATION",ISNUMBER(SEARCH("VPS",$I2826))=FALSE,LEFT($I2826,6)&lt;&gt;"VACUUM"),"CDU",IF($H2826="FLUID CAT CRACKING","FCC",IF(OR($H2826="HYDROCRACKING",$H2826="RESID_HYDROCRACKING"),"Hydrocracker",IF($H2826="REFORMING","Reformer",""))))</f>
        <v/>
      </c>
      <c r="H2826" s="6" t="s">
        <v>43</v>
      </c>
      <c r="I2826" s="6" t="s">
        <v>841</v>
      </c>
      <c r="J2826" s="6" t="s">
        <v>345</v>
      </c>
      <c r="K2826" s="10">
        <v>1.02</v>
      </c>
      <c r="L2826" s="10">
        <v>17</v>
      </c>
      <c r="M2826" s="6" t="s">
        <v>413</v>
      </c>
    </row>
    <row r="2827" spans="1:13">
      <c r="A2827" s="6">
        <v>2024</v>
      </c>
      <c r="B2827" s="6">
        <v>1</v>
      </c>
      <c r="C2827" s="6" t="s">
        <v>59</v>
      </c>
      <c r="D2827" s="6" t="s">
        <v>395</v>
      </c>
      <c r="E2827" s="6" t="s">
        <v>396</v>
      </c>
      <c r="F2827" s="6" t="str">
        <f>IF($M2827="PADD I","PADD 1",IF($M2827="PADD II","PADD 2",IF($M2827="PADD III","PADD 3",IF($M2827="PADD IV","PADD 4",IF($M2827="PADD V","PADD 5","")))))</f>
        <v>PADD 3</v>
      </c>
      <c r="G2827" s="6">
        <f>IF(AND($H2827="ATMOS DISTILLATION",ISNUMBER(SEARCH("VPS",$I2827))=FALSE,LEFT($I2827,6)&lt;&gt;"VACUUM"),"CDU",IF($H2827="FLUID CAT CRACKING","FCC",IF(OR($H2827="HYDROCRACKING",$H2827="RESID_HYDROCRACKING"),"Hydrocracker",IF($H2827="REFORMING","Reformer",""))))</f>
        <v/>
      </c>
      <c r="H2827" s="6" t="s">
        <v>460</v>
      </c>
      <c r="I2827" s="6" t="s">
        <v>461</v>
      </c>
      <c r="J2827" s="6" t="s">
        <v>345</v>
      </c>
      <c r="K2827" s="10">
        <v>0.9744</v>
      </c>
      <c r="L2827" s="10">
        <v>3.36</v>
      </c>
      <c r="M2827" s="6" t="s">
        <v>371</v>
      </c>
    </row>
    <row r="2828" spans="1:13">
      <c r="A2828" s="6">
        <v>2024</v>
      </c>
      <c r="B2828" s="6">
        <v>1</v>
      </c>
      <c r="C2828" s="6" t="s">
        <v>59</v>
      </c>
      <c r="D2828" s="6" t="s">
        <v>434</v>
      </c>
      <c r="E2828" s="6" t="s">
        <v>388</v>
      </c>
      <c r="F2828" s="6" t="str">
        <f>IF($M2828="PADD I","PADD 1",IF($M2828="PADD II","PADD 2",IF($M2828="PADD III","PADD 3",IF($M2828="PADD IV","PADD 4",IF($M2828="PADD V","PADD 5","")))))</f>
        <v>PADD 5</v>
      </c>
      <c r="G2828" s="6" t="str">
        <f>IF(AND($H2828="ATMOS DISTILLATION",ISNUMBER(SEARCH("VPS",$I2828))=FALSE,LEFT($I2828,6)&lt;&gt;"VACUUM"),"CDU",IF($H2828="FLUID CAT CRACKING","FCC",IF(OR($H2828="HYDROCRACKING",$H2828="RESID_HYDROCRACKING"),"Hydrocracker",IF($H2828="REFORMING","Reformer",""))))</f>
        <v>Hydrocracker</v>
      </c>
      <c r="H2828" s="6" t="s">
        <v>444</v>
      </c>
      <c r="I2828" s="6" t="s">
        <v>14</v>
      </c>
      <c r="J2828" s="6" t="s">
        <v>345</v>
      </c>
      <c r="K2828" s="10">
        <v>0.96</v>
      </c>
      <c r="L2828" s="10">
        <v>32</v>
      </c>
      <c r="M2828" s="6" t="s">
        <v>386</v>
      </c>
    </row>
    <row r="2829" spans="1:13">
      <c r="A2829" s="6">
        <v>2024</v>
      </c>
      <c r="B2829" s="6">
        <v>1</v>
      </c>
      <c r="C2829" s="6" t="s">
        <v>59</v>
      </c>
      <c r="D2829" s="6" t="s">
        <v>1101</v>
      </c>
      <c r="E2829" s="6" t="s">
        <v>881</v>
      </c>
      <c r="F2829" s="6" t="str">
        <f>IF($M2829="PADD I","PADD 1",IF($M2829="PADD II","PADD 2",IF($M2829="PADD III","PADD 3",IF($M2829="PADD IV","PADD 4",IF($M2829="PADD V","PADD 5","")))))</f>
        <v>PADD 3</v>
      </c>
      <c r="G2829" s="6" t="str">
        <f>IF(AND($H2829="ATMOS DISTILLATION",ISNUMBER(SEARCH("VPS",$I2829))=FALSE,LEFT($I2829,6)&lt;&gt;"VACUUM"),"CDU",IF($H2829="FLUID CAT CRACKING","FCC",IF(OR($H2829="HYDROCRACKING",$H2829="RESID_HYDROCRACKING"),"Hydrocracker",IF($H2829="REFORMING","Reformer",""))))</f>
        <v>Reformer</v>
      </c>
      <c r="H2829" s="6" t="s">
        <v>421</v>
      </c>
      <c r="I2829" s="6" t="s">
        <v>15</v>
      </c>
      <c r="J2829" s="6" t="s">
        <v>349</v>
      </c>
      <c r="K2829" s="10">
        <v>0.92</v>
      </c>
      <c r="L2829" s="10">
        <v>4</v>
      </c>
      <c r="M2829" s="6" t="s">
        <v>371</v>
      </c>
    </row>
    <row r="2830" spans="1:13">
      <c r="A2830" s="6">
        <v>2024</v>
      </c>
      <c r="B2830" s="6">
        <v>1</v>
      </c>
      <c r="C2830" s="6" t="s">
        <v>59</v>
      </c>
      <c r="D2830" s="6" t="s">
        <v>468</v>
      </c>
      <c r="E2830" s="6" t="s">
        <v>369</v>
      </c>
      <c r="F2830" s="6" t="str">
        <f>IF($M2830="PADD I","PADD 1",IF($M2830="PADD II","PADD 2",IF($M2830="PADD III","PADD 3",IF($M2830="PADD IV","PADD 4",IF($M2830="PADD V","PADD 5","")))))</f>
        <v>PADD 3</v>
      </c>
      <c r="G2830" s="6" t="str">
        <f>IF(AND($H2830="ATMOS DISTILLATION",ISNUMBER(SEARCH("VPS",$I2830))=FALSE,LEFT($I2830,6)&lt;&gt;"VACUUM"),"CDU",IF($H2830="FLUID CAT CRACKING","FCC",IF(OR($H2830="HYDROCRACKING",$H2830="RESID_HYDROCRACKING"),"Hydrocracker",IF($H2830="REFORMING","Reformer",""))))</f>
        <v>Reformer</v>
      </c>
      <c r="H2830" s="6" t="s">
        <v>421</v>
      </c>
      <c r="I2830" s="6" t="s">
        <v>635</v>
      </c>
      <c r="J2830" s="6" t="s">
        <v>345</v>
      </c>
      <c r="K2830" s="10">
        <v>0.91</v>
      </c>
      <c r="L2830" s="10">
        <v>7</v>
      </c>
      <c r="M2830" s="6" t="s">
        <v>371</v>
      </c>
    </row>
    <row r="2831" spans="1:13">
      <c r="A2831" s="6">
        <v>2024</v>
      </c>
      <c r="B2831" s="6">
        <v>1</v>
      </c>
      <c r="C2831" s="6" t="s">
        <v>59</v>
      </c>
      <c r="D2831" s="6" t="s">
        <v>395</v>
      </c>
      <c r="E2831" s="6" t="s">
        <v>396</v>
      </c>
      <c r="F2831" s="6" t="str">
        <f>IF($M2831="PADD I","PADD 1",IF($M2831="PADD II","PADD 2",IF($M2831="PADD III","PADD 3",IF($M2831="PADD IV","PADD 4",IF($M2831="PADD V","PADD 5","")))))</f>
        <v>PADD 3</v>
      </c>
      <c r="G2831" s="6" t="str">
        <f>IF(AND($H2831="ATMOS DISTILLATION",ISNUMBER(SEARCH("VPS",$I2831))=FALSE,LEFT($I2831,6)&lt;&gt;"VACUUM"),"CDU",IF($H2831="FLUID CAT CRACKING","FCC",IF(OR($H2831="HYDROCRACKING",$H2831="RESID_HYDROCRACKING"),"Hydrocracker",IF($H2831="REFORMING","Reformer",""))))</f>
        <v>Reformer</v>
      </c>
      <c r="H2831" s="6" t="s">
        <v>421</v>
      </c>
      <c r="I2831" s="6" t="s">
        <v>540</v>
      </c>
      <c r="J2831" s="6" t="s">
        <v>349</v>
      </c>
      <c r="K2831" s="10">
        <v>0.9</v>
      </c>
      <c r="L2831" s="10">
        <v>30</v>
      </c>
      <c r="M2831" s="6" t="s">
        <v>371</v>
      </c>
    </row>
    <row r="2832" spans="1:13">
      <c r="A2832" s="6">
        <v>2024</v>
      </c>
      <c r="B2832" s="6">
        <v>1</v>
      </c>
      <c r="C2832" s="6" t="s">
        <v>59</v>
      </c>
      <c r="D2832" s="6" t="s">
        <v>40</v>
      </c>
      <c r="E2832" s="6" t="s">
        <v>736</v>
      </c>
      <c r="F2832" s="6" t="str">
        <f>IF($M2832="PADD I","PADD 1",IF($M2832="PADD II","PADD 2",IF($M2832="PADD III","PADD 3",IF($M2832="PADD IV","PADD 4",IF($M2832="PADD V","PADD 5","")))))</f>
        <v>PADD 1</v>
      </c>
      <c r="G2832" s="6">
        <f>IF(AND($H2832="ATMOS DISTILLATION",ISNUMBER(SEARCH("VPS",$I2832))=FALSE,LEFT($I2832,6)&lt;&gt;"VACUUM"),"CDU",IF($H2832="FLUID CAT CRACKING","FCC",IF(OR($H2832="HYDROCRACKING",$H2832="RESID_HYDROCRACKING"),"Hydrocracker",IF($H2832="REFORMING","Reformer",""))))</f>
        <v/>
      </c>
      <c r="H2832" s="6" t="s">
        <v>378</v>
      </c>
      <c r="I2832" s="6" t="s">
        <v>963</v>
      </c>
      <c r="J2832" s="6" t="s">
        <v>345</v>
      </c>
      <c r="K2832" s="10">
        <v>0.78</v>
      </c>
      <c r="L2832" s="10">
        <v>26</v>
      </c>
      <c r="M2832" s="6" t="s">
        <v>413</v>
      </c>
    </row>
    <row r="2833" spans="1:13">
      <c r="A2833" s="6">
        <v>2024</v>
      </c>
      <c r="B2833" s="6">
        <v>1</v>
      </c>
      <c r="C2833" s="6" t="s">
        <v>59</v>
      </c>
      <c r="D2833" s="6" t="s">
        <v>722</v>
      </c>
      <c r="E2833" s="6" t="s">
        <v>452</v>
      </c>
      <c r="F2833" s="6" t="str">
        <f>IF($M2833="PADD I","PADD 1",IF($M2833="PADD II","PADD 2",IF($M2833="PADD III","PADD 3",IF($M2833="PADD IV","PADD 4",IF($M2833="PADD V","PADD 5","")))))</f>
        <v>PADD 4</v>
      </c>
      <c r="G2833" s="6">
        <f>IF(AND($H2833="ATMOS DISTILLATION",ISNUMBER(SEARCH("VPS",$I2833))=FALSE,LEFT($I2833,6)&lt;&gt;"VACUUM"),"CDU",IF($H2833="FLUID CAT CRACKING","FCC",IF(OR($H2833="HYDROCRACKING",$H2833="RESID_HYDROCRACKING"),"Hydrocracker",IF($H2833="REFORMING","Reformer",""))))</f>
        <v/>
      </c>
      <c r="H2833" s="6" t="s">
        <v>460</v>
      </c>
      <c r="I2833" s="6" t="s">
        <v>1109</v>
      </c>
      <c r="J2833" s="6" t="s">
        <v>349</v>
      </c>
      <c r="K2833" s="10">
        <v>0.754</v>
      </c>
      <c r="L2833" s="10">
        <v>2.9</v>
      </c>
      <c r="M2833" s="6" t="s">
        <v>430</v>
      </c>
    </row>
    <row r="2834" spans="1:13">
      <c r="A2834" s="6">
        <v>2024</v>
      </c>
      <c r="B2834" s="6">
        <v>1</v>
      </c>
      <c r="C2834" s="6" t="s">
        <v>59</v>
      </c>
      <c r="D2834" s="6" t="s">
        <v>953</v>
      </c>
      <c r="E2834" s="6" t="s">
        <v>733</v>
      </c>
      <c r="F2834" s="6" t="str">
        <f>IF($M2834="PADD I","PADD 1",IF($M2834="PADD II","PADD 2",IF($M2834="PADD III","PADD 3",IF($M2834="PADD IV","PADD 4",IF($M2834="PADD V","PADD 5","")))))</f>
        <v>PADD 2</v>
      </c>
      <c r="G2834" s="6">
        <f>IF(AND($H2834="ATMOS DISTILLATION",ISNUMBER(SEARCH("VPS",$I2834))=FALSE,LEFT($I2834,6)&lt;&gt;"VACUUM"),"CDU",IF($H2834="FLUID CAT CRACKING","FCC",IF(OR($H2834="HYDROCRACKING",$H2834="RESID_HYDROCRACKING"),"Hydrocracker",IF($H2834="REFORMING","Reformer",""))))</f>
        <v/>
      </c>
      <c r="H2834" s="6" t="s">
        <v>460</v>
      </c>
      <c r="I2834" s="6" t="s">
        <v>616</v>
      </c>
      <c r="J2834" s="6" t="s">
        <v>345</v>
      </c>
      <c r="K2834" s="10">
        <v>0.66</v>
      </c>
      <c r="L2834" s="10">
        <v>6.6</v>
      </c>
      <c r="M2834" s="6" t="s">
        <v>375</v>
      </c>
    </row>
    <row r="2835" spans="1:13">
      <c r="A2835" s="6">
        <v>2024</v>
      </c>
      <c r="B2835" s="6">
        <v>1</v>
      </c>
      <c r="C2835" s="6" t="s">
        <v>59</v>
      </c>
      <c r="D2835" s="6" t="s">
        <v>437</v>
      </c>
      <c r="E2835" s="6" t="s">
        <v>438</v>
      </c>
      <c r="F2835" s="6" t="str">
        <f>IF($M2835="PADD I","PADD 1",IF($M2835="PADD II","PADD 2",IF($M2835="PADD III","PADD 3",IF($M2835="PADD IV","PADD 4",IF($M2835="PADD V","PADD 5","")))))</f>
        <v>PADD 4</v>
      </c>
      <c r="G2835" s="6">
        <f>IF(AND($H2835="ATMOS DISTILLATION",ISNUMBER(SEARCH("VPS",$I2835))=FALSE,LEFT($I2835,6)&lt;&gt;"VACUUM"),"CDU",IF($H2835="FLUID CAT CRACKING","FCC",IF(OR($H2835="HYDROCRACKING",$H2835="RESID_HYDROCRACKING"),"Hydrocracker",IF($H2835="REFORMING","Reformer",""))))</f>
        <v/>
      </c>
      <c r="H2835" s="6" t="s">
        <v>378</v>
      </c>
      <c r="I2835" s="6" t="s">
        <v>556</v>
      </c>
      <c r="J2835" s="6" t="s">
        <v>345</v>
      </c>
      <c r="K2835" s="10">
        <v>0.5028</v>
      </c>
      <c r="L2835" s="10">
        <v>8.380000000000001</v>
      </c>
      <c r="M2835" s="6" t="s">
        <v>430</v>
      </c>
    </row>
    <row r="2836" spans="1:13">
      <c r="A2836" s="6">
        <v>2024</v>
      </c>
      <c r="B2836" s="6">
        <v>1</v>
      </c>
      <c r="C2836" s="6" t="s">
        <v>59</v>
      </c>
      <c r="D2836" s="6" t="s">
        <v>756</v>
      </c>
      <c r="E2836" s="6" t="s">
        <v>757</v>
      </c>
      <c r="F2836" s="6" t="str">
        <f>IF($M2836="PADD I","PADD 1",IF($M2836="PADD II","PADD 2",IF($M2836="PADD III","PADD 3",IF($M2836="PADD IV","PADD 4",IF($M2836="PADD V","PADD 5","")))))</f>
        <v>PADD 3</v>
      </c>
      <c r="G2836" s="6" t="str">
        <f>IF(AND($H2836="ATMOS DISTILLATION",ISNUMBER(SEARCH("VPS",$I2836))=FALSE,LEFT($I2836,6)&lt;&gt;"VACUUM"),"CDU",IF($H2836="FLUID CAT CRACKING","FCC",IF(OR($H2836="HYDROCRACKING",$H2836="RESID_HYDROCRACKING"),"Hydrocracker",IF($H2836="REFORMING","Reformer",""))))</f>
        <v>CDU</v>
      </c>
      <c r="H2836" s="6" t="s">
        <v>38</v>
      </c>
      <c r="I2836" s="6" t="s">
        <v>81</v>
      </c>
      <c r="J2836" s="6" t="s">
        <v>345</v>
      </c>
      <c r="K2836" s="10">
        <v>0.45</v>
      </c>
      <c r="L2836" s="10">
        <v>15</v>
      </c>
      <c r="M2836" s="6" t="s">
        <v>371</v>
      </c>
    </row>
    <row r="2837" spans="1:13">
      <c r="A2837" s="6">
        <v>2024</v>
      </c>
      <c r="B2837" s="6">
        <v>1</v>
      </c>
      <c r="C2837" s="6" t="s">
        <v>59</v>
      </c>
      <c r="D2837" s="6" t="s">
        <v>446</v>
      </c>
      <c r="E2837" s="6" t="s">
        <v>391</v>
      </c>
      <c r="F2837" s="6" t="str">
        <f>IF($M2837="PADD I","PADD 1",IF($M2837="PADD II","PADD 2",IF($M2837="PADD III","PADD 3",IF($M2837="PADD IV","PADD 4",IF($M2837="PADD V","PADD 5","")))))</f>
        <v>PADD 3</v>
      </c>
      <c r="G2837" s="6">
        <f>IF(AND($H2837="ATMOS DISTILLATION",ISNUMBER(SEARCH("VPS",$I2837))=FALSE,LEFT($I2837,6)&lt;&gt;"VACUUM"),"CDU",IF($H2837="FLUID CAT CRACKING","FCC",IF(OR($H2837="HYDROCRACKING",$H2837="RESID_HYDROCRACKING"),"Hydrocracker",IF($H2837="REFORMING","Reformer",""))))</f>
        <v/>
      </c>
      <c r="H2837" s="6" t="s">
        <v>460</v>
      </c>
      <c r="I2837" s="6" t="s">
        <v>580</v>
      </c>
      <c r="J2837" s="6" t="s">
        <v>345</v>
      </c>
      <c r="K2837" s="10">
        <v>0.432</v>
      </c>
      <c r="L2837" s="10">
        <v>7.2</v>
      </c>
      <c r="M2837" s="6" t="s">
        <v>371</v>
      </c>
    </row>
    <row r="2838" spans="1:13">
      <c r="A2838" s="6">
        <v>2024</v>
      </c>
      <c r="B2838" s="6">
        <v>1</v>
      </c>
      <c r="C2838" s="6" t="s">
        <v>59</v>
      </c>
      <c r="D2838" s="6" t="s">
        <v>40</v>
      </c>
      <c r="E2838" s="6" t="s">
        <v>736</v>
      </c>
      <c r="F2838" s="6" t="str">
        <f>IF($M2838="PADD I","PADD 1",IF($M2838="PADD II","PADD 2",IF($M2838="PADD III","PADD 3",IF($M2838="PADD IV","PADD 4",IF($M2838="PADD V","PADD 5","")))))</f>
        <v>PADD 1</v>
      </c>
      <c r="G2838" s="6">
        <f>IF(AND($H2838="ATMOS DISTILLATION",ISNUMBER(SEARCH("VPS",$I2838))=FALSE,LEFT($I2838,6)&lt;&gt;"VACUUM"),"CDU",IF($H2838="FLUID CAT CRACKING","FCC",IF(OR($H2838="HYDROCRACKING",$H2838="RESID_HYDROCRACKING"),"Hydrocracker",IF($H2838="REFORMING","Reformer",""))))</f>
        <v/>
      </c>
      <c r="H2838" s="6" t="s">
        <v>43</v>
      </c>
      <c r="I2838" s="6" t="s">
        <v>1029</v>
      </c>
      <c r="J2838" s="6" t="s">
        <v>345</v>
      </c>
      <c r="K2838" s="10">
        <v>0.42</v>
      </c>
      <c r="L2838" s="10">
        <v>4.2</v>
      </c>
      <c r="M2838" s="6" t="s">
        <v>413</v>
      </c>
    </row>
    <row r="2839" spans="1:13">
      <c r="A2839" s="6">
        <v>2024</v>
      </c>
      <c r="B2839" s="6">
        <v>1</v>
      </c>
      <c r="C2839" s="6" t="s">
        <v>59</v>
      </c>
      <c r="D2839" s="6" t="s">
        <v>714</v>
      </c>
      <c r="E2839" s="6" t="s">
        <v>405</v>
      </c>
      <c r="F2839" s="6" t="str">
        <f>IF($M2839="PADD I","PADD 1",IF($M2839="PADD II","PADD 2",IF($M2839="PADD III","PADD 3",IF($M2839="PADD IV","PADD 4",IF($M2839="PADD V","PADD 5","")))))</f>
        <v>PADD 3</v>
      </c>
      <c r="G2839" s="6">
        <f>IF(AND($H2839="ATMOS DISTILLATION",ISNUMBER(SEARCH("VPS",$I2839))=FALSE,LEFT($I2839,6)&lt;&gt;"VACUUM"),"CDU",IF($H2839="FLUID CAT CRACKING","FCC",IF(OR($H2839="HYDROCRACKING",$H2839="RESID_HYDROCRACKING"),"Hydrocracker",IF($H2839="REFORMING","Reformer",""))))</f>
        <v/>
      </c>
      <c r="H2839" s="6" t="s">
        <v>460</v>
      </c>
      <c r="I2839" s="6" t="s">
        <v>461</v>
      </c>
      <c r="J2839" s="6" t="s">
        <v>345</v>
      </c>
      <c r="K2839" s="10">
        <v>0.285</v>
      </c>
      <c r="L2839" s="10">
        <v>9.5</v>
      </c>
      <c r="M2839" s="6" t="s">
        <v>371</v>
      </c>
    </row>
    <row r="2840" spans="1:13">
      <c r="A2840" s="6">
        <v>2024</v>
      </c>
      <c r="B2840" s="6">
        <v>2</v>
      </c>
      <c r="C2840" s="6" t="s">
        <v>60</v>
      </c>
      <c r="D2840" s="6" t="s">
        <v>490</v>
      </c>
      <c r="E2840" s="6" t="s">
        <v>491</v>
      </c>
      <c r="F2840" s="6" t="str">
        <f>IF($M2840="PADD I","PADD 1",IF($M2840="PADD II","PADD 2",IF($M2840="PADD III","PADD 3",IF($M2840="PADD IV","PADD 4",IF($M2840="PADD V","PADD 5","")))))</f>
        <v>PADD 3</v>
      </c>
      <c r="G2840" s="6">
        <f>IF(AND($H2840="ATMOS DISTILLATION",ISNUMBER(SEARCH("VPS",$I2840))=FALSE,LEFT($I2840,6)&lt;&gt;"VACUUM"),"CDU",IF($H2840="FLUID CAT CRACKING","FCC",IF(OR($H2840="HYDROCRACKING",$H2840="RESID_HYDROCRACKING"),"Hydrocracker",IF($H2840="REFORMING","Reformer",""))))</f>
        <v/>
      </c>
      <c r="H2840" s="6" t="s">
        <v>38</v>
      </c>
      <c r="I2840" s="6" t="s">
        <v>1080</v>
      </c>
      <c r="J2840" s="6" t="s">
        <v>349</v>
      </c>
      <c r="K2840" s="10">
        <v>339.5</v>
      </c>
      <c r="L2840" s="10">
        <v>350</v>
      </c>
      <c r="M2840" s="6" t="s">
        <v>371</v>
      </c>
    </row>
    <row r="2841" spans="1:13">
      <c r="A2841" s="6">
        <v>2024</v>
      </c>
      <c r="B2841" s="6">
        <v>2</v>
      </c>
      <c r="C2841" s="6" t="s">
        <v>60</v>
      </c>
      <c r="D2841" s="6" t="s">
        <v>542</v>
      </c>
      <c r="E2841" s="6" t="s">
        <v>543</v>
      </c>
      <c r="F2841" s="6" t="str">
        <f>IF($M2841="PADD I","PADD 1",IF($M2841="PADD II","PADD 2",IF($M2841="PADD III","PADD 3",IF($M2841="PADD IV","PADD 4",IF($M2841="PADD V","PADD 5","")))))</f>
        <v>PADD 2</v>
      </c>
      <c r="G2841" s="6" t="str">
        <f>IF(AND($H2841="ATMOS DISTILLATION",ISNUMBER(SEARCH("VPS",$I2841))=FALSE,LEFT($I2841,6)&lt;&gt;"VACUUM"),"CDU",IF($H2841="FLUID CAT CRACKING","FCC",IF(OR($H2841="HYDROCRACKING",$H2841="RESID_HYDROCRACKING"),"Hydrocracker",IF($H2841="REFORMING","Reformer",""))))</f>
        <v>CDU</v>
      </c>
      <c r="H2841" s="6" t="s">
        <v>38</v>
      </c>
      <c r="I2841" s="6" t="s">
        <v>874</v>
      </c>
      <c r="J2841" s="6" t="s">
        <v>345</v>
      </c>
      <c r="K2841" s="10">
        <v>255</v>
      </c>
      <c r="L2841" s="10">
        <v>255</v>
      </c>
      <c r="M2841" s="6" t="s">
        <v>375</v>
      </c>
    </row>
    <row r="2842" spans="1:13">
      <c r="A2842" s="6">
        <v>2024</v>
      </c>
      <c r="B2842" s="6">
        <v>2</v>
      </c>
      <c r="C2842" s="6" t="s">
        <v>60</v>
      </c>
      <c r="D2842" s="6" t="s">
        <v>455</v>
      </c>
      <c r="E2842" s="6" t="s">
        <v>405</v>
      </c>
      <c r="F2842" s="6" t="str">
        <f>IF($M2842="PADD I","PADD 1",IF($M2842="PADD II","PADD 2",IF($M2842="PADD III","PADD 3",IF($M2842="PADD IV","PADD 4",IF($M2842="PADD V","PADD 5","")))))</f>
        <v>PADD 3</v>
      </c>
      <c r="G2842" s="6" t="str">
        <f>IF(AND($H2842="ATMOS DISTILLATION",ISNUMBER(SEARCH("VPS",$I2842))=FALSE,LEFT($I2842,6)&lt;&gt;"VACUUM"),"CDU",IF($H2842="FLUID CAT CRACKING","FCC",IF(OR($H2842="HYDROCRACKING",$H2842="RESID_HYDROCRACKING"),"Hydrocracker",IF($H2842="REFORMING","Reformer",""))))</f>
        <v>CDU</v>
      </c>
      <c r="H2842" s="6" t="s">
        <v>38</v>
      </c>
      <c r="I2842" s="6" t="s">
        <v>330</v>
      </c>
      <c r="J2842" s="6" t="s">
        <v>349</v>
      </c>
      <c r="K2842" s="10">
        <v>235</v>
      </c>
      <c r="L2842" s="10">
        <v>235</v>
      </c>
      <c r="M2842" s="6" t="s">
        <v>371</v>
      </c>
    </row>
    <row r="2843" spans="1:13">
      <c r="A2843" s="6">
        <v>2024</v>
      </c>
      <c r="B2843" s="6">
        <v>2</v>
      </c>
      <c r="C2843" s="6" t="s">
        <v>60</v>
      </c>
      <c r="D2843" s="6" t="s">
        <v>324</v>
      </c>
      <c r="E2843" s="6" t="s">
        <v>388</v>
      </c>
      <c r="F2843" s="6" t="str">
        <f>IF($M2843="PADD I","PADD 1",IF($M2843="PADD II","PADD 2",IF($M2843="PADD III","PADD 3",IF($M2843="PADD IV","PADD 4",IF($M2843="PADD V","PADD 5","")))))</f>
        <v>PADD 3</v>
      </c>
      <c r="G2843" s="6" t="str">
        <f>IF(AND($H2843="ATMOS DISTILLATION",ISNUMBER(SEARCH("VPS",$I2843))=FALSE,LEFT($I2843,6)&lt;&gt;"VACUUM"),"CDU",IF($H2843="FLUID CAT CRACKING","FCC",IF(OR($H2843="HYDROCRACKING",$H2843="RESID_HYDROCRACKING"),"Hydrocracker",IF($H2843="REFORMING","Reformer",""))))</f>
        <v>CDU</v>
      </c>
      <c r="H2843" s="6" t="s">
        <v>38</v>
      </c>
      <c r="I2843" s="6" t="s">
        <v>99</v>
      </c>
      <c r="J2843" s="6" t="s">
        <v>345</v>
      </c>
      <c r="K2843" s="10">
        <v>234.89</v>
      </c>
      <c r="L2843" s="10">
        <v>283</v>
      </c>
      <c r="M2843" s="6" t="s">
        <v>371</v>
      </c>
    </row>
    <row r="2844" spans="1:13">
      <c r="A2844" s="6">
        <v>2024</v>
      </c>
      <c r="B2844" s="6">
        <v>2</v>
      </c>
      <c r="C2844" s="6" t="s">
        <v>60</v>
      </c>
      <c r="D2844" s="6" t="s">
        <v>455</v>
      </c>
      <c r="E2844" s="6" t="s">
        <v>405</v>
      </c>
      <c r="F2844" s="6" t="str">
        <f>IF($M2844="PADD I","PADD 1",IF($M2844="PADD II","PADD 2",IF($M2844="PADD III","PADD 3",IF($M2844="PADD IV","PADD 4",IF($M2844="PADD V","PADD 5","")))))</f>
        <v>PADD 3</v>
      </c>
      <c r="G2844" s="6" t="str">
        <f>IF(AND($H2844="ATMOS DISTILLATION",ISNUMBER(SEARCH("VPS",$I2844))=FALSE,LEFT($I2844,6)&lt;&gt;"VACUUM"),"CDU",IF($H2844="FLUID CAT CRACKING","FCC",IF(OR($H2844="HYDROCRACKING",$H2844="RESID_HYDROCRACKING"),"Hydrocracker",IF($H2844="REFORMING","Reformer",""))))</f>
        <v>CDU</v>
      </c>
      <c r="H2844" s="6" t="s">
        <v>38</v>
      </c>
      <c r="I2844" s="6" t="s">
        <v>330</v>
      </c>
      <c r="J2844" s="6" t="s">
        <v>345</v>
      </c>
      <c r="K2844" s="10">
        <v>220</v>
      </c>
      <c r="L2844" s="10">
        <v>220</v>
      </c>
      <c r="M2844" s="6" t="s">
        <v>371</v>
      </c>
    </row>
    <row r="2845" spans="1:13">
      <c r="A2845" s="6">
        <v>2024</v>
      </c>
      <c r="B2845" s="6">
        <v>2</v>
      </c>
      <c r="C2845" s="6" t="s">
        <v>60</v>
      </c>
      <c r="D2845" s="6" t="s">
        <v>526</v>
      </c>
      <c r="E2845" s="6" t="s">
        <v>405</v>
      </c>
      <c r="F2845" s="6" t="str">
        <f>IF($M2845="PADD I","PADD 1",IF($M2845="PADD II","PADD 2",IF($M2845="PADD III","PADD 3",IF($M2845="PADD IV","PADD 4",IF($M2845="PADD V","PADD 5","")))))</f>
        <v>PADD 3</v>
      </c>
      <c r="G2845" s="6" t="str">
        <f>IF(AND($H2845="ATMOS DISTILLATION",ISNUMBER(SEARCH("VPS",$I2845))=FALSE,LEFT($I2845,6)&lt;&gt;"VACUUM"),"CDU",IF($H2845="FLUID CAT CRACKING","FCC",IF(OR($H2845="HYDROCRACKING",$H2845="RESID_HYDROCRACKING"),"Hydrocracker",IF($H2845="REFORMING","Reformer",""))))</f>
        <v>CDU</v>
      </c>
      <c r="H2845" s="6" t="s">
        <v>38</v>
      </c>
      <c r="I2845" s="6" t="s">
        <v>350</v>
      </c>
      <c r="J2845" s="6" t="s">
        <v>349</v>
      </c>
      <c r="K2845" s="10">
        <v>210</v>
      </c>
      <c r="L2845" s="10">
        <v>210</v>
      </c>
      <c r="M2845" s="6" t="s">
        <v>371</v>
      </c>
    </row>
    <row r="2846" spans="1:13">
      <c r="A2846" s="6">
        <v>2024</v>
      </c>
      <c r="B2846" s="6">
        <v>2</v>
      </c>
      <c r="C2846" s="6" t="s">
        <v>60</v>
      </c>
      <c r="D2846" s="6" t="s">
        <v>455</v>
      </c>
      <c r="E2846" s="6" t="s">
        <v>405</v>
      </c>
      <c r="F2846" s="6" t="str">
        <f>IF($M2846="PADD I","PADD 1",IF($M2846="PADD II","PADD 2",IF($M2846="PADD III","PADD 3",IF($M2846="PADD IV","PADD 4",IF($M2846="PADD V","PADD 5","")))))</f>
        <v>PADD 3</v>
      </c>
      <c r="G2846" s="6">
        <f>IF(AND($H2846="ATMOS DISTILLATION",ISNUMBER(SEARCH("VPS",$I2846))=FALSE,LEFT($I2846,6)&lt;&gt;"VACUUM"),"CDU",IF($H2846="FLUID CAT CRACKING","FCC",IF(OR($H2846="HYDROCRACKING",$H2846="RESID_HYDROCRACKING"),"Hydrocracker",IF($H2846="REFORMING","Reformer",""))))</f>
        <v/>
      </c>
      <c r="H2846" s="6" t="s">
        <v>378</v>
      </c>
      <c r="I2846" s="6" t="s">
        <v>964</v>
      </c>
      <c r="J2846" s="6" t="s">
        <v>349</v>
      </c>
      <c r="K2846" s="10">
        <v>180</v>
      </c>
      <c r="L2846" s="10">
        <v>180</v>
      </c>
      <c r="M2846" s="6" t="s">
        <v>371</v>
      </c>
    </row>
    <row r="2847" spans="1:13">
      <c r="A2847" s="6">
        <v>2024</v>
      </c>
      <c r="B2847" s="6">
        <v>2</v>
      </c>
      <c r="C2847" s="6" t="s">
        <v>60</v>
      </c>
      <c r="D2847" s="6" t="s">
        <v>526</v>
      </c>
      <c r="E2847" s="6" t="s">
        <v>405</v>
      </c>
      <c r="F2847" s="6" t="str">
        <f>IF($M2847="PADD I","PADD 1",IF($M2847="PADD II","PADD 2",IF($M2847="PADD III","PADD 3",IF($M2847="PADD IV","PADD 4",IF($M2847="PADD V","PADD 5","")))))</f>
        <v>PADD 3</v>
      </c>
      <c r="G2847" s="6">
        <f>IF(AND($H2847="ATMOS DISTILLATION",ISNUMBER(SEARCH("VPS",$I2847))=FALSE,LEFT($I2847,6)&lt;&gt;"VACUUM"),"CDU",IF($H2847="FLUID CAT CRACKING","FCC",IF(OR($H2847="HYDROCRACKING",$H2847="RESID_HYDROCRACKING"),"Hydrocracker",IF($H2847="REFORMING","Reformer",""))))</f>
        <v/>
      </c>
      <c r="H2847" s="6" t="s">
        <v>378</v>
      </c>
      <c r="I2847" s="6" t="s">
        <v>649</v>
      </c>
      <c r="J2847" s="6" t="s">
        <v>349</v>
      </c>
      <c r="K2847" s="10">
        <v>172</v>
      </c>
      <c r="L2847" s="10">
        <v>172</v>
      </c>
      <c r="M2847" s="6" t="s">
        <v>371</v>
      </c>
    </row>
    <row r="2848" spans="1:13">
      <c r="A2848" s="6">
        <v>2024</v>
      </c>
      <c r="B2848" s="6">
        <v>2</v>
      </c>
      <c r="C2848" s="6" t="s">
        <v>60</v>
      </c>
      <c r="D2848" s="6" t="s">
        <v>455</v>
      </c>
      <c r="E2848" s="6" t="s">
        <v>405</v>
      </c>
      <c r="F2848" s="6" t="str">
        <f>IF($M2848="PADD I","PADD 1",IF($M2848="PADD II","PADD 2",IF($M2848="PADD III","PADD 3",IF($M2848="PADD IV","PADD 4",IF($M2848="PADD V","PADD 5","")))))</f>
        <v>PADD 3</v>
      </c>
      <c r="G2848" s="6">
        <f>IF(AND($H2848="ATMOS DISTILLATION",ISNUMBER(SEARCH("VPS",$I2848))=FALSE,LEFT($I2848,6)&lt;&gt;"VACUUM"),"CDU",IF($H2848="FLUID CAT CRACKING","FCC",IF(OR($H2848="HYDROCRACKING",$H2848="RESID_HYDROCRACKING"),"Hydrocracker",IF($H2848="REFORMING","Reformer",""))))</f>
        <v/>
      </c>
      <c r="H2848" s="6" t="s">
        <v>378</v>
      </c>
      <c r="I2848" s="6" t="s">
        <v>964</v>
      </c>
      <c r="J2848" s="6" t="s">
        <v>345</v>
      </c>
      <c r="K2848" s="10">
        <v>160</v>
      </c>
      <c r="L2848" s="10">
        <v>160</v>
      </c>
      <c r="M2848" s="6" t="s">
        <v>371</v>
      </c>
    </row>
    <row r="2849" spans="1:13">
      <c r="A2849" s="6">
        <v>2024</v>
      </c>
      <c r="B2849" s="6">
        <v>2</v>
      </c>
      <c r="C2849" s="6" t="s">
        <v>60</v>
      </c>
      <c r="D2849" s="6" t="s">
        <v>387</v>
      </c>
      <c r="E2849" s="6" t="s">
        <v>388</v>
      </c>
      <c r="F2849" s="6" t="str">
        <f>IF($M2849="PADD I","PADD 1",IF($M2849="PADD II","PADD 2",IF($M2849="PADD III","PADD 3",IF($M2849="PADD IV","PADD 4",IF($M2849="PADD V","PADD 5","")))))</f>
        <v>PADD 3</v>
      </c>
      <c r="G2849" s="6">
        <f>IF(AND($H2849="ATMOS DISTILLATION",ISNUMBER(SEARCH("VPS",$I2849))=FALSE,LEFT($I2849,6)&lt;&gt;"VACUUM"),"CDU",IF($H2849="FLUID CAT CRACKING","FCC",IF(OR($H2849="HYDROCRACKING",$H2849="RESID_HYDROCRACKING"),"Hydrocracker",IF($H2849="REFORMING","Reformer",""))))</f>
        <v/>
      </c>
      <c r="H2849" s="6" t="s">
        <v>43</v>
      </c>
      <c r="I2849" s="6" t="s">
        <v>1090</v>
      </c>
      <c r="J2849" s="6" t="s">
        <v>349</v>
      </c>
      <c r="K2849" s="10">
        <v>115</v>
      </c>
      <c r="L2849" s="10">
        <v>115</v>
      </c>
      <c r="M2849" s="6" t="s">
        <v>371</v>
      </c>
    </row>
    <row r="2850" spans="1:13">
      <c r="A2850" s="6">
        <v>2024</v>
      </c>
      <c r="B2850" s="6">
        <v>2</v>
      </c>
      <c r="C2850" s="6" t="s">
        <v>60</v>
      </c>
      <c r="D2850" s="6" t="s">
        <v>324</v>
      </c>
      <c r="E2850" s="6" t="s">
        <v>388</v>
      </c>
      <c r="F2850" s="6" t="str">
        <f>IF($M2850="PADD I","PADD 1",IF($M2850="PADD II","PADD 2",IF($M2850="PADD III","PADD 3",IF($M2850="PADD IV","PADD 4",IF($M2850="PADD V","PADD 5","")))))</f>
        <v>PADD 3</v>
      </c>
      <c r="G2850" s="6" t="str">
        <f>IF(AND($H2850="ATMOS DISTILLATION",ISNUMBER(SEARCH("VPS",$I2850))=FALSE,LEFT($I2850,6)&lt;&gt;"VACUUM"),"CDU",IF($H2850="FLUID CAT CRACKING","FCC",IF(OR($H2850="HYDROCRACKING",$H2850="RESID_HYDROCRACKING"),"Hydrocracker",IF($H2850="REFORMING","Reformer",""))))</f>
        <v>Hydrocracker</v>
      </c>
      <c r="H2850" s="6" t="s">
        <v>444</v>
      </c>
      <c r="I2850" s="6" t="s">
        <v>945</v>
      </c>
      <c r="J2850" s="6" t="s">
        <v>345</v>
      </c>
      <c r="K2850" s="10">
        <v>114</v>
      </c>
      <c r="L2850" s="10">
        <v>114</v>
      </c>
      <c r="M2850" s="6" t="s">
        <v>371</v>
      </c>
    </row>
    <row r="2851" spans="1:13">
      <c r="A2851" s="6">
        <v>2024</v>
      </c>
      <c r="B2851" s="6">
        <v>2</v>
      </c>
      <c r="C2851" s="6" t="s">
        <v>60</v>
      </c>
      <c r="D2851" s="6" t="s">
        <v>380</v>
      </c>
      <c r="E2851" s="6" t="s">
        <v>381</v>
      </c>
      <c r="F2851" s="6" t="str">
        <f>IF($M2851="PADD I","PADD 1",IF($M2851="PADD II","PADD 2",IF($M2851="PADD III","PADD 3",IF($M2851="PADD IV","PADD 4",IF($M2851="PADD V","PADD 5","")))))</f>
        <v>PADD 3</v>
      </c>
      <c r="G2851" s="6" t="str">
        <f>IF(AND($H2851="ATMOS DISTILLATION",ISNUMBER(SEARCH("VPS",$I2851))=FALSE,LEFT($I2851,6)&lt;&gt;"VACUUM"),"CDU",IF($H2851="FLUID CAT CRACKING","FCC",IF(OR($H2851="HYDROCRACKING",$H2851="RESID_HYDROCRACKING"),"Hydrocracker",IF($H2851="REFORMING","Reformer",""))))</f>
        <v>FCC</v>
      </c>
      <c r="H2851" s="6" t="s">
        <v>376</v>
      </c>
      <c r="I2851" s="6" t="s">
        <v>652</v>
      </c>
      <c r="J2851" s="6" t="s">
        <v>349</v>
      </c>
      <c r="K2851" s="10">
        <v>110</v>
      </c>
      <c r="L2851" s="10">
        <v>110</v>
      </c>
      <c r="M2851" s="6" t="s">
        <v>371</v>
      </c>
    </row>
    <row r="2852" spans="1:13">
      <c r="A2852" s="6">
        <v>2024</v>
      </c>
      <c r="B2852" s="6">
        <v>2</v>
      </c>
      <c r="C2852" s="6" t="s">
        <v>60</v>
      </c>
      <c r="D2852" s="6" t="s">
        <v>42</v>
      </c>
      <c r="E2852" s="6" t="s">
        <v>405</v>
      </c>
      <c r="F2852" s="6" t="str">
        <f>IF($M2852="PADD I","PADD 1",IF($M2852="PADD II","PADD 2",IF($M2852="PADD III","PADD 3",IF($M2852="PADD IV","PADD 4",IF($M2852="PADD V","PADD 5","")))))</f>
        <v>PADD 3</v>
      </c>
      <c r="G2852" s="6">
        <f>IF(AND($H2852="ATMOS DISTILLATION",ISNUMBER(SEARCH("VPS",$I2852))=FALSE,LEFT($I2852,6)&lt;&gt;"VACUUM"),"CDU",IF($H2852="FLUID CAT CRACKING","FCC",IF(OR($H2852="HYDROCRACKING",$H2852="RESID_HYDROCRACKING"),"Hydrocracker",IF($H2852="REFORMING","Reformer",""))))</f>
        <v/>
      </c>
      <c r="H2852" s="6" t="s">
        <v>43</v>
      </c>
      <c r="I2852" s="6" t="s">
        <v>1087</v>
      </c>
      <c r="J2852" s="6" t="s">
        <v>349</v>
      </c>
      <c r="K2852" s="10">
        <v>110</v>
      </c>
      <c r="L2852" s="10">
        <v>110</v>
      </c>
      <c r="M2852" s="6" t="s">
        <v>371</v>
      </c>
    </row>
    <row r="2853" spans="1:13">
      <c r="A2853" s="6">
        <v>2024</v>
      </c>
      <c r="B2853" s="6">
        <v>2</v>
      </c>
      <c r="C2853" s="6" t="s">
        <v>60</v>
      </c>
      <c r="D2853" s="6" t="s">
        <v>542</v>
      </c>
      <c r="E2853" s="6" t="s">
        <v>543</v>
      </c>
      <c r="F2853" s="6" t="str">
        <f>IF($M2853="PADD I","PADD 1",IF($M2853="PADD II","PADD 2",IF($M2853="PADD III","PADD 3",IF($M2853="PADD IV","PADD 4",IF($M2853="PADD V","PADD 5","")))))</f>
        <v>PADD 2</v>
      </c>
      <c r="G2853" s="6" t="str">
        <f>IF(AND($H2853="ATMOS DISTILLATION",ISNUMBER(SEARCH("VPS",$I2853))=FALSE,LEFT($I2853,6)&lt;&gt;"VACUUM"),"CDU",IF($H2853="FLUID CAT CRACKING","FCC",IF(OR($H2853="HYDROCRACKING",$H2853="RESID_HYDROCRACKING"),"Hydrocracker",IF($H2853="REFORMING","Reformer",""))))</f>
        <v>FCC</v>
      </c>
      <c r="H2853" s="6" t="s">
        <v>376</v>
      </c>
      <c r="I2853" s="6" t="s">
        <v>1110</v>
      </c>
      <c r="J2853" s="6" t="s">
        <v>345</v>
      </c>
      <c r="K2853" s="10">
        <v>110</v>
      </c>
      <c r="L2853" s="10">
        <v>110</v>
      </c>
      <c r="M2853" s="6" t="s">
        <v>375</v>
      </c>
    </row>
    <row r="2854" spans="1:13">
      <c r="A2854" s="6">
        <v>2024</v>
      </c>
      <c r="B2854" s="6">
        <v>2</v>
      </c>
      <c r="C2854" s="6" t="s">
        <v>60</v>
      </c>
      <c r="D2854" s="6" t="s">
        <v>42</v>
      </c>
      <c r="E2854" s="6" t="s">
        <v>405</v>
      </c>
      <c r="F2854" s="6" t="str">
        <f>IF($M2854="PADD I","PADD 1",IF($M2854="PADD II","PADD 2",IF($M2854="PADD III","PADD 3",IF($M2854="PADD IV","PADD 4",IF($M2854="PADD V","PADD 5","")))))</f>
        <v>PADD 3</v>
      </c>
      <c r="G2854" s="6">
        <f>IF(AND($H2854="ATMOS DISTILLATION",ISNUMBER(SEARCH("VPS",$I2854))=FALSE,LEFT($I2854,6)&lt;&gt;"VACUUM"),"CDU",IF($H2854="FLUID CAT CRACKING","FCC",IF(OR($H2854="HYDROCRACKING",$H2854="RESID_HYDROCRACKING"),"Hydrocracker",IF($H2854="REFORMING","Reformer",""))))</f>
        <v/>
      </c>
      <c r="H2854" s="6" t="s">
        <v>43</v>
      </c>
      <c r="I2854" s="6" t="s">
        <v>1088</v>
      </c>
      <c r="J2854" s="6" t="s">
        <v>345</v>
      </c>
      <c r="K2854" s="10">
        <v>110</v>
      </c>
      <c r="L2854" s="10">
        <v>110</v>
      </c>
      <c r="M2854" s="6" t="s">
        <v>371</v>
      </c>
    </row>
    <row r="2855" spans="1:13">
      <c r="A2855" s="6">
        <v>2024</v>
      </c>
      <c r="B2855" s="6">
        <v>2</v>
      </c>
      <c r="C2855" s="6" t="s">
        <v>60</v>
      </c>
      <c r="D2855" s="6" t="s">
        <v>542</v>
      </c>
      <c r="E2855" s="6" t="s">
        <v>543</v>
      </c>
      <c r="F2855" s="6" t="str">
        <f>IF($M2855="PADD I","PADD 1",IF($M2855="PADD II","PADD 2",IF($M2855="PADD III","PADD 3",IF($M2855="PADD IV","PADD 4",IF($M2855="PADD V","PADD 5","")))))</f>
        <v>PADD 2</v>
      </c>
      <c r="G2855" s="6">
        <f>IF(AND($H2855="ATMOS DISTILLATION",ISNUMBER(SEARCH("VPS",$I2855))=FALSE,LEFT($I2855,6)&lt;&gt;"VACUUM"),"CDU",IF($H2855="FLUID CAT CRACKING","FCC",IF(OR($H2855="HYDROCRACKING",$H2855="RESID_HYDROCRACKING"),"Hydrocracker",IF($H2855="REFORMING","Reformer",""))))</f>
        <v/>
      </c>
      <c r="H2855" s="6" t="s">
        <v>435</v>
      </c>
      <c r="I2855" s="6" t="s">
        <v>441</v>
      </c>
      <c r="J2855" s="6" t="s">
        <v>345</v>
      </c>
      <c r="K2855" s="10">
        <v>102</v>
      </c>
      <c r="L2855" s="10">
        <v>102</v>
      </c>
      <c r="M2855" s="6" t="s">
        <v>375</v>
      </c>
    </row>
    <row r="2856" spans="1:13">
      <c r="A2856" s="6">
        <v>2024</v>
      </c>
      <c r="B2856" s="6">
        <v>2</v>
      </c>
      <c r="C2856" s="6" t="s">
        <v>60</v>
      </c>
      <c r="D2856" s="6" t="s">
        <v>542</v>
      </c>
      <c r="E2856" s="6" t="s">
        <v>543</v>
      </c>
      <c r="F2856" s="6" t="str">
        <f>IF($M2856="PADD I","PADD 1",IF($M2856="PADD II","PADD 2",IF($M2856="PADD III","PADD 3",IF($M2856="PADD IV","PADD 4",IF($M2856="PADD V","PADD 5","")))))</f>
        <v>PADD 2</v>
      </c>
      <c r="G2856" s="6">
        <f>IF(AND($H2856="ATMOS DISTILLATION",ISNUMBER(SEARCH("VPS",$I2856))=FALSE,LEFT($I2856,6)&lt;&gt;"VACUUM"),"CDU",IF($H2856="FLUID CAT CRACKING","FCC",IF(OR($H2856="HYDROCRACKING",$H2856="RESID_HYDROCRACKING"),"Hydrocracker",IF($H2856="REFORMING","Reformer",""))))</f>
        <v/>
      </c>
      <c r="H2856" s="6" t="s">
        <v>43</v>
      </c>
      <c r="I2856" s="6" t="s">
        <v>551</v>
      </c>
      <c r="J2856" s="6" t="s">
        <v>345</v>
      </c>
      <c r="K2856" s="10">
        <v>100</v>
      </c>
      <c r="L2856" s="10">
        <v>100</v>
      </c>
      <c r="M2856" s="6" t="s">
        <v>375</v>
      </c>
    </row>
    <row r="2857" spans="1:13">
      <c r="A2857" s="6">
        <v>2024</v>
      </c>
      <c r="B2857" s="6">
        <v>2</v>
      </c>
      <c r="C2857" s="6" t="s">
        <v>60</v>
      </c>
      <c r="D2857" s="6" t="s">
        <v>526</v>
      </c>
      <c r="E2857" s="6" t="s">
        <v>405</v>
      </c>
      <c r="F2857" s="6" t="str">
        <f>IF($M2857="PADD I","PADD 1",IF($M2857="PADD II","PADD 2",IF($M2857="PADD III","PADD 3",IF($M2857="PADD IV","PADD 4",IF($M2857="PADD V","PADD 5","")))))</f>
        <v>PADD 3</v>
      </c>
      <c r="G2857" s="6">
        <f>IF(AND($H2857="ATMOS DISTILLATION",ISNUMBER(SEARCH("VPS",$I2857))=FALSE,LEFT($I2857,6)&lt;&gt;"VACUUM"),"CDU",IF($H2857="FLUID CAT CRACKING","FCC",IF(OR($H2857="HYDROCRACKING",$H2857="RESID_HYDROCRACKING"),"Hydrocracker",IF($H2857="REFORMING","Reformer",""))))</f>
        <v/>
      </c>
      <c r="H2857" s="6" t="s">
        <v>435</v>
      </c>
      <c r="I2857" s="6" t="s">
        <v>954</v>
      </c>
      <c r="J2857" s="6" t="s">
        <v>345</v>
      </c>
      <c r="K2857" s="10">
        <v>100</v>
      </c>
      <c r="L2857" s="10">
        <v>100</v>
      </c>
      <c r="M2857" s="6" t="s">
        <v>371</v>
      </c>
    </row>
    <row r="2858" spans="1:13">
      <c r="A2858" s="6">
        <v>2024</v>
      </c>
      <c r="B2858" s="6">
        <v>2</v>
      </c>
      <c r="C2858" s="6" t="s">
        <v>60</v>
      </c>
      <c r="D2858" s="6" t="s">
        <v>490</v>
      </c>
      <c r="E2858" s="6" t="s">
        <v>491</v>
      </c>
      <c r="F2858" s="6" t="str">
        <f>IF($M2858="PADD I","PADD 1",IF($M2858="PADD II","PADD 2",IF($M2858="PADD III","PADD 3",IF($M2858="PADD IV","PADD 4",IF($M2858="PADD V","PADD 5","")))))</f>
        <v>PADD 3</v>
      </c>
      <c r="G2858" s="6">
        <f>IF(AND($H2858="ATMOS DISTILLATION",ISNUMBER(SEARCH("VPS",$I2858))=FALSE,LEFT($I2858,6)&lt;&gt;"VACUUM"),"CDU",IF($H2858="FLUID CAT CRACKING","FCC",IF(OR($H2858="HYDROCRACKING",$H2858="RESID_HYDROCRACKING"),"Hydrocracker",IF($H2858="REFORMING","Reformer",""))))</f>
        <v/>
      </c>
      <c r="H2858" s="6" t="s">
        <v>435</v>
      </c>
      <c r="I2858" s="6" t="s">
        <v>643</v>
      </c>
      <c r="J2858" s="6" t="s">
        <v>345</v>
      </c>
      <c r="K2858" s="10">
        <v>92.15000000000001</v>
      </c>
      <c r="L2858" s="10">
        <v>95</v>
      </c>
      <c r="M2858" s="6" t="s">
        <v>371</v>
      </c>
    </row>
    <row r="2859" spans="1:13">
      <c r="A2859" s="6">
        <v>2024</v>
      </c>
      <c r="B2859" s="6">
        <v>2</v>
      </c>
      <c r="C2859" s="6" t="s">
        <v>60</v>
      </c>
      <c r="D2859" s="6" t="s">
        <v>42</v>
      </c>
      <c r="E2859" s="6" t="s">
        <v>405</v>
      </c>
      <c r="F2859" s="6" t="str">
        <f>IF($M2859="PADD I","PADD 1",IF($M2859="PADD II","PADD 2",IF($M2859="PADD III","PADD 3",IF($M2859="PADD IV","PADD 4",IF($M2859="PADD V","PADD 5","")))))</f>
        <v>PADD 3</v>
      </c>
      <c r="G2859" s="6" t="str">
        <f>IF(AND($H2859="ATMOS DISTILLATION",ISNUMBER(SEARCH("VPS",$I2859))=FALSE,LEFT($I2859,6)&lt;&gt;"VACUUM"),"CDU",IF($H2859="FLUID CAT CRACKING","FCC",IF(OR($H2859="HYDROCRACKING",$H2859="RESID_HYDROCRACKING"),"Hydrocracker",IF($H2859="REFORMING","Reformer",""))))</f>
        <v>FCC</v>
      </c>
      <c r="H2859" s="6" t="s">
        <v>376</v>
      </c>
      <c r="I2859" s="6" t="s">
        <v>105</v>
      </c>
      <c r="J2859" s="6" t="s">
        <v>349</v>
      </c>
      <c r="K2859" s="10">
        <v>88</v>
      </c>
      <c r="L2859" s="10">
        <v>88</v>
      </c>
      <c r="M2859" s="6" t="s">
        <v>371</v>
      </c>
    </row>
    <row r="2860" spans="1:13">
      <c r="A2860" s="6">
        <v>2024</v>
      </c>
      <c r="B2860" s="6">
        <v>2</v>
      </c>
      <c r="C2860" s="6" t="s">
        <v>60</v>
      </c>
      <c r="D2860" s="6" t="s">
        <v>542</v>
      </c>
      <c r="E2860" s="6" t="s">
        <v>543</v>
      </c>
      <c r="F2860" s="6" t="str">
        <f>IF($M2860="PADD I","PADD 1",IF($M2860="PADD II","PADD 2",IF($M2860="PADD III","PADD 3",IF($M2860="PADD IV","PADD 4",IF($M2860="PADD V","PADD 5","")))))</f>
        <v>PADD 2</v>
      </c>
      <c r="G2860" s="6">
        <f>IF(AND($H2860="ATMOS DISTILLATION",ISNUMBER(SEARCH("VPS",$I2860))=FALSE,LEFT($I2860,6)&lt;&gt;"VACUUM"),"CDU",IF($H2860="FLUID CAT CRACKING","FCC",IF(OR($H2860="HYDROCRACKING",$H2860="RESID_HYDROCRACKING"),"Hydrocracker",IF($H2860="REFORMING","Reformer",""))))</f>
        <v/>
      </c>
      <c r="H2860" s="6" t="s">
        <v>43</v>
      </c>
      <c r="I2860" s="6" t="s">
        <v>1111</v>
      </c>
      <c r="J2860" s="6" t="s">
        <v>345</v>
      </c>
      <c r="K2860" s="10">
        <v>85</v>
      </c>
      <c r="L2860" s="10">
        <v>85</v>
      </c>
      <c r="M2860" s="6" t="s">
        <v>375</v>
      </c>
    </row>
    <row r="2861" spans="1:13">
      <c r="A2861" s="6">
        <v>2024</v>
      </c>
      <c r="B2861" s="6">
        <v>2</v>
      </c>
      <c r="C2861" s="6" t="s">
        <v>60</v>
      </c>
      <c r="D2861" s="6" t="s">
        <v>457</v>
      </c>
      <c r="E2861" s="6" t="s">
        <v>388</v>
      </c>
      <c r="F2861" s="6" t="str">
        <f>IF($M2861="PADD I","PADD 1",IF($M2861="PADD II","PADD 2",IF($M2861="PADD III","PADD 3",IF($M2861="PADD IV","PADD 4",IF($M2861="PADD V","PADD 5","")))))</f>
        <v>PADD 5</v>
      </c>
      <c r="G2861" s="6" t="str">
        <f>IF(AND($H2861="ATMOS DISTILLATION",ISNUMBER(SEARCH("VPS",$I2861))=FALSE,LEFT($I2861,6)&lt;&gt;"VACUUM"),"CDU",IF($H2861="FLUID CAT CRACKING","FCC",IF(OR($H2861="HYDROCRACKING",$H2861="RESID_HYDROCRACKING"),"Hydrocracker",IF($H2861="REFORMING","Reformer",""))))</f>
        <v>CDU</v>
      </c>
      <c r="H2861" s="6" t="s">
        <v>38</v>
      </c>
      <c r="I2861" s="6" t="s">
        <v>131</v>
      </c>
      <c r="J2861" s="6" t="s">
        <v>349</v>
      </c>
      <c r="K2861" s="10">
        <v>83.2</v>
      </c>
      <c r="L2861" s="10">
        <v>160</v>
      </c>
      <c r="M2861" s="6" t="s">
        <v>386</v>
      </c>
    </row>
    <row r="2862" spans="1:13">
      <c r="A2862" s="6">
        <v>2024</v>
      </c>
      <c r="B2862" s="6">
        <v>2</v>
      </c>
      <c r="C2862" s="6" t="s">
        <v>60</v>
      </c>
      <c r="D2862" s="6" t="s">
        <v>50</v>
      </c>
      <c r="E2862" s="6" t="s">
        <v>381</v>
      </c>
      <c r="F2862" s="6" t="str">
        <f>IF($M2862="PADD I","PADD 1",IF($M2862="PADD II","PADD 2",IF($M2862="PADD III","PADD 3",IF($M2862="PADD IV","PADD 4",IF($M2862="PADD V","PADD 5","")))))</f>
        <v>PADD 3</v>
      </c>
      <c r="G2862" s="6">
        <f>IF(AND($H2862="ATMOS DISTILLATION",ISNUMBER(SEARCH("VPS",$I2862))=FALSE,LEFT($I2862,6)&lt;&gt;"VACUUM"),"CDU",IF($H2862="FLUID CAT CRACKING","FCC",IF(OR($H2862="HYDROCRACKING",$H2862="RESID_HYDROCRACKING"),"Hydrocracker",IF($H2862="REFORMING","Reformer",""))))</f>
        <v/>
      </c>
      <c r="H2862" s="6" t="s">
        <v>43</v>
      </c>
      <c r="I2862" s="6" t="s">
        <v>1083</v>
      </c>
      <c r="J2862" s="6" t="s">
        <v>349</v>
      </c>
      <c r="K2862" s="10">
        <v>80</v>
      </c>
      <c r="L2862" s="10">
        <v>80</v>
      </c>
      <c r="M2862" s="6" t="s">
        <v>371</v>
      </c>
    </row>
    <row r="2863" spans="1:13">
      <c r="A2863" s="6">
        <v>2024</v>
      </c>
      <c r="B2863" s="6">
        <v>2</v>
      </c>
      <c r="C2863" s="6" t="s">
        <v>60</v>
      </c>
      <c r="D2863" s="6" t="s">
        <v>455</v>
      </c>
      <c r="E2863" s="6" t="s">
        <v>405</v>
      </c>
      <c r="F2863" s="6" t="str">
        <f>IF($M2863="PADD I","PADD 1",IF($M2863="PADD II","PADD 2",IF($M2863="PADD III","PADD 3",IF($M2863="PADD IV","PADD 4",IF($M2863="PADD V","PADD 5","")))))</f>
        <v>PADD 3</v>
      </c>
      <c r="G2863" s="6">
        <f>IF(AND($H2863="ATMOS DISTILLATION",ISNUMBER(SEARCH("VPS",$I2863))=FALSE,LEFT($I2863,6)&lt;&gt;"VACUUM"),"CDU",IF($H2863="FLUID CAT CRACKING","FCC",IF(OR($H2863="HYDROCRACKING",$H2863="RESID_HYDROCRACKING"),"Hydrocracker",IF($H2863="REFORMING","Reformer",""))))</f>
        <v/>
      </c>
      <c r="H2863" s="6" t="s">
        <v>435</v>
      </c>
      <c r="I2863" s="6" t="s">
        <v>441</v>
      </c>
      <c r="J2863" s="6" t="s">
        <v>345</v>
      </c>
      <c r="K2863" s="10">
        <v>80</v>
      </c>
      <c r="L2863" s="10">
        <v>80</v>
      </c>
      <c r="M2863" s="6" t="s">
        <v>371</v>
      </c>
    </row>
    <row r="2864" spans="1:13">
      <c r="A2864" s="6">
        <v>2024</v>
      </c>
      <c r="B2864" s="6">
        <v>2</v>
      </c>
      <c r="C2864" s="6" t="s">
        <v>60</v>
      </c>
      <c r="D2864" s="6" t="s">
        <v>455</v>
      </c>
      <c r="E2864" s="6" t="s">
        <v>405</v>
      </c>
      <c r="F2864" s="6" t="str">
        <f>IF($M2864="PADD I","PADD 1",IF($M2864="PADD II","PADD 2",IF($M2864="PADD III","PADD 3",IF($M2864="PADD IV","PADD 4",IF($M2864="PADD V","PADD 5","")))))</f>
        <v>PADD 3</v>
      </c>
      <c r="G2864" s="6">
        <f>IF(AND($H2864="ATMOS DISTILLATION",ISNUMBER(SEARCH("VPS",$I2864))=FALSE,LEFT($I2864,6)&lt;&gt;"VACUUM"),"CDU",IF($H2864="FLUID CAT CRACKING","FCC",IF(OR($H2864="HYDROCRACKING",$H2864="RESID_HYDROCRACKING"),"Hydrocracker",IF($H2864="REFORMING","Reformer",""))))</f>
        <v/>
      </c>
      <c r="H2864" s="6" t="s">
        <v>435</v>
      </c>
      <c r="I2864" s="6" t="s">
        <v>441</v>
      </c>
      <c r="J2864" s="6" t="s">
        <v>349</v>
      </c>
      <c r="K2864" s="10">
        <v>80</v>
      </c>
      <c r="L2864" s="10">
        <v>80</v>
      </c>
      <c r="M2864" s="6" t="s">
        <v>371</v>
      </c>
    </row>
    <row r="2865" spans="1:13">
      <c r="A2865" s="6">
        <v>2024</v>
      </c>
      <c r="B2865" s="6">
        <v>2</v>
      </c>
      <c r="C2865" s="6" t="s">
        <v>60</v>
      </c>
      <c r="D2865" s="6" t="s">
        <v>542</v>
      </c>
      <c r="E2865" s="6" t="s">
        <v>543</v>
      </c>
      <c r="F2865" s="6" t="str">
        <f>IF($M2865="PADD I","PADD 1",IF($M2865="PADD II","PADD 2",IF($M2865="PADD III","PADD 3",IF($M2865="PADD IV","PADD 4",IF($M2865="PADD V","PADD 5","")))))</f>
        <v>PADD 2</v>
      </c>
      <c r="G2865" s="6" t="str">
        <f>IF(AND($H2865="ATMOS DISTILLATION",ISNUMBER(SEARCH("VPS",$I2865))=FALSE,LEFT($I2865,6)&lt;&gt;"VACUUM"),"CDU",IF($H2865="FLUID CAT CRACKING","FCC",IF(OR($H2865="HYDROCRACKING",$H2865="RESID_HYDROCRACKING"),"Hydrocracker",IF($H2865="REFORMING","Reformer",""))))</f>
        <v>FCC</v>
      </c>
      <c r="H2865" s="6" t="s">
        <v>376</v>
      </c>
      <c r="I2865" s="6" t="s">
        <v>1110</v>
      </c>
      <c r="J2865" s="6" t="s">
        <v>345</v>
      </c>
      <c r="K2865" s="10">
        <v>79.34999999999999</v>
      </c>
      <c r="L2865" s="10">
        <v>115</v>
      </c>
      <c r="M2865" s="6" t="s">
        <v>375</v>
      </c>
    </row>
    <row r="2866" spans="1:13">
      <c r="A2866" s="6">
        <v>2024</v>
      </c>
      <c r="B2866" s="6">
        <v>2</v>
      </c>
      <c r="C2866" s="6" t="s">
        <v>60</v>
      </c>
      <c r="D2866" s="6" t="s">
        <v>490</v>
      </c>
      <c r="E2866" s="6" t="s">
        <v>491</v>
      </c>
      <c r="F2866" s="6" t="str">
        <f>IF($M2866="PADD I","PADD 1",IF($M2866="PADD II","PADD 2",IF($M2866="PADD III","PADD 3",IF($M2866="PADD IV","PADD 4",IF($M2866="PADD V","PADD 5","")))))</f>
        <v>PADD 3</v>
      </c>
      <c r="G2866" s="6">
        <f>IF(AND($H2866="ATMOS DISTILLATION",ISNUMBER(SEARCH("VPS",$I2866))=FALSE,LEFT($I2866,6)&lt;&gt;"VACUUM"),"CDU",IF($H2866="FLUID CAT CRACKING","FCC",IF(OR($H2866="HYDROCRACKING",$H2866="RESID_HYDROCRACKING"),"Hydrocracker",IF($H2866="REFORMING","Reformer",""))))</f>
        <v/>
      </c>
      <c r="H2866" s="6" t="s">
        <v>378</v>
      </c>
      <c r="I2866" s="6" t="s">
        <v>1081</v>
      </c>
      <c r="J2866" s="6" t="s">
        <v>345</v>
      </c>
      <c r="K2866" s="10">
        <v>76.8</v>
      </c>
      <c r="L2866" s="10">
        <v>160</v>
      </c>
      <c r="M2866" s="6" t="s">
        <v>371</v>
      </c>
    </row>
    <row r="2867" spans="1:13">
      <c r="A2867" s="6">
        <v>2024</v>
      </c>
      <c r="B2867" s="6">
        <v>2</v>
      </c>
      <c r="C2867" s="6" t="s">
        <v>60</v>
      </c>
      <c r="D2867" s="6" t="s">
        <v>542</v>
      </c>
      <c r="E2867" s="6" t="s">
        <v>543</v>
      </c>
      <c r="F2867" s="6" t="str">
        <f>IF($M2867="PADD I","PADD 1",IF($M2867="PADD II","PADD 2",IF($M2867="PADD III","PADD 3",IF($M2867="PADD IV","PADD 4",IF($M2867="PADD V","PADD 5","")))))</f>
        <v>PADD 2</v>
      </c>
      <c r="G2867" s="6">
        <f>IF(AND($H2867="ATMOS DISTILLATION",ISNUMBER(SEARCH("VPS",$I2867))=FALSE,LEFT($I2867,6)&lt;&gt;"VACUUM"),"CDU",IF($H2867="FLUID CAT CRACKING","FCC",IF(OR($H2867="HYDROCRACKING",$H2867="RESID_HYDROCRACKING"),"Hydrocracker",IF($H2867="REFORMING","Reformer",""))))</f>
        <v/>
      </c>
      <c r="H2867" s="6" t="s">
        <v>43</v>
      </c>
      <c r="I2867" s="6" t="s">
        <v>759</v>
      </c>
      <c r="J2867" s="6" t="s">
        <v>345</v>
      </c>
      <c r="K2867" s="10">
        <v>70</v>
      </c>
      <c r="L2867" s="10">
        <v>70</v>
      </c>
      <c r="M2867" s="6" t="s">
        <v>375</v>
      </c>
    </row>
    <row r="2868" spans="1:13">
      <c r="A2868" s="6">
        <v>2024</v>
      </c>
      <c r="B2868" s="6">
        <v>2</v>
      </c>
      <c r="C2868" s="6" t="s">
        <v>60</v>
      </c>
      <c r="D2868" s="6" t="s">
        <v>542</v>
      </c>
      <c r="E2868" s="6" t="s">
        <v>543</v>
      </c>
      <c r="F2868" s="6" t="str">
        <f>IF($M2868="PADD I","PADD 1",IF($M2868="PADD II","PADD 2",IF($M2868="PADD III","PADD 3",IF($M2868="PADD IV","PADD 4",IF($M2868="PADD V","PADD 5","")))))</f>
        <v>PADD 2</v>
      </c>
      <c r="G2868" s="6" t="str">
        <f>IF(AND($H2868="ATMOS DISTILLATION",ISNUMBER(SEARCH("VPS",$I2868))=FALSE,LEFT($I2868,6)&lt;&gt;"VACUUM"),"CDU",IF($H2868="FLUID CAT CRACKING","FCC",IF(OR($H2868="HYDROCRACKING",$H2868="RESID_HYDROCRACKING"),"Hydrocracker",IF($H2868="REFORMING","Reformer",""))))</f>
        <v>Reformer</v>
      </c>
      <c r="H2868" s="6" t="s">
        <v>421</v>
      </c>
      <c r="I2868" s="6" t="s">
        <v>1112</v>
      </c>
      <c r="J2868" s="6" t="s">
        <v>345</v>
      </c>
      <c r="K2868" s="10">
        <v>70</v>
      </c>
      <c r="L2868" s="10">
        <v>70</v>
      </c>
      <c r="M2868" s="6" t="s">
        <v>375</v>
      </c>
    </row>
    <row r="2869" spans="1:13">
      <c r="A2869" s="6">
        <v>2024</v>
      </c>
      <c r="B2869" s="6">
        <v>2</v>
      </c>
      <c r="C2869" s="6" t="s">
        <v>60</v>
      </c>
      <c r="D2869" s="6" t="s">
        <v>542</v>
      </c>
      <c r="E2869" s="6" t="s">
        <v>543</v>
      </c>
      <c r="F2869" s="6" t="str">
        <f>IF($M2869="PADD I","PADD 1",IF($M2869="PADD II","PADD 2",IF($M2869="PADD III","PADD 3",IF($M2869="PADD IV","PADD 4",IF($M2869="PADD V","PADD 5","")))))</f>
        <v>PADD 2</v>
      </c>
      <c r="G2869" s="6">
        <f>IF(AND($H2869="ATMOS DISTILLATION",ISNUMBER(SEARCH("VPS",$I2869))=FALSE,LEFT($I2869,6)&lt;&gt;"VACUUM"),"CDU",IF($H2869="FLUID CAT CRACKING","FCC",IF(OR($H2869="HYDROCRACKING",$H2869="RESID_HYDROCRACKING"),"Hydrocracker",IF($H2869="REFORMING","Reformer",""))))</f>
        <v/>
      </c>
      <c r="H2869" s="6" t="s">
        <v>43</v>
      </c>
      <c r="I2869" s="6" t="s">
        <v>551</v>
      </c>
      <c r="J2869" s="6" t="s">
        <v>345</v>
      </c>
      <c r="K2869" s="10">
        <v>69</v>
      </c>
      <c r="L2869" s="10">
        <v>100</v>
      </c>
      <c r="M2869" s="6" t="s">
        <v>375</v>
      </c>
    </row>
    <row r="2870" spans="1:13">
      <c r="A2870" s="6">
        <v>2024</v>
      </c>
      <c r="B2870" s="6">
        <v>2</v>
      </c>
      <c r="C2870" s="6" t="s">
        <v>60</v>
      </c>
      <c r="D2870" s="6" t="s">
        <v>807</v>
      </c>
      <c r="E2870" s="6" t="s">
        <v>779</v>
      </c>
      <c r="F2870" s="6" t="str">
        <f>IF($M2870="PADD I","PADD 1",IF($M2870="PADD II","PADD 2",IF($M2870="PADD III","PADD 3",IF($M2870="PADD IV","PADD 4",IF($M2870="PADD V","PADD 5","")))))</f>
        <v>PADD 3</v>
      </c>
      <c r="G2870" s="6" t="str">
        <f>IF(AND($H2870="ATMOS DISTILLATION",ISNUMBER(SEARCH("VPS",$I2870))=FALSE,LEFT($I2870,6)&lt;&gt;"VACUUM"),"CDU",IF($H2870="FLUID CAT CRACKING","FCC",IF(OR($H2870="HYDROCRACKING",$H2870="RESID_HYDROCRACKING"),"Hydrocracker",IF($H2870="REFORMING","Reformer",""))))</f>
        <v>CDU</v>
      </c>
      <c r="H2870" s="6" t="s">
        <v>38</v>
      </c>
      <c r="I2870" s="6" t="s">
        <v>135</v>
      </c>
      <c r="J2870" s="6" t="s">
        <v>349</v>
      </c>
      <c r="K2870" s="10">
        <v>67</v>
      </c>
      <c r="L2870" s="10">
        <v>67</v>
      </c>
      <c r="M2870" s="6" t="s">
        <v>371</v>
      </c>
    </row>
    <row r="2871" spans="1:13">
      <c r="A2871" s="6">
        <v>2024</v>
      </c>
      <c r="B2871" s="6">
        <v>2</v>
      </c>
      <c r="C2871" s="6" t="s">
        <v>60</v>
      </c>
      <c r="D2871" s="6" t="s">
        <v>542</v>
      </c>
      <c r="E2871" s="6" t="s">
        <v>543</v>
      </c>
      <c r="F2871" s="6" t="str">
        <f>IF($M2871="PADD I","PADD 1",IF($M2871="PADD II","PADD 2",IF($M2871="PADD III","PADD 3",IF($M2871="PADD IV","PADD 4",IF($M2871="PADD V","PADD 5","")))))</f>
        <v>PADD 2</v>
      </c>
      <c r="G2871" s="6" t="str">
        <f>IF(AND($H2871="ATMOS DISTILLATION",ISNUMBER(SEARCH("VPS",$I2871))=FALSE,LEFT($I2871,6)&lt;&gt;"VACUUM"),"CDU",IF($H2871="FLUID CAT CRACKING","FCC",IF(OR($H2871="HYDROCRACKING",$H2871="RESID_HYDROCRACKING"),"Hydrocracker",IF($H2871="REFORMING","Reformer",""))))</f>
        <v>FCC</v>
      </c>
      <c r="H2871" s="6" t="s">
        <v>376</v>
      </c>
      <c r="I2871" s="6" t="s">
        <v>1113</v>
      </c>
      <c r="J2871" s="6" t="s">
        <v>345</v>
      </c>
      <c r="K2871" s="10">
        <v>65</v>
      </c>
      <c r="L2871" s="10">
        <v>65</v>
      </c>
      <c r="M2871" s="6" t="s">
        <v>375</v>
      </c>
    </row>
    <row r="2872" spans="1:13">
      <c r="A2872" s="6">
        <v>2024</v>
      </c>
      <c r="B2872" s="6">
        <v>2</v>
      </c>
      <c r="C2872" s="6" t="s">
        <v>60</v>
      </c>
      <c r="D2872" s="6" t="s">
        <v>542</v>
      </c>
      <c r="E2872" s="6" t="s">
        <v>543</v>
      </c>
      <c r="F2872" s="6" t="str">
        <f>IF($M2872="PADD I","PADD 1",IF($M2872="PADD II","PADD 2",IF($M2872="PADD III","PADD 3",IF($M2872="PADD IV","PADD 4",IF($M2872="PADD V","PADD 5","")))))</f>
        <v>PADD 2</v>
      </c>
      <c r="G2872" s="6" t="str">
        <f>IF(AND($H2872="ATMOS DISTILLATION",ISNUMBER(SEARCH("VPS",$I2872))=FALSE,LEFT($I2872,6)&lt;&gt;"VACUUM"),"CDU",IF($H2872="FLUID CAT CRACKING","FCC",IF(OR($H2872="HYDROCRACKING",$H2872="RESID_HYDROCRACKING"),"Hydrocracker",IF($H2872="REFORMING","Reformer",""))))</f>
        <v>CDU</v>
      </c>
      <c r="H2872" s="6" t="s">
        <v>38</v>
      </c>
      <c r="I2872" s="6" t="s">
        <v>544</v>
      </c>
      <c r="J2872" s="6" t="s">
        <v>345</v>
      </c>
      <c r="K2872" s="10">
        <v>63</v>
      </c>
      <c r="L2872" s="10">
        <v>70</v>
      </c>
      <c r="M2872" s="6" t="s">
        <v>375</v>
      </c>
    </row>
    <row r="2873" spans="1:13">
      <c r="A2873" s="6">
        <v>2024</v>
      </c>
      <c r="B2873" s="6">
        <v>2</v>
      </c>
      <c r="C2873" s="6" t="s">
        <v>60</v>
      </c>
      <c r="D2873" s="6" t="s">
        <v>329</v>
      </c>
      <c r="E2873" s="6" t="s">
        <v>427</v>
      </c>
      <c r="F2873" s="6" t="str">
        <f>IF($M2873="PADD I","PADD 1",IF($M2873="PADD II","PADD 2",IF($M2873="PADD III","PADD 3",IF($M2873="PADD IV","PADD 4",IF($M2873="PADD V","PADD 5","")))))</f>
        <v>PADD 3</v>
      </c>
      <c r="G2873" s="6">
        <f>IF(AND($H2873="ATMOS DISTILLATION",ISNUMBER(SEARCH("VPS",$I2873))=FALSE,LEFT($I2873,6)&lt;&gt;"VACUUM"),"CDU",IF($H2873="FLUID CAT CRACKING","FCC",IF(OR($H2873="HYDROCRACKING",$H2873="RESID_HYDROCRACKING"),"Hydrocracker",IF($H2873="REFORMING","Reformer",""))))</f>
        <v/>
      </c>
      <c r="H2873" s="6" t="s">
        <v>378</v>
      </c>
      <c r="I2873" s="6" t="s">
        <v>428</v>
      </c>
      <c r="J2873" s="6" t="s">
        <v>345</v>
      </c>
      <c r="K2873" s="10">
        <v>61.6</v>
      </c>
      <c r="L2873" s="10">
        <v>112</v>
      </c>
      <c r="M2873" s="6" t="s">
        <v>371</v>
      </c>
    </row>
    <row r="2874" spans="1:13">
      <c r="A2874" s="6">
        <v>2024</v>
      </c>
      <c r="B2874" s="6">
        <v>2</v>
      </c>
      <c r="C2874" s="6" t="s">
        <v>60</v>
      </c>
      <c r="D2874" s="6" t="s">
        <v>985</v>
      </c>
      <c r="E2874" s="6" t="s">
        <v>543</v>
      </c>
      <c r="F2874" s="6" t="str">
        <f>IF($M2874="PADD I","PADD 1",IF($M2874="PADD II","PADD 2",IF($M2874="PADD III","PADD 3",IF($M2874="PADD IV","PADD 4",IF($M2874="PADD V","PADD 5","")))))</f>
        <v>PADD 2</v>
      </c>
      <c r="G2874" s="6">
        <f>IF(AND($H2874="ATMOS DISTILLATION",ISNUMBER(SEARCH("VPS",$I2874))=FALSE,LEFT($I2874,6)&lt;&gt;"VACUUM"),"CDU",IF($H2874="FLUID CAT CRACKING","FCC",IF(OR($H2874="HYDROCRACKING",$H2874="RESID_HYDROCRACKING"),"Hydrocracker",IF($H2874="REFORMING","Reformer",""))))</f>
        <v/>
      </c>
      <c r="H2874" s="6" t="s">
        <v>378</v>
      </c>
      <c r="I2874" s="6" t="s">
        <v>786</v>
      </c>
      <c r="J2874" s="6" t="s">
        <v>345</v>
      </c>
      <c r="K2874" s="10">
        <v>60.33</v>
      </c>
      <c r="L2874" s="10">
        <v>60.33</v>
      </c>
      <c r="M2874" s="6" t="s">
        <v>375</v>
      </c>
    </row>
    <row r="2875" spans="1:13">
      <c r="A2875" s="6">
        <v>2024</v>
      </c>
      <c r="B2875" s="6">
        <v>2</v>
      </c>
      <c r="C2875" s="6" t="s">
        <v>60</v>
      </c>
      <c r="D2875" s="6" t="s">
        <v>542</v>
      </c>
      <c r="E2875" s="6" t="s">
        <v>543</v>
      </c>
      <c r="F2875" s="6" t="str">
        <f>IF($M2875="PADD I","PADD 1",IF($M2875="PADD II","PADD 2",IF($M2875="PADD III","PADD 3",IF($M2875="PADD IV","PADD 4",IF($M2875="PADD V","PADD 5","")))))</f>
        <v>PADD 2</v>
      </c>
      <c r="G2875" s="6" t="str">
        <f>IF(AND($H2875="ATMOS DISTILLATION",ISNUMBER(SEARCH("VPS",$I2875))=FALSE,LEFT($I2875,6)&lt;&gt;"VACUUM"),"CDU",IF($H2875="FLUID CAT CRACKING","FCC",IF(OR($H2875="HYDROCRACKING",$H2875="RESID_HYDROCRACKING"),"Hydrocracker",IF($H2875="REFORMING","Reformer",""))))</f>
        <v>Reformer</v>
      </c>
      <c r="H2875" s="6" t="s">
        <v>421</v>
      </c>
      <c r="I2875" s="6" t="s">
        <v>1114</v>
      </c>
      <c r="J2875" s="6" t="s">
        <v>345</v>
      </c>
      <c r="K2875" s="10">
        <v>60</v>
      </c>
      <c r="L2875" s="10">
        <v>60</v>
      </c>
      <c r="M2875" s="6" t="s">
        <v>375</v>
      </c>
    </row>
    <row r="2876" spans="1:13">
      <c r="A2876" s="6">
        <v>2024</v>
      </c>
      <c r="B2876" s="6">
        <v>2</v>
      </c>
      <c r="C2876" s="6" t="s">
        <v>60</v>
      </c>
      <c r="D2876" s="6" t="s">
        <v>628</v>
      </c>
      <c r="E2876" s="6" t="s">
        <v>388</v>
      </c>
      <c r="F2876" s="6" t="str">
        <f>IF($M2876="PADD I","PADD 1",IF($M2876="PADD II","PADD 2",IF($M2876="PADD III","PADD 3",IF($M2876="PADD IV","PADD 4",IF($M2876="PADD V","PADD 5","")))))</f>
        <v>PADD 3</v>
      </c>
      <c r="G2876" s="6" t="str">
        <f>IF(AND($H2876="ATMOS DISTILLATION",ISNUMBER(SEARCH("VPS",$I2876))=FALSE,LEFT($I2876,6)&lt;&gt;"VACUUM"),"CDU",IF($H2876="FLUID CAT CRACKING","FCC",IF(OR($H2876="HYDROCRACKING",$H2876="RESID_HYDROCRACKING"),"Hydrocracker",IF($H2876="REFORMING","Reformer",""))))</f>
        <v>FCC</v>
      </c>
      <c r="H2876" s="6" t="s">
        <v>376</v>
      </c>
      <c r="I2876" s="6" t="s">
        <v>105</v>
      </c>
      <c r="J2876" s="6" t="s">
        <v>349</v>
      </c>
      <c r="K2876" s="10">
        <v>60</v>
      </c>
      <c r="L2876" s="10">
        <v>60</v>
      </c>
      <c r="M2876" s="6" t="s">
        <v>371</v>
      </c>
    </row>
    <row r="2877" spans="1:13">
      <c r="A2877" s="6">
        <v>2024</v>
      </c>
      <c r="B2877" s="6">
        <v>2</v>
      </c>
      <c r="C2877" s="6" t="s">
        <v>60</v>
      </c>
      <c r="D2877" s="6" t="s">
        <v>542</v>
      </c>
      <c r="E2877" s="6" t="s">
        <v>543</v>
      </c>
      <c r="F2877" s="6" t="str">
        <f>IF($M2877="PADD I","PADD 1",IF($M2877="PADD II","PADD 2",IF($M2877="PADD III","PADD 3",IF($M2877="PADD IV","PADD 4",IF($M2877="PADD V","PADD 5","")))))</f>
        <v>PADD 2</v>
      </c>
      <c r="G2877" s="6" t="str">
        <f>IF(AND($H2877="ATMOS DISTILLATION",ISNUMBER(SEARCH("VPS",$I2877))=FALSE,LEFT($I2877,6)&lt;&gt;"VACUUM"),"CDU",IF($H2877="FLUID CAT CRACKING","FCC",IF(OR($H2877="HYDROCRACKING",$H2877="RESID_HYDROCRACKING"),"Hydrocracker",IF($H2877="REFORMING","Reformer",""))))</f>
        <v>CDU</v>
      </c>
      <c r="H2877" s="6" t="s">
        <v>38</v>
      </c>
      <c r="I2877" s="6" t="s">
        <v>1115</v>
      </c>
      <c r="J2877" s="6" t="s">
        <v>345</v>
      </c>
      <c r="K2877" s="10">
        <v>59.8</v>
      </c>
      <c r="L2877" s="10">
        <v>115</v>
      </c>
      <c r="M2877" s="6" t="s">
        <v>375</v>
      </c>
    </row>
    <row r="2878" spans="1:13">
      <c r="A2878" s="6">
        <v>2024</v>
      </c>
      <c r="B2878" s="6">
        <v>2</v>
      </c>
      <c r="C2878" s="6" t="s">
        <v>60</v>
      </c>
      <c r="D2878" s="6" t="s">
        <v>455</v>
      </c>
      <c r="E2878" s="6" t="s">
        <v>405</v>
      </c>
      <c r="F2878" s="6" t="str">
        <f>IF($M2878="PADD I","PADD 1",IF($M2878="PADD II","PADD 2",IF($M2878="PADD III","PADD 3",IF($M2878="PADD IV","PADD 4",IF($M2878="PADD V","PADD 5","")))))</f>
        <v>PADD 3</v>
      </c>
      <c r="G2878" s="6" t="str">
        <f>IF(AND($H2878="ATMOS DISTILLATION",ISNUMBER(SEARCH("VPS",$I2878))=FALSE,LEFT($I2878,6)&lt;&gt;"VACUUM"),"CDU",IF($H2878="FLUID CAT CRACKING","FCC",IF(OR($H2878="HYDROCRACKING",$H2878="RESID_HYDROCRACKING"),"Hydrocracker",IF($H2878="REFORMING","Reformer",""))))</f>
        <v>Hydrocracker</v>
      </c>
      <c r="H2878" s="6" t="s">
        <v>444</v>
      </c>
      <c r="I2878" s="6" t="s">
        <v>456</v>
      </c>
      <c r="J2878" s="6" t="s">
        <v>349</v>
      </c>
      <c r="K2878" s="10">
        <v>59.25</v>
      </c>
      <c r="L2878" s="10">
        <v>75</v>
      </c>
      <c r="M2878" s="6" t="s">
        <v>371</v>
      </c>
    </row>
    <row r="2879" spans="1:13">
      <c r="A2879" s="6">
        <v>2024</v>
      </c>
      <c r="B2879" s="6">
        <v>2</v>
      </c>
      <c r="C2879" s="6" t="s">
        <v>60</v>
      </c>
      <c r="D2879" s="6" t="s">
        <v>526</v>
      </c>
      <c r="E2879" s="6" t="s">
        <v>405</v>
      </c>
      <c r="F2879" s="6" t="str">
        <f>IF($M2879="PADD I","PADD 1",IF($M2879="PADD II","PADD 2",IF($M2879="PADD III","PADD 3",IF($M2879="PADD IV","PADD 4",IF($M2879="PADD V","PADD 5","")))))</f>
        <v>PADD 3</v>
      </c>
      <c r="G2879" s="6" t="str">
        <f>IF(AND($H2879="ATMOS DISTILLATION",ISNUMBER(SEARCH("VPS",$I2879))=FALSE,LEFT($I2879,6)&lt;&gt;"VACUUM"),"CDU",IF($H2879="FLUID CAT CRACKING","FCC",IF(OR($H2879="HYDROCRACKING",$H2879="RESID_HYDROCRACKING"),"Hydrocracker",IF($H2879="REFORMING","Reformer",""))))</f>
        <v>Hydrocracker</v>
      </c>
      <c r="H2879" s="6" t="s">
        <v>444</v>
      </c>
      <c r="I2879" s="6" t="s">
        <v>527</v>
      </c>
      <c r="J2879" s="6" t="s">
        <v>349</v>
      </c>
      <c r="K2879" s="10">
        <v>57</v>
      </c>
      <c r="L2879" s="10">
        <v>57</v>
      </c>
      <c r="M2879" s="6" t="s">
        <v>371</v>
      </c>
    </row>
    <row r="2880" spans="1:13">
      <c r="A2880" s="6">
        <v>2024</v>
      </c>
      <c r="B2880" s="6">
        <v>2</v>
      </c>
      <c r="C2880" s="6" t="s">
        <v>60</v>
      </c>
      <c r="D2880" s="6" t="s">
        <v>50</v>
      </c>
      <c r="E2880" s="6" t="s">
        <v>381</v>
      </c>
      <c r="F2880" s="6" t="str">
        <f>IF($M2880="PADD I","PADD 1",IF($M2880="PADD II","PADD 2",IF($M2880="PADD III","PADD 3",IF($M2880="PADD IV","PADD 4",IF($M2880="PADD V","PADD 5","")))))</f>
        <v>PADD 3</v>
      </c>
      <c r="G2880" s="6" t="str">
        <f>IF(AND($H2880="ATMOS DISTILLATION",ISNUMBER(SEARCH("VPS",$I2880))=FALSE,LEFT($I2880,6)&lt;&gt;"VACUUM"),"CDU",IF($H2880="FLUID CAT CRACKING","FCC",IF(OR($H2880="HYDROCRACKING",$H2880="RESID_HYDROCRACKING"),"Hydrocracker",IF($H2880="REFORMING","Reformer",""))))</f>
        <v>Reformer</v>
      </c>
      <c r="H2880" s="6" t="s">
        <v>421</v>
      </c>
      <c r="I2880" s="6" t="s">
        <v>1086</v>
      </c>
      <c r="J2880" s="6" t="s">
        <v>349</v>
      </c>
      <c r="K2880" s="10">
        <v>57</v>
      </c>
      <c r="L2880" s="10">
        <v>57</v>
      </c>
      <c r="M2880" s="6" t="s">
        <v>371</v>
      </c>
    </row>
    <row r="2881" spans="1:13">
      <c r="A2881" s="6">
        <v>2024</v>
      </c>
      <c r="B2881" s="6">
        <v>2</v>
      </c>
      <c r="C2881" s="6" t="s">
        <v>60</v>
      </c>
      <c r="D2881" s="6" t="s">
        <v>542</v>
      </c>
      <c r="E2881" s="6" t="s">
        <v>543</v>
      </c>
      <c r="F2881" s="6" t="str">
        <f>IF($M2881="PADD I","PADD 1",IF($M2881="PADD II","PADD 2",IF($M2881="PADD III","PADD 3",IF($M2881="PADD IV","PADD 4",IF($M2881="PADD V","PADD 5","")))))</f>
        <v>PADD 2</v>
      </c>
      <c r="G2881" s="6">
        <f>IF(AND($H2881="ATMOS DISTILLATION",ISNUMBER(SEARCH("VPS",$I2881))=FALSE,LEFT($I2881,6)&lt;&gt;"VACUUM"),"CDU",IF($H2881="FLUID CAT CRACKING","FCC",IF(OR($H2881="HYDROCRACKING",$H2881="RESID_HYDROCRACKING"),"Hydrocracker",IF($H2881="REFORMING","Reformer",""))))</f>
        <v/>
      </c>
      <c r="H2881" s="6" t="s">
        <v>43</v>
      </c>
      <c r="I2881" s="6" t="s">
        <v>913</v>
      </c>
      <c r="J2881" s="6" t="s">
        <v>345</v>
      </c>
      <c r="K2881" s="10">
        <v>55.5</v>
      </c>
      <c r="L2881" s="10">
        <v>55.5</v>
      </c>
      <c r="M2881" s="6" t="s">
        <v>375</v>
      </c>
    </row>
    <row r="2882" spans="1:13">
      <c r="A2882" s="6">
        <v>2024</v>
      </c>
      <c r="B2882" s="6">
        <v>2</v>
      </c>
      <c r="C2882" s="6" t="s">
        <v>60</v>
      </c>
      <c r="D2882" s="6" t="s">
        <v>542</v>
      </c>
      <c r="E2882" s="6" t="s">
        <v>543</v>
      </c>
      <c r="F2882" s="6" t="str">
        <f>IF($M2882="PADD I","PADD 1",IF($M2882="PADD II","PADD 2",IF($M2882="PADD III","PADD 3",IF($M2882="PADD IV","PADD 4",IF($M2882="PADD V","PADD 5","")))))</f>
        <v>PADD 2</v>
      </c>
      <c r="G2882" s="6" t="str">
        <f>IF(AND($H2882="ATMOS DISTILLATION",ISNUMBER(SEARCH("VPS",$I2882))=FALSE,LEFT($I2882,6)&lt;&gt;"VACUUM"),"CDU",IF($H2882="FLUID CAT CRACKING","FCC",IF(OR($H2882="HYDROCRACKING",$H2882="RESID_HYDROCRACKING"),"Hydrocracker",IF($H2882="REFORMING","Reformer",""))))</f>
        <v>FCC</v>
      </c>
      <c r="H2882" s="6" t="s">
        <v>376</v>
      </c>
      <c r="I2882" s="6" t="s">
        <v>1113</v>
      </c>
      <c r="J2882" s="6" t="s">
        <v>345</v>
      </c>
      <c r="K2882" s="10">
        <v>55.2</v>
      </c>
      <c r="L2882" s="10">
        <v>80</v>
      </c>
      <c r="M2882" s="6" t="s">
        <v>375</v>
      </c>
    </row>
    <row r="2883" spans="1:13">
      <c r="A2883" s="6">
        <v>2024</v>
      </c>
      <c r="B2883" s="6">
        <v>2</v>
      </c>
      <c r="C2883" s="6" t="s">
        <v>60</v>
      </c>
      <c r="D2883" s="6" t="s">
        <v>531</v>
      </c>
      <c r="E2883" s="6" t="s">
        <v>532</v>
      </c>
      <c r="F2883" s="6" t="str">
        <f>IF($M2883="PADD I","PADD 1",IF($M2883="PADD II","PADD 2",IF($M2883="PADD III","PADD 3",IF($M2883="PADD IV","PADD 4",IF($M2883="PADD V","PADD 5","")))))</f>
        <v>PADD 5</v>
      </c>
      <c r="G2883" s="6" t="str">
        <f>IF(AND($H2883="ATMOS DISTILLATION",ISNUMBER(SEARCH("VPS",$I2883))=FALSE,LEFT($I2883,6)&lt;&gt;"VACUUM"),"CDU",IF($H2883="FLUID CAT CRACKING","FCC",IF(OR($H2883="HYDROCRACKING",$H2883="RESID_HYDROCRACKING"),"Hydrocracker",IF($H2883="REFORMING","Reformer",""))))</f>
        <v>FCC</v>
      </c>
      <c r="H2883" s="6" t="s">
        <v>376</v>
      </c>
      <c r="I2883" s="6" t="s">
        <v>105</v>
      </c>
      <c r="J2883" s="6" t="s">
        <v>345</v>
      </c>
      <c r="K2883" s="10">
        <v>55</v>
      </c>
      <c r="L2883" s="10">
        <v>100</v>
      </c>
      <c r="M2883" s="6" t="s">
        <v>386</v>
      </c>
    </row>
    <row r="2884" spans="1:13">
      <c r="A2884" s="6">
        <v>2024</v>
      </c>
      <c r="B2884" s="6">
        <v>2</v>
      </c>
      <c r="C2884" s="6" t="s">
        <v>60</v>
      </c>
      <c r="D2884" s="6" t="s">
        <v>807</v>
      </c>
      <c r="E2884" s="6" t="s">
        <v>779</v>
      </c>
      <c r="F2884" s="6" t="str">
        <f>IF($M2884="PADD I","PADD 1",IF($M2884="PADD II","PADD 2",IF($M2884="PADD III","PADD 3",IF($M2884="PADD IV","PADD 4",IF($M2884="PADD V","PADD 5","")))))</f>
        <v>PADD 3</v>
      </c>
      <c r="G2884" s="6" t="str">
        <f>IF(AND($H2884="ATMOS DISTILLATION",ISNUMBER(SEARCH("VPS",$I2884))=FALSE,LEFT($I2884,6)&lt;&gt;"VACUUM"),"CDU",IF($H2884="FLUID CAT CRACKING","FCC",IF(OR($H2884="HYDROCRACKING",$H2884="RESID_HYDROCRACKING"),"Hydrocracker",IF($H2884="REFORMING","Reformer",""))))</f>
        <v>FCC</v>
      </c>
      <c r="H2884" s="6" t="s">
        <v>376</v>
      </c>
      <c r="I2884" s="6" t="s">
        <v>428</v>
      </c>
      <c r="J2884" s="6" t="s">
        <v>349</v>
      </c>
      <c r="K2884" s="10">
        <v>55</v>
      </c>
      <c r="L2884" s="10">
        <v>55</v>
      </c>
      <c r="M2884" s="6" t="s">
        <v>371</v>
      </c>
    </row>
    <row r="2885" spans="1:13">
      <c r="A2885" s="6">
        <v>2024</v>
      </c>
      <c r="B2885" s="6">
        <v>2</v>
      </c>
      <c r="C2885" s="6" t="s">
        <v>60</v>
      </c>
      <c r="D2885" s="6" t="s">
        <v>542</v>
      </c>
      <c r="E2885" s="6" t="s">
        <v>543</v>
      </c>
      <c r="F2885" s="6" t="str">
        <f>IF($M2885="PADD I","PADD 1",IF($M2885="PADD II","PADD 2",IF($M2885="PADD III","PADD 3",IF($M2885="PADD IV","PADD 4",IF($M2885="PADD V","PADD 5","")))))</f>
        <v>PADD 2</v>
      </c>
      <c r="G2885" s="6">
        <f>IF(AND($H2885="ATMOS DISTILLATION",ISNUMBER(SEARCH("VPS",$I2885))=FALSE,LEFT($I2885,6)&lt;&gt;"VACUUM"),"CDU",IF($H2885="FLUID CAT CRACKING","FCC",IF(OR($H2885="HYDROCRACKING",$H2885="RESID_HYDROCRACKING"),"Hydrocracker",IF($H2885="REFORMING","Reformer",""))))</f>
        <v/>
      </c>
      <c r="H2885" s="6" t="s">
        <v>435</v>
      </c>
      <c r="I2885" s="6" t="s">
        <v>441</v>
      </c>
      <c r="J2885" s="6" t="s">
        <v>345</v>
      </c>
      <c r="K2885" s="10">
        <v>53.04</v>
      </c>
      <c r="L2885" s="10">
        <v>102</v>
      </c>
      <c r="M2885" s="6" t="s">
        <v>375</v>
      </c>
    </row>
    <row r="2886" spans="1:13">
      <c r="A2886" s="6">
        <v>2024</v>
      </c>
      <c r="B2886" s="6">
        <v>2</v>
      </c>
      <c r="C2886" s="6" t="s">
        <v>60</v>
      </c>
      <c r="D2886" s="6" t="s">
        <v>526</v>
      </c>
      <c r="E2886" s="6" t="s">
        <v>405</v>
      </c>
      <c r="F2886" s="6" t="str">
        <f>IF($M2886="PADD I","PADD 1",IF($M2886="PADD II","PADD 2",IF($M2886="PADD III","PADD 3",IF($M2886="PADD IV","PADD 4",IF($M2886="PADD V","PADD 5","")))))</f>
        <v>PADD 3</v>
      </c>
      <c r="G2886" s="6" t="str">
        <f>IF(AND($H2886="ATMOS DISTILLATION",ISNUMBER(SEARCH("VPS",$I2886))=FALSE,LEFT($I2886,6)&lt;&gt;"VACUUM"),"CDU",IF($H2886="FLUID CAT CRACKING","FCC",IF(OR($H2886="HYDROCRACKING",$H2886="RESID_HYDROCRACKING"),"Hydrocracker",IF($H2886="REFORMING","Reformer",""))))</f>
        <v>Reformer</v>
      </c>
      <c r="H2886" s="6" t="s">
        <v>421</v>
      </c>
      <c r="I2886" s="6" t="s">
        <v>597</v>
      </c>
      <c r="J2886" s="6" t="s">
        <v>345</v>
      </c>
      <c r="K2886" s="10">
        <v>53</v>
      </c>
      <c r="L2886" s="10">
        <v>53</v>
      </c>
      <c r="M2886" s="6" t="s">
        <v>371</v>
      </c>
    </row>
    <row r="2887" spans="1:13">
      <c r="A2887" s="6">
        <v>2024</v>
      </c>
      <c r="B2887" s="6">
        <v>2</v>
      </c>
      <c r="C2887" s="6" t="s">
        <v>60</v>
      </c>
      <c r="D2887" s="6" t="s">
        <v>415</v>
      </c>
      <c r="E2887" s="6" t="s">
        <v>416</v>
      </c>
      <c r="F2887" s="6" t="str">
        <f>IF($M2887="PADD I","PADD 1",IF($M2887="PADD II","PADD 2",IF($M2887="PADD III","PADD 3",IF($M2887="PADD IV","PADD 4",IF($M2887="PADD V","PADD 5","")))))</f>
        <v>PADD 3</v>
      </c>
      <c r="G2887" s="6" t="str">
        <f>IF(AND($H2887="ATMOS DISTILLATION",ISNUMBER(SEARCH("VPS",$I2887))=FALSE,LEFT($I2887,6)&lt;&gt;"VACUUM"),"CDU",IF($H2887="FLUID CAT CRACKING","FCC",IF(OR($H2887="HYDROCRACKING",$H2887="RESID_HYDROCRACKING"),"Hydrocracker",IF($H2887="REFORMING","Reformer",""))))</f>
        <v>CDU</v>
      </c>
      <c r="H2887" s="6" t="s">
        <v>38</v>
      </c>
      <c r="I2887" s="6" t="s">
        <v>133</v>
      </c>
      <c r="J2887" s="6" t="s">
        <v>349</v>
      </c>
      <c r="K2887" s="10">
        <v>51.84</v>
      </c>
      <c r="L2887" s="10">
        <v>108</v>
      </c>
      <c r="M2887" s="6" t="s">
        <v>371</v>
      </c>
    </row>
    <row r="2888" spans="1:13">
      <c r="A2888" s="6">
        <v>2024</v>
      </c>
      <c r="B2888" s="6">
        <v>2</v>
      </c>
      <c r="C2888" s="6" t="s">
        <v>60</v>
      </c>
      <c r="D2888" s="6" t="s">
        <v>398</v>
      </c>
      <c r="E2888" s="6" t="s">
        <v>399</v>
      </c>
      <c r="F2888" s="6" t="str">
        <f>IF($M2888="PADD I","PADD 1",IF($M2888="PADD II","PADD 2",IF($M2888="PADD III","PADD 3",IF($M2888="PADD IV","PADD 4",IF($M2888="PADD V","PADD 5","")))))</f>
        <v>PADD 3</v>
      </c>
      <c r="G2888" s="6">
        <f>IF(AND($H2888="ATMOS DISTILLATION",ISNUMBER(SEARCH("VPS",$I2888))=FALSE,LEFT($I2888,6)&lt;&gt;"VACUUM"),"CDU",IF($H2888="FLUID CAT CRACKING","FCC",IF(OR($H2888="HYDROCRACKING",$H2888="RESID_HYDROCRACKING"),"Hydrocracker",IF($H2888="REFORMING","Reformer",""))))</f>
        <v/>
      </c>
      <c r="H2888" s="6" t="s">
        <v>435</v>
      </c>
      <c r="I2888" s="6" t="s">
        <v>528</v>
      </c>
      <c r="J2888" s="6" t="s">
        <v>345</v>
      </c>
      <c r="K2888" s="10">
        <v>51.3</v>
      </c>
      <c r="L2888" s="10">
        <v>57</v>
      </c>
      <c r="M2888" s="6" t="s">
        <v>371</v>
      </c>
    </row>
    <row r="2889" spans="1:13">
      <c r="A2889" s="6">
        <v>2024</v>
      </c>
      <c r="B2889" s="6">
        <v>2</v>
      </c>
      <c r="C2889" s="6" t="s">
        <v>60</v>
      </c>
      <c r="D2889" s="6" t="s">
        <v>526</v>
      </c>
      <c r="E2889" s="6" t="s">
        <v>405</v>
      </c>
      <c r="F2889" s="6" t="str">
        <f>IF($M2889="PADD I","PADD 1",IF($M2889="PADD II","PADD 2",IF($M2889="PADD III","PADD 3",IF($M2889="PADD IV","PADD 4",IF($M2889="PADD V","PADD 5","")))))</f>
        <v>PADD 3</v>
      </c>
      <c r="G2889" s="6" t="str">
        <f>IF(AND($H2889="ATMOS DISTILLATION",ISNUMBER(SEARCH("VPS",$I2889))=FALSE,LEFT($I2889,6)&lt;&gt;"VACUUM"),"CDU",IF($H2889="FLUID CAT CRACKING","FCC",IF(OR($H2889="HYDROCRACKING",$H2889="RESID_HYDROCRACKING"),"Hydrocracker",IF($H2889="REFORMING","Reformer",""))))</f>
        <v>Reformer</v>
      </c>
      <c r="H2889" s="6" t="s">
        <v>421</v>
      </c>
      <c r="I2889" s="6" t="s">
        <v>928</v>
      </c>
      <c r="J2889" s="6" t="s">
        <v>349</v>
      </c>
      <c r="K2889" s="10">
        <v>50</v>
      </c>
      <c r="L2889" s="10">
        <v>50</v>
      </c>
      <c r="M2889" s="6" t="s">
        <v>371</v>
      </c>
    </row>
    <row r="2890" spans="1:13">
      <c r="A2890" s="6">
        <v>2024</v>
      </c>
      <c r="B2890" s="6">
        <v>2</v>
      </c>
      <c r="C2890" s="6" t="s">
        <v>60</v>
      </c>
      <c r="D2890" s="6" t="s">
        <v>807</v>
      </c>
      <c r="E2890" s="6" t="s">
        <v>779</v>
      </c>
      <c r="F2890" s="6" t="str">
        <f>IF($M2890="PADD I","PADD 1",IF($M2890="PADD II","PADD 2",IF($M2890="PADD III","PADD 3",IF($M2890="PADD IV","PADD 4",IF($M2890="PADD V","PADD 5","")))))</f>
        <v>PADD 3</v>
      </c>
      <c r="G2890" s="6">
        <f>IF(AND($H2890="ATMOS DISTILLATION",ISNUMBER(SEARCH("VPS",$I2890))=FALSE,LEFT($I2890,6)&lt;&gt;"VACUUM"),"CDU",IF($H2890="FLUID CAT CRACKING","FCC",IF(OR($H2890="HYDROCRACKING",$H2890="RESID_HYDROCRACKING"),"Hydrocracker",IF($H2890="REFORMING","Reformer",""))))</f>
        <v/>
      </c>
      <c r="H2890" s="6" t="s">
        <v>43</v>
      </c>
      <c r="I2890" s="6" t="s">
        <v>793</v>
      </c>
      <c r="J2890" s="6" t="s">
        <v>349</v>
      </c>
      <c r="K2890" s="10">
        <v>50</v>
      </c>
      <c r="L2890" s="10">
        <v>50</v>
      </c>
      <c r="M2890" s="6" t="s">
        <v>371</v>
      </c>
    </row>
    <row r="2891" spans="1:13">
      <c r="A2891" s="6">
        <v>2024</v>
      </c>
      <c r="B2891" s="6">
        <v>2</v>
      </c>
      <c r="C2891" s="6" t="s">
        <v>60</v>
      </c>
      <c r="D2891" s="6" t="s">
        <v>628</v>
      </c>
      <c r="E2891" s="6" t="s">
        <v>388</v>
      </c>
      <c r="F2891" s="6" t="str">
        <f>IF($M2891="PADD I","PADD 1",IF($M2891="PADD II","PADD 2",IF($M2891="PADD III","PADD 3",IF($M2891="PADD IV","PADD 4",IF($M2891="PADD V","PADD 5","")))))</f>
        <v>PADD 3</v>
      </c>
      <c r="G2891" s="6" t="str">
        <f>IF(AND($H2891="ATMOS DISTILLATION",ISNUMBER(SEARCH("VPS",$I2891))=FALSE,LEFT($I2891,6)&lt;&gt;"VACUUM"),"CDU",IF($H2891="FLUID CAT CRACKING","FCC",IF(OR($H2891="HYDROCRACKING",$H2891="RESID_HYDROCRACKING"),"Hydrocracker",IF($H2891="REFORMING","Reformer",""))))</f>
        <v>CDU</v>
      </c>
      <c r="H2891" s="6" t="s">
        <v>38</v>
      </c>
      <c r="I2891" s="6" t="s">
        <v>1048</v>
      </c>
      <c r="J2891" s="6" t="s">
        <v>349</v>
      </c>
      <c r="K2891" s="10">
        <v>50</v>
      </c>
      <c r="L2891" s="10">
        <v>50</v>
      </c>
      <c r="M2891" s="6" t="s">
        <v>371</v>
      </c>
    </row>
    <row r="2892" spans="1:13">
      <c r="A2892" s="6">
        <v>2024</v>
      </c>
      <c r="B2892" s="6">
        <v>2</v>
      </c>
      <c r="C2892" s="6" t="s">
        <v>60</v>
      </c>
      <c r="D2892" s="6" t="s">
        <v>457</v>
      </c>
      <c r="E2892" s="6" t="s">
        <v>388</v>
      </c>
      <c r="F2892" s="6" t="str">
        <f>IF($M2892="PADD I","PADD 1",IF($M2892="PADD II","PADD 2",IF($M2892="PADD III","PADD 3",IF($M2892="PADD IV","PADD 4",IF($M2892="PADD V","PADD 5","")))))</f>
        <v>PADD 5</v>
      </c>
      <c r="G2892" s="6" t="str">
        <f>IF(AND($H2892="ATMOS DISTILLATION",ISNUMBER(SEARCH("VPS",$I2892))=FALSE,LEFT($I2892,6)&lt;&gt;"VACUUM"),"CDU",IF($H2892="FLUID CAT CRACKING","FCC",IF(OR($H2892="HYDROCRACKING",$H2892="RESID_HYDROCRACKING"),"Hydrocracker",IF($H2892="REFORMING","Reformer",""))))</f>
        <v>Hydrocracker</v>
      </c>
      <c r="H2892" s="6" t="s">
        <v>444</v>
      </c>
      <c r="I2892" s="6" t="s">
        <v>14</v>
      </c>
      <c r="J2892" s="6" t="s">
        <v>345</v>
      </c>
      <c r="K2892" s="10">
        <v>49.5</v>
      </c>
      <c r="L2892" s="10">
        <v>55</v>
      </c>
      <c r="M2892" s="6" t="s">
        <v>386</v>
      </c>
    </row>
    <row r="2893" spans="1:13">
      <c r="A2893" s="6">
        <v>2024</v>
      </c>
      <c r="B2893" s="6">
        <v>2</v>
      </c>
      <c r="C2893" s="6" t="s">
        <v>60</v>
      </c>
      <c r="D2893" s="6" t="s">
        <v>398</v>
      </c>
      <c r="E2893" s="6" t="s">
        <v>399</v>
      </c>
      <c r="F2893" s="6" t="str">
        <f>IF($M2893="PADD I","PADD 1",IF($M2893="PADD II","PADD 2",IF($M2893="PADD III","PADD 3",IF($M2893="PADD IV","PADD 4",IF($M2893="PADD V","PADD 5","")))))</f>
        <v>PADD 3</v>
      </c>
      <c r="G2893" s="6">
        <f>IF(AND($H2893="ATMOS DISTILLATION",ISNUMBER(SEARCH("VPS",$I2893))=FALSE,LEFT($I2893,6)&lt;&gt;"VACUUM"),"CDU",IF($H2893="FLUID CAT CRACKING","FCC",IF(OR($H2893="HYDROCRACKING",$H2893="RESID_HYDROCRACKING"),"Hydrocracker",IF($H2893="REFORMING","Reformer",""))))</f>
        <v/>
      </c>
      <c r="H2893" s="6" t="s">
        <v>435</v>
      </c>
      <c r="I2893" s="6" t="s">
        <v>528</v>
      </c>
      <c r="J2893" s="6" t="s">
        <v>349</v>
      </c>
      <c r="K2893" s="10">
        <v>49.02</v>
      </c>
      <c r="L2893" s="10">
        <v>57</v>
      </c>
      <c r="M2893" s="6" t="s">
        <v>371</v>
      </c>
    </row>
    <row r="2894" spans="1:13">
      <c r="A2894" s="6">
        <v>2024</v>
      </c>
      <c r="B2894" s="6">
        <v>2</v>
      </c>
      <c r="C2894" s="6" t="s">
        <v>60</v>
      </c>
      <c r="D2894" s="6" t="s">
        <v>335</v>
      </c>
      <c r="E2894" s="6" t="s">
        <v>369</v>
      </c>
      <c r="F2894" s="6" t="str">
        <f>IF($M2894="PADD I","PADD 1",IF($M2894="PADD II","PADD 2",IF($M2894="PADD III","PADD 3",IF($M2894="PADD IV","PADD 4",IF($M2894="PADD V","PADD 5","")))))</f>
        <v>PADD 3</v>
      </c>
      <c r="G2894" s="6" t="str">
        <f>IF(AND($H2894="ATMOS DISTILLATION",ISNUMBER(SEARCH("VPS",$I2894))=FALSE,LEFT($I2894,6)&lt;&gt;"VACUUM"),"CDU",IF($H2894="FLUID CAT CRACKING","FCC",IF(OR($H2894="HYDROCRACKING",$H2894="RESID_HYDROCRACKING"),"Hydrocracker",IF($H2894="REFORMING","Reformer",""))))</f>
        <v>FCC</v>
      </c>
      <c r="H2894" s="6" t="s">
        <v>376</v>
      </c>
      <c r="I2894" s="6" t="s">
        <v>141</v>
      </c>
      <c r="J2894" s="6" t="s">
        <v>345</v>
      </c>
      <c r="K2894" s="10">
        <v>48.36</v>
      </c>
      <c r="L2894" s="10">
        <v>78</v>
      </c>
      <c r="M2894" s="6" t="s">
        <v>371</v>
      </c>
    </row>
    <row r="2895" spans="1:13">
      <c r="A2895" s="6">
        <v>2024</v>
      </c>
      <c r="B2895" s="6">
        <v>2</v>
      </c>
      <c r="C2895" s="6" t="s">
        <v>60</v>
      </c>
      <c r="D2895" s="6" t="s">
        <v>526</v>
      </c>
      <c r="E2895" s="6" t="s">
        <v>405</v>
      </c>
      <c r="F2895" s="6" t="str">
        <f>IF($M2895="PADD I","PADD 1",IF($M2895="PADD II","PADD 2",IF($M2895="PADD III","PADD 3",IF($M2895="PADD IV","PADD 4",IF($M2895="PADD V","PADD 5","")))))</f>
        <v>PADD 3</v>
      </c>
      <c r="G2895" s="6">
        <f>IF(AND($H2895="ATMOS DISTILLATION",ISNUMBER(SEARCH("VPS",$I2895))=FALSE,LEFT($I2895,6)&lt;&gt;"VACUUM"),"CDU",IF($H2895="FLUID CAT CRACKING","FCC",IF(OR($H2895="HYDROCRACKING",$H2895="RESID_HYDROCRACKING"),"Hydrocracker",IF($H2895="REFORMING","Reformer",""))))</f>
        <v/>
      </c>
      <c r="H2895" s="6" t="s">
        <v>43</v>
      </c>
      <c r="I2895" s="6" t="s">
        <v>1076</v>
      </c>
      <c r="J2895" s="6" t="s">
        <v>349</v>
      </c>
      <c r="K2895" s="10">
        <v>47</v>
      </c>
      <c r="L2895" s="10">
        <v>47</v>
      </c>
      <c r="M2895" s="6" t="s">
        <v>371</v>
      </c>
    </row>
    <row r="2896" spans="1:13">
      <c r="A2896" s="6">
        <v>2024</v>
      </c>
      <c r="B2896" s="6">
        <v>2</v>
      </c>
      <c r="C2896" s="6" t="s">
        <v>60</v>
      </c>
      <c r="D2896" s="6" t="s">
        <v>324</v>
      </c>
      <c r="E2896" s="6" t="s">
        <v>388</v>
      </c>
      <c r="F2896" s="6" t="str">
        <f>IF($M2896="PADD I","PADD 1",IF($M2896="PADD II","PADD 2",IF($M2896="PADD III","PADD 3",IF($M2896="PADD IV","PADD 4",IF($M2896="PADD V","PADD 5","")))))</f>
        <v>PADD 3</v>
      </c>
      <c r="G2896" s="6" t="str">
        <f>IF(AND($H2896="ATMOS DISTILLATION",ISNUMBER(SEARCH("VPS",$I2896))=FALSE,LEFT($I2896,6)&lt;&gt;"VACUUM"),"CDU",IF($H2896="FLUID CAT CRACKING","FCC",IF(OR($H2896="HYDROCRACKING",$H2896="RESID_HYDROCRACKING"),"Hydrocracker",IF($H2896="REFORMING","Reformer",""))))</f>
        <v>Reformer</v>
      </c>
      <c r="H2896" s="6" t="s">
        <v>421</v>
      </c>
      <c r="I2896" s="6" t="s">
        <v>642</v>
      </c>
      <c r="J2896" s="6" t="s">
        <v>349</v>
      </c>
      <c r="K2896" s="10">
        <v>46.8</v>
      </c>
      <c r="L2896" s="10">
        <v>65</v>
      </c>
      <c r="M2896" s="6" t="s">
        <v>371</v>
      </c>
    </row>
    <row r="2897" spans="1:13">
      <c r="A2897" s="6">
        <v>2024</v>
      </c>
      <c r="B2897" s="6">
        <v>2</v>
      </c>
      <c r="C2897" s="6" t="s">
        <v>60</v>
      </c>
      <c r="D2897" s="6" t="s">
        <v>542</v>
      </c>
      <c r="E2897" s="6" t="s">
        <v>543</v>
      </c>
      <c r="F2897" s="6" t="str">
        <f>IF($M2897="PADD I","PADD 1",IF($M2897="PADD II","PADD 2",IF($M2897="PADD III","PADD 3",IF($M2897="PADD IV","PADD 4",IF($M2897="PADD V","PADD 5","")))))</f>
        <v>PADD 2</v>
      </c>
      <c r="G2897" s="6">
        <f>IF(AND($H2897="ATMOS DISTILLATION",ISNUMBER(SEARCH("VPS",$I2897))=FALSE,LEFT($I2897,6)&lt;&gt;"VACUUM"),"CDU",IF($H2897="FLUID CAT CRACKING","FCC",IF(OR($H2897="HYDROCRACKING",$H2897="RESID_HYDROCRACKING"),"Hydrocracker",IF($H2897="REFORMING","Reformer",""))))</f>
        <v/>
      </c>
      <c r="H2897" s="6" t="s">
        <v>43</v>
      </c>
      <c r="I2897" s="6" t="s">
        <v>1111</v>
      </c>
      <c r="J2897" s="6" t="s">
        <v>345</v>
      </c>
      <c r="K2897" s="10">
        <v>46.75</v>
      </c>
      <c r="L2897" s="10">
        <v>85</v>
      </c>
      <c r="M2897" s="6" t="s">
        <v>375</v>
      </c>
    </row>
    <row r="2898" spans="1:13">
      <c r="A2898" s="6">
        <v>2024</v>
      </c>
      <c r="B2898" s="6">
        <v>2</v>
      </c>
      <c r="C2898" s="6" t="s">
        <v>60</v>
      </c>
      <c r="D2898" s="6" t="s">
        <v>934</v>
      </c>
      <c r="E2898" s="6" t="s">
        <v>388</v>
      </c>
      <c r="F2898" s="6" t="str">
        <f>IF($M2898="PADD I","PADD 1",IF($M2898="PADD II","PADD 2",IF($M2898="PADD III","PADD 3",IF($M2898="PADD IV","PADD 4",IF($M2898="PADD V","PADD 5","")))))</f>
        <v>PADD 3</v>
      </c>
      <c r="G2898" s="6" t="str">
        <f>IF(AND($H2898="ATMOS DISTILLATION",ISNUMBER(SEARCH("VPS",$I2898))=FALSE,LEFT($I2898,6)&lt;&gt;"VACUUM"),"CDU",IF($H2898="FLUID CAT CRACKING","FCC",IF(OR($H2898="HYDROCRACKING",$H2898="RESID_HYDROCRACKING"),"Hydrocracker",IF($H2898="REFORMING","Reformer",""))))</f>
        <v>CDU</v>
      </c>
      <c r="H2898" s="6" t="s">
        <v>38</v>
      </c>
      <c r="I2898" s="6" t="s">
        <v>135</v>
      </c>
      <c r="J2898" s="6" t="s">
        <v>349</v>
      </c>
      <c r="K2898" s="10">
        <v>46.5</v>
      </c>
      <c r="L2898" s="10">
        <v>75</v>
      </c>
      <c r="M2898" s="6" t="s">
        <v>371</v>
      </c>
    </row>
    <row r="2899" spans="1:13">
      <c r="A2899" s="6">
        <v>2024</v>
      </c>
      <c r="B2899" s="6">
        <v>2</v>
      </c>
      <c r="C2899" s="6" t="s">
        <v>60</v>
      </c>
      <c r="D2899" s="6" t="s">
        <v>415</v>
      </c>
      <c r="E2899" s="6" t="s">
        <v>416</v>
      </c>
      <c r="F2899" s="6" t="str">
        <f>IF($M2899="PADD I","PADD 1",IF($M2899="PADD II","PADD 2",IF($M2899="PADD III","PADD 3",IF($M2899="PADD IV","PADD 4",IF($M2899="PADD V","PADD 5","")))))</f>
        <v>PADD 3</v>
      </c>
      <c r="G2899" s="6" t="str">
        <f>IF(AND($H2899="ATMOS DISTILLATION",ISNUMBER(SEARCH("VPS",$I2899))=FALSE,LEFT($I2899,6)&lt;&gt;"VACUUM"),"CDU",IF($H2899="FLUID CAT CRACKING","FCC",IF(OR($H2899="HYDROCRACKING",$H2899="RESID_HYDROCRACKING"),"Hydrocracker",IF($H2899="REFORMING","Reformer",""))))</f>
        <v>CDU</v>
      </c>
      <c r="H2899" s="6" t="s">
        <v>38</v>
      </c>
      <c r="I2899" s="6" t="s">
        <v>1085</v>
      </c>
      <c r="J2899" s="6" t="s">
        <v>349</v>
      </c>
      <c r="K2899" s="10">
        <v>46.5</v>
      </c>
      <c r="L2899" s="10">
        <v>75</v>
      </c>
      <c r="M2899" s="6" t="s">
        <v>371</v>
      </c>
    </row>
    <row r="2900" spans="1:13">
      <c r="A2900" s="6">
        <v>2024</v>
      </c>
      <c r="B2900" s="6">
        <v>2</v>
      </c>
      <c r="C2900" s="6" t="s">
        <v>60</v>
      </c>
      <c r="D2900" s="6" t="s">
        <v>465</v>
      </c>
      <c r="E2900" s="6" t="s">
        <v>369</v>
      </c>
      <c r="F2900" s="6" t="str">
        <f>IF($M2900="PADD I","PADD 1",IF($M2900="PADD II","PADD 2",IF($M2900="PADD III","PADD 3",IF($M2900="PADD IV","PADD 4",IF($M2900="PADD V","PADD 5","")))))</f>
        <v>PADD 5</v>
      </c>
      <c r="G2900" s="6">
        <f>IF(AND($H2900="ATMOS DISTILLATION",ISNUMBER(SEARCH("VPS",$I2900))=FALSE,LEFT($I2900,6)&lt;&gt;"VACUUM"),"CDU",IF($H2900="FLUID CAT CRACKING","FCC",IF(OR($H2900="HYDROCRACKING",$H2900="RESID_HYDROCRACKING"),"Hydrocracker",IF($H2900="REFORMING","Reformer",""))))</f>
        <v/>
      </c>
      <c r="H2900" s="6" t="s">
        <v>43</v>
      </c>
      <c r="I2900" s="6" t="s">
        <v>466</v>
      </c>
      <c r="J2900" s="6" t="s">
        <v>349</v>
      </c>
      <c r="K2900" s="10">
        <v>45.8298</v>
      </c>
      <c r="L2900" s="10">
        <v>66.42</v>
      </c>
      <c r="M2900" s="6" t="s">
        <v>386</v>
      </c>
    </row>
    <row r="2901" spans="1:13">
      <c r="A2901" s="6">
        <v>2024</v>
      </c>
      <c r="B2901" s="6">
        <v>2</v>
      </c>
      <c r="C2901" s="6" t="s">
        <v>60</v>
      </c>
      <c r="D2901" s="6" t="s">
        <v>490</v>
      </c>
      <c r="E2901" s="6" t="s">
        <v>491</v>
      </c>
      <c r="F2901" s="6" t="str">
        <f>IF($M2901="PADD I","PADD 1",IF($M2901="PADD II","PADD 2",IF($M2901="PADD III","PADD 3",IF($M2901="PADD IV","PADD 4",IF($M2901="PADD V","PADD 5","")))))</f>
        <v>PADD 3</v>
      </c>
      <c r="G2901" s="6">
        <f>IF(AND($H2901="ATMOS DISTILLATION",ISNUMBER(SEARCH("VPS",$I2901))=FALSE,LEFT($I2901,6)&lt;&gt;"VACUUM"),"CDU",IF($H2901="FLUID CAT CRACKING","FCC",IF(OR($H2901="HYDROCRACKING",$H2901="RESID_HYDROCRACKING"),"Hydrocracker",IF($H2901="REFORMING","Reformer",""))))</f>
        <v/>
      </c>
      <c r="H2901" s="6" t="s">
        <v>378</v>
      </c>
      <c r="I2901" s="6" t="s">
        <v>1081</v>
      </c>
      <c r="J2901" s="6" t="s">
        <v>345</v>
      </c>
      <c r="K2901" s="10">
        <v>44.8</v>
      </c>
      <c r="L2901" s="10">
        <v>160</v>
      </c>
      <c r="M2901" s="6" t="s">
        <v>371</v>
      </c>
    </row>
    <row r="2902" spans="1:13">
      <c r="A2902" s="6">
        <v>2024</v>
      </c>
      <c r="B2902" s="6">
        <v>2</v>
      </c>
      <c r="C2902" s="6" t="s">
        <v>60</v>
      </c>
      <c r="D2902" s="6" t="s">
        <v>324</v>
      </c>
      <c r="E2902" s="6" t="s">
        <v>388</v>
      </c>
      <c r="F2902" s="6" t="str">
        <f>IF($M2902="PADD I","PADD 1",IF($M2902="PADD II","PADD 2",IF($M2902="PADD III","PADD 3",IF($M2902="PADD IV","PADD 4",IF($M2902="PADD V","PADD 5","")))))</f>
        <v>PADD 3</v>
      </c>
      <c r="G2902" s="6">
        <f>IF(AND($H2902="ATMOS DISTILLATION",ISNUMBER(SEARCH("VPS",$I2902))=FALSE,LEFT($I2902,6)&lt;&gt;"VACUUM"),"CDU",IF($H2902="FLUID CAT CRACKING","FCC",IF(OR($H2902="HYDROCRACKING",$H2902="RESID_HYDROCRACKING"),"Hydrocracker",IF($H2902="REFORMING","Reformer",""))))</f>
        <v/>
      </c>
      <c r="H2902" s="6" t="s">
        <v>435</v>
      </c>
      <c r="I2902" s="6" t="s">
        <v>956</v>
      </c>
      <c r="J2902" s="6" t="s">
        <v>349</v>
      </c>
      <c r="K2902" s="10">
        <v>44</v>
      </c>
      <c r="L2902" s="10">
        <v>44</v>
      </c>
      <c r="M2902" s="6" t="s">
        <v>371</v>
      </c>
    </row>
    <row r="2903" spans="1:13">
      <c r="A2903" s="6">
        <v>2024</v>
      </c>
      <c r="B2903" s="6">
        <v>2</v>
      </c>
      <c r="C2903" s="6" t="s">
        <v>60</v>
      </c>
      <c r="D2903" s="6" t="s">
        <v>774</v>
      </c>
      <c r="E2903" s="6" t="s">
        <v>775</v>
      </c>
      <c r="F2903" s="6" t="str">
        <f>IF($M2903="PADD I","PADD 1",IF($M2903="PADD II","PADD 2",IF($M2903="PADD III","PADD 3",IF($M2903="PADD IV","PADD 4",IF($M2903="PADD V","PADD 5","")))))</f>
        <v>PADD 1</v>
      </c>
      <c r="G2903" s="6" t="str">
        <f>IF(AND($H2903="ATMOS DISTILLATION",ISNUMBER(SEARCH("VPS",$I2903))=FALSE,LEFT($I2903,6)&lt;&gt;"VACUUM"),"CDU",IF($H2903="FLUID CAT CRACKING","FCC",IF(OR($H2903="HYDROCRACKING",$H2903="RESID_HYDROCRACKING"),"Hydrocracker",IF($H2903="REFORMING","Reformer",""))))</f>
        <v>FCC</v>
      </c>
      <c r="H2903" s="6" t="s">
        <v>376</v>
      </c>
      <c r="I2903" s="6" t="s">
        <v>105</v>
      </c>
      <c r="J2903" s="6" t="s">
        <v>345</v>
      </c>
      <c r="K2903" s="10">
        <v>44</v>
      </c>
      <c r="L2903" s="10">
        <v>80</v>
      </c>
      <c r="M2903" s="6" t="s">
        <v>413</v>
      </c>
    </row>
    <row r="2904" spans="1:13">
      <c r="A2904" s="6">
        <v>2024</v>
      </c>
      <c r="B2904" s="6">
        <v>2</v>
      </c>
      <c r="C2904" s="6" t="s">
        <v>60</v>
      </c>
      <c r="D2904" s="6" t="s">
        <v>334</v>
      </c>
      <c r="E2904" s="6" t="s">
        <v>552</v>
      </c>
      <c r="F2904" s="6" t="str">
        <f>IF($M2904="PADD I","PADD 1",IF($M2904="PADD II","PADD 2",IF($M2904="PADD III","PADD 3",IF($M2904="PADD IV","PADD 4",IF($M2904="PADD V","PADD 5","")))))</f>
        <v>PADD 3</v>
      </c>
      <c r="G2904" s="6" t="str">
        <f>IF(AND($H2904="ATMOS DISTILLATION",ISNUMBER(SEARCH("VPS",$I2904))=FALSE,LEFT($I2904,6)&lt;&gt;"VACUUM"),"CDU",IF($H2904="FLUID CAT CRACKING","FCC",IF(OR($H2904="HYDROCRACKING",$H2904="RESID_HYDROCRACKING"),"Hydrocracker",IF($H2904="REFORMING","Reformer",""))))</f>
        <v>CDU</v>
      </c>
      <c r="H2904" s="6" t="s">
        <v>38</v>
      </c>
      <c r="I2904" s="6" t="s">
        <v>137</v>
      </c>
      <c r="J2904" s="6" t="s">
        <v>345</v>
      </c>
      <c r="K2904" s="10">
        <v>44</v>
      </c>
      <c r="L2904" s="10">
        <v>80</v>
      </c>
      <c r="M2904" s="6" t="s">
        <v>371</v>
      </c>
    </row>
    <row r="2905" spans="1:13">
      <c r="A2905" s="6">
        <v>2024</v>
      </c>
      <c r="B2905" s="6">
        <v>2</v>
      </c>
      <c r="C2905" s="6" t="s">
        <v>60</v>
      </c>
      <c r="D2905" s="6" t="s">
        <v>526</v>
      </c>
      <c r="E2905" s="6" t="s">
        <v>405</v>
      </c>
      <c r="F2905" s="6" t="str">
        <f>IF($M2905="PADD I","PADD 1",IF($M2905="PADD II","PADD 2",IF($M2905="PADD III","PADD 3",IF($M2905="PADD IV","PADD 4",IF($M2905="PADD V","PADD 5","")))))</f>
        <v>PADD 3</v>
      </c>
      <c r="G2905" s="6">
        <f>IF(AND($H2905="ATMOS DISTILLATION",ISNUMBER(SEARCH("VPS",$I2905))=FALSE,LEFT($I2905,6)&lt;&gt;"VACUUM"),"CDU",IF($H2905="FLUID CAT CRACKING","FCC",IF(OR($H2905="HYDROCRACKING",$H2905="RESID_HYDROCRACKING"),"Hydrocracker",IF($H2905="REFORMING","Reformer",""))))</f>
        <v/>
      </c>
      <c r="H2905" s="6" t="s">
        <v>43</v>
      </c>
      <c r="I2905" s="6" t="s">
        <v>1089</v>
      </c>
      <c r="J2905" s="6" t="s">
        <v>349</v>
      </c>
      <c r="K2905" s="10">
        <v>43</v>
      </c>
      <c r="L2905" s="10">
        <v>43</v>
      </c>
      <c r="M2905" s="6" t="s">
        <v>371</v>
      </c>
    </row>
    <row r="2906" spans="1:13">
      <c r="A2906" s="6">
        <v>2024</v>
      </c>
      <c r="B2906" s="6">
        <v>2</v>
      </c>
      <c r="C2906" s="6" t="s">
        <v>60</v>
      </c>
      <c r="D2906" s="6" t="s">
        <v>531</v>
      </c>
      <c r="E2906" s="6" t="s">
        <v>532</v>
      </c>
      <c r="F2906" s="6" t="str">
        <f>IF($M2906="PADD I","PADD 1",IF($M2906="PADD II","PADD 2",IF($M2906="PADD III","PADD 3",IF($M2906="PADD IV","PADD 4",IF($M2906="PADD V","PADD 5","")))))</f>
        <v>PADD 5</v>
      </c>
      <c r="G2906" s="6" t="str">
        <f>IF(AND($H2906="ATMOS DISTILLATION",ISNUMBER(SEARCH("VPS",$I2906))=FALSE,LEFT($I2906,6)&lt;&gt;"VACUUM"),"CDU",IF($H2906="FLUID CAT CRACKING","FCC",IF(OR($H2906="HYDROCRACKING",$H2906="RESID_HYDROCRACKING"),"Hydrocracker",IF($H2906="REFORMING","Reformer",""))))</f>
        <v>CDU</v>
      </c>
      <c r="H2906" s="6" t="s">
        <v>38</v>
      </c>
      <c r="I2906" s="6" t="s">
        <v>81</v>
      </c>
      <c r="J2906" s="6" t="s">
        <v>345</v>
      </c>
      <c r="K2906" s="10">
        <v>42.625</v>
      </c>
      <c r="L2906" s="10">
        <v>77.5</v>
      </c>
      <c r="M2906" s="6" t="s">
        <v>386</v>
      </c>
    </row>
    <row r="2907" spans="1:13">
      <c r="A2907" s="6">
        <v>2024</v>
      </c>
      <c r="B2907" s="6">
        <v>2</v>
      </c>
      <c r="C2907" s="6" t="s">
        <v>60</v>
      </c>
      <c r="D2907" s="6" t="s">
        <v>333</v>
      </c>
      <c r="E2907" s="6" t="s">
        <v>381</v>
      </c>
      <c r="F2907" s="6" t="str">
        <f>IF($M2907="PADD I","PADD 1",IF($M2907="PADD II","PADD 2",IF($M2907="PADD III","PADD 3",IF($M2907="PADD IV","PADD 4",IF($M2907="PADD V","PADD 5","")))))</f>
        <v>PADD 3</v>
      </c>
      <c r="G2907" s="6" t="str">
        <f>IF(AND($H2907="ATMOS DISTILLATION",ISNUMBER(SEARCH("VPS",$I2907))=FALSE,LEFT($I2907,6)&lt;&gt;"VACUUM"),"CDU",IF($H2907="FLUID CAT CRACKING","FCC",IF(OR($H2907="HYDROCRACKING",$H2907="RESID_HYDROCRACKING"),"Hydrocracker",IF($H2907="REFORMING","Reformer",""))))</f>
        <v>Reformer</v>
      </c>
      <c r="H2907" s="6" t="s">
        <v>421</v>
      </c>
      <c r="I2907" s="6" t="s">
        <v>1042</v>
      </c>
      <c r="J2907" s="6" t="s">
        <v>349</v>
      </c>
      <c r="K2907" s="10">
        <v>41.25</v>
      </c>
      <c r="L2907" s="10">
        <v>75</v>
      </c>
      <c r="M2907" s="6" t="s">
        <v>371</v>
      </c>
    </row>
    <row r="2908" spans="1:13">
      <c r="A2908" s="6">
        <v>2024</v>
      </c>
      <c r="B2908" s="6">
        <v>2</v>
      </c>
      <c r="C2908" s="6" t="s">
        <v>60</v>
      </c>
      <c r="D2908" s="6" t="s">
        <v>542</v>
      </c>
      <c r="E2908" s="6" t="s">
        <v>543</v>
      </c>
      <c r="F2908" s="6" t="str">
        <f>IF($M2908="PADD I","PADD 1",IF($M2908="PADD II","PADD 2",IF($M2908="PADD III","PADD 3",IF($M2908="PADD IV","PADD 4",IF($M2908="PADD V","PADD 5","")))))</f>
        <v>PADD 2</v>
      </c>
      <c r="G2908" s="6">
        <f>IF(AND($H2908="ATMOS DISTILLATION",ISNUMBER(SEARCH("VPS",$I2908))=FALSE,LEFT($I2908,6)&lt;&gt;"VACUUM"),"CDU",IF($H2908="FLUID CAT CRACKING","FCC",IF(OR($H2908="HYDROCRACKING",$H2908="RESID_HYDROCRACKING"),"Hydrocracker",IF($H2908="REFORMING","Reformer",""))))</f>
        <v/>
      </c>
      <c r="H2908" s="6" t="s">
        <v>43</v>
      </c>
      <c r="I2908" s="6" t="s">
        <v>915</v>
      </c>
      <c r="J2908" s="6" t="s">
        <v>345</v>
      </c>
      <c r="K2908" s="10">
        <v>40</v>
      </c>
      <c r="L2908" s="10">
        <v>40</v>
      </c>
      <c r="M2908" s="6" t="s">
        <v>375</v>
      </c>
    </row>
    <row r="2909" spans="1:13">
      <c r="A2909" s="6">
        <v>2024</v>
      </c>
      <c r="B2909" s="6">
        <v>2</v>
      </c>
      <c r="C2909" s="6" t="s">
        <v>60</v>
      </c>
      <c r="D2909" s="6" t="s">
        <v>408</v>
      </c>
      <c r="E2909" s="6" t="s">
        <v>409</v>
      </c>
      <c r="F2909" s="6" t="str">
        <f>IF($M2909="PADD I","PADD 1",IF($M2909="PADD II","PADD 2",IF($M2909="PADD III","PADD 3",IF($M2909="PADD IV","PADD 4",IF($M2909="PADD V","PADD 5","")))))</f>
        <v>PADD 3</v>
      </c>
      <c r="G2909" s="6" t="str">
        <f>IF(AND($H2909="ATMOS DISTILLATION",ISNUMBER(SEARCH("VPS",$I2909))=FALSE,LEFT($I2909,6)&lt;&gt;"VACUUM"),"CDU",IF($H2909="FLUID CAT CRACKING","FCC",IF(OR($H2909="HYDROCRACKING",$H2909="RESID_HYDROCRACKING"),"Hydrocracker",IF($H2909="REFORMING","Reformer",""))))</f>
        <v>CDU</v>
      </c>
      <c r="H2909" s="6" t="s">
        <v>38</v>
      </c>
      <c r="I2909" s="6" t="s">
        <v>410</v>
      </c>
      <c r="J2909" s="6" t="s">
        <v>345</v>
      </c>
      <c r="K2909" s="10">
        <v>38.4</v>
      </c>
      <c r="L2909" s="10">
        <v>80</v>
      </c>
      <c r="M2909" s="6" t="s">
        <v>371</v>
      </c>
    </row>
    <row r="2910" spans="1:13">
      <c r="A2910" s="6">
        <v>2024</v>
      </c>
      <c r="B2910" s="6">
        <v>2</v>
      </c>
      <c r="C2910" s="6" t="s">
        <v>60</v>
      </c>
      <c r="D2910" s="6" t="s">
        <v>415</v>
      </c>
      <c r="E2910" s="6" t="s">
        <v>416</v>
      </c>
      <c r="F2910" s="6" t="str">
        <f>IF($M2910="PADD I","PADD 1",IF($M2910="PADD II","PADD 2",IF($M2910="PADD III","PADD 3",IF($M2910="PADD IV","PADD 4",IF($M2910="PADD V","PADD 5","")))))</f>
        <v>PADD 3</v>
      </c>
      <c r="G2910" s="6">
        <f>IF(AND($H2910="ATMOS DISTILLATION",ISNUMBER(SEARCH("VPS",$I2910))=FALSE,LEFT($I2910,6)&lt;&gt;"VACUUM"),"CDU",IF($H2910="FLUID CAT CRACKING","FCC",IF(OR($H2910="HYDROCRACKING",$H2910="RESID_HYDROCRACKING"),"Hydrocracker",IF($H2910="REFORMING","Reformer",""))))</f>
        <v/>
      </c>
      <c r="H2910" s="6" t="s">
        <v>43</v>
      </c>
      <c r="I2910" s="6" t="s">
        <v>1095</v>
      </c>
      <c r="J2910" s="6" t="s">
        <v>349</v>
      </c>
      <c r="K2910" s="10">
        <v>38</v>
      </c>
      <c r="L2910" s="10">
        <v>38</v>
      </c>
      <c r="M2910" s="6" t="s">
        <v>371</v>
      </c>
    </row>
    <row r="2911" spans="1:13">
      <c r="A2911" s="6">
        <v>2024</v>
      </c>
      <c r="B2911" s="6">
        <v>2</v>
      </c>
      <c r="C2911" s="6" t="s">
        <v>60</v>
      </c>
      <c r="D2911" s="6" t="s">
        <v>526</v>
      </c>
      <c r="E2911" s="6" t="s">
        <v>405</v>
      </c>
      <c r="F2911" s="6" t="str">
        <f>IF($M2911="PADD I","PADD 1",IF($M2911="PADD II","PADD 2",IF($M2911="PADD III","PADD 3",IF($M2911="PADD IV","PADD 4",IF($M2911="PADD V","PADD 5","")))))</f>
        <v>PADD 3</v>
      </c>
      <c r="G2911" s="6" t="str">
        <f>IF(AND($H2911="ATMOS DISTILLATION",ISNUMBER(SEARCH("VPS",$I2911))=FALSE,LEFT($I2911,6)&lt;&gt;"VACUUM"),"CDU",IF($H2911="FLUID CAT CRACKING","FCC",IF(OR($H2911="HYDROCRACKING",$H2911="RESID_HYDROCRACKING"),"Hydrocracker",IF($H2911="REFORMING","Reformer",""))))</f>
        <v>Hydrocracker</v>
      </c>
      <c r="H2911" s="6" t="s">
        <v>444</v>
      </c>
      <c r="I2911" s="6" t="s">
        <v>351</v>
      </c>
      <c r="J2911" s="6" t="s">
        <v>345</v>
      </c>
      <c r="K2911" s="10">
        <v>37.62</v>
      </c>
      <c r="L2911" s="10">
        <v>57</v>
      </c>
      <c r="M2911" s="6" t="s">
        <v>371</v>
      </c>
    </row>
    <row r="2912" spans="1:13">
      <c r="A2912" s="6">
        <v>2024</v>
      </c>
      <c r="B2912" s="6">
        <v>2</v>
      </c>
      <c r="C2912" s="6" t="s">
        <v>60</v>
      </c>
      <c r="D2912" s="6" t="s">
        <v>807</v>
      </c>
      <c r="E2912" s="6" t="s">
        <v>779</v>
      </c>
      <c r="F2912" s="6" t="str">
        <f>IF($M2912="PADD I","PADD 1",IF($M2912="PADD II","PADD 2",IF($M2912="PADD III","PADD 3",IF($M2912="PADD IV","PADD 4",IF($M2912="PADD V","PADD 5","")))))</f>
        <v>PADD 3</v>
      </c>
      <c r="G2912" s="6">
        <f>IF(AND($H2912="ATMOS DISTILLATION",ISNUMBER(SEARCH("VPS",$I2912))=FALSE,LEFT($I2912,6)&lt;&gt;"VACUUM"),"CDU",IF($H2912="FLUID CAT CRACKING","FCC",IF(OR($H2912="HYDROCRACKING",$H2912="RESID_HYDROCRACKING"),"Hydrocracker",IF($H2912="REFORMING","Reformer",""))))</f>
        <v/>
      </c>
      <c r="H2912" s="6" t="s">
        <v>378</v>
      </c>
      <c r="I2912" s="6" t="s">
        <v>431</v>
      </c>
      <c r="J2912" s="6" t="s">
        <v>349</v>
      </c>
      <c r="K2912" s="10">
        <v>36</v>
      </c>
      <c r="L2912" s="10">
        <v>36</v>
      </c>
      <c r="M2912" s="6" t="s">
        <v>371</v>
      </c>
    </row>
    <row r="2913" spans="1:13">
      <c r="A2913" s="6">
        <v>2024</v>
      </c>
      <c r="B2913" s="6">
        <v>2</v>
      </c>
      <c r="C2913" s="6" t="s">
        <v>60</v>
      </c>
      <c r="D2913" s="6" t="s">
        <v>542</v>
      </c>
      <c r="E2913" s="6" t="s">
        <v>543</v>
      </c>
      <c r="F2913" s="6" t="str">
        <f>IF($M2913="PADD I","PADD 1",IF($M2913="PADD II","PADD 2",IF($M2913="PADD III","PADD 3",IF($M2913="PADD IV","PADD 4",IF($M2913="PADD V","PADD 5","")))))</f>
        <v>PADD 2</v>
      </c>
      <c r="G2913" s="6">
        <f>IF(AND($H2913="ATMOS DISTILLATION",ISNUMBER(SEARCH("VPS",$I2913))=FALSE,LEFT($I2913,6)&lt;&gt;"VACUUM"),"CDU",IF($H2913="FLUID CAT CRACKING","FCC",IF(OR($H2913="HYDROCRACKING",$H2913="RESID_HYDROCRACKING"),"Hydrocracker",IF($H2913="REFORMING","Reformer",""))))</f>
        <v/>
      </c>
      <c r="H2913" s="6" t="s">
        <v>43</v>
      </c>
      <c r="I2913" s="6" t="s">
        <v>1006</v>
      </c>
      <c r="J2913" s="6" t="s">
        <v>345</v>
      </c>
      <c r="K2913" s="10">
        <v>36</v>
      </c>
      <c r="L2913" s="10">
        <v>36</v>
      </c>
      <c r="M2913" s="6" t="s">
        <v>375</v>
      </c>
    </row>
    <row r="2914" spans="1:13">
      <c r="A2914" s="6">
        <v>2024</v>
      </c>
      <c r="B2914" s="6">
        <v>2</v>
      </c>
      <c r="C2914" s="6" t="s">
        <v>60</v>
      </c>
      <c r="D2914" s="6" t="s">
        <v>465</v>
      </c>
      <c r="E2914" s="6" t="s">
        <v>369</v>
      </c>
      <c r="F2914" s="6" t="str">
        <f>IF($M2914="PADD I","PADD 1",IF($M2914="PADD II","PADD 2",IF($M2914="PADD III","PADD 3",IF($M2914="PADD IV","PADD 4",IF($M2914="PADD V","PADD 5","")))))</f>
        <v>PADD 5</v>
      </c>
      <c r="G2914" s="6">
        <f>IF(AND($H2914="ATMOS DISTILLATION",ISNUMBER(SEARCH("VPS",$I2914))=FALSE,LEFT($I2914,6)&lt;&gt;"VACUUM"),"CDU",IF($H2914="FLUID CAT CRACKING","FCC",IF(OR($H2914="HYDROCRACKING",$H2914="RESID_HYDROCRACKING"),"Hydrocracker",IF($H2914="REFORMING","Reformer",""))))</f>
        <v/>
      </c>
      <c r="H2914" s="6" t="s">
        <v>43</v>
      </c>
      <c r="I2914" s="6" t="s">
        <v>1116</v>
      </c>
      <c r="J2914" s="6" t="s">
        <v>349</v>
      </c>
      <c r="K2914" s="10">
        <v>35.88</v>
      </c>
      <c r="L2914" s="10">
        <v>52</v>
      </c>
      <c r="M2914" s="6" t="s">
        <v>386</v>
      </c>
    </row>
    <row r="2915" spans="1:13">
      <c r="A2915" s="6">
        <v>2024</v>
      </c>
      <c r="B2915" s="6">
        <v>2</v>
      </c>
      <c r="C2915" s="6" t="s">
        <v>60</v>
      </c>
      <c r="D2915" s="6" t="s">
        <v>429</v>
      </c>
      <c r="E2915" s="6" t="s">
        <v>388</v>
      </c>
      <c r="F2915" s="6" t="str">
        <f>IF($M2915="PADD I","PADD 1",IF($M2915="PADD II","PADD 2",IF($M2915="PADD III","PADD 3",IF($M2915="PADD IV","PADD 4",IF($M2915="PADD V","PADD 5","")))))</f>
        <v>PADD 4</v>
      </c>
      <c r="G2915" s="6" t="str">
        <f>IF(AND($H2915="ATMOS DISTILLATION",ISNUMBER(SEARCH("VPS",$I2915))=FALSE,LEFT($I2915,6)&lt;&gt;"VACUUM"),"CDU",IF($H2915="FLUID CAT CRACKING","FCC",IF(OR($H2915="HYDROCRACKING",$H2915="RESID_HYDROCRACKING"),"Hydrocracker",IF($H2915="REFORMING","Reformer",""))))</f>
        <v>CDU</v>
      </c>
      <c r="H2915" s="6" t="s">
        <v>38</v>
      </c>
      <c r="I2915" s="6" t="s">
        <v>81</v>
      </c>
      <c r="J2915" s="6" t="s">
        <v>349</v>
      </c>
      <c r="K2915" s="10">
        <v>35.2</v>
      </c>
      <c r="L2915" s="10">
        <v>64</v>
      </c>
      <c r="M2915" s="6" t="s">
        <v>430</v>
      </c>
    </row>
    <row r="2916" spans="1:13">
      <c r="A2916" s="6">
        <v>2024</v>
      </c>
      <c r="B2916" s="6">
        <v>2</v>
      </c>
      <c r="C2916" s="6" t="s">
        <v>60</v>
      </c>
      <c r="D2916" s="6" t="s">
        <v>335</v>
      </c>
      <c r="E2916" s="6" t="s">
        <v>369</v>
      </c>
      <c r="F2916" s="6" t="str">
        <f>IF($M2916="PADD I","PADD 1",IF($M2916="PADD II","PADD 2",IF($M2916="PADD III","PADD 3",IF($M2916="PADD IV","PADD 4",IF($M2916="PADD V","PADD 5","")))))</f>
        <v>PADD 3</v>
      </c>
      <c r="G2916" s="6" t="str">
        <f>IF(AND($H2916="ATMOS DISTILLATION",ISNUMBER(SEARCH("VPS",$I2916))=FALSE,LEFT($I2916,6)&lt;&gt;"VACUUM"),"CDU",IF($H2916="FLUID CAT CRACKING","FCC",IF(OR($H2916="HYDROCRACKING",$H2916="RESID_HYDROCRACKING"),"Hydrocracker",IF($H2916="REFORMING","Reformer",""))))</f>
        <v>Reformer</v>
      </c>
      <c r="H2916" s="6" t="s">
        <v>421</v>
      </c>
      <c r="I2916" s="6" t="s">
        <v>1099</v>
      </c>
      <c r="J2916" s="6" t="s">
        <v>349</v>
      </c>
      <c r="K2916" s="10">
        <v>35</v>
      </c>
      <c r="L2916" s="10">
        <v>35</v>
      </c>
      <c r="M2916" s="6" t="s">
        <v>371</v>
      </c>
    </row>
    <row r="2917" spans="1:13">
      <c r="A2917" s="6">
        <v>2024</v>
      </c>
      <c r="B2917" s="6">
        <v>2</v>
      </c>
      <c r="C2917" s="6" t="s">
        <v>60</v>
      </c>
      <c r="D2917" s="6" t="s">
        <v>446</v>
      </c>
      <c r="E2917" s="6" t="s">
        <v>391</v>
      </c>
      <c r="F2917" s="6" t="str">
        <f>IF($M2917="PADD I","PADD 1",IF($M2917="PADD II","PADD 2",IF($M2917="PADD III","PADD 3",IF($M2917="PADD IV","PADD 4",IF($M2917="PADD V","PADD 5","")))))</f>
        <v>PADD 3</v>
      </c>
      <c r="G2917" s="6">
        <f>IF(AND($H2917="ATMOS DISTILLATION",ISNUMBER(SEARCH("VPS",$I2917))=FALSE,LEFT($I2917,6)&lt;&gt;"VACUUM"),"CDU",IF($H2917="FLUID CAT CRACKING","FCC",IF(OR($H2917="HYDROCRACKING",$H2917="RESID_HYDROCRACKING"),"Hydrocracker",IF($H2917="REFORMING","Reformer",""))))</f>
        <v/>
      </c>
      <c r="H2917" s="6" t="s">
        <v>43</v>
      </c>
      <c r="I2917" s="6" t="s">
        <v>447</v>
      </c>
      <c r="J2917" s="6" t="s">
        <v>349</v>
      </c>
      <c r="K2917" s="10">
        <v>35</v>
      </c>
      <c r="L2917" s="10">
        <v>35</v>
      </c>
      <c r="M2917" s="6" t="s">
        <v>371</v>
      </c>
    </row>
    <row r="2918" spans="1:13">
      <c r="A2918" s="6">
        <v>2024</v>
      </c>
      <c r="B2918" s="6">
        <v>2</v>
      </c>
      <c r="C2918" s="6" t="s">
        <v>60</v>
      </c>
      <c r="D2918" s="6" t="s">
        <v>628</v>
      </c>
      <c r="E2918" s="6" t="s">
        <v>388</v>
      </c>
      <c r="F2918" s="6" t="str">
        <f>IF($M2918="PADD I","PADD 1",IF($M2918="PADD II","PADD 2",IF($M2918="PADD III","PADD 3",IF($M2918="PADD IV","PADD 4",IF($M2918="PADD V","PADD 5","")))))</f>
        <v>PADD 3</v>
      </c>
      <c r="G2918" s="6" t="str">
        <f>IF(AND($H2918="ATMOS DISTILLATION",ISNUMBER(SEARCH("VPS",$I2918))=FALSE,LEFT($I2918,6)&lt;&gt;"VACUUM"),"CDU",IF($H2918="FLUID CAT CRACKING","FCC",IF(OR($H2918="HYDROCRACKING",$H2918="RESID_HYDROCRACKING"),"Hydrocracker",IF($H2918="REFORMING","Reformer",""))))</f>
        <v>CDU</v>
      </c>
      <c r="H2918" s="6" t="s">
        <v>38</v>
      </c>
      <c r="I2918" s="6" t="s">
        <v>1053</v>
      </c>
      <c r="J2918" s="6" t="s">
        <v>349</v>
      </c>
      <c r="K2918" s="10">
        <v>35</v>
      </c>
      <c r="L2918" s="10">
        <v>35</v>
      </c>
      <c r="M2918" s="6" t="s">
        <v>371</v>
      </c>
    </row>
    <row r="2919" spans="1:13">
      <c r="A2919" s="6">
        <v>2024</v>
      </c>
      <c r="B2919" s="6">
        <v>2</v>
      </c>
      <c r="C2919" s="6" t="s">
        <v>60</v>
      </c>
      <c r="D2919" s="6" t="s">
        <v>448</v>
      </c>
      <c r="E2919" s="6" t="s">
        <v>391</v>
      </c>
      <c r="F2919" s="6" t="str">
        <f>IF($M2919="PADD I","PADD 1",IF($M2919="PADD II","PADD 2",IF($M2919="PADD III","PADD 3",IF($M2919="PADD IV","PADD 4",IF($M2919="PADD V","PADD 5","")))))</f>
        <v>PADD 3</v>
      </c>
      <c r="G2919" s="6">
        <f>IF(AND($H2919="ATMOS DISTILLATION",ISNUMBER(SEARCH("VPS",$I2919))=FALSE,LEFT($I2919,6)&lt;&gt;"VACUUM"),"CDU",IF($H2919="FLUID CAT CRACKING","FCC",IF(OR($H2919="HYDROCRACKING",$H2919="RESID_HYDROCRACKING"),"Hydrocracker",IF($H2919="REFORMING","Reformer",""))))</f>
        <v/>
      </c>
      <c r="H2919" s="6" t="s">
        <v>43</v>
      </c>
      <c r="I2919" s="6" t="s">
        <v>449</v>
      </c>
      <c r="J2919" s="6" t="s">
        <v>345</v>
      </c>
      <c r="K2919" s="10">
        <v>35</v>
      </c>
      <c r="L2919" s="10">
        <v>35</v>
      </c>
      <c r="M2919" s="6" t="s">
        <v>371</v>
      </c>
    </row>
    <row r="2920" spans="1:13">
      <c r="A2920" s="6">
        <v>2024</v>
      </c>
      <c r="B2920" s="6">
        <v>2</v>
      </c>
      <c r="C2920" s="6" t="s">
        <v>60</v>
      </c>
      <c r="D2920" s="6" t="s">
        <v>484</v>
      </c>
      <c r="E2920" s="6" t="s">
        <v>409</v>
      </c>
      <c r="F2920" s="6" t="str">
        <f>IF($M2920="PADD I","PADD 1",IF($M2920="PADD II","PADD 2",IF($M2920="PADD III","PADD 3",IF($M2920="PADD IV","PADD 4",IF($M2920="PADD V","PADD 5","")))))</f>
        <v>PADD 3</v>
      </c>
      <c r="G2920" s="6">
        <f>IF(AND($H2920="ATMOS DISTILLATION",ISNUMBER(SEARCH("VPS",$I2920))=FALSE,LEFT($I2920,6)&lt;&gt;"VACUUM"),"CDU",IF($H2920="FLUID CAT CRACKING","FCC",IF(OR($H2920="HYDROCRACKING",$H2920="RESID_HYDROCRACKING"),"Hydrocracker",IF($H2920="REFORMING","Reformer",""))))</f>
        <v/>
      </c>
      <c r="H2920" s="6" t="s">
        <v>43</v>
      </c>
      <c r="I2920" s="6" t="s">
        <v>485</v>
      </c>
      <c r="J2920" s="6" t="s">
        <v>345</v>
      </c>
      <c r="K2920" s="10">
        <v>34.32</v>
      </c>
      <c r="L2920" s="10">
        <v>66</v>
      </c>
      <c r="M2920" s="6" t="s">
        <v>371</v>
      </c>
    </row>
    <row r="2921" spans="1:13">
      <c r="A2921" s="6">
        <v>2024</v>
      </c>
      <c r="B2921" s="6">
        <v>2</v>
      </c>
      <c r="C2921" s="6" t="s">
        <v>60</v>
      </c>
      <c r="D2921" s="6" t="s">
        <v>408</v>
      </c>
      <c r="E2921" s="6" t="s">
        <v>409</v>
      </c>
      <c r="F2921" s="6" t="str">
        <f>IF($M2921="PADD I","PADD 1",IF($M2921="PADD II","PADD 2",IF($M2921="PADD III","PADD 3",IF($M2921="PADD IV","PADD 4",IF($M2921="PADD V","PADD 5","")))))</f>
        <v>PADD 3</v>
      </c>
      <c r="G2921" s="6" t="str">
        <f>IF(AND($H2921="ATMOS DISTILLATION",ISNUMBER(SEARCH("VPS",$I2921))=FALSE,LEFT($I2921,6)&lt;&gt;"VACUUM"),"CDU",IF($H2921="FLUID CAT CRACKING","FCC",IF(OR($H2921="HYDROCRACKING",$H2921="RESID_HYDROCRACKING"),"Hydrocracker",IF($H2921="REFORMING","Reformer",""))))</f>
        <v>FCC</v>
      </c>
      <c r="H2921" s="6" t="s">
        <v>376</v>
      </c>
      <c r="I2921" s="6" t="s">
        <v>426</v>
      </c>
      <c r="J2921" s="6" t="s">
        <v>345</v>
      </c>
      <c r="K2921" s="10">
        <v>34.2</v>
      </c>
      <c r="L2921" s="10">
        <v>76</v>
      </c>
      <c r="M2921" s="6" t="s">
        <v>371</v>
      </c>
    </row>
    <row r="2922" spans="1:13">
      <c r="A2922" s="6">
        <v>2024</v>
      </c>
      <c r="B2922" s="6">
        <v>2</v>
      </c>
      <c r="C2922" s="6" t="s">
        <v>60</v>
      </c>
      <c r="D2922" s="6" t="s">
        <v>415</v>
      </c>
      <c r="E2922" s="6" t="s">
        <v>416</v>
      </c>
      <c r="F2922" s="6" t="str">
        <f>IF($M2922="PADD I","PADD 1",IF($M2922="PADD II","PADD 2",IF($M2922="PADD III","PADD 3",IF($M2922="PADD IV","PADD 4",IF($M2922="PADD V","PADD 5","")))))</f>
        <v>PADD 3</v>
      </c>
      <c r="G2922" s="6">
        <f>IF(AND($H2922="ATMOS DISTILLATION",ISNUMBER(SEARCH("VPS",$I2922))=FALSE,LEFT($I2922,6)&lt;&gt;"VACUUM"),"CDU",IF($H2922="FLUID CAT CRACKING","FCC",IF(OR($H2922="HYDROCRACKING",$H2922="RESID_HYDROCRACKING"),"Hydrocracker",IF($H2922="REFORMING","Reformer",""))))</f>
        <v/>
      </c>
      <c r="H2922" s="6" t="s">
        <v>435</v>
      </c>
      <c r="I2922" s="6" t="s">
        <v>453</v>
      </c>
      <c r="J2922" s="6" t="s">
        <v>345</v>
      </c>
      <c r="K2922" s="10">
        <v>34</v>
      </c>
      <c r="L2922" s="10">
        <v>34</v>
      </c>
      <c r="M2922" s="6" t="s">
        <v>371</v>
      </c>
    </row>
    <row r="2923" spans="1:13">
      <c r="A2923" s="6">
        <v>2024</v>
      </c>
      <c r="B2923" s="6">
        <v>2</v>
      </c>
      <c r="C2923" s="6" t="s">
        <v>60</v>
      </c>
      <c r="D2923" s="6" t="s">
        <v>415</v>
      </c>
      <c r="E2923" s="6" t="s">
        <v>416</v>
      </c>
      <c r="F2923" s="6" t="str">
        <f>IF($M2923="PADD I","PADD 1",IF($M2923="PADD II","PADD 2",IF($M2923="PADD III","PADD 3",IF($M2923="PADD IV","PADD 4",IF($M2923="PADD V","PADD 5","")))))</f>
        <v>PADD 3</v>
      </c>
      <c r="G2923" s="6">
        <f>IF(AND($H2923="ATMOS DISTILLATION",ISNUMBER(SEARCH("VPS",$I2923))=FALSE,LEFT($I2923,6)&lt;&gt;"VACUUM"),"CDU",IF($H2923="FLUID CAT CRACKING","FCC",IF(OR($H2923="HYDROCRACKING",$H2923="RESID_HYDROCRACKING"),"Hydrocracker",IF($H2923="REFORMING","Reformer",""))))</f>
        <v/>
      </c>
      <c r="H2923" s="6" t="s">
        <v>435</v>
      </c>
      <c r="I2923" s="6" t="s">
        <v>453</v>
      </c>
      <c r="J2923" s="6" t="s">
        <v>345</v>
      </c>
      <c r="K2923" s="10">
        <v>34</v>
      </c>
      <c r="L2923" s="10">
        <v>34</v>
      </c>
      <c r="M2923" s="6" t="s">
        <v>371</v>
      </c>
    </row>
    <row r="2924" spans="1:13">
      <c r="A2924" s="6">
        <v>2024</v>
      </c>
      <c r="B2924" s="6">
        <v>2</v>
      </c>
      <c r="C2924" s="6" t="s">
        <v>60</v>
      </c>
      <c r="D2924" s="6" t="s">
        <v>390</v>
      </c>
      <c r="E2924" s="6" t="s">
        <v>391</v>
      </c>
      <c r="F2924" s="6" t="str">
        <f>IF($M2924="PADD I","PADD 1",IF($M2924="PADD II","PADD 2",IF($M2924="PADD III","PADD 3",IF($M2924="PADD IV","PADD 4",IF($M2924="PADD V","PADD 5","")))))</f>
        <v>PADD 3</v>
      </c>
      <c r="G2924" s="6" t="str">
        <f>IF(AND($H2924="ATMOS DISTILLATION",ISNUMBER(SEARCH("VPS",$I2924))=FALSE,LEFT($I2924,6)&lt;&gt;"VACUUM"),"CDU",IF($H2924="FLUID CAT CRACKING","FCC",IF(OR($H2924="HYDROCRACKING",$H2924="RESID_HYDROCRACKING"),"Hydrocracker",IF($H2924="REFORMING","Reformer",""))))</f>
        <v>Reformer</v>
      </c>
      <c r="H2924" s="6" t="s">
        <v>421</v>
      </c>
      <c r="I2924" s="6" t="s">
        <v>1117</v>
      </c>
      <c r="J2924" s="6" t="s">
        <v>345</v>
      </c>
      <c r="K2924" s="10">
        <v>32.45</v>
      </c>
      <c r="L2924" s="10">
        <v>55</v>
      </c>
      <c r="M2924" s="6" t="s">
        <v>371</v>
      </c>
    </row>
    <row r="2925" spans="1:13">
      <c r="A2925" s="6">
        <v>2024</v>
      </c>
      <c r="B2925" s="6">
        <v>2</v>
      </c>
      <c r="C2925" s="6" t="s">
        <v>60</v>
      </c>
      <c r="D2925" s="6" t="s">
        <v>457</v>
      </c>
      <c r="E2925" s="6" t="s">
        <v>388</v>
      </c>
      <c r="F2925" s="6" t="str">
        <f>IF($M2925="PADD I","PADD 1",IF($M2925="PADD II","PADD 2",IF($M2925="PADD III","PADD 3",IF($M2925="PADD IV","PADD 4",IF($M2925="PADD V","PADD 5","")))))</f>
        <v>PADD 5</v>
      </c>
      <c r="G2925" s="6">
        <f>IF(AND($H2925="ATMOS DISTILLATION",ISNUMBER(SEARCH("VPS",$I2925))=FALSE,LEFT($I2925,6)&lt;&gt;"VACUUM"),"CDU",IF($H2925="FLUID CAT CRACKING","FCC",IF(OR($H2925="HYDROCRACKING",$H2925="RESID_HYDROCRACKING"),"Hydrocracker",IF($H2925="REFORMING","Reformer",""))))</f>
        <v/>
      </c>
      <c r="H2925" s="6" t="s">
        <v>378</v>
      </c>
      <c r="I2925" s="6" t="s">
        <v>585</v>
      </c>
      <c r="J2925" s="6" t="s">
        <v>349</v>
      </c>
      <c r="K2925" s="10">
        <v>32.24</v>
      </c>
      <c r="L2925" s="10">
        <v>62</v>
      </c>
      <c r="M2925" s="6" t="s">
        <v>386</v>
      </c>
    </row>
    <row r="2926" spans="1:13">
      <c r="A2926" s="6">
        <v>2024</v>
      </c>
      <c r="B2926" s="6">
        <v>2</v>
      </c>
      <c r="C2926" s="6" t="s">
        <v>60</v>
      </c>
      <c r="D2926" s="6" t="s">
        <v>985</v>
      </c>
      <c r="E2926" s="6" t="s">
        <v>543</v>
      </c>
      <c r="F2926" s="6" t="str">
        <f>IF($M2926="PADD I","PADD 1",IF($M2926="PADD II","PADD 2",IF($M2926="PADD III","PADD 3",IF($M2926="PADD IV","PADD 4",IF($M2926="PADD V","PADD 5","")))))</f>
        <v>PADD 2</v>
      </c>
      <c r="G2926" s="6">
        <f>IF(AND($H2926="ATMOS DISTILLATION",ISNUMBER(SEARCH("VPS",$I2926))=FALSE,LEFT($I2926,6)&lt;&gt;"VACUUM"),"CDU",IF($H2926="FLUID CAT CRACKING","FCC",IF(OR($H2926="HYDROCRACKING",$H2926="RESID_HYDROCRACKING"),"Hydrocracker",IF($H2926="REFORMING","Reformer",""))))</f>
        <v/>
      </c>
      <c r="H2926" s="6" t="s">
        <v>378</v>
      </c>
      <c r="I2926" s="6" t="s">
        <v>786</v>
      </c>
      <c r="J2926" s="6" t="s">
        <v>345</v>
      </c>
      <c r="K2926" s="10">
        <v>31.3716</v>
      </c>
      <c r="L2926" s="10">
        <v>60.33</v>
      </c>
      <c r="M2926" s="6" t="s">
        <v>375</v>
      </c>
    </row>
    <row r="2927" spans="1:13">
      <c r="A2927" s="6">
        <v>2024</v>
      </c>
      <c r="B2927" s="6">
        <v>2</v>
      </c>
      <c r="C2927" s="6" t="s">
        <v>60</v>
      </c>
      <c r="D2927" s="6" t="s">
        <v>408</v>
      </c>
      <c r="E2927" s="6" t="s">
        <v>409</v>
      </c>
      <c r="F2927" s="6" t="str">
        <f>IF($M2927="PADD I","PADD 1",IF($M2927="PADD II","PADD 2",IF($M2927="PADD III","PADD 3",IF($M2927="PADD IV","PADD 4",IF($M2927="PADD V","PADD 5","")))))</f>
        <v>PADD 3</v>
      </c>
      <c r="G2927" s="6">
        <f>IF(AND($H2927="ATMOS DISTILLATION",ISNUMBER(SEARCH("VPS",$I2927))=FALSE,LEFT($I2927,6)&lt;&gt;"VACUUM"),"CDU",IF($H2927="FLUID CAT CRACKING","FCC",IF(OR($H2927="HYDROCRACKING",$H2927="RESID_HYDROCRACKING"),"Hydrocracker",IF($H2927="REFORMING","Reformer",""))))</f>
        <v/>
      </c>
      <c r="H2927" s="6" t="s">
        <v>435</v>
      </c>
      <c r="I2927" s="6" t="s">
        <v>459</v>
      </c>
      <c r="J2927" s="6" t="s">
        <v>345</v>
      </c>
      <c r="K2927" s="10">
        <v>31.2</v>
      </c>
      <c r="L2927" s="10">
        <v>60</v>
      </c>
      <c r="M2927" s="6" t="s">
        <v>371</v>
      </c>
    </row>
    <row r="2928" spans="1:13">
      <c r="A2928" s="6">
        <v>2024</v>
      </c>
      <c r="B2928" s="6">
        <v>2</v>
      </c>
      <c r="C2928" s="6" t="s">
        <v>60</v>
      </c>
      <c r="D2928" s="6" t="s">
        <v>333</v>
      </c>
      <c r="E2928" s="6" t="s">
        <v>381</v>
      </c>
      <c r="F2928" s="6" t="str">
        <f>IF($M2928="PADD I","PADD 1",IF($M2928="PADD II","PADD 2",IF($M2928="PADD III","PADD 3",IF($M2928="PADD IV","PADD 4",IF($M2928="PADD V","PADD 5","")))))</f>
        <v>PADD 3</v>
      </c>
      <c r="G2928" s="6" t="str">
        <f>IF(AND($H2928="ATMOS DISTILLATION",ISNUMBER(SEARCH("VPS",$I2928))=FALSE,LEFT($I2928,6)&lt;&gt;"VACUUM"),"CDU",IF($H2928="FLUID CAT CRACKING","FCC",IF(OR($H2928="HYDROCRACKING",$H2928="RESID_HYDROCRACKING"),"Hydrocracker",IF($H2928="REFORMING","Reformer",""))))</f>
        <v>Reformer</v>
      </c>
      <c r="H2928" s="6" t="s">
        <v>421</v>
      </c>
      <c r="I2928" s="6" t="s">
        <v>1118</v>
      </c>
      <c r="J2928" s="6" t="s">
        <v>345</v>
      </c>
      <c r="K2928" s="10">
        <v>30.75</v>
      </c>
      <c r="L2928" s="10">
        <v>75</v>
      </c>
      <c r="M2928" s="6" t="s">
        <v>371</v>
      </c>
    </row>
    <row r="2929" spans="1:13">
      <c r="A2929" s="6">
        <v>2024</v>
      </c>
      <c r="B2929" s="6">
        <v>2</v>
      </c>
      <c r="C2929" s="6" t="s">
        <v>60</v>
      </c>
      <c r="D2929" s="6" t="s">
        <v>628</v>
      </c>
      <c r="E2929" s="6" t="s">
        <v>388</v>
      </c>
      <c r="F2929" s="6" t="str">
        <f>IF($M2929="PADD I","PADD 1",IF($M2929="PADD II","PADD 2",IF($M2929="PADD III","PADD 3",IF($M2929="PADD IV","PADD 4",IF($M2929="PADD V","PADD 5","")))))</f>
        <v>PADD 3</v>
      </c>
      <c r="G2929" s="6">
        <f>IF(AND($H2929="ATMOS DISTILLATION",ISNUMBER(SEARCH("VPS",$I2929))=FALSE,LEFT($I2929,6)&lt;&gt;"VACUUM"),"CDU",IF($H2929="FLUID CAT CRACKING","FCC",IF(OR($H2929="HYDROCRACKING",$H2929="RESID_HYDROCRACKING"),"Hydrocracker",IF($H2929="REFORMING","Reformer",""))))</f>
        <v/>
      </c>
      <c r="H2929" s="6" t="s">
        <v>43</v>
      </c>
      <c r="I2929" s="6" t="s">
        <v>464</v>
      </c>
      <c r="J2929" s="6" t="s">
        <v>349</v>
      </c>
      <c r="K2929" s="10">
        <v>30</v>
      </c>
      <c r="L2929" s="10">
        <v>30</v>
      </c>
      <c r="M2929" s="6" t="s">
        <v>371</v>
      </c>
    </row>
    <row r="2930" spans="1:13">
      <c r="A2930" s="6">
        <v>2024</v>
      </c>
      <c r="B2930" s="6">
        <v>2</v>
      </c>
      <c r="C2930" s="6" t="s">
        <v>60</v>
      </c>
      <c r="D2930" s="6" t="s">
        <v>415</v>
      </c>
      <c r="E2930" s="6" t="s">
        <v>416</v>
      </c>
      <c r="F2930" s="6" t="str">
        <f>IF($M2930="PADD I","PADD 1",IF($M2930="PADD II","PADD 2",IF($M2930="PADD III","PADD 3",IF($M2930="PADD IV","PADD 4",IF($M2930="PADD V","PADD 5","")))))</f>
        <v>PADD 3</v>
      </c>
      <c r="G2930" s="6" t="str">
        <f>IF(AND($H2930="ATMOS DISTILLATION",ISNUMBER(SEARCH("VPS",$I2930))=FALSE,LEFT($I2930,6)&lt;&gt;"VACUUM"),"CDU",IF($H2930="FLUID CAT CRACKING","FCC",IF(OR($H2930="HYDROCRACKING",$H2930="RESID_HYDROCRACKING"),"Hydrocracker",IF($H2930="REFORMING","Reformer",""))))</f>
        <v>Reformer</v>
      </c>
      <c r="H2930" s="6" t="s">
        <v>421</v>
      </c>
      <c r="I2930" s="6" t="s">
        <v>454</v>
      </c>
      <c r="J2930" s="6" t="s">
        <v>345</v>
      </c>
      <c r="K2930" s="10">
        <v>29.26</v>
      </c>
      <c r="L2930" s="10">
        <v>53.2</v>
      </c>
      <c r="M2930" s="6" t="s">
        <v>371</v>
      </c>
    </row>
    <row r="2931" spans="1:13">
      <c r="A2931" s="6">
        <v>2024</v>
      </c>
      <c r="B2931" s="6">
        <v>2</v>
      </c>
      <c r="C2931" s="6" t="s">
        <v>60</v>
      </c>
      <c r="D2931" s="6" t="s">
        <v>440</v>
      </c>
      <c r="E2931" s="6" t="s">
        <v>369</v>
      </c>
      <c r="F2931" s="6" t="str">
        <f>IF($M2931="PADD I","PADD 1",IF($M2931="PADD II","PADD 2",IF($M2931="PADD III","PADD 3",IF($M2931="PADD IV","PADD 4",IF($M2931="PADD V","PADD 5","")))))</f>
        <v>PADD 5</v>
      </c>
      <c r="G2931" s="6">
        <f>IF(AND($H2931="ATMOS DISTILLATION",ISNUMBER(SEARCH("VPS",$I2931))=FALSE,LEFT($I2931,6)&lt;&gt;"VACUUM"),"CDU",IF($H2931="FLUID CAT CRACKING","FCC",IF(OR($H2931="HYDROCRACKING",$H2931="RESID_HYDROCRACKING"),"Hydrocracker",IF($H2931="REFORMING","Reformer",""))))</f>
        <v/>
      </c>
      <c r="H2931" s="6" t="s">
        <v>435</v>
      </c>
      <c r="I2931" s="6" t="s">
        <v>441</v>
      </c>
      <c r="J2931" s="6" t="s">
        <v>345</v>
      </c>
      <c r="K2931" s="10">
        <v>29.15</v>
      </c>
      <c r="L2931" s="10">
        <v>53</v>
      </c>
      <c r="M2931" s="6" t="s">
        <v>386</v>
      </c>
    </row>
    <row r="2932" spans="1:13">
      <c r="A2932" s="6">
        <v>2024</v>
      </c>
      <c r="B2932" s="6">
        <v>2</v>
      </c>
      <c r="C2932" s="6" t="s">
        <v>60</v>
      </c>
      <c r="D2932" s="6" t="s">
        <v>542</v>
      </c>
      <c r="E2932" s="6" t="s">
        <v>543</v>
      </c>
      <c r="F2932" s="6" t="str">
        <f>IF($M2932="PADD I","PADD 1",IF($M2932="PADD II","PADD 2",IF($M2932="PADD III","PADD 3",IF($M2932="PADD IV","PADD 4",IF($M2932="PADD V","PADD 5","")))))</f>
        <v>PADD 2</v>
      </c>
      <c r="G2932" s="6">
        <f>IF(AND($H2932="ATMOS DISTILLATION",ISNUMBER(SEARCH("VPS",$I2932))=FALSE,LEFT($I2932,6)&lt;&gt;"VACUUM"),"CDU",IF($H2932="FLUID CAT CRACKING","FCC",IF(OR($H2932="HYDROCRACKING",$H2932="RESID_HYDROCRACKING"),"Hydrocracker",IF($H2932="REFORMING","Reformer",""))))</f>
        <v/>
      </c>
      <c r="H2932" s="6" t="s">
        <v>460</v>
      </c>
      <c r="I2932" s="6" t="s">
        <v>461</v>
      </c>
      <c r="J2932" s="6" t="s">
        <v>345</v>
      </c>
      <c r="K2932" s="10">
        <v>29</v>
      </c>
      <c r="L2932" s="10">
        <v>29</v>
      </c>
      <c r="M2932" s="6" t="s">
        <v>375</v>
      </c>
    </row>
    <row r="2933" spans="1:13">
      <c r="A2933" s="6">
        <v>2024</v>
      </c>
      <c r="B2933" s="6">
        <v>2</v>
      </c>
      <c r="C2933" s="6" t="s">
        <v>60</v>
      </c>
      <c r="D2933" s="6" t="s">
        <v>531</v>
      </c>
      <c r="E2933" s="6" t="s">
        <v>532</v>
      </c>
      <c r="F2933" s="6" t="str">
        <f>IF($M2933="PADD I","PADD 1",IF($M2933="PADD II","PADD 2",IF($M2933="PADD III","PADD 3",IF($M2933="PADD IV","PADD 4",IF($M2933="PADD V","PADD 5","")))))</f>
        <v>PADD 5</v>
      </c>
      <c r="G2933" s="6">
        <f>IF(AND($H2933="ATMOS DISTILLATION",ISNUMBER(SEARCH("VPS",$I2933))=FALSE,LEFT($I2933,6)&lt;&gt;"VACUUM"),"CDU",IF($H2933="FLUID CAT CRACKING","FCC",IF(OR($H2933="HYDROCRACKING",$H2933="RESID_HYDROCRACKING"),"Hydrocracker",IF($H2933="REFORMING","Reformer",""))))</f>
        <v/>
      </c>
      <c r="H2933" s="6" t="s">
        <v>43</v>
      </c>
      <c r="I2933" s="6" t="s">
        <v>567</v>
      </c>
      <c r="J2933" s="6" t="s">
        <v>345</v>
      </c>
      <c r="K2933" s="10">
        <v>28.875</v>
      </c>
      <c r="L2933" s="10">
        <v>52.5</v>
      </c>
      <c r="M2933" s="6" t="s">
        <v>386</v>
      </c>
    </row>
    <row r="2934" spans="1:13">
      <c r="A2934" s="6">
        <v>2024</v>
      </c>
      <c r="B2934" s="6">
        <v>2</v>
      </c>
      <c r="C2934" s="6" t="s">
        <v>60</v>
      </c>
      <c r="D2934" s="6" t="s">
        <v>563</v>
      </c>
      <c r="E2934" s="6" t="s">
        <v>396</v>
      </c>
      <c r="F2934" s="6" t="str">
        <f>IF($M2934="PADD I","PADD 1",IF($M2934="PADD II","PADD 2",IF($M2934="PADD III","PADD 3",IF($M2934="PADD IV","PADD 4",IF($M2934="PADD V","PADD 5","")))))</f>
        <v>PADD 3</v>
      </c>
      <c r="G2934" s="6">
        <f>IF(AND($H2934="ATMOS DISTILLATION",ISNUMBER(SEARCH("VPS",$I2934))=FALSE,LEFT($I2934,6)&lt;&gt;"VACUUM"),"CDU",IF($H2934="FLUID CAT CRACKING","FCC",IF(OR($H2934="HYDROCRACKING",$H2934="RESID_HYDROCRACKING"),"Hydrocracker",IF($H2934="REFORMING","Reformer",""))))</f>
        <v/>
      </c>
      <c r="H2934" s="6" t="s">
        <v>43</v>
      </c>
      <c r="I2934" s="6" t="s">
        <v>564</v>
      </c>
      <c r="J2934" s="6" t="s">
        <v>345</v>
      </c>
      <c r="K2934" s="10">
        <v>28.221</v>
      </c>
      <c r="L2934" s="10">
        <v>40.9</v>
      </c>
      <c r="M2934" s="6" t="s">
        <v>371</v>
      </c>
    </row>
    <row r="2935" spans="1:13">
      <c r="A2935" s="6">
        <v>2024</v>
      </c>
      <c r="B2935" s="6">
        <v>2</v>
      </c>
      <c r="C2935" s="6" t="s">
        <v>60</v>
      </c>
      <c r="D2935" s="6" t="s">
        <v>547</v>
      </c>
      <c r="E2935" s="6" t="s">
        <v>391</v>
      </c>
      <c r="F2935" s="6" t="str">
        <f>IF($M2935="PADD I","PADD 1",IF($M2935="PADD II","PADD 2",IF($M2935="PADD III","PADD 3",IF($M2935="PADD IV","PADD 4",IF($M2935="PADD V","PADD 5","")))))</f>
        <v>PADD 5</v>
      </c>
      <c r="G2935" s="6" t="str">
        <f>IF(AND($H2935="ATMOS DISTILLATION",ISNUMBER(SEARCH("VPS",$I2935))=FALSE,LEFT($I2935,6)&lt;&gt;"VACUUM"),"CDU",IF($H2935="FLUID CAT CRACKING","FCC",IF(OR($H2935="HYDROCRACKING",$H2935="RESID_HYDROCRACKING"),"Hydrocracker",IF($H2935="REFORMING","Reformer",""))))</f>
        <v>Reformer</v>
      </c>
      <c r="H2935" s="6" t="s">
        <v>421</v>
      </c>
      <c r="I2935" s="6" t="s">
        <v>548</v>
      </c>
      <c r="J2935" s="6" t="s">
        <v>345</v>
      </c>
      <c r="K2935" s="10">
        <v>28</v>
      </c>
      <c r="L2935" s="10">
        <v>28</v>
      </c>
      <c r="M2935" s="6" t="s">
        <v>386</v>
      </c>
    </row>
    <row r="2936" spans="1:13">
      <c r="A2936" s="6">
        <v>2024</v>
      </c>
      <c r="B2936" s="6">
        <v>2</v>
      </c>
      <c r="C2936" s="6" t="s">
        <v>60</v>
      </c>
      <c r="D2936" s="6" t="s">
        <v>542</v>
      </c>
      <c r="E2936" s="6" t="s">
        <v>543</v>
      </c>
      <c r="F2936" s="6" t="str">
        <f>IF($M2936="PADD I","PADD 1",IF($M2936="PADD II","PADD 2",IF($M2936="PADD III","PADD 3",IF($M2936="PADD IV","PADD 4",IF($M2936="PADD V","PADD 5","")))))</f>
        <v>PADD 2</v>
      </c>
      <c r="G2936" s="6">
        <f>IF(AND($H2936="ATMOS DISTILLATION",ISNUMBER(SEARCH("VPS",$I2936))=FALSE,LEFT($I2936,6)&lt;&gt;"VACUUM"),"CDU",IF($H2936="FLUID CAT CRACKING","FCC",IF(OR($H2936="HYDROCRACKING",$H2936="RESID_HYDROCRACKING"),"Hydrocracker",IF($H2936="REFORMING","Reformer",""))))</f>
        <v/>
      </c>
      <c r="H2936" s="6" t="s">
        <v>43</v>
      </c>
      <c r="I2936" s="6" t="s">
        <v>551</v>
      </c>
      <c r="J2936" s="6" t="s">
        <v>345</v>
      </c>
      <c r="K2936" s="10">
        <v>28</v>
      </c>
      <c r="L2936" s="10">
        <v>100</v>
      </c>
      <c r="M2936" s="6" t="s">
        <v>375</v>
      </c>
    </row>
    <row r="2937" spans="1:13">
      <c r="A2937" s="6">
        <v>2024</v>
      </c>
      <c r="B2937" s="6">
        <v>2</v>
      </c>
      <c r="C2937" s="6" t="s">
        <v>60</v>
      </c>
      <c r="D2937" s="6" t="s">
        <v>542</v>
      </c>
      <c r="E2937" s="6" t="s">
        <v>543</v>
      </c>
      <c r="F2937" s="6" t="str">
        <f>IF($M2937="PADD I","PADD 1",IF($M2937="PADD II","PADD 2",IF($M2937="PADD III","PADD 3",IF($M2937="PADD IV","PADD 4",IF($M2937="PADD V","PADD 5","")))))</f>
        <v>PADD 2</v>
      </c>
      <c r="G2937" s="6">
        <f>IF(AND($H2937="ATMOS DISTILLATION",ISNUMBER(SEARCH("VPS",$I2937))=FALSE,LEFT($I2937,6)&lt;&gt;"VACUUM"),"CDU",IF($H2937="FLUID CAT CRACKING","FCC",IF(OR($H2937="HYDROCRACKING",$H2937="RESID_HYDROCRACKING"),"Hydrocracker",IF($H2937="REFORMING","Reformer",""))))</f>
        <v/>
      </c>
      <c r="H2937" s="6" t="s">
        <v>568</v>
      </c>
      <c r="I2937" s="6" t="s">
        <v>604</v>
      </c>
      <c r="J2937" s="6" t="s">
        <v>345</v>
      </c>
      <c r="K2937" s="10">
        <v>27.9</v>
      </c>
      <c r="L2937" s="10">
        <v>27.9</v>
      </c>
      <c r="M2937" s="6" t="s">
        <v>375</v>
      </c>
    </row>
    <row r="2938" spans="1:13">
      <c r="A2938" s="6">
        <v>2024</v>
      </c>
      <c r="B2938" s="6">
        <v>2</v>
      </c>
      <c r="C2938" s="6" t="s">
        <v>60</v>
      </c>
      <c r="D2938" s="6" t="s">
        <v>518</v>
      </c>
      <c r="E2938" s="6" t="s">
        <v>369</v>
      </c>
      <c r="F2938" s="6" t="str">
        <f>IF($M2938="PADD I","PADD 1",IF($M2938="PADD II","PADD 2",IF($M2938="PADD III","PADD 3",IF($M2938="PADD IV","PADD 4",IF($M2938="PADD V","PADD 5","")))))</f>
        <v>PADD 5</v>
      </c>
      <c r="G2938" s="6" t="str">
        <f>IF(AND($H2938="ATMOS DISTILLATION",ISNUMBER(SEARCH("VPS",$I2938))=FALSE,LEFT($I2938,6)&lt;&gt;"VACUUM"),"CDU",IF($H2938="FLUID CAT CRACKING","FCC",IF(OR($H2938="HYDROCRACKING",$H2938="RESID_HYDROCRACKING"),"Hydrocracker",IF($H2938="REFORMING","Reformer",""))))</f>
        <v>CDU</v>
      </c>
      <c r="H2938" s="6" t="s">
        <v>38</v>
      </c>
      <c r="I2938" s="6" t="s">
        <v>519</v>
      </c>
      <c r="J2938" s="6" t="s">
        <v>345</v>
      </c>
      <c r="K2938" s="10">
        <v>27.5</v>
      </c>
      <c r="L2938" s="10">
        <v>50</v>
      </c>
      <c r="M2938" s="6" t="s">
        <v>386</v>
      </c>
    </row>
    <row r="2939" spans="1:13">
      <c r="A2939" s="6">
        <v>2024</v>
      </c>
      <c r="B2939" s="6">
        <v>2</v>
      </c>
      <c r="C2939" s="6" t="s">
        <v>60</v>
      </c>
      <c r="D2939" s="6" t="s">
        <v>457</v>
      </c>
      <c r="E2939" s="6" t="s">
        <v>388</v>
      </c>
      <c r="F2939" s="6" t="str">
        <f>IF($M2939="PADD I","PADD 1",IF($M2939="PADD II","PADD 2",IF($M2939="PADD III","PADD 3",IF($M2939="PADD IV","PADD 4",IF($M2939="PADD V","PADD 5","")))))</f>
        <v>PADD 5</v>
      </c>
      <c r="G2939" s="6">
        <f>IF(AND($H2939="ATMOS DISTILLATION",ISNUMBER(SEARCH("VPS",$I2939))=FALSE,LEFT($I2939,6)&lt;&gt;"VACUUM"),"CDU",IF($H2939="FLUID CAT CRACKING","FCC",IF(OR($H2939="HYDROCRACKING",$H2939="RESID_HYDROCRACKING"),"Hydrocracker",IF($H2939="REFORMING","Reformer",""))))</f>
        <v/>
      </c>
      <c r="H2939" s="6" t="s">
        <v>43</v>
      </c>
      <c r="I2939" s="6" t="s">
        <v>1073</v>
      </c>
      <c r="J2939" s="6" t="s">
        <v>349</v>
      </c>
      <c r="K2939" s="10">
        <v>27.3</v>
      </c>
      <c r="L2939" s="10">
        <v>52.5</v>
      </c>
      <c r="M2939" s="6" t="s">
        <v>386</v>
      </c>
    </row>
    <row r="2940" spans="1:13">
      <c r="A2940" s="6">
        <v>2024</v>
      </c>
      <c r="B2940" s="6">
        <v>2</v>
      </c>
      <c r="C2940" s="6" t="s">
        <v>60</v>
      </c>
      <c r="D2940" s="6" t="s">
        <v>457</v>
      </c>
      <c r="E2940" s="6" t="s">
        <v>388</v>
      </c>
      <c r="F2940" s="6" t="str">
        <f>IF($M2940="PADD I","PADD 1",IF($M2940="PADD II","PADD 2",IF($M2940="PADD III","PADD 3",IF($M2940="PADD IV","PADD 4",IF($M2940="PADD V","PADD 5","")))))</f>
        <v>PADD 5</v>
      </c>
      <c r="G2940" s="6" t="str">
        <f>IF(AND($H2940="ATMOS DISTILLATION",ISNUMBER(SEARCH("VPS",$I2940))=FALSE,LEFT($I2940,6)&lt;&gt;"VACUUM"),"CDU",IF($H2940="FLUID CAT CRACKING","FCC",IF(OR($H2940="HYDROCRACKING",$H2940="RESID_HYDROCRACKING"),"Hydrocracker",IF($H2940="REFORMING","Reformer",""))))</f>
        <v>FCC</v>
      </c>
      <c r="H2940" s="6" t="s">
        <v>376</v>
      </c>
      <c r="I2940" s="6" t="s">
        <v>105</v>
      </c>
      <c r="J2940" s="6" t="s">
        <v>349</v>
      </c>
      <c r="K2940" s="10">
        <v>27.04</v>
      </c>
      <c r="L2940" s="10">
        <v>52</v>
      </c>
      <c r="M2940" s="6" t="s">
        <v>386</v>
      </c>
    </row>
    <row r="2941" spans="1:13">
      <c r="A2941" s="6">
        <v>2024</v>
      </c>
      <c r="B2941" s="6">
        <v>2</v>
      </c>
      <c r="C2941" s="6" t="s">
        <v>60</v>
      </c>
      <c r="D2941" s="6" t="s">
        <v>531</v>
      </c>
      <c r="E2941" s="6" t="s">
        <v>532</v>
      </c>
      <c r="F2941" s="6" t="str">
        <f>IF($M2941="PADD I","PADD 1",IF($M2941="PADD II","PADD 2",IF($M2941="PADD III","PADD 3",IF($M2941="PADD IV","PADD 4",IF($M2941="PADD V","PADD 5","")))))</f>
        <v>PADD 5</v>
      </c>
      <c r="G2941" s="6">
        <f>IF(AND($H2941="ATMOS DISTILLATION",ISNUMBER(SEARCH("VPS",$I2941))=FALSE,LEFT($I2941,6)&lt;&gt;"VACUUM"),"CDU",IF($H2941="FLUID CAT CRACKING","FCC",IF(OR($H2941="HYDROCRACKING",$H2941="RESID_HYDROCRACKING"),"Hydrocracker",IF($H2941="REFORMING","Reformer",""))))</f>
        <v/>
      </c>
      <c r="H2941" s="6" t="s">
        <v>378</v>
      </c>
      <c r="I2941" s="6" t="s">
        <v>379</v>
      </c>
      <c r="J2941" s="6" t="s">
        <v>345</v>
      </c>
      <c r="K2941" s="10">
        <v>26.95</v>
      </c>
      <c r="L2941" s="10">
        <v>49</v>
      </c>
      <c r="M2941" s="6" t="s">
        <v>386</v>
      </c>
    </row>
    <row r="2942" spans="1:13">
      <c r="A2942" s="6">
        <v>2024</v>
      </c>
      <c r="B2942" s="6">
        <v>2</v>
      </c>
      <c r="C2942" s="6" t="s">
        <v>60</v>
      </c>
      <c r="D2942" s="6" t="s">
        <v>324</v>
      </c>
      <c r="E2942" s="6" t="s">
        <v>388</v>
      </c>
      <c r="F2942" s="6" t="str">
        <f>IF($M2942="PADD I","PADD 1",IF($M2942="PADD II","PADD 2",IF($M2942="PADD III","PADD 3",IF($M2942="PADD IV","PADD 4",IF($M2942="PADD V","PADD 5","")))))</f>
        <v>PADD 3</v>
      </c>
      <c r="G2942" s="6">
        <f>IF(AND($H2942="ATMOS DISTILLATION",ISNUMBER(SEARCH("VPS",$I2942))=FALSE,LEFT($I2942,6)&lt;&gt;"VACUUM"),"CDU",IF($H2942="FLUID CAT CRACKING","FCC",IF(OR($H2942="HYDROCRACKING",$H2942="RESID_HYDROCRACKING"),"Hydrocracker",IF($H2942="REFORMING","Reformer",""))))</f>
        <v/>
      </c>
      <c r="H2942" s="6" t="s">
        <v>378</v>
      </c>
      <c r="I2942" s="6" t="s">
        <v>1092</v>
      </c>
      <c r="J2942" s="6" t="s">
        <v>349</v>
      </c>
      <c r="K2942" s="10">
        <v>26.07</v>
      </c>
      <c r="L2942" s="10">
        <v>33</v>
      </c>
      <c r="M2942" s="6" t="s">
        <v>371</v>
      </c>
    </row>
    <row r="2943" spans="1:13">
      <c r="A2943" s="6">
        <v>2024</v>
      </c>
      <c r="B2943" s="6">
        <v>2</v>
      </c>
      <c r="C2943" s="6" t="s">
        <v>60</v>
      </c>
      <c r="D2943" s="6" t="s">
        <v>1119</v>
      </c>
      <c r="E2943" s="6" t="s">
        <v>1120</v>
      </c>
      <c r="F2943" s="6" t="str">
        <f>IF($M2943="PADD I","PADD 1",IF($M2943="PADD II","PADD 2",IF($M2943="PADD III","PADD 3",IF($M2943="PADD IV","PADD 4",IF($M2943="PADD V","PADD 5","")))))</f>
        <v>PADD 3</v>
      </c>
      <c r="G2943" s="6" t="str">
        <f>IF(AND($H2943="ATMOS DISTILLATION",ISNUMBER(SEARCH("VPS",$I2943))=FALSE,LEFT($I2943,6)&lt;&gt;"VACUUM"),"CDU",IF($H2943="FLUID CAT CRACKING","FCC",IF(OR($H2943="HYDROCRACKING",$H2943="RESID_HYDROCRACKING"),"Hydrocracker",IF($H2943="REFORMING","Reformer",""))))</f>
        <v>CDU</v>
      </c>
      <c r="H2943" s="6" t="s">
        <v>38</v>
      </c>
      <c r="I2943" s="6" t="s">
        <v>1121</v>
      </c>
      <c r="J2943" s="6" t="s">
        <v>349</v>
      </c>
      <c r="K2943" s="10">
        <v>26</v>
      </c>
      <c r="L2943" s="10">
        <v>50</v>
      </c>
      <c r="M2943" s="6" t="s">
        <v>371</v>
      </c>
    </row>
    <row r="2944" spans="1:13">
      <c r="A2944" s="6">
        <v>2024</v>
      </c>
      <c r="B2944" s="6">
        <v>2</v>
      </c>
      <c r="C2944" s="6" t="s">
        <v>60</v>
      </c>
      <c r="D2944" s="6" t="s">
        <v>408</v>
      </c>
      <c r="E2944" s="6" t="s">
        <v>409</v>
      </c>
      <c r="F2944" s="6" t="str">
        <f>IF($M2944="PADD I","PADD 1",IF($M2944="PADD II","PADD 2",IF($M2944="PADD III","PADD 3",IF($M2944="PADD IV","PADD 4",IF($M2944="PADD V","PADD 5","")))))</f>
        <v>PADD 3</v>
      </c>
      <c r="G2944" s="6">
        <f>IF(AND($H2944="ATMOS DISTILLATION",ISNUMBER(SEARCH("VPS",$I2944))=FALSE,LEFT($I2944,6)&lt;&gt;"VACUUM"),"CDU",IF($H2944="FLUID CAT CRACKING","FCC",IF(OR($H2944="HYDROCRACKING",$H2944="RESID_HYDROCRACKING"),"Hydrocracker",IF($H2944="REFORMING","Reformer",""))))</f>
        <v/>
      </c>
      <c r="H2944" s="6" t="s">
        <v>378</v>
      </c>
      <c r="I2944" s="6" t="s">
        <v>506</v>
      </c>
      <c r="J2944" s="6" t="s">
        <v>345</v>
      </c>
      <c r="K2944" s="10">
        <v>24.96</v>
      </c>
      <c r="L2944" s="10">
        <v>52</v>
      </c>
      <c r="M2944" s="6" t="s">
        <v>371</v>
      </c>
    </row>
    <row r="2945" spans="1:13">
      <c r="A2945" s="6">
        <v>2024</v>
      </c>
      <c r="B2945" s="6">
        <v>2</v>
      </c>
      <c r="C2945" s="6" t="s">
        <v>60</v>
      </c>
      <c r="D2945" s="6" t="s">
        <v>329</v>
      </c>
      <c r="E2945" s="6" t="s">
        <v>427</v>
      </c>
      <c r="F2945" s="6" t="str">
        <f>IF($M2945="PADD I","PADD 1",IF($M2945="PADD II","PADD 2",IF($M2945="PADD III","PADD 3",IF($M2945="PADD IV","PADD 4",IF($M2945="PADD V","PADD 5","")))))</f>
        <v>PADD 3</v>
      </c>
      <c r="G2945" s="6">
        <f>IF(AND($H2945="ATMOS DISTILLATION",ISNUMBER(SEARCH("VPS",$I2945))=FALSE,LEFT($I2945,6)&lt;&gt;"VACUUM"),"CDU",IF($H2945="FLUID CAT CRACKING","FCC",IF(OR($H2945="HYDROCRACKING",$H2945="RESID_HYDROCRACKING"),"Hydrocracker",IF($H2945="REFORMING","Reformer",""))))</f>
        <v/>
      </c>
      <c r="H2945" s="6" t="s">
        <v>378</v>
      </c>
      <c r="I2945" s="6" t="s">
        <v>964</v>
      </c>
      <c r="J2945" s="6" t="s">
        <v>345</v>
      </c>
      <c r="K2945" s="10">
        <v>24.8</v>
      </c>
      <c r="L2945" s="10">
        <v>40</v>
      </c>
      <c r="M2945" s="6" t="s">
        <v>371</v>
      </c>
    </row>
    <row r="2946" spans="1:13">
      <c r="A2946" s="6">
        <v>2024</v>
      </c>
      <c r="B2946" s="6">
        <v>2</v>
      </c>
      <c r="C2946" s="6" t="s">
        <v>60</v>
      </c>
      <c r="D2946" s="6" t="s">
        <v>333</v>
      </c>
      <c r="E2946" s="6" t="s">
        <v>381</v>
      </c>
      <c r="F2946" s="6" t="str">
        <f>IF($M2946="PADD I","PADD 1",IF($M2946="PADD II","PADD 2",IF($M2946="PADD III","PADD 3",IF($M2946="PADD IV","PADD 4",IF($M2946="PADD V","PADD 5","")))))</f>
        <v>PADD 3</v>
      </c>
      <c r="G2946" s="6">
        <f>IF(AND($H2946="ATMOS DISTILLATION",ISNUMBER(SEARCH("VPS",$I2946))=FALSE,LEFT($I2946,6)&lt;&gt;"VACUUM"),"CDU",IF($H2946="FLUID CAT CRACKING","FCC",IF(OR($H2946="HYDROCRACKING",$H2946="RESID_HYDROCRACKING"),"Hydrocracker",IF($H2946="REFORMING","Reformer",""))))</f>
        <v/>
      </c>
      <c r="H2946" s="6" t="s">
        <v>43</v>
      </c>
      <c r="I2946" s="6" t="s">
        <v>784</v>
      </c>
      <c r="J2946" s="6" t="s">
        <v>349</v>
      </c>
      <c r="K2946" s="10">
        <v>24.75</v>
      </c>
      <c r="L2946" s="10">
        <v>45</v>
      </c>
      <c r="M2946" s="6" t="s">
        <v>371</v>
      </c>
    </row>
    <row r="2947" spans="1:13">
      <c r="A2947" s="6">
        <v>2024</v>
      </c>
      <c r="B2947" s="6">
        <v>2</v>
      </c>
      <c r="C2947" s="6" t="s">
        <v>60</v>
      </c>
      <c r="D2947" s="6" t="s">
        <v>333</v>
      </c>
      <c r="E2947" s="6" t="s">
        <v>381</v>
      </c>
      <c r="F2947" s="6" t="str">
        <f>IF($M2947="PADD I","PADD 1",IF($M2947="PADD II","PADD 2",IF($M2947="PADD III","PADD 3",IF($M2947="PADD IV","PADD 4",IF($M2947="PADD V","PADD 5","")))))</f>
        <v>PADD 3</v>
      </c>
      <c r="G2947" s="6" t="str">
        <f>IF(AND($H2947="ATMOS DISTILLATION",ISNUMBER(SEARCH("VPS",$I2947))=FALSE,LEFT($I2947,6)&lt;&gt;"VACUUM"),"CDU",IF($H2947="FLUID CAT CRACKING","FCC",IF(OR($H2947="HYDROCRACKING",$H2947="RESID_HYDROCRACKING"),"Hydrocracker",IF($H2947="REFORMING","Reformer",""))))</f>
        <v>Hydrocracker</v>
      </c>
      <c r="H2947" s="6" t="s">
        <v>444</v>
      </c>
      <c r="I2947" s="6" t="s">
        <v>14</v>
      </c>
      <c r="J2947" s="6" t="s">
        <v>345</v>
      </c>
      <c r="K2947" s="10">
        <v>24.7</v>
      </c>
      <c r="L2947" s="10">
        <v>65</v>
      </c>
      <c r="M2947" s="6" t="s">
        <v>371</v>
      </c>
    </row>
    <row r="2948" spans="1:13">
      <c r="A2948" s="6">
        <v>2024</v>
      </c>
      <c r="B2948" s="6">
        <v>2</v>
      </c>
      <c r="C2948" s="6" t="s">
        <v>60</v>
      </c>
      <c r="D2948" s="6" t="s">
        <v>415</v>
      </c>
      <c r="E2948" s="6" t="s">
        <v>416</v>
      </c>
      <c r="F2948" s="6" t="str">
        <f>IF($M2948="PADD I","PADD 1",IF($M2948="PADD II","PADD 2",IF($M2948="PADD III","PADD 3",IF($M2948="PADD IV","PADD 4",IF($M2948="PADD V","PADD 5","")))))</f>
        <v>PADD 3</v>
      </c>
      <c r="G2948" s="6" t="str">
        <f>IF(AND($H2948="ATMOS DISTILLATION",ISNUMBER(SEARCH("VPS",$I2948))=FALSE,LEFT($I2948,6)&lt;&gt;"VACUUM"),"CDU",IF($H2948="FLUID CAT CRACKING","FCC",IF(OR($H2948="HYDROCRACKING",$H2948="RESID_HYDROCRACKING"),"Hydrocracker",IF($H2948="REFORMING","Reformer",""))))</f>
        <v>FCC</v>
      </c>
      <c r="H2948" s="6" t="s">
        <v>376</v>
      </c>
      <c r="I2948" s="6" t="s">
        <v>1122</v>
      </c>
      <c r="J2948" s="6" t="s">
        <v>349</v>
      </c>
      <c r="K2948" s="10">
        <v>24</v>
      </c>
      <c r="L2948" s="10">
        <v>50</v>
      </c>
      <c r="M2948" s="6" t="s">
        <v>371</v>
      </c>
    </row>
    <row r="2949" spans="1:13">
      <c r="A2949" s="6">
        <v>2024</v>
      </c>
      <c r="B2949" s="6">
        <v>2</v>
      </c>
      <c r="C2949" s="6" t="s">
        <v>60</v>
      </c>
      <c r="D2949" s="6" t="s">
        <v>468</v>
      </c>
      <c r="E2949" s="6" t="s">
        <v>369</v>
      </c>
      <c r="F2949" s="6" t="str">
        <f>IF($M2949="PADD I","PADD 1",IF($M2949="PADD II","PADD 2",IF($M2949="PADD III","PADD 3",IF($M2949="PADD IV","PADD 4",IF($M2949="PADD V","PADD 5","")))))</f>
        <v>PADD 3</v>
      </c>
      <c r="G2949" s="6" t="str">
        <f>IF(AND($H2949="ATMOS DISTILLATION",ISNUMBER(SEARCH("VPS",$I2949))=FALSE,LEFT($I2949,6)&lt;&gt;"VACUUM"),"CDU",IF($H2949="FLUID CAT CRACKING","FCC",IF(OR($H2949="HYDROCRACKING",$H2949="RESID_HYDROCRACKING"),"Hydrocracker",IF($H2949="REFORMING","Reformer",""))))</f>
        <v>FCC</v>
      </c>
      <c r="H2949" s="6" t="s">
        <v>376</v>
      </c>
      <c r="I2949" s="6" t="s">
        <v>473</v>
      </c>
      <c r="J2949" s="6" t="s">
        <v>349</v>
      </c>
      <c r="K2949" s="10">
        <v>23.7</v>
      </c>
      <c r="L2949" s="10">
        <v>30</v>
      </c>
      <c r="M2949" s="6" t="s">
        <v>371</v>
      </c>
    </row>
    <row r="2950" spans="1:13">
      <c r="A2950" s="6">
        <v>2024</v>
      </c>
      <c r="B2950" s="6">
        <v>2</v>
      </c>
      <c r="C2950" s="6" t="s">
        <v>60</v>
      </c>
      <c r="D2950" s="6" t="s">
        <v>408</v>
      </c>
      <c r="E2950" s="6" t="s">
        <v>409</v>
      </c>
      <c r="F2950" s="6" t="str">
        <f>IF($M2950="PADD I","PADD 1",IF($M2950="PADD II","PADD 2",IF($M2950="PADD III","PADD 3",IF($M2950="PADD IV","PADD 4",IF($M2950="PADD V","PADD 5","")))))</f>
        <v>PADD 3</v>
      </c>
      <c r="G2950" s="6" t="str">
        <f>IF(AND($H2950="ATMOS DISTILLATION",ISNUMBER(SEARCH("VPS",$I2950))=FALSE,LEFT($I2950,6)&lt;&gt;"VACUUM"),"CDU",IF($H2950="FLUID CAT CRACKING","FCC",IF(OR($H2950="HYDROCRACKING",$H2950="RESID_HYDROCRACKING"),"Hydrocracker",IF($H2950="REFORMING","Reformer",""))))</f>
        <v>FCC</v>
      </c>
      <c r="H2950" s="6" t="s">
        <v>376</v>
      </c>
      <c r="I2950" s="6" t="s">
        <v>426</v>
      </c>
      <c r="J2950" s="6" t="s">
        <v>345</v>
      </c>
      <c r="K2950" s="10">
        <v>23.56</v>
      </c>
      <c r="L2950" s="10">
        <v>76</v>
      </c>
      <c r="M2950" s="6" t="s">
        <v>371</v>
      </c>
    </row>
    <row r="2951" spans="1:13">
      <c r="A2951" s="6">
        <v>2024</v>
      </c>
      <c r="B2951" s="6">
        <v>2</v>
      </c>
      <c r="C2951" s="6" t="s">
        <v>60</v>
      </c>
      <c r="D2951" s="6" t="s">
        <v>865</v>
      </c>
      <c r="E2951" s="6" t="s">
        <v>369</v>
      </c>
      <c r="F2951" s="6" t="str">
        <f>IF($M2951="PADD I","PADD 1",IF($M2951="PADD II","PADD 2",IF($M2951="PADD III","PADD 3",IF($M2951="PADD IV","PADD 4",IF($M2951="PADD V","PADD 5","")))))</f>
        <v>PADD 4</v>
      </c>
      <c r="G2951" s="6" t="str">
        <f>IF(AND($H2951="ATMOS DISTILLATION",ISNUMBER(SEARCH("VPS",$I2951))=FALSE,LEFT($I2951,6)&lt;&gt;"VACUUM"),"CDU",IF($H2951="FLUID CAT CRACKING","FCC",IF(OR($H2951="HYDROCRACKING",$H2951="RESID_HYDROCRACKING"),"Hydrocracker",IF($H2951="REFORMING","Reformer",""))))</f>
        <v>CDU</v>
      </c>
      <c r="H2951" s="6" t="s">
        <v>38</v>
      </c>
      <c r="I2951" s="6" t="s">
        <v>866</v>
      </c>
      <c r="J2951" s="6" t="s">
        <v>345</v>
      </c>
      <c r="K2951" s="10">
        <v>23.1</v>
      </c>
      <c r="L2951" s="10">
        <v>35</v>
      </c>
      <c r="M2951" s="6" t="s">
        <v>430</v>
      </c>
    </row>
    <row r="2952" spans="1:13">
      <c r="A2952" s="6">
        <v>2024</v>
      </c>
      <c r="B2952" s="6">
        <v>2</v>
      </c>
      <c r="C2952" s="6" t="s">
        <v>60</v>
      </c>
      <c r="D2952" s="6" t="s">
        <v>518</v>
      </c>
      <c r="E2952" s="6" t="s">
        <v>369</v>
      </c>
      <c r="F2952" s="6" t="str">
        <f>IF($M2952="PADD I","PADD 1",IF($M2952="PADD II","PADD 2",IF($M2952="PADD III","PADD 3",IF($M2952="PADD IV","PADD 4",IF($M2952="PADD V","PADD 5","")))))</f>
        <v>PADD 5</v>
      </c>
      <c r="G2952" s="6" t="str">
        <f>IF(AND($H2952="ATMOS DISTILLATION",ISNUMBER(SEARCH("VPS",$I2952))=FALSE,LEFT($I2952,6)&lt;&gt;"VACUUM"),"CDU",IF($H2952="FLUID CAT CRACKING","FCC",IF(OR($H2952="HYDROCRACKING",$H2952="RESID_HYDROCRACKING"),"Hydrocracker",IF($H2952="REFORMING","Reformer",""))))</f>
        <v>Hydrocracker</v>
      </c>
      <c r="H2952" s="6" t="s">
        <v>444</v>
      </c>
      <c r="I2952" s="6" t="s">
        <v>534</v>
      </c>
      <c r="J2952" s="6" t="s">
        <v>345</v>
      </c>
      <c r="K2952" s="10">
        <v>23.1</v>
      </c>
      <c r="L2952" s="10">
        <v>42</v>
      </c>
      <c r="M2952" s="6" t="s">
        <v>386</v>
      </c>
    </row>
    <row r="2953" spans="1:13">
      <c r="A2953" s="6">
        <v>2024</v>
      </c>
      <c r="B2953" s="6">
        <v>2</v>
      </c>
      <c r="C2953" s="6" t="s">
        <v>60</v>
      </c>
      <c r="D2953" s="6" t="s">
        <v>408</v>
      </c>
      <c r="E2953" s="6" t="s">
        <v>409</v>
      </c>
      <c r="F2953" s="6" t="str">
        <f>IF($M2953="PADD I","PADD 1",IF($M2953="PADD II","PADD 2",IF($M2953="PADD III","PADD 3",IF($M2953="PADD IV","PADD 4",IF($M2953="PADD V","PADD 5","")))))</f>
        <v>PADD 3</v>
      </c>
      <c r="G2953" s="6" t="str">
        <f>IF(AND($H2953="ATMOS DISTILLATION",ISNUMBER(SEARCH("VPS",$I2953))=FALSE,LEFT($I2953,6)&lt;&gt;"VACUUM"),"CDU",IF($H2953="FLUID CAT CRACKING","FCC",IF(OR($H2953="HYDROCRACKING",$H2953="RESID_HYDROCRACKING"),"Hydrocracker",IF($H2953="REFORMING","Reformer",""))))</f>
        <v>CDU</v>
      </c>
      <c r="H2953" s="6" t="s">
        <v>38</v>
      </c>
      <c r="I2953" s="6" t="s">
        <v>410</v>
      </c>
      <c r="J2953" s="6" t="s">
        <v>345</v>
      </c>
      <c r="K2953" s="10">
        <v>23.1</v>
      </c>
      <c r="L2953" s="10">
        <v>165</v>
      </c>
      <c r="M2953" s="6" t="s">
        <v>371</v>
      </c>
    </row>
    <row r="2954" spans="1:13">
      <c r="A2954" s="6">
        <v>2024</v>
      </c>
      <c r="B2954" s="6">
        <v>2</v>
      </c>
      <c r="C2954" s="6" t="s">
        <v>60</v>
      </c>
      <c r="D2954" s="6" t="s">
        <v>632</v>
      </c>
      <c r="E2954" s="6" t="s">
        <v>633</v>
      </c>
      <c r="F2954" s="6" t="str">
        <f>IF($M2954="PADD I","PADD 1",IF($M2954="PADD II","PADD 2",IF($M2954="PADD III","PADD 3",IF($M2954="PADD IV","PADD 4",IF($M2954="PADD V","PADD 5","")))))</f>
        <v>PADD 4</v>
      </c>
      <c r="G2954" s="6" t="str">
        <f>IF(AND($H2954="ATMOS DISTILLATION",ISNUMBER(SEARCH("VPS",$I2954))=FALSE,LEFT($I2954,6)&lt;&gt;"VACUUM"),"CDU",IF($H2954="FLUID CAT CRACKING","FCC",IF(OR($H2954="HYDROCRACKING",$H2954="RESID_HYDROCRACKING"),"Hydrocracker",IF($H2954="REFORMING","Reformer",""))))</f>
        <v>CDU</v>
      </c>
      <c r="H2954" s="6" t="s">
        <v>38</v>
      </c>
      <c r="I2954" s="6" t="s">
        <v>81</v>
      </c>
      <c r="J2954" s="6" t="s">
        <v>349</v>
      </c>
      <c r="K2954" s="10">
        <v>21.39</v>
      </c>
      <c r="L2954" s="10">
        <v>31</v>
      </c>
      <c r="M2954" s="6" t="s">
        <v>430</v>
      </c>
    </row>
    <row r="2955" spans="1:13">
      <c r="A2955" s="6">
        <v>2024</v>
      </c>
      <c r="B2955" s="6">
        <v>2</v>
      </c>
      <c r="C2955" s="6" t="s">
        <v>60</v>
      </c>
      <c r="D2955" s="6" t="s">
        <v>457</v>
      </c>
      <c r="E2955" s="6" t="s">
        <v>388</v>
      </c>
      <c r="F2955" s="6" t="str">
        <f>IF($M2955="PADD I","PADD 1",IF($M2955="PADD II","PADD 2",IF($M2955="PADD III","PADD 3",IF($M2955="PADD IV","PADD 4",IF($M2955="PADD V","PADD 5","")))))</f>
        <v>PADD 5</v>
      </c>
      <c r="G2955" s="6" t="str">
        <f>IF(AND($H2955="ATMOS DISTILLATION",ISNUMBER(SEARCH("VPS",$I2955))=FALSE,LEFT($I2955,6)&lt;&gt;"VACUUM"),"CDU",IF($H2955="FLUID CAT CRACKING","FCC",IF(OR($H2955="HYDROCRACKING",$H2955="RESID_HYDROCRACKING"),"Hydrocracker",IF($H2955="REFORMING","Reformer",""))))</f>
        <v>CDU</v>
      </c>
      <c r="H2955" s="6" t="s">
        <v>38</v>
      </c>
      <c r="I2955" s="6" t="s">
        <v>137</v>
      </c>
      <c r="J2955" s="6" t="s">
        <v>349</v>
      </c>
      <c r="K2955" s="10">
        <v>20.8</v>
      </c>
      <c r="L2955" s="10">
        <v>40</v>
      </c>
      <c r="M2955" s="6" t="s">
        <v>386</v>
      </c>
    </row>
    <row r="2956" spans="1:13">
      <c r="A2956" s="6">
        <v>2024</v>
      </c>
      <c r="B2956" s="6">
        <v>2</v>
      </c>
      <c r="C2956" s="6" t="s">
        <v>60</v>
      </c>
      <c r="D2956" s="6" t="s">
        <v>484</v>
      </c>
      <c r="E2956" s="6" t="s">
        <v>409</v>
      </c>
      <c r="F2956" s="6" t="str">
        <f>IF($M2956="PADD I","PADD 1",IF($M2956="PADD II","PADD 2",IF($M2956="PADD III","PADD 3",IF($M2956="PADD IV","PADD 4",IF($M2956="PADD V","PADD 5","")))))</f>
        <v>PADD 3</v>
      </c>
      <c r="G2956" s="6">
        <f>IF(AND($H2956="ATMOS DISTILLATION",ISNUMBER(SEARCH("VPS",$I2956))=FALSE,LEFT($I2956,6)&lt;&gt;"VACUUM"),"CDU",IF($H2956="FLUID CAT CRACKING","FCC",IF(OR($H2956="HYDROCRACKING",$H2956="RESID_HYDROCRACKING"),"Hydrocracker",IF($H2956="REFORMING","Reformer",""))))</f>
        <v/>
      </c>
      <c r="H2956" s="6" t="s">
        <v>43</v>
      </c>
      <c r="I2956" s="6" t="s">
        <v>501</v>
      </c>
      <c r="J2956" s="6" t="s">
        <v>345</v>
      </c>
      <c r="K2956" s="10">
        <v>20.475</v>
      </c>
      <c r="L2956" s="10">
        <v>45.5</v>
      </c>
      <c r="M2956" s="6" t="s">
        <v>371</v>
      </c>
    </row>
    <row r="2957" spans="1:13">
      <c r="A2957" s="6">
        <v>2024</v>
      </c>
      <c r="B2957" s="6">
        <v>2</v>
      </c>
      <c r="C2957" s="6" t="s">
        <v>60</v>
      </c>
      <c r="D2957" s="6" t="s">
        <v>457</v>
      </c>
      <c r="E2957" s="6" t="s">
        <v>388</v>
      </c>
      <c r="F2957" s="6" t="str">
        <f>IF($M2957="PADD I","PADD 1",IF($M2957="PADD II","PADD 2",IF($M2957="PADD III","PADD 3",IF($M2957="PADD IV","PADD 4",IF($M2957="PADD V","PADD 5","")))))</f>
        <v>PADD 5</v>
      </c>
      <c r="G2957" s="6">
        <f>IF(AND($H2957="ATMOS DISTILLATION",ISNUMBER(SEARCH("VPS",$I2957))=FALSE,LEFT($I2957,6)&lt;&gt;"VACUUM"),"CDU",IF($H2957="FLUID CAT CRACKING","FCC",IF(OR($H2957="HYDROCRACKING",$H2957="RESID_HYDROCRACKING"),"Hydrocracker",IF($H2957="REFORMING","Reformer",""))))</f>
        <v/>
      </c>
      <c r="H2957" s="6" t="s">
        <v>435</v>
      </c>
      <c r="I2957" s="6" t="s">
        <v>453</v>
      </c>
      <c r="J2957" s="6" t="s">
        <v>349</v>
      </c>
      <c r="K2957" s="10">
        <v>20.28</v>
      </c>
      <c r="L2957" s="10">
        <v>39</v>
      </c>
      <c r="M2957" s="6" t="s">
        <v>386</v>
      </c>
    </row>
    <row r="2958" spans="1:13">
      <c r="A2958" s="6">
        <v>2024</v>
      </c>
      <c r="B2958" s="6">
        <v>2</v>
      </c>
      <c r="C2958" s="6" t="s">
        <v>60</v>
      </c>
      <c r="D2958" s="6" t="s">
        <v>602</v>
      </c>
      <c r="E2958" s="6" t="s">
        <v>369</v>
      </c>
      <c r="F2958" s="6" t="str">
        <f>IF($M2958="PADD I","PADD 1",IF($M2958="PADD II","PADD 2",IF($M2958="PADD III","PADD 3",IF($M2958="PADD IV","PADD 4",IF($M2958="PADD V","PADD 5","")))))</f>
        <v>PADD 2</v>
      </c>
      <c r="G2958" s="6">
        <f>IF(AND($H2958="ATMOS DISTILLATION",ISNUMBER(SEARCH("VPS",$I2958))=FALSE,LEFT($I2958,6)&lt;&gt;"VACUUM"),"CDU",IF($H2958="FLUID CAT CRACKING","FCC",IF(OR($H2958="HYDROCRACKING",$H2958="RESID_HYDROCRACKING"),"Hydrocracker",IF($H2958="REFORMING","Reformer",""))))</f>
        <v/>
      </c>
      <c r="H2958" s="6" t="s">
        <v>43</v>
      </c>
      <c r="I2958" s="6" t="s">
        <v>1002</v>
      </c>
      <c r="J2958" s="6" t="s">
        <v>349</v>
      </c>
      <c r="K2958" s="10">
        <v>19.92</v>
      </c>
      <c r="L2958" s="10">
        <v>24</v>
      </c>
      <c r="M2958" s="6" t="s">
        <v>375</v>
      </c>
    </row>
    <row r="2959" spans="1:13">
      <c r="A2959" s="6">
        <v>2024</v>
      </c>
      <c r="B2959" s="6">
        <v>2</v>
      </c>
      <c r="C2959" s="6" t="s">
        <v>60</v>
      </c>
      <c r="D2959" s="6" t="s">
        <v>451</v>
      </c>
      <c r="E2959" s="6" t="s">
        <v>452</v>
      </c>
      <c r="F2959" s="6" t="str">
        <f>IF($M2959="PADD I","PADD 1",IF($M2959="PADD II","PADD 2",IF($M2959="PADD III","PADD 3",IF($M2959="PADD IV","PADD 4",IF($M2959="PADD V","PADD 5","")))))</f>
        <v>PADD 2</v>
      </c>
      <c r="G2959" s="6" t="str">
        <f>IF(AND($H2959="ATMOS DISTILLATION",ISNUMBER(SEARCH("VPS",$I2959))=FALSE,LEFT($I2959,6)&lt;&gt;"VACUUM"),"CDU",IF($H2959="FLUID CAT CRACKING","FCC",IF(OR($H2959="HYDROCRACKING",$H2959="RESID_HYDROCRACKING"),"Hydrocracker",IF($H2959="REFORMING","Reformer",""))))</f>
        <v>CDU</v>
      </c>
      <c r="H2959" s="6" t="s">
        <v>38</v>
      </c>
      <c r="I2959" s="6" t="s">
        <v>481</v>
      </c>
      <c r="J2959" s="6" t="s">
        <v>349</v>
      </c>
      <c r="K2959" s="10">
        <v>19.2</v>
      </c>
      <c r="L2959" s="10">
        <v>40</v>
      </c>
      <c r="M2959" s="6" t="s">
        <v>375</v>
      </c>
    </row>
    <row r="2960" spans="1:13">
      <c r="A2960" s="6">
        <v>2024</v>
      </c>
      <c r="B2960" s="6">
        <v>2</v>
      </c>
      <c r="C2960" s="6" t="s">
        <v>60</v>
      </c>
      <c r="D2960" s="6" t="s">
        <v>329</v>
      </c>
      <c r="E2960" s="6" t="s">
        <v>427</v>
      </c>
      <c r="F2960" s="6" t="str">
        <f>IF($M2960="PADD I","PADD 1",IF($M2960="PADD II","PADD 2",IF($M2960="PADD III","PADD 3",IF($M2960="PADD IV","PADD 4",IF($M2960="PADD V","PADD 5","")))))</f>
        <v>PADD 3</v>
      </c>
      <c r="G2960" s="6">
        <f>IF(AND($H2960="ATMOS DISTILLATION",ISNUMBER(SEARCH("VPS",$I2960))=FALSE,LEFT($I2960,6)&lt;&gt;"VACUUM"),"CDU",IF($H2960="FLUID CAT CRACKING","FCC",IF(OR($H2960="HYDROCRACKING",$H2960="RESID_HYDROCRACKING"),"Hydrocracker",IF($H2960="REFORMING","Reformer",""))))</f>
        <v/>
      </c>
      <c r="H2960" s="6" t="s">
        <v>378</v>
      </c>
      <c r="I2960" s="6" t="s">
        <v>428</v>
      </c>
      <c r="J2960" s="6" t="s">
        <v>345</v>
      </c>
      <c r="K2960" s="10">
        <v>19.04</v>
      </c>
      <c r="L2960" s="10">
        <v>112</v>
      </c>
      <c r="M2960" s="6" t="s">
        <v>371</v>
      </c>
    </row>
    <row r="2961" spans="1:13">
      <c r="A2961" s="6">
        <v>2024</v>
      </c>
      <c r="B2961" s="6">
        <v>2</v>
      </c>
      <c r="C2961" s="6" t="s">
        <v>60</v>
      </c>
      <c r="D2961" s="6" t="s">
        <v>415</v>
      </c>
      <c r="E2961" s="6" t="s">
        <v>416</v>
      </c>
      <c r="F2961" s="6" t="str">
        <f>IF($M2961="PADD I","PADD 1",IF($M2961="PADD II","PADD 2",IF($M2961="PADD III","PADD 3",IF($M2961="PADD IV","PADD 4",IF($M2961="PADD V","PADD 5","")))))</f>
        <v>PADD 3</v>
      </c>
      <c r="G2961" s="6">
        <f>IF(AND($H2961="ATMOS DISTILLATION",ISNUMBER(SEARCH("VPS",$I2961))=FALSE,LEFT($I2961,6)&lt;&gt;"VACUUM"),"CDU",IF($H2961="FLUID CAT CRACKING","FCC",IF(OR($H2961="HYDROCRACKING",$H2961="RESID_HYDROCRACKING"),"Hydrocracker",IF($H2961="REFORMING","Reformer",""))))</f>
        <v/>
      </c>
      <c r="H2961" s="6" t="s">
        <v>378</v>
      </c>
      <c r="I2961" s="6" t="s">
        <v>417</v>
      </c>
      <c r="J2961" s="6" t="s">
        <v>345</v>
      </c>
      <c r="K2961" s="10">
        <v>19</v>
      </c>
      <c r="L2961" s="10">
        <v>50</v>
      </c>
      <c r="M2961" s="6" t="s">
        <v>371</v>
      </c>
    </row>
    <row r="2962" spans="1:13">
      <c r="A2962" s="6">
        <v>2024</v>
      </c>
      <c r="B2962" s="6">
        <v>2</v>
      </c>
      <c r="C2962" s="6" t="s">
        <v>60</v>
      </c>
      <c r="D2962" s="6" t="s">
        <v>465</v>
      </c>
      <c r="E2962" s="6" t="s">
        <v>369</v>
      </c>
      <c r="F2962" s="6" t="str">
        <f>IF($M2962="PADD I","PADD 1",IF($M2962="PADD II","PADD 2",IF($M2962="PADD III","PADD 3",IF($M2962="PADD IV","PADD 4",IF($M2962="PADD V","PADD 5","")))))</f>
        <v>PADD 5</v>
      </c>
      <c r="G2962" s="6" t="str">
        <f>IF(AND($H2962="ATMOS DISTILLATION",ISNUMBER(SEARCH("VPS",$I2962))=FALSE,LEFT($I2962,6)&lt;&gt;"VACUUM"),"CDU",IF($H2962="FLUID CAT CRACKING","FCC",IF(OR($H2962="HYDROCRACKING",$H2962="RESID_HYDROCRACKING"),"Hydrocracker",IF($H2962="REFORMING","Reformer",""))))</f>
        <v>Hydrocracker</v>
      </c>
      <c r="H2962" s="6" t="s">
        <v>444</v>
      </c>
      <c r="I2962" s="6" t="s">
        <v>668</v>
      </c>
      <c r="J2962" s="6" t="s">
        <v>349</v>
      </c>
      <c r="K2962" s="10">
        <v>18.975</v>
      </c>
      <c r="L2962" s="10">
        <v>27.5</v>
      </c>
      <c r="M2962" s="6" t="s">
        <v>386</v>
      </c>
    </row>
    <row r="2963" spans="1:13">
      <c r="A2963" s="6">
        <v>2024</v>
      </c>
      <c r="B2963" s="6">
        <v>2</v>
      </c>
      <c r="C2963" s="6" t="s">
        <v>60</v>
      </c>
      <c r="D2963" s="6" t="s">
        <v>408</v>
      </c>
      <c r="E2963" s="6" t="s">
        <v>409</v>
      </c>
      <c r="F2963" s="6" t="str">
        <f>IF($M2963="PADD I","PADD 1",IF($M2963="PADD II","PADD 2",IF($M2963="PADD III","PADD 3",IF($M2963="PADD IV","PADD 4",IF($M2963="PADD V","PADD 5","")))))</f>
        <v>PADD 3</v>
      </c>
      <c r="G2963" s="6">
        <f>IF(AND($H2963="ATMOS DISTILLATION",ISNUMBER(SEARCH("VPS",$I2963))=FALSE,LEFT($I2963,6)&lt;&gt;"VACUUM"),"CDU",IF($H2963="FLUID CAT CRACKING","FCC",IF(OR($H2963="HYDROCRACKING",$H2963="RESID_HYDROCRACKING"),"Hydrocracker",IF($H2963="REFORMING","Reformer",""))))</f>
        <v/>
      </c>
      <c r="H2963" s="6" t="s">
        <v>378</v>
      </c>
      <c r="I2963" s="6" t="s">
        <v>489</v>
      </c>
      <c r="J2963" s="6" t="s">
        <v>345</v>
      </c>
      <c r="K2963" s="10">
        <v>18.6</v>
      </c>
      <c r="L2963" s="10">
        <v>60</v>
      </c>
      <c r="M2963" s="6" t="s">
        <v>371</v>
      </c>
    </row>
    <row r="2964" spans="1:13">
      <c r="A2964" s="6">
        <v>2024</v>
      </c>
      <c r="B2964" s="6">
        <v>2</v>
      </c>
      <c r="C2964" s="6" t="s">
        <v>60</v>
      </c>
      <c r="D2964" s="6" t="s">
        <v>934</v>
      </c>
      <c r="E2964" s="6" t="s">
        <v>388</v>
      </c>
      <c r="F2964" s="6" t="str">
        <f>IF($M2964="PADD I","PADD 1",IF($M2964="PADD II","PADD 2",IF($M2964="PADD III","PADD 3",IF($M2964="PADD IV","PADD 4",IF($M2964="PADD V","PADD 5","")))))</f>
        <v>PADD 3</v>
      </c>
      <c r="G2964" s="6" t="str">
        <f>IF(AND($H2964="ATMOS DISTILLATION",ISNUMBER(SEARCH("VPS",$I2964))=FALSE,LEFT($I2964,6)&lt;&gt;"VACUUM"),"CDU",IF($H2964="FLUID CAT CRACKING","FCC",IF(OR($H2964="HYDROCRACKING",$H2964="RESID_HYDROCRACKING"),"Hydrocracker",IF($H2964="REFORMING","Reformer",""))))</f>
        <v>FCC</v>
      </c>
      <c r="H2964" s="6" t="s">
        <v>376</v>
      </c>
      <c r="I2964" s="6" t="s">
        <v>105</v>
      </c>
      <c r="J2964" s="6" t="s">
        <v>349</v>
      </c>
      <c r="K2964" s="10">
        <v>18.29</v>
      </c>
      <c r="L2964" s="10">
        <v>29.5</v>
      </c>
      <c r="M2964" s="6" t="s">
        <v>371</v>
      </c>
    </row>
    <row r="2965" spans="1:13">
      <c r="A2965" s="6">
        <v>2024</v>
      </c>
      <c r="B2965" s="6">
        <v>2</v>
      </c>
      <c r="C2965" s="6" t="s">
        <v>60</v>
      </c>
      <c r="D2965" s="6" t="s">
        <v>742</v>
      </c>
      <c r="E2965" s="6" t="s">
        <v>388</v>
      </c>
      <c r="F2965" s="6" t="str">
        <f>IF($M2965="PADD I","PADD 1",IF($M2965="PADD II","PADD 2",IF($M2965="PADD III","PADD 3",IF($M2965="PADD IV","PADD 4",IF($M2965="PADD V","PADD 5","")))))</f>
        <v>PADD 5</v>
      </c>
      <c r="G2965" s="6" t="str">
        <f>IF(AND($H2965="ATMOS DISTILLATION",ISNUMBER(SEARCH("VPS",$I2965))=FALSE,LEFT($I2965,6)&lt;&gt;"VACUUM"),"CDU",IF($H2965="FLUID CAT CRACKING","FCC",IF(OR($H2965="HYDROCRACKING",$H2965="RESID_HYDROCRACKING"),"Hydrocracker",IF($H2965="REFORMING","Reformer",""))))</f>
        <v>FCC</v>
      </c>
      <c r="H2965" s="6" t="s">
        <v>376</v>
      </c>
      <c r="I2965" s="6" t="s">
        <v>105</v>
      </c>
      <c r="J2965" s="6" t="s">
        <v>345</v>
      </c>
      <c r="K2965" s="10">
        <v>17.22</v>
      </c>
      <c r="L2965" s="10">
        <v>42</v>
      </c>
      <c r="M2965" s="6" t="s">
        <v>386</v>
      </c>
    </row>
    <row r="2966" spans="1:13">
      <c r="A2966" s="6">
        <v>2024</v>
      </c>
      <c r="B2966" s="6">
        <v>2</v>
      </c>
      <c r="C2966" s="6" t="s">
        <v>60</v>
      </c>
      <c r="D2966" s="6" t="s">
        <v>380</v>
      </c>
      <c r="E2966" s="6" t="s">
        <v>381</v>
      </c>
      <c r="F2966" s="6" t="str">
        <f>IF($M2966="PADD I","PADD 1",IF($M2966="PADD II","PADD 2",IF($M2966="PADD III","PADD 3",IF($M2966="PADD IV","PADD 4",IF($M2966="PADD V","PADD 5","")))))</f>
        <v>PADD 3</v>
      </c>
      <c r="G2966" s="6" t="str">
        <f>IF(AND($H2966="ATMOS DISTILLATION",ISNUMBER(SEARCH("VPS",$I2966))=FALSE,LEFT($I2966,6)&lt;&gt;"VACUUM"),"CDU",IF($H2966="FLUID CAT CRACKING","FCC",IF(OR($H2966="HYDROCRACKING",$H2966="RESID_HYDROCRACKING"),"Hydrocracker",IF($H2966="REFORMING","Reformer",""))))</f>
        <v>CDU</v>
      </c>
      <c r="H2966" s="6" t="s">
        <v>38</v>
      </c>
      <c r="I2966" s="6" t="s">
        <v>382</v>
      </c>
      <c r="J2966" s="6" t="s">
        <v>349</v>
      </c>
      <c r="K2966" s="10">
        <v>17</v>
      </c>
      <c r="L2966" s="10">
        <v>50</v>
      </c>
      <c r="M2966" s="6" t="s">
        <v>371</v>
      </c>
    </row>
    <row r="2967" spans="1:13">
      <c r="A2967" s="6">
        <v>2024</v>
      </c>
      <c r="B2967" s="6">
        <v>2</v>
      </c>
      <c r="C2967" s="6" t="s">
        <v>60</v>
      </c>
      <c r="D2967" s="6" t="s">
        <v>51</v>
      </c>
      <c r="E2967" s="6" t="s">
        <v>391</v>
      </c>
      <c r="F2967" s="6" t="str">
        <f>IF($M2967="PADD I","PADD 1",IF($M2967="PADD II","PADD 2",IF($M2967="PADD III","PADD 3",IF($M2967="PADD IV","PADD 4",IF($M2967="PADD V","PADD 5","")))))</f>
        <v>PADD 5</v>
      </c>
      <c r="G2967" s="6">
        <f>IF(AND($H2967="ATMOS DISTILLATION",ISNUMBER(SEARCH("VPS",$I2967))=FALSE,LEFT($I2967,6)&lt;&gt;"VACUUM"),"CDU",IF($H2967="FLUID CAT CRACKING","FCC",IF(OR($H2967="HYDROCRACKING",$H2967="RESID_HYDROCRACKING"),"Hydrocracker",IF($H2967="REFORMING","Reformer",""))))</f>
        <v/>
      </c>
      <c r="H2967" s="6" t="s">
        <v>43</v>
      </c>
      <c r="I2967" s="6" t="s">
        <v>859</v>
      </c>
      <c r="J2967" s="6" t="s">
        <v>345</v>
      </c>
      <c r="K2967" s="10">
        <v>16.8</v>
      </c>
      <c r="L2967" s="10">
        <v>70</v>
      </c>
      <c r="M2967" s="6" t="s">
        <v>386</v>
      </c>
    </row>
    <row r="2968" spans="1:13">
      <c r="A2968" s="6">
        <v>2024</v>
      </c>
      <c r="B2968" s="6">
        <v>2</v>
      </c>
      <c r="C2968" s="6" t="s">
        <v>60</v>
      </c>
      <c r="D2968" s="6" t="s">
        <v>602</v>
      </c>
      <c r="E2968" s="6" t="s">
        <v>369</v>
      </c>
      <c r="F2968" s="6" t="str">
        <f>IF($M2968="PADD I","PADD 1",IF($M2968="PADD II","PADD 2",IF($M2968="PADD III","PADD 3",IF($M2968="PADD IV","PADD 4",IF($M2968="PADD V","PADD 5","")))))</f>
        <v>PADD 2</v>
      </c>
      <c r="G2968" s="6" t="str">
        <f>IF(AND($H2968="ATMOS DISTILLATION",ISNUMBER(SEARCH("VPS",$I2968))=FALSE,LEFT($I2968,6)&lt;&gt;"VACUUM"),"CDU",IF($H2968="FLUID CAT CRACKING","FCC",IF(OR($H2968="HYDROCRACKING",$H2968="RESID_HYDROCRACKING"),"Hydrocracker",IF($H2968="REFORMING","Reformer",""))))</f>
        <v>Reformer</v>
      </c>
      <c r="H2968" s="6" t="s">
        <v>421</v>
      </c>
      <c r="I2968" s="6" t="s">
        <v>1123</v>
      </c>
      <c r="J2968" s="6" t="s">
        <v>349</v>
      </c>
      <c r="K2968" s="10">
        <v>16.6</v>
      </c>
      <c r="L2968" s="10">
        <v>20</v>
      </c>
      <c r="M2968" s="6" t="s">
        <v>375</v>
      </c>
    </row>
    <row r="2969" spans="1:13">
      <c r="A2969" s="6">
        <v>2024</v>
      </c>
      <c r="B2969" s="6">
        <v>2</v>
      </c>
      <c r="C2969" s="6" t="s">
        <v>60</v>
      </c>
      <c r="D2969" s="6" t="s">
        <v>457</v>
      </c>
      <c r="E2969" s="6" t="s">
        <v>388</v>
      </c>
      <c r="F2969" s="6" t="str">
        <f>IF($M2969="PADD I","PADD 1",IF($M2969="PADD II","PADD 2",IF($M2969="PADD III","PADD 3",IF($M2969="PADD IV","PADD 4",IF($M2969="PADD V","PADD 5","")))))</f>
        <v>PADD 5</v>
      </c>
      <c r="G2969" s="6" t="str">
        <f>IF(AND($H2969="ATMOS DISTILLATION",ISNUMBER(SEARCH("VPS",$I2969))=FALSE,LEFT($I2969,6)&lt;&gt;"VACUUM"),"CDU",IF($H2969="FLUID CAT CRACKING","FCC",IF(OR($H2969="HYDROCRACKING",$H2969="RESID_HYDROCRACKING"),"Hydrocracker",IF($H2969="REFORMING","Reformer",""))))</f>
        <v>Reformer</v>
      </c>
      <c r="H2969" s="6" t="s">
        <v>421</v>
      </c>
      <c r="I2969" s="6" t="s">
        <v>557</v>
      </c>
      <c r="J2969" s="6" t="s">
        <v>345</v>
      </c>
      <c r="K2969" s="10">
        <v>16.6</v>
      </c>
      <c r="L2969" s="10">
        <v>20</v>
      </c>
      <c r="M2969" s="6" t="s">
        <v>386</v>
      </c>
    </row>
    <row r="2970" spans="1:13">
      <c r="A2970" s="6">
        <v>2024</v>
      </c>
      <c r="B2970" s="6">
        <v>2</v>
      </c>
      <c r="C2970" s="6" t="s">
        <v>60</v>
      </c>
      <c r="D2970" s="6" t="s">
        <v>518</v>
      </c>
      <c r="E2970" s="6" t="s">
        <v>369</v>
      </c>
      <c r="F2970" s="6" t="str">
        <f>IF($M2970="PADD I","PADD 1",IF($M2970="PADD II","PADD 2",IF($M2970="PADD III","PADD 3",IF($M2970="PADD IV","PADD 4",IF($M2970="PADD V","PADD 5","")))))</f>
        <v>PADD 5</v>
      </c>
      <c r="G2970" s="6">
        <f>IF(AND($H2970="ATMOS DISTILLATION",ISNUMBER(SEARCH("VPS",$I2970))=FALSE,LEFT($I2970,6)&lt;&gt;"VACUUM"),"CDU",IF($H2970="FLUID CAT CRACKING","FCC",IF(OR($H2970="HYDROCRACKING",$H2970="RESID_HYDROCRACKING"),"Hydrocracker",IF($H2970="REFORMING","Reformer",""))))</f>
        <v/>
      </c>
      <c r="H2970" s="6" t="s">
        <v>378</v>
      </c>
      <c r="I2970" s="6" t="s">
        <v>431</v>
      </c>
      <c r="J2970" s="6" t="s">
        <v>345</v>
      </c>
      <c r="K2970" s="10">
        <v>16.5</v>
      </c>
      <c r="L2970" s="10">
        <v>30</v>
      </c>
      <c r="M2970" s="6" t="s">
        <v>386</v>
      </c>
    </row>
    <row r="2971" spans="1:13">
      <c r="A2971" s="6">
        <v>2024</v>
      </c>
      <c r="B2971" s="6">
        <v>2</v>
      </c>
      <c r="C2971" s="6" t="s">
        <v>60</v>
      </c>
      <c r="D2971" s="6" t="s">
        <v>437</v>
      </c>
      <c r="E2971" s="6" t="s">
        <v>438</v>
      </c>
      <c r="F2971" s="6" t="str">
        <f>IF($M2971="PADD I","PADD 1",IF($M2971="PADD II","PADD 2",IF($M2971="PADD III","PADD 3",IF($M2971="PADD IV","PADD 4",IF($M2971="PADD V","PADD 5","")))))</f>
        <v>PADD 4</v>
      </c>
      <c r="G2971" s="6" t="str">
        <f>IF(AND($H2971="ATMOS DISTILLATION",ISNUMBER(SEARCH("VPS",$I2971))=FALSE,LEFT($I2971,6)&lt;&gt;"VACUUM"),"CDU",IF($H2971="FLUID CAT CRACKING","FCC",IF(OR($H2971="HYDROCRACKING",$H2971="RESID_HYDROCRACKING"),"Hydrocracker",IF($H2971="REFORMING","Reformer",""))))</f>
        <v>CDU</v>
      </c>
      <c r="H2971" s="6" t="s">
        <v>38</v>
      </c>
      <c r="I2971" s="6" t="s">
        <v>439</v>
      </c>
      <c r="J2971" s="6" t="s">
        <v>345</v>
      </c>
      <c r="K2971" s="10">
        <v>16.176</v>
      </c>
      <c r="L2971" s="10">
        <v>33.7</v>
      </c>
      <c r="M2971" s="6" t="s">
        <v>430</v>
      </c>
    </row>
    <row r="2972" spans="1:13">
      <c r="A2972" s="6">
        <v>2024</v>
      </c>
      <c r="B2972" s="6">
        <v>2</v>
      </c>
      <c r="C2972" s="6" t="s">
        <v>60</v>
      </c>
      <c r="D2972" s="6" t="s">
        <v>457</v>
      </c>
      <c r="E2972" s="6" t="s">
        <v>388</v>
      </c>
      <c r="F2972" s="6" t="str">
        <f>IF($M2972="PADD I","PADD 1",IF($M2972="PADD II","PADD 2",IF($M2972="PADD III","PADD 3",IF($M2972="PADD IV","PADD 4",IF($M2972="PADD V","PADD 5","")))))</f>
        <v>PADD 5</v>
      </c>
      <c r="G2972" s="6">
        <f>IF(AND($H2972="ATMOS DISTILLATION",ISNUMBER(SEARCH("VPS",$I2972))=FALSE,LEFT($I2972,6)&lt;&gt;"VACUUM"),"CDU",IF($H2972="FLUID CAT CRACKING","FCC",IF(OR($H2972="HYDROCRACKING",$H2972="RESID_HYDROCRACKING"),"Hydrocracker",IF($H2972="REFORMING","Reformer",""))))</f>
        <v/>
      </c>
      <c r="H2972" s="6" t="s">
        <v>378</v>
      </c>
      <c r="I2972" s="6" t="s">
        <v>601</v>
      </c>
      <c r="J2972" s="6" t="s">
        <v>349</v>
      </c>
      <c r="K2972" s="10">
        <v>16.12</v>
      </c>
      <c r="L2972" s="10">
        <v>31</v>
      </c>
      <c r="M2972" s="6" t="s">
        <v>386</v>
      </c>
    </row>
    <row r="2973" spans="1:13">
      <c r="A2973" s="6">
        <v>2024</v>
      </c>
      <c r="B2973" s="6">
        <v>2</v>
      </c>
      <c r="C2973" s="6" t="s">
        <v>60</v>
      </c>
      <c r="D2973" s="6" t="s">
        <v>408</v>
      </c>
      <c r="E2973" s="6" t="s">
        <v>409</v>
      </c>
      <c r="F2973" s="6" t="str">
        <f>IF($M2973="PADD I","PADD 1",IF($M2973="PADD II","PADD 2",IF($M2973="PADD III","PADD 3",IF($M2973="PADD IV","PADD 4",IF($M2973="PADD V","PADD 5","")))))</f>
        <v>PADD 3</v>
      </c>
      <c r="G2973" s="6">
        <f>IF(AND($H2973="ATMOS DISTILLATION",ISNUMBER(SEARCH("VPS",$I2973))=FALSE,LEFT($I2973,6)&lt;&gt;"VACUUM"),"CDU",IF($H2973="FLUID CAT CRACKING","FCC",IF(OR($H2973="HYDROCRACKING",$H2973="RESID_HYDROCRACKING"),"Hydrocracker",IF($H2973="REFORMING","Reformer",""))))</f>
        <v/>
      </c>
      <c r="H2973" s="6" t="s">
        <v>378</v>
      </c>
      <c r="I2973" s="6" t="s">
        <v>506</v>
      </c>
      <c r="J2973" s="6" t="s">
        <v>345</v>
      </c>
      <c r="K2973" s="10">
        <v>15.81</v>
      </c>
      <c r="L2973" s="10">
        <v>51</v>
      </c>
      <c r="M2973" s="6" t="s">
        <v>371</v>
      </c>
    </row>
    <row r="2974" spans="1:13">
      <c r="A2974" s="6">
        <v>2024</v>
      </c>
      <c r="B2974" s="6">
        <v>2</v>
      </c>
      <c r="C2974" s="6" t="s">
        <v>60</v>
      </c>
      <c r="D2974" s="6" t="s">
        <v>408</v>
      </c>
      <c r="E2974" s="6" t="s">
        <v>409</v>
      </c>
      <c r="F2974" s="6" t="str">
        <f>IF($M2974="PADD I","PADD 1",IF($M2974="PADD II","PADD 2",IF($M2974="PADD III","PADD 3",IF($M2974="PADD IV","PADD 4",IF($M2974="PADD V","PADD 5","")))))</f>
        <v>PADD 3</v>
      </c>
      <c r="G2974" s="6" t="str">
        <f>IF(AND($H2974="ATMOS DISTILLATION",ISNUMBER(SEARCH("VPS",$I2974))=FALSE,LEFT($I2974,6)&lt;&gt;"VACUUM"),"CDU",IF($H2974="FLUID CAT CRACKING","FCC",IF(OR($H2974="HYDROCRACKING",$H2974="RESID_HYDROCRACKING"),"Hydrocracker",IF($H2974="REFORMING","Reformer",""))))</f>
        <v>Reformer</v>
      </c>
      <c r="H2974" s="6" t="s">
        <v>421</v>
      </c>
      <c r="I2974" s="6" t="s">
        <v>533</v>
      </c>
      <c r="J2974" s="6" t="s">
        <v>345</v>
      </c>
      <c r="K2974" s="10">
        <v>15.75</v>
      </c>
      <c r="L2974" s="10">
        <v>35</v>
      </c>
      <c r="M2974" s="6" t="s">
        <v>371</v>
      </c>
    </row>
    <row r="2975" spans="1:13">
      <c r="A2975" s="6">
        <v>2024</v>
      </c>
      <c r="B2975" s="6">
        <v>2</v>
      </c>
      <c r="C2975" s="6" t="s">
        <v>60</v>
      </c>
      <c r="D2975" s="6" t="s">
        <v>457</v>
      </c>
      <c r="E2975" s="6" t="s">
        <v>388</v>
      </c>
      <c r="F2975" s="6" t="str">
        <f>IF($M2975="PADD I","PADD 1",IF($M2975="PADD II","PADD 2",IF($M2975="PADD III","PADD 3",IF($M2975="PADD IV","PADD 4",IF($M2975="PADD V","PADD 5","")))))</f>
        <v>PADD 5</v>
      </c>
      <c r="G2975" s="6" t="str">
        <f>IF(AND($H2975="ATMOS DISTILLATION",ISNUMBER(SEARCH("VPS",$I2975))=FALSE,LEFT($I2975,6)&lt;&gt;"VACUUM"),"CDU",IF($H2975="FLUID CAT CRACKING","FCC",IF(OR($H2975="HYDROCRACKING",$H2975="RESID_HYDROCRACKING"),"Hydrocracker",IF($H2975="REFORMING","Reformer",""))))</f>
        <v>CDU</v>
      </c>
      <c r="H2975" s="6" t="s">
        <v>38</v>
      </c>
      <c r="I2975" s="6" t="s">
        <v>135</v>
      </c>
      <c r="J2975" s="6" t="s">
        <v>349</v>
      </c>
      <c r="K2975" s="10">
        <v>15.6</v>
      </c>
      <c r="L2975" s="10">
        <v>30</v>
      </c>
      <c r="M2975" s="6" t="s">
        <v>386</v>
      </c>
    </row>
    <row r="2976" spans="1:13">
      <c r="A2976" s="6">
        <v>2024</v>
      </c>
      <c r="B2976" s="6">
        <v>2</v>
      </c>
      <c r="C2976" s="6" t="s">
        <v>60</v>
      </c>
      <c r="D2976" s="6" t="s">
        <v>408</v>
      </c>
      <c r="E2976" s="6" t="s">
        <v>409</v>
      </c>
      <c r="F2976" s="6" t="str">
        <f>IF($M2976="PADD I","PADD 1",IF($M2976="PADD II","PADD 2",IF($M2976="PADD III","PADD 3",IF($M2976="PADD IV","PADD 4",IF($M2976="PADD V","PADD 5","")))))</f>
        <v>PADD 3</v>
      </c>
      <c r="G2976" s="6">
        <f>IF(AND($H2976="ATMOS DISTILLATION",ISNUMBER(SEARCH("VPS",$I2976))=FALSE,LEFT($I2976,6)&lt;&gt;"VACUUM"),"CDU",IF($H2976="FLUID CAT CRACKING","FCC",IF(OR($H2976="HYDROCRACKING",$H2976="RESID_HYDROCRACKING"),"Hydrocracker",IF($H2976="REFORMING","Reformer",""))))</f>
        <v/>
      </c>
      <c r="H2976" s="6" t="s">
        <v>43</v>
      </c>
      <c r="I2976" s="6" t="s">
        <v>464</v>
      </c>
      <c r="J2976" s="6" t="s">
        <v>345</v>
      </c>
      <c r="K2976" s="10">
        <v>15.5</v>
      </c>
      <c r="L2976" s="10">
        <v>50</v>
      </c>
      <c r="M2976" s="6" t="s">
        <v>371</v>
      </c>
    </row>
    <row r="2977" spans="1:13">
      <c r="A2977" s="6">
        <v>2024</v>
      </c>
      <c r="B2977" s="6">
        <v>2</v>
      </c>
      <c r="C2977" s="6" t="s">
        <v>60</v>
      </c>
      <c r="D2977" s="6" t="s">
        <v>934</v>
      </c>
      <c r="E2977" s="6" t="s">
        <v>388</v>
      </c>
      <c r="F2977" s="6" t="str">
        <f>IF($M2977="PADD I","PADD 1",IF($M2977="PADD II","PADD 2",IF($M2977="PADD III","PADD 3",IF($M2977="PADD IV","PADD 4",IF($M2977="PADD V","PADD 5","")))))</f>
        <v>PADD 3</v>
      </c>
      <c r="G2977" s="6">
        <f>IF(AND($H2977="ATMOS DISTILLATION",ISNUMBER(SEARCH("VPS",$I2977))=FALSE,LEFT($I2977,6)&lt;&gt;"VACUUM"),"CDU",IF($H2977="FLUID CAT CRACKING","FCC",IF(OR($H2977="HYDROCRACKING",$H2977="RESID_HYDROCRACKING"),"Hydrocracker",IF($H2977="REFORMING","Reformer",""))))</f>
        <v/>
      </c>
      <c r="H2977" s="6" t="s">
        <v>43</v>
      </c>
      <c r="I2977" s="6" t="s">
        <v>458</v>
      </c>
      <c r="J2977" s="6" t="s">
        <v>349</v>
      </c>
      <c r="K2977" s="10">
        <v>15.5</v>
      </c>
      <c r="L2977" s="10">
        <v>25</v>
      </c>
      <c r="M2977" s="6" t="s">
        <v>371</v>
      </c>
    </row>
    <row r="2978" spans="1:13">
      <c r="A2978" s="6">
        <v>2024</v>
      </c>
      <c r="B2978" s="6">
        <v>2</v>
      </c>
      <c r="C2978" s="6" t="s">
        <v>60</v>
      </c>
      <c r="D2978" s="6" t="s">
        <v>615</v>
      </c>
      <c r="E2978" s="6" t="s">
        <v>405</v>
      </c>
      <c r="F2978" s="6" t="str">
        <f>IF($M2978="PADD I","PADD 1",IF($M2978="PADD II","PADD 2",IF($M2978="PADD III","PADD 3",IF($M2978="PADD IV","PADD 4",IF($M2978="PADD V","PADD 5","")))))</f>
        <v>PADD 5</v>
      </c>
      <c r="G2978" s="6" t="str">
        <f>IF(AND($H2978="ATMOS DISTILLATION",ISNUMBER(SEARCH("VPS",$I2978))=FALSE,LEFT($I2978,6)&lt;&gt;"VACUUM"),"CDU",IF($H2978="FLUID CAT CRACKING","FCC",IF(OR($H2978="HYDROCRACKING",$H2978="RESID_HYDROCRACKING"),"Hydrocracker",IF($H2978="REFORMING","Reformer",""))))</f>
        <v>Reformer</v>
      </c>
      <c r="H2978" s="6" t="s">
        <v>421</v>
      </c>
      <c r="I2978" s="6" t="s">
        <v>666</v>
      </c>
      <c r="J2978" s="6" t="s">
        <v>345</v>
      </c>
      <c r="K2978" s="10">
        <v>15.2</v>
      </c>
      <c r="L2978" s="10">
        <v>40</v>
      </c>
      <c r="M2978" s="6" t="s">
        <v>386</v>
      </c>
    </row>
    <row r="2979" spans="1:13">
      <c r="A2979" s="6">
        <v>2024</v>
      </c>
      <c r="B2979" s="6">
        <v>2</v>
      </c>
      <c r="C2979" s="6" t="s">
        <v>60</v>
      </c>
      <c r="D2979" s="6" t="s">
        <v>462</v>
      </c>
      <c r="E2979" s="6" t="s">
        <v>438</v>
      </c>
      <c r="F2979" s="6" t="str">
        <f>IF($M2979="PADD I","PADD 1",IF($M2979="PADD II","PADD 2",IF($M2979="PADD III","PADD 3",IF($M2979="PADD IV","PADD 4",IF($M2979="PADD V","PADD 5","")))))</f>
        <v>PADD 4</v>
      </c>
      <c r="G2979" s="6" t="str">
        <f>IF(AND($H2979="ATMOS DISTILLATION",ISNUMBER(SEARCH("VPS",$I2979))=FALSE,LEFT($I2979,6)&lt;&gt;"VACUUM"),"CDU",IF($H2979="FLUID CAT CRACKING","FCC",IF(OR($H2979="HYDROCRACKING",$H2979="RESID_HYDROCRACKING"),"Hydrocracker",IF($H2979="REFORMING","Reformer",""))))</f>
        <v>CDU</v>
      </c>
      <c r="H2979" s="6" t="s">
        <v>38</v>
      </c>
      <c r="I2979" s="6" t="s">
        <v>123</v>
      </c>
      <c r="J2979" s="6" t="s">
        <v>345</v>
      </c>
      <c r="K2979" s="10">
        <v>14.4</v>
      </c>
      <c r="L2979" s="10">
        <v>32</v>
      </c>
      <c r="M2979" s="6" t="s">
        <v>430</v>
      </c>
    </row>
    <row r="2980" spans="1:13">
      <c r="A2980" s="6">
        <v>2024</v>
      </c>
      <c r="B2980" s="6">
        <v>2</v>
      </c>
      <c r="C2980" s="6" t="s">
        <v>60</v>
      </c>
      <c r="D2980" s="6" t="s">
        <v>415</v>
      </c>
      <c r="E2980" s="6" t="s">
        <v>416</v>
      </c>
      <c r="F2980" s="6" t="str">
        <f>IF($M2980="PADD I","PADD 1",IF($M2980="PADD II","PADD 2",IF($M2980="PADD III","PADD 3",IF($M2980="PADD IV","PADD 4",IF($M2980="PADD V","PADD 5","")))))</f>
        <v>PADD 3</v>
      </c>
      <c r="G2980" s="6" t="str">
        <f>IF(AND($H2980="ATMOS DISTILLATION",ISNUMBER(SEARCH("VPS",$I2980))=FALSE,LEFT($I2980,6)&lt;&gt;"VACUUM"),"CDU",IF($H2980="FLUID CAT CRACKING","FCC",IF(OR($H2980="HYDROCRACKING",$H2980="RESID_HYDROCRACKING"),"Hydrocracker",IF($H2980="REFORMING","Reformer",""))))</f>
        <v>Reformer</v>
      </c>
      <c r="H2980" s="6" t="s">
        <v>421</v>
      </c>
      <c r="I2980" s="6" t="s">
        <v>648</v>
      </c>
      <c r="J2980" s="6" t="s">
        <v>349</v>
      </c>
      <c r="K2980" s="10">
        <v>14.4</v>
      </c>
      <c r="L2980" s="10">
        <v>30</v>
      </c>
      <c r="M2980" s="6" t="s">
        <v>371</v>
      </c>
    </row>
    <row r="2981" spans="1:13">
      <c r="A2981" s="6">
        <v>2024</v>
      </c>
      <c r="B2981" s="6">
        <v>2</v>
      </c>
      <c r="C2981" s="6" t="s">
        <v>60</v>
      </c>
      <c r="D2981" s="6" t="s">
        <v>518</v>
      </c>
      <c r="E2981" s="6" t="s">
        <v>369</v>
      </c>
      <c r="F2981" s="6" t="str">
        <f>IF($M2981="PADD I","PADD 1",IF($M2981="PADD II","PADD 2",IF($M2981="PADD III","PADD 3",IF($M2981="PADD IV","PADD 4",IF($M2981="PADD V","PADD 5","")))))</f>
        <v>PADD 5</v>
      </c>
      <c r="G2981" s="6" t="str">
        <f>IF(AND($H2981="ATMOS DISTILLATION",ISNUMBER(SEARCH("VPS",$I2981))=FALSE,LEFT($I2981,6)&lt;&gt;"VACUUM"),"CDU",IF($H2981="FLUID CAT CRACKING","FCC",IF(OR($H2981="HYDROCRACKING",$H2981="RESID_HYDROCRACKING"),"Hydrocracker",IF($H2981="REFORMING","Reformer",""))))</f>
        <v>CDU</v>
      </c>
      <c r="H2981" s="6" t="s">
        <v>38</v>
      </c>
      <c r="I2981" s="6" t="s">
        <v>553</v>
      </c>
      <c r="J2981" s="6" t="s">
        <v>345</v>
      </c>
      <c r="K2981" s="10">
        <v>14.4</v>
      </c>
      <c r="L2981" s="10">
        <v>32</v>
      </c>
      <c r="M2981" s="6" t="s">
        <v>386</v>
      </c>
    </row>
    <row r="2982" spans="1:13">
      <c r="A2982" s="6">
        <v>2024</v>
      </c>
      <c r="B2982" s="6">
        <v>2</v>
      </c>
      <c r="C2982" s="6" t="s">
        <v>60</v>
      </c>
      <c r="D2982" s="6" t="s">
        <v>465</v>
      </c>
      <c r="E2982" s="6" t="s">
        <v>369</v>
      </c>
      <c r="F2982" s="6" t="str">
        <f>IF($M2982="PADD I","PADD 1",IF($M2982="PADD II","PADD 2",IF($M2982="PADD III","PADD 3",IF($M2982="PADD IV","PADD 4",IF($M2982="PADD V","PADD 5","")))))</f>
        <v>PADD 5</v>
      </c>
      <c r="G2982" s="6" t="str">
        <f>IF(AND($H2982="ATMOS DISTILLATION",ISNUMBER(SEARCH("VPS",$I2982))=FALSE,LEFT($I2982,6)&lt;&gt;"VACUUM"),"CDU",IF($H2982="FLUID CAT CRACKING","FCC",IF(OR($H2982="HYDROCRACKING",$H2982="RESID_HYDROCRACKING"),"Hydrocracker",IF($H2982="REFORMING","Reformer",""))))</f>
        <v>Reformer</v>
      </c>
      <c r="H2982" s="6" t="s">
        <v>421</v>
      </c>
      <c r="I2982" s="6" t="s">
        <v>673</v>
      </c>
      <c r="J2982" s="6" t="s">
        <v>349</v>
      </c>
      <c r="K2982" s="10">
        <v>13.8</v>
      </c>
      <c r="L2982" s="10">
        <v>20</v>
      </c>
      <c r="M2982" s="6" t="s">
        <v>386</v>
      </c>
    </row>
    <row r="2983" spans="1:13">
      <c r="A2983" s="6">
        <v>2024</v>
      </c>
      <c r="B2983" s="6">
        <v>2</v>
      </c>
      <c r="C2983" s="6" t="s">
        <v>60</v>
      </c>
      <c r="D2983" s="6" t="s">
        <v>628</v>
      </c>
      <c r="E2983" s="6" t="s">
        <v>388</v>
      </c>
      <c r="F2983" s="6" t="str">
        <f>IF($M2983="PADD I","PADD 1",IF($M2983="PADD II","PADD 2",IF($M2983="PADD III","PADD 3",IF($M2983="PADD IV","PADD 4",IF($M2983="PADD V","PADD 5","")))))</f>
        <v>PADD 3</v>
      </c>
      <c r="G2983" s="6">
        <f>IF(AND($H2983="ATMOS DISTILLATION",ISNUMBER(SEARCH("VPS",$I2983))=FALSE,LEFT($I2983,6)&lt;&gt;"VACUUM"),"CDU",IF($H2983="FLUID CAT CRACKING","FCC",IF(OR($H2983="HYDROCRACKING",$H2983="RESID_HYDROCRACKING"),"Hydrocracker",IF($H2983="REFORMING","Reformer",""))))</f>
        <v/>
      </c>
      <c r="H2983" s="6" t="s">
        <v>460</v>
      </c>
      <c r="I2983" s="6" t="s">
        <v>616</v>
      </c>
      <c r="J2983" s="6" t="s">
        <v>345</v>
      </c>
      <c r="K2983" s="10">
        <v>13.8</v>
      </c>
      <c r="L2983" s="10">
        <v>13.8</v>
      </c>
      <c r="M2983" s="6" t="s">
        <v>371</v>
      </c>
    </row>
    <row r="2984" spans="1:13">
      <c r="A2984" s="6">
        <v>2024</v>
      </c>
      <c r="B2984" s="6">
        <v>2</v>
      </c>
      <c r="C2984" s="6" t="s">
        <v>60</v>
      </c>
      <c r="D2984" s="6" t="s">
        <v>602</v>
      </c>
      <c r="E2984" s="6" t="s">
        <v>369</v>
      </c>
      <c r="F2984" s="6" t="str">
        <f>IF($M2984="PADD I","PADD 1",IF($M2984="PADD II","PADD 2",IF($M2984="PADD III","PADD 3",IF($M2984="PADD IV","PADD 4",IF($M2984="PADD V","PADD 5","")))))</f>
        <v>PADD 2</v>
      </c>
      <c r="G2984" s="6" t="str">
        <f>IF(AND($H2984="ATMOS DISTILLATION",ISNUMBER(SEARCH("VPS",$I2984))=FALSE,LEFT($I2984,6)&lt;&gt;"VACUUM"),"CDU",IF($H2984="FLUID CAT CRACKING","FCC",IF(OR($H2984="HYDROCRACKING",$H2984="RESID_HYDROCRACKING"),"Hydrocracker",IF($H2984="REFORMING","Reformer",""))))</f>
        <v>FCC</v>
      </c>
      <c r="H2984" s="6" t="s">
        <v>376</v>
      </c>
      <c r="I2984" s="6" t="s">
        <v>1124</v>
      </c>
      <c r="J2984" s="6" t="s">
        <v>345</v>
      </c>
      <c r="K2984" s="10">
        <v>13.64</v>
      </c>
      <c r="L2984" s="10">
        <v>44</v>
      </c>
      <c r="M2984" s="6" t="s">
        <v>375</v>
      </c>
    </row>
    <row r="2985" spans="1:13">
      <c r="A2985" s="6">
        <v>2024</v>
      </c>
      <c r="B2985" s="6">
        <v>2</v>
      </c>
      <c r="C2985" s="6" t="s">
        <v>60</v>
      </c>
      <c r="D2985" s="6" t="s">
        <v>326</v>
      </c>
      <c r="E2985" s="6" t="s">
        <v>385</v>
      </c>
      <c r="F2985" s="6" t="str">
        <f>IF($M2985="PADD I","PADD 1",IF($M2985="PADD II","PADD 2",IF($M2985="PADD III","PADD 3",IF($M2985="PADD IV","PADD 4",IF($M2985="PADD V","PADD 5","")))))</f>
        <v>PADD 5</v>
      </c>
      <c r="G2985" s="6">
        <f>IF(AND($H2985="ATMOS DISTILLATION",ISNUMBER(SEARCH("VPS",$I2985))=FALSE,LEFT($I2985,6)&lt;&gt;"VACUUM"),"CDU",IF($H2985="FLUID CAT CRACKING","FCC",IF(OR($H2985="HYDROCRACKING",$H2985="RESID_HYDROCRACKING"),"Hydrocracker",IF($H2985="REFORMING","Reformer",""))))</f>
        <v/>
      </c>
      <c r="H2985" s="6" t="s">
        <v>435</v>
      </c>
      <c r="I2985" s="6" t="s">
        <v>441</v>
      </c>
      <c r="J2985" s="6" t="s">
        <v>345</v>
      </c>
      <c r="K2985" s="10">
        <v>13.64</v>
      </c>
      <c r="L2985" s="10">
        <v>22</v>
      </c>
      <c r="M2985" s="6" t="s">
        <v>386</v>
      </c>
    </row>
    <row r="2986" spans="1:13">
      <c r="A2986" s="6">
        <v>2024</v>
      </c>
      <c r="B2986" s="6">
        <v>2</v>
      </c>
      <c r="C2986" s="6" t="s">
        <v>60</v>
      </c>
      <c r="D2986" s="6" t="s">
        <v>547</v>
      </c>
      <c r="E2986" s="6" t="s">
        <v>391</v>
      </c>
      <c r="F2986" s="6" t="str">
        <f>IF($M2986="PADD I","PADD 1",IF($M2986="PADD II","PADD 2",IF($M2986="PADD III","PADD 3",IF($M2986="PADD IV","PADD 4",IF($M2986="PADD V","PADD 5","")))))</f>
        <v>PADD 5</v>
      </c>
      <c r="G2986" s="6" t="str">
        <f>IF(AND($H2986="ATMOS DISTILLATION",ISNUMBER(SEARCH("VPS",$I2986))=FALSE,LEFT($I2986,6)&lt;&gt;"VACUUM"),"CDU",IF($H2986="FLUID CAT CRACKING","FCC",IF(OR($H2986="HYDROCRACKING",$H2986="RESID_HYDROCRACKING"),"Hydrocracker",IF($H2986="REFORMING","Reformer",""))))</f>
        <v>FCC</v>
      </c>
      <c r="H2986" s="6" t="s">
        <v>376</v>
      </c>
      <c r="I2986" s="6" t="s">
        <v>105</v>
      </c>
      <c r="J2986" s="6" t="s">
        <v>345</v>
      </c>
      <c r="K2986" s="10">
        <v>13.6</v>
      </c>
      <c r="L2986" s="10">
        <v>80</v>
      </c>
      <c r="M2986" s="6" t="s">
        <v>386</v>
      </c>
    </row>
    <row r="2987" spans="1:13">
      <c r="A2987" s="6">
        <v>2024</v>
      </c>
      <c r="B2987" s="6">
        <v>2</v>
      </c>
      <c r="C2987" s="6" t="s">
        <v>60</v>
      </c>
      <c r="D2987" s="6" t="s">
        <v>615</v>
      </c>
      <c r="E2987" s="6" t="s">
        <v>405</v>
      </c>
      <c r="F2987" s="6" t="str">
        <f>IF($M2987="PADD I","PADD 1",IF($M2987="PADD II","PADD 2",IF($M2987="PADD III","PADD 3",IF($M2987="PADD IV","PADD 4",IF($M2987="PADD V","PADD 5","")))))</f>
        <v>PADD 5</v>
      </c>
      <c r="G2987" s="6" t="str">
        <f>IF(AND($H2987="ATMOS DISTILLATION",ISNUMBER(SEARCH("VPS",$I2987))=FALSE,LEFT($I2987,6)&lt;&gt;"VACUUM"),"CDU",IF($H2987="FLUID CAT CRACKING","FCC",IF(OR($H2987="HYDROCRACKING",$H2987="RESID_HYDROCRACKING"),"Hydrocracker",IF($H2987="REFORMING","Reformer",""))))</f>
        <v>Reformer</v>
      </c>
      <c r="H2987" s="6" t="s">
        <v>421</v>
      </c>
      <c r="I2987" s="6" t="s">
        <v>666</v>
      </c>
      <c r="J2987" s="6" t="s">
        <v>349</v>
      </c>
      <c r="K2987" s="10">
        <v>13.6</v>
      </c>
      <c r="L2987" s="10">
        <v>40</v>
      </c>
      <c r="M2987" s="6" t="s">
        <v>386</v>
      </c>
    </row>
    <row r="2988" spans="1:13">
      <c r="A2988" s="6">
        <v>2024</v>
      </c>
      <c r="B2988" s="6">
        <v>2</v>
      </c>
      <c r="C2988" s="6" t="s">
        <v>60</v>
      </c>
      <c r="D2988" s="6" t="s">
        <v>395</v>
      </c>
      <c r="E2988" s="6" t="s">
        <v>396</v>
      </c>
      <c r="F2988" s="6" t="str">
        <f>IF($M2988="PADD I","PADD 1",IF($M2988="PADD II","PADD 2",IF($M2988="PADD III","PADD 3",IF($M2988="PADD IV","PADD 4",IF($M2988="PADD V","PADD 5","")))))</f>
        <v>PADD 3</v>
      </c>
      <c r="G2988" s="6" t="str">
        <f>IF(AND($H2988="ATMOS DISTILLATION",ISNUMBER(SEARCH("VPS",$I2988))=FALSE,LEFT($I2988,6)&lt;&gt;"VACUUM"),"CDU",IF($H2988="FLUID CAT CRACKING","FCC",IF(OR($H2988="HYDROCRACKING",$H2988="RESID_HYDROCRACKING"),"Hydrocracker",IF($H2988="REFORMING","Reformer",""))))</f>
        <v>Reformer</v>
      </c>
      <c r="H2988" s="6" t="s">
        <v>421</v>
      </c>
      <c r="I2988" s="6" t="s">
        <v>540</v>
      </c>
      <c r="J2988" s="6" t="s">
        <v>349</v>
      </c>
      <c r="K2988" s="10">
        <v>13.5</v>
      </c>
      <c r="L2988" s="10">
        <v>30</v>
      </c>
      <c r="M2988" s="6" t="s">
        <v>371</v>
      </c>
    </row>
    <row r="2989" spans="1:13">
      <c r="A2989" s="6">
        <v>2024</v>
      </c>
      <c r="B2989" s="6">
        <v>2</v>
      </c>
      <c r="C2989" s="6" t="s">
        <v>60</v>
      </c>
      <c r="D2989" s="6" t="s">
        <v>380</v>
      </c>
      <c r="E2989" s="6" t="s">
        <v>381</v>
      </c>
      <c r="F2989" s="6" t="str">
        <f>IF($M2989="PADD I","PADD 1",IF($M2989="PADD II","PADD 2",IF($M2989="PADD III","PADD 3",IF($M2989="PADD IV","PADD 4",IF($M2989="PADD V","PADD 5","")))))</f>
        <v>PADD 3</v>
      </c>
      <c r="G2989" s="6" t="str">
        <f>IF(AND($H2989="ATMOS DISTILLATION",ISNUMBER(SEARCH("VPS",$I2989))=FALSE,LEFT($I2989,6)&lt;&gt;"VACUUM"),"CDU",IF($H2989="FLUID CAT CRACKING","FCC",IF(OR($H2989="HYDROCRACKING",$H2989="RESID_HYDROCRACKING"),"Hydrocracker",IF($H2989="REFORMING","Reformer",""))))</f>
        <v>Reformer</v>
      </c>
      <c r="H2989" s="6" t="s">
        <v>421</v>
      </c>
      <c r="I2989" s="6" t="s">
        <v>1125</v>
      </c>
      <c r="J2989" s="6" t="s">
        <v>345</v>
      </c>
      <c r="K2989" s="10">
        <v>13.26</v>
      </c>
      <c r="L2989" s="10">
        <v>39</v>
      </c>
      <c r="M2989" s="6" t="s">
        <v>371</v>
      </c>
    </row>
    <row r="2990" spans="1:13">
      <c r="A2990" s="6">
        <v>2024</v>
      </c>
      <c r="B2990" s="6">
        <v>2</v>
      </c>
      <c r="C2990" s="6" t="s">
        <v>60</v>
      </c>
      <c r="D2990" s="6" t="s">
        <v>380</v>
      </c>
      <c r="E2990" s="6" t="s">
        <v>381</v>
      </c>
      <c r="F2990" s="6" t="str">
        <f>IF($M2990="PADD I","PADD 1",IF($M2990="PADD II","PADD 2",IF($M2990="PADD III","PADD 3",IF($M2990="PADD IV","PADD 4",IF($M2990="PADD V","PADD 5","")))))</f>
        <v>PADD 3</v>
      </c>
      <c r="G2990" s="6" t="str">
        <f>IF(AND($H2990="ATMOS DISTILLATION",ISNUMBER(SEARCH("VPS",$I2990))=FALSE,LEFT($I2990,6)&lt;&gt;"VACUUM"),"CDU",IF($H2990="FLUID CAT CRACKING","FCC",IF(OR($H2990="HYDROCRACKING",$H2990="RESID_HYDROCRACKING"),"Hydrocracker",IF($H2990="REFORMING","Reformer",""))))</f>
        <v>Reformer</v>
      </c>
      <c r="H2990" s="6" t="s">
        <v>421</v>
      </c>
      <c r="I2990" s="6" t="s">
        <v>1126</v>
      </c>
      <c r="J2990" s="6" t="s">
        <v>345</v>
      </c>
      <c r="K2990" s="10">
        <v>13.26</v>
      </c>
      <c r="L2990" s="10">
        <v>39</v>
      </c>
      <c r="M2990" s="6" t="s">
        <v>371</v>
      </c>
    </row>
    <row r="2991" spans="1:13">
      <c r="A2991" s="6">
        <v>2024</v>
      </c>
      <c r="B2991" s="6">
        <v>2</v>
      </c>
      <c r="C2991" s="6" t="s">
        <v>60</v>
      </c>
      <c r="D2991" s="6" t="s">
        <v>865</v>
      </c>
      <c r="E2991" s="6" t="s">
        <v>369</v>
      </c>
      <c r="F2991" s="6" t="str">
        <f>IF($M2991="PADD I","PADD 1",IF($M2991="PADD II","PADD 2",IF($M2991="PADD III","PADD 3",IF($M2991="PADD IV","PADD 4",IF($M2991="PADD V","PADD 5","")))))</f>
        <v>PADD 4</v>
      </c>
      <c r="G2991" s="6" t="str">
        <f>IF(AND($H2991="ATMOS DISTILLATION",ISNUMBER(SEARCH("VPS",$I2991))=FALSE,LEFT($I2991,6)&lt;&gt;"VACUUM"),"CDU",IF($H2991="FLUID CAT CRACKING","FCC",IF(OR($H2991="HYDROCRACKING",$H2991="RESID_HYDROCRACKING"),"Hydrocracker",IF($H2991="REFORMING","Reformer",""))))</f>
        <v>CDU</v>
      </c>
      <c r="H2991" s="6" t="s">
        <v>38</v>
      </c>
      <c r="I2991" s="6" t="s">
        <v>1127</v>
      </c>
      <c r="J2991" s="6" t="s">
        <v>345</v>
      </c>
      <c r="K2991" s="10">
        <v>13.2</v>
      </c>
      <c r="L2991" s="10">
        <v>20</v>
      </c>
      <c r="M2991" s="6" t="s">
        <v>430</v>
      </c>
    </row>
    <row r="2992" spans="1:13">
      <c r="A2992" s="6">
        <v>2024</v>
      </c>
      <c r="B2992" s="6">
        <v>2</v>
      </c>
      <c r="C2992" s="6" t="s">
        <v>60</v>
      </c>
      <c r="D2992" s="6" t="s">
        <v>742</v>
      </c>
      <c r="E2992" s="6" t="s">
        <v>388</v>
      </c>
      <c r="F2992" s="6" t="str">
        <f>IF($M2992="PADD I","PADD 1",IF($M2992="PADD II","PADD 2",IF($M2992="PADD III","PADD 3",IF($M2992="PADD IV","PADD 4",IF($M2992="PADD V","PADD 5","")))))</f>
        <v>PADD 5</v>
      </c>
      <c r="G2992" s="6">
        <f>IF(AND($H2992="ATMOS DISTILLATION",ISNUMBER(SEARCH("VPS",$I2992))=FALSE,LEFT($I2992,6)&lt;&gt;"VACUUM"),"CDU",IF($H2992="FLUID CAT CRACKING","FCC",IF(OR($H2992="HYDROCRACKING",$H2992="RESID_HYDROCRACKING"),"Hydrocracker",IF($H2992="REFORMING","Reformer",""))))</f>
        <v/>
      </c>
      <c r="H2992" s="6" t="s">
        <v>43</v>
      </c>
      <c r="I2992" s="6" t="s">
        <v>912</v>
      </c>
      <c r="J2992" s="6" t="s">
        <v>345</v>
      </c>
      <c r="K2992" s="10">
        <v>13.12</v>
      </c>
      <c r="L2992" s="10">
        <v>32</v>
      </c>
      <c r="M2992" s="6" t="s">
        <v>386</v>
      </c>
    </row>
    <row r="2993" spans="1:13">
      <c r="A2993" s="6">
        <v>2024</v>
      </c>
      <c r="B2993" s="6">
        <v>2</v>
      </c>
      <c r="C2993" s="6" t="s">
        <v>60</v>
      </c>
      <c r="D2993" s="6" t="s">
        <v>714</v>
      </c>
      <c r="E2993" s="6" t="s">
        <v>405</v>
      </c>
      <c r="F2993" s="6" t="str">
        <f>IF($M2993="PADD I","PADD 1",IF($M2993="PADD II","PADD 2",IF($M2993="PADD III","PADD 3",IF($M2993="PADD IV","PADD 4",IF($M2993="PADD V","PADD 5","")))))</f>
        <v>PADD 3</v>
      </c>
      <c r="G2993" s="6" t="str">
        <f>IF(AND($H2993="ATMOS DISTILLATION",ISNUMBER(SEARCH("VPS",$I2993))=FALSE,LEFT($I2993,6)&lt;&gt;"VACUUM"),"CDU",IF($H2993="FLUID CAT CRACKING","FCC",IF(OR($H2993="HYDROCRACKING",$H2993="RESID_HYDROCRACKING"),"Hydrocracker",IF($H2993="REFORMING","Reformer",""))))</f>
        <v>FCC</v>
      </c>
      <c r="H2993" s="6" t="s">
        <v>376</v>
      </c>
      <c r="I2993" s="6" t="s">
        <v>105</v>
      </c>
      <c r="J2993" s="6" t="s">
        <v>345</v>
      </c>
      <c r="K2993" s="10">
        <v>13.0728</v>
      </c>
      <c r="L2993" s="10">
        <v>54.47</v>
      </c>
      <c r="M2993" s="6" t="s">
        <v>371</v>
      </c>
    </row>
    <row r="2994" spans="1:13">
      <c r="A2994" s="6">
        <v>2024</v>
      </c>
      <c r="B2994" s="6">
        <v>2</v>
      </c>
      <c r="C2994" s="6" t="s">
        <v>60</v>
      </c>
      <c r="D2994" s="6" t="s">
        <v>408</v>
      </c>
      <c r="E2994" s="6" t="s">
        <v>409</v>
      </c>
      <c r="F2994" s="6" t="str">
        <f>IF($M2994="PADD I","PADD 1",IF($M2994="PADD II","PADD 2",IF($M2994="PADD III","PADD 3",IF($M2994="PADD IV","PADD 4",IF($M2994="PADD V","PADD 5","")))))</f>
        <v>PADD 3</v>
      </c>
      <c r="G2994" s="6">
        <f>IF(AND($H2994="ATMOS DISTILLATION",ISNUMBER(SEARCH("VPS",$I2994))=FALSE,LEFT($I2994,6)&lt;&gt;"VACUUM"),"CDU",IF($H2994="FLUID CAT CRACKING","FCC",IF(OR($H2994="HYDROCRACKING",$H2994="RESID_HYDROCRACKING"),"Hydrocracker",IF($H2994="REFORMING","Reformer",""))))</f>
        <v/>
      </c>
      <c r="H2994" s="6" t="s">
        <v>43</v>
      </c>
      <c r="I2994" s="6" t="s">
        <v>478</v>
      </c>
      <c r="J2994" s="6" t="s">
        <v>345</v>
      </c>
      <c r="K2994" s="10">
        <v>13.02</v>
      </c>
      <c r="L2994" s="10">
        <v>42</v>
      </c>
      <c r="M2994" s="6" t="s">
        <v>371</v>
      </c>
    </row>
    <row r="2995" spans="1:13">
      <c r="A2995" s="6">
        <v>2024</v>
      </c>
      <c r="B2995" s="6">
        <v>2</v>
      </c>
      <c r="C2995" s="6" t="s">
        <v>60</v>
      </c>
      <c r="D2995" s="6" t="s">
        <v>457</v>
      </c>
      <c r="E2995" s="6" t="s">
        <v>388</v>
      </c>
      <c r="F2995" s="6" t="str">
        <f>IF($M2995="PADD I","PADD 1",IF($M2995="PADD II","PADD 2",IF($M2995="PADD III","PADD 3",IF($M2995="PADD IV","PADD 4",IF($M2995="PADD V","PADD 5","")))))</f>
        <v>PADD 5</v>
      </c>
      <c r="G2995" s="6">
        <f>IF(AND($H2995="ATMOS DISTILLATION",ISNUMBER(SEARCH("VPS",$I2995))=FALSE,LEFT($I2995,6)&lt;&gt;"VACUUM"),"CDU",IF($H2995="FLUID CAT CRACKING","FCC",IF(OR($H2995="HYDROCRACKING",$H2995="RESID_HYDROCRACKING"),"Hydrocracker",IF($H2995="REFORMING","Reformer",""))))</f>
        <v/>
      </c>
      <c r="H2995" s="6" t="s">
        <v>43</v>
      </c>
      <c r="I2995" s="6" t="s">
        <v>1093</v>
      </c>
      <c r="J2995" s="6" t="s">
        <v>349</v>
      </c>
      <c r="K2995" s="10">
        <v>13</v>
      </c>
      <c r="L2995" s="10">
        <v>25</v>
      </c>
      <c r="M2995" s="6" t="s">
        <v>386</v>
      </c>
    </row>
    <row r="2996" spans="1:13">
      <c r="A2996" s="6">
        <v>2024</v>
      </c>
      <c r="B2996" s="6">
        <v>2</v>
      </c>
      <c r="C2996" s="6" t="s">
        <v>60</v>
      </c>
      <c r="D2996" s="6" t="s">
        <v>457</v>
      </c>
      <c r="E2996" s="6" t="s">
        <v>388</v>
      </c>
      <c r="F2996" s="6" t="str">
        <f>IF($M2996="PADD I","PADD 1",IF($M2996="PADD II","PADD 2",IF($M2996="PADD III","PADD 3",IF($M2996="PADD IV","PADD 4",IF($M2996="PADD V","PADD 5","")))))</f>
        <v>PADD 5</v>
      </c>
      <c r="G2996" s="6">
        <f>IF(AND($H2996="ATMOS DISTILLATION",ISNUMBER(SEARCH("VPS",$I2996))=FALSE,LEFT($I2996,6)&lt;&gt;"VACUUM"),"CDU",IF($H2996="FLUID CAT CRACKING","FCC",IF(OR($H2996="HYDROCRACKING",$H2996="RESID_HYDROCRACKING"),"Hydrocracker",IF($H2996="REFORMING","Reformer",""))))</f>
        <v/>
      </c>
      <c r="H2996" s="6" t="s">
        <v>43</v>
      </c>
      <c r="I2996" s="6" t="s">
        <v>1094</v>
      </c>
      <c r="J2996" s="6" t="s">
        <v>349</v>
      </c>
      <c r="K2996" s="10">
        <v>13</v>
      </c>
      <c r="L2996" s="10">
        <v>25</v>
      </c>
      <c r="M2996" s="6" t="s">
        <v>386</v>
      </c>
    </row>
    <row r="2997" spans="1:13">
      <c r="A2997" s="6">
        <v>2024</v>
      </c>
      <c r="B2997" s="6">
        <v>2</v>
      </c>
      <c r="C2997" s="6" t="s">
        <v>60</v>
      </c>
      <c r="D2997" s="6" t="s">
        <v>326</v>
      </c>
      <c r="E2997" s="6" t="s">
        <v>385</v>
      </c>
      <c r="F2997" s="6" t="str">
        <f>IF($M2997="PADD I","PADD 1",IF($M2997="PADD II","PADD 2",IF($M2997="PADD III","PADD 3",IF($M2997="PADD IV","PADD 4",IF($M2997="PADD V","PADD 5","")))))</f>
        <v>PADD 5</v>
      </c>
      <c r="G2997" s="6">
        <f>IF(AND($H2997="ATMOS DISTILLATION",ISNUMBER(SEARCH("VPS",$I2997))=FALSE,LEFT($I2997,6)&lt;&gt;"VACUUM"),"CDU",IF($H2997="FLUID CAT CRACKING","FCC",IF(OR($H2997="HYDROCRACKING",$H2997="RESID_HYDROCRACKING"),"Hydrocracker",IF($H2997="REFORMING","Reformer",""))))</f>
        <v/>
      </c>
      <c r="H2997" s="6" t="s">
        <v>435</v>
      </c>
      <c r="I2997" s="6" t="s">
        <v>813</v>
      </c>
      <c r="J2997" s="6" t="s">
        <v>345</v>
      </c>
      <c r="K2997" s="10">
        <v>12.958</v>
      </c>
      <c r="L2997" s="10">
        <v>20.9</v>
      </c>
      <c r="M2997" s="6" t="s">
        <v>386</v>
      </c>
    </row>
    <row r="2998" spans="1:13">
      <c r="A2998" s="6">
        <v>2024</v>
      </c>
      <c r="B2998" s="6">
        <v>2</v>
      </c>
      <c r="C2998" s="6" t="s">
        <v>60</v>
      </c>
      <c r="D2998" s="6" t="s">
        <v>380</v>
      </c>
      <c r="E2998" s="6" t="s">
        <v>381</v>
      </c>
      <c r="F2998" s="6" t="str">
        <f>IF($M2998="PADD I","PADD 1",IF($M2998="PADD II","PADD 2",IF($M2998="PADD III","PADD 3",IF($M2998="PADD IV","PADD 4",IF($M2998="PADD V","PADD 5","")))))</f>
        <v>PADD 3</v>
      </c>
      <c r="G2998" s="6" t="str">
        <f>IF(AND($H2998="ATMOS DISTILLATION",ISNUMBER(SEARCH("VPS",$I2998))=FALSE,LEFT($I2998,6)&lt;&gt;"VACUUM"),"CDU",IF($H2998="FLUID CAT CRACKING","FCC",IF(OR($H2998="HYDROCRACKING",$H2998="RESID_HYDROCRACKING"),"Hydrocracker",IF($H2998="REFORMING","Reformer",""))))</f>
        <v>Reformer</v>
      </c>
      <c r="H2998" s="6" t="s">
        <v>421</v>
      </c>
      <c r="I2998" s="6" t="s">
        <v>1128</v>
      </c>
      <c r="J2998" s="6" t="s">
        <v>345</v>
      </c>
      <c r="K2998" s="10">
        <v>12.835</v>
      </c>
      <c r="L2998" s="10">
        <v>75.5</v>
      </c>
      <c r="M2998" s="6" t="s">
        <v>371</v>
      </c>
    </row>
    <row r="2999" spans="1:13">
      <c r="A2999" s="6">
        <v>2024</v>
      </c>
      <c r="B2999" s="6">
        <v>2</v>
      </c>
      <c r="C2999" s="6" t="s">
        <v>60</v>
      </c>
      <c r="D2999" s="6" t="s">
        <v>440</v>
      </c>
      <c r="E2999" s="6" t="s">
        <v>369</v>
      </c>
      <c r="F2999" s="6" t="str">
        <f>IF($M2999="PADD I","PADD 1",IF($M2999="PADD II","PADD 2",IF($M2999="PADD III","PADD 3",IF($M2999="PADD IV","PADD 4",IF($M2999="PADD V","PADD 5","")))))</f>
        <v>PADD 5</v>
      </c>
      <c r="G2999" s="6">
        <f>IF(AND($H2999="ATMOS DISTILLATION",ISNUMBER(SEARCH("VPS",$I2999))=FALSE,LEFT($I2999,6)&lt;&gt;"VACUUM"),"CDU",IF($H2999="FLUID CAT CRACKING","FCC",IF(OR($H2999="HYDROCRACKING",$H2999="RESID_HYDROCRACKING"),"Hydrocracker",IF($H2999="REFORMING","Reformer",""))))</f>
        <v/>
      </c>
      <c r="H2999" s="6" t="s">
        <v>435</v>
      </c>
      <c r="I2999" s="6" t="s">
        <v>441</v>
      </c>
      <c r="J2999" s="6" t="s">
        <v>345</v>
      </c>
      <c r="K2999" s="10">
        <v>12.72</v>
      </c>
      <c r="L2999" s="10">
        <v>53</v>
      </c>
      <c r="M2999" s="6" t="s">
        <v>386</v>
      </c>
    </row>
    <row r="3000" spans="1:13">
      <c r="A3000" s="6">
        <v>2024</v>
      </c>
      <c r="B3000" s="6">
        <v>2</v>
      </c>
      <c r="C3000" s="6" t="s">
        <v>60</v>
      </c>
      <c r="D3000" s="6" t="s">
        <v>778</v>
      </c>
      <c r="E3000" s="6" t="s">
        <v>779</v>
      </c>
      <c r="F3000" s="6" t="str">
        <f>IF($M3000="PADD I","PADD 1",IF($M3000="PADD II","PADD 2",IF($M3000="PADD III","PADD 3",IF($M3000="PADD IV","PADD 4",IF($M3000="PADD V","PADD 5","")))))</f>
        <v>PADD 3</v>
      </c>
      <c r="G3000" s="6">
        <f>IF(AND($H3000="ATMOS DISTILLATION",ISNUMBER(SEARCH("VPS",$I3000))=FALSE,LEFT($I3000,6)&lt;&gt;"VACUUM"),"CDU",IF($H3000="FLUID CAT CRACKING","FCC",IF(OR($H3000="HYDROCRACKING",$H3000="RESID_HYDROCRACKING"),"Hydrocracker",IF($H3000="REFORMING","Reformer",""))))</f>
        <v/>
      </c>
      <c r="H3000" s="6" t="s">
        <v>378</v>
      </c>
      <c r="I3000" s="6" t="s">
        <v>798</v>
      </c>
      <c r="J3000" s="6" t="s">
        <v>345</v>
      </c>
      <c r="K3000" s="10">
        <v>12.65</v>
      </c>
      <c r="L3000" s="10">
        <v>23</v>
      </c>
      <c r="M3000" s="6" t="s">
        <v>371</v>
      </c>
    </row>
    <row r="3001" spans="1:13">
      <c r="A3001" s="6">
        <v>2024</v>
      </c>
      <c r="B3001" s="6">
        <v>2</v>
      </c>
      <c r="C3001" s="6" t="s">
        <v>60</v>
      </c>
      <c r="D3001" s="6" t="s">
        <v>518</v>
      </c>
      <c r="E3001" s="6" t="s">
        <v>369</v>
      </c>
      <c r="F3001" s="6" t="str">
        <f>IF($M3001="PADD I","PADD 1",IF($M3001="PADD II","PADD 2",IF($M3001="PADD III","PADD 3",IF($M3001="PADD IV","PADD 4",IF($M3001="PADD V","PADD 5","")))))</f>
        <v>PADD 5</v>
      </c>
      <c r="G3001" s="6">
        <f>IF(AND($H3001="ATMOS DISTILLATION",ISNUMBER(SEARCH("VPS",$I3001))=FALSE,LEFT($I3001,6)&lt;&gt;"VACUUM"),"CDU",IF($H3001="FLUID CAT CRACKING","FCC",IF(OR($H3001="HYDROCRACKING",$H3001="RESID_HYDROCRACKING"),"Hydrocracker",IF($H3001="REFORMING","Reformer",""))))</f>
        <v/>
      </c>
      <c r="H3001" s="6" t="s">
        <v>435</v>
      </c>
      <c r="I3001" s="6" t="s">
        <v>578</v>
      </c>
      <c r="J3001" s="6" t="s">
        <v>345</v>
      </c>
      <c r="K3001" s="10">
        <v>12.65</v>
      </c>
      <c r="L3001" s="10">
        <v>23</v>
      </c>
      <c r="M3001" s="6" t="s">
        <v>386</v>
      </c>
    </row>
    <row r="3002" spans="1:13">
      <c r="A3002" s="6">
        <v>2024</v>
      </c>
      <c r="B3002" s="6">
        <v>2</v>
      </c>
      <c r="C3002" s="6" t="s">
        <v>60</v>
      </c>
      <c r="D3002" s="6" t="s">
        <v>602</v>
      </c>
      <c r="E3002" s="6" t="s">
        <v>369</v>
      </c>
      <c r="F3002" s="6" t="str">
        <f>IF($M3002="PADD I","PADD 1",IF($M3002="PADD II","PADD 2",IF($M3002="PADD III","PADD 3",IF($M3002="PADD IV","PADD 4",IF($M3002="PADD V","PADD 5","")))))</f>
        <v>PADD 2</v>
      </c>
      <c r="G3002" s="6" t="str">
        <f>IF(AND($H3002="ATMOS DISTILLATION",ISNUMBER(SEARCH("VPS",$I3002))=FALSE,LEFT($I3002,6)&lt;&gt;"VACUUM"),"CDU",IF($H3002="FLUID CAT CRACKING","FCC",IF(OR($H3002="HYDROCRACKING",$H3002="RESID_HYDROCRACKING"),"Hydrocracker",IF($H3002="REFORMING","Reformer",""))))</f>
        <v>CDU</v>
      </c>
      <c r="H3002" s="6" t="s">
        <v>38</v>
      </c>
      <c r="I3002" s="6" t="s">
        <v>129</v>
      </c>
      <c r="J3002" s="6" t="s">
        <v>345</v>
      </c>
      <c r="K3002" s="10">
        <v>12.4138</v>
      </c>
      <c r="L3002" s="10">
        <v>88.67</v>
      </c>
      <c r="M3002" s="6" t="s">
        <v>375</v>
      </c>
    </row>
    <row r="3003" spans="1:13">
      <c r="A3003" s="6">
        <v>2024</v>
      </c>
      <c r="B3003" s="6">
        <v>2</v>
      </c>
      <c r="C3003" s="6" t="s">
        <v>60</v>
      </c>
      <c r="D3003" s="6" t="s">
        <v>865</v>
      </c>
      <c r="E3003" s="6" t="s">
        <v>369</v>
      </c>
      <c r="F3003" s="6" t="str">
        <f>IF($M3003="PADD I","PADD 1",IF($M3003="PADD II","PADD 2",IF($M3003="PADD III","PADD 3",IF($M3003="PADD IV","PADD 4",IF($M3003="PADD V","PADD 5","")))))</f>
        <v>PADD 4</v>
      </c>
      <c r="G3003" s="6">
        <f>IF(AND($H3003="ATMOS DISTILLATION",ISNUMBER(SEARCH("VPS",$I3003))=FALSE,LEFT($I3003,6)&lt;&gt;"VACUUM"),"CDU",IF($H3003="FLUID CAT CRACKING","FCC",IF(OR($H3003="HYDROCRACKING",$H3003="RESID_HYDROCRACKING"),"Hydrocracker",IF($H3003="REFORMING","Reformer",""))))</f>
        <v/>
      </c>
      <c r="H3003" s="6" t="s">
        <v>435</v>
      </c>
      <c r="I3003" s="6" t="s">
        <v>870</v>
      </c>
      <c r="J3003" s="6" t="s">
        <v>345</v>
      </c>
      <c r="K3003" s="10">
        <v>12.4</v>
      </c>
      <c r="L3003" s="10">
        <v>20</v>
      </c>
      <c r="M3003" s="6" t="s">
        <v>430</v>
      </c>
    </row>
    <row r="3004" spans="1:13">
      <c r="A3004" s="6">
        <v>2024</v>
      </c>
      <c r="B3004" s="6">
        <v>2</v>
      </c>
      <c r="C3004" s="6" t="s">
        <v>60</v>
      </c>
      <c r="D3004" s="6" t="s">
        <v>531</v>
      </c>
      <c r="E3004" s="6" t="s">
        <v>532</v>
      </c>
      <c r="F3004" s="6" t="str">
        <f>IF($M3004="PADD I","PADD 1",IF($M3004="PADD II","PADD 2",IF($M3004="PADD III","PADD 3",IF($M3004="PADD IV","PADD 4",IF($M3004="PADD V","PADD 5","")))))</f>
        <v>PADD 5</v>
      </c>
      <c r="G3004" s="6" t="str">
        <f>IF(AND($H3004="ATMOS DISTILLATION",ISNUMBER(SEARCH("VPS",$I3004))=FALSE,LEFT($I3004,6)&lt;&gt;"VACUUM"),"CDU",IF($H3004="FLUID CAT CRACKING","FCC",IF(OR($H3004="HYDROCRACKING",$H3004="RESID_HYDROCRACKING"),"Hydrocracker",IF($H3004="REFORMING","Reformer",""))))</f>
        <v>Reformer</v>
      </c>
      <c r="H3004" s="6" t="s">
        <v>421</v>
      </c>
      <c r="I3004" s="6" t="s">
        <v>557</v>
      </c>
      <c r="J3004" s="6" t="s">
        <v>345</v>
      </c>
      <c r="K3004" s="10">
        <v>12.375</v>
      </c>
      <c r="L3004" s="10">
        <v>22.5</v>
      </c>
      <c r="M3004" s="6" t="s">
        <v>386</v>
      </c>
    </row>
    <row r="3005" spans="1:13">
      <c r="A3005" s="6">
        <v>2024</v>
      </c>
      <c r="B3005" s="6">
        <v>2</v>
      </c>
      <c r="C3005" s="6" t="s">
        <v>60</v>
      </c>
      <c r="D3005" s="6" t="s">
        <v>42</v>
      </c>
      <c r="E3005" s="6" t="s">
        <v>405</v>
      </c>
      <c r="F3005" s="6" t="str">
        <f>IF($M3005="PADD I","PADD 1",IF($M3005="PADD II","PADD 2",IF($M3005="PADD III","PADD 3",IF($M3005="PADD IV","PADD 4",IF($M3005="PADD V","PADD 5","")))))</f>
        <v>PADD 3</v>
      </c>
      <c r="G3005" s="6">
        <f>IF(AND($H3005="ATMOS DISTILLATION",ISNUMBER(SEARCH("VPS",$I3005))=FALSE,LEFT($I3005,6)&lt;&gt;"VACUUM"),"CDU",IF($H3005="FLUID CAT CRACKING","FCC",IF(OR($H3005="HYDROCRACKING",$H3005="RESID_HYDROCRACKING"),"Hydrocracker",IF($H3005="REFORMING","Reformer",""))))</f>
        <v/>
      </c>
      <c r="H3005" s="6" t="s">
        <v>460</v>
      </c>
      <c r="I3005" s="6" t="s">
        <v>616</v>
      </c>
      <c r="J3005" s="6" t="s">
        <v>349</v>
      </c>
      <c r="K3005" s="10">
        <v>12</v>
      </c>
      <c r="L3005" s="10">
        <v>12</v>
      </c>
      <c r="M3005" s="6" t="s">
        <v>371</v>
      </c>
    </row>
    <row r="3006" spans="1:13">
      <c r="A3006" s="6">
        <v>2024</v>
      </c>
      <c r="B3006" s="6">
        <v>2</v>
      </c>
      <c r="C3006" s="6" t="s">
        <v>60</v>
      </c>
      <c r="D3006" s="6" t="s">
        <v>451</v>
      </c>
      <c r="E3006" s="6" t="s">
        <v>452</v>
      </c>
      <c r="F3006" s="6" t="str">
        <f>IF($M3006="PADD I","PADD 1",IF($M3006="PADD II","PADD 2",IF($M3006="PADD III","PADD 3",IF($M3006="PADD IV","PADD 4",IF($M3006="PADD V","PADD 5","")))))</f>
        <v>PADD 2</v>
      </c>
      <c r="G3006" s="6" t="str">
        <f>IF(AND($H3006="ATMOS DISTILLATION",ISNUMBER(SEARCH("VPS",$I3006))=FALSE,LEFT($I3006,6)&lt;&gt;"VACUUM"),"CDU",IF($H3006="FLUID CAT CRACKING","FCC",IF(OR($H3006="HYDROCRACKING",$H3006="RESID_HYDROCRACKING"),"Hydrocracker",IF($H3006="REFORMING","Reformer",""))))</f>
        <v>FCC</v>
      </c>
      <c r="H3006" s="6" t="s">
        <v>376</v>
      </c>
      <c r="I3006" s="6" t="s">
        <v>105</v>
      </c>
      <c r="J3006" s="6" t="s">
        <v>345</v>
      </c>
      <c r="K3006" s="10">
        <v>11.89</v>
      </c>
      <c r="L3006" s="10">
        <v>29</v>
      </c>
      <c r="M3006" s="6" t="s">
        <v>375</v>
      </c>
    </row>
    <row r="3007" spans="1:13">
      <c r="A3007" s="6">
        <v>2024</v>
      </c>
      <c r="B3007" s="6">
        <v>2</v>
      </c>
      <c r="C3007" s="6" t="s">
        <v>60</v>
      </c>
      <c r="D3007" s="6" t="s">
        <v>408</v>
      </c>
      <c r="E3007" s="6" t="s">
        <v>409</v>
      </c>
      <c r="F3007" s="6" t="str">
        <f>IF($M3007="PADD I","PADD 1",IF($M3007="PADD II","PADD 2",IF($M3007="PADD III","PADD 3",IF($M3007="PADD IV","PADD 4",IF($M3007="PADD V","PADD 5","")))))</f>
        <v>PADD 3</v>
      </c>
      <c r="G3007" s="6" t="str">
        <f>IF(AND($H3007="ATMOS DISTILLATION",ISNUMBER(SEARCH("VPS",$I3007))=FALSE,LEFT($I3007,6)&lt;&gt;"VACUUM"),"CDU",IF($H3007="FLUID CAT CRACKING","FCC",IF(OR($H3007="HYDROCRACKING",$H3007="RESID_HYDROCRACKING"),"Hydrocracker",IF($H3007="REFORMING","Reformer",""))))</f>
        <v>Reformer</v>
      </c>
      <c r="H3007" s="6" t="s">
        <v>421</v>
      </c>
      <c r="I3007" s="6" t="s">
        <v>533</v>
      </c>
      <c r="J3007" s="6" t="s">
        <v>345</v>
      </c>
      <c r="K3007" s="10">
        <v>10.85</v>
      </c>
      <c r="L3007" s="10">
        <v>35</v>
      </c>
      <c r="M3007" s="6" t="s">
        <v>371</v>
      </c>
    </row>
    <row r="3008" spans="1:13">
      <c r="A3008" s="6">
        <v>2024</v>
      </c>
      <c r="B3008" s="6">
        <v>2</v>
      </c>
      <c r="C3008" s="6" t="s">
        <v>60</v>
      </c>
      <c r="D3008" s="6" t="s">
        <v>762</v>
      </c>
      <c r="E3008" s="6" t="s">
        <v>763</v>
      </c>
      <c r="F3008" s="6" t="str">
        <f>IF($M3008="PADD I","PADD 1",IF($M3008="PADD II","PADD 2",IF($M3008="PADD III","PADD 3",IF($M3008="PADD IV","PADD 4",IF($M3008="PADD V","PADD 5","")))))</f>
        <v>PADD 2</v>
      </c>
      <c r="G3008" s="6" t="str">
        <f>IF(AND($H3008="ATMOS DISTILLATION",ISNUMBER(SEARCH("VPS",$I3008))=FALSE,LEFT($I3008,6)&lt;&gt;"VACUUM"),"CDU",IF($H3008="FLUID CAT CRACKING","FCC",IF(OR($H3008="HYDROCRACKING",$H3008="RESID_HYDROCRACKING"),"Hydrocracker",IF($H3008="REFORMING","Reformer",""))))</f>
        <v>CDU</v>
      </c>
      <c r="H3008" s="6" t="s">
        <v>38</v>
      </c>
      <c r="I3008" s="6" t="s">
        <v>330</v>
      </c>
      <c r="J3008" s="6" t="s">
        <v>349</v>
      </c>
      <c r="K3008" s="10">
        <v>10.85</v>
      </c>
      <c r="L3008" s="10">
        <v>35</v>
      </c>
      <c r="M3008" s="6" t="s">
        <v>375</v>
      </c>
    </row>
    <row r="3009" spans="1:13">
      <c r="A3009" s="6">
        <v>2024</v>
      </c>
      <c r="B3009" s="6">
        <v>2</v>
      </c>
      <c r="C3009" s="6" t="s">
        <v>60</v>
      </c>
      <c r="D3009" s="6" t="s">
        <v>429</v>
      </c>
      <c r="E3009" s="6" t="s">
        <v>388</v>
      </c>
      <c r="F3009" s="6" t="str">
        <f>IF($M3009="PADD I","PADD 1",IF($M3009="PADD II","PADD 2",IF($M3009="PADD III","PADD 3",IF($M3009="PADD IV","PADD 4",IF($M3009="PADD V","PADD 5","")))))</f>
        <v>PADD 4</v>
      </c>
      <c r="G3009" s="6" t="str">
        <f>IF(AND($H3009="ATMOS DISTILLATION",ISNUMBER(SEARCH("VPS",$I3009))=FALSE,LEFT($I3009,6)&lt;&gt;"VACUUM"),"CDU",IF($H3009="FLUID CAT CRACKING","FCC",IF(OR($H3009="HYDROCRACKING",$H3009="RESID_HYDROCRACKING"),"Hydrocracker",IF($H3009="REFORMING","Reformer",""))))</f>
        <v>FCC</v>
      </c>
      <c r="H3009" s="6" t="s">
        <v>376</v>
      </c>
      <c r="I3009" s="6" t="s">
        <v>105</v>
      </c>
      <c r="J3009" s="6" t="s">
        <v>349</v>
      </c>
      <c r="K3009" s="10">
        <v>10.824</v>
      </c>
      <c r="L3009" s="10">
        <v>26.4</v>
      </c>
      <c r="M3009" s="6" t="s">
        <v>430</v>
      </c>
    </row>
    <row r="3010" spans="1:13">
      <c r="A3010" s="6">
        <v>2024</v>
      </c>
      <c r="B3010" s="6">
        <v>2</v>
      </c>
      <c r="C3010" s="6" t="s">
        <v>60</v>
      </c>
      <c r="D3010" s="6" t="s">
        <v>615</v>
      </c>
      <c r="E3010" s="6" t="s">
        <v>405</v>
      </c>
      <c r="F3010" s="6" t="str">
        <f>IF($M3010="PADD I","PADD 1",IF($M3010="PADD II","PADD 2",IF($M3010="PADD III","PADD 3",IF($M3010="PADD IV","PADD 4",IF($M3010="PADD V","PADD 5","")))))</f>
        <v>PADD 5</v>
      </c>
      <c r="G3010" s="6" t="str">
        <f>IF(AND($H3010="ATMOS DISTILLATION",ISNUMBER(SEARCH("VPS",$I3010))=FALSE,LEFT($I3010,6)&lt;&gt;"VACUUM"),"CDU",IF($H3010="FLUID CAT CRACKING","FCC",IF(OR($H3010="HYDROCRACKING",$H3010="RESID_HYDROCRACKING"),"Hydrocracker",IF($H3010="REFORMING","Reformer",""))))</f>
        <v>FCC</v>
      </c>
      <c r="H3010" s="6" t="s">
        <v>376</v>
      </c>
      <c r="I3010" s="6" t="s">
        <v>105</v>
      </c>
      <c r="J3010" s="6" t="s">
        <v>345</v>
      </c>
      <c r="K3010" s="10">
        <v>10.78</v>
      </c>
      <c r="L3010" s="10">
        <v>77</v>
      </c>
      <c r="M3010" s="6" t="s">
        <v>386</v>
      </c>
    </row>
    <row r="3011" spans="1:13">
      <c r="A3011" s="6">
        <v>2024</v>
      </c>
      <c r="B3011" s="6">
        <v>2</v>
      </c>
      <c r="C3011" s="6" t="s">
        <v>60</v>
      </c>
      <c r="D3011" s="6" t="s">
        <v>429</v>
      </c>
      <c r="E3011" s="6" t="s">
        <v>388</v>
      </c>
      <c r="F3011" s="6" t="str">
        <f>IF($M3011="PADD I","PADD 1",IF($M3011="PADD II","PADD 2",IF($M3011="PADD III","PADD 3",IF($M3011="PADD IV","PADD 4",IF($M3011="PADD V","PADD 5","")))))</f>
        <v>PADD 4</v>
      </c>
      <c r="G3011" s="6">
        <f>IF(AND($H3011="ATMOS DISTILLATION",ISNUMBER(SEARCH("VPS",$I3011))=FALSE,LEFT($I3011,6)&lt;&gt;"VACUUM"),"CDU",IF($H3011="FLUID CAT CRACKING","FCC",IF(OR($H3011="HYDROCRACKING",$H3011="RESID_HYDROCRACKING"),"Hydrocracker",IF($H3011="REFORMING","Reformer",""))))</f>
        <v/>
      </c>
      <c r="H3011" s="6" t="s">
        <v>43</v>
      </c>
      <c r="I3011" s="6" t="s">
        <v>514</v>
      </c>
      <c r="J3011" s="6" t="s">
        <v>345</v>
      </c>
      <c r="K3011" s="10">
        <v>10.602</v>
      </c>
      <c r="L3011" s="10">
        <v>17.1</v>
      </c>
      <c r="M3011" s="6" t="s">
        <v>430</v>
      </c>
    </row>
    <row r="3012" spans="1:13">
      <c r="A3012" s="6">
        <v>2024</v>
      </c>
      <c r="B3012" s="6">
        <v>2</v>
      </c>
      <c r="C3012" s="6" t="s">
        <v>60</v>
      </c>
      <c r="D3012" s="6" t="s">
        <v>934</v>
      </c>
      <c r="E3012" s="6" t="s">
        <v>388</v>
      </c>
      <c r="F3012" s="6" t="str">
        <f>IF($M3012="PADD I","PADD 1",IF($M3012="PADD II","PADD 2",IF($M3012="PADD III","PADD 3",IF($M3012="PADD IV","PADD 4",IF($M3012="PADD V","PADD 5","")))))</f>
        <v>PADD 3</v>
      </c>
      <c r="G3012" s="6">
        <f>IF(AND($H3012="ATMOS DISTILLATION",ISNUMBER(SEARCH("VPS",$I3012))=FALSE,LEFT($I3012,6)&lt;&gt;"VACUUM"),"CDU",IF($H3012="FLUID CAT CRACKING","FCC",IF(OR($H3012="HYDROCRACKING",$H3012="RESID_HYDROCRACKING"),"Hydrocracker",IF($H3012="REFORMING","Reformer",""))))</f>
        <v/>
      </c>
      <c r="H3012" s="6" t="s">
        <v>378</v>
      </c>
      <c r="I3012" s="6" t="s">
        <v>964</v>
      </c>
      <c r="J3012" s="6" t="s">
        <v>349</v>
      </c>
      <c r="K3012" s="10">
        <v>10.54</v>
      </c>
      <c r="L3012" s="10">
        <v>17</v>
      </c>
      <c r="M3012" s="6" t="s">
        <v>371</v>
      </c>
    </row>
    <row r="3013" spans="1:13">
      <c r="A3013" s="6">
        <v>2024</v>
      </c>
      <c r="B3013" s="6">
        <v>2</v>
      </c>
      <c r="C3013" s="6" t="s">
        <v>60</v>
      </c>
      <c r="D3013" s="6" t="s">
        <v>457</v>
      </c>
      <c r="E3013" s="6" t="s">
        <v>388</v>
      </c>
      <c r="F3013" s="6" t="str">
        <f>IF($M3013="PADD I","PADD 1",IF($M3013="PADD II","PADD 2",IF($M3013="PADD III","PADD 3",IF($M3013="PADD IV","PADD 4",IF($M3013="PADD V","PADD 5","")))))</f>
        <v>PADD 5</v>
      </c>
      <c r="G3013" s="6" t="str">
        <f>IF(AND($H3013="ATMOS DISTILLATION",ISNUMBER(SEARCH("VPS",$I3013))=FALSE,LEFT($I3013,6)&lt;&gt;"VACUUM"),"CDU",IF($H3013="FLUID CAT CRACKING","FCC",IF(OR($H3013="HYDROCRACKING",$H3013="RESID_HYDROCRACKING"),"Hydrocracker",IF($H3013="REFORMING","Reformer",""))))</f>
        <v>Reformer</v>
      </c>
      <c r="H3013" s="6" t="s">
        <v>421</v>
      </c>
      <c r="I3013" s="6" t="s">
        <v>559</v>
      </c>
      <c r="J3013" s="6" t="s">
        <v>349</v>
      </c>
      <c r="K3013" s="10">
        <v>10.4</v>
      </c>
      <c r="L3013" s="10">
        <v>20</v>
      </c>
      <c r="M3013" s="6" t="s">
        <v>386</v>
      </c>
    </row>
    <row r="3014" spans="1:13">
      <c r="A3014" s="6">
        <v>2024</v>
      </c>
      <c r="B3014" s="6">
        <v>2</v>
      </c>
      <c r="C3014" s="6" t="s">
        <v>60</v>
      </c>
      <c r="D3014" s="6" t="s">
        <v>334</v>
      </c>
      <c r="E3014" s="6" t="s">
        <v>552</v>
      </c>
      <c r="F3014" s="6" t="str">
        <f>IF($M3014="PADD I","PADD 1",IF($M3014="PADD II","PADD 2",IF($M3014="PADD III","PADD 3",IF($M3014="PADD IV","PADD 4",IF($M3014="PADD V","PADD 5","")))))</f>
        <v>PADD 3</v>
      </c>
      <c r="G3014" s="6">
        <f>IF(AND($H3014="ATMOS DISTILLATION",ISNUMBER(SEARCH("VPS",$I3014))=FALSE,LEFT($I3014,6)&lt;&gt;"VACUUM"),"CDU",IF($H3014="FLUID CAT CRACKING","FCC",IF(OR($H3014="HYDROCRACKING",$H3014="RESID_HYDROCRACKING"),"Hydrocracker",IF($H3014="REFORMING","Reformer",""))))</f>
        <v/>
      </c>
      <c r="H3014" s="6" t="s">
        <v>378</v>
      </c>
      <c r="I3014" s="6" t="s">
        <v>555</v>
      </c>
      <c r="J3014" s="6" t="s">
        <v>345</v>
      </c>
      <c r="K3014" s="10">
        <v>10.1915</v>
      </c>
      <c r="L3014" s="10">
        <v>18.53</v>
      </c>
      <c r="M3014" s="6" t="s">
        <v>371</v>
      </c>
    </row>
    <row r="3015" spans="1:13">
      <c r="A3015" s="6">
        <v>2024</v>
      </c>
      <c r="B3015" s="6">
        <v>2</v>
      </c>
      <c r="C3015" s="6" t="s">
        <v>60</v>
      </c>
      <c r="D3015" s="6" t="s">
        <v>628</v>
      </c>
      <c r="E3015" s="6" t="s">
        <v>388</v>
      </c>
      <c r="F3015" s="6" t="str">
        <f>IF($M3015="PADD I","PADD 1",IF($M3015="PADD II","PADD 2",IF($M3015="PADD III","PADD 3",IF($M3015="PADD IV","PADD 4",IF($M3015="PADD V","PADD 5","")))))</f>
        <v>PADD 3</v>
      </c>
      <c r="G3015" s="6" t="str">
        <f>IF(AND($H3015="ATMOS DISTILLATION",ISNUMBER(SEARCH("VPS",$I3015))=FALSE,LEFT($I3015,6)&lt;&gt;"VACUUM"),"CDU",IF($H3015="FLUID CAT CRACKING","FCC",IF(OR($H3015="HYDROCRACKING",$H3015="RESID_HYDROCRACKING"),"Hydrocracker",IF($H3015="REFORMING","Reformer",""))))</f>
        <v>Reformer</v>
      </c>
      <c r="H3015" s="6" t="s">
        <v>421</v>
      </c>
      <c r="I3015" s="6" t="s">
        <v>571</v>
      </c>
      <c r="J3015" s="6" t="s">
        <v>349</v>
      </c>
      <c r="K3015" s="10">
        <v>10</v>
      </c>
      <c r="L3015" s="10">
        <v>10</v>
      </c>
      <c r="M3015" s="6" t="s">
        <v>371</v>
      </c>
    </row>
    <row r="3016" spans="1:13">
      <c r="A3016" s="6">
        <v>2024</v>
      </c>
      <c r="B3016" s="6">
        <v>2</v>
      </c>
      <c r="C3016" s="6" t="s">
        <v>60</v>
      </c>
      <c r="D3016" s="6" t="s">
        <v>408</v>
      </c>
      <c r="E3016" s="6" t="s">
        <v>409</v>
      </c>
      <c r="F3016" s="6" t="str">
        <f>IF($M3016="PADD I","PADD 1",IF($M3016="PADD II","PADD 2",IF($M3016="PADD III","PADD 3",IF($M3016="PADD IV","PADD 4",IF($M3016="PADD V","PADD 5","")))))</f>
        <v>PADD 3</v>
      </c>
      <c r="G3016" s="6">
        <f>IF(AND($H3016="ATMOS DISTILLATION",ISNUMBER(SEARCH("VPS",$I3016))=FALSE,LEFT($I3016,6)&lt;&gt;"VACUUM"),"CDU",IF($H3016="FLUID CAT CRACKING","FCC",IF(OR($H3016="HYDROCRACKING",$H3016="RESID_HYDROCRACKING"),"Hydrocracker",IF($H3016="REFORMING","Reformer",""))))</f>
        <v/>
      </c>
      <c r="H3016" s="6" t="s">
        <v>43</v>
      </c>
      <c r="I3016" s="6" t="s">
        <v>497</v>
      </c>
      <c r="J3016" s="6" t="s">
        <v>345</v>
      </c>
      <c r="K3016" s="10">
        <v>9.609999999999999</v>
      </c>
      <c r="L3016" s="10">
        <v>31</v>
      </c>
      <c r="M3016" s="6" t="s">
        <v>371</v>
      </c>
    </row>
    <row r="3017" spans="1:13">
      <c r="A3017" s="6">
        <v>2024</v>
      </c>
      <c r="B3017" s="6">
        <v>2</v>
      </c>
      <c r="C3017" s="6" t="s">
        <v>60</v>
      </c>
      <c r="D3017" s="6" t="s">
        <v>408</v>
      </c>
      <c r="E3017" s="6" t="s">
        <v>409</v>
      </c>
      <c r="F3017" s="6" t="str">
        <f>IF($M3017="PADD I","PADD 1",IF($M3017="PADD II","PADD 2",IF($M3017="PADD III","PADD 3",IF($M3017="PADD IV","PADD 4",IF($M3017="PADD V","PADD 5","")))))</f>
        <v>PADD 3</v>
      </c>
      <c r="G3017" s="6">
        <f>IF(AND($H3017="ATMOS DISTILLATION",ISNUMBER(SEARCH("VPS",$I3017))=FALSE,LEFT($I3017,6)&lt;&gt;"VACUUM"),"CDU",IF($H3017="FLUID CAT CRACKING","FCC",IF(OR($H3017="HYDROCRACKING",$H3017="RESID_HYDROCRACKING"),"Hydrocracker",IF($H3017="REFORMING","Reformer",""))))</f>
        <v/>
      </c>
      <c r="H3017" s="6" t="s">
        <v>43</v>
      </c>
      <c r="I3017" s="6" t="s">
        <v>502</v>
      </c>
      <c r="J3017" s="6" t="s">
        <v>345</v>
      </c>
      <c r="K3017" s="10">
        <v>9.300000000000001</v>
      </c>
      <c r="L3017" s="10">
        <v>30</v>
      </c>
      <c r="M3017" s="6" t="s">
        <v>371</v>
      </c>
    </row>
    <row r="3018" spans="1:13">
      <c r="A3018" s="6">
        <v>2024</v>
      </c>
      <c r="B3018" s="6">
        <v>2</v>
      </c>
      <c r="C3018" s="6" t="s">
        <v>60</v>
      </c>
      <c r="D3018" s="6" t="s">
        <v>408</v>
      </c>
      <c r="E3018" s="6" t="s">
        <v>409</v>
      </c>
      <c r="F3018" s="6" t="str">
        <f>IF($M3018="PADD I","PADD 1",IF($M3018="PADD II","PADD 2",IF($M3018="PADD III","PADD 3",IF($M3018="PADD IV","PADD 4",IF($M3018="PADD V","PADD 5","")))))</f>
        <v>PADD 3</v>
      </c>
      <c r="G3018" s="6">
        <f>IF(AND($H3018="ATMOS DISTILLATION",ISNUMBER(SEARCH("VPS",$I3018))=FALSE,LEFT($I3018,6)&lt;&gt;"VACUUM"),"CDU",IF($H3018="FLUID CAT CRACKING","FCC",IF(OR($H3018="HYDROCRACKING",$H3018="RESID_HYDROCRACKING"),"Hydrocracker",IF($H3018="REFORMING","Reformer",""))))</f>
        <v/>
      </c>
      <c r="H3018" s="6" t="s">
        <v>43</v>
      </c>
      <c r="I3018" s="6" t="s">
        <v>503</v>
      </c>
      <c r="J3018" s="6" t="s">
        <v>345</v>
      </c>
      <c r="K3018" s="10">
        <v>9.300000000000001</v>
      </c>
      <c r="L3018" s="10">
        <v>30</v>
      </c>
      <c r="M3018" s="6" t="s">
        <v>371</v>
      </c>
    </row>
    <row r="3019" spans="1:13">
      <c r="A3019" s="6">
        <v>2024</v>
      </c>
      <c r="B3019" s="6">
        <v>2</v>
      </c>
      <c r="C3019" s="6" t="s">
        <v>60</v>
      </c>
      <c r="D3019" s="6" t="s">
        <v>878</v>
      </c>
      <c r="E3019" s="6" t="s">
        <v>452</v>
      </c>
      <c r="F3019" s="6" t="str">
        <f>IF($M3019="PADD I","PADD 1",IF($M3019="PADD II","PADD 2",IF($M3019="PADD III","PADD 3",IF($M3019="PADD IV","PADD 4",IF($M3019="PADD V","PADD 5","")))))</f>
        <v>PADD 2</v>
      </c>
      <c r="G3019" s="6" t="str">
        <f>IF(AND($H3019="ATMOS DISTILLATION",ISNUMBER(SEARCH("VPS",$I3019))=FALSE,LEFT($I3019,6)&lt;&gt;"VACUUM"),"CDU",IF($H3019="FLUID CAT CRACKING","FCC",IF(OR($H3019="HYDROCRACKING",$H3019="RESID_HYDROCRACKING"),"Hydrocracker",IF($H3019="REFORMING","Reformer",""))))</f>
        <v>CDU</v>
      </c>
      <c r="H3019" s="6" t="s">
        <v>38</v>
      </c>
      <c r="I3019" s="6" t="s">
        <v>879</v>
      </c>
      <c r="J3019" s="6" t="s">
        <v>345</v>
      </c>
      <c r="K3019" s="10">
        <v>9.102</v>
      </c>
      <c r="L3019" s="10">
        <v>91.02</v>
      </c>
      <c r="M3019" s="6" t="s">
        <v>375</v>
      </c>
    </row>
    <row r="3020" spans="1:13">
      <c r="A3020" s="6">
        <v>2024</v>
      </c>
      <c r="B3020" s="6">
        <v>2</v>
      </c>
      <c r="C3020" s="6" t="s">
        <v>60</v>
      </c>
      <c r="D3020" s="6" t="s">
        <v>676</v>
      </c>
      <c r="E3020" s="6" t="s">
        <v>677</v>
      </c>
      <c r="F3020" s="6" t="str">
        <f>IF($M3020="PADD I","PADD 1",IF($M3020="PADD II","PADD 2",IF($M3020="PADD III","PADD 3",IF($M3020="PADD IV","PADD 4",IF($M3020="PADD V","PADD 5","")))))</f>
        <v>PADD 1</v>
      </c>
      <c r="G3020" s="6" t="str">
        <f>IF(AND($H3020="ATMOS DISTILLATION",ISNUMBER(SEARCH("VPS",$I3020))=FALSE,LEFT($I3020,6)&lt;&gt;"VACUUM"),"CDU",IF($H3020="FLUID CAT CRACKING","FCC",IF(OR($H3020="HYDROCRACKING",$H3020="RESID_HYDROCRACKING"),"Hydrocracker",IF($H3020="REFORMING","Reformer",""))))</f>
        <v>Reformer</v>
      </c>
      <c r="H3020" s="6" t="s">
        <v>421</v>
      </c>
      <c r="I3020" s="6" t="s">
        <v>899</v>
      </c>
      <c r="J3020" s="6" t="s">
        <v>345</v>
      </c>
      <c r="K3020" s="10">
        <v>8.960000000000001</v>
      </c>
      <c r="L3020" s="10">
        <v>32</v>
      </c>
      <c r="M3020" s="6" t="s">
        <v>413</v>
      </c>
    </row>
    <row r="3021" spans="1:13">
      <c r="A3021" s="6">
        <v>2024</v>
      </c>
      <c r="B3021" s="6">
        <v>2</v>
      </c>
      <c r="C3021" s="6" t="s">
        <v>60</v>
      </c>
      <c r="D3021" s="6" t="s">
        <v>632</v>
      </c>
      <c r="E3021" s="6" t="s">
        <v>633</v>
      </c>
      <c r="F3021" s="6" t="str">
        <f>IF($M3021="PADD I","PADD 1",IF($M3021="PADD II","PADD 2",IF($M3021="PADD III","PADD 3",IF($M3021="PADD IV","PADD 4",IF($M3021="PADD V","PADD 5","")))))</f>
        <v>PADD 4</v>
      </c>
      <c r="G3021" s="6" t="str">
        <f>IF(AND($H3021="ATMOS DISTILLATION",ISNUMBER(SEARCH("VPS",$I3021))=FALSE,LEFT($I3021,6)&lt;&gt;"VACUUM"),"CDU",IF($H3021="FLUID CAT CRACKING","FCC",IF(OR($H3021="HYDROCRACKING",$H3021="RESID_HYDROCRACKING"),"Hydrocracker",IF($H3021="REFORMING","Reformer",""))))</f>
        <v>FCC</v>
      </c>
      <c r="H3021" s="6" t="s">
        <v>376</v>
      </c>
      <c r="I3021" s="6" t="s">
        <v>634</v>
      </c>
      <c r="J3021" s="6" t="s">
        <v>349</v>
      </c>
      <c r="K3021" s="10">
        <v>8.74</v>
      </c>
      <c r="L3021" s="10">
        <v>11.5</v>
      </c>
      <c r="M3021" s="6" t="s">
        <v>430</v>
      </c>
    </row>
    <row r="3022" spans="1:13">
      <c r="A3022" s="6">
        <v>2024</v>
      </c>
      <c r="B3022" s="6">
        <v>2</v>
      </c>
      <c r="C3022" s="6" t="s">
        <v>60</v>
      </c>
      <c r="D3022" s="6" t="s">
        <v>408</v>
      </c>
      <c r="E3022" s="6" t="s">
        <v>409</v>
      </c>
      <c r="F3022" s="6" t="str">
        <f>IF($M3022="PADD I","PADD 1",IF($M3022="PADD II","PADD 2",IF($M3022="PADD III","PADD 3",IF($M3022="PADD IV","PADD 4",IF($M3022="PADD V","PADD 5","")))))</f>
        <v>PADD 3</v>
      </c>
      <c r="G3022" s="6">
        <f>IF(AND($H3022="ATMOS DISTILLATION",ISNUMBER(SEARCH("VPS",$I3022))=FALSE,LEFT($I3022,6)&lt;&gt;"VACUUM"),"CDU",IF($H3022="FLUID CAT CRACKING","FCC",IF(OR($H3022="HYDROCRACKING",$H3022="RESID_HYDROCRACKING"),"Hydrocracker",IF($H3022="REFORMING","Reformer",""))))</f>
        <v/>
      </c>
      <c r="H3022" s="6" t="s">
        <v>43</v>
      </c>
      <c r="I3022" s="6" t="s">
        <v>464</v>
      </c>
      <c r="J3022" s="6" t="s">
        <v>345</v>
      </c>
      <c r="K3022" s="10">
        <v>8.5</v>
      </c>
      <c r="L3022" s="10">
        <v>50</v>
      </c>
      <c r="M3022" s="6" t="s">
        <v>371</v>
      </c>
    </row>
    <row r="3023" spans="1:13">
      <c r="A3023" s="6">
        <v>2024</v>
      </c>
      <c r="B3023" s="6">
        <v>2</v>
      </c>
      <c r="C3023" s="6" t="s">
        <v>60</v>
      </c>
      <c r="D3023" s="6" t="s">
        <v>878</v>
      </c>
      <c r="E3023" s="6" t="s">
        <v>452</v>
      </c>
      <c r="F3023" s="6" t="str">
        <f>IF($M3023="PADD I","PADD 1",IF($M3023="PADD II","PADD 2",IF($M3023="PADD III","PADD 3",IF($M3023="PADD IV","PADD 4",IF($M3023="PADD V","PADD 5","")))))</f>
        <v>PADD 2</v>
      </c>
      <c r="G3023" s="6" t="str">
        <f>IF(AND($H3023="ATMOS DISTILLATION",ISNUMBER(SEARCH("VPS",$I3023))=FALSE,LEFT($I3023,6)&lt;&gt;"VACUUM"),"CDU",IF($H3023="FLUID CAT CRACKING","FCC",IF(OR($H3023="HYDROCRACKING",$H3023="RESID_HYDROCRACKING"),"Hydrocracker",IF($H3023="REFORMING","Reformer",""))))</f>
        <v>CDU</v>
      </c>
      <c r="H3023" s="6" t="s">
        <v>38</v>
      </c>
      <c r="I3023" s="6" t="s">
        <v>879</v>
      </c>
      <c r="J3023" s="6" t="s">
        <v>345</v>
      </c>
      <c r="K3023" s="10">
        <v>8.5</v>
      </c>
      <c r="L3023" s="10">
        <v>85</v>
      </c>
      <c r="M3023" s="6" t="s">
        <v>375</v>
      </c>
    </row>
    <row r="3024" spans="1:13">
      <c r="A3024" s="6">
        <v>2024</v>
      </c>
      <c r="B3024" s="6">
        <v>2</v>
      </c>
      <c r="C3024" s="6" t="s">
        <v>60</v>
      </c>
      <c r="D3024" s="6" t="s">
        <v>329</v>
      </c>
      <c r="E3024" s="6" t="s">
        <v>427</v>
      </c>
      <c r="F3024" s="6" t="str">
        <f>IF($M3024="PADD I","PADD 1",IF($M3024="PADD II","PADD 2",IF($M3024="PADD III","PADD 3",IF($M3024="PADD IV","PADD 4",IF($M3024="PADD V","PADD 5","")))))</f>
        <v>PADD 3</v>
      </c>
      <c r="G3024" s="6">
        <f>IF(AND($H3024="ATMOS DISTILLATION",ISNUMBER(SEARCH("VPS",$I3024))=FALSE,LEFT($I3024,6)&lt;&gt;"VACUUM"),"CDU",IF($H3024="FLUID CAT CRACKING","FCC",IF(OR($H3024="HYDROCRACKING",$H3024="RESID_HYDROCRACKING"),"Hydrocracker",IF($H3024="REFORMING","Reformer",""))))</f>
        <v/>
      </c>
      <c r="H3024" s="6" t="s">
        <v>378</v>
      </c>
      <c r="I3024" s="6" t="s">
        <v>964</v>
      </c>
      <c r="J3024" s="6" t="s">
        <v>345</v>
      </c>
      <c r="K3024" s="10">
        <v>8.4</v>
      </c>
      <c r="L3024" s="10">
        <v>40</v>
      </c>
      <c r="M3024" s="6" t="s">
        <v>371</v>
      </c>
    </row>
    <row r="3025" spans="1:13">
      <c r="A3025" s="6">
        <v>2024</v>
      </c>
      <c r="B3025" s="6">
        <v>2</v>
      </c>
      <c r="C3025" s="6" t="s">
        <v>60</v>
      </c>
      <c r="D3025" s="6" t="s">
        <v>518</v>
      </c>
      <c r="E3025" s="6" t="s">
        <v>369</v>
      </c>
      <c r="F3025" s="6" t="str">
        <f>IF($M3025="PADD I","PADD 1",IF($M3025="PADD II","PADD 2",IF($M3025="PADD III","PADD 3",IF($M3025="PADD IV","PADD 4",IF($M3025="PADD V","PADD 5","")))))</f>
        <v>PADD 5</v>
      </c>
      <c r="G3025" s="6" t="str">
        <f>IF(AND($H3025="ATMOS DISTILLATION",ISNUMBER(SEARCH("VPS",$I3025))=FALSE,LEFT($I3025,6)&lt;&gt;"VACUUM"),"CDU",IF($H3025="FLUID CAT CRACKING","FCC",IF(OR($H3025="HYDROCRACKING",$H3025="RESID_HYDROCRACKING"),"Hydrocracker",IF($H3025="REFORMING","Reformer",""))))</f>
        <v>Reformer</v>
      </c>
      <c r="H3025" s="6" t="s">
        <v>421</v>
      </c>
      <c r="I3025" s="6" t="s">
        <v>586</v>
      </c>
      <c r="J3025" s="6" t="s">
        <v>345</v>
      </c>
      <c r="K3025" s="10">
        <v>8.324999999999999</v>
      </c>
      <c r="L3025" s="10">
        <v>18.5</v>
      </c>
      <c r="M3025" s="6" t="s">
        <v>386</v>
      </c>
    </row>
    <row r="3026" spans="1:13">
      <c r="A3026" s="6">
        <v>2024</v>
      </c>
      <c r="B3026" s="6">
        <v>2</v>
      </c>
      <c r="C3026" s="6" t="s">
        <v>60</v>
      </c>
      <c r="D3026" s="6" t="s">
        <v>632</v>
      </c>
      <c r="E3026" s="6" t="s">
        <v>633</v>
      </c>
      <c r="F3026" s="6" t="str">
        <f>IF($M3026="PADD I","PADD 1",IF($M3026="PADD II","PADD 2",IF($M3026="PADD III","PADD 3",IF($M3026="PADD IV","PADD 4",IF($M3026="PADD V","PADD 5","")))))</f>
        <v>PADD 4</v>
      </c>
      <c r="G3026" s="6">
        <f>IF(AND($H3026="ATMOS DISTILLATION",ISNUMBER(SEARCH("VPS",$I3026))=FALSE,LEFT($I3026,6)&lt;&gt;"VACUUM"),"CDU",IF($H3026="FLUID CAT CRACKING","FCC",IF(OR($H3026="HYDROCRACKING",$H3026="RESID_HYDROCRACKING"),"Hydrocracker",IF($H3026="REFORMING","Reformer",""))))</f>
        <v/>
      </c>
      <c r="H3026" s="6" t="s">
        <v>43</v>
      </c>
      <c r="I3026" s="6" t="s">
        <v>674</v>
      </c>
      <c r="J3026" s="6" t="s">
        <v>345</v>
      </c>
      <c r="K3026" s="10">
        <v>8.279999999999999</v>
      </c>
      <c r="L3026" s="10">
        <v>11.5</v>
      </c>
      <c r="M3026" s="6" t="s">
        <v>430</v>
      </c>
    </row>
    <row r="3027" spans="1:13">
      <c r="A3027" s="6">
        <v>2024</v>
      </c>
      <c r="B3027" s="6">
        <v>2</v>
      </c>
      <c r="C3027" s="6" t="s">
        <v>60</v>
      </c>
      <c r="D3027" s="6" t="s">
        <v>531</v>
      </c>
      <c r="E3027" s="6" t="s">
        <v>532</v>
      </c>
      <c r="F3027" s="6" t="str">
        <f>IF($M3027="PADD I","PADD 1",IF($M3027="PADD II","PADD 2",IF($M3027="PADD III","PADD 3",IF($M3027="PADD IV","PADD 4",IF($M3027="PADD V","PADD 5","")))))</f>
        <v>PADD 5</v>
      </c>
      <c r="G3027" s="6">
        <f>IF(AND($H3027="ATMOS DISTILLATION",ISNUMBER(SEARCH("VPS",$I3027))=FALSE,LEFT($I3027,6)&lt;&gt;"VACUUM"),"CDU",IF($H3027="FLUID CAT CRACKING","FCC",IF(OR($H3027="HYDROCRACKING",$H3027="RESID_HYDROCRACKING"),"Hydrocracker",IF($H3027="REFORMING","Reformer",""))))</f>
        <v/>
      </c>
      <c r="H3027" s="6" t="s">
        <v>43</v>
      </c>
      <c r="I3027" s="6" t="s">
        <v>1129</v>
      </c>
      <c r="J3027" s="6" t="s">
        <v>345</v>
      </c>
      <c r="K3027" s="10">
        <v>8.25</v>
      </c>
      <c r="L3027" s="10">
        <v>15</v>
      </c>
      <c r="M3027" s="6" t="s">
        <v>386</v>
      </c>
    </row>
    <row r="3028" spans="1:13">
      <c r="A3028" s="6">
        <v>2024</v>
      </c>
      <c r="B3028" s="6">
        <v>2</v>
      </c>
      <c r="C3028" s="6" t="s">
        <v>60</v>
      </c>
      <c r="D3028" s="6" t="s">
        <v>946</v>
      </c>
      <c r="E3028" s="6" t="s">
        <v>405</v>
      </c>
      <c r="F3028" s="6" t="str">
        <f>IF($M3028="PADD I","PADD 1",IF($M3028="PADD II","PADD 2",IF($M3028="PADD III","PADD 3",IF($M3028="PADD IV","PADD 4",IF($M3028="PADD V","PADD 5","")))))</f>
        <v>PADD 5</v>
      </c>
      <c r="G3028" s="6">
        <f>IF(AND($H3028="ATMOS DISTILLATION",ISNUMBER(SEARCH("VPS",$I3028))=FALSE,LEFT($I3028,6)&lt;&gt;"VACUUM"),"CDU",IF($H3028="FLUID CAT CRACKING","FCC",IF(OR($H3028="HYDROCRACKING",$H3028="RESID_HYDROCRACKING"),"Hydrocracker",IF($H3028="REFORMING","Reformer",""))))</f>
        <v/>
      </c>
      <c r="H3028" s="6" t="s">
        <v>435</v>
      </c>
      <c r="I3028" s="6" t="s">
        <v>975</v>
      </c>
      <c r="J3028" s="6" t="s">
        <v>345</v>
      </c>
      <c r="K3028" s="10">
        <v>8.25</v>
      </c>
      <c r="L3028" s="10">
        <v>15</v>
      </c>
      <c r="M3028" s="6" t="s">
        <v>386</v>
      </c>
    </row>
    <row r="3029" spans="1:13">
      <c r="A3029" s="6">
        <v>2024</v>
      </c>
      <c r="B3029" s="6">
        <v>2</v>
      </c>
      <c r="C3029" s="6" t="s">
        <v>60</v>
      </c>
      <c r="D3029" s="6" t="s">
        <v>1130</v>
      </c>
      <c r="E3029" s="6" t="s">
        <v>452</v>
      </c>
      <c r="F3029" s="6" t="str">
        <f>IF($M3029="PADD I","PADD 1",IF($M3029="PADD II","PADD 2",IF($M3029="PADD III","PADD 3",IF($M3029="PADD IV","PADD 4",IF($M3029="PADD V","PADD 5","")))))</f>
        <v>PADD 2</v>
      </c>
      <c r="G3029" s="6">
        <f>IF(AND($H3029="ATMOS DISTILLATION",ISNUMBER(SEARCH("VPS",$I3029))=FALSE,LEFT($I3029,6)&lt;&gt;"VACUUM"),"CDU",IF($H3029="FLUID CAT CRACKING","FCC",IF(OR($H3029="HYDROCRACKING",$H3029="RESID_HYDROCRACKING"),"Hydrocracker",IF($H3029="REFORMING","Reformer",""))))</f>
        <v/>
      </c>
      <c r="H3029" s="6" t="s">
        <v>43</v>
      </c>
      <c r="I3029" s="6" t="s">
        <v>493</v>
      </c>
      <c r="J3029" s="6" t="s">
        <v>345</v>
      </c>
      <c r="K3029" s="10">
        <v>8.06</v>
      </c>
      <c r="L3029" s="10">
        <v>15.5</v>
      </c>
      <c r="M3029" s="6" t="s">
        <v>375</v>
      </c>
    </row>
    <row r="3030" spans="1:13">
      <c r="A3030" s="6">
        <v>2024</v>
      </c>
      <c r="B3030" s="6">
        <v>2</v>
      </c>
      <c r="C3030" s="6" t="s">
        <v>60</v>
      </c>
      <c r="D3030" s="6" t="s">
        <v>387</v>
      </c>
      <c r="E3030" s="6" t="s">
        <v>388</v>
      </c>
      <c r="F3030" s="6" t="str">
        <f>IF($M3030="PADD I","PADD 1",IF($M3030="PADD II","PADD 2",IF($M3030="PADD III","PADD 3",IF($M3030="PADD IV","PADD 4",IF($M3030="PADD V","PADD 5","")))))</f>
        <v>PADD 3</v>
      </c>
      <c r="G3030" s="6" t="str">
        <f>IF(AND($H3030="ATMOS DISTILLATION",ISNUMBER(SEARCH("VPS",$I3030))=FALSE,LEFT($I3030,6)&lt;&gt;"VACUUM"),"CDU",IF($H3030="FLUID CAT CRACKING","FCC",IF(OR($H3030="HYDROCRACKING",$H3030="RESID_HYDROCRACKING"),"Hydrocracker",IF($H3030="REFORMING","Reformer",""))))</f>
        <v>Reformer</v>
      </c>
      <c r="H3030" s="6" t="s">
        <v>421</v>
      </c>
      <c r="I3030" s="6" t="s">
        <v>443</v>
      </c>
      <c r="J3030" s="6" t="s">
        <v>345</v>
      </c>
      <c r="K3030" s="10">
        <v>7.75</v>
      </c>
      <c r="L3030" s="10">
        <v>77.5</v>
      </c>
      <c r="M3030" s="6" t="s">
        <v>371</v>
      </c>
    </row>
    <row r="3031" spans="1:13">
      <c r="A3031" s="6">
        <v>2024</v>
      </c>
      <c r="B3031" s="6">
        <v>2</v>
      </c>
      <c r="C3031" s="6" t="s">
        <v>60</v>
      </c>
      <c r="D3031" s="6" t="s">
        <v>408</v>
      </c>
      <c r="E3031" s="6" t="s">
        <v>409</v>
      </c>
      <c r="F3031" s="6" t="str">
        <f>IF($M3031="PADD I","PADD 1",IF($M3031="PADD II","PADD 2",IF($M3031="PADD III","PADD 3",IF($M3031="PADD IV","PADD 4",IF($M3031="PADD V","PADD 5","")))))</f>
        <v>PADD 3</v>
      </c>
      <c r="G3031" s="6">
        <f>IF(AND($H3031="ATMOS DISTILLATION",ISNUMBER(SEARCH("VPS",$I3031))=FALSE,LEFT($I3031,6)&lt;&gt;"VACUUM"),"CDU",IF($H3031="FLUID CAT CRACKING","FCC",IF(OR($H3031="HYDROCRACKING",$H3031="RESID_HYDROCRACKING"),"Hydrocracker",IF($H3031="REFORMING","Reformer",""))))</f>
        <v/>
      </c>
      <c r="H3031" s="6" t="s">
        <v>378</v>
      </c>
      <c r="I3031" s="6" t="s">
        <v>489</v>
      </c>
      <c r="J3031" s="6" t="s">
        <v>345</v>
      </c>
      <c r="K3031" s="10">
        <v>7.7</v>
      </c>
      <c r="L3031" s="10">
        <v>55</v>
      </c>
      <c r="M3031" s="6" t="s">
        <v>371</v>
      </c>
    </row>
    <row r="3032" spans="1:13">
      <c r="A3032" s="6">
        <v>2024</v>
      </c>
      <c r="B3032" s="6">
        <v>2</v>
      </c>
      <c r="C3032" s="6" t="s">
        <v>60</v>
      </c>
      <c r="D3032" s="6" t="s">
        <v>518</v>
      </c>
      <c r="E3032" s="6" t="s">
        <v>369</v>
      </c>
      <c r="F3032" s="6" t="str">
        <f>IF($M3032="PADD I","PADD 1",IF($M3032="PADD II","PADD 2",IF($M3032="PADD III","PADD 3",IF($M3032="PADD IV","PADD 4",IF($M3032="PADD V","PADD 5","")))))</f>
        <v>PADD 5</v>
      </c>
      <c r="G3032" s="6">
        <f>IF(AND($H3032="ATMOS DISTILLATION",ISNUMBER(SEARCH("VPS",$I3032))=FALSE,LEFT($I3032,6)&lt;&gt;"VACUUM"),"CDU",IF($H3032="FLUID CAT CRACKING","FCC",IF(OR($H3032="HYDROCRACKING",$H3032="RESID_HYDROCRACKING"),"Hydrocracker",IF($H3032="REFORMING","Reformer",""))))</f>
        <v/>
      </c>
      <c r="H3032" s="6" t="s">
        <v>43</v>
      </c>
      <c r="I3032" s="6" t="s">
        <v>579</v>
      </c>
      <c r="J3032" s="6" t="s">
        <v>345</v>
      </c>
      <c r="K3032" s="10">
        <v>7.533</v>
      </c>
      <c r="L3032" s="10">
        <v>16.74</v>
      </c>
      <c r="M3032" s="6" t="s">
        <v>386</v>
      </c>
    </row>
    <row r="3033" spans="1:13">
      <c r="A3033" s="6">
        <v>2024</v>
      </c>
      <c r="B3033" s="6">
        <v>2</v>
      </c>
      <c r="C3033" s="6" t="s">
        <v>60</v>
      </c>
      <c r="D3033" s="6" t="s">
        <v>408</v>
      </c>
      <c r="E3033" s="6" t="s">
        <v>409</v>
      </c>
      <c r="F3033" s="6" t="str">
        <f>IF($M3033="PADD I","PADD 1",IF($M3033="PADD II","PADD 2",IF($M3033="PADD III","PADD 3",IF($M3033="PADD IV","PADD 4",IF($M3033="PADD V","PADD 5","")))))</f>
        <v>PADD 3</v>
      </c>
      <c r="G3033" s="6">
        <f>IF(AND($H3033="ATMOS DISTILLATION",ISNUMBER(SEARCH("VPS",$I3033))=FALSE,LEFT($I3033,6)&lt;&gt;"VACUUM"),"CDU",IF($H3033="FLUID CAT CRACKING","FCC",IF(OR($H3033="HYDROCRACKING",$H3033="RESID_HYDROCRACKING"),"Hydrocracker",IF($H3033="REFORMING","Reformer",""))))</f>
        <v/>
      </c>
      <c r="H3033" s="6" t="s">
        <v>43</v>
      </c>
      <c r="I3033" s="6" t="s">
        <v>517</v>
      </c>
      <c r="J3033" s="6" t="s">
        <v>345</v>
      </c>
      <c r="K3033" s="10">
        <v>7.44</v>
      </c>
      <c r="L3033" s="10">
        <v>24</v>
      </c>
      <c r="M3033" s="6" t="s">
        <v>371</v>
      </c>
    </row>
    <row r="3034" spans="1:13">
      <c r="A3034" s="6">
        <v>2024</v>
      </c>
      <c r="B3034" s="6">
        <v>2</v>
      </c>
      <c r="C3034" s="6" t="s">
        <v>60</v>
      </c>
      <c r="D3034" s="6" t="s">
        <v>429</v>
      </c>
      <c r="E3034" s="6" t="s">
        <v>388</v>
      </c>
      <c r="F3034" s="6" t="str">
        <f>IF($M3034="PADD I","PADD 1",IF($M3034="PADD II","PADD 2",IF($M3034="PADD III","PADD 3",IF($M3034="PADD IV","PADD 4",IF($M3034="PADD V","PADD 5","")))))</f>
        <v>PADD 4</v>
      </c>
      <c r="G3034" s="6" t="str">
        <f>IF(AND($H3034="ATMOS DISTILLATION",ISNUMBER(SEARCH("VPS",$I3034))=FALSE,LEFT($I3034,6)&lt;&gt;"VACUUM"),"CDU",IF($H3034="FLUID CAT CRACKING","FCC",IF(OR($H3034="HYDROCRACKING",$H3034="RESID_HYDROCRACKING"),"Hydrocracker",IF($H3034="REFORMING","Reformer",""))))</f>
        <v>Reformer</v>
      </c>
      <c r="H3034" s="6" t="s">
        <v>421</v>
      </c>
      <c r="I3034" s="6" t="s">
        <v>1131</v>
      </c>
      <c r="J3034" s="6" t="s">
        <v>349</v>
      </c>
      <c r="K3034" s="10">
        <v>7.44</v>
      </c>
      <c r="L3034" s="10">
        <v>12</v>
      </c>
      <c r="M3034" s="6" t="s">
        <v>430</v>
      </c>
    </row>
    <row r="3035" spans="1:13">
      <c r="A3035" s="6">
        <v>2024</v>
      </c>
      <c r="B3035" s="6">
        <v>2</v>
      </c>
      <c r="C3035" s="6" t="s">
        <v>60</v>
      </c>
      <c r="D3035" s="6" t="s">
        <v>429</v>
      </c>
      <c r="E3035" s="6" t="s">
        <v>388</v>
      </c>
      <c r="F3035" s="6" t="str">
        <f>IF($M3035="PADD I","PADD 1",IF($M3035="PADD II","PADD 2",IF($M3035="PADD III","PADD 3",IF($M3035="PADD IV","PADD 4",IF($M3035="PADD V","PADD 5","")))))</f>
        <v>PADD 4</v>
      </c>
      <c r="G3035" s="6">
        <f>IF(AND($H3035="ATMOS DISTILLATION",ISNUMBER(SEARCH("VPS",$I3035))=FALSE,LEFT($I3035,6)&lt;&gt;"VACUUM"),"CDU",IF($H3035="FLUID CAT CRACKING","FCC",IF(OR($H3035="HYDROCRACKING",$H3035="RESID_HYDROCRACKING"),"Hydrocracker",IF($H3035="REFORMING","Reformer",""))))</f>
        <v/>
      </c>
      <c r="H3035" s="6" t="s">
        <v>43</v>
      </c>
      <c r="I3035" s="6" t="s">
        <v>1057</v>
      </c>
      <c r="J3035" s="6" t="s">
        <v>349</v>
      </c>
      <c r="K3035" s="10">
        <v>7.44</v>
      </c>
      <c r="L3035" s="10">
        <v>12</v>
      </c>
      <c r="M3035" s="6" t="s">
        <v>430</v>
      </c>
    </row>
    <row r="3036" spans="1:13">
      <c r="A3036" s="6">
        <v>2024</v>
      </c>
      <c r="B3036" s="6">
        <v>2</v>
      </c>
      <c r="C3036" s="6" t="s">
        <v>60</v>
      </c>
      <c r="D3036" s="6" t="s">
        <v>531</v>
      </c>
      <c r="E3036" s="6" t="s">
        <v>532</v>
      </c>
      <c r="F3036" s="6" t="str">
        <f>IF($M3036="PADD I","PADD 1",IF($M3036="PADD II","PADD 2",IF($M3036="PADD III","PADD 3",IF($M3036="PADD IV","PADD 4",IF($M3036="PADD V","PADD 5","")))))</f>
        <v>PADD 5</v>
      </c>
      <c r="G3036" s="6">
        <f>IF(AND($H3036="ATMOS DISTILLATION",ISNUMBER(SEARCH("VPS",$I3036))=FALSE,LEFT($I3036,6)&lt;&gt;"VACUUM"),"CDU",IF($H3036="FLUID CAT CRACKING","FCC",IF(OR($H3036="HYDROCRACKING",$H3036="RESID_HYDROCRACKING"),"Hydrocracker",IF($H3036="REFORMING","Reformer",""))))</f>
        <v/>
      </c>
      <c r="H3036" s="6" t="s">
        <v>435</v>
      </c>
      <c r="I3036" s="6" t="s">
        <v>614</v>
      </c>
      <c r="J3036" s="6" t="s">
        <v>345</v>
      </c>
      <c r="K3036" s="10">
        <v>7.425</v>
      </c>
      <c r="L3036" s="10">
        <v>13.5</v>
      </c>
      <c r="M3036" s="6" t="s">
        <v>386</v>
      </c>
    </row>
    <row r="3037" spans="1:13">
      <c r="A3037" s="6">
        <v>2024</v>
      </c>
      <c r="B3037" s="6">
        <v>2</v>
      </c>
      <c r="C3037" s="6" t="s">
        <v>60</v>
      </c>
      <c r="D3037" s="6" t="s">
        <v>500</v>
      </c>
      <c r="E3037" s="6" t="s">
        <v>388</v>
      </c>
      <c r="F3037" s="6" t="str">
        <f>IF($M3037="PADD I","PADD 1",IF($M3037="PADD II","PADD 2",IF($M3037="PADD III","PADD 3",IF($M3037="PADD IV","PADD 4",IF($M3037="PADD V","PADD 5","")))))</f>
        <v>PADD 2</v>
      </c>
      <c r="G3037" s="6">
        <f>IF(AND($H3037="ATMOS DISTILLATION",ISNUMBER(SEARCH("VPS",$I3037))=FALSE,LEFT($I3037,6)&lt;&gt;"VACUUM"),"CDU",IF($H3037="FLUID CAT CRACKING","FCC",IF(OR($H3037="HYDROCRACKING",$H3037="RESID_HYDROCRACKING"),"Hydrocracker",IF($H3037="REFORMING","Reformer",""))))</f>
        <v/>
      </c>
      <c r="H3037" s="6" t="s">
        <v>43</v>
      </c>
      <c r="I3037" s="6" t="s">
        <v>501</v>
      </c>
      <c r="J3037" s="6" t="s">
        <v>345</v>
      </c>
      <c r="K3037" s="10">
        <v>7.32</v>
      </c>
      <c r="L3037" s="10">
        <v>30.5</v>
      </c>
      <c r="M3037" s="6" t="s">
        <v>375</v>
      </c>
    </row>
    <row r="3038" spans="1:13">
      <c r="A3038" s="6">
        <v>2024</v>
      </c>
      <c r="B3038" s="6">
        <v>2</v>
      </c>
      <c r="C3038" s="6" t="s">
        <v>60</v>
      </c>
      <c r="D3038" s="6" t="s">
        <v>446</v>
      </c>
      <c r="E3038" s="6" t="s">
        <v>391</v>
      </c>
      <c r="F3038" s="6" t="str">
        <f>IF($M3038="PADD I","PADD 1",IF($M3038="PADD II","PADD 2",IF($M3038="PADD III","PADD 3",IF($M3038="PADD IV","PADD 4",IF($M3038="PADD V","PADD 5","")))))</f>
        <v>PADD 3</v>
      </c>
      <c r="G3038" s="6">
        <f>IF(AND($H3038="ATMOS DISTILLATION",ISNUMBER(SEARCH("VPS",$I3038))=FALSE,LEFT($I3038,6)&lt;&gt;"VACUUM"),"CDU",IF($H3038="FLUID CAT CRACKING","FCC",IF(OR($H3038="HYDROCRACKING",$H3038="RESID_HYDROCRACKING"),"Hydrocracker",IF($H3038="REFORMING","Reformer",""))))</f>
        <v/>
      </c>
      <c r="H3038" s="6" t="s">
        <v>460</v>
      </c>
      <c r="I3038" s="6" t="s">
        <v>1075</v>
      </c>
      <c r="J3038" s="6" t="s">
        <v>345</v>
      </c>
      <c r="K3038" s="10">
        <v>7.2</v>
      </c>
      <c r="L3038" s="10">
        <v>7.2</v>
      </c>
      <c r="M3038" s="6" t="s">
        <v>371</v>
      </c>
    </row>
    <row r="3039" spans="1:13">
      <c r="A3039" s="6">
        <v>2024</v>
      </c>
      <c r="B3039" s="6">
        <v>2</v>
      </c>
      <c r="C3039" s="6" t="s">
        <v>60</v>
      </c>
      <c r="D3039" s="6" t="s">
        <v>415</v>
      </c>
      <c r="E3039" s="6" t="s">
        <v>416</v>
      </c>
      <c r="F3039" s="6" t="str">
        <f>IF($M3039="PADD I","PADD 1",IF($M3039="PADD II","PADD 2",IF($M3039="PADD III","PADD 3",IF($M3039="PADD IV","PADD 4",IF($M3039="PADD V","PADD 5","")))))</f>
        <v>PADD 3</v>
      </c>
      <c r="G3039" s="6" t="str">
        <f>IF(AND($H3039="ATMOS DISTILLATION",ISNUMBER(SEARCH("VPS",$I3039))=FALSE,LEFT($I3039,6)&lt;&gt;"VACUUM"),"CDU",IF($H3039="FLUID CAT CRACKING","FCC",IF(OR($H3039="HYDROCRACKING",$H3039="RESID_HYDROCRACKING"),"Hydrocracker",IF($H3039="REFORMING","Reformer",""))))</f>
        <v>Hydrocracker</v>
      </c>
      <c r="H3039" s="6" t="s">
        <v>444</v>
      </c>
      <c r="I3039" s="6" t="s">
        <v>940</v>
      </c>
      <c r="J3039" s="6" t="s">
        <v>345</v>
      </c>
      <c r="K3039" s="10">
        <v>7.168</v>
      </c>
      <c r="L3039" s="10">
        <v>51.2</v>
      </c>
      <c r="M3039" s="6" t="s">
        <v>371</v>
      </c>
    </row>
    <row r="3040" spans="1:13">
      <c r="A3040" s="6">
        <v>2024</v>
      </c>
      <c r="B3040" s="6">
        <v>2</v>
      </c>
      <c r="C3040" s="6" t="s">
        <v>60</v>
      </c>
      <c r="D3040" s="6" t="s">
        <v>408</v>
      </c>
      <c r="E3040" s="6" t="s">
        <v>409</v>
      </c>
      <c r="F3040" s="6" t="str">
        <f>IF($M3040="PADD I","PADD 1",IF($M3040="PADD II","PADD 2",IF($M3040="PADD III","PADD 3",IF($M3040="PADD IV","PADD 4",IF($M3040="PADD V","PADD 5","")))))</f>
        <v>PADD 3</v>
      </c>
      <c r="G3040" s="6">
        <f>IF(AND($H3040="ATMOS DISTILLATION",ISNUMBER(SEARCH("VPS",$I3040))=FALSE,LEFT($I3040,6)&lt;&gt;"VACUUM"),"CDU",IF($H3040="FLUID CAT CRACKING","FCC",IF(OR($H3040="HYDROCRACKING",$H3040="RESID_HYDROCRACKING"),"Hydrocracker",IF($H3040="REFORMING","Reformer",""))))</f>
        <v/>
      </c>
      <c r="H3040" s="6" t="s">
        <v>43</v>
      </c>
      <c r="I3040" s="6" t="s">
        <v>478</v>
      </c>
      <c r="J3040" s="6" t="s">
        <v>345</v>
      </c>
      <c r="K3040" s="10">
        <v>7.14</v>
      </c>
      <c r="L3040" s="10">
        <v>42</v>
      </c>
      <c r="M3040" s="6" t="s">
        <v>371</v>
      </c>
    </row>
    <row r="3041" spans="1:13">
      <c r="A3041" s="6">
        <v>2024</v>
      </c>
      <c r="B3041" s="6">
        <v>2</v>
      </c>
      <c r="C3041" s="6" t="s">
        <v>60</v>
      </c>
      <c r="D3041" s="6" t="s">
        <v>518</v>
      </c>
      <c r="E3041" s="6" t="s">
        <v>369</v>
      </c>
      <c r="F3041" s="6" t="str">
        <f>IF($M3041="PADD I","PADD 1",IF($M3041="PADD II","PADD 2",IF($M3041="PADD III","PADD 3",IF($M3041="PADD IV","PADD 4",IF($M3041="PADD V","PADD 5","")))))</f>
        <v>PADD 5</v>
      </c>
      <c r="G3041" s="6" t="str">
        <f>IF(AND($H3041="ATMOS DISTILLATION",ISNUMBER(SEARCH("VPS",$I3041))=FALSE,LEFT($I3041,6)&lt;&gt;"VACUUM"),"CDU",IF($H3041="FLUID CAT CRACKING","FCC",IF(OR($H3041="HYDROCRACKING",$H3041="RESID_HYDROCRACKING"),"Hydrocracker",IF($H3041="REFORMING","Reformer",""))))</f>
        <v>Hydrocracker</v>
      </c>
      <c r="H3041" s="6" t="s">
        <v>444</v>
      </c>
      <c r="I3041" s="6" t="s">
        <v>582</v>
      </c>
      <c r="J3041" s="6" t="s">
        <v>345</v>
      </c>
      <c r="K3041" s="10">
        <v>7.13</v>
      </c>
      <c r="L3041" s="10">
        <v>23</v>
      </c>
      <c r="M3041" s="6" t="s">
        <v>386</v>
      </c>
    </row>
    <row r="3042" spans="1:13">
      <c r="A3042" s="6">
        <v>2024</v>
      </c>
      <c r="B3042" s="6">
        <v>2</v>
      </c>
      <c r="C3042" s="6" t="s">
        <v>60</v>
      </c>
      <c r="D3042" s="6" t="s">
        <v>714</v>
      </c>
      <c r="E3042" s="6" t="s">
        <v>405</v>
      </c>
      <c r="F3042" s="6" t="str">
        <f>IF($M3042="PADD I","PADD 1",IF($M3042="PADD II","PADD 2",IF($M3042="PADD III","PADD 3",IF($M3042="PADD IV","PADD 4",IF($M3042="PADD V","PADD 5","")))))</f>
        <v>PADD 3</v>
      </c>
      <c r="G3042" s="6" t="str">
        <f>IF(AND($H3042="ATMOS DISTILLATION",ISNUMBER(SEARCH("VPS",$I3042))=FALSE,LEFT($I3042,6)&lt;&gt;"VACUUM"),"CDU",IF($H3042="FLUID CAT CRACKING","FCC",IF(OR($H3042="HYDROCRACKING",$H3042="RESID_HYDROCRACKING"),"Hydrocracker",IF($H3042="REFORMING","Reformer",""))))</f>
        <v>Hydrocracker</v>
      </c>
      <c r="H3042" s="6" t="s">
        <v>444</v>
      </c>
      <c r="I3042" s="6" t="s">
        <v>14</v>
      </c>
      <c r="J3042" s="6" t="s">
        <v>345</v>
      </c>
      <c r="K3042" s="10">
        <v>7.08</v>
      </c>
      <c r="L3042" s="10">
        <v>29.5</v>
      </c>
      <c r="M3042" s="6" t="s">
        <v>371</v>
      </c>
    </row>
    <row r="3043" spans="1:13">
      <c r="A3043" s="6">
        <v>2024</v>
      </c>
      <c r="B3043" s="6">
        <v>2</v>
      </c>
      <c r="C3043" s="6" t="s">
        <v>60</v>
      </c>
      <c r="D3043" s="6" t="s">
        <v>531</v>
      </c>
      <c r="E3043" s="6" t="s">
        <v>532</v>
      </c>
      <c r="F3043" s="6" t="str">
        <f>IF($M3043="PADD I","PADD 1",IF($M3043="PADD II","PADD 2",IF($M3043="PADD III","PADD 3",IF($M3043="PADD IV","PADD 4",IF($M3043="PADD V","PADD 5","")))))</f>
        <v>PADD 5</v>
      </c>
      <c r="G3043" s="6">
        <f>IF(AND($H3043="ATMOS DISTILLATION",ISNUMBER(SEARCH("VPS",$I3043))=FALSE,LEFT($I3043,6)&lt;&gt;"VACUUM"),"CDU",IF($H3043="FLUID CAT CRACKING","FCC",IF(OR($H3043="HYDROCRACKING",$H3043="RESID_HYDROCRACKING"),"Hydrocracker",IF($H3043="REFORMING","Reformer",""))))</f>
        <v/>
      </c>
      <c r="H3043" s="6" t="s">
        <v>460</v>
      </c>
      <c r="I3043" s="6" t="s">
        <v>616</v>
      </c>
      <c r="J3043" s="6" t="s">
        <v>345</v>
      </c>
      <c r="K3043" s="10">
        <v>7.0125</v>
      </c>
      <c r="L3043" s="10">
        <v>12.75</v>
      </c>
      <c r="M3043" s="6" t="s">
        <v>386</v>
      </c>
    </row>
    <row r="3044" spans="1:13">
      <c r="A3044" s="6">
        <v>2024</v>
      </c>
      <c r="B3044" s="6">
        <v>2</v>
      </c>
      <c r="C3044" s="6" t="s">
        <v>60</v>
      </c>
      <c r="D3044" s="6" t="s">
        <v>468</v>
      </c>
      <c r="E3044" s="6" t="s">
        <v>369</v>
      </c>
      <c r="F3044" s="6" t="str">
        <f>IF($M3044="PADD I","PADD 1",IF($M3044="PADD II","PADD 2",IF($M3044="PADD III","PADD 3",IF($M3044="PADD IV","PADD 4",IF($M3044="PADD V","PADD 5","")))))</f>
        <v>PADD 3</v>
      </c>
      <c r="G3044" s="6" t="str">
        <f>IF(AND($H3044="ATMOS DISTILLATION",ISNUMBER(SEARCH("VPS",$I3044))=FALSE,LEFT($I3044,6)&lt;&gt;"VACUUM"),"CDU",IF($H3044="FLUID CAT CRACKING","FCC",IF(OR($H3044="HYDROCRACKING",$H3044="RESID_HYDROCRACKING"),"Hydrocracker",IF($H3044="REFORMING","Reformer",""))))</f>
        <v>Reformer</v>
      </c>
      <c r="H3044" s="6" t="s">
        <v>421</v>
      </c>
      <c r="I3044" s="6" t="s">
        <v>635</v>
      </c>
      <c r="J3044" s="6" t="s">
        <v>349</v>
      </c>
      <c r="K3044" s="10">
        <v>7</v>
      </c>
      <c r="L3044" s="10">
        <v>7</v>
      </c>
      <c r="M3044" s="6" t="s">
        <v>371</v>
      </c>
    </row>
    <row r="3045" spans="1:13">
      <c r="A3045" s="6">
        <v>2024</v>
      </c>
      <c r="B3045" s="6">
        <v>2</v>
      </c>
      <c r="C3045" s="6" t="s">
        <v>60</v>
      </c>
      <c r="D3045" s="6" t="s">
        <v>632</v>
      </c>
      <c r="E3045" s="6" t="s">
        <v>633</v>
      </c>
      <c r="F3045" s="6" t="str">
        <f>IF($M3045="PADD I","PADD 1",IF($M3045="PADD II","PADD 2",IF($M3045="PADD III","PADD 3",IF($M3045="PADD IV","PADD 4",IF($M3045="PADD V","PADD 5","")))))</f>
        <v>PADD 4</v>
      </c>
      <c r="G3045" s="6" t="str">
        <f>IF(AND($H3045="ATMOS DISTILLATION",ISNUMBER(SEARCH("VPS",$I3045))=FALSE,LEFT($I3045,6)&lt;&gt;"VACUUM"),"CDU",IF($H3045="FLUID CAT CRACKING","FCC",IF(OR($H3045="HYDROCRACKING",$H3045="RESID_HYDROCRACKING"),"Hydrocracker",IF($H3045="REFORMING","Reformer",""))))</f>
        <v>Reformer</v>
      </c>
      <c r="H3045" s="6" t="s">
        <v>421</v>
      </c>
      <c r="I3045" s="6" t="s">
        <v>1070</v>
      </c>
      <c r="J3045" s="6" t="s">
        <v>349</v>
      </c>
      <c r="K3045" s="10">
        <v>6.9</v>
      </c>
      <c r="L3045" s="10">
        <v>10</v>
      </c>
      <c r="M3045" s="6" t="s">
        <v>430</v>
      </c>
    </row>
    <row r="3046" spans="1:13">
      <c r="A3046" s="6">
        <v>2024</v>
      </c>
      <c r="B3046" s="6">
        <v>2</v>
      </c>
      <c r="C3046" s="6" t="s">
        <v>60</v>
      </c>
      <c r="D3046" s="6" t="s">
        <v>531</v>
      </c>
      <c r="E3046" s="6" t="s">
        <v>532</v>
      </c>
      <c r="F3046" s="6" t="str">
        <f>IF($M3046="PADD I","PADD 1",IF($M3046="PADD II","PADD 2",IF($M3046="PADD III","PADD 3",IF($M3046="PADD IV","PADD 4",IF($M3046="PADD V","PADD 5","")))))</f>
        <v>PADD 5</v>
      </c>
      <c r="G3046" s="6">
        <f>IF(AND($H3046="ATMOS DISTILLATION",ISNUMBER(SEARCH("VPS",$I3046))=FALSE,LEFT($I3046,6)&lt;&gt;"VACUUM"),"CDU",IF($H3046="FLUID CAT CRACKING","FCC",IF(OR($H3046="HYDROCRACKING",$H3046="RESID_HYDROCRACKING"),"Hydrocracker",IF($H3046="REFORMING","Reformer",""))))</f>
        <v/>
      </c>
      <c r="H3046" s="6" t="s">
        <v>435</v>
      </c>
      <c r="I3046" s="6" t="s">
        <v>599</v>
      </c>
      <c r="J3046" s="6" t="s">
        <v>345</v>
      </c>
      <c r="K3046" s="10">
        <v>6.875</v>
      </c>
      <c r="L3046" s="10">
        <v>12.5</v>
      </c>
      <c r="M3046" s="6" t="s">
        <v>386</v>
      </c>
    </row>
    <row r="3047" spans="1:13">
      <c r="A3047" s="6">
        <v>2024</v>
      </c>
      <c r="B3047" s="6">
        <v>2</v>
      </c>
      <c r="C3047" s="6" t="s">
        <v>60</v>
      </c>
      <c r="D3047" s="6" t="s">
        <v>531</v>
      </c>
      <c r="E3047" s="6" t="s">
        <v>532</v>
      </c>
      <c r="F3047" s="6" t="str">
        <f>IF($M3047="PADD I","PADD 1",IF($M3047="PADD II","PADD 2",IF($M3047="PADD III","PADD 3",IF($M3047="PADD IV","PADD 4",IF($M3047="PADD V","PADD 5","")))))</f>
        <v>PADD 5</v>
      </c>
      <c r="G3047" s="6" t="str">
        <f>IF(AND($H3047="ATMOS DISTILLATION",ISNUMBER(SEARCH("VPS",$I3047))=FALSE,LEFT($I3047,6)&lt;&gt;"VACUUM"),"CDU",IF($H3047="FLUID CAT CRACKING","FCC",IF(OR($H3047="HYDROCRACKING",$H3047="RESID_HYDROCRACKING"),"Hydrocracker",IF($H3047="REFORMING","Reformer",""))))</f>
        <v>Hydrocracker</v>
      </c>
      <c r="H3047" s="6" t="s">
        <v>444</v>
      </c>
      <c r="I3047" s="6" t="s">
        <v>14</v>
      </c>
      <c r="J3047" s="6" t="s">
        <v>345</v>
      </c>
      <c r="K3047" s="10">
        <v>6.6</v>
      </c>
      <c r="L3047" s="10">
        <v>12</v>
      </c>
      <c r="M3047" s="6" t="s">
        <v>386</v>
      </c>
    </row>
    <row r="3048" spans="1:13">
      <c r="A3048" s="6">
        <v>2024</v>
      </c>
      <c r="B3048" s="6">
        <v>2</v>
      </c>
      <c r="C3048" s="6" t="s">
        <v>60</v>
      </c>
      <c r="D3048" s="6" t="s">
        <v>387</v>
      </c>
      <c r="E3048" s="6" t="s">
        <v>388</v>
      </c>
      <c r="F3048" s="6" t="str">
        <f>IF($M3048="PADD I","PADD 1",IF($M3048="PADD II","PADD 2",IF($M3048="PADD III","PADD 3",IF($M3048="PADD IV","PADD 4",IF($M3048="PADD V","PADD 5","")))))</f>
        <v>PADD 3</v>
      </c>
      <c r="G3048" s="6" t="str">
        <f>IF(AND($H3048="ATMOS DISTILLATION",ISNUMBER(SEARCH("VPS",$I3048))=FALSE,LEFT($I3048,6)&lt;&gt;"VACUUM"),"CDU",IF($H3048="FLUID CAT CRACKING","FCC",IF(OR($H3048="HYDROCRACKING",$H3048="RESID_HYDROCRACKING"),"Hydrocracker",IF($H3048="REFORMING","Reformer",""))))</f>
        <v>Reformer</v>
      </c>
      <c r="H3048" s="6" t="s">
        <v>421</v>
      </c>
      <c r="I3048" s="6" t="s">
        <v>583</v>
      </c>
      <c r="J3048" s="6" t="s">
        <v>345</v>
      </c>
      <c r="K3048" s="10">
        <v>6.55</v>
      </c>
      <c r="L3048" s="10">
        <v>65.5</v>
      </c>
      <c r="M3048" s="6" t="s">
        <v>371</v>
      </c>
    </row>
    <row r="3049" spans="1:13">
      <c r="A3049" s="6">
        <v>2024</v>
      </c>
      <c r="B3049" s="6">
        <v>2</v>
      </c>
      <c r="C3049" s="6" t="s">
        <v>60</v>
      </c>
      <c r="D3049" s="6" t="s">
        <v>762</v>
      </c>
      <c r="E3049" s="6" t="s">
        <v>763</v>
      </c>
      <c r="F3049" s="6" t="str">
        <f>IF($M3049="PADD I","PADD 1",IF($M3049="PADD II","PADD 2",IF($M3049="PADD III","PADD 3",IF($M3049="PADD IV","PADD 4",IF($M3049="PADD V","PADD 5","")))))</f>
        <v>PADD 2</v>
      </c>
      <c r="G3049" s="6" t="str">
        <f>IF(AND($H3049="ATMOS DISTILLATION",ISNUMBER(SEARCH("VPS",$I3049))=FALSE,LEFT($I3049,6)&lt;&gt;"VACUUM"),"CDU",IF($H3049="FLUID CAT CRACKING","FCC",IF(OR($H3049="HYDROCRACKING",$H3049="RESID_HYDROCRACKING"),"Hydrocracker",IF($H3049="REFORMING","Reformer",""))))</f>
        <v>FCC</v>
      </c>
      <c r="H3049" s="6" t="s">
        <v>376</v>
      </c>
      <c r="I3049" s="6" t="s">
        <v>105</v>
      </c>
      <c r="J3049" s="6" t="s">
        <v>349</v>
      </c>
      <c r="K3049" s="10">
        <v>6.51</v>
      </c>
      <c r="L3049" s="10">
        <v>21</v>
      </c>
      <c r="M3049" s="6" t="s">
        <v>375</v>
      </c>
    </row>
    <row r="3050" spans="1:13">
      <c r="A3050" s="6">
        <v>2024</v>
      </c>
      <c r="B3050" s="6">
        <v>2</v>
      </c>
      <c r="C3050" s="6" t="s">
        <v>60</v>
      </c>
      <c r="D3050" s="6" t="s">
        <v>547</v>
      </c>
      <c r="E3050" s="6" t="s">
        <v>391</v>
      </c>
      <c r="F3050" s="6" t="str">
        <f>IF($M3050="PADD I","PADD 1",IF($M3050="PADD II","PADD 2",IF($M3050="PADD III","PADD 3",IF($M3050="PADD IV","PADD 4",IF($M3050="PADD V","PADD 5","")))))</f>
        <v>PADD 5</v>
      </c>
      <c r="G3050" s="6">
        <f>IF(AND($H3050="ATMOS DISTILLATION",ISNUMBER(SEARCH("VPS",$I3050))=FALSE,LEFT($I3050,6)&lt;&gt;"VACUUM"),"CDU",IF($H3050="FLUID CAT CRACKING","FCC",IF(OR($H3050="HYDROCRACKING",$H3050="RESID_HYDROCRACKING"),"Hydrocracker",IF($H3050="REFORMING","Reformer",""))))</f>
        <v/>
      </c>
      <c r="H3050" s="6" t="s">
        <v>43</v>
      </c>
      <c r="I3050" s="6" t="s">
        <v>931</v>
      </c>
      <c r="J3050" s="6" t="s">
        <v>345</v>
      </c>
      <c r="K3050" s="10">
        <v>6.48</v>
      </c>
      <c r="L3050" s="10">
        <v>64.8</v>
      </c>
      <c r="M3050" s="6" t="s">
        <v>386</v>
      </c>
    </row>
    <row r="3051" spans="1:13">
      <c r="A3051" s="6">
        <v>2024</v>
      </c>
      <c r="B3051" s="6">
        <v>2</v>
      </c>
      <c r="C3051" s="6" t="s">
        <v>60</v>
      </c>
      <c r="D3051" s="6" t="s">
        <v>415</v>
      </c>
      <c r="E3051" s="6" t="s">
        <v>416</v>
      </c>
      <c r="F3051" s="6" t="str">
        <f>IF($M3051="PADD I","PADD 1",IF($M3051="PADD II","PADD 2",IF($M3051="PADD III","PADD 3",IF($M3051="PADD IV","PADD 4",IF($M3051="PADD V","PADD 5","")))))</f>
        <v>PADD 3</v>
      </c>
      <c r="G3051" s="6" t="str">
        <f>IF(AND($H3051="ATMOS DISTILLATION",ISNUMBER(SEARCH("VPS",$I3051))=FALSE,LEFT($I3051,6)&lt;&gt;"VACUUM"),"CDU",IF($H3051="FLUID CAT CRACKING","FCC",IF(OR($H3051="HYDROCRACKING",$H3051="RESID_HYDROCRACKING"),"Hydrocracker",IF($H3051="REFORMING","Reformer",""))))</f>
        <v>Hydrocracker</v>
      </c>
      <c r="H3051" s="6" t="s">
        <v>444</v>
      </c>
      <c r="I3051" s="6" t="s">
        <v>940</v>
      </c>
      <c r="J3051" s="6" t="s">
        <v>345</v>
      </c>
      <c r="K3051" s="10">
        <v>6.46</v>
      </c>
      <c r="L3051" s="10">
        <v>38</v>
      </c>
      <c r="M3051" s="6" t="s">
        <v>371</v>
      </c>
    </row>
    <row r="3052" spans="1:13">
      <c r="A3052" s="6">
        <v>2024</v>
      </c>
      <c r="B3052" s="6">
        <v>2</v>
      </c>
      <c r="C3052" s="6" t="s">
        <v>60</v>
      </c>
      <c r="D3052" s="6" t="s">
        <v>799</v>
      </c>
      <c r="E3052" s="6" t="s">
        <v>391</v>
      </c>
      <c r="F3052" s="6" t="str">
        <f>IF($M3052="PADD I","PADD 1",IF($M3052="PADD II","PADD 2",IF($M3052="PADD III","PADD 3",IF($M3052="PADD IV","PADD 4",IF($M3052="PADD V","PADD 5","")))))</f>
        <v>PADD 4</v>
      </c>
      <c r="G3052" s="6">
        <f>IF(AND($H3052="ATMOS DISTILLATION",ISNUMBER(SEARCH("VPS",$I3052))=FALSE,LEFT($I3052,6)&lt;&gt;"VACUUM"),"CDU",IF($H3052="FLUID CAT CRACKING","FCC",IF(OR($H3052="HYDROCRACKING",$H3052="RESID_HYDROCRACKING"),"Hydrocracker",IF($H3052="REFORMING","Reformer",""))))</f>
        <v/>
      </c>
      <c r="H3052" s="6" t="s">
        <v>43</v>
      </c>
      <c r="I3052" s="6" t="s">
        <v>1067</v>
      </c>
      <c r="J3052" s="6" t="s">
        <v>345</v>
      </c>
      <c r="K3052" s="10">
        <v>6.325</v>
      </c>
      <c r="L3052" s="10">
        <v>11.5</v>
      </c>
      <c r="M3052" s="6" t="s">
        <v>430</v>
      </c>
    </row>
    <row r="3053" spans="1:13">
      <c r="A3053" s="6">
        <v>2024</v>
      </c>
      <c r="B3053" s="6">
        <v>2</v>
      </c>
      <c r="C3053" s="6" t="s">
        <v>60</v>
      </c>
      <c r="D3053" s="6" t="s">
        <v>934</v>
      </c>
      <c r="E3053" s="6" t="s">
        <v>388</v>
      </c>
      <c r="F3053" s="6" t="str">
        <f>IF($M3053="PADD I","PADD 1",IF($M3053="PADD II","PADD 2",IF($M3053="PADD III","PADD 3",IF($M3053="PADD IV","PADD 4",IF($M3053="PADD V","PADD 5","")))))</f>
        <v>PADD 3</v>
      </c>
      <c r="G3053" s="6">
        <f>IF(AND($H3053="ATMOS DISTILLATION",ISNUMBER(SEARCH("VPS",$I3053))=FALSE,LEFT($I3053,6)&lt;&gt;"VACUUM"),"CDU",IF($H3053="FLUID CAT CRACKING","FCC",IF(OR($H3053="HYDROCRACKING",$H3053="RESID_HYDROCRACKING"),"Hydrocracker",IF($H3053="REFORMING","Reformer",""))))</f>
        <v/>
      </c>
      <c r="H3053" s="6" t="s">
        <v>460</v>
      </c>
      <c r="I3053" s="6" t="s">
        <v>461</v>
      </c>
      <c r="J3053" s="6" t="s">
        <v>349</v>
      </c>
      <c r="K3053" s="10">
        <v>6.2</v>
      </c>
      <c r="L3053" s="10">
        <v>10</v>
      </c>
      <c r="M3053" s="6" t="s">
        <v>371</v>
      </c>
    </row>
    <row r="3054" spans="1:13">
      <c r="A3054" s="6">
        <v>2024</v>
      </c>
      <c r="B3054" s="6">
        <v>2</v>
      </c>
      <c r="C3054" s="6" t="s">
        <v>60</v>
      </c>
      <c r="D3054" s="6" t="s">
        <v>602</v>
      </c>
      <c r="E3054" s="6" t="s">
        <v>369</v>
      </c>
      <c r="F3054" s="6" t="str">
        <f>IF($M3054="PADD I","PADD 1",IF($M3054="PADD II","PADD 2",IF($M3054="PADD III","PADD 3",IF($M3054="PADD IV","PADD 4",IF($M3054="PADD V","PADD 5","")))))</f>
        <v>PADD 2</v>
      </c>
      <c r="G3054" s="6" t="str">
        <f>IF(AND($H3054="ATMOS DISTILLATION",ISNUMBER(SEARCH("VPS",$I3054))=FALSE,LEFT($I3054,6)&lt;&gt;"VACUUM"),"CDU",IF($H3054="FLUID CAT CRACKING","FCC",IF(OR($H3054="HYDROCRACKING",$H3054="RESID_HYDROCRACKING"),"Hydrocracker",IF($H3054="REFORMING","Reformer",""))))</f>
        <v>FCC</v>
      </c>
      <c r="H3054" s="6" t="s">
        <v>376</v>
      </c>
      <c r="I3054" s="6" t="s">
        <v>1124</v>
      </c>
      <c r="J3054" s="6" t="s">
        <v>345</v>
      </c>
      <c r="K3054" s="10">
        <v>6.16</v>
      </c>
      <c r="L3054" s="10">
        <v>44</v>
      </c>
      <c r="M3054" s="6" t="s">
        <v>375</v>
      </c>
    </row>
    <row r="3055" spans="1:13">
      <c r="A3055" s="6">
        <v>2024</v>
      </c>
      <c r="B3055" s="6">
        <v>2</v>
      </c>
      <c r="C3055" s="6" t="s">
        <v>60</v>
      </c>
      <c r="D3055" s="6" t="s">
        <v>434</v>
      </c>
      <c r="E3055" s="6" t="s">
        <v>388</v>
      </c>
      <c r="F3055" s="6" t="str">
        <f>IF($M3055="PADD I","PADD 1",IF($M3055="PADD II","PADD 2",IF($M3055="PADD III","PADD 3",IF($M3055="PADD IV","PADD 4",IF($M3055="PADD V","PADD 5","")))))</f>
        <v>PADD 5</v>
      </c>
      <c r="G3055" s="6" t="str">
        <f>IF(AND($H3055="ATMOS DISTILLATION",ISNUMBER(SEARCH("VPS",$I3055))=FALSE,LEFT($I3055,6)&lt;&gt;"VACUUM"),"CDU",IF($H3055="FLUID CAT CRACKING","FCC",IF(OR($H3055="HYDROCRACKING",$H3055="RESID_HYDROCRACKING"),"Hydrocracker",IF($H3055="REFORMING","Reformer",""))))</f>
        <v>Reformer</v>
      </c>
      <c r="H3055" s="6" t="s">
        <v>421</v>
      </c>
      <c r="I3055" s="6" t="s">
        <v>671</v>
      </c>
      <c r="J3055" s="6" t="s">
        <v>345</v>
      </c>
      <c r="K3055" s="10">
        <v>6.15</v>
      </c>
      <c r="L3055" s="10">
        <v>15</v>
      </c>
      <c r="M3055" s="6" t="s">
        <v>386</v>
      </c>
    </row>
    <row r="3056" spans="1:13">
      <c r="A3056" s="6">
        <v>2024</v>
      </c>
      <c r="B3056" s="6">
        <v>2</v>
      </c>
      <c r="C3056" s="6" t="s">
        <v>60</v>
      </c>
      <c r="D3056" s="6" t="s">
        <v>346</v>
      </c>
      <c r="E3056" s="6" t="s">
        <v>383</v>
      </c>
      <c r="F3056" s="6" t="str">
        <f>IF($M3056="PADD I","PADD 1",IF($M3056="PADD II","PADD 2",IF($M3056="PADD III","PADD 3",IF($M3056="PADD IV","PADD 4",IF($M3056="PADD V","PADD 5","")))))</f>
        <v>PADD 2</v>
      </c>
      <c r="G3056" s="6" t="str">
        <f>IF(AND($H3056="ATMOS DISTILLATION",ISNUMBER(SEARCH("VPS",$I3056))=FALSE,LEFT($I3056,6)&lt;&gt;"VACUUM"),"CDU",IF($H3056="FLUID CAT CRACKING","FCC",IF(OR($H3056="HYDROCRACKING",$H3056="RESID_HYDROCRACKING"),"Hydrocracker",IF($H3056="REFORMING","Reformer",""))))</f>
        <v>CDU</v>
      </c>
      <c r="H3056" s="6" t="s">
        <v>38</v>
      </c>
      <c r="I3056" s="6" t="s">
        <v>1058</v>
      </c>
      <c r="J3056" s="6" t="s">
        <v>349</v>
      </c>
      <c r="K3056" s="10">
        <v>6.09</v>
      </c>
      <c r="L3056" s="10">
        <v>87</v>
      </c>
      <c r="M3056" s="6" t="s">
        <v>375</v>
      </c>
    </row>
    <row r="3057" spans="1:13">
      <c r="A3057" s="6">
        <v>2024</v>
      </c>
      <c r="B3057" s="6">
        <v>2</v>
      </c>
      <c r="C3057" s="6" t="s">
        <v>60</v>
      </c>
      <c r="D3057" s="6" t="s">
        <v>496</v>
      </c>
      <c r="E3057" s="6" t="s">
        <v>388</v>
      </c>
      <c r="F3057" s="6" t="str">
        <f>IF($M3057="PADD I","PADD 1",IF($M3057="PADD II","PADD 2",IF($M3057="PADD III","PADD 3",IF($M3057="PADD IV","PADD 4",IF($M3057="PADD V","PADD 5","")))))</f>
        <v>PADD 2</v>
      </c>
      <c r="G3057" s="6">
        <f>IF(AND($H3057="ATMOS DISTILLATION",ISNUMBER(SEARCH("VPS",$I3057))=FALSE,LEFT($I3057,6)&lt;&gt;"VACUUM"),"CDU",IF($H3057="FLUID CAT CRACKING","FCC",IF(OR($H3057="HYDROCRACKING",$H3057="RESID_HYDROCRACKING"),"Hydrocracker",IF($H3057="REFORMING","Reformer",""))))</f>
        <v/>
      </c>
      <c r="H3057" s="6" t="s">
        <v>43</v>
      </c>
      <c r="I3057" s="6" t="s">
        <v>955</v>
      </c>
      <c r="J3057" s="6" t="s">
        <v>349</v>
      </c>
      <c r="K3057" s="10">
        <v>6</v>
      </c>
      <c r="L3057" s="10">
        <v>6</v>
      </c>
      <c r="M3057" s="6" t="s">
        <v>375</v>
      </c>
    </row>
    <row r="3058" spans="1:13">
      <c r="A3058" s="6">
        <v>2024</v>
      </c>
      <c r="B3058" s="6">
        <v>2</v>
      </c>
      <c r="C3058" s="6" t="s">
        <v>60</v>
      </c>
      <c r="D3058" s="6" t="s">
        <v>646</v>
      </c>
      <c r="E3058" s="6" t="s">
        <v>405</v>
      </c>
      <c r="F3058" s="6" t="str">
        <f>IF($M3058="PADD I","PADD 1",IF($M3058="PADD II","PADD 2",IF($M3058="PADD III","PADD 3",IF($M3058="PADD IV","PADD 4",IF($M3058="PADD V","PADD 5","")))))</f>
        <v>PADD 3</v>
      </c>
      <c r="G3058" s="6" t="str">
        <f>IF(AND($H3058="ATMOS DISTILLATION",ISNUMBER(SEARCH("VPS",$I3058))=FALSE,LEFT($I3058,6)&lt;&gt;"VACUUM"),"CDU",IF($H3058="FLUID CAT CRACKING","FCC",IF(OR($H3058="HYDROCRACKING",$H3058="RESID_HYDROCRACKING"),"Hydrocracker",IF($H3058="REFORMING","Reformer",""))))</f>
        <v>Reformer</v>
      </c>
      <c r="H3058" s="6" t="s">
        <v>421</v>
      </c>
      <c r="I3058" s="6" t="s">
        <v>1132</v>
      </c>
      <c r="J3058" s="6" t="s">
        <v>345</v>
      </c>
      <c r="K3058" s="10">
        <v>5.9</v>
      </c>
      <c r="L3058" s="10">
        <v>10</v>
      </c>
      <c r="M3058" s="6" t="s">
        <v>371</v>
      </c>
    </row>
    <row r="3059" spans="1:13">
      <c r="A3059" s="6">
        <v>2024</v>
      </c>
      <c r="B3059" s="6">
        <v>2</v>
      </c>
      <c r="C3059" s="6" t="s">
        <v>60</v>
      </c>
      <c r="D3059" s="6" t="s">
        <v>774</v>
      </c>
      <c r="E3059" s="6" t="s">
        <v>775</v>
      </c>
      <c r="F3059" s="6" t="str">
        <f>IF($M3059="PADD I","PADD 1",IF($M3059="PADD II","PADD 2",IF($M3059="PADD III","PADD 3",IF($M3059="PADD IV","PADD 4",IF($M3059="PADD V","PADD 5","")))))</f>
        <v>PADD 1</v>
      </c>
      <c r="G3059" s="6">
        <f>IF(AND($H3059="ATMOS DISTILLATION",ISNUMBER(SEARCH("VPS",$I3059))=FALSE,LEFT($I3059,6)&lt;&gt;"VACUUM"),"CDU",IF($H3059="FLUID CAT CRACKING","FCC",IF(OR($H3059="HYDROCRACKING",$H3059="RESID_HYDROCRACKING"),"Hydrocracker",IF($H3059="REFORMING","Reformer",""))))</f>
        <v/>
      </c>
      <c r="H3059" s="6" t="s">
        <v>460</v>
      </c>
      <c r="I3059" s="6" t="s">
        <v>461</v>
      </c>
      <c r="J3059" s="6" t="s">
        <v>345</v>
      </c>
      <c r="K3059" s="10">
        <v>5.775</v>
      </c>
      <c r="L3059" s="10">
        <v>10.5</v>
      </c>
      <c r="M3059" s="6" t="s">
        <v>413</v>
      </c>
    </row>
    <row r="3060" spans="1:13">
      <c r="A3060" s="6">
        <v>2024</v>
      </c>
      <c r="B3060" s="6">
        <v>2</v>
      </c>
      <c r="C3060" s="6" t="s">
        <v>60</v>
      </c>
      <c r="D3060" s="6" t="s">
        <v>518</v>
      </c>
      <c r="E3060" s="6" t="s">
        <v>369</v>
      </c>
      <c r="F3060" s="6" t="str">
        <f>IF($M3060="PADD I","PADD 1",IF($M3060="PADD II","PADD 2",IF($M3060="PADD III","PADD 3",IF($M3060="PADD IV","PADD 4",IF($M3060="PADD V","PADD 5","")))))</f>
        <v>PADD 5</v>
      </c>
      <c r="G3060" s="6" t="str">
        <f>IF(AND($H3060="ATMOS DISTILLATION",ISNUMBER(SEARCH("VPS",$I3060))=FALSE,LEFT($I3060,6)&lt;&gt;"VACUUM"),"CDU",IF($H3060="FLUID CAT CRACKING","FCC",IF(OR($H3060="HYDROCRACKING",$H3060="RESID_HYDROCRACKING"),"Hydrocracker",IF($H3060="REFORMING","Reformer",""))))</f>
        <v>Reformer</v>
      </c>
      <c r="H3060" s="6" t="s">
        <v>421</v>
      </c>
      <c r="I3060" s="6" t="s">
        <v>845</v>
      </c>
      <c r="J3060" s="6" t="s">
        <v>345</v>
      </c>
      <c r="K3060" s="10">
        <v>5.735</v>
      </c>
      <c r="L3060" s="10">
        <v>18.5</v>
      </c>
      <c r="M3060" s="6" t="s">
        <v>386</v>
      </c>
    </row>
    <row r="3061" spans="1:13">
      <c r="A3061" s="6">
        <v>2024</v>
      </c>
      <c r="B3061" s="6">
        <v>2</v>
      </c>
      <c r="C3061" s="6" t="s">
        <v>60</v>
      </c>
      <c r="D3061" s="6" t="s">
        <v>531</v>
      </c>
      <c r="E3061" s="6" t="s">
        <v>532</v>
      </c>
      <c r="F3061" s="6" t="str">
        <f>IF($M3061="PADD I","PADD 1",IF($M3061="PADD II","PADD 2",IF($M3061="PADD III","PADD 3",IF($M3061="PADD IV","PADD 4",IF($M3061="PADD V","PADD 5","")))))</f>
        <v>PADD 5</v>
      </c>
      <c r="G3061" s="6">
        <f>IF(AND($H3061="ATMOS DISTILLATION",ISNUMBER(SEARCH("VPS",$I3061))=FALSE,LEFT($I3061,6)&lt;&gt;"VACUUM"),"CDU",IF($H3061="FLUID CAT CRACKING","FCC",IF(OR($H3061="HYDROCRACKING",$H3061="RESID_HYDROCRACKING"),"Hydrocracker",IF($H3061="REFORMING","Reformer",""))))</f>
        <v/>
      </c>
      <c r="H3061" s="6" t="s">
        <v>43</v>
      </c>
      <c r="I3061" s="6" t="s">
        <v>618</v>
      </c>
      <c r="J3061" s="6" t="s">
        <v>345</v>
      </c>
      <c r="K3061" s="10">
        <v>5.5</v>
      </c>
      <c r="L3061" s="10">
        <v>10</v>
      </c>
      <c r="M3061" s="6" t="s">
        <v>386</v>
      </c>
    </row>
    <row r="3062" spans="1:13">
      <c r="A3062" s="6">
        <v>2024</v>
      </c>
      <c r="B3062" s="6">
        <v>2</v>
      </c>
      <c r="C3062" s="6" t="s">
        <v>60</v>
      </c>
      <c r="D3062" s="6" t="s">
        <v>615</v>
      </c>
      <c r="E3062" s="6" t="s">
        <v>405</v>
      </c>
      <c r="F3062" s="6" t="str">
        <f>IF($M3062="PADD I","PADD 1",IF($M3062="PADD II","PADD 2",IF($M3062="PADD III","PADD 3",IF($M3062="PADD IV","PADD 4",IF($M3062="PADD V","PADD 5","")))))</f>
        <v>PADD 5</v>
      </c>
      <c r="G3062" s="6" t="str">
        <f>IF(AND($H3062="ATMOS DISTILLATION",ISNUMBER(SEARCH("VPS",$I3062))=FALSE,LEFT($I3062,6)&lt;&gt;"VACUUM"),"CDU",IF($H3062="FLUID CAT CRACKING","FCC",IF(OR($H3062="HYDROCRACKING",$H3062="RESID_HYDROCRACKING"),"Hydrocracker",IF($H3062="REFORMING","Reformer",""))))</f>
        <v>FCC</v>
      </c>
      <c r="H3062" s="6" t="s">
        <v>376</v>
      </c>
      <c r="I3062" s="6" t="s">
        <v>105</v>
      </c>
      <c r="J3062" s="6" t="s">
        <v>349</v>
      </c>
      <c r="K3062" s="10">
        <v>5.39</v>
      </c>
      <c r="L3062" s="10">
        <v>77</v>
      </c>
      <c r="M3062" s="6" t="s">
        <v>386</v>
      </c>
    </row>
    <row r="3063" spans="1:13">
      <c r="A3063" s="6">
        <v>2024</v>
      </c>
      <c r="B3063" s="6">
        <v>2</v>
      </c>
      <c r="C3063" s="6" t="s">
        <v>60</v>
      </c>
      <c r="D3063" s="6" t="s">
        <v>446</v>
      </c>
      <c r="E3063" s="6" t="s">
        <v>391</v>
      </c>
      <c r="F3063" s="6" t="str">
        <f>IF($M3063="PADD I","PADD 1",IF($M3063="PADD II","PADD 2",IF($M3063="PADD III","PADD 3",IF($M3063="PADD IV","PADD 4",IF($M3063="PADD V","PADD 5","")))))</f>
        <v>PADD 3</v>
      </c>
      <c r="G3063" s="6">
        <f>IF(AND($H3063="ATMOS DISTILLATION",ISNUMBER(SEARCH("VPS",$I3063))=FALSE,LEFT($I3063,6)&lt;&gt;"VACUUM"),"CDU",IF($H3063="FLUID CAT CRACKING","FCC",IF(OR($H3063="HYDROCRACKING",$H3063="RESID_HYDROCRACKING"),"Hydrocracker",IF($H3063="REFORMING","Reformer",""))))</f>
        <v/>
      </c>
      <c r="H3063" s="6" t="s">
        <v>378</v>
      </c>
      <c r="I3063" s="6" t="s">
        <v>1041</v>
      </c>
      <c r="J3063" s="6" t="s">
        <v>345</v>
      </c>
      <c r="K3063" s="10">
        <v>5.32</v>
      </c>
      <c r="L3063" s="10">
        <v>38</v>
      </c>
      <c r="M3063" s="6" t="s">
        <v>371</v>
      </c>
    </row>
    <row r="3064" spans="1:13">
      <c r="A3064" s="6">
        <v>2024</v>
      </c>
      <c r="B3064" s="6">
        <v>2</v>
      </c>
      <c r="C3064" s="6" t="s">
        <v>60</v>
      </c>
      <c r="D3064" s="6" t="s">
        <v>602</v>
      </c>
      <c r="E3064" s="6" t="s">
        <v>369</v>
      </c>
      <c r="F3064" s="6" t="str">
        <f>IF($M3064="PADD I","PADD 1",IF($M3064="PADD II","PADD 2",IF($M3064="PADD III","PADD 3",IF($M3064="PADD IV","PADD 4",IF($M3064="PADD V","PADD 5","")))))</f>
        <v>PADD 2</v>
      </c>
      <c r="G3064" s="6" t="str">
        <f>IF(AND($H3064="ATMOS DISTILLATION",ISNUMBER(SEARCH("VPS",$I3064))=FALSE,LEFT($I3064,6)&lt;&gt;"VACUUM"),"CDU",IF($H3064="FLUID CAT CRACKING","FCC",IF(OR($H3064="HYDROCRACKING",$H3064="RESID_HYDROCRACKING"),"Hydrocracker",IF($H3064="REFORMING","Reformer",""))))</f>
        <v>CDU</v>
      </c>
      <c r="H3064" s="6" t="s">
        <v>38</v>
      </c>
      <c r="I3064" s="6" t="s">
        <v>661</v>
      </c>
      <c r="J3064" s="6" t="s">
        <v>345</v>
      </c>
      <c r="K3064" s="10">
        <v>5.32</v>
      </c>
      <c r="L3064" s="10">
        <v>38</v>
      </c>
      <c r="M3064" s="6" t="s">
        <v>375</v>
      </c>
    </row>
    <row r="3065" spans="1:13">
      <c r="A3065" s="6">
        <v>2024</v>
      </c>
      <c r="B3065" s="6">
        <v>2</v>
      </c>
      <c r="C3065" s="6" t="s">
        <v>60</v>
      </c>
      <c r="D3065" s="6" t="s">
        <v>408</v>
      </c>
      <c r="E3065" s="6" t="s">
        <v>409</v>
      </c>
      <c r="F3065" s="6" t="str">
        <f>IF($M3065="PADD I","PADD 1",IF($M3065="PADD II","PADD 2",IF($M3065="PADD III","PADD 3",IF($M3065="PADD IV","PADD 4",IF($M3065="PADD V","PADD 5","")))))</f>
        <v>PADD 3</v>
      </c>
      <c r="G3065" s="6">
        <f>IF(AND($H3065="ATMOS DISTILLATION",ISNUMBER(SEARCH("VPS",$I3065))=FALSE,LEFT($I3065,6)&lt;&gt;"VACUUM"),"CDU",IF($H3065="FLUID CAT CRACKING","FCC",IF(OR($H3065="HYDROCRACKING",$H3065="RESID_HYDROCRACKING"),"Hydrocracker",IF($H3065="REFORMING","Reformer",""))))</f>
        <v/>
      </c>
      <c r="H3065" s="6" t="s">
        <v>43</v>
      </c>
      <c r="I3065" s="6" t="s">
        <v>497</v>
      </c>
      <c r="J3065" s="6" t="s">
        <v>345</v>
      </c>
      <c r="K3065" s="10">
        <v>5.27</v>
      </c>
      <c r="L3065" s="10">
        <v>31</v>
      </c>
      <c r="M3065" s="6" t="s">
        <v>371</v>
      </c>
    </row>
    <row r="3066" spans="1:13">
      <c r="A3066" s="6">
        <v>2024</v>
      </c>
      <c r="B3066" s="6">
        <v>2</v>
      </c>
      <c r="C3066" s="6" t="s">
        <v>60</v>
      </c>
      <c r="D3066" s="6" t="s">
        <v>322</v>
      </c>
      <c r="E3066" s="6" t="s">
        <v>369</v>
      </c>
      <c r="F3066" s="6" t="str">
        <f>IF($M3066="PADD I","PADD 1",IF($M3066="PADD II","PADD 2",IF($M3066="PADD III","PADD 3",IF($M3066="PADD IV","PADD 4",IF($M3066="PADD V","PADD 5","")))))</f>
        <v>PADD 2</v>
      </c>
      <c r="G3066" s="6" t="str">
        <f>IF(AND($H3066="ATMOS DISTILLATION",ISNUMBER(SEARCH("VPS",$I3066))=FALSE,LEFT($I3066,6)&lt;&gt;"VACUUM"),"CDU",IF($H3066="FLUID CAT CRACKING","FCC",IF(OR($H3066="HYDROCRACKING",$H3066="RESID_HYDROCRACKING"),"Hydrocracker",IF($H3066="REFORMING","Reformer",""))))</f>
        <v>CDU</v>
      </c>
      <c r="H3066" s="6" t="s">
        <v>38</v>
      </c>
      <c r="I3066" s="6" t="s">
        <v>911</v>
      </c>
      <c r="J3066" s="6" t="s">
        <v>349</v>
      </c>
      <c r="K3066" s="10">
        <v>5.25</v>
      </c>
      <c r="L3066" s="10">
        <v>75</v>
      </c>
      <c r="M3066" s="6" t="s">
        <v>375</v>
      </c>
    </row>
    <row r="3067" spans="1:13">
      <c r="A3067" s="6">
        <v>2024</v>
      </c>
      <c r="B3067" s="6">
        <v>2</v>
      </c>
      <c r="C3067" s="6" t="s">
        <v>60</v>
      </c>
      <c r="D3067" s="6" t="s">
        <v>434</v>
      </c>
      <c r="E3067" s="6" t="s">
        <v>388</v>
      </c>
      <c r="F3067" s="6" t="str">
        <f>IF($M3067="PADD I","PADD 1",IF($M3067="PADD II","PADD 2",IF($M3067="PADD III","PADD 3",IF($M3067="PADD IV","PADD 4",IF($M3067="PADD V","PADD 5","")))))</f>
        <v>PADD 5</v>
      </c>
      <c r="G3067" s="6">
        <f>IF(AND($H3067="ATMOS DISTILLATION",ISNUMBER(SEARCH("VPS",$I3067))=FALSE,LEFT($I3067,6)&lt;&gt;"VACUUM"),"CDU",IF($H3067="FLUID CAT CRACKING","FCC",IF(OR($H3067="HYDROCRACKING",$H3067="RESID_HYDROCRACKING"),"Hydrocracker",IF($H3067="REFORMING","Reformer",""))))</f>
        <v/>
      </c>
      <c r="H3067" s="6" t="s">
        <v>43</v>
      </c>
      <c r="I3067" s="6" t="s">
        <v>905</v>
      </c>
      <c r="J3067" s="6" t="s">
        <v>345</v>
      </c>
      <c r="K3067" s="10">
        <v>5.25</v>
      </c>
      <c r="L3067" s="10">
        <v>25</v>
      </c>
      <c r="M3067" s="6" t="s">
        <v>386</v>
      </c>
    </row>
    <row r="3068" spans="1:13">
      <c r="A3068" s="6">
        <v>2024</v>
      </c>
      <c r="B3068" s="6">
        <v>2</v>
      </c>
      <c r="C3068" s="6" t="s">
        <v>60</v>
      </c>
      <c r="D3068" s="6" t="s">
        <v>457</v>
      </c>
      <c r="E3068" s="6" t="s">
        <v>388</v>
      </c>
      <c r="F3068" s="6" t="str">
        <f>IF($M3068="PADD I","PADD 1",IF($M3068="PADD II","PADD 2",IF($M3068="PADD III","PADD 3",IF($M3068="PADD IV","PADD 4",IF($M3068="PADD V","PADD 5","")))))</f>
        <v>PADD 5</v>
      </c>
      <c r="G3068" s="6">
        <f>IF(AND($H3068="ATMOS DISTILLATION",ISNUMBER(SEARCH("VPS",$I3068))=FALSE,LEFT($I3068,6)&lt;&gt;"VACUUM"),"CDU",IF($H3068="FLUID CAT CRACKING","FCC",IF(OR($H3068="HYDROCRACKING",$H3068="RESID_HYDROCRACKING"),"Hydrocracker",IF($H3068="REFORMING","Reformer",""))))</f>
        <v/>
      </c>
      <c r="H3068" s="6" t="s">
        <v>43</v>
      </c>
      <c r="I3068" s="6" t="s">
        <v>1100</v>
      </c>
      <c r="J3068" s="6" t="s">
        <v>349</v>
      </c>
      <c r="K3068" s="10">
        <v>5.2</v>
      </c>
      <c r="L3068" s="10">
        <v>10</v>
      </c>
      <c r="M3068" s="6" t="s">
        <v>386</v>
      </c>
    </row>
    <row r="3069" spans="1:13">
      <c r="A3069" s="6">
        <v>2024</v>
      </c>
      <c r="B3069" s="6">
        <v>2</v>
      </c>
      <c r="C3069" s="6" t="s">
        <v>60</v>
      </c>
      <c r="D3069" s="6" t="s">
        <v>484</v>
      </c>
      <c r="E3069" s="6" t="s">
        <v>409</v>
      </c>
      <c r="F3069" s="6" t="str">
        <f>IF($M3069="PADD I","PADD 1",IF($M3069="PADD II","PADD 2",IF($M3069="PADD III","PADD 3",IF($M3069="PADD IV","PADD 4",IF($M3069="PADD V","PADD 5","")))))</f>
        <v>PADD 3</v>
      </c>
      <c r="G3069" s="6">
        <f>IF(AND($H3069="ATMOS DISTILLATION",ISNUMBER(SEARCH("VPS",$I3069))=FALSE,LEFT($I3069,6)&lt;&gt;"VACUUM"),"CDU",IF($H3069="FLUID CAT CRACKING","FCC",IF(OR($H3069="HYDROCRACKING",$H3069="RESID_HYDROCRACKING"),"Hydrocracker",IF($H3069="REFORMING","Reformer",""))))</f>
        <v/>
      </c>
      <c r="H3069" s="6" t="s">
        <v>43</v>
      </c>
      <c r="I3069" s="6" t="s">
        <v>493</v>
      </c>
      <c r="J3069" s="6" t="s">
        <v>345</v>
      </c>
      <c r="K3069" s="10">
        <v>5.2</v>
      </c>
      <c r="L3069" s="10">
        <v>10</v>
      </c>
      <c r="M3069" s="6" t="s">
        <v>371</v>
      </c>
    </row>
    <row r="3070" spans="1:13">
      <c r="A3070" s="6">
        <v>2024</v>
      </c>
      <c r="B3070" s="6">
        <v>2</v>
      </c>
      <c r="C3070" s="6" t="s">
        <v>60</v>
      </c>
      <c r="D3070" s="6" t="s">
        <v>408</v>
      </c>
      <c r="E3070" s="6" t="s">
        <v>409</v>
      </c>
      <c r="F3070" s="6" t="str">
        <f>IF($M3070="PADD I","PADD 1",IF($M3070="PADD II","PADD 2",IF($M3070="PADD III","PADD 3",IF($M3070="PADD IV","PADD 4",IF($M3070="PADD V","PADD 5","")))))</f>
        <v>PADD 3</v>
      </c>
      <c r="G3070" s="6">
        <f>IF(AND($H3070="ATMOS DISTILLATION",ISNUMBER(SEARCH("VPS",$I3070))=FALSE,LEFT($I3070,6)&lt;&gt;"VACUUM"),"CDU",IF($H3070="FLUID CAT CRACKING","FCC",IF(OR($H3070="HYDROCRACKING",$H3070="RESID_HYDROCRACKING"),"Hydrocracker",IF($H3070="REFORMING","Reformer",""))))</f>
        <v/>
      </c>
      <c r="H3070" s="6" t="s">
        <v>43</v>
      </c>
      <c r="I3070" s="6" t="s">
        <v>502</v>
      </c>
      <c r="J3070" s="6" t="s">
        <v>345</v>
      </c>
      <c r="K3070" s="10">
        <v>5.1</v>
      </c>
      <c r="L3070" s="10">
        <v>30</v>
      </c>
      <c r="M3070" s="6" t="s">
        <v>371</v>
      </c>
    </row>
    <row r="3071" spans="1:13">
      <c r="A3071" s="6">
        <v>2024</v>
      </c>
      <c r="B3071" s="6">
        <v>2</v>
      </c>
      <c r="C3071" s="6" t="s">
        <v>60</v>
      </c>
      <c r="D3071" s="6" t="s">
        <v>408</v>
      </c>
      <c r="E3071" s="6" t="s">
        <v>409</v>
      </c>
      <c r="F3071" s="6" t="str">
        <f>IF($M3071="PADD I","PADD 1",IF($M3071="PADD II","PADD 2",IF($M3071="PADD III","PADD 3",IF($M3071="PADD IV","PADD 4",IF($M3071="PADD V","PADD 5","")))))</f>
        <v>PADD 3</v>
      </c>
      <c r="G3071" s="6">
        <f>IF(AND($H3071="ATMOS DISTILLATION",ISNUMBER(SEARCH("VPS",$I3071))=FALSE,LEFT($I3071,6)&lt;&gt;"VACUUM"),"CDU",IF($H3071="FLUID CAT CRACKING","FCC",IF(OR($H3071="HYDROCRACKING",$H3071="RESID_HYDROCRACKING"),"Hydrocracker",IF($H3071="REFORMING","Reformer",""))))</f>
        <v/>
      </c>
      <c r="H3071" s="6" t="s">
        <v>43</v>
      </c>
      <c r="I3071" s="6" t="s">
        <v>503</v>
      </c>
      <c r="J3071" s="6" t="s">
        <v>345</v>
      </c>
      <c r="K3071" s="10">
        <v>5.1</v>
      </c>
      <c r="L3071" s="10">
        <v>30</v>
      </c>
      <c r="M3071" s="6" t="s">
        <v>371</v>
      </c>
    </row>
    <row r="3072" spans="1:13">
      <c r="A3072" s="6">
        <v>2024</v>
      </c>
      <c r="B3072" s="6">
        <v>2</v>
      </c>
      <c r="C3072" s="6" t="s">
        <v>60</v>
      </c>
      <c r="D3072" s="6" t="s">
        <v>468</v>
      </c>
      <c r="E3072" s="6" t="s">
        <v>369</v>
      </c>
      <c r="F3072" s="6" t="str">
        <f>IF($M3072="PADD I","PADD 1",IF($M3072="PADD II","PADD 2",IF($M3072="PADD III","PADD 3",IF($M3072="PADD IV","PADD 4",IF($M3072="PADD V","PADD 5","")))))</f>
        <v>PADD 3</v>
      </c>
      <c r="G3072" s="6" t="str">
        <f>IF(AND($H3072="ATMOS DISTILLATION",ISNUMBER(SEARCH("VPS",$I3072))=FALSE,LEFT($I3072,6)&lt;&gt;"VACUUM"),"CDU",IF($H3072="FLUID CAT CRACKING","FCC",IF(OR($H3072="HYDROCRACKING",$H3072="RESID_HYDROCRACKING"),"Hydrocracker",IF($H3072="REFORMING","Reformer",""))))</f>
        <v>FCC</v>
      </c>
      <c r="H3072" s="6" t="s">
        <v>376</v>
      </c>
      <c r="I3072" s="6" t="s">
        <v>473</v>
      </c>
      <c r="J3072" s="6" t="s">
        <v>345</v>
      </c>
      <c r="K3072" s="10">
        <v>5.1</v>
      </c>
      <c r="L3072" s="10">
        <v>30</v>
      </c>
      <c r="M3072" s="6" t="s">
        <v>371</v>
      </c>
    </row>
    <row r="3073" spans="1:13">
      <c r="A3073" s="6">
        <v>2024</v>
      </c>
      <c r="B3073" s="6">
        <v>2</v>
      </c>
      <c r="C3073" s="6" t="s">
        <v>60</v>
      </c>
      <c r="D3073" s="6" t="s">
        <v>762</v>
      </c>
      <c r="E3073" s="6" t="s">
        <v>763</v>
      </c>
      <c r="F3073" s="6" t="str">
        <f>IF($M3073="PADD I","PADD 1",IF($M3073="PADD II","PADD 2",IF($M3073="PADD III","PADD 3",IF($M3073="PADD IV","PADD 4",IF($M3073="PADD V","PADD 5","")))))</f>
        <v>PADD 2</v>
      </c>
      <c r="G3073" s="6" t="str">
        <f>IF(AND($H3073="ATMOS DISTILLATION",ISNUMBER(SEARCH("VPS",$I3073))=FALSE,LEFT($I3073,6)&lt;&gt;"VACUUM"),"CDU",IF($H3073="FLUID CAT CRACKING","FCC",IF(OR($H3073="HYDROCRACKING",$H3073="RESID_HYDROCRACKING"),"Hydrocracker",IF($H3073="REFORMING","Reformer",""))))</f>
        <v>Reformer</v>
      </c>
      <c r="H3073" s="6" t="s">
        <v>421</v>
      </c>
      <c r="I3073" s="6" t="s">
        <v>782</v>
      </c>
      <c r="J3073" s="6" t="s">
        <v>349</v>
      </c>
      <c r="K3073" s="10">
        <v>5.1</v>
      </c>
      <c r="L3073" s="10">
        <v>15</v>
      </c>
      <c r="M3073" s="6" t="s">
        <v>375</v>
      </c>
    </row>
    <row r="3074" spans="1:13">
      <c r="A3074" s="6">
        <v>2024</v>
      </c>
      <c r="B3074" s="6">
        <v>2</v>
      </c>
      <c r="C3074" s="6" t="s">
        <v>60</v>
      </c>
      <c r="D3074" s="6" t="s">
        <v>429</v>
      </c>
      <c r="E3074" s="6" t="s">
        <v>388</v>
      </c>
      <c r="F3074" s="6" t="str">
        <f>IF($M3074="PADD I","PADD 1",IF($M3074="PADD II","PADD 2",IF($M3074="PADD III","PADD 3",IF($M3074="PADD IV","PADD 4",IF($M3074="PADD V","PADD 5","")))))</f>
        <v>PADD 4</v>
      </c>
      <c r="G3074" s="6">
        <f>IF(AND($H3074="ATMOS DISTILLATION",ISNUMBER(SEARCH("VPS",$I3074))=FALSE,LEFT($I3074,6)&lt;&gt;"VACUUM"),"CDU",IF($H3074="FLUID CAT CRACKING","FCC",IF(OR($H3074="HYDROCRACKING",$H3074="RESID_HYDROCRACKING"),"Hydrocracker",IF($H3074="REFORMING","Reformer",""))))</f>
        <v/>
      </c>
      <c r="H3074" s="6" t="s">
        <v>43</v>
      </c>
      <c r="I3074" s="6" t="s">
        <v>1133</v>
      </c>
      <c r="J3074" s="6" t="s">
        <v>349</v>
      </c>
      <c r="K3074" s="10">
        <v>4.96</v>
      </c>
      <c r="L3074" s="10">
        <v>8</v>
      </c>
      <c r="M3074" s="6" t="s">
        <v>430</v>
      </c>
    </row>
    <row r="3075" spans="1:13">
      <c r="A3075" s="6">
        <v>2024</v>
      </c>
      <c r="B3075" s="6">
        <v>2</v>
      </c>
      <c r="C3075" s="6" t="s">
        <v>60</v>
      </c>
      <c r="D3075" s="6" t="s">
        <v>799</v>
      </c>
      <c r="E3075" s="6" t="s">
        <v>391</v>
      </c>
      <c r="F3075" s="6" t="str">
        <f>IF($M3075="PADD I","PADD 1",IF($M3075="PADD II","PADD 2",IF($M3075="PADD III","PADD 3",IF($M3075="PADD IV","PADD 4",IF($M3075="PADD V","PADD 5","")))))</f>
        <v>PADD 4</v>
      </c>
      <c r="G3075" s="6">
        <f>IF(AND($H3075="ATMOS DISTILLATION",ISNUMBER(SEARCH("VPS",$I3075))=FALSE,LEFT($I3075,6)&lt;&gt;"VACUUM"),"CDU",IF($H3075="FLUID CAT CRACKING","FCC",IF(OR($H3075="HYDROCRACKING",$H3075="RESID_HYDROCRACKING"),"Hydrocracker",IF($H3075="REFORMING","Reformer",""))))</f>
        <v/>
      </c>
      <c r="H3075" s="6" t="s">
        <v>43</v>
      </c>
      <c r="I3075" s="6" t="s">
        <v>1134</v>
      </c>
      <c r="J3075" s="6" t="s">
        <v>345</v>
      </c>
      <c r="K3075" s="10">
        <v>4.675</v>
      </c>
      <c r="L3075" s="10">
        <v>8.5</v>
      </c>
      <c r="M3075" s="6" t="s">
        <v>430</v>
      </c>
    </row>
    <row r="3076" spans="1:13">
      <c r="A3076" s="6">
        <v>2024</v>
      </c>
      <c r="B3076" s="6">
        <v>2</v>
      </c>
      <c r="C3076" s="6" t="s">
        <v>60</v>
      </c>
      <c r="D3076" s="6" t="s">
        <v>602</v>
      </c>
      <c r="E3076" s="6" t="s">
        <v>369</v>
      </c>
      <c r="F3076" s="6" t="str">
        <f>IF($M3076="PADD I","PADD 1",IF($M3076="PADD II","PADD 2",IF($M3076="PADD III","PADD 3",IF($M3076="PADD IV","PADD 4",IF($M3076="PADD V","PADD 5","")))))</f>
        <v>PADD 2</v>
      </c>
      <c r="G3076" s="6" t="str">
        <f>IF(AND($H3076="ATMOS DISTILLATION",ISNUMBER(SEARCH("VPS",$I3076))=FALSE,LEFT($I3076,6)&lt;&gt;"VACUUM"),"CDU",IF($H3076="FLUID CAT CRACKING","FCC",IF(OR($H3076="HYDROCRACKING",$H3076="RESID_HYDROCRACKING"),"Hydrocracker",IF($H3076="REFORMING","Reformer",""))))</f>
        <v>Reformer</v>
      </c>
      <c r="H3076" s="6" t="s">
        <v>421</v>
      </c>
      <c r="I3076" s="6" t="s">
        <v>697</v>
      </c>
      <c r="J3076" s="6" t="s">
        <v>345</v>
      </c>
      <c r="K3076" s="10">
        <v>4.59</v>
      </c>
      <c r="L3076" s="10">
        <v>27</v>
      </c>
      <c r="M3076" s="6" t="s">
        <v>375</v>
      </c>
    </row>
    <row r="3077" spans="1:13">
      <c r="A3077" s="6">
        <v>2024</v>
      </c>
      <c r="B3077" s="6">
        <v>2</v>
      </c>
      <c r="C3077" s="6" t="s">
        <v>60</v>
      </c>
      <c r="D3077" s="6" t="s">
        <v>346</v>
      </c>
      <c r="E3077" s="6" t="s">
        <v>383</v>
      </c>
      <c r="F3077" s="6" t="str">
        <f>IF($M3077="PADD I","PADD 1",IF($M3077="PADD II","PADD 2",IF($M3077="PADD III","PADD 3",IF($M3077="PADD IV","PADD 4",IF($M3077="PADD V","PADD 5","")))))</f>
        <v>PADD 2</v>
      </c>
      <c r="G3077" s="6">
        <f>IF(AND($H3077="ATMOS DISTILLATION",ISNUMBER(SEARCH("VPS",$I3077))=FALSE,LEFT($I3077,6)&lt;&gt;"VACUUM"),"CDU",IF($H3077="FLUID CAT CRACKING","FCC",IF(OR($H3077="HYDROCRACKING",$H3077="RESID_HYDROCRACKING"),"Hydrocracker",IF($H3077="REFORMING","Reformer",""))))</f>
        <v/>
      </c>
      <c r="H3077" s="6" t="s">
        <v>43</v>
      </c>
      <c r="I3077" s="6" t="s">
        <v>394</v>
      </c>
      <c r="J3077" s="6" t="s">
        <v>349</v>
      </c>
      <c r="K3077" s="10">
        <v>4.55</v>
      </c>
      <c r="L3077" s="10">
        <v>65</v>
      </c>
      <c r="M3077" s="6" t="s">
        <v>375</v>
      </c>
    </row>
    <row r="3078" spans="1:13">
      <c r="A3078" s="6">
        <v>2024</v>
      </c>
      <c r="B3078" s="6">
        <v>2</v>
      </c>
      <c r="C3078" s="6" t="s">
        <v>60</v>
      </c>
      <c r="D3078" s="6" t="s">
        <v>739</v>
      </c>
      <c r="E3078" s="6" t="s">
        <v>405</v>
      </c>
      <c r="F3078" s="6" t="str">
        <f>IF($M3078="PADD I","PADD 1",IF($M3078="PADD II","PADD 2",IF($M3078="PADD III","PADD 3",IF($M3078="PADD IV","PADD 4",IF($M3078="PADD V","PADD 5","")))))</f>
        <v>PADD 2</v>
      </c>
      <c r="G3078" s="6">
        <f>IF(AND($H3078="ATMOS DISTILLATION",ISNUMBER(SEARCH("VPS",$I3078))=FALSE,LEFT($I3078,6)&lt;&gt;"VACUUM"),"CDU",IF($H3078="FLUID CAT CRACKING","FCC",IF(OR($H3078="HYDROCRACKING",$H3078="RESID_HYDROCRACKING"),"Hydrocracker",IF($H3078="REFORMING","Reformer",""))))</f>
        <v/>
      </c>
      <c r="H3078" s="6" t="s">
        <v>43</v>
      </c>
      <c r="I3078" s="6" t="s">
        <v>740</v>
      </c>
      <c r="J3078" s="6" t="s">
        <v>345</v>
      </c>
      <c r="K3078" s="10">
        <v>4.48</v>
      </c>
      <c r="L3078" s="10">
        <v>32</v>
      </c>
      <c r="M3078" s="6" t="s">
        <v>375</v>
      </c>
    </row>
    <row r="3079" spans="1:13">
      <c r="A3079" s="6">
        <v>2024</v>
      </c>
      <c r="B3079" s="6">
        <v>2</v>
      </c>
      <c r="C3079" s="6" t="s">
        <v>60</v>
      </c>
      <c r="D3079" s="6" t="s">
        <v>739</v>
      </c>
      <c r="E3079" s="6" t="s">
        <v>405</v>
      </c>
      <c r="F3079" s="6" t="str">
        <f>IF($M3079="PADD I","PADD 1",IF($M3079="PADD II","PADD 2",IF($M3079="PADD III","PADD 3",IF($M3079="PADD IV","PADD 4",IF($M3079="PADD V","PADD 5","")))))</f>
        <v>PADD 2</v>
      </c>
      <c r="G3079" s="6">
        <f>IF(AND($H3079="ATMOS DISTILLATION",ISNUMBER(SEARCH("VPS",$I3079))=FALSE,LEFT($I3079,6)&lt;&gt;"VACUUM"),"CDU",IF($H3079="FLUID CAT CRACKING","FCC",IF(OR($H3079="HYDROCRACKING",$H3079="RESID_HYDROCRACKING"),"Hydrocracker",IF($H3079="REFORMING","Reformer",""))))</f>
        <v/>
      </c>
      <c r="H3079" s="6" t="s">
        <v>43</v>
      </c>
      <c r="I3079" s="6" t="s">
        <v>740</v>
      </c>
      <c r="J3079" s="6" t="s">
        <v>345</v>
      </c>
      <c r="K3079" s="10">
        <v>4.48</v>
      </c>
      <c r="L3079" s="10">
        <v>32</v>
      </c>
      <c r="M3079" s="6" t="s">
        <v>375</v>
      </c>
    </row>
    <row r="3080" spans="1:13">
      <c r="A3080" s="6">
        <v>2024</v>
      </c>
      <c r="B3080" s="6">
        <v>2</v>
      </c>
      <c r="C3080" s="6" t="s">
        <v>60</v>
      </c>
      <c r="D3080" s="6" t="s">
        <v>878</v>
      </c>
      <c r="E3080" s="6" t="s">
        <v>452</v>
      </c>
      <c r="F3080" s="6" t="str">
        <f>IF($M3080="PADD I","PADD 1",IF($M3080="PADD II","PADD 2",IF($M3080="PADD III","PADD 3",IF($M3080="PADD IV","PADD 4",IF($M3080="PADD V","PADD 5","")))))</f>
        <v>PADD 2</v>
      </c>
      <c r="G3080" s="6">
        <f>IF(AND($H3080="ATMOS DISTILLATION",ISNUMBER(SEARCH("VPS",$I3080))=FALSE,LEFT($I3080,6)&lt;&gt;"VACUUM"),"CDU",IF($H3080="FLUID CAT CRACKING","FCC",IF(OR($H3080="HYDROCRACKING",$H3080="RESID_HYDROCRACKING"),"Hydrocracker",IF($H3080="REFORMING","Reformer",""))))</f>
        <v/>
      </c>
      <c r="H3080" s="6" t="s">
        <v>435</v>
      </c>
      <c r="I3080" s="6" t="s">
        <v>441</v>
      </c>
      <c r="J3080" s="6" t="s">
        <v>345</v>
      </c>
      <c r="K3080" s="10">
        <v>4.42</v>
      </c>
      <c r="L3080" s="10">
        <v>8.5</v>
      </c>
      <c r="M3080" s="6" t="s">
        <v>375</v>
      </c>
    </row>
    <row r="3081" spans="1:13">
      <c r="A3081" s="6">
        <v>2024</v>
      </c>
      <c r="B3081" s="6">
        <v>2</v>
      </c>
      <c r="C3081" s="6" t="s">
        <v>60</v>
      </c>
      <c r="D3081" s="6" t="s">
        <v>547</v>
      </c>
      <c r="E3081" s="6" t="s">
        <v>391</v>
      </c>
      <c r="F3081" s="6" t="str">
        <f>IF($M3081="PADD I","PADD 1",IF($M3081="PADD II","PADD 2",IF($M3081="PADD III","PADD 3",IF($M3081="PADD IV","PADD 4",IF($M3081="PADD V","PADD 5","")))))</f>
        <v>PADD 5</v>
      </c>
      <c r="G3081" s="6">
        <f>IF(AND($H3081="ATMOS DISTILLATION",ISNUMBER(SEARCH("VPS",$I3081))=FALSE,LEFT($I3081,6)&lt;&gt;"VACUUM"),"CDU",IF($H3081="FLUID CAT CRACKING","FCC",IF(OR($H3081="HYDROCRACKING",$H3081="RESID_HYDROCRACKING"),"Hydrocracker",IF($H3081="REFORMING","Reformer",""))))</f>
        <v/>
      </c>
      <c r="H3081" s="6" t="s">
        <v>460</v>
      </c>
      <c r="I3081" s="6" t="s">
        <v>461</v>
      </c>
      <c r="J3081" s="6" t="s">
        <v>345</v>
      </c>
      <c r="K3081" s="10">
        <v>4.2</v>
      </c>
      <c r="L3081" s="10">
        <v>20</v>
      </c>
      <c r="M3081" s="6" t="s">
        <v>386</v>
      </c>
    </row>
    <row r="3082" spans="1:13">
      <c r="A3082" s="6">
        <v>2024</v>
      </c>
      <c r="B3082" s="6">
        <v>2</v>
      </c>
      <c r="C3082" s="6" t="s">
        <v>60</v>
      </c>
      <c r="D3082" s="6" t="s">
        <v>346</v>
      </c>
      <c r="E3082" s="6" t="s">
        <v>383</v>
      </c>
      <c r="F3082" s="6" t="str">
        <f>IF($M3082="PADD I","PADD 1",IF($M3082="PADD II","PADD 2",IF($M3082="PADD III","PADD 3",IF($M3082="PADD IV","PADD 4",IF($M3082="PADD V","PADD 5","")))))</f>
        <v>PADD 2</v>
      </c>
      <c r="G3082" s="6" t="str">
        <f>IF(AND($H3082="ATMOS DISTILLATION",ISNUMBER(SEARCH("VPS",$I3082))=FALSE,LEFT($I3082,6)&lt;&gt;"VACUUM"),"CDU",IF($H3082="FLUID CAT CRACKING","FCC",IF(OR($H3082="HYDROCRACKING",$H3082="RESID_HYDROCRACKING"),"Hydrocracker",IF($H3082="REFORMING","Reformer",""))))</f>
        <v>Reformer</v>
      </c>
      <c r="H3082" s="6" t="s">
        <v>421</v>
      </c>
      <c r="I3082" s="6" t="s">
        <v>471</v>
      </c>
      <c r="J3082" s="6" t="s">
        <v>345</v>
      </c>
      <c r="K3082" s="10">
        <v>4.2</v>
      </c>
      <c r="L3082" s="10">
        <v>30</v>
      </c>
      <c r="M3082" s="6" t="s">
        <v>375</v>
      </c>
    </row>
    <row r="3083" spans="1:13">
      <c r="A3083" s="6">
        <v>2024</v>
      </c>
      <c r="B3083" s="6">
        <v>2</v>
      </c>
      <c r="C3083" s="6" t="s">
        <v>60</v>
      </c>
      <c r="D3083" s="6" t="s">
        <v>408</v>
      </c>
      <c r="E3083" s="6" t="s">
        <v>409</v>
      </c>
      <c r="F3083" s="6" t="str">
        <f>IF($M3083="PADD I","PADD 1",IF($M3083="PADD II","PADD 2",IF($M3083="PADD III","PADD 3",IF($M3083="PADD IV","PADD 4",IF($M3083="PADD V","PADD 5","")))))</f>
        <v>PADD 3</v>
      </c>
      <c r="G3083" s="6">
        <f>IF(AND($H3083="ATMOS DISTILLATION",ISNUMBER(SEARCH("VPS",$I3083))=FALSE,LEFT($I3083,6)&lt;&gt;"VACUUM"),"CDU",IF($H3083="FLUID CAT CRACKING","FCC",IF(OR($H3083="HYDROCRACKING",$H3083="RESID_HYDROCRACKING"),"Hydrocracker",IF($H3083="REFORMING","Reformer",""))))</f>
        <v/>
      </c>
      <c r="H3083" s="6" t="s">
        <v>568</v>
      </c>
      <c r="I3083" s="6" t="s">
        <v>569</v>
      </c>
      <c r="J3083" s="6" t="s">
        <v>345</v>
      </c>
      <c r="K3083" s="10">
        <v>4.185</v>
      </c>
      <c r="L3083" s="10">
        <v>13.5</v>
      </c>
      <c r="M3083" s="6" t="s">
        <v>371</v>
      </c>
    </row>
    <row r="3084" spans="1:13">
      <c r="A3084" s="6">
        <v>2024</v>
      </c>
      <c r="B3084" s="6">
        <v>2</v>
      </c>
      <c r="C3084" s="6" t="s">
        <v>60</v>
      </c>
      <c r="D3084" s="6" t="s">
        <v>446</v>
      </c>
      <c r="E3084" s="6" t="s">
        <v>391</v>
      </c>
      <c r="F3084" s="6" t="str">
        <f>IF($M3084="PADD I","PADD 1",IF($M3084="PADD II","PADD 2",IF($M3084="PADD III","PADD 3",IF($M3084="PADD IV","PADD 4",IF($M3084="PADD V","PADD 5","")))))</f>
        <v>PADD 3</v>
      </c>
      <c r="G3084" s="6">
        <f>IF(AND($H3084="ATMOS DISTILLATION",ISNUMBER(SEARCH("VPS",$I3084))=FALSE,LEFT($I3084,6)&lt;&gt;"VACUUM"),"CDU",IF($H3084="FLUID CAT CRACKING","FCC",IF(OR($H3084="HYDROCRACKING",$H3084="RESID_HYDROCRACKING"),"Hydrocracker",IF($H3084="REFORMING","Reformer",""))))</f>
        <v/>
      </c>
      <c r="H3084" s="6" t="s">
        <v>378</v>
      </c>
      <c r="I3084" s="6" t="s">
        <v>1041</v>
      </c>
      <c r="J3084" s="6" t="s">
        <v>345</v>
      </c>
      <c r="K3084" s="10">
        <v>4.1</v>
      </c>
      <c r="L3084" s="10">
        <v>41</v>
      </c>
      <c r="M3084" s="6" t="s">
        <v>371</v>
      </c>
    </row>
    <row r="3085" spans="1:13">
      <c r="A3085" s="6">
        <v>2024</v>
      </c>
      <c r="B3085" s="6">
        <v>2</v>
      </c>
      <c r="C3085" s="6" t="s">
        <v>60</v>
      </c>
      <c r="D3085" s="6" t="s">
        <v>408</v>
      </c>
      <c r="E3085" s="6" t="s">
        <v>409</v>
      </c>
      <c r="F3085" s="6" t="str">
        <f>IF($M3085="PADD I","PADD 1",IF($M3085="PADD II","PADD 2",IF($M3085="PADD III","PADD 3",IF($M3085="PADD IV","PADD 4",IF($M3085="PADD V","PADD 5","")))))</f>
        <v>PADD 3</v>
      </c>
      <c r="G3085" s="6">
        <f>IF(AND($H3085="ATMOS DISTILLATION",ISNUMBER(SEARCH("VPS",$I3085))=FALSE,LEFT($I3085,6)&lt;&gt;"VACUUM"),"CDU",IF($H3085="FLUID CAT CRACKING","FCC",IF(OR($H3085="HYDROCRACKING",$H3085="RESID_HYDROCRACKING"),"Hydrocracker",IF($H3085="REFORMING","Reformer",""))))</f>
        <v/>
      </c>
      <c r="H3085" s="6" t="s">
        <v>43</v>
      </c>
      <c r="I3085" s="6" t="s">
        <v>517</v>
      </c>
      <c r="J3085" s="6" t="s">
        <v>345</v>
      </c>
      <c r="K3085" s="10">
        <v>4.08</v>
      </c>
      <c r="L3085" s="10">
        <v>24</v>
      </c>
      <c r="M3085" s="6" t="s">
        <v>371</v>
      </c>
    </row>
    <row r="3086" spans="1:13">
      <c r="A3086" s="6">
        <v>2024</v>
      </c>
      <c r="B3086" s="6">
        <v>2</v>
      </c>
      <c r="C3086" s="6" t="s">
        <v>60</v>
      </c>
      <c r="D3086" s="6" t="s">
        <v>778</v>
      </c>
      <c r="E3086" s="6" t="s">
        <v>779</v>
      </c>
      <c r="F3086" s="6" t="str">
        <f>IF($M3086="PADD I","PADD 1",IF($M3086="PADD II","PADD 2",IF($M3086="PADD III","PADD 3",IF($M3086="PADD IV","PADD 4",IF($M3086="PADD V","PADD 5","")))))</f>
        <v>PADD 3</v>
      </c>
      <c r="G3086" s="6" t="str">
        <f>IF(AND($H3086="ATMOS DISTILLATION",ISNUMBER(SEARCH("VPS",$I3086))=FALSE,LEFT($I3086,6)&lt;&gt;"VACUUM"),"CDU",IF($H3086="FLUID CAT CRACKING","FCC",IF(OR($H3086="HYDROCRACKING",$H3086="RESID_HYDROCRACKING"),"Hydrocracker",IF($H3086="REFORMING","Reformer",""))))</f>
        <v>CDU</v>
      </c>
      <c r="H3086" s="6" t="s">
        <v>38</v>
      </c>
      <c r="I3086" s="6" t="s">
        <v>805</v>
      </c>
      <c r="J3086" s="6" t="s">
        <v>345</v>
      </c>
      <c r="K3086" s="10">
        <v>4.06</v>
      </c>
      <c r="L3086" s="10">
        <v>58</v>
      </c>
      <c r="M3086" s="6" t="s">
        <v>371</v>
      </c>
    </row>
    <row r="3087" spans="1:13">
      <c r="A3087" s="6">
        <v>2024</v>
      </c>
      <c r="B3087" s="6">
        <v>2</v>
      </c>
      <c r="C3087" s="6" t="s">
        <v>60</v>
      </c>
      <c r="D3087" s="6" t="s">
        <v>762</v>
      </c>
      <c r="E3087" s="6" t="s">
        <v>763</v>
      </c>
      <c r="F3087" s="6" t="str">
        <f>IF($M3087="PADD I","PADD 1",IF($M3087="PADD II","PADD 2",IF($M3087="PADD III","PADD 3",IF($M3087="PADD IV","PADD 4",IF($M3087="PADD V","PADD 5","")))))</f>
        <v>PADD 2</v>
      </c>
      <c r="G3087" s="6">
        <f>IF(AND($H3087="ATMOS DISTILLATION",ISNUMBER(SEARCH("VPS",$I3087))=FALSE,LEFT($I3087,6)&lt;&gt;"VACUUM"),"CDU",IF($H3087="FLUID CAT CRACKING","FCC",IF(OR($H3087="HYDROCRACKING",$H3087="RESID_HYDROCRACKING"),"Hydrocracker",IF($H3087="REFORMING","Reformer",""))))</f>
        <v/>
      </c>
      <c r="H3087" s="6" t="s">
        <v>43</v>
      </c>
      <c r="I3087" s="6" t="s">
        <v>1055</v>
      </c>
      <c r="J3087" s="6" t="s">
        <v>349</v>
      </c>
      <c r="K3087" s="10">
        <v>4.03</v>
      </c>
      <c r="L3087" s="10">
        <v>13</v>
      </c>
      <c r="M3087" s="6" t="s">
        <v>375</v>
      </c>
    </row>
    <row r="3088" spans="1:13">
      <c r="A3088" s="6">
        <v>2024</v>
      </c>
      <c r="B3088" s="6">
        <v>2</v>
      </c>
      <c r="C3088" s="6" t="s">
        <v>60</v>
      </c>
      <c r="D3088" s="6" t="s">
        <v>730</v>
      </c>
      <c r="E3088" s="6" t="s">
        <v>731</v>
      </c>
      <c r="F3088" s="6" t="str">
        <f>IF($M3088="PADD I","PADD 1",IF($M3088="PADD II","PADD 2",IF($M3088="PADD III","PADD 3",IF($M3088="PADD IV","PADD 4",IF($M3088="PADD V","PADD 5","")))))</f>
        <v>PADD 3</v>
      </c>
      <c r="G3088" s="6" t="str">
        <f>IF(AND($H3088="ATMOS DISTILLATION",ISNUMBER(SEARCH("VPS",$I3088))=FALSE,LEFT($I3088,6)&lt;&gt;"VACUUM"),"CDU",IF($H3088="FLUID CAT CRACKING","FCC",IF(OR($H3088="HYDROCRACKING",$H3088="RESID_HYDROCRACKING"),"Hydrocracker",IF($H3088="REFORMING","Reformer",""))))</f>
        <v>FCC</v>
      </c>
      <c r="H3088" s="6" t="s">
        <v>376</v>
      </c>
      <c r="I3088" s="6" t="s">
        <v>105</v>
      </c>
      <c r="J3088" s="6" t="s">
        <v>345</v>
      </c>
      <c r="K3088" s="10">
        <v>3.995</v>
      </c>
      <c r="L3088" s="10">
        <v>23.5</v>
      </c>
      <c r="M3088" s="6" t="s">
        <v>371</v>
      </c>
    </row>
    <row r="3089" spans="1:13">
      <c r="A3089" s="6">
        <v>2024</v>
      </c>
      <c r="B3089" s="6">
        <v>2</v>
      </c>
      <c r="C3089" s="6" t="s">
        <v>60</v>
      </c>
      <c r="D3089" s="6" t="s">
        <v>437</v>
      </c>
      <c r="E3089" s="6" t="s">
        <v>438</v>
      </c>
      <c r="F3089" s="6" t="str">
        <f>IF($M3089="PADD I","PADD 1",IF($M3089="PADD II","PADD 2",IF($M3089="PADD III","PADD 3",IF($M3089="PADD IV","PADD 4",IF($M3089="PADD V","PADD 5","")))))</f>
        <v>PADD 4</v>
      </c>
      <c r="G3089" s="6">
        <f>IF(AND($H3089="ATMOS DISTILLATION",ISNUMBER(SEARCH("VPS",$I3089))=FALSE,LEFT($I3089,6)&lt;&gt;"VACUUM"),"CDU",IF($H3089="FLUID CAT CRACKING","FCC",IF(OR($H3089="HYDROCRACKING",$H3089="RESID_HYDROCRACKING"),"Hydrocracker",IF($H3089="REFORMING","Reformer",""))))</f>
        <v/>
      </c>
      <c r="H3089" s="6" t="s">
        <v>378</v>
      </c>
      <c r="I3089" s="6" t="s">
        <v>556</v>
      </c>
      <c r="J3089" s="6" t="s">
        <v>345</v>
      </c>
      <c r="K3089" s="10">
        <v>3.984</v>
      </c>
      <c r="L3089" s="10">
        <v>8.300000000000001</v>
      </c>
      <c r="M3089" s="6" t="s">
        <v>430</v>
      </c>
    </row>
    <row r="3090" spans="1:13">
      <c r="A3090" s="6">
        <v>2024</v>
      </c>
      <c r="B3090" s="6">
        <v>2</v>
      </c>
      <c r="C3090" s="6" t="s">
        <v>60</v>
      </c>
      <c r="D3090" s="6" t="s">
        <v>462</v>
      </c>
      <c r="E3090" s="6" t="s">
        <v>438</v>
      </c>
      <c r="F3090" s="6" t="str">
        <f>IF($M3090="PADD I","PADD 1",IF($M3090="PADD II","PADD 2",IF($M3090="PADD III","PADD 3",IF($M3090="PADD IV","PADD 4",IF($M3090="PADD V","PADD 5","")))))</f>
        <v>PADD 4</v>
      </c>
      <c r="G3090" s="6">
        <f>IF(AND($H3090="ATMOS DISTILLATION",ISNUMBER(SEARCH("VPS",$I3090))=FALSE,LEFT($I3090,6)&lt;&gt;"VACUUM"),"CDU",IF($H3090="FLUID CAT CRACKING","FCC",IF(OR($H3090="HYDROCRACKING",$H3090="RESID_HYDROCRACKING"),"Hydrocracker",IF($H3090="REFORMING","Reformer",""))))</f>
        <v/>
      </c>
      <c r="H3090" s="6" t="s">
        <v>378</v>
      </c>
      <c r="I3090" s="6" t="s">
        <v>555</v>
      </c>
      <c r="J3090" s="6" t="s">
        <v>345</v>
      </c>
      <c r="K3090" s="10">
        <v>3.771</v>
      </c>
      <c r="L3090" s="10">
        <v>8.380000000000001</v>
      </c>
      <c r="M3090" s="6" t="s">
        <v>430</v>
      </c>
    </row>
    <row r="3091" spans="1:13">
      <c r="A3091" s="6">
        <v>2024</v>
      </c>
      <c r="B3091" s="6">
        <v>2</v>
      </c>
      <c r="C3091" s="6" t="s">
        <v>60</v>
      </c>
      <c r="D3091" s="6" t="s">
        <v>429</v>
      </c>
      <c r="E3091" s="6" t="s">
        <v>388</v>
      </c>
      <c r="F3091" s="6" t="str">
        <f>IF($M3091="PADD I","PADD 1",IF($M3091="PADD II","PADD 2",IF($M3091="PADD III","PADD 3",IF($M3091="PADD IV","PADD 4",IF($M3091="PADD V","PADD 5","")))))</f>
        <v>PADD 4</v>
      </c>
      <c r="G3091" s="6">
        <f>IF(AND($H3091="ATMOS DISTILLATION",ISNUMBER(SEARCH("VPS",$I3091))=FALSE,LEFT($I3091,6)&lt;&gt;"VACUUM"),"CDU",IF($H3091="FLUID CAT CRACKING","FCC",IF(OR($H3091="HYDROCRACKING",$H3091="RESID_HYDROCRACKING"),"Hydrocracker",IF($H3091="REFORMING","Reformer",""))))</f>
        <v/>
      </c>
      <c r="H3091" s="6" t="s">
        <v>460</v>
      </c>
      <c r="I3091" s="6" t="s">
        <v>461</v>
      </c>
      <c r="J3091" s="6" t="s">
        <v>349</v>
      </c>
      <c r="K3091" s="10">
        <v>3.72</v>
      </c>
      <c r="L3091" s="10">
        <v>6</v>
      </c>
      <c r="M3091" s="6" t="s">
        <v>430</v>
      </c>
    </row>
    <row r="3092" spans="1:13">
      <c r="A3092" s="6">
        <v>2024</v>
      </c>
      <c r="B3092" s="6">
        <v>2</v>
      </c>
      <c r="C3092" s="6" t="s">
        <v>60</v>
      </c>
      <c r="D3092" s="6" t="s">
        <v>40</v>
      </c>
      <c r="E3092" s="6" t="s">
        <v>736</v>
      </c>
      <c r="F3092" s="6" t="str">
        <f>IF($M3092="PADD I","PADD 1",IF($M3092="PADD II","PADD 2",IF($M3092="PADD III","PADD 3",IF($M3092="PADD IV","PADD 4",IF($M3092="PADD V","PADD 5","")))))</f>
        <v>PADD 1</v>
      </c>
      <c r="G3092" s="6" t="str">
        <f>IF(AND($H3092="ATMOS DISTILLATION",ISNUMBER(SEARCH("VPS",$I3092))=FALSE,LEFT($I3092,6)&lt;&gt;"VACUUM"),"CDU",IF($H3092="FLUID CAT CRACKING","FCC",IF(OR($H3092="HYDROCRACKING",$H3092="RESID_HYDROCRACKING"),"Hydrocracker",IF($H3092="REFORMING","Reformer",""))))</f>
        <v>FCC</v>
      </c>
      <c r="H3092" s="6" t="s">
        <v>376</v>
      </c>
      <c r="I3092" s="6" t="s">
        <v>737</v>
      </c>
      <c r="J3092" s="6" t="s">
        <v>345</v>
      </c>
      <c r="K3092" s="10">
        <v>3.71</v>
      </c>
      <c r="L3092" s="10">
        <v>53</v>
      </c>
      <c r="M3092" s="6" t="s">
        <v>413</v>
      </c>
    </row>
    <row r="3093" spans="1:13">
      <c r="A3093" s="6">
        <v>2024</v>
      </c>
      <c r="B3093" s="6">
        <v>2</v>
      </c>
      <c r="C3093" s="6" t="s">
        <v>60</v>
      </c>
      <c r="D3093" s="6" t="s">
        <v>602</v>
      </c>
      <c r="E3093" s="6" t="s">
        <v>369</v>
      </c>
      <c r="F3093" s="6" t="str">
        <f>IF($M3093="PADD I","PADD 1",IF($M3093="PADD II","PADD 2",IF($M3093="PADD III","PADD 3",IF($M3093="PADD IV","PADD 4",IF($M3093="PADD V","PADD 5","")))))</f>
        <v>PADD 2</v>
      </c>
      <c r="G3093" s="6" t="str">
        <f>IF(AND($H3093="ATMOS DISTILLATION",ISNUMBER(SEARCH("VPS",$I3093))=FALSE,LEFT($I3093,6)&lt;&gt;"VACUUM"),"CDU",IF($H3093="FLUID CAT CRACKING","FCC",IF(OR($H3093="HYDROCRACKING",$H3093="RESID_HYDROCRACKING"),"Hydrocracker",IF($H3093="REFORMING","Reformer",""))))</f>
        <v>FCC</v>
      </c>
      <c r="H3093" s="6" t="s">
        <v>376</v>
      </c>
      <c r="I3093" s="6" t="s">
        <v>654</v>
      </c>
      <c r="J3093" s="6" t="s">
        <v>345</v>
      </c>
      <c r="K3093" s="10">
        <v>3.64</v>
      </c>
      <c r="L3093" s="10">
        <v>26</v>
      </c>
      <c r="M3093" s="6" t="s">
        <v>375</v>
      </c>
    </row>
    <row r="3094" spans="1:13">
      <c r="A3094" s="6">
        <v>2024</v>
      </c>
      <c r="B3094" s="6">
        <v>2</v>
      </c>
      <c r="C3094" s="6" t="s">
        <v>60</v>
      </c>
      <c r="D3094" s="6" t="s">
        <v>434</v>
      </c>
      <c r="E3094" s="6" t="s">
        <v>388</v>
      </c>
      <c r="F3094" s="6" t="str">
        <f>IF($M3094="PADD I","PADD 1",IF($M3094="PADD II","PADD 2",IF($M3094="PADD III","PADD 3",IF($M3094="PADD IV","PADD 4",IF($M3094="PADD V","PADD 5","")))))</f>
        <v>PADD 5</v>
      </c>
      <c r="G3094" s="6" t="str">
        <f>IF(AND($H3094="ATMOS DISTILLATION",ISNUMBER(SEARCH("VPS",$I3094))=FALSE,LEFT($I3094,6)&lt;&gt;"VACUUM"),"CDU",IF($H3094="FLUID CAT CRACKING","FCC",IF(OR($H3094="HYDROCRACKING",$H3094="RESID_HYDROCRACKING"),"Hydrocracker",IF($H3094="REFORMING","Reformer",""))))</f>
        <v>Reformer</v>
      </c>
      <c r="H3094" s="6" t="s">
        <v>421</v>
      </c>
      <c r="I3094" s="6" t="s">
        <v>671</v>
      </c>
      <c r="J3094" s="6" t="s">
        <v>345</v>
      </c>
      <c r="K3094" s="10">
        <v>3.6</v>
      </c>
      <c r="L3094" s="10">
        <v>15</v>
      </c>
      <c r="M3094" s="6" t="s">
        <v>386</v>
      </c>
    </row>
    <row r="3095" spans="1:13">
      <c r="A3095" s="6">
        <v>2024</v>
      </c>
      <c r="B3095" s="6">
        <v>2</v>
      </c>
      <c r="C3095" s="6" t="s">
        <v>60</v>
      </c>
      <c r="D3095" s="6" t="s">
        <v>730</v>
      </c>
      <c r="E3095" s="6" t="s">
        <v>731</v>
      </c>
      <c r="F3095" s="6" t="str">
        <f>IF($M3095="PADD I","PADD 1",IF($M3095="PADD II","PADD 2",IF($M3095="PADD III","PADD 3",IF($M3095="PADD IV","PADD 4",IF($M3095="PADD V","PADD 5","")))))</f>
        <v>PADD 3</v>
      </c>
      <c r="G3095" s="6">
        <f>IF(AND($H3095="ATMOS DISTILLATION",ISNUMBER(SEARCH("VPS",$I3095))=FALSE,LEFT($I3095,6)&lt;&gt;"VACUUM"),"CDU",IF($H3095="FLUID CAT CRACKING","FCC",IF(OR($H3095="HYDROCRACKING",$H3095="RESID_HYDROCRACKING"),"Hydrocracker",IF($H3095="REFORMING","Reformer",""))))</f>
        <v/>
      </c>
      <c r="H3095" s="6" t="s">
        <v>43</v>
      </c>
      <c r="I3095" s="6" t="s">
        <v>458</v>
      </c>
      <c r="J3095" s="6" t="s">
        <v>345</v>
      </c>
      <c r="K3095" s="10">
        <v>3.4</v>
      </c>
      <c r="L3095" s="10">
        <v>20</v>
      </c>
      <c r="M3095" s="6" t="s">
        <v>371</v>
      </c>
    </row>
    <row r="3096" spans="1:13">
      <c r="A3096" s="6">
        <v>2024</v>
      </c>
      <c r="B3096" s="6">
        <v>2</v>
      </c>
      <c r="C3096" s="6" t="s">
        <v>60</v>
      </c>
      <c r="D3096" s="6" t="s">
        <v>457</v>
      </c>
      <c r="E3096" s="6" t="s">
        <v>388</v>
      </c>
      <c r="F3096" s="6" t="str">
        <f>IF($M3096="PADD I","PADD 1",IF($M3096="PADD II","PADD 2",IF($M3096="PADD III","PADD 3",IF($M3096="PADD IV","PADD 4",IF($M3096="PADD V","PADD 5","")))))</f>
        <v>PADD 5</v>
      </c>
      <c r="G3096" s="6">
        <f>IF(AND($H3096="ATMOS DISTILLATION",ISNUMBER(SEARCH("VPS",$I3096))=FALSE,LEFT($I3096,6)&lt;&gt;"VACUUM"),"CDU",IF($H3096="FLUID CAT CRACKING","FCC",IF(OR($H3096="HYDROCRACKING",$H3096="RESID_HYDROCRACKING"),"Hydrocracker",IF($H3096="REFORMING","Reformer",""))))</f>
        <v/>
      </c>
      <c r="H3096" s="6" t="s">
        <v>460</v>
      </c>
      <c r="I3096" s="6" t="s">
        <v>461</v>
      </c>
      <c r="J3096" s="6" t="s">
        <v>349</v>
      </c>
      <c r="K3096" s="10">
        <v>3.38</v>
      </c>
      <c r="L3096" s="10">
        <v>6.5</v>
      </c>
      <c r="M3096" s="6" t="s">
        <v>386</v>
      </c>
    </row>
    <row r="3097" spans="1:13">
      <c r="A3097" s="6">
        <v>2024</v>
      </c>
      <c r="B3097" s="6">
        <v>2</v>
      </c>
      <c r="C3097" s="6" t="s">
        <v>60</v>
      </c>
      <c r="D3097" s="6" t="s">
        <v>762</v>
      </c>
      <c r="E3097" s="6" t="s">
        <v>763</v>
      </c>
      <c r="F3097" s="6" t="str">
        <f>IF($M3097="PADD I","PADD 1",IF($M3097="PADD II","PADD 2",IF($M3097="PADD III","PADD 3",IF($M3097="PADD IV","PADD 4",IF($M3097="PADD V","PADD 5","")))))</f>
        <v>PADD 2</v>
      </c>
      <c r="G3097" s="6">
        <f>IF(AND($H3097="ATMOS DISTILLATION",ISNUMBER(SEARCH("VPS",$I3097))=FALSE,LEFT($I3097,6)&lt;&gt;"VACUUM"),"CDU",IF($H3097="FLUID CAT CRACKING","FCC",IF(OR($H3097="HYDROCRACKING",$H3097="RESID_HYDROCRACKING"),"Hydrocracker",IF($H3097="REFORMING","Reformer",""))))</f>
        <v/>
      </c>
      <c r="H3097" s="6" t="s">
        <v>378</v>
      </c>
      <c r="I3097" s="6" t="s">
        <v>964</v>
      </c>
      <c r="J3097" s="6" t="s">
        <v>349</v>
      </c>
      <c r="K3097" s="10">
        <v>3.36</v>
      </c>
      <c r="L3097" s="10">
        <v>12</v>
      </c>
      <c r="M3097" s="6" t="s">
        <v>375</v>
      </c>
    </row>
    <row r="3098" spans="1:13">
      <c r="A3098" s="6">
        <v>2024</v>
      </c>
      <c r="B3098" s="6">
        <v>2</v>
      </c>
      <c r="C3098" s="6" t="s">
        <v>60</v>
      </c>
      <c r="D3098" s="6" t="s">
        <v>762</v>
      </c>
      <c r="E3098" s="6" t="s">
        <v>763</v>
      </c>
      <c r="F3098" s="6" t="str">
        <f>IF($M3098="PADD I","PADD 1",IF($M3098="PADD II","PADD 2",IF($M3098="PADD III","PADD 3",IF($M3098="PADD IV","PADD 4",IF($M3098="PADD V","PADD 5","")))))</f>
        <v>PADD 2</v>
      </c>
      <c r="G3098" s="6">
        <f>IF(AND($H3098="ATMOS DISTILLATION",ISNUMBER(SEARCH("VPS",$I3098))=FALSE,LEFT($I3098,6)&lt;&gt;"VACUUM"),"CDU",IF($H3098="FLUID CAT CRACKING","FCC",IF(OR($H3098="HYDROCRACKING",$H3098="RESID_HYDROCRACKING"),"Hydrocracker",IF($H3098="REFORMING","Reformer",""))))</f>
        <v/>
      </c>
      <c r="H3098" s="6" t="s">
        <v>378</v>
      </c>
      <c r="I3098" s="6" t="s">
        <v>812</v>
      </c>
      <c r="J3098" s="6" t="s">
        <v>345</v>
      </c>
      <c r="K3098" s="10">
        <v>3.36</v>
      </c>
      <c r="L3098" s="10">
        <v>12</v>
      </c>
      <c r="M3098" s="6" t="s">
        <v>375</v>
      </c>
    </row>
    <row r="3099" spans="1:13">
      <c r="A3099" s="6">
        <v>2024</v>
      </c>
      <c r="B3099" s="6">
        <v>2</v>
      </c>
      <c r="C3099" s="6" t="s">
        <v>60</v>
      </c>
      <c r="D3099" s="6" t="s">
        <v>739</v>
      </c>
      <c r="E3099" s="6" t="s">
        <v>405</v>
      </c>
      <c r="F3099" s="6" t="str">
        <f>IF($M3099="PADD I","PADD 1",IF($M3099="PADD II","PADD 2",IF($M3099="PADD III","PADD 3",IF($M3099="PADD IV","PADD 4",IF($M3099="PADD V","PADD 5","")))))</f>
        <v>PADD 2</v>
      </c>
      <c r="G3099" s="6">
        <f>IF(AND($H3099="ATMOS DISTILLATION",ISNUMBER(SEARCH("VPS",$I3099))=FALSE,LEFT($I3099,6)&lt;&gt;"VACUUM"),"CDU",IF($H3099="FLUID CAT CRACKING","FCC",IF(OR($H3099="HYDROCRACKING",$H3099="RESID_HYDROCRACKING"),"Hydrocracker",IF($H3099="REFORMING","Reformer",""))))</f>
        <v/>
      </c>
      <c r="H3099" s="6" t="s">
        <v>43</v>
      </c>
      <c r="I3099" s="6" t="s">
        <v>689</v>
      </c>
      <c r="J3099" s="6" t="s">
        <v>345</v>
      </c>
      <c r="K3099" s="10">
        <v>3.2</v>
      </c>
      <c r="L3099" s="10">
        <v>32</v>
      </c>
      <c r="M3099" s="6" t="s">
        <v>375</v>
      </c>
    </row>
    <row r="3100" spans="1:13">
      <c r="A3100" s="6">
        <v>2024</v>
      </c>
      <c r="B3100" s="6">
        <v>2</v>
      </c>
      <c r="C3100" s="6" t="s">
        <v>60</v>
      </c>
      <c r="D3100" s="6" t="s">
        <v>878</v>
      </c>
      <c r="E3100" s="6" t="s">
        <v>452</v>
      </c>
      <c r="F3100" s="6" t="str">
        <f>IF($M3100="PADD I","PADD 1",IF($M3100="PADD II","PADD 2",IF($M3100="PADD III","PADD 3",IF($M3100="PADD IV","PADD 4",IF($M3100="PADD V","PADD 5","")))))</f>
        <v>PADD 2</v>
      </c>
      <c r="G3100" s="6">
        <f>IF(AND($H3100="ATMOS DISTILLATION",ISNUMBER(SEARCH("VPS",$I3100))=FALSE,LEFT($I3100,6)&lt;&gt;"VACUUM"),"CDU",IF($H3100="FLUID CAT CRACKING","FCC",IF(OR($H3100="HYDROCRACKING",$H3100="RESID_HYDROCRACKING"),"Hydrocracker",IF($H3100="REFORMING","Reformer",""))))</f>
        <v/>
      </c>
      <c r="H3100" s="6" t="s">
        <v>378</v>
      </c>
      <c r="I3100" s="6" t="s">
        <v>536</v>
      </c>
      <c r="J3100" s="6" t="s">
        <v>345</v>
      </c>
      <c r="K3100" s="10">
        <v>3.2</v>
      </c>
      <c r="L3100" s="10">
        <v>32</v>
      </c>
      <c r="M3100" s="6" t="s">
        <v>375</v>
      </c>
    </row>
    <row r="3101" spans="1:13">
      <c r="A3101" s="6">
        <v>2024</v>
      </c>
      <c r="B3101" s="6">
        <v>2</v>
      </c>
      <c r="C3101" s="6" t="s">
        <v>60</v>
      </c>
      <c r="D3101" s="6" t="s">
        <v>1101</v>
      </c>
      <c r="E3101" s="6" t="s">
        <v>881</v>
      </c>
      <c r="F3101" s="6" t="str">
        <f>IF($M3101="PADD I","PADD 1",IF($M3101="PADD II","PADD 2",IF($M3101="PADD III","PADD 3",IF($M3101="PADD IV","PADD 4",IF($M3101="PADD V","PADD 5","")))))</f>
        <v>PADD 3</v>
      </c>
      <c r="G3101" s="6" t="str">
        <f>IF(AND($H3101="ATMOS DISTILLATION",ISNUMBER(SEARCH("VPS",$I3101))=FALSE,LEFT($I3101,6)&lt;&gt;"VACUUM"),"CDU",IF($H3101="FLUID CAT CRACKING","FCC",IF(OR($H3101="HYDROCRACKING",$H3101="RESID_HYDROCRACKING"),"Hydrocracker",IF($H3101="REFORMING","Reformer",""))))</f>
        <v>CDU</v>
      </c>
      <c r="H3101" s="6" t="s">
        <v>38</v>
      </c>
      <c r="I3101" s="6" t="s">
        <v>81</v>
      </c>
      <c r="J3101" s="6" t="s">
        <v>349</v>
      </c>
      <c r="K3101" s="10">
        <v>3.1</v>
      </c>
      <c r="L3101" s="10">
        <v>10</v>
      </c>
      <c r="M3101" s="6" t="s">
        <v>371</v>
      </c>
    </row>
    <row r="3102" spans="1:13">
      <c r="A3102" s="6">
        <v>2024</v>
      </c>
      <c r="B3102" s="6">
        <v>2</v>
      </c>
      <c r="C3102" s="6" t="s">
        <v>60</v>
      </c>
      <c r="D3102" s="6" t="s">
        <v>807</v>
      </c>
      <c r="E3102" s="6" t="s">
        <v>779</v>
      </c>
      <c r="F3102" s="6" t="str">
        <f>IF($M3102="PADD I","PADD 1",IF($M3102="PADD II","PADD 2",IF($M3102="PADD III","PADD 3",IF($M3102="PADD IV","PADD 4",IF($M3102="PADD V","PADD 5","")))))</f>
        <v>PADD 3</v>
      </c>
      <c r="G3102" s="6">
        <f>IF(AND($H3102="ATMOS DISTILLATION",ISNUMBER(SEARCH("VPS",$I3102))=FALSE,LEFT($I3102,6)&lt;&gt;"VACUUM"),"CDU",IF($H3102="FLUID CAT CRACKING","FCC",IF(OR($H3102="HYDROCRACKING",$H3102="RESID_HYDROCRACKING"),"Hydrocracker",IF($H3102="REFORMING","Reformer",""))))</f>
        <v/>
      </c>
      <c r="H3102" s="6" t="s">
        <v>1108</v>
      </c>
      <c r="I3102" s="6" t="s">
        <v>1108</v>
      </c>
      <c r="J3102" s="6" t="s">
        <v>349</v>
      </c>
      <c r="K3102" s="10">
        <v>3</v>
      </c>
      <c r="L3102" s="10">
        <v>3</v>
      </c>
      <c r="M3102" s="6" t="s">
        <v>371</v>
      </c>
    </row>
    <row r="3103" spans="1:13">
      <c r="A3103" s="6">
        <v>2024</v>
      </c>
      <c r="B3103" s="6">
        <v>2</v>
      </c>
      <c r="C3103" s="6" t="s">
        <v>60</v>
      </c>
      <c r="D3103" s="6" t="s">
        <v>878</v>
      </c>
      <c r="E3103" s="6" t="s">
        <v>452</v>
      </c>
      <c r="F3103" s="6" t="str">
        <f>IF($M3103="PADD I","PADD 1",IF($M3103="PADD II","PADD 2",IF($M3103="PADD III","PADD 3",IF($M3103="PADD IV","PADD 4",IF($M3103="PADD V","PADD 5","")))))</f>
        <v>PADD 2</v>
      </c>
      <c r="G3103" s="6">
        <f>IF(AND($H3103="ATMOS DISTILLATION",ISNUMBER(SEARCH("VPS",$I3103))=FALSE,LEFT($I3103,6)&lt;&gt;"VACUUM"),"CDU",IF($H3103="FLUID CAT CRACKING","FCC",IF(OR($H3103="HYDROCRACKING",$H3103="RESID_HYDROCRACKING"),"Hydrocracker",IF($H3103="REFORMING","Reformer",""))))</f>
        <v/>
      </c>
      <c r="H3103" s="6" t="s">
        <v>378</v>
      </c>
      <c r="I3103" s="6" t="s">
        <v>536</v>
      </c>
      <c r="J3103" s="6" t="s">
        <v>345</v>
      </c>
      <c r="K3103" s="10">
        <v>3</v>
      </c>
      <c r="L3103" s="10">
        <v>30</v>
      </c>
      <c r="M3103" s="6" t="s">
        <v>375</v>
      </c>
    </row>
    <row r="3104" spans="1:13">
      <c r="A3104" s="6">
        <v>2024</v>
      </c>
      <c r="B3104" s="6">
        <v>2</v>
      </c>
      <c r="C3104" s="6" t="s">
        <v>60</v>
      </c>
      <c r="D3104" s="6" t="s">
        <v>346</v>
      </c>
      <c r="E3104" s="6" t="s">
        <v>383</v>
      </c>
      <c r="F3104" s="6" t="str">
        <f>IF($M3104="PADD I","PADD 1",IF($M3104="PADD II","PADD 2",IF($M3104="PADD III","PADD 3",IF($M3104="PADD IV","PADD 4",IF($M3104="PADD V","PADD 5","")))))</f>
        <v>PADD 2</v>
      </c>
      <c r="G3104" s="6">
        <f>IF(AND($H3104="ATMOS DISTILLATION",ISNUMBER(SEARCH("VPS",$I3104))=FALSE,LEFT($I3104,6)&lt;&gt;"VACUUM"),"CDU",IF($H3104="FLUID CAT CRACKING","FCC",IF(OR($H3104="HYDROCRACKING",$H3104="RESID_HYDROCRACKING"),"Hydrocracker",IF($H3104="REFORMING","Reformer",""))))</f>
        <v/>
      </c>
      <c r="H3104" s="6" t="s">
        <v>43</v>
      </c>
      <c r="I3104" s="6" t="s">
        <v>424</v>
      </c>
      <c r="J3104" s="6" t="s">
        <v>349</v>
      </c>
      <c r="K3104" s="10">
        <v>2.94</v>
      </c>
      <c r="L3104" s="10">
        <v>42</v>
      </c>
      <c r="M3104" s="6" t="s">
        <v>375</v>
      </c>
    </row>
    <row r="3105" spans="1:13">
      <c r="A3105" s="6">
        <v>2024</v>
      </c>
      <c r="B3105" s="6">
        <v>2</v>
      </c>
      <c r="C3105" s="6" t="s">
        <v>60</v>
      </c>
      <c r="D3105" s="6" t="s">
        <v>518</v>
      </c>
      <c r="E3105" s="6" t="s">
        <v>369</v>
      </c>
      <c r="F3105" s="6" t="str">
        <f>IF($M3105="PADD I","PADD 1",IF($M3105="PADD II","PADD 2",IF($M3105="PADD III","PADD 3",IF($M3105="PADD IV","PADD 4",IF($M3105="PADD V","PADD 5","")))))</f>
        <v>PADD 5</v>
      </c>
      <c r="G3105" s="6" t="str">
        <f>IF(AND($H3105="ATMOS DISTILLATION",ISNUMBER(SEARCH("VPS",$I3105))=FALSE,LEFT($I3105,6)&lt;&gt;"VACUUM"),"CDU",IF($H3105="FLUID CAT CRACKING","FCC",IF(OR($H3105="HYDROCRACKING",$H3105="RESID_HYDROCRACKING"),"Hydrocracker",IF($H3105="REFORMING","Reformer",""))))</f>
        <v>Hydrocracker</v>
      </c>
      <c r="H3105" s="6" t="s">
        <v>444</v>
      </c>
      <c r="I3105" s="6" t="s">
        <v>534</v>
      </c>
      <c r="J3105" s="6" t="s">
        <v>349</v>
      </c>
      <c r="K3105" s="10">
        <v>2.94</v>
      </c>
      <c r="L3105" s="10">
        <v>42</v>
      </c>
      <c r="M3105" s="6" t="s">
        <v>386</v>
      </c>
    </row>
    <row r="3106" spans="1:13">
      <c r="A3106" s="6">
        <v>2024</v>
      </c>
      <c r="B3106" s="6">
        <v>2</v>
      </c>
      <c r="C3106" s="6" t="s">
        <v>60</v>
      </c>
      <c r="D3106" s="6" t="s">
        <v>615</v>
      </c>
      <c r="E3106" s="6" t="s">
        <v>405</v>
      </c>
      <c r="F3106" s="6" t="str">
        <f>IF($M3106="PADD I","PADD 1",IF($M3106="PADD II","PADD 2",IF($M3106="PADD III","PADD 3",IF($M3106="PADD IV","PADD 4",IF($M3106="PADD V","PADD 5","")))))</f>
        <v>PADD 5</v>
      </c>
      <c r="G3106" s="6">
        <f>IF(AND($H3106="ATMOS DISTILLATION",ISNUMBER(SEARCH("VPS",$I3106))=FALSE,LEFT($I3106,6)&lt;&gt;"VACUUM"),"CDU",IF($H3106="FLUID CAT CRACKING","FCC",IF(OR($H3106="HYDROCRACKING",$H3106="RESID_HYDROCRACKING"),"Hydrocracker",IF($H3106="REFORMING","Reformer",""))))</f>
        <v/>
      </c>
      <c r="H3106" s="6" t="s">
        <v>435</v>
      </c>
      <c r="I3106" s="6" t="s">
        <v>1135</v>
      </c>
      <c r="J3106" s="6" t="s">
        <v>345</v>
      </c>
      <c r="K3106" s="10">
        <v>2.8</v>
      </c>
      <c r="L3106" s="10">
        <v>28</v>
      </c>
      <c r="M3106" s="6" t="s">
        <v>386</v>
      </c>
    </row>
    <row r="3107" spans="1:13">
      <c r="A3107" s="6">
        <v>2024</v>
      </c>
      <c r="B3107" s="6">
        <v>2</v>
      </c>
      <c r="C3107" s="6" t="s">
        <v>60</v>
      </c>
      <c r="D3107" s="6" t="s">
        <v>434</v>
      </c>
      <c r="E3107" s="6" t="s">
        <v>388</v>
      </c>
      <c r="F3107" s="6" t="str">
        <f>IF($M3107="PADD I","PADD 1",IF($M3107="PADD II","PADD 2",IF($M3107="PADD III","PADD 3",IF($M3107="PADD IV","PADD 4",IF($M3107="PADD V","PADD 5","")))))</f>
        <v>PADD 5</v>
      </c>
      <c r="G3107" s="6" t="str">
        <f>IF(AND($H3107="ATMOS DISTILLATION",ISNUMBER(SEARCH("VPS",$I3107))=FALSE,LEFT($I3107,6)&lt;&gt;"VACUUM"),"CDU",IF($H3107="FLUID CAT CRACKING","FCC",IF(OR($H3107="HYDROCRACKING",$H3107="RESID_HYDROCRACKING"),"Hydrocracker",IF($H3107="REFORMING","Reformer",""))))</f>
        <v>Reformer</v>
      </c>
      <c r="H3107" s="6" t="s">
        <v>421</v>
      </c>
      <c r="I3107" s="6" t="s">
        <v>671</v>
      </c>
      <c r="J3107" s="6" t="s">
        <v>345</v>
      </c>
      <c r="K3107" s="10">
        <v>2.73</v>
      </c>
      <c r="L3107" s="10">
        <v>13</v>
      </c>
      <c r="M3107" s="6" t="s">
        <v>386</v>
      </c>
    </row>
    <row r="3108" spans="1:13">
      <c r="A3108" s="6">
        <v>2024</v>
      </c>
      <c r="B3108" s="6">
        <v>2</v>
      </c>
      <c r="C3108" s="6" t="s">
        <v>60</v>
      </c>
      <c r="D3108" s="6" t="s">
        <v>465</v>
      </c>
      <c r="E3108" s="6" t="s">
        <v>369</v>
      </c>
      <c r="F3108" s="6" t="str">
        <f>IF($M3108="PADD I","PADD 1",IF($M3108="PADD II","PADD 2",IF($M3108="PADD III","PADD 3",IF($M3108="PADD IV","PADD 4",IF($M3108="PADD V","PADD 5","")))))</f>
        <v>PADD 5</v>
      </c>
      <c r="G3108" s="6">
        <f>IF(AND($H3108="ATMOS DISTILLATION",ISNUMBER(SEARCH("VPS",$I3108))=FALSE,LEFT($I3108,6)&lt;&gt;"VACUUM"),"CDU",IF($H3108="FLUID CAT CRACKING","FCC",IF(OR($H3108="HYDROCRACKING",$H3108="RESID_HYDROCRACKING"),"Hydrocracker",IF($H3108="REFORMING","Reformer",""))))</f>
        <v/>
      </c>
      <c r="H3108" s="6" t="s">
        <v>43</v>
      </c>
      <c r="I3108" s="6" t="s">
        <v>669</v>
      </c>
      <c r="J3108" s="6" t="s">
        <v>349</v>
      </c>
      <c r="K3108" s="10">
        <v>2.66</v>
      </c>
      <c r="L3108" s="10">
        <v>19</v>
      </c>
      <c r="M3108" s="6" t="s">
        <v>386</v>
      </c>
    </row>
    <row r="3109" spans="1:13">
      <c r="A3109" s="6">
        <v>2024</v>
      </c>
      <c r="B3109" s="6">
        <v>2</v>
      </c>
      <c r="C3109" s="6" t="s">
        <v>60</v>
      </c>
      <c r="D3109" s="6" t="s">
        <v>457</v>
      </c>
      <c r="E3109" s="6" t="s">
        <v>388</v>
      </c>
      <c r="F3109" s="6" t="str">
        <f>IF($M3109="PADD I","PADD 1",IF($M3109="PADD II","PADD 2",IF($M3109="PADD III","PADD 3",IF($M3109="PADD IV","PADD 4",IF($M3109="PADD V","PADD 5","")))))</f>
        <v>PADD 5</v>
      </c>
      <c r="G3109" s="6" t="str">
        <f>IF(AND($H3109="ATMOS DISTILLATION",ISNUMBER(SEARCH("VPS",$I3109))=FALSE,LEFT($I3109,6)&lt;&gt;"VACUUM"),"CDU",IF($H3109="FLUID CAT CRACKING","FCC",IF(OR($H3109="HYDROCRACKING",$H3109="RESID_HYDROCRACKING"),"Hydrocracker",IF($H3109="REFORMING","Reformer",""))))</f>
        <v>Reformer</v>
      </c>
      <c r="H3109" s="6" t="s">
        <v>421</v>
      </c>
      <c r="I3109" s="6" t="s">
        <v>1103</v>
      </c>
      <c r="J3109" s="6" t="s">
        <v>349</v>
      </c>
      <c r="K3109" s="10">
        <v>2.6</v>
      </c>
      <c r="L3109" s="10">
        <v>5</v>
      </c>
      <c r="M3109" s="6" t="s">
        <v>386</v>
      </c>
    </row>
    <row r="3110" spans="1:13">
      <c r="A3110" s="6">
        <v>2024</v>
      </c>
      <c r="B3110" s="6">
        <v>2</v>
      </c>
      <c r="C3110" s="6" t="s">
        <v>60</v>
      </c>
      <c r="D3110" s="6" t="s">
        <v>334</v>
      </c>
      <c r="E3110" s="6" t="s">
        <v>552</v>
      </c>
      <c r="F3110" s="6" t="str">
        <f>IF($M3110="PADD I","PADD 1",IF($M3110="PADD II","PADD 2",IF($M3110="PADD III","PADD 3",IF($M3110="PADD IV","PADD 4",IF($M3110="PADD V","PADD 5","")))))</f>
        <v>PADD 3</v>
      </c>
      <c r="G3110" s="6" t="str">
        <f>IF(AND($H3110="ATMOS DISTILLATION",ISNUMBER(SEARCH("VPS",$I3110))=FALSE,LEFT($I3110,6)&lt;&gt;"VACUUM"),"CDU",IF($H3110="FLUID CAT CRACKING","FCC",IF(OR($H3110="HYDROCRACKING",$H3110="RESID_HYDROCRACKING"),"Hydrocracker",IF($H3110="REFORMING","Reformer",""))))</f>
        <v>CDU</v>
      </c>
      <c r="H3110" s="6" t="s">
        <v>38</v>
      </c>
      <c r="I3110" s="6" t="s">
        <v>137</v>
      </c>
      <c r="J3110" s="6" t="s">
        <v>345</v>
      </c>
      <c r="K3110" s="10">
        <v>2.55</v>
      </c>
      <c r="L3110" s="10">
        <v>85</v>
      </c>
      <c r="M3110" s="6" t="s">
        <v>371</v>
      </c>
    </row>
    <row r="3111" spans="1:13">
      <c r="A3111" s="6">
        <v>2024</v>
      </c>
      <c r="B3111" s="6">
        <v>2</v>
      </c>
      <c r="C3111" s="6" t="s">
        <v>60</v>
      </c>
      <c r="D3111" s="6" t="s">
        <v>946</v>
      </c>
      <c r="E3111" s="6" t="s">
        <v>405</v>
      </c>
      <c r="F3111" s="6" t="str">
        <f>IF($M3111="PADD I","PADD 1",IF($M3111="PADD II","PADD 2",IF($M3111="PADD III","PADD 3",IF($M3111="PADD IV","PADD 4",IF($M3111="PADD V","PADD 5","")))))</f>
        <v>PADD 5</v>
      </c>
      <c r="G3111" s="6">
        <f>IF(AND($H3111="ATMOS DISTILLATION",ISNUMBER(SEARCH("VPS",$I3111))=FALSE,LEFT($I3111,6)&lt;&gt;"VACUUM"),"CDU",IF($H3111="FLUID CAT CRACKING","FCC",IF(OR($H3111="HYDROCRACKING",$H3111="RESID_HYDROCRACKING"),"Hydrocracker",IF($H3111="REFORMING","Reformer",""))))</f>
        <v/>
      </c>
      <c r="H3111" s="6" t="s">
        <v>435</v>
      </c>
      <c r="I3111" s="6" t="s">
        <v>975</v>
      </c>
      <c r="J3111" s="6" t="s">
        <v>345</v>
      </c>
      <c r="K3111" s="10">
        <v>2.55</v>
      </c>
      <c r="L3111" s="10">
        <v>15</v>
      </c>
      <c r="M3111" s="6" t="s">
        <v>386</v>
      </c>
    </row>
    <row r="3112" spans="1:13">
      <c r="A3112" s="6">
        <v>2024</v>
      </c>
      <c r="B3112" s="6">
        <v>2</v>
      </c>
      <c r="C3112" s="6" t="s">
        <v>60</v>
      </c>
      <c r="D3112" s="6" t="s">
        <v>415</v>
      </c>
      <c r="E3112" s="6" t="s">
        <v>416</v>
      </c>
      <c r="F3112" s="6" t="str">
        <f>IF($M3112="PADD I","PADD 1",IF($M3112="PADD II","PADD 2",IF($M3112="PADD III","PADD 3",IF($M3112="PADD IV","PADD 4",IF($M3112="PADD V","PADD 5","")))))</f>
        <v>PADD 3</v>
      </c>
      <c r="G3112" s="6" t="str">
        <f>IF(AND($H3112="ATMOS DISTILLATION",ISNUMBER(SEARCH("VPS",$I3112))=FALSE,LEFT($I3112,6)&lt;&gt;"VACUUM"),"CDU",IF($H3112="FLUID CAT CRACKING","FCC",IF(OR($H3112="HYDROCRACKING",$H3112="RESID_HYDROCRACKING"),"Hydrocracker",IF($H3112="REFORMING","Reformer",""))))</f>
        <v>Reformer</v>
      </c>
      <c r="H3112" s="6" t="s">
        <v>421</v>
      </c>
      <c r="I3112" s="6" t="s">
        <v>1098</v>
      </c>
      <c r="J3112" s="6" t="s">
        <v>349</v>
      </c>
      <c r="K3112" s="10">
        <v>2.52</v>
      </c>
      <c r="L3112" s="10">
        <v>18</v>
      </c>
      <c r="M3112" s="6" t="s">
        <v>371</v>
      </c>
    </row>
    <row r="3113" spans="1:13">
      <c r="A3113" s="6">
        <v>2024</v>
      </c>
      <c r="B3113" s="6">
        <v>2</v>
      </c>
      <c r="C3113" s="6" t="s">
        <v>60</v>
      </c>
      <c r="D3113" s="6" t="s">
        <v>742</v>
      </c>
      <c r="E3113" s="6" t="s">
        <v>388</v>
      </c>
      <c r="F3113" s="6" t="str">
        <f>IF($M3113="PADD I","PADD 1",IF($M3113="PADD II","PADD 2",IF($M3113="PADD III","PADD 3",IF($M3113="PADD IV","PADD 4",IF($M3113="PADD V","PADD 5","")))))</f>
        <v>PADD 5</v>
      </c>
      <c r="G3113" s="6">
        <f>IF(AND($H3113="ATMOS DISTILLATION",ISNUMBER(SEARCH("VPS",$I3113))=FALSE,LEFT($I3113,6)&lt;&gt;"VACUUM"),"CDU",IF($H3113="FLUID CAT CRACKING","FCC",IF(OR($H3113="HYDROCRACKING",$H3113="RESID_HYDROCRACKING"),"Hydrocracker",IF($H3113="REFORMING","Reformer",""))))</f>
        <v/>
      </c>
      <c r="H3113" s="6" t="s">
        <v>460</v>
      </c>
      <c r="I3113" s="6" t="s">
        <v>461</v>
      </c>
      <c r="J3113" s="6" t="s">
        <v>345</v>
      </c>
      <c r="K3113" s="10">
        <v>2.46</v>
      </c>
      <c r="L3113" s="10">
        <v>6</v>
      </c>
      <c r="M3113" s="6" t="s">
        <v>386</v>
      </c>
    </row>
    <row r="3114" spans="1:13">
      <c r="A3114" s="6">
        <v>2024</v>
      </c>
      <c r="B3114" s="6">
        <v>2</v>
      </c>
      <c r="C3114" s="6" t="s">
        <v>60</v>
      </c>
      <c r="D3114" s="6" t="s">
        <v>408</v>
      </c>
      <c r="E3114" s="6" t="s">
        <v>409</v>
      </c>
      <c r="F3114" s="6" t="str">
        <f>IF($M3114="PADD I","PADD 1",IF($M3114="PADD II","PADD 2",IF($M3114="PADD III","PADD 3",IF($M3114="PADD IV","PADD 4",IF($M3114="PADD V","PADD 5","")))))</f>
        <v>PADD 3</v>
      </c>
      <c r="G3114" s="6">
        <f>IF(AND($H3114="ATMOS DISTILLATION",ISNUMBER(SEARCH("VPS",$I3114))=FALSE,LEFT($I3114,6)&lt;&gt;"VACUUM"),"CDU",IF($H3114="FLUID CAT CRACKING","FCC",IF(OR($H3114="HYDROCRACKING",$H3114="RESID_HYDROCRACKING"),"Hydrocracker",IF($H3114="REFORMING","Reformer",""))))</f>
        <v/>
      </c>
      <c r="H3114" s="6" t="s">
        <v>568</v>
      </c>
      <c r="I3114" s="6" t="s">
        <v>569</v>
      </c>
      <c r="J3114" s="6" t="s">
        <v>345</v>
      </c>
      <c r="K3114" s="10">
        <v>2.295</v>
      </c>
      <c r="L3114" s="10">
        <v>13.5</v>
      </c>
      <c r="M3114" s="6" t="s">
        <v>371</v>
      </c>
    </row>
    <row r="3115" spans="1:13">
      <c r="A3115" s="6">
        <v>2024</v>
      </c>
      <c r="B3115" s="6">
        <v>2</v>
      </c>
      <c r="C3115" s="6" t="s">
        <v>60</v>
      </c>
      <c r="D3115" s="6" t="s">
        <v>778</v>
      </c>
      <c r="E3115" s="6" t="s">
        <v>779</v>
      </c>
      <c r="F3115" s="6" t="str">
        <f>IF($M3115="PADD I","PADD 1",IF($M3115="PADD II","PADD 2",IF($M3115="PADD III","PADD 3",IF($M3115="PADD IV","PADD 4",IF($M3115="PADD V","PADD 5","")))))</f>
        <v>PADD 3</v>
      </c>
      <c r="G3115" s="6" t="str">
        <f>IF(AND($H3115="ATMOS DISTILLATION",ISNUMBER(SEARCH("VPS",$I3115))=FALSE,LEFT($I3115,6)&lt;&gt;"VACUUM"),"CDU",IF($H3115="FLUID CAT CRACKING","FCC",IF(OR($H3115="HYDROCRACKING",$H3115="RESID_HYDROCRACKING"),"Hydrocracker",IF($H3115="REFORMING","Reformer",""))))</f>
        <v>CDU</v>
      </c>
      <c r="H3115" s="6" t="s">
        <v>38</v>
      </c>
      <c r="I3115" s="6" t="s">
        <v>805</v>
      </c>
      <c r="J3115" s="6" t="s">
        <v>345</v>
      </c>
      <c r="K3115" s="10">
        <v>2.25</v>
      </c>
      <c r="L3115" s="10">
        <v>75</v>
      </c>
      <c r="M3115" s="6" t="s">
        <v>371</v>
      </c>
    </row>
    <row r="3116" spans="1:13">
      <c r="A3116" s="6">
        <v>2024</v>
      </c>
      <c r="B3116" s="6">
        <v>2</v>
      </c>
      <c r="C3116" s="6" t="s">
        <v>60</v>
      </c>
      <c r="D3116" s="6" t="s">
        <v>346</v>
      </c>
      <c r="E3116" s="6" t="s">
        <v>383</v>
      </c>
      <c r="F3116" s="6" t="str">
        <f>IF($M3116="PADD I","PADD 1",IF($M3116="PADD II","PADD 2",IF($M3116="PADD III","PADD 3",IF($M3116="PADD IV","PADD 4",IF($M3116="PADD V","PADD 5","")))))</f>
        <v>PADD 2</v>
      </c>
      <c r="G3116" s="6" t="str">
        <f>IF(AND($H3116="ATMOS DISTILLATION",ISNUMBER(SEARCH("VPS",$I3116))=FALSE,LEFT($I3116,6)&lt;&gt;"VACUUM"),"CDU",IF($H3116="FLUID CAT CRACKING","FCC",IF(OR($H3116="HYDROCRACKING",$H3116="RESID_HYDROCRACKING"),"Hydrocracker",IF($H3116="REFORMING","Reformer",""))))</f>
        <v>Hydrocracker</v>
      </c>
      <c r="H3116" s="6" t="s">
        <v>444</v>
      </c>
      <c r="I3116" s="6" t="s">
        <v>463</v>
      </c>
      <c r="J3116" s="6" t="s">
        <v>349</v>
      </c>
      <c r="K3116" s="10">
        <v>2.24</v>
      </c>
      <c r="L3116" s="10">
        <v>32</v>
      </c>
      <c r="M3116" s="6" t="s">
        <v>375</v>
      </c>
    </row>
    <row r="3117" spans="1:13">
      <c r="A3117" s="6">
        <v>2024</v>
      </c>
      <c r="B3117" s="6">
        <v>2</v>
      </c>
      <c r="C3117" s="6" t="s">
        <v>60</v>
      </c>
      <c r="D3117" s="6" t="s">
        <v>434</v>
      </c>
      <c r="E3117" s="6" t="s">
        <v>388</v>
      </c>
      <c r="F3117" s="6" t="str">
        <f>IF($M3117="PADD I","PADD 1",IF($M3117="PADD II","PADD 2",IF($M3117="PADD III","PADD 3",IF($M3117="PADD IV","PADD 4",IF($M3117="PADD V","PADD 5","")))))</f>
        <v>PADD 5</v>
      </c>
      <c r="G3117" s="6" t="str">
        <f>IF(AND($H3117="ATMOS DISTILLATION",ISNUMBER(SEARCH("VPS",$I3117))=FALSE,LEFT($I3117,6)&lt;&gt;"VACUUM"),"CDU",IF($H3117="FLUID CAT CRACKING","FCC",IF(OR($H3117="HYDROCRACKING",$H3117="RESID_HYDROCRACKING"),"Hydrocracker",IF($H3117="REFORMING","Reformer",""))))</f>
        <v>Hydrocracker</v>
      </c>
      <c r="H3117" s="6" t="s">
        <v>444</v>
      </c>
      <c r="I3117" s="6" t="s">
        <v>14</v>
      </c>
      <c r="J3117" s="6" t="s">
        <v>345</v>
      </c>
      <c r="K3117" s="10">
        <v>2.24</v>
      </c>
      <c r="L3117" s="10">
        <v>32</v>
      </c>
      <c r="M3117" s="6" t="s">
        <v>386</v>
      </c>
    </row>
    <row r="3118" spans="1:13">
      <c r="A3118" s="6">
        <v>2024</v>
      </c>
      <c r="B3118" s="6">
        <v>2</v>
      </c>
      <c r="C3118" s="6" t="s">
        <v>60</v>
      </c>
      <c r="D3118" s="6" t="s">
        <v>465</v>
      </c>
      <c r="E3118" s="6" t="s">
        <v>369</v>
      </c>
      <c r="F3118" s="6" t="str">
        <f>IF($M3118="PADD I","PADD 1",IF($M3118="PADD II","PADD 2",IF($M3118="PADD III","PADD 3",IF($M3118="PADD IV","PADD 4",IF($M3118="PADD V","PADD 5","")))))</f>
        <v>PADD 5</v>
      </c>
      <c r="G3118" s="6" t="str">
        <f>IF(AND($H3118="ATMOS DISTILLATION",ISNUMBER(SEARCH("VPS",$I3118))=FALSE,LEFT($I3118,6)&lt;&gt;"VACUUM"),"CDU",IF($H3118="FLUID CAT CRACKING","FCC",IF(OR($H3118="HYDROCRACKING",$H3118="RESID_HYDROCRACKING"),"Hydrocracker",IF($H3118="REFORMING","Reformer",""))))</f>
        <v>Reformer</v>
      </c>
      <c r="H3118" s="6" t="s">
        <v>421</v>
      </c>
      <c r="I3118" s="6" t="s">
        <v>673</v>
      </c>
      <c r="J3118" s="6" t="s">
        <v>349</v>
      </c>
      <c r="K3118" s="10">
        <v>2.24</v>
      </c>
      <c r="L3118" s="10">
        <v>16</v>
      </c>
      <c r="M3118" s="6" t="s">
        <v>386</v>
      </c>
    </row>
    <row r="3119" spans="1:13">
      <c r="A3119" s="6">
        <v>2024</v>
      </c>
      <c r="B3119" s="6">
        <v>2</v>
      </c>
      <c r="C3119" s="6" t="s">
        <v>60</v>
      </c>
      <c r="D3119" s="6" t="s">
        <v>602</v>
      </c>
      <c r="E3119" s="6" t="s">
        <v>369</v>
      </c>
      <c r="F3119" s="6" t="str">
        <f>IF($M3119="PADD I","PADD 1",IF($M3119="PADD II","PADD 2",IF($M3119="PADD III","PADD 3",IF($M3119="PADD IV","PADD 4",IF($M3119="PADD V","PADD 5","")))))</f>
        <v>PADD 2</v>
      </c>
      <c r="G3119" s="6">
        <f>IF(AND($H3119="ATMOS DISTILLATION",ISNUMBER(SEARCH("VPS",$I3119))=FALSE,LEFT($I3119,6)&lt;&gt;"VACUUM"),"CDU",IF($H3119="FLUID CAT CRACKING","FCC",IF(OR($H3119="HYDROCRACKING",$H3119="RESID_HYDROCRACKING"),"Hydrocracker",IF($H3119="REFORMING","Reformer",""))))</f>
        <v/>
      </c>
      <c r="H3119" s="6" t="s">
        <v>378</v>
      </c>
      <c r="I3119" s="6" t="s">
        <v>536</v>
      </c>
      <c r="J3119" s="6" t="s">
        <v>345</v>
      </c>
      <c r="K3119" s="10">
        <v>2.1</v>
      </c>
      <c r="L3119" s="10">
        <v>15</v>
      </c>
      <c r="M3119" s="6" t="s">
        <v>375</v>
      </c>
    </row>
    <row r="3120" spans="1:13">
      <c r="A3120" s="6">
        <v>2024</v>
      </c>
      <c r="B3120" s="6">
        <v>2</v>
      </c>
      <c r="C3120" s="6" t="s">
        <v>60</v>
      </c>
      <c r="D3120" s="6" t="s">
        <v>457</v>
      </c>
      <c r="E3120" s="6" t="s">
        <v>388</v>
      </c>
      <c r="F3120" s="6" t="str">
        <f>IF($M3120="PADD I","PADD 1",IF($M3120="PADD II","PADD 2",IF($M3120="PADD III","PADD 3",IF($M3120="PADD IV","PADD 4",IF($M3120="PADD V","PADD 5","")))))</f>
        <v>PADD 5</v>
      </c>
      <c r="G3120" s="6" t="str">
        <f>IF(AND($H3120="ATMOS DISTILLATION",ISNUMBER(SEARCH("VPS",$I3120))=FALSE,LEFT($I3120,6)&lt;&gt;"VACUUM"),"CDU",IF($H3120="FLUID CAT CRACKING","FCC",IF(OR($H3120="HYDROCRACKING",$H3120="RESID_HYDROCRACKING"),"Hydrocracker",IF($H3120="REFORMING","Reformer",""))))</f>
        <v>Reformer</v>
      </c>
      <c r="H3120" s="6" t="s">
        <v>421</v>
      </c>
      <c r="I3120" s="6" t="s">
        <v>559</v>
      </c>
      <c r="J3120" s="6" t="s">
        <v>345</v>
      </c>
      <c r="K3120" s="10">
        <v>2</v>
      </c>
      <c r="L3120" s="10">
        <v>20</v>
      </c>
      <c r="M3120" s="6" t="s">
        <v>386</v>
      </c>
    </row>
    <row r="3121" spans="1:13">
      <c r="A3121" s="6">
        <v>2024</v>
      </c>
      <c r="B3121" s="6">
        <v>2</v>
      </c>
      <c r="C3121" s="6" t="s">
        <v>60</v>
      </c>
      <c r="D3121" s="6" t="s">
        <v>739</v>
      </c>
      <c r="E3121" s="6" t="s">
        <v>405</v>
      </c>
      <c r="F3121" s="6" t="str">
        <f>IF($M3121="PADD I","PADD 1",IF($M3121="PADD II","PADD 2",IF($M3121="PADD III","PADD 3",IF($M3121="PADD IV","PADD 4",IF($M3121="PADD V","PADD 5","")))))</f>
        <v>PADD 2</v>
      </c>
      <c r="G3121" s="6" t="str">
        <f>IF(AND($H3121="ATMOS DISTILLATION",ISNUMBER(SEARCH("VPS",$I3121))=FALSE,LEFT($I3121,6)&lt;&gt;"VACUUM"),"CDU",IF($H3121="FLUID CAT CRACKING","FCC",IF(OR($H3121="HYDROCRACKING",$H3121="RESID_HYDROCRACKING"),"Hydrocracker",IF($H3121="REFORMING","Reformer",""))))</f>
        <v>Hydrocracker</v>
      </c>
      <c r="H3121" s="6" t="s">
        <v>444</v>
      </c>
      <c r="I3121" s="6" t="s">
        <v>795</v>
      </c>
      <c r="J3121" s="6" t="s">
        <v>345</v>
      </c>
      <c r="K3121" s="10">
        <v>1.96</v>
      </c>
      <c r="L3121" s="10">
        <v>14</v>
      </c>
      <c r="M3121" s="6" t="s">
        <v>375</v>
      </c>
    </row>
    <row r="3122" spans="1:13">
      <c r="A3122" s="6">
        <v>2024</v>
      </c>
      <c r="B3122" s="6">
        <v>2</v>
      </c>
      <c r="C3122" s="6" t="s">
        <v>60</v>
      </c>
      <c r="D3122" s="6" t="s">
        <v>799</v>
      </c>
      <c r="E3122" s="6" t="s">
        <v>391</v>
      </c>
      <c r="F3122" s="6" t="str">
        <f>IF($M3122="PADD I","PADD 1",IF($M3122="PADD II","PADD 2",IF($M3122="PADD III","PADD 3",IF($M3122="PADD IV","PADD 4",IF($M3122="PADD V","PADD 5","")))))</f>
        <v>PADD 4</v>
      </c>
      <c r="G3122" s="6" t="str">
        <f>IF(AND($H3122="ATMOS DISTILLATION",ISNUMBER(SEARCH("VPS",$I3122))=FALSE,LEFT($I3122,6)&lt;&gt;"VACUUM"),"CDU",IF($H3122="FLUID CAT CRACKING","FCC",IF(OR($H3122="HYDROCRACKING",$H3122="RESID_HYDROCRACKING"),"Hydrocracker",IF($H3122="REFORMING","Reformer",""))))</f>
        <v>CDU</v>
      </c>
      <c r="H3122" s="6" t="s">
        <v>38</v>
      </c>
      <c r="I3122" s="6" t="s">
        <v>1104</v>
      </c>
      <c r="J3122" s="6" t="s">
        <v>345</v>
      </c>
      <c r="K3122" s="10">
        <v>1.728</v>
      </c>
      <c r="L3122" s="10">
        <v>57.6</v>
      </c>
      <c r="M3122" s="6" t="s">
        <v>430</v>
      </c>
    </row>
    <row r="3123" spans="1:13">
      <c r="A3123" s="6">
        <v>2024</v>
      </c>
      <c r="B3123" s="6">
        <v>2</v>
      </c>
      <c r="C3123" s="6" t="s">
        <v>60</v>
      </c>
      <c r="D3123" s="6" t="s">
        <v>390</v>
      </c>
      <c r="E3123" s="6" t="s">
        <v>391</v>
      </c>
      <c r="F3123" s="6" t="str">
        <f>IF($M3123="PADD I","PADD 1",IF($M3123="PADD II","PADD 2",IF($M3123="PADD III","PADD 3",IF($M3123="PADD IV","PADD 4",IF($M3123="PADD V","PADD 5","")))))</f>
        <v>PADD 3</v>
      </c>
      <c r="G3123" s="6" t="str">
        <f>IF(AND($H3123="ATMOS DISTILLATION",ISNUMBER(SEARCH("VPS",$I3123))=FALSE,LEFT($I3123,6)&lt;&gt;"VACUUM"),"CDU",IF($H3123="FLUID CAT CRACKING","FCC",IF(OR($H3123="HYDROCRACKING",$H3123="RESID_HYDROCRACKING"),"Hydrocracker",IF($H3123="REFORMING","Reformer",""))))</f>
        <v>Reformer</v>
      </c>
      <c r="H3123" s="6" t="s">
        <v>421</v>
      </c>
      <c r="I3123" s="6" t="s">
        <v>1117</v>
      </c>
      <c r="J3123" s="6" t="s">
        <v>345</v>
      </c>
      <c r="K3123" s="10">
        <v>1.65</v>
      </c>
      <c r="L3123" s="10">
        <v>55</v>
      </c>
      <c r="M3123" s="6" t="s">
        <v>371</v>
      </c>
    </row>
    <row r="3124" spans="1:13">
      <c r="A3124" s="6">
        <v>2024</v>
      </c>
      <c r="B3124" s="6">
        <v>2</v>
      </c>
      <c r="C3124" s="6" t="s">
        <v>60</v>
      </c>
      <c r="D3124" s="6" t="s">
        <v>457</v>
      </c>
      <c r="E3124" s="6" t="s">
        <v>388</v>
      </c>
      <c r="F3124" s="6" t="str">
        <f>IF($M3124="PADD I","PADD 1",IF($M3124="PADD II","PADD 2",IF($M3124="PADD III","PADD 3",IF($M3124="PADD IV","PADD 4",IF($M3124="PADD V","PADD 5","")))))</f>
        <v>PADD 5</v>
      </c>
      <c r="G3124" s="6" t="str">
        <f>IF(AND($H3124="ATMOS DISTILLATION",ISNUMBER(SEARCH("VPS",$I3124))=FALSE,LEFT($I3124,6)&lt;&gt;"VACUUM"),"CDU",IF($H3124="FLUID CAT CRACKING","FCC",IF(OR($H3124="HYDROCRACKING",$H3124="RESID_HYDROCRACKING"),"Hydrocracker",IF($H3124="REFORMING","Reformer",""))))</f>
        <v>Hydrocracker</v>
      </c>
      <c r="H3124" s="6" t="s">
        <v>444</v>
      </c>
      <c r="I3124" s="6" t="s">
        <v>14</v>
      </c>
      <c r="J3124" s="6" t="s">
        <v>345</v>
      </c>
      <c r="K3124" s="10">
        <v>1.65</v>
      </c>
      <c r="L3124" s="10">
        <v>55</v>
      </c>
      <c r="M3124" s="6" t="s">
        <v>386</v>
      </c>
    </row>
    <row r="3125" spans="1:13">
      <c r="A3125" s="6">
        <v>2024</v>
      </c>
      <c r="B3125" s="6">
        <v>2</v>
      </c>
      <c r="C3125" s="6" t="s">
        <v>60</v>
      </c>
      <c r="D3125" s="6" t="s">
        <v>408</v>
      </c>
      <c r="E3125" s="6" t="s">
        <v>409</v>
      </c>
      <c r="F3125" s="6" t="str">
        <f>IF($M3125="PADD I","PADD 1",IF($M3125="PADD II","PADD 2",IF($M3125="PADD III","PADD 3",IF($M3125="PADD IV","PADD 4",IF($M3125="PADD V","PADD 5","")))))</f>
        <v>PADD 3</v>
      </c>
      <c r="G3125" s="6">
        <f>IF(AND($H3125="ATMOS DISTILLATION",ISNUMBER(SEARCH("VPS",$I3125))=FALSE,LEFT($I3125,6)&lt;&gt;"VACUUM"),"CDU",IF($H3125="FLUID CAT CRACKING","FCC",IF(OR($H3125="HYDROCRACKING",$H3125="RESID_HYDROCRACKING"),"Hydrocracker",IF($H3125="REFORMING","Reformer",""))))</f>
        <v/>
      </c>
      <c r="H3125" s="6" t="s">
        <v>460</v>
      </c>
      <c r="I3125" s="6" t="s">
        <v>606</v>
      </c>
      <c r="J3125" s="6" t="s">
        <v>345</v>
      </c>
      <c r="K3125" s="10">
        <v>1.55</v>
      </c>
      <c r="L3125" s="10">
        <v>5</v>
      </c>
      <c r="M3125" s="6" t="s">
        <v>371</v>
      </c>
    </row>
    <row r="3126" spans="1:13">
      <c r="A3126" s="6">
        <v>2024</v>
      </c>
      <c r="B3126" s="6">
        <v>2</v>
      </c>
      <c r="C3126" s="6" t="s">
        <v>60</v>
      </c>
      <c r="D3126" s="6" t="s">
        <v>934</v>
      </c>
      <c r="E3126" s="6" t="s">
        <v>388</v>
      </c>
      <c r="F3126" s="6" t="str">
        <f>IF($M3126="PADD I","PADD 1",IF($M3126="PADD II","PADD 2",IF($M3126="PADD III","PADD 3",IF($M3126="PADD IV","PADD 4",IF($M3126="PADD V","PADD 5","")))))</f>
        <v>PADD 3</v>
      </c>
      <c r="G3126" s="6">
        <f>IF(AND($H3126="ATMOS DISTILLATION",ISNUMBER(SEARCH("VPS",$I3126))=FALSE,LEFT($I3126,6)&lt;&gt;"VACUUM"),"CDU",IF($H3126="FLUID CAT CRACKING","FCC",IF(OR($H3126="HYDROCRACKING",$H3126="RESID_HYDROCRACKING"),"Hydrocracker",IF($H3126="REFORMING","Reformer",""))))</f>
        <v/>
      </c>
      <c r="H3126" s="6" t="s">
        <v>568</v>
      </c>
      <c r="I3126" s="6" t="s">
        <v>976</v>
      </c>
      <c r="J3126" s="6" t="s">
        <v>349</v>
      </c>
      <c r="K3126" s="10">
        <v>1.55</v>
      </c>
      <c r="L3126" s="10">
        <v>2.5</v>
      </c>
      <c r="M3126" s="6" t="s">
        <v>371</v>
      </c>
    </row>
    <row r="3127" spans="1:13">
      <c r="A3127" s="6">
        <v>2024</v>
      </c>
      <c r="B3127" s="6">
        <v>2</v>
      </c>
      <c r="C3127" s="6" t="s">
        <v>60</v>
      </c>
      <c r="D3127" s="6" t="s">
        <v>762</v>
      </c>
      <c r="E3127" s="6" t="s">
        <v>763</v>
      </c>
      <c r="F3127" s="6" t="str">
        <f>IF($M3127="PADD I","PADD 1",IF($M3127="PADD II","PADD 2",IF($M3127="PADD III","PADD 3",IF($M3127="PADD IV","PADD 4",IF($M3127="PADD V","PADD 5","")))))</f>
        <v>PADD 2</v>
      </c>
      <c r="G3127" s="6">
        <f>IF(AND($H3127="ATMOS DISTILLATION",ISNUMBER(SEARCH("VPS",$I3127))=FALSE,LEFT($I3127,6)&lt;&gt;"VACUUM"),"CDU",IF($H3127="FLUID CAT CRACKING","FCC",IF(OR($H3127="HYDROCRACKING",$H3127="RESID_HYDROCRACKING"),"Hydrocracker",IF($H3127="REFORMING","Reformer",""))))</f>
        <v/>
      </c>
      <c r="H3127" s="6" t="s">
        <v>460</v>
      </c>
      <c r="I3127" s="6" t="s">
        <v>616</v>
      </c>
      <c r="J3127" s="6" t="s">
        <v>349</v>
      </c>
      <c r="K3127" s="10">
        <v>1.55</v>
      </c>
      <c r="L3127" s="10">
        <v>5</v>
      </c>
      <c r="M3127" s="6" t="s">
        <v>375</v>
      </c>
    </row>
    <row r="3128" spans="1:13">
      <c r="A3128" s="6">
        <v>2024</v>
      </c>
      <c r="B3128" s="6">
        <v>2</v>
      </c>
      <c r="C3128" s="6" t="s">
        <v>60</v>
      </c>
      <c r="D3128" s="6" t="s">
        <v>518</v>
      </c>
      <c r="E3128" s="6" t="s">
        <v>369</v>
      </c>
      <c r="F3128" s="6" t="str">
        <f>IF($M3128="PADD I","PADD 1",IF($M3128="PADD II","PADD 2",IF($M3128="PADD III","PADD 3",IF($M3128="PADD IV","PADD 4",IF($M3128="PADD V","PADD 5","")))))</f>
        <v>PADD 5</v>
      </c>
      <c r="G3128" s="6" t="str">
        <f>IF(AND($H3128="ATMOS DISTILLATION",ISNUMBER(SEARCH("VPS",$I3128))=FALSE,LEFT($I3128,6)&lt;&gt;"VACUUM"),"CDU",IF($H3128="FLUID CAT CRACKING","FCC",IF(OR($H3128="HYDROCRACKING",$H3128="RESID_HYDROCRACKING"),"Hydrocracker",IF($H3128="REFORMING","Reformer",""))))</f>
        <v>CDU</v>
      </c>
      <c r="H3128" s="6" t="s">
        <v>38</v>
      </c>
      <c r="I3128" s="6" t="s">
        <v>519</v>
      </c>
      <c r="J3128" s="6" t="s">
        <v>349</v>
      </c>
      <c r="K3128" s="10">
        <v>1.5</v>
      </c>
      <c r="L3128" s="10">
        <v>50</v>
      </c>
      <c r="M3128" s="6" t="s">
        <v>386</v>
      </c>
    </row>
    <row r="3129" spans="1:13">
      <c r="A3129" s="6">
        <v>2024</v>
      </c>
      <c r="B3129" s="6">
        <v>2</v>
      </c>
      <c r="C3129" s="6" t="s">
        <v>60</v>
      </c>
      <c r="D3129" s="6" t="s">
        <v>434</v>
      </c>
      <c r="E3129" s="6" t="s">
        <v>388</v>
      </c>
      <c r="F3129" s="6" t="str">
        <f>IF($M3129="PADD I","PADD 1",IF($M3129="PADD II","PADD 2",IF($M3129="PADD III","PADD 3",IF($M3129="PADD IV","PADD 4",IF($M3129="PADD V","PADD 5","")))))</f>
        <v>PADD 5</v>
      </c>
      <c r="G3129" s="6" t="str">
        <f>IF(AND($H3129="ATMOS DISTILLATION",ISNUMBER(SEARCH("VPS",$I3129))=FALSE,LEFT($I3129,6)&lt;&gt;"VACUUM"),"CDU",IF($H3129="FLUID CAT CRACKING","FCC",IF(OR($H3129="HYDROCRACKING",$H3129="RESID_HYDROCRACKING"),"Hydrocracker",IF($H3129="REFORMING","Reformer",""))))</f>
        <v>Reformer</v>
      </c>
      <c r="H3129" s="6" t="s">
        <v>421</v>
      </c>
      <c r="I3129" s="6" t="s">
        <v>671</v>
      </c>
      <c r="J3129" s="6" t="s">
        <v>345</v>
      </c>
      <c r="K3129" s="10">
        <v>1.5</v>
      </c>
      <c r="L3129" s="10">
        <v>15</v>
      </c>
      <c r="M3129" s="6" t="s">
        <v>386</v>
      </c>
    </row>
    <row r="3130" spans="1:13">
      <c r="A3130" s="6">
        <v>2024</v>
      </c>
      <c r="B3130" s="6">
        <v>2</v>
      </c>
      <c r="C3130" s="6" t="s">
        <v>60</v>
      </c>
      <c r="D3130" s="6" t="s">
        <v>615</v>
      </c>
      <c r="E3130" s="6" t="s">
        <v>405</v>
      </c>
      <c r="F3130" s="6" t="str">
        <f>IF($M3130="PADD I","PADD 1",IF($M3130="PADD II","PADD 2",IF($M3130="PADD III","PADD 3",IF($M3130="PADD IV","PADD 4",IF($M3130="PADD V","PADD 5","")))))</f>
        <v>PADD 5</v>
      </c>
      <c r="G3130" s="6" t="str">
        <f>IF(AND($H3130="ATMOS DISTILLATION",ISNUMBER(SEARCH("VPS",$I3130))=FALSE,LEFT($I3130,6)&lt;&gt;"VACUUM"),"CDU",IF($H3130="FLUID CAT CRACKING","FCC",IF(OR($H3130="HYDROCRACKING",$H3130="RESID_HYDROCRACKING"),"Hydrocracker",IF($H3130="REFORMING","Reformer",""))))</f>
        <v>Reformer</v>
      </c>
      <c r="H3130" s="6" t="s">
        <v>421</v>
      </c>
      <c r="I3130" s="6" t="s">
        <v>666</v>
      </c>
      <c r="J3130" s="6" t="s">
        <v>345</v>
      </c>
      <c r="K3130" s="10">
        <v>1.2</v>
      </c>
      <c r="L3130" s="10">
        <v>40</v>
      </c>
      <c r="M3130" s="6" t="s">
        <v>386</v>
      </c>
    </row>
    <row r="3131" spans="1:13">
      <c r="A3131" s="6">
        <v>2024</v>
      </c>
      <c r="B3131" s="6">
        <v>2</v>
      </c>
      <c r="C3131" s="6" t="s">
        <v>60</v>
      </c>
      <c r="D3131" s="6" t="s">
        <v>615</v>
      </c>
      <c r="E3131" s="6" t="s">
        <v>405</v>
      </c>
      <c r="F3131" s="6" t="str">
        <f>IF($M3131="PADD I","PADD 1",IF($M3131="PADD II","PADD 2",IF($M3131="PADD III","PADD 3",IF($M3131="PADD IV","PADD 4",IF($M3131="PADD V","PADD 5","")))))</f>
        <v>PADD 5</v>
      </c>
      <c r="G3131" s="6" t="str">
        <f>IF(AND($H3131="ATMOS DISTILLATION",ISNUMBER(SEARCH("VPS",$I3131))=FALSE,LEFT($I3131,6)&lt;&gt;"VACUUM"),"CDU",IF($H3131="FLUID CAT CRACKING","FCC",IF(OR($H3131="HYDROCRACKING",$H3131="RESID_HYDROCRACKING"),"Hydrocracker",IF($H3131="REFORMING","Reformer",""))))</f>
        <v>Reformer</v>
      </c>
      <c r="H3131" s="6" t="s">
        <v>421</v>
      </c>
      <c r="I3131" s="6" t="s">
        <v>666</v>
      </c>
      <c r="J3131" s="6" t="s">
        <v>349</v>
      </c>
      <c r="K3131" s="10">
        <v>1.2</v>
      </c>
      <c r="L3131" s="10">
        <v>40</v>
      </c>
      <c r="M3131" s="6" t="s">
        <v>386</v>
      </c>
    </row>
    <row r="3132" spans="1:13">
      <c r="A3132" s="6">
        <v>2024</v>
      </c>
      <c r="B3132" s="6">
        <v>2</v>
      </c>
      <c r="C3132" s="6" t="s">
        <v>60</v>
      </c>
      <c r="D3132" s="6" t="s">
        <v>451</v>
      </c>
      <c r="E3132" s="6" t="s">
        <v>452</v>
      </c>
      <c r="F3132" s="6" t="str">
        <f>IF($M3132="PADD I","PADD 1",IF($M3132="PADD II","PADD 2",IF($M3132="PADD III","PADD 3",IF($M3132="PADD IV","PADD 4",IF($M3132="PADD V","PADD 5","")))))</f>
        <v>PADD 2</v>
      </c>
      <c r="G3132" s="6">
        <f>IF(AND($H3132="ATMOS DISTILLATION",ISNUMBER(SEARCH("VPS",$I3132))=FALSE,LEFT($I3132,6)&lt;&gt;"VACUUM"),"CDU",IF($H3132="FLUID CAT CRACKING","FCC",IF(OR($H3132="HYDROCRACKING",$H3132="RESID_HYDROCRACKING"),"Hydrocracker",IF($H3132="REFORMING","Reformer",""))))</f>
        <v/>
      </c>
      <c r="H3132" s="6" t="s">
        <v>460</v>
      </c>
      <c r="I3132" s="6" t="s">
        <v>461</v>
      </c>
      <c r="J3132" s="6" t="s">
        <v>345</v>
      </c>
      <c r="K3132" s="10">
        <v>1.107</v>
      </c>
      <c r="L3132" s="10">
        <v>2.7</v>
      </c>
      <c r="M3132" s="6" t="s">
        <v>375</v>
      </c>
    </row>
    <row r="3133" spans="1:13">
      <c r="A3133" s="6">
        <v>2024</v>
      </c>
      <c r="B3133" s="6">
        <v>2</v>
      </c>
      <c r="C3133" s="6" t="s">
        <v>60</v>
      </c>
      <c r="D3133" s="6" t="s">
        <v>51</v>
      </c>
      <c r="E3133" s="6" t="s">
        <v>391</v>
      </c>
      <c r="F3133" s="6" t="str">
        <f>IF($M3133="PADD I","PADD 1",IF($M3133="PADD II","PADD 2",IF($M3133="PADD III","PADD 3",IF($M3133="PADD IV","PADD 4",IF($M3133="PADD V","PADD 5","")))))</f>
        <v>PADD 5</v>
      </c>
      <c r="G3133" s="6">
        <f>IF(AND($H3133="ATMOS DISTILLATION",ISNUMBER(SEARCH("VPS",$I3133))=FALSE,LEFT($I3133,6)&lt;&gt;"VACUUM"),"CDU",IF($H3133="FLUID CAT CRACKING","FCC",IF(OR($H3133="HYDROCRACKING",$H3133="RESID_HYDROCRACKING"),"Hydrocracker",IF($H3133="REFORMING","Reformer",""))))</f>
        <v/>
      </c>
      <c r="H3133" s="6" t="s">
        <v>460</v>
      </c>
      <c r="I3133" s="6" t="s">
        <v>461</v>
      </c>
      <c r="J3133" s="6" t="s">
        <v>345</v>
      </c>
      <c r="K3133" s="10">
        <v>0.99</v>
      </c>
      <c r="L3133" s="10">
        <v>33</v>
      </c>
      <c r="M3133" s="6" t="s">
        <v>386</v>
      </c>
    </row>
    <row r="3134" spans="1:13">
      <c r="A3134" s="6">
        <v>2024</v>
      </c>
      <c r="B3134" s="6">
        <v>2</v>
      </c>
      <c r="C3134" s="6" t="s">
        <v>60</v>
      </c>
      <c r="D3134" s="6" t="s">
        <v>518</v>
      </c>
      <c r="E3134" s="6" t="s">
        <v>369</v>
      </c>
      <c r="F3134" s="6" t="str">
        <f>IF($M3134="PADD I","PADD 1",IF($M3134="PADD II","PADD 2",IF($M3134="PADD III","PADD 3",IF($M3134="PADD IV","PADD 4",IF($M3134="PADD V","PADD 5","")))))</f>
        <v>PADD 5</v>
      </c>
      <c r="G3134" s="6">
        <f>IF(AND($H3134="ATMOS DISTILLATION",ISNUMBER(SEARCH("VPS",$I3134))=FALSE,LEFT($I3134,6)&lt;&gt;"VACUUM"),"CDU",IF($H3134="FLUID CAT CRACKING","FCC",IF(OR($H3134="HYDROCRACKING",$H3134="RESID_HYDROCRACKING"),"Hydrocracker",IF($H3134="REFORMING","Reformer",""))))</f>
        <v/>
      </c>
      <c r="H3134" s="6" t="s">
        <v>378</v>
      </c>
      <c r="I3134" s="6" t="s">
        <v>431</v>
      </c>
      <c r="J3134" s="6" t="s">
        <v>349</v>
      </c>
      <c r="K3134" s="10">
        <v>0.9</v>
      </c>
      <c r="L3134" s="10">
        <v>30</v>
      </c>
      <c r="M3134" s="6" t="s">
        <v>386</v>
      </c>
    </row>
    <row r="3135" spans="1:13">
      <c r="A3135" s="6">
        <v>2024</v>
      </c>
      <c r="B3135" s="6">
        <v>2</v>
      </c>
      <c r="C3135" s="6" t="s">
        <v>60</v>
      </c>
      <c r="D3135" s="6" t="s">
        <v>346</v>
      </c>
      <c r="E3135" s="6" t="s">
        <v>383</v>
      </c>
      <c r="F3135" s="6" t="str">
        <f>IF($M3135="PADD I","PADD 1",IF($M3135="PADD II","PADD 2",IF($M3135="PADD III","PADD 3",IF($M3135="PADD IV","PADD 4",IF($M3135="PADD V","PADD 5","")))))</f>
        <v>PADD 2</v>
      </c>
      <c r="G3135" s="6" t="str">
        <f>IF(AND($H3135="ATMOS DISTILLATION",ISNUMBER(SEARCH("VPS",$I3135))=FALSE,LEFT($I3135,6)&lt;&gt;"VACUUM"),"CDU",IF($H3135="FLUID CAT CRACKING","FCC",IF(OR($H3135="HYDROCRACKING",$H3135="RESID_HYDROCRACKING"),"Hydrocracker",IF($H3135="REFORMING","Reformer",""))))</f>
        <v>Reformer</v>
      </c>
      <c r="H3135" s="6" t="s">
        <v>421</v>
      </c>
      <c r="I3135" s="6" t="s">
        <v>471</v>
      </c>
      <c r="J3135" s="6" t="s">
        <v>349</v>
      </c>
      <c r="K3135" s="10">
        <v>0.9</v>
      </c>
      <c r="L3135" s="10">
        <v>30</v>
      </c>
      <c r="M3135" s="6" t="s">
        <v>375</v>
      </c>
    </row>
    <row r="3136" spans="1:13">
      <c r="A3136" s="6">
        <v>2024</v>
      </c>
      <c r="B3136" s="6">
        <v>2</v>
      </c>
      <c r="C3136" s="6" t="s">
        <v>60</v>
      </c>
      <c r="D3136" s="6" t="s">
        <v>408</v>
      </c>
      <c r="E3136" s="6" t="s">
        <v>409</v>
      </c>
      <c r="F3136" s="6" t="str">
        <f>IF($M3136="PADD I","PADD 1",IF($M3136="PADD II","PADD 2",IF($M3136="PADD III","PADD 3",IF($M3136="PADD IV","PADD 4",IF($M3136="PADD V","PADD 5","")))))</f>
        <v>PADD 3</v>
      </c>
      <c r="G3136" s="6">
        <f>IF(AND($H3136="ATMOS DISTILLATION",ISNUMBER(SEARCH("VPS",$I3136))=FALSE,LEFT($I3136,6)&lt;&gt;"VACUUM"),"CDU",IF($H3136="FLUID CAT CRACKING","FCC",IF(OR($H3136="HYDROCRACKING",$H3136="RESID_HYDROCRACKING"),"Hydrocracker",IF($H3136="REFORMING","Reformer",""))))</f>
        <v/>
      </c>
      <c r="H3136" s="6" t="s">
        <v>460</v>
      </c>
      <c r="I3136" s="6" t="s">
        <v>606</v>
      </c>
      <c r="J3136" s="6" t="s">
        <v>345</v>
      </c>
      <c r="K3136" s="10">
        <v>0.85</v>
      </c>
      <c r="L3136" s="10">
        <v>5</v>
      </c>
      <c r="M3136" s="6" t="s">
        <v>371</v>
      </c>
    </row>
    <row r="3137" spans="1:13">
      <c r="A3137" s="6">
        <v>2024</v>
      </c>
      <c r="B3137" s="6">
        <v>2</v>
      </c>
      <c r="C3137" s="6" t="s">
        <v>60</v>
      </c>
      <c r="D3137" s="6" t="s">
        <v>799</v>
      </c>
      <c r="E3137" s="6" t="s">
        <v>391</v>
      </c>
      <c r="F3137" s="6" t="str">
        <f>IF($M3137="PADD I","PADD 1",IF($M3137="PADD II","PADD 2",IF($M3137="PADD III","PADD 3",IF($M3137="PADD IV","PADD 4",IF($M3137="PADD V","PADD 5","")))))</f>
        <v>PADD 4</v>
      </c>
      <c r="G3137" s="6">
        <f>IF(AND($H3137="ATMOS DISTILLATION",ISNUMBER(SEARCH("VPS",$I3137))=FALSE,LEFT($I3137,6)&lt;&gt;"VACUUM"),"CDU",IF($H3137="FLUID CAT CRACKING","FCC",IF(OR($H3137="HYDROCRACKING",$H3137="RESID_HYDROCRACKING"),"Hydrocracker",IF($H3137="REFORMING","Reformer",""))))</f>
        <v/>
      </c>
      <c r="H3137" s="6" t="s">
        <v>378</v>
      </c>
      <c r="I3137" s="6" t="s">
        <v>379</v>
      </c>
      <c r="J3137" s="6" t="s">
        <v>345</v>
      </c>
      <c r="K3137" s="10">
        <v>0.825</v>
      </c>
      <c r="L3137" s="10">
        <v>27.5</v>
      </c>
      <c r="M3137" s="6" t="s">
        <v>430</v>
      </c>
    </row>
    <row r="3138" spans="1:13">
      <c r="A3138" s="6">
        <v>2024</v>
      </c>
      <c r="B3138" s="6">
        <v>2</v>
      </c>
      <c r="C3138" s="6" t="s">
        <v>60</v>
      </c>
      <c r="D3138" s="6" t="s">
        <v>778</v>
      </c>
      <c r="E3138" s="6" t="s">
        <v>779</v>
      </c>
      <c r="F3138" s="6" t="str">
        <f>IF($M3138="PADD I","PADD 1",IF($M3138="PADD II","PADD 2",IF($M3138="PADD III","PADD 3",IF($M3138="PADD IV","PADD 4",IF($M3138="PADD V","PADD 5","")))))</f>
        <v>PADD 3</v>
      </c>
      <c r="G3138" s="6">
        <f>IF(AND($H3138="ATMOS DISTILLATION",ISNUMBER(SEARCH("VPS",$I3138))=FALSE,LEFT($I3138,6)&lt;&gt;"VACUUM"),"CDU",IF($H3138="FLUID CAT CRACKING","FCC",IF(OR($H3138="HYDROCRACKING",$H3138="RESID_HYDROCRACKING"),"Hydrocracker",IF($H3138="REFORMING","Reformer",""))))</f>
        <v/>
      </c>
      <c r="H3138" s="6" t="s">
        <v>378</v>
      </c>
      <c r="I3138" s="6" t="s">
        <v>797</v>
      </c>
      <c r="J3138" s="6" t="s">
        <v>345</v>
      </c>
      <c r="K3138" s="10">
        <v>0.6899999999999999</v>
      </c>
      <c r="L3138" s="10">
        <v>23</v>
      </c>
      <c r="M3138" s="6" t="s">
        <v>371</v>
      </c>
    </row>
    <row r="3139" spans="1:13">
      <c r="A3139" s="6">
        <v>2024</v>
      </c>
      <c r="B3139" s="6">
        <v>2</v>
      </c>
      <c r="C3139" s="6" t="s">
        <v>60</v>
      </c>
      <c r="D3139" s="6" t="s">
        <v>518</v>
      </c>
      <c r="E3139" s="6" t="s">
        <v>369</v>
      </c>
      <c r="F3139" s="6" t="str">
        <f>IF($M3139="PADD I","PADD 1",IF($M3139="PADD II","PADD 2",IF($M3139="PADD III","PADD 3",IF($M3139="PADD IV","PADD 4",IF($M3139="PADD V","PADD 5","")))))</f>
        <v>PADD 5</v>
      </c>
      <c r="G3139" s="6">
        <f>IF(AND($H3139="ATMOS DISTILLATION",ISNUMBER(SEARCH("VPS",$I3139))=FALSE,LEFT($I3139,6)&lt;&gt;"VACUUM"),"CDU",IF($H3139="FLUID CAT CRACKING","FCC",IF(OR($H3139="HYDROCRACKING",$H3139="RESID_HYDROCRACKING"),"Hydrocracker",IF($H3139="REFORMING","Reformer",""))))</f>
        <v/>
      </c>
      <c r="H3139" s="6" t="s">
        <v>435</v>
      </c>
      <c r="I3139" s="6" t="s">
        <v>578</v>
      </c>
      <c r="J3139" s="6" t="s">
        <v>349</v>
      </c>
      <c r="K3139" s="10">
        <v>0.6899999999999999</v>
      </c>
      <c r="L3139" s="10">
        <v>23</v>
      </c>
      <c r="M3139" s="6" t="s">
        <v>386</v>
      </c>
    </row>
    <row r="3140" spans="1:13">
      <c r="A3140" s="6">
        <v>2024</v>
      </c>
      <c r="B3140" s="6">
        <v>2</v>
      </c>
      <c r="C3140" s="6" t="s">
        <v>60</v>
      </c>
      <c r="D3140" s="6" t="s">
        <v>346</v>
      </c>
      <c r="E3140" s="6" t="s">
        <v>383</v>
      </c>
      <c r="F3140" s="6" t="str">
        <f>IF($M3140="PADD I","PADD 1",IF($M3140="PADD II","PADD 2",IF($M3140="PADD III","PADD 3",IF($M3140="PADD IV","PADD 4",IF($M3140="PADD V","PADD 5","")))))</f>
        <v>PADD 2</v>
      </c>
      <c r="G3140" s="6">
        <f>IF(AND($H3140="ATMOS DISTILLATION",ISNUMBER(SEARCH("VPS",$I3140))=FALSE,LEFT($I3140,6)&lt;&gt;"VACUUM"),"CDU",IF($H3140="FLUID CAT CRACKING","FCC",IF(OR($H3140="HYDROCRACKING",$H3140="RESID_HYDROCRACKING"),"Hydrocracker",IF($H3140="REFORMING","Reformer",""))))</f>
        <v/>
      </c>
      <c r="H3140" s="6" t="s">
        <v>460</v>
      </c>
      <c r="I3140" s="6" t="s">
        <v>461</v>
      </c>
      <c r="J3140" s="6" t="s">
        <v>349</v>
      </c>
      <c r="K3140" s="10">
        <v>0.63</v>
      </c>
      <c r="L3140" s="10">
        <v>9</v>
      </c>
      <c r="M3140" s="6" t="s">
        <v>375</v>
      </c>
    </row>
    <row r="3141" spans="1:13">
      <c r="A3141" s="6">
        <v>2024</v>
      </c>
      <c r="B3141" s="6">
        <v>2</v>
      </c>
      <c r="C3141" s="6" t="s">
        <v>60</v>
      </c>
      <c r="D3141" s="6" t="s">
        <v>334</v>
      </c>
      <c r="E3141" s="6" t="s">
        <v>552</v>
      </c>
      <c r="F3141" s="6" t="str">
        <f>IF($M3141="PADD I","PADD 1",IF($M3141="PADD II","PADD 2",IF($M3141="PADD III","PADD 3",IF($M3141="PADD IV","PADD 4",IF($M3141="PADD V","PADD 5","")))))</f>
        <v>PADD 3</v>
      </c>
      <c r="G3141" s="6">
        <f>IF(AND($H3141="ATMOS DISTILLATION",ISNUMBER(SEARCH("VPS",$I3141))=FALSE,LEFT($I3141,6)&lt;&gt;"VACUUM"),"CDU",IF($H3141="FLUID CAT CRACKING","FCC",IF(OR($H3141="HYDROCRACKING",$H3141="RESID_HYDROCRACKING"),"Hydrocracker",IF($H3141="REFORMING","Reformer",""))))</f>
        <v/>
      </c>
      <c r="H3141" s="6" t="s">
        <v>378</v>
      </c>
      <c r="I3141" s="6" t="s">
        <v>555</v>
      </c>
      <c r="J3141" s="6" t="s">
        <v>345</v>
      </c>
      <c r="K3141" s="10">
        <v>0.57</v>
      </c>
      <c r="L3141" s="10">
        <v>19</v>
      </c>
      <c r="M3141" s="6" t="s">
        <v>371</v>
      </c>
    </row>
    <row r="3142" spans="1:13">
      <c r="A3142" s="6">
        <v>2024</v>
      </c>
      <c r="B3142" s="6">
        <v>2</v>
      </c>
      <c r="C3142" s="6" t="s">
        <v>60</v>
      </c>
      <c r="D3142" s="6" t="s">
        <v>576</v>
      </c>
      <c r="E3142" s="6" t="s">
        <v>369</v>
      </c>
      <c r="F3142" s="6" t="str">
        <f>IF($M3142="PADD I","PADD 1",IF($M3142="PADD II","PADD 2",IF($M3142="PADD III","PADD 3",IF($M3142="PADD IV","PADD 4",IF($M3142="PADD V","PADD 5","")))))</f>
        <v>PADD 3</v>
      </c>
      <c r="G3142" s="6" t="str">
        <f>IF(AND($H3142="ATMOS DISTILLATION",ISNUMBER(SEARCH("VPS",$I3142))=FALSE,LEFT($I3142,6)&lt;&gt;"VACUUM"),"CDU",IF($H3142="FLUID CAT CRACKING","FCC",IF(OR($H3142="HYDROCRACKING",$H3142="RESID_HYDROCRACKING"),"Hydrocracker",IF($H3142="REFORMING","Reformer",""))))</f>
        <v>Reformer</v>
      </c>
      <c r="H3142" s="6" t="s">
        <v>421</v>
      </c>
      <c r="I3142" s="6" t="s">
        <v>483</v>
      </c>
      <c r="J3142" s="6" t="s">
        <v>345</v>
      </c>
      <c r="K3142" s="10">
        <v>0.36</v>
      </c>
      <c r="L3142" s="10">
        <v>12</v>
      </c>
      <c r="M3142" s="6" t="s">
        <v>371</v>
      </c>
    </row>
    <row r="3143" spans="1:13">
      <c r="A3143" s="6">
        <v>2024</v>
      </c>
      <c r="B3143" s="6">
        <v>2</v>
      </c>
      <c r="C3143" s="6" t="s">
        <v>60</v>
      </c>
      <c r="D3143" s="6" t="s">
        <v>730</v>
      </c>
      <c r="E3143" s="6" t="s">
        <v>731</v>
      </c>
      <c r="F3143" s="6" t="str">
        <f>IF($M3143="PADD I","PADD 1",IF($M3143="PADD II","PADD 2",IF($M3143="PADD III","PADD 3",IF($M3143="PADD IV","PADD 4",IF($M3143="PADD V","PADD 5","")))))</f>
        <v>PADD 3</v>
      </c>
      <c r="G3143" s="6">
        <f>IF(AND($H3143="ATMOS DISTILLATION",ISNUMBER(SEARCH("VPS",$I3143))=FALSE,LEFT($I3143,6)&lt;&gt;"VACUUM"),"CDU",IF($H3143="FLUID CAT CRACKING","FCC",IF(OR($H3143="HYDROCRACKING",$H3143="RESID_HYDROCRACKING"),"Hydrocracker",IF($H3143="REFORMING","Reformer",""))))</f>
        <v/>
      </c>
      <c r="H3143" s="6" t="s">
        <v>43</v>
      </c>
      <c r="I3143" s="6" t="s">
        <v>1054</v>
      </c>
      <c r="J3143" s="6" t="s">
        <v>345</v>
      </c>
      <c r="K3143" s="10">
        <v>0.3</v>
      </c>
      <c r="L3143" s="10">
        <v>10</v>
      </c>
      <c r="M3143" s="6" t="s">
        <v>371</v>
      </c>
    </row>
    <row r="3144" spans="1:13">
      <c r="A3144" s="6">
        <v>2024</v>
      </c>
      <c r="B3144" s="6">
        <v>2</v>
      </c>
      <c r="C3144" s="6" t="s">
        <v>60</v>
      </c>
      <c r="D3144" s="6" t="s">
        <v>730</v>
      </c>
      <c r="E3144" s="6" t="s">
        <v>731</v>
      </c>
      <c r="F3144" s="6" t="str">
        <f>IF($M3144="PADD I","PADD 1",IF($M3144="PADD II","PADD 2",IF($M3144="PADD III","PADD 3",IF($M3144="PADD IV","PADD 4",IF($M3144="PADD V","PADD 5","")))))</f>
        <v>PADD 3</v>
      </c>
      <c r="G3144" s="6">
        <f>IF(AND($H3144="ATMOS DISTILLATION",ISNUMBER(SEARCH("VPS",$I3144))=FALSE,LEFT($I3144,6)&lt;&gt;"VACUUM"),"CDU",IF($H3144="FLUID CAT CRACKING","FCC",IF(OR($H3144="HYDROCRACKING",$H3144="RESID_HYDROCRACKING"),"Hydrocracker",IF($H3144="REFORMING","Reformer",""))))</f>
        <v/>
      </c>
      <c r="H3144" s="6" t="s">
        <v>460</v>
      </c>
      <c r="I3144" s="6" t="s">
        <v>616</v>
      </c>
      <c r="J3144" s="6" t="s">
        <v>345</v>
      </c>
      <c r="K3144" s="10">
        <v>0.12</v>
      </c>
      <c r="L3144" s="10">
        <v>4</v>
      </c>
      <c r="M3144" s="6" t="s">
        <v>371</v>
      </c>
    </row>
    <row r="3145" spans="1:13">
      <c r="A3145" s="6">
        <v>2024</v>
      </c>
      <c r="B3145" s="6">
        <v>2</v>
      </c>
      <c r="C3145" s="6" t="s">
        <v>60</v>
      </c>
      <c r="D3145" s="6" t="s">
        <v>646</v>
      </c>
      <c r="E3145" s="6" t="s">
        <v>405</v>
      </c>
      <c r="F3145" s="6" t="str">
        <f>IF($M3145="PADD I","PADD 1",IF($M3145="PADD II","PADD 2",IF($M3145="PADD III","PADD 3",IF($M3145="PADD IV","PADD 4",IF($M3145="PADD V","PADD 5","")))))</f>
        <v>PADD 3</v>
      </c>
      <c r="G3145" s="6">
        <f>IF(AND($H3145="ATMOS DISTILLATION",ISNUMBER(SEARCH("VPS",$I3145))=FALSE,LEFT($I3145,6)&lt;&gt;"VACUUM"),"CDU",IF($H3145="FLUID CAT CRACKING","FCC",IF(OR($H3145="HYDROCRACKING",$H3145="RESID_HYDROCRACKING"),"Hydrocracker",IF($H3145="REFORMING","Reformer",""))))</f>
        <v/>
      </c>
      <c r="H3145" s="6" t="s">
        <v>460</v>
      </c>
      <c r="I3145" s="6" t="s">
        <v>1136</v>
      </c>
      <c r="J3145" s="6" t="s">
        <v>345</v>
      </c>
      <c r="K3145" s="10">
        <v>0</v>
      </c>
      <c r="L3145" s="10">
        <v>0</v>
      </c>
      <c r="M3145" s="6" t="s">
        <v>371</v>
      </c>
    </row>
    <row r="3146" spans="1:13">
      <c r="A3146" s="6">
        <v>2024</v>
      </c>
      <c r="B3146" s="6">
        <v>3</v>
      </c>
      <c r="C3146" s="6" t="s">
        <v>61</v>
      </c>
      <c r="D3146" s="6" t="s">
        <v>390</v>
      </c>
      <c r="E3146" s="6" t="s">
        <v>391</v>
      </c>
      <c r="F3146" s="6" t="str">
        <f>IF($M3146="PADD I","PADD 1",IF($M3146="PADD II","PADD 2",IF($M3146="PADD III","PADD 3",IF($M3146="PADD IV","PADD 4",IF($M3146="PADD V","PADD 5","")))))</f>
        <v>PADD 3</v>
      </c>
      <c r="G3146" s="6" t="str">
        <f>IF(AND($H3146="ATMOS DISTILLATION",ISNUMBER(SEARCH("VPS",$I3146))=FALSE,LEFT($I3146,6)&lt;&gt;"VACUUM"),"CDU",IF($H3146="FLUID CAT CRACKING","FCC",IF(OR($H3146="HYDROCRACKING",$H3146="RESID_HYDROCRACKING"),"Hydrocracker",IF($H3146="REFORMING","Reformer",""))))</f>
        <v>CDU</v>
      </c>
      <c r="H3146" s="6" t="s">
        <v>38</v>
      </c>
      <c r="I3146" s="6" t="s">
        <v>392</v>
      </c>
      <c r="J3146" s="6" t="s">
        <v>349</v>
      </c>
      <c r="K3146" s="10">
        <v>164.5</v>
      </c>
      <c r="L3146" s="10">
        <v>175</v>
      </c>
      <c r="M3146" s="6" t="s">
        <v>371</v>
      </c>
    </row>
    <row r="3147" spans="1:13">
      <c r="A3147" s="6">
        <v>2024</v>
      </c>
      <c r="B3147" s="6">
        <v>3</v>
      </c>
      <c r="C3147" s="6" t="s">
        <v>61</v>
      </c>
      <c r="D3147" s="6" t="s">
        <v>48</v>
      </c>
      <c r="E3147" s="6" t="s">
        <v>388</v>
      </c>
      <c r="F3147" s="6" t="str">
        <f>IF($M3147="PADD I","PADD 1",IF($M3147="PADD II","PADD 2",IF($M3147="PADD III","PADD 3",IF($M3147="PADD IV","PADD 4",IF($M3147="PADD V","PADD 5","")))))</f>
        <v>PADD 2</v>
      </c>
      <c r="G3147" s="6" t="str">
        <f>IF(AND($H3147="ATMOS DISTILLATION",ISNUMBER(SEARCH("VPS",$I3147))=FALSE,LEFT($I3147,6)&lt;&gt;"VACUUM"),"CDU",IF($H3147="FLUID CAT CRACKING","FCC",IF(OR($H3147="HYDROCRACKING",$H3147="RESID_HYDROCRACKING"),"Hydrocracker",IF($H3147="REFORMING","Reformer",""))))</f>
        <v>CDU</v>
      </c>
      <c r="H3147" s="6" t="s">
        <v>38</v>
      </c>
      <c r="I3147" s="6" t="s">
        <v>720</v>
      </c>
      <c r="J3147" s="6" t="s">
        <v>349</v>
      </c>
      <c r="K3147" s="10">
        <v>140.25</v>
      </c>
      <c r="L3147" s="10">
        <v>255</v>
      </c>
      <c r="M3147" s="6" t="s">
        <v>375</v>
      </c>
    </row>
    <row r="3148" spans="1:13">
      <c r="A3148" s="6">
        <v>2024</v>
      </c>
      <c r="B3148" s="6">
        <v>3</v>
      </c>
      <c r="C3148" s="6" t="s">
        <v>61</v>
      </c>
      <c r="D3148" s="6" t="s">
        <v>390</v>
      </c>
      <c r="E3148" s="6" t="s">
        <v>391</v>
      </c>
      <c r="F3148" s="6" t="str">
        <f>IF($M3148="PADD I","PADD 1",IF($M3148="PADD II","PADD 2",IF($M3148="PADD III","PADD 3",IF($M3148="PADD IV","PADD 4",IF($M3148="PADD V","PADD 5","")))))</f>
        <v>PADD 3</v>
      </c>
      <c r="G3148" s="6">
        <f>IF(AND($H3148="ATMOS DISTILLATION",ISNUMBER(SEARCH("VPS",$I3148))=FALSE,LEFT($I3148,6)&lt;&gt;"VACUUM"),"CDU",IF($H3148="FLUID CAT CRACKING","FCC",IF(OR($H3148="HYDROCRACKING",$H3148="RESID_HYDROCRACKING"),"Hydrocracker",IF($H3148="REFORMING","Reformer",""))))</f>
        <v/>
      </c>
      <c r="H3148" s="6" t="s">
        <v>435</v>
      </c>
      <c r="I3148" s="6" t="s">
        <v>1137</v>
      </c>
      <c r="J3148" s="6" t="s">
        <v>349</v>
      </c>
      <c r="K3148" s="10">
        <v>103.79</v>
      </c>
      <c r="L3148" s="10">
        <v>107</v>
      </c>
      <c r="M3148" s="6" t="s">
        <v>371</v>
      </c>
    </row>
    <row r="3149" spans="1:13">
      <c r="A3149" s="6">
        <v>2024</v>
      </c>
      <c r="B3149" s="6">
        <v>3</v>
      </c>
      <c r="C3149" s="6" t="s">
        <v>61</v>
      </c>
      <c r="D3149" s="6" t="s">
        <v>542</v>
      </c>
      <c r="E3149" s="6" t="s">
        <v>543</v>
      </c>
      <c r="F3149" s="6" t="str">
        <f>IF($M3149="PADD I","PADD 1",IF($M3149="PADD II","PADD 2",IF($M3149="PADD III","PADD 3",IF($M3149="PADD IV","PADD 4",IF($M3149="PADD V","PADD 5","")))))</f>
        <v>PADD 2</v>
      </c>
      <c r="G3149" s="6" t="str">
        <f>IF(AND($H3149="ATMOS DISTILLATION",ISNUMBER(SEARCH("VPS",$I3149))=FALSE,LEFT($I3149,6)&lt;&gt;"VACUUM"),"CDU",IF($H3149="FLUID CAT CRACKING","FCC",IF(OR($H3149="HYDROCRACKING",$H3149="RESID_HYDROCRACKING"),"Hydrocracker",IF($H3149="REFORMING","Reformer",""))))</f>
        <v>CDU</v>
      </c>
      <c r="H3149" s="6" t="s">
        <v>38</v>
      </c>
      <c r="I3149" s="6" t="s">
        <v>874</v>
      </c>
      <c r="J3149" s="6" t="s">
        <v>345</v>
      </c>
      <c r="K3149" s="10">
        <v>89.25</v>
      </c>
      <c r="L3149" s="10">
        <v>255</v>
      </c>
      <c r="M3149" s="6" t="s">
        <v>375</v>
      </c>
    </row>
    <row r="3150" spans="1:13">
      <c r="A3150" s="6">
        <v>2024</v>
      </c>
      <c r="B3150" s="6">
        <v>3</v>
      </c>
      <c r="C3150" s="6" t="s">
        <v>61</v>
      </c>
      <c r="D3150" s="6" t="s">
        <v>346</v>
      </c>
      <c r="E3150" s="6" t="s">
        <v>383</v>
      </c>
      <c r="F3150" s="6" t="str">
        <f>IF($M3150="PADD I","PADD 1",IF($M3150="PADD II","PADD 2",IF($M3150="PADD III","PADD 3",IF($M3150="PADD IV","PADD 4",IF($M3150="PADD V","PADD 5","")))))</f>
        <v>PADD 2</v>
      </c>
      <c r="G3150" s="6" t="str">
        <f>IF(AND($H3150="ATMOS DISTILLATION",ISNUMBER(SEARCH("VPS",$I3150))=FALSE,LEFT($I3150,6)&lt;&gt;"VACUUM"),"CDU",IF($H3150="FLUID CAT CRACKING","FCC",IF(OR($H3150="HYDROCRACKING",$H3150="RESID_HYDROCRACKING"),"Hydrocracker",IF($H3150="REFORMING","Reformer",""))))</f>
        <v>CDU</v>
      </c>
      <c r="H3150" s="6" t="s">
        <v>38</v>
      </c>
      <c r="I3150" s="6" t="s">
        <v>1058</v>
      </c>
      <c r="J3150" s="6" t="s">
        <v>349</v>
      </c>
      <c r="K3150" s="10">
        <v>87</v>
      </c>
      <c r="L3150" s="10">
        <v>87</v>
      </c>
      <c r="M3150" s="6" t="s">
        <v>375</v>
      </c>
    </row>
    <row r="3151" spans="1:13">
      <c r="A3151" s="6">
        <v>2024</v>
      </c>
      <c r="B3151" s="6">
        <v>3</v>
      </c>
      <c r="C3151" s="6" t="s">
        <v>61</v>
      </c>
      <c r="D3151" s="6" t="s">
        <v>774</v>
      </c>
      <c r="E3151" s="6" t="s">
        <v>775</v>
      </c>
      <c r="F3151" s="6" t="str">
        <f>IF($M3151="PADD I","PADD 1",IF($M3151="PADD II","PADD 2",IF($M3151="PADD III","PADD 3",IF($M3151="PADD IV","PADD 4",IF($M3151="PADD V","PADD 5","")))))</f>
        <v>PADD 1</v>
      </c>
      <c r="G3151" s="6" t="str">
        <f>IF(AND($H3151="ATMOS DISTILLATION",ISNUMBER(SEARCH("VPS",$I3151))=FALSE,LEFT($I3151,6)&lt;&gt;"VACUUM"),"CDU",IF($H3151="FLUID CAT CRACKING","FCC",IF(OR($H3151="HYDROCRACKING",$H3151="RESID_HYDROCRACKING"),"Hydrocracker",IF($H3151="REFORMING","Reformer",""))))</f>
        <v>FCC</v>
      </c>
      <c r="H3151" s="6" t="s">
        <v>376</v>
      </c>
      <c r="I3151" s="6" t="s">
        <v>105</v>
      </c>
      <c r="J3151" s="6" t="s">
        <v>349</v>
      </c>
      <c r="K3151" s="10">
        <v>80</v>
      </c>
      <c r="L3151" s="10">
        <v>80</v>
      </c>
      <c r="M3151" s="6" t="s">
        <v>413</v>
      </c>
    </row>
    <row r="3152" spans="1:13">
      <c r="A3152" s="6">
        <v>2024</v>
      </c>
      <c r="B3152" s="6">
        <v>3</v>
      </c>
      <c r="C3152" s="6" t="s">
        <v>61</v>
      </c>
      <c r="D3152" s="6" t="s">
        <v>455</v>
      </c>
      <c r="E3152" s="6" t="s">
        <v>405</v>
      </c>
      <c r="F3152" s="6" t="str">
        <f>IF($M3152="PADD I","PADD 1",IF($M3152="PADD II","PADD 2",IF($M3152="PADD III","PADD 3",IF($M3152="PADD IV","PADD 4",IF($M3152="PADD V","PADD 5","")))))</f>
        <v>PADD 3</v>
      </c>
      <c r="G3152" s="6" t="str">
        <f>IF(AND($H3152="ATMOS DISTILLATION",ISNUMBER(SEARCH("VPS",$I3152))=FALSE,LEFT($I3152,6)&lt;&gt;"VACUUM"),"CDU",IF($H3152="FLUID CAT CRACKING","FCC",IF(OR($H3152="HYDROCRACKING",$H3152="RESID_HYDROCRACKING"),"Hydrocracker",IF($H3152="REFORMING","Reformer",""))))</f>
        <v>CDU</v>
      </c>
      <c r="H3152" s="6" t="s">
        <v>38</v>
      </c>
      <c r="I3152" s="6" t="s">
        <v>330</v>
      </c>
      <c r="J3152" s="6" t="s">
        <v>345</v>
      </c>
      <c r="K3152" s="10">
        <v>77</v>
      </c>
      <c r="L3152" s="10">
        <v>220</v>
      </c>
      <c r="M3152" s="6" t="s">
        <v>371</v>
      </c>
    </row>
    <row r="3153" spans="1:13">
      <c r="A3153" s="6">
        <v>2024</v>
      </c>
      <c r="B3153" s="6">
        <v>3</v>
      </c>
      <c r="C3153" s="6" t="s">
        <v>61</v>
      </c>
      <c r="D3153" s="6" t="s">
        <v>455</v>
      </c>
      <c r="E3153" s="6" t="s">
        <v>405</v>
      </c>
      <c r="F3153" s="6" t="str">
        <f>IF($M3153="PADD I","PADD 1",IF($M3153="PADD II","PADD 2",IF($M3153="PADD III","PADD 3",IF($M3153="PADD IV","PADD 4",IF($M3153="PADD V","PADD 5","")))))</f>
        <v>PADD 3</v>
      </c>
      <c r="G3153" s="6" t="str">
        <f>IF(AND($H3153="ATMOS DISTILLATION",ISNUMBER(SEARCH("VPS",$I3153))=FALSE,LEFT($I3153,6)&lt;&gt;"VACUUM"),"CDU",IF($H3153="FLUID CAT CRACKING","FCC",IF(OR($H3153="HYDROCRACKING",$H3153="RESID_HYDROCRACKING"),"Hydrocracker",IF($H3153="REFORMING","Reformer",""))))</f>
        <v>CDU</v>
      </c>
      <c r="H3153" s="6" t="s">
        <v>38</v>
      </c>
      <c r="I3153" s="6" t="s">
        <v>330</v>
      </c>
      <c r="J3153" s="6" t="s">
        <v>349</v>
      </c>
      <c r="K3153" s="10">
        <v>75.2</v>
      </c>
      <c r="L3153" s="10">
        <v>235</v>
      </c>
      <c r="M3153" s="6" t="s">
        <v>371</v>
      </c>
    </row>
    <row r="3154" spans="1:13">
      <c r="A3154" s="6">
        <v>2024</v>
      </c>
      <c r="B3154" s="6">
        <v>3</v>
      </c>
      <c r="C3154" s="6" t="s">
        <v>61</v>
      </c>
      <c r="D3154" s="6" t="s">
        <v>465</v>
      </c>
      <c r="E3154" s="6" t="s">
        <v>369</v>
      </c>
      <c r="F3154" s="6" t="str">
        <f>IF($M3154="PADD I","PADD 1",IF($M3154="PADD II","PADD 2",IF($M3154="PADD III","PADD 3",IF($M3154="PADD IV","PADD 4",IF($M3154="PADD V","PADD 5","")))))</f>
        <v>PADD 5</v>
      </c>
      <c r="G3154" s="6">
        <f>IF(AND($H3154="ATMOS DISTILLATION",ISNUMBER(SEARCH("VPS",$I3154))=FALSE,LEFT($I3154,6)&lt;&gt;"VACUUM"),"CDU",IF($H3154="FLUID CAT CRACKING","FCC",IF(OR($H3154="HYDROCRACKING",$H3154="RESID_HYDROCRACKING"),"Hydrocracker",IF($H3154="REFORMING","Reformer",""))))</f>
        <v/>
      </c>
      <c r="H3154" s="6" t="s">
        <v>43</v>
      </c>
      <c r="I3154" s="6" t="s">
        <v>466</v>
      </c>
      <c r="J3154" s="6" t="s">
        <v>349</v>
      </c>
      <c r="K3154" s="10">
        <v>66.42</v>
      </c>
      <c r="L3154" s="10">
        <v>66.42</v>
      </c>
      <c r="M3154" s="6" t="s">
        <v>386</v>
      </c>
    </row>
    <row r="3155" spans="1:13">
      <c r="A3155" s="6">
        <v>2024</v>
      </c>
      <c r="B3155" s="6">
        <v>3</v>
      </c>
      <c r="C3155" s="6" t="s">
        <v>61</v>
      </c>
      <c r="D3155" s="6" t="s">
        <v>346</v>
      </c>
      <c r="E3155" s="6" t="s">
        <v>383</v>
      </c>
      <c r="F3155" s="6" t="str">
        <f>IF($M3155="PADD I","PADD 1",IF($M3155="PADD II","PADD 2",IF($M3155="PADD III","PADD 3",IF($M3155="PADD IV","PADD 4",IF($M3155="PADD V","PADD 5","")))))</f>
        <v>PADD 2</v>
      </c>
      <c r="G3155" s="6">
        <f>IF(AND($H3155="ATMOS DISTILLATION",ISNUMBER(SEARCH("VPS",$I3155))=FALSE,LEFT($I3155,6)&lt;&gt;"VACUUM"),"CDU",IF($H3155="FLUID CAT CRACKING","FCC",IF(OR($H3155="HYDROCRACKING",$H3155="RESID_HYDROCRACKING"),"Hydrocracker",IF($H3155="REFORMING","Reformer",""))))</f>
        <v/>
      </c>
      <c r="H3155" s="6" t="s">
        <v>43</v>
      </c>
      <c r="I3155" s="6" t="s">
        <v>394</v>
      </c>
      <c r="J3155" s="6" t="s">
        <v>349</v>
      </c>
      <c r="K3155" s="10">
        <v>65</v>
      </c>
      <c r="L3155" s="10">
        <v>65</v>
      </c>
      <c r="M3155" s="6" t="s">
        <v>375</v>
      </c>
    </row>
    <row r="3156" spans="1:13">
      <c r="A3156" s="6">
        <v>2024</v>
      </c>
      <c r="B3156" s="6">
        <v>3</v>
      </c>
      <c r="C3156" s="6" t="s">
        <v>61</v>
      </c>
      <c r="D3156" s="6" t="s">
        <v>547</v>
      </c>
      <c r="E3156" s="6" t="s">
        <v>391</v>
      </c>
      <c r="F3156" s="6" t="str">
        <f>IF($M3156="PADD I","PADD 1",IF($M3156="PADD II","PADD 2",IF($M3156="PADD III","PADD 3",IF($M3156="PADD IV","PADD 4",IF($M3156="PADD V","PADD 5","")))))</f>
        <v>PADD 5</v>
      </c>
      <c r="G3156" s="6">
        <f>IF(AND($H3156="ATMOS DISTILLATION",ISNUMBER(SEARCH("VPS",$I3156))=FALSE,LEFT($I3156,6)&lt;&gt;"VACUUM"),"CDU",IF($H3156="FLUID CAT CRACKING","FCC",IF(OR($H3156="HYDROCRACKING",$H3156="RESID_HYDROCRACKING"),"Hydrocracker",IF($H3156="REFORMING","Reformer",""))))</f>
        <v/>
      </c>
      <c r="H3156" s="6" t="s">
        <v>43</v>
      </c>
      <c r="I3156" s="6" t="s">
        <v>929</v>
      </c>
      <c r="J3156" s="6" t="s">
        <v>345</v>
      </c>
      <c r="K3156" s="10">
        <v>62.856</v>
      </c>
      <c r="L3156" s="10">
        <v>64.8</v>
      </c>
      <c r="M3156" s="6" t="s">
        <v>386</v>
      </c>
    </row>
    <row r="3157" spans="1:13">
      <c r="A3157" s="6">
        <v>2024</v>
      </c>
      <c r="B3157" s="6">
        <v>3</v>
      </c>
      <c r="C3157" s="6" t="s">
        <v>61</v>
      </c>
      <c r="D3157" s="6" t="s">
        <v>615</v>
      </c>
      <c r="E3157" s="6" t="s">
        <v>405</v>
      </c>
      <c r="F3157" s="6" t="str">
        <f>IF($M3157="PADD I","PADD 1",IF($M3157="PADD II","PADD 2",IF($M3157="PADD III","PADD 3",IF($M3157="PADD IV","PADD 4",IF($M3157="PADD V","PADD 5","")))))</f>
        <v>PADD 5</v>
      </c>
      <c r="G3157" s="6" t="str">
        <f>IF(AND($H3157="ATMOS DISTILLATION",ISNUMBER(SEARCH("VPS",$I3157))=FALSE,LEFT($I3157,6)&lt;&gt;"VACUUM"),"CDU",IF($H3157="FLUID CAT CRACKING","FCC",IF(OR($H3157="HYDROCRACKING",$H3157="RESID_HYDROCRACKING"),"Hydrocracker",IF($H3157="REFORMING","Reformer",""))))</f>
        <v>FCC</v>
      </c>
      <c r="H3157" s="6" t="s">
        <v>376</v>
      </c>
      <c r="I3157" s="6" t="s">
        <v>105</v>
      </c>
      <c r="J3157" s="6" t="s">
        <v>349</v>
      </c>
      <c r="K3157" s="10">
        <v>62.37</v>
      </c>
      <c r="L3157" s="10">
        <v>77</v>
      </c>
      <c r="M3157" s="6" t="s">
        <v>386</v>
      </c>
    </row>
    <row r="3158" spans="1:13">
      <c r="A3158" s="6">
        <v>2024</v>
      </c>
      <c r="B3158" s="6">
        <v>3</v>
      </c>
      <c r="C3158" s="6" t="s">
        <v>61</v>
      </c>
      <c r="D3158" s="6" t="s">
        <v>455</v>
      </c>
      <c r="E3158" s="6" t="s">
        <v>405</v>
      </c>
      <c r="F3158" s="6" t="str">
        <f>IF($M3158="PADD I","PADD 1",IF($M3158="PADD II","PADD 2",IF($M3158="PADD III","PADD 3",IF($M3158="PADD IV","PADD 4",IF($M3158="PADD V","PADD 5","")))))</f>
        <v>PADD 3</v>
      </c>
      <c r="G3158" s="6">
        <f>IF(AND($H3158="ATMOS DISTILLATION",ISNUMBER(SEARCH("VPS",$I3158))=FALSE,LEFT($I3158,6)&lt;&gt;"VACUUM"),"CDU",IF($H3158="FLUID CAT CRACKING","FCC",IF(OR($H3158="HYDROCRACKING",$H3158="RESID_HYDROCRACKING"),"Hydrocracker",IF($H3158="REFORMING","Reformer",""))))</f>
        <v/>
      </c>
      <c r="H3158" s="6" t="s">
        <v>378</v>
      </c>
      <c r="I3158" s="6" t="s">
        <v>964</v>
      </c>
      <c r="J3158" s="6" t="s">
        <v>349</v>
      </c>
      <c r="K3158" s="10">
        <v>57.6</v>
      </c>
      <c r="L3158" s="10">
        <v>180</v>
      </c>
      <c r="M3158" s="6" t="s">
        <v>371</v>
      </c>
    </row>
    <row r="3159" spans="1:13">
      <c r="A3159" s="6">
        <v>2024</v>
      </c>
      <c r="B3159" s="6">
        <v>3</v>
      </c>
      <c r="C3159" s="6" t="s">
        <v>61</v>
      </c>
      <c r="D3159" s="6" t="s">
        <v>455</v>
      </c>
      <c r="E3159" s="6" t="s">
        <v>405</v>
      </c>
      <c r="F3159" s="6" t="str">
        <f>IF($M3159="PADD I","PADD 1",IF($M3159="PADD II","PADD 2",IF($M3159="PADD III","PADD 3",IF($M3159="PADD IV","PADD 4",IF($M3159="PADD V","PADD 5","")))))</f>
        <v>PADD 3</v>
      </c>
      <c r="G3159" s="6">
        <f>IF(AND($H3159="ATMOS DISTILLATION",ISNUMBER(SEARCH("VPS",$I3159))=FALSE,LEFT($I3159,6)&lt;&gt;"VACUUM"),"CDU",IF($H3159="FLUID CAT CRACKING","FCC",IF(OR($H3159="HYDROCRACKING",$H3159="RESID_HYDROCRACKING"),"Hydrocracker",IF($H3159="REFORMING","Reformer",""))))</f>
        <v/>
      </c>
      <c r="H3159" s="6" t="s">
        <v>378</v>
      </c>
      <c r="I3159" s="6" t="s">
        <v>964</v>
      </c>
      <c r="J3159" s="6" t="s">
        <v>345</v>
      </c>
      <c r="K3159" s="10">
        <v>56</v>
      </c>
      <c r="L3159" s="10">
        <v>160</v>
      </c>
      <c r="M3159" s="6" t="s">
        <v>371</v>
      </c>
    </row>
    <row r="3160" spans="1:13">
      <c r="A3160" s="6">
        <v>2024</v>
      </c>
      <c r="B3160" s="6">
        <v>3</v>
      </c>
      <c r="C3160" s="6" t="s">
        <v>61</v>
      </c>
      <c r="D3160" s="6" t="s">
        <v>429</v>
      </c>
      <c r="E3160" s="6" t="s">
        <v>388</v>
      </c>
      <c r="F3160" s="6" t="str">
        <f>IF($M3160="PADD I","PADD 1",IF($M3160="PADD II","PADD 2",IF($M3160="PADD III","PADD 3",IF($M3160="PADD IV","PADD 4",IF($M3160="PADD V","PADD 5","")))))</f>
        <v>PADD 4</v>
      </c>
      <c r="G3160" s="6" t="str">
        <f>IF(AND($H3160="ATMOS DISTILLATION",ISNUMBER(SEARCH("VPS",$I3160))=FALSE,LEFT($I3160,6)&lt;&gt;"VACUUM"),"CDU",IF($H3160="FLUID CAT CRACKING","FCC",IF(OR($H3160="HYDROCRACKING",$H3160="RESID_HYDROCRACKING"),"Hydrocracker",IF($H3160="REFORMING","Reformer",""))))</f>
        <v>CDU</v>
      </c>
      <c r="H3160" s="6" t="s">
        <v>38</v>
      </c>
      <c r="I3160" s="6" t="s">
        <v>81</v>
      </c>
      <c r="J3160" s="6" t="s">
        <v>349</v>
      </c>
      <c r="K3160" s="10">
        <v>55.68</v>
      </c>
      <c r="L3160" s="10">
        <v>64</v>
      </c>
      <c r="M3160" s="6" t="s">
        <v>430</v>
      </c>
    </row>
    <row r="3161" spans="1:13">
      <c r="A3161" s="6">
        <v>2024</v>
      </c>
      <c r="B3161" s="6">
        <v>3</v>
      </c>
      <c r="C3161" s="6" t="s">
        <v>61</v>
      </c>
      <c r="D3161" s="6" t="s">
        <v>42</v>
      </c>
      <c r="E3161" s="6" t="s">
        <v>405</v>
      </c>
      <c r="F3161" s="6" t="str">
        <f>IF($M3161="PADD I","PADD 1",IF($M3161="PADD II","PADD 2",IF($M3161="PADD III","PADD 3",IF($M3161="PADD IV","PADD 4",IF($M3161="PADD V","PADD 5","")))))</f>
        <v>PADD 3</v>
      </c>
      <c r="G3161" s="6" t="str">
        <f>IF(AND($H3161="ATMOS DISTILLATION",ISNUMBER(SEARCH("VPS",$I3161))=FALSE,LEFT($I3161,6)&lt;&gt;"VACUUM"),"CDU",IF($H3161="FLUID CAT CRACKING","FCC",IF(OR($H3161="HYDROCRACKING",$H3161="RESID_HYDROCRACKING"),"Hydrocracker",IF($H3161="REFORMING","Reformer",""))))</f>
        <v>FCC</v>
      </c>
      <c r="H3161" s="6" t="s">
        <v>376</v>
      </c>
      <c r="I3161" s="6" t="s">
        <v>105</v>
      </c>
      <c r="J3161" s="6" t="s">
        <v>349</v>
      </c>
      <c r="K3161" s="10">
        <v>53.68</v>
      </c>
      <c r="L3161" s="10">
        <v>88</v>
      </c>
      <c r="M3161" s="6" t="s">
        <v>371</v>
      </c>
    </row>
    <row r="3162" spans="1:13">
      <c r="A3162" s="6">
        <v>2024</v>
      </c>
      <c r="B3162" s="6">
        <v>3</v>
      </c>
      <c r="C3162" s="6" t="s">
        <v>61</v>
      </c>
      <c r="D3162" s="6" t="s">
        <v>465</v>
      </c>
      <c r="E3162" s="6" t="s">
        <v>369</v>
      </c>
      <c r="F3162" s="6" t="str">
        <f>IF($M3162="PADD I","PADD 1",IF($M3162="PADD II","PADD 2",IF($M3162="PADD III","PADD 3",IF($M3162="PADD IV","PADD 4",IF($M3162="PADD V","PADD 5","")))))</f>
        <v>PADD 5</v>
      </c>
      <c r="G3162" s="6">
        <f>IF(AND($H3162="ATMOS DISTILLATION",ISNUMBER(SEARCH("VPS",$I3162))=FALSE,LEFT($I3162,6)&lt;&gt;"VACUUM"),"CDU",IF($H3162="FLUID CAT CRACKING","FCC",IF(OR($H3162="HYDROCRACKING",$H3162="RESID_HYDROCRACKING"),"Hydrocracker",IF($H3162="REFORMING","Reformer",""))))</f>
        <v/>
      </c>
      <c r="H3162" s="6" t="s">
        <v>43</v>
      </c>
      <c r="I3162" s="6" t="s">
        <v>1116</v>
      </c>
      <c r="J3162" s="6" t="s">
        <v>349</v>
      </c>
      <c r="K3162" s="10">
        <v>52</v>
      </c>
      <c r="L3162" s="10">
        <v>52</v>
      </c>
      <c r="M3162" s="6" t="s">
        <v>386</v>
      </c>
    </row>
    <row r="3163" spans="1:13">
      <c r="A3163" s="6">
        <v>2024</v>
      </c>
      <c r="B3163" s="6">
        <v>3</v>
      </c>
      <c r="C3163" s="6" t="s">
        <v>61</v>
      </c>
      <c r="D3163" s="6" t="s">
        <v>774</v>
      </c>
      <c r="E3163" s="6" t="s">
        <v>775</v>
      </c>
      <c r="F3163" s="6" t="str">
        <f>IF($M3163="PADD I","PADD 1",IF($M3163="PADD II","PADD 2",IF($M3163="PADD III","PADD 3",IF($M3163="PADD IV","PADD 4",IF($M3163="PADD V","PADD 5","")))))</f>
        <v>PADD 1</v>
      </c>
      <c r="G3163" s="6" t="str">
        <f>IF(AND($H3163="ATMOS DISTILLATION",ISNUMBER(SEARCH("VPS",$I3163))=FALSE,LEFT($I3163,6)&lt;&gt;"VACUUM"),"CDU",IF($H3163="FLUID CAT CRACKING","FCC",IF(OR($H3163="HYDROCRACKING",$H3163="RESID_HYDROCRACKING"),"Hydrocracker",IF($H3163="REFORMING","Reformer",""))))</f>
        <v>CDU</v>
      </c>
      <c r="H3163" s="6" t="s">
        <v>38</v>
      </c>
      <c r="I3163" s="6" t="s">
        <v>81</v>
      </c>
      <c r="J3163" s="6" t="s">
        <v>349</v>
      </c>
      <c r="K3163" s="10">
        <v>49.35</v>
      </c>
      <c r="L3163" s="10">
        <v>52.5</v>
      </c>
      <c r="M3163" s="6" t="s">
        <v>413</v>
      </c>
    </row>
    <row r="3164" spans="1:13">
      <c r="A3164" s="6">
        <v>2024</v>
      </c>
      <c r="B3164" s="6">
        <v>3</v>
      </c>
      <c r="C3164" s="6" t="s">
        <v>61</v>
      </c>
      <c r="D3164" s="6" t="s">
        <v>333</v>
      </c>
      <c r="E3164" s="6" t="s">
        <v>381</v>
      </c>
      <c r="F3164" s="6" t="str">
        <f>IF($M3164="PADD I","PADD 1",IF($M3164="PADD II","PADD 2",IF($M3164="PADD III","PADD 3",IF($M3164="PADD IV","PADD 4",IF($M3164="PADD V","PADD 5","")))))</f>
        <v>PADD 3</v>
      </c>
      <c r="G3164" s="6" t="str">
        <f>IF(AND($H3164="ATMOS DISTILLATION",ISNUMBER(SEARCH("VPS",$I3164))=FALSE,LEFT($I3164,6)&lt;&gt;"VACUUM"),"CDU",IF($H3164="FLUID CAT CRACKING","FCC",IF(OR($H3164="HYDROCRACKING",$H3164="RESID_HYDROCRACKING"),"Hydrocracker",IF($H3164="REFORMING","Reformer",""))))</f>
        <v>Reformer</v>
      </c>
      <c r="H3164" s="6" t="s">
        <v>421</v>
      </c>
      <c r="I3164" s="6" t="s">
        <v>1042</v>
      </c>
      <c r="J3164" s="6" t="s">
        <v>349</v>
      </c>
      <c r="K3164" s="10">
        <v>48.75</v>
      </c>
      <c r="L3164" s="10">
        <v>75</v>
      </c>
      <c r="M3164" s="6" t="s">
        <v>371</v>
      </c>
    </row>
    <row r="3165" spans="1:13">
      <c r="A3165" s="6">
        <v>2024</v>
      </c>
      <c r="B3165" s="6">
        <v>3</v>
      </c>
      <c r="C3165" s="6" t="s">
        <v>61</v>
      </c>
      <c r="D3165" s="6" t="s">
        <v>639</v>
      </c>
      <c r="E3165" s="6" t="s">
        <v>452</v>
      </c>
      <c r="F3165" s="6" t="str">
        <f>IF($M3165="PADD I","PADD 1",IF($M3165="PADD II","PADD 2",IF($M3165="PADD III","PADD 3",IF($M3165="PADD IV","PADD 4",IF($M3165="PADD V","PADD 5","")))))</f>
        <v>PADD 5</v>
      </c>
      <c r="G3165" s="6" t="str">
        <f>IF(AND($H3165="ATMOS DISTILLATION",ISNUMBER(SEARCH("VPS",$I3165))=FALSE,LEFT($I3165,6)&lt;&gt;"VACUUM"),"CDU",IF($H3165="FLUID CAT CRACKING","FCC",IF(OR($H3165="HYDROCRACKING",$H3165="RESID_HYDROCRACKING"),"Hydrocracker",IF($H3165="REFORMING","Reformer",""))))</f>
        <v>FCC</v>
      </c>
      <c r="H3165" s="6" t="s">
        <v>376</v>
      </c>
      <c r="I3165" s="6" t="s">
        <v>105</v>
      </c>
      <c r="J3165" s="6" t="s">
        <v>349</v>
      </c>
      <c r="K3165" s="10">
        <v>47</v>
      </c>
      <c r="L3165" s="10">
        <v>50</v>
      </c>
      <c r="M3165" s="6" t="s">
        <v>386</v>
      </c>
    </row>
    <row r="3166" spans="1:13">
      <c r="A3166" s="6">
        <v>2024</v>
      </c>
      <c r="B3166" s="6">
        <v>3</v>
      </c>
      <c r="C3166" s="6" t="s">
        <v>61</v>
      </c>
      <c r="D3166" s="6" t="s">
        <v>490</v>
      </c>
      <c r="E3166" s="6" t="s">
        <v>491</v>
      </c>
      <c r="F3166" s="6" t="str">
        <f>IF($M3166="PADD I","PADD 1",IF($M3166="PADD II","PADD 2",IF($M3166="PADD III","PADD 3",IF($M3166="PADD IV","PADD 4",IF($M3166="PADD V","PADD 5","")))))</f>
        <v>PADD 3</v>
      </c>
      <c r="G3166" s="6">
        <f>IF(AND($H3166="ATMOS DISTILLATION",ISNUMBER(SEARCH("VPS",$I3166))=FALSE,LEFT($I3166,6)&lt;&gt;"VACUUM"),"CDU",IF($H3166="FLUID CAT CRACKING","FCC",IF(OR($H3166="HYDROCRACKING",$H3166="RESID_HYDROCRACKING"),"Hydrocracker",IF($H3166="REFORMING","Reformer",""))))</f>
        <v/>
      </c>
      <c r="H3166" s="6" t="s">
        <v>38</v>
      </c>
      <c r="I3166" s="6" t="s">
        <v>492</v>
      </c>
      <c r="J3166" s="6" t="s">
        <v>349</v>
      </c>
      <c r="K3166" s="10">
        <v>46</v>
      </c>
      <c r="L3166" s="10">
        <v>200</v>
      </c>
      <c r="M3166" s="6" t="s">
        <v>371</v>
      </c>
    </row>
    <row r="3167" spans="1:13">
      <c r="A3167" s="6">
        <v>2024</v>
      </c>
      <c r="B3167" s="6">
        <v>3</v>
      </c>
      <c r="C3167" s="6" t="s">
        <v>61</v>
      </c>
      <c r="D3167" s="6" t="s">
        <v>322</v>
      </c>
      <c r="E3167" s="6" t="s">
        <v>369</v>
      </c>
      <c r="F3167" s="6" t="str">
        <f>IF($M3167="PADD I","PADD 1",IF($M3167="PADD II","PADD 2",IF($M3167="PADD III","PADD 3",IF($M3167="PADD IV","PADD 4",IF($M3167="PADD V","PADD 5","")))))</f>
        <v>PADD 2</v>
      </c>
      <c r="G3167" s="6" t="str">
        <f>IF(AND($H3167="ATMOS DISTILLATION",ISNUMBER(SEARCH("VPS",$I3167))=FALSE,LEFT($I3167,6)&lt;&gt;"VACUUM"),"CDU",IF($H3167="FLUID CAT CRACKING","FCC",IF(OR($H3167="HYDROCRACKING",$H3167="RESID_HYDROCRACKING"),"Hydrocracker",IF($H3167="REFORMING","Reformer",""))))</f>
        <v>Hydrocracker</v>
      </c>
      <c r="H3167" s="6" t="s">
        <v>444</v>
      </c>
      <c r="I3167" s="6" t="s">
        <v>1138</v>
      </c>
      <c r="J3167" s="6" t="s">
        <v>345</v>
      </c>
      <c r="K3167" s="10">
        <v>45.414</v>
      </c>
      <c r="L3167" s="10">
        <v>52.2</v>
      </c>
      <c r="M3167" s="6" t="s">
        <v>375</v>
      </c>
    </row>
    <row r="3168" spans="1:13">
      <c r="A3168" s="6">
        <v>2024</v>
      </c>
      <c r="B3168" s="6">
        <v>3</v>
      </c>
      <c r="C3168" s="6" t="s">
        <v>61</v>
      </c>
      <c r="D3168" s="6" t="s">
        <v>628</v>
      </c>
      <c r="E3168" s="6" t="s">
        <v>388</v>
      </c>
      <c r="F3168" s="6" t="str">
        <f>IF($M3168="PADD I","PADD 1",IF($M3168="PADD II","PADD 2",IF($M3168="PADD III","PADD 3",IF($M3168="PADD IV","PADD 4",IF($M3168="PADD V","PADD 5","")))))</f>
        <v>PADD 3</v>
      </c>
      <c r="G3168" s="6" t="str">
        <f>IF(AND($H3168="ATMOS DISTILLATION",ISNUMBER(SEARCH("VPS",$I3168))=FALSE,LEFT($I3168,6)&lt;&gt;"VACUUM"),"CDU",IF($H3168="FLUID CAT CRACKING","FCC",IF(OR($H3168="HYDROCRACKING",$H3168="RESID_HYDROCRACKING"),"Hydrocracker",IF($H3168="REFORMING","Reformer",""))))</f>
        <v>FCC</v>
      </c>
      <c r="H3168" s="6" t="s">
        <v>376</v>
      </c>
      <c r="I3168" s="6" t="s">
        <v>105</v>
      </c>
      <c r="J3168" s="6" t="s">
        <v>349</v>
      </c>
      <c r="K3168" s="10">
        <v>44.4</v>
      </c>
      <c r="L3168" s="10">
        <v>60</v>
      </c>
      <c r="M3168" s="6" t="s">
        <v>371</v>
      </c>
    </row>
    <row r="3169" spans="1:13">
      <c r="A3169" s="6">
        <v>2024</v>
      </c>
      <c r="B3169" s="6">
        <v>3</v>
      </c>
      <c r="C3169" s="6" t="s">
        <v>61</v>
      </c>
      <c r="D3169" s="6" t="s">
        <v>542</v>
      </c>
      <c r="E3169" s="6" t="s">
        <v>543</v>
      </c>
      <c r="F3169" s="6" t="str">
        <f>IF($M3169="PADD I","PADD 1",IF($M3169="PADD II","PADD 2",IF($M3169="PADD III","PADD 3",IF($M3169="PADD IV","PADD 4",IF($M3169="PADD V","PADD 5","")))))</f>
        <v>PADD 2</v>
      </c>
      <c r="G3169" s="6" t="str">
        <f>IF(AND($H3169="ATMOS DISTILLATION",ISNUMBER(SEARCH("VPS",$I3169))=FALSE,LEFT($I3169,6)&lt;&gt;"VACUUM"),"CDU",IF($H3169="FLUID CAT CRACKING","FCC",IF(OR($H3169="HYDROCRACKING",$H3169="RESID_HYDROCRACKING"),"Hydrocracker",IF($H3169="REFORMING","Reformer",""))))</f>
        <v>FCC</v>
      </c>
      <c r="H3169" s="6" t="s">
        <v>376</v>
      </c>
      <c r="I3169" s="6" t="s">
        <v>1110</v>
      </c>
      <c r="J3169" s="6" t="s">
        <v>345</v>
      </c>
      <c r="K3169" s="10">
        <v>42.9</v>
      </c>
      <c r="L3169" s="10">
        <v>110</v>
      </c>
      <c r="M3169" s="6" t="s">
        <v>375</v>
      </c>
    </row>
    <row r="3170" spans="1:13">
      <c r="A3170" s="6">
        <v>2024</v>
      </c>
      <c r="B3170" s="6">
        <v>3</v>
      </c>
      <c r="C3170" s="6" t="s">
        <v>61</v>
      </c>
      <c r="D3170" s="6" t="s">
        <v>346</v>
      </c>
      <c r="E3170" s="6" t="s">
        <v>383</v>
      </c>
      <c r="F3170" s="6" t="str">
        <f>IF($M3170="PADD I","PADD 1",IF($M3170="PADD II","PADD 2",IF($M3170="PADD III","PADD 3",IF($M3170="PADD IV","PADD 4",IF($M3170="PADD V","PADD 5","")))))</f>
        <v>PADD 2</v>
      </c>
      <c r="G3170" s="6">
        <f>IF(AND($H3170="ATMOS DISTILLATION",ISNUMBER(SEARCH("VPS",$I3170))=FALSE,LEFT($I3170,6)&lt;&gt;"VACUUM"),"CDU",IF($H3170="FLUID CAT CRACKING","FCC",IF(OR($H3170="HYDROCRACKING",$H3170="RESID_HYDROCRACKING"),"Hydrocracker",IF($H3170="REFORMING","Reformer",""))))</f>
        <v/>
      </c>
      <c r="H3170" s="6" t="s">
        <v>43</v>
      </c>
      <c r="I3170" s="6" t="s">
        <v>424</v>
      </c>
      <c r="J3170" s="6" t="s">
        <v>349</v>
      </c>
      <c r="K3170" s="10">
        <v>42</v>
      </c>
      <c r="L3170" s="10">
        <v>42</v>
      </c>
      <c r="M3170" s="6" t="s">
        <v>375</v>
      </c>
    </row>
    <row r="3171" spans="1:13">
      <c r="A3171" s="6">
        <v>2024</v>
      </c>
      <c r="B3171" s="6">
        <v>3</v>
      </c>
      <c r="C3171" s="6" t="s">
        <v>61</v>
      </c>
      <c r="D3171" s="6" t="s">
        <v>446</v>
      </c>
      <c r="E3171" s="6" t="s">
        <v>391</v>
      </c>
      <c r="F3171" s="6" t="str">
        <f>IF($M3171="PADD I","PADD 1",IF($M3171="PADD II","PADD 2",IF($M3171="PADD III","PADD 3",IF($M3171="PADD IV","PADD 4",IF($M3171="PADD V","PADD 5","")))))</f>
        <v>PADD 3</v>
      </c>
      <c r="G3171" s="6" t="str">
        <f>IF(AND($H3171="ATMOS DISTILLATION",ISNUMBER(SEARCH("VPS",$I3171))=FALSE,LEFT($I3171,6)&lt;&gt;"VACUUM"),"CDU",IF($H3171="FLUID CAT CRACKING","FCC",IF(OR($H3171="HYDROCRACKING",$H3171="RESID_HYDROCRACKING"),"Hydrocracker",IF($H3171="REFORMING","Reformer",""))))</f>
        <v>CDU</v>
      </c>
      <c r="H3171" s="6" t="s">
        <v>38</v>
      </c>
      <c r="I3171" s="6" t="s">
        <v>81</v>
      </c>
      <c r="J3171" s="6" t="s">
        <v>345</v>
      </c>
      <c r="K3171" s="10">
        <v>42</v>
      </c>
      <c r="L3171" s="10">
        <v>100</v>
      </c>
      <c r="M3171" s="6" t="s">
        <v>371</v>
      </c>
    </row>
    <row r="3172" spans="1:13">
      <c r="A3172" s="6">
        <v>2024</v>
      </c>
      <c r="B3172" s="6">
        <v>3</v>
      </c>
      <c r="C3172" s="6" t="s">
        <v>61</v>
      </c>
      <c r="D3172" s="6" t="s">
        <v>415</v>
      </c>
      <c r="E3172" s="6" t="s">
        <v>416</v>
      </c>
      <c r="F3172" s="6" t="str">
        <f>IF($M3172="PADD I","PADD 1",IF($M3172="PADD II","PADD 2",IF($M3172="PADD III","PADD 3",IF($M3172="PADD IV","PADD 4",IF($M3172="PADD V","PADD 5","")))))</f>
        <v>PADD 3</v>
      </c>
      <c r="G3172" s="6" t="str">
        <f>IF(AND($H3172="ATMOS DISTILLATION",ISNUMBER(SEARCH("VPS",$I3172))=FALSE,LEFT($I3172,6)&lt;&gt;"VACUUM"),"CDU",IF($H3172="FLUID CAT CRACKING","FCC",IF(OR($H3172="HYDROCRACKING",$H3172="RESID_HYDROCRACKING"),"Hydrocracker",IF($H3172="REFORMING","Reformer",""))))</f>
        <v>FCC</v>
      </c>
      <c r="H3172" s="6" t="s">
        <v>376</v>
      </c>
      <c r="I3172" s="6" t="s">
        <v>995</v>
      </c>
      <c r="J3172" s="6" t="s">
        <v>349</v>
      </c>
      <c r="K3172" s="10">
        <v>42</v>
      </c>
      <c r="L3172" s="10">
        <v>50</v>
      </c>
      <c r="M3172" s="6" t="s">
        <v>371</v>
      </c>
    </row>
    <row r="3173" spans="1:13">
      <c r="A3173" s="6">
        <v>2024</v>
      </c>
      <c r="B3173" s="6">
        <v>3</v>
      </c>
      <c r="C3173" s="6" t="s">
        <v>61</v>
      </c>
      <c r="D3173" s="6" t="s">
        <v>542</v>
      </c>
      <c r="E3173" s="6" t="s">
        <v>543</v>
      </c>
      <c r="F3173" s="6" t="str">
        <f>IF($M3173="PADD I","PADD 1",IF($M3173="PADD II","PADD 2",IF($M3173="PADD III","PADD 3",IF($M3173="PADD IV","PADD 4",IF($M3173="PADD V","PADD 5","")))))</f>
        <v>PADD 2</v>
      </c>
      <c r="G3173" s="6">
        <f>IF(AND($H3173="ATMOS DISTILLATION",ISNUMBER(SEARCH("VPS",$I3173))=FALSE,LEFT($I3173,6)&lt;&gt;"VACUUM"),"CDU",IF($H3173="FLUID CAT CRACKING","FCC",IF(OR($H3173="HYDROCRACKING",$H3173="RESID_HYDROCRACKING"),"Hydrocracker",IF($H3173="REFORMING","Reformer",""))))</f>
        <v/>
      </c>
      <c r="H3173" s="6" t="s">
        <v>43</v>
      </c>
      <c r="I3173" s="6" t="s">
        <v>551</v>
      </c>
      <c r="J3173" s="6" t="s">
        <v>345</v>
      </c>
      <c r="K3173" s="10">
        <v>42</v>
      </c>
      <c r="L3173" s="10">
        <v>100</v>
      </c>
      <c r="M3173" s="6" t="s">
        <v>375</v>
      </c>
    </row>
    <row r="3174" spans="1:13">
      <c r="A3174" s="6">
        <v>2024</v>
      </c>
      <c r="B3174" s="6">
        <v>3</v>
      </c>
      <c r="C3174" s="6" t="s">
        <v>61</v>
      </c>
      <c r="D3174" s="6" t="s">
        <v>415</v>
      </c>
      <c r="E3174" s="6" t="s">
        <v>416</v>
      </c>
      <c r="F3174" s="6" t="str">
        <f>IF($M3174="PADD I","PADD 1",IF($M3174="PADD II","PADD 2",IF($M3174="PADD III","PADD 3",IF($M3174="PADD IV","PADD 4",IF($M3174="PADD V","PADD 5","")))))</f>
        <v>PADD 3</v>
      </c>
      <c r="G3174" s="6" t="str">
        <f>IF(AND($H3174="ATMOS DISTILLATION",ISNUMBER(SEARCH("VPS",$I3174))=FALSE,LEFT($I3174,6)&lt;&gt;"VACUUM"),"CDU",IF($H3174="FLUID CAT CRACKING","FCC",IF(OR($H3174="HYDROCRACKING",$H3174="RESID_HYDROCRACKING"),"Hydrocracker",IF($H3174="REFORMING","Reformer",""))))</f>
        <v>FCC</v>
      </c>
      <c r="H3174" s="6" t="s">
        <v>376</v>
      </c>
      <c r="I3174" s="6" t="s">
        <v>1122</v>
      </c>
      <c r="J3174" s="6" t="s">
        <v>345</v>
      </c>
      <c r="K3174" s="10">
        <v>42</v>
      </c>
      <c r="L3174" s="10">
        <v>42</v>
      </c>
      <c r="M3174" s="6" t="s">
        <v>371</v>
      </c>
    </row>
    <row r="3175" spans="1:13">
      <c r="A3175" s="6">
        <v>2024</v>
      </c>
      <c r="B3175" s="6">
        <v>3</v>
      </c>
      <c r="C3175" s="6" t="s">
        <v>61</v>
      </c>
      <c r="D3175" s="6" t="s">
        <v>526</v>
      </c>
      <c r="E3175" s="6" t="s">
        <v>405</v>
      </c>
      <c r="F3175" s="6" t="str">
        <f>IF($M3175="PADD I","PADD 1",IF($M3175="PADD II","PADD 2",IF($M3175="PADD III","PADD 3",IF($M3175="PADD IV","PADD 4",IF($M3175="PADD V","PADD 5","")))))</f>
        <v>PADD 3</v>
      </c>
      <c r="G3175" s="6" t="str">
        <f>IF(AND($H3175="ATMOS DISTILLATION",ISNUMBER(SEARCH("VPS",$I3175))=FALSE,LEFT($I3175,6)&lt;&gt;"VACUUM"),"CDU",IF($H3175="FLUID CAT CRACKING","FCC",IF(OR($H3175="HYDROCRACKING",$H3175="RESID_HYDROCRACKING"),"Hydrocracker",IF($H3175="REFORMING","Reformer",""))))</f>
        <v>CDU</v>
      </c>
      <c r="H3175" s="6" t="s">
        <v>38</v>
      </c>
      <c r="I3175" s="6" t="s">
        <v>350</v>
      </c>
      <c r="J3175" s="6" t="s">
        <v>349</v>
      </c>
      <c r="K3175" s="10">
        <v>39.9</v>
      </c>
      <c r="L3175" s="10">
        <v>210</v>
      </c>
      <c r="M3175" s="6" t="s">
        <v>371</v>
      </c>
    </row>
    <row r="3176" spans="1:13">
      <c r="A3176" s="6">
        <v>2024</v>
      </c>
      <c r="B3176" s="6">
        <v>3</v>
      </c>
      <c r="C3176" s="6" t="s">
        <v>61</v>
      </c>
      <c r="D3176" s="6" t="s">
        <v>542</v>
      </c>
      <c r="E3176" s="6" t="s">
        <v>543</v>
      </c>
      <c r="F3176" s="6" t="str">
        <f>IF($M3176="PADD I","PADD 1",IF($M3176="PADD II","PADD 2",IF($M3176="PADD III","PADD 3",IF($M3176="PADD IV","PADD 4",IF($M3176="PADD V","PADD 5","")))))</f>
        <v>PADD 2</v>
      </c>
      <c r="G3176" s="6">
        <f>IF(AND($H3176="ATMOS DISTILLATION",ISNUMBER(SEARCH("VPS",$I3176))=FALSE,LEFT($I3176,6)&lt;&gt;"VACUUM"),"CDU",IF($H3176="FLUID CAT CRACKING","FCC",IF(OR($H3176="HYDROCRACKING",$H3176="RESID_HYDROCRACKING"),"Hydrocracker",IF($H3176="REFORMING","Reformer",""))))</f>
        <v/>
      </c>
      <c r="H3176" s="6" t="s">
        <v>435</v>
      </c>
      <c r="I3176" s="6" t="s">
        <v>441</v>
      </c>
      <c r="J3176" s="6" t="s">
        <v>345</v>
      </c>
      <c r="K3176" s="10">
        <v>39.78</v>
      </c>
      <c r="L3176" s="10">
        <v>102</v>
      </c>
      <c r="M3176" s="6" t="s">
        <v>375</v>
      </c>
    </row>
    <row r="3177" spans="1:13">
      <c r="A3177" s="6">
        <v>2024</v>
      </c>
      <c r="B3177" s="6">
        <v>3</v>
      </c>
      <c r="C3177" s="6" t="s">
        <v>61</v>
      </c>
      <c r="D3177" s="6" t="s">
        <v>333</v>
      </c>
      <c r="E3177" s="6" t="s">
        <v>381</v>
      </c>
      <c r="F3177" s="6" t="str">
        <f>IF($M3177="PADD I","PADD 1",IF($M3177="PADD II","PADD 2",IF($M3177="PADD III","PADD 3",IF($M3177="PADD IV","PADD 4",IF($M3177="PADD V","PADD 5","")))))</f>
        <v>PADD 3</v>
      </c>
      <c r="G3177" s="6" t="str">
        <f>IF(AND($H3177="ATMOS DISTILLATION",ISNUMBER(SEARCH("VPS",$I3177))=FALSE,LEFT($I3177,6)&lt;&gt;"VACUUM"),"CDU",IF($H3177="FLUID CAT CRACKING","FCC",IF(OR($H3177="HYDROCRACKING",$H3177="RESID_HYDROCRACKING"),"Hydrocracker",IF($H3177="REFORMING","Reformer",""))))</f>
        <v>Hydrocracker</v>
      </c>
      <c r="H3177" s="6" t="s">
        <v>444</v>
      </c>
      <c r="I3177" s="6" t="s">
        <v>14</v>
      </c>
      <c r="J3177" s="6" t="s">
        <v>345</v>
      </c>
      <c r="K3177" s="10">
        <v>39.65</v>
      </c>
      <c r="L3177" s="10">
        <v>65</v>
      </c>
      <c r="M3177" s="6" t="s">
        <v>371</v>
      </c>
    </row>
    <row r="3178" spans="1:13">
      <c r="A3178" s="6">
        <v>2024</v>
      </c>
      <c r="B3178" s="6">
        <v>3</v>
      </c>
      <c r="C3178" s="6" t="s">
        <v>61</v>
      </c>
      <c r="D3178" s="6" t="s">
        <v>542</v>
      </c>
      <c r="E3178" s="6" t="s">
        <v>543</v>
      </c>
      <c r="F3178" s="6" t="str">
        <f>IF($M3178="PADD I","PADD 1",IF($M3178="PADD II","PADD 2",IF($M3178="PADD III","PADD 3",IF($M3178="PADD IV","PADD 4",IF($M3178="PADD V","PADD 5","")))))</f>
        <v>PADD 2</v>
      </c>
      <c r="G3178" s="6">
        <f>IF(AND($H3178="ATMOS DISTILLATION",ISNUMBER(SEARCH("VPS",$I3178))=FALSE,LEFT($I3178,6)&lt;&gt;"VACUUM"),"CDU",IF($H3178="FLUID CAT CRACKING","FCC",IF(OR($H3178="HYDROCRACKING",$H3178="RESID_HYDROCRACKING"),"Hydrocracker",IF($H3178="REFORMING","Reformer",""))))</f>
        <v/>
      </c>
      <c r="H3178" s="6" t="s">
        <v>43</v>
      </c>
      <c r="I3178" s="6" t="s">
        <v>551</v>
      </c>
      <c r="J3178" s="6" t="s">
        <v>345</v>
      </c>
      <c r="K3178" s="10">
        <v>39</v>
      </c>
      <c r="L3178" s="10">
        <v>100</v>
      </c>
      <c r="M3178" s="6" t="s">
        <v>375</v>
      </c>
    </row>
    <row r="3179" spans="1:13">
      <c r="A3179" s="6">
        <v>2024</v>
      </c>
      <c r="B3179" s="6">
        <v>3</v>
      </c>
      <c r="C3179" s="6" t="s">
        <v>61</v>
      </c>
      <c r="D3179" s="6" t="s">
        <v>851</v>
      </c>
      <c r="E3179" s="6" t="s">
        <v>852</v>
      </c>
      <c r="F3179" s="6" t="str">
        <f>IF($M3179="PADD I","PADD 1",IF($M3179="PADD II","PADD 2",IF($M3179="PADD III","PADD 3",IF($M3179="PADD IV","PADD 4",IF($M3179="PADD V","PADD 5","")))))</f>
        <v>PADD 3</v>
      </c>
      <c r="G3179" s="6" t="str">
        <f>IF(AND($H3179="ATMOS DISTILLATION",ISNUMBER(SEARCH("VPS",$I3179))=FALSE,LEFT($I3179,6)&lt;&gt;"VACUUM"),"CDU",IF($H3179="FLUID CAT CRACKING","FCC",IF(OR($H3179="HYDROCRACKING",$H3179="RESID_HYDROCRACKING"),"Hydrocracker",IF($H3179="REFORMING","Reformer",""))))</f>
        <v>CDU</v>
      </c>
      <c r="H3179" s="6" t="s">
        <v>38</v>
      </c>
      <c r="I3179" s="6" t="s">
        <v>854</v>
      </c>
      <c r="J3179" s="6" t="s">
        <v>345</v>
      </c>
      <c r="K3179" s="10">
        <v>37.96</v>
      </c>
      <c r="L3179" s="10">
        <v>73</v>
      </c>
      <c r="M3179" s="6" t="s">
        <v>371</v>
      </c>
    </row>
    <row r="3180" spans="1:13">
      <c r="A3180" s="6">
        <v>2024</v>
      </c>
      <c r="B3180" s="6">
        <v>3</v>
      </c>
      <c r="C3180" s="6" t="s">
        <v>61</v>
      </c>
      <c r="D3180" s="6" t="s">
        <v>628</v>
      </c>
      <c r="E3180" s="6" t="s">
        <v>388</v>
      </c>
      <c r="F3180" s="6" t="str">
        <f>IF($M3180="PADD I","PADD 1",IF($M3180="PADD II","PADD 2",IF($M3180="PADD III","PADD 3",IF($M3180="PADD IV","PADD 4",IF($M3180="PADD V","PADD 5","")))))</f>
        <v>PADD 3</v>
      </c>
      <c r="G3180" s="6" t="str">
        <f>IF(AND($H3180="ATMOS DISTILLATION",ISNUMBER(SEARCH("VPS",$I3180))=FALSE,LEFT($I3180,6)&lt;&gt;"VACUUM"),"CDU",IF($H3180="FLUID CAT CRACKING","FCC",IF(OR($H3180="HYDROCRACKING",$H3180="RESID_HYDROCRACKING"),"Hydrocracker",IF($H3180="REFORMING","Reformer",""))))</f>
        <v>CDU</v>
      </c>
      <c r="H3180" s="6" t="s">
        <v>38</v>
      </c>
      <c r="I3180" s="6" t="s">
        <v>1048</v>
      </c>
      <c r="J3180" s="6" t="s">
        <v>349</v>
      </c>
      <c r="K3180" s="10">
        <v>37</v>
      </c>
      <c r="L3180" s="10">
        <v>50</v>
      </c>
      <c r="M3180" s="6" t="s">
        <v>371</v>
      </c>
    </row>
    <row r="3181" spans="1:13">
      <c r="A3181" s="6">
        <v>2024</v>
      </c>
      <c r="B3181" s="6">
        <v>3</v>
      </c>
      <c r="C3181" s="6" t="s">
        <v>61</v>
      </c>
      <c r="D3181" s="6" t="s">
        <v>333</v>
      </c>
      <c r="E3181" s="6" t="s">
        <v>381</v>
      </c>
      <c r="F3181" s="6" t="str">
        <f>IF($M3181="PADD I","PADD 1",IF($M3181="PADD II","PADD 2",IF($M3181="PADD III","PADD 3",IF($M3181="PADD IV","PADD 4",IF($M3181="PADD V","PADD 5","")))))</f>
        <v>PADD 3</v>
      </c>
      <c r="G3181" s="6" t="str">
        <f>IF(AND($H3181="ATMOS DISTILLATION",ISNUMBER(SEARCH("VPS",$I3181))=FALSE,LEFT($I3181,6)&lt;&gt;"VACUUM"),"CDU",IF($H3181="FLUID CAT CRACKING","FCC",IF(OR($H3181="HYDROCRACKING",$H3181="RESID_HYDROCRACKING"),"Hydrocracker",IF($H3181="REFORMING","Reformer",""))))</f>
        <v>Reformer</v>
      </c>
      <c r="H3181" s="6" t="s">
        <v>421</v>
      </c>
      <c r="I3181" s="6" t="s">
        <v>1118</v>
      </c>
      <c r="J3181" s="6" t="s">
        <v>345</v>
      </c>
      <c r="K3181" s="10">
        <v>36</v>
      </c>
      <c r="L3181" s="10">
        <v>75</v>
      </c>
      <c r="M3181" s="6" t="s">
        <v>371</v>
      </c>
    </row>
    <row r="3182" spans="1:13">
      <c r="A3182" s="6">
        <v>2024</v>
      </c>
      <c r="B3182" s="6">
        <v>3</v>
      </c>
      <c r="C3182" s="6" t="s">
        <v>61</v>
      </c>
      <c r="D3182" s="6" t="s">
        <v>48</v>
      </c>
      <c r="E3182" s="6" t="s">
        <v>388</v>
      </c>
      <c r="F3182" s="6" t="str">
        <f>IF($M3182="PADD I","PADD 1",IF($M3182="PADD II","PADD 2",IF($M3182="PADD III","PADD 3",IF($M3182="PADD IV","PADD 4",IF($M3182="PADD V","PADD 5","")))))</f>
        <v>PADD 2</v>
      </c>
      <c r="G3182" s="6">
        <f>IF(AND($H3182="ATMOS DISTILLATION",ISNUMBER(SEARCH("VPS",$I3182))=FALSE,LEFT($I3182,6)&lt;&gt;"VACUUM"),"CDU",IF($H3182="FLUID CAT CRACKING","FCC",IF(OR($H3182="HYDROCRACKING",$H3182="RESID_HYDROCRACKING"),"Hydrocracker",IF($H3182="REFORMING","Reformer",""))))</f>
        <v/>
      </c>
      <c r="H3182" s="6" t="s">
        <v>378</v>
      </c>
      <c r="I3182" s="6" t="s">
        <v>431</v>
      </c>
      <c r="J3182" s="6" t="s">
        <v>349</v>
      </c>
      <c r="K3182" s="10">
        <v>35.75</v>
      </c>
      <c r="L3182" s="10">
        <v>65</v>
      </c>
      <c r="M3182" s="6" t="s">
        <v>375</v>
      </c>
    </row>
    <row r="3183" spans="1:13">
      <c r="A3183" s="6">
        <v>2024</v>
      </c>
      <c r="B3183" s="6">
        <v>3</v>
      </c>
      <c r="C3183" s="6" t="s">
        <v>61</v>
      </c>
      <c r="D3183" s="6" t="s">
        <v>457</v>
      </c>
      <c r="E3183" s="6" t="s">
        <v>388</v>
      </c>
      <c r="F3183" s="6" t="str">
        <f>IF($M3183="PADD I","PADD 1",IF($M3183="PADD II","PADD 2",IF($M3183="PADD III","PADD 3",IF($M3183="PADD IV","PADD 4",IF($M3183="PADD V","PADD 5","")))))</f>
        <v>PADD 5</v>
      </c>
      <c r="G3183" s="6" t="str">
        <f>IF(AND($H3183="ATMOS DISTILLATION",ISNUMBER(SEARCH("VPS",$I3183))=FALSE,LEFT($I3183,6)&lt;&gt;"VACUUM"),"CDU",IF($H3183="FLUID CAT CRACKING","FCC",IF(OR($H3183="HYDROCRACKING",$H3183="RESID_HYDROCRACKING"),"Hydrocracker",IF($H3183="REFORMING","Reformer",""))))</f>
        <v>FCC</v>
      </c>
      <c r="H3183" s="6" t="s">
        <v>376</v>
      </c>
      <c r="I3183" s="6" t="s">
        <v>105</v>
      </c>
      <c r="J3183" s="6" t="s">
        <v>345</v>
      </c>
      <c r="K3183" s="10">
        <v>35.75</v>
      </c>
      <c r="L3183" s="10">
        <v>55</v>
      </c>
      <c r="M3183" s="6" t="s">
        <v>386</v>
      </c>
    </row>
    <row r="3184" spans="1:13">
      <c r="A3184" s="6">
        <v>2024</v>
      </c>
      <c r="B3184" s="6">
        <v>3</v>
      </c>
      <c r="C3184" s="6" t="s">
        <v>61</v>
      </c>
      <c r="D3184" s="6" t="s">
        <v>446</v>
      </c>
      <c r="E3184" s="6" t="s">
        <v>391</v>
      </c>
      <c r="F3184" s="6" t="str">
        <f>IF($M3184="PADD I","PADD 1",IF($M3184="PADD II","PADD 2",IF($M3184="PADD III","PADD 3",IF($M3184="PADD IV","PADD 4",IF($M3184="PADD V","PADD 5","")))))</f>
        <v>PADD 3</v>
      </c>
      <c r="G3184" s="6">
        <f>IF(AND($H3184="ATMOS DISTILLATION",ISNUMBER(SEARCH("VPS",$I3184))=FALSE,LEFT($I3184,6)&lt;&gt;"VACUUM"),"CDU",IF($H3184="FLUID CAT CRACKING","FCC",IF(OR($H3184="HYDROCRACKING",$H3184="RESID_HYDROCRACKING"),"Hydrocracker",IF($H3184="REFORMING","Reformer",""))))</f>
        <v/>
      </c>
      <c r="H3184" s="6" t="s">
        <v>43</v>
      </c>
      <c r="I3184" s="6" t="s">
        <v>447</v>
      </c>
      <c r="J3184" s="6" t="s">
        <v>349</v>
      </c>
      <c r="K3184" s="10">
        <v>35</v>
      </c>
      <c r="L3184" s="10">
        <v>35</v>
      </c>
      <c r="M3184" s="6" t="s">
        <v>371</v>
      </c>
    </row>
    <row r="3185" spans="1:13">
      <c r="A3185" s="6">
        <v>2024</v>
      </c>
      <c r="B3185" s="6">
        <v>3</v>
      </c>
      <c r="C3185" s="6" t="s">
        <v>61</v>
      </c>
      <c r="D3185" s="6" t="s">
        <v>448</v>
      </c>
      <c r="E3185" s="6" t="s">
        <v>391</v>
      </c>
      <c r="F3185" s="6" t="str">
        <f>IF($M3185="PADD I","PADD 1",IF($M3185="PADD II","PADD 2",IF($M3185="PADD III","PADD 3",IF($M3185="PADD IV","PADD 4",IF($M3185="PADD V","PADD 5","")))))</f>
        <v>PADD 3</v>
      </c>
      <c r="G3185" s="6">
        <f>IF(AND($H3185="ATMOS DISTILLATION",ISNUMBER(SEARCH("VPS",$I3185))=FALSE,LEFT($I3185,6)&lt;&gt;"VACUUM"),"CDU",IF($H3185="FLUID CAT CRACKING","FCC",IF(OR($H3185="HYDROCRACKING",$H3185="RESID_HYDROCRACKING"),"Hydrocracker",IF($H3185="REFORMING","Reformer",""))))</f>
        <v/>
      </c>
      <c r="H3185" s="6" t="s">
        <v>43</v>
      </c>
      <c r="I3185" s="6" t="s">
        <v>449</v>
      </c>
      <c r="J3185" s="6" t="s">
        <v>345</v>
      </c>
      <c r="K3185" s="10">
        <v>35</v>
      </c>
      <c r="L3185" s="10">
        <v>35</v>
      </c>
      <c r="M3185" s="6" t="s">
        <v>371</v>
      </c>
    </row>
    <row r="3186" spans="1:13">
      <c r="A3186" s="6">
        <v>2024</v>
      </c>
      <c r="B3186" s="6">
        <v>3</v>
      </c>
      <c r="C3186" s="6" t="s">
        <v>61</v>
      </c>
      <c r="D3186" s="6" t="s">
        <v>1139</v>
      </c>
      <c r="E3186" s="6" t="s">
        <v>452</v>
      </c>
      <c r="F3186" s="6" t="str">
        <f>IF($M3186="PADD I","PADD 1",IF($M3186="PADD II","PADD 2",IF($M3186="PADD III","PADD 3",IF($M3186="PADD IV","PADD 4",IF($M3186="PADD V","PADD 5","")))))</f>
        <v>PADD 5</v>
      </c>
      <c r="G3186" s="6">
        <f>IF(AND($H3186="ATMOS DISTILLATION",ISNUMBER(SEARCH("VPS",$I3186))=FALSE,LEFT($I3186,6)&lt;&gt;"VACUUM"),"CDU",IF($H3186="FLUID CAT CRACKING","FCC",IF(OR($H3186="HYDROCRACKING",$H3186="RESID_HYDROCRACKING"),"Hydrocracker",IF($H3186="REFORMING","Reformer",""))))</f>
        <v/>
      </c>
      <c r="H3186" s="6" t="s">
        <v>43</v>
      </c>
      <c r="I3186" s="6" t="s">
        <v>464</v>
      </c>
      <c r="J3186" s="6" t="s">
        <v>345</v>
      </c>
      <c r="K3186" s="10">
        <v>34.92</v>
      </c>
      <c r="L3186" s="10">
        <v>36</v>
      </c>
      <c r="M3186" s="6" t="s">
        <v>386</v>
      </c>
    </row>
    <row r="3187" spans="1:13">
      <c r="A3187" s="6">
        <v>2024</v>
      </c>
      <c r="B3187" s="6">
        <v>3</v>
      </c>
      <c r="C3187" s="6" t="s">
        <v>61</v>
      </c>
      <c r="D3187" s="6" t="s">
        <v>437</v>
      </c>
      <c r="E3187" s="6" t="s">
        <v>438</v>
      </c>
      <c r="F3187" s="6" t="str">
        <f>IF($M3187="PADD I","PADD 1",IF($M3187="PADD II","PADD 2",IF($M3187="PADD III","PADD 3",IF($M3187="PADD IV","PADD 4",IF($M3187="PADD V","PADD 5","")))))</f>
        <v>PADD 4</v>
      </c>
      <c r="G3187" s="6" t="str">
        <f>IF(AND($H3187="ATMOS DISTILLATION",ISNUMBER(SEARCH("VPS",$I3187))=FALSE,LEFT($I3187,6)&lt;&gt;"VACUUM"),"CDU",IF($H3187="FLUID CAT CRACKING","FCC",IF(OR($H3187="HYDROCRACKING",$H3187="RESID_HYDROCRACKING"),"Hydrocracker",IF($H3187="REFORMING","Reformer",""))))</f>
        <v>CDU</v>
      </c>
      <c r="H3187" s="6" t="s">
        <v>38</v>
      </c>
      <c r="I3187" s="6" t="s">
        <v>439</v>
      </c>
      <c r="J3187" s="6" t="s">
        <v>349</v>
      </c>
      <c r="K3187" s="10">
        <v>34.2</v>
      </c>
      <c r="L3187" s="10">
        <v>38</v>
      </c>
      <c r="M3187" s="6" t="s">
        <v>430</v>
      </c>
    </row>
    <row r="3188" spans="1:13">
      <c r="A3188" s="6">
        <v>2024</v>
      </c>
      <c r="B3188" s="6">
        <v>3</v>
      </c>
      <c r="C3188" s="6" t="s">
        <v>61</v>
      </c>
      <c r="D3188" s="6" t="s">
        <v>322</v>
      </c>
      <c r="E3188" s="6" t="s">
        <v>369</v>
      </c>
      <c r="F3188" s="6" t="str">
        <f>IF($M3188="PADD I","PADD 1",IF($M3188="PADD II","PADD 2",IF($M3188="PADD III","PADD 3",IF($M3188="PADD IV","PADD 4",IF($M3188="PADD V","PADD 5","")))))</f>
        <v>PADD 2</v>
      </c>
      <c r="G3188" s="6" t="str">
        <f>IF(AND($H3188="ATMOS DISTILLATION",ISNUMBER(SEARCH("VPS",$I3188))=FALSE,LEFT($I3188,6)&lt;&gt;"VACUUM"),"CDU",IF($H3188="FLUID CAT CRACKING","FCC",IF(OR($H3188="HYDROCRACKING",$H3188="RESID_HYDROCRACKING"),"Hydrocracker",IF($H3188="REFORMING","Reformer",""))))</f>
        <v>Hydrocracker</v>
      </c>
      <c r="H3188" s="6" t="s">
        <v>444</v>
      </c>
      <c r="I3188" s="6" t="s">
        <v>1138</v>
      </c>
      <c r="J3188" s="6" t="s">
        <v>345</v>
      </c>
      <c r="K3188" s="10">
        <v>34.2</v>
      </c>
      <c r="L3188" s="10">
        <v>38</v>
      </c>
      <c r="M3188" s="6" t="s">
        <v>375</v>
      </c>
    </row>
    <row r="3189" spans="1:13">
      <c r="A3189" s="6">
        <v>2024</v>
      </c>
      <c r="B3189" s="6">
        <v>3</v>
      </c>
      <c r="C3189" s="6" t="s">
        <v>61</v>
      </c>
      <c r="D3189" s="6" t="s">
        <v>415</v>
      </c>
      <c r="E3189" s="6" t="s">
        <v>416</v>
      </c>
      <c r="F3189" s="6" t="str">
        <f>IF($M3189="PADD I","PADD 1",IF($M3189="PADD II","PADD 2",IF($M3189="PADD III","PADD 3",IF($M3189="PADD IV","PADD 4",IF($M3189="PADD V","PADD 5","")))))</f>
        <v>PADD 3</v>
      </c>
      <c r="G3189" s="6">
        <f>IF(AND($H3189="ATMOS DISTILLATION",ISNUMBER(SEARCH("VPS",$I3189))=FALSE,LEFT($I3189,6)&lt;&gt;"VACUUM"),"CDU",IF($H3189="FLUID CAT CRACKING","FCC",IF(OR($H3189="HYDROCRACKING",$H3189="RESID_HYDROCRACKING"),"Hydrocracker",IF($H3189="REFORMING","Reformer",""))))</f>
        <v/>
      </c>
      <c r="H3189" s="6" t="s">
        <v>435</v>
      </c>
      <c r="I3189" s="6" t="s">
        <v>453</v>
      </c>
      <c r="J3189" s="6" t="s">
        <v>345</v>
      </c>
      <c r="K3189" s="10">
        <v>34</v>
      </c>
      <c r="L3189" s="10">
        <v>34</v>
      </c>
      <c r="M3189" s="6" t="s">
        <v>371</v>
      </c>
    </row>
    <row r="3190" spans="1:13">
      <c r="A3190" s="6">
        <v>2024</v>
      </c>
      <c r="B3190" s="6">
        <v>3</v>
      </c>
      <c r="C3190" s="6" t="s">
        <v>61</v>
      </c>
      <c r="D3190" s="6" t="s">
        <v>415</v>
      </c>
      <c r="E3190" s="6" t="s">
        <v>416</v>
      </c>
      <c r="F3190" s="6" t="str">
        <f>IF($M3190="PADD I","PADD 1",IF($M3190="PADD II","PADD 2",IF($M3190="PADD III","PADD 3",IF($M3190="PADD IV","PADD 4",IF($M3190="PADD V","PADD 5","")))))</f>
        <v>PADD 3</v>
      </c>
      <c r="G3190" s="6">
        <f>IF(AND($H3190="ATMOS DISTILLATION",ISNUMBER(SEARCH("VPS",$I3190))=FALSE,LEFT($I3190,6)&lt;&gt;"VACUUM"),"CDU",IF($H3190="FLUID CAT CRACKING","FCC",IF(OR($H3190="HYDROCRACKING",$H3190="RESID_HYDROCRACKING"),"Hydrocracker",IF($H3190="REFORMING","Reformer",""))))</f>
        <v/>
      </c>
      <c r="H3190" s="6" t="s">
        <v>435</v>
      </c>
      <c r="I3190" s="6" t="s">
        <v>453</v>
      </c>
      <c r="J3190" s="6" t="s">
        <v>345</v>
      </c>
      <c r="K3190" s="10">
        <v>34</v>
      </c>
      <c r="L3190" s="10">
        <v>34</v>
      </c>
      <c r="M3190" s="6" t="s">
        <v>371</v>
      </c>
    </row>
    <row r="3191" spans="1:13">
      <c r="A3191" s="6">
        <v>2024</v>
      </c>
      <c r="B3191" s="6">
        <v>3</v>
      </c>
      <c r="C3191" s="6" t="s">
        <v>61</v>
      </c>
      <c r="D3191" s="6" t="s">
        <v>542</v>
      </c>
      <c r="E3191" s="6" t="s">
        <v>543</v>
      </c>
      <c r="F3191" s="6" t="str">
        <f>IF($M3191="PADD I","PADD 1",IF($M3191="PADD II","PADD 2",IF($M3191="PADD III","PADD 3",IF($M3191="PADD IV","PADD 4",IF($M3191="PADD V","PADD 5","")))))</f>
        <v>PADD 2</v>
      </c>
      <c r="G3191" s="6">
        <f>IF(AND($H3191="ATMOS DISTILLATION",ISNUMBER(SEARCH("VPS",$I3191))=FALSE,LEFT($I3191,6)&lt;&gt;"VACUUM"),"CDU",IF($H3191="FLUID CAT CRACKING","FCC",IF(OR($H3191="HYDROCRACKING",$H3191="RESID_HYDROCRACKING"),"Hydrocracker",IF($H3191="REFORMING","Reformer",""))))</f>
        <v/>
      </c>
      <c r="H3191" s="6" t="s">
        <v>43</v>
      </c>
      <c r="I3191" s="6" t="s">
        <v>1111</v>
      </c>
      <c r="J3191" s="6" t="s">
        <v>345</v>
      </c>
      <c r="K3191" s="10">
        <v>33.15</v>
      </c>
      <c r="L3191" s="10">
        <v>85</v>
      </c>
      <c r="M3191" s="6" t="s">
        <v>375</v>
      </c>
    </row>
    <row r="3192" spans="1:13">
      <c r="A3192" s="6">
        <v>2024</v>
      </c>
      <c r="B3192" s="6">
        <v>3</v>
      </c>
      <c r="C3192" s="6" t="s">
        <v>61</v>
      </c>
      <c r="D3192" s="6" t="s">
        <v>526</v>
      </c>
      <c r="E3192" s="6" t="s">
        <v>405</v>
      </c>
      <c r="F3192" s="6" t="str">
        <f>IF($M3192="PADD I","PADD 1",IF($M3192="PADD II","PADD 2",IF($M3192="PADD III","PADD 3",IF($M3192="PADD IV","PADD 4",IF($M3192="PADD V","PADD 5","")))))</f>
        <v>PADD 3</v>
      </c>
      <c r="G3192" s="6">
        <f>IF(AND($H3192="ATMOS DISTILLATION",ISNUMBER(SEARCH("VPS",$I3192))=FALSE,LEFT($I3192,6)&lt;&gt;"VACUUM"),"CDU",IF($H3192="FLUID CAT CRACKING","FCC",IF(OR($H3192="HYDROCRACKING",$H3192="RESID_HYDROCRACKING"),"Hydrocracker",IF($H3192="REFORMING","Reformer",""))))</f>
        <v/>
      </c>
      <c r="H3192" s="6" t="s">
        <v>378</v>
      </c>
      <c r="I3192" s="6" t="s">
        <v>649</v>
      </c>
      <c r="J3192" s="6" t="s">
        <v>349</v>
      </c>
      <c r="K3192" s="10">
        <v>32.68</v>
      </c>
      <c r="L3192" s="10">
        <v>172</v>
      </c>
      <c r="M3192" s="6" t="s">
        <v>371</v>
      </c>
    </row>
    <row r="3193" spans="1:13">
      <c r="A3193" s="6">
        <v>2024</v>
      </c>
      <c r="B3193" s="6">
        <v>3</v>
      </c>
      <c r="C3193" s="6" t="s">
        <v>61</v>
      </c>
      <c r="D3193" s="6" t="s">
        <v>1119</v>
      </c>
      <c r="E3193" s="6" t="s">
        <v>1120</v>
      </c>
      <c r="F3193" s="6" t="str">
        <f>IF($M3193="PADD I","PADD 1",IF($M3193="PADD II","PADD 2",IF($M3193="PADD III","PADD 3",IF($M3193="PADD IV","PADD 4",IF($M3193="PADD V","PADD 5","")))))</f>
        <v>PADD 3</v>
      </c>
      <c r="G3193" s="6" t="str">
        <f>IF(AND($H3193="ATMOS DISTILLATION",ISNUMBER(SEARCH("VPS",$I3193))=FALSE,LEFT($I3193,6)&lt;&gt;"VACUUM"),"CDU",IF($H3193="FLUID CAT CRACKING","FCC",IF(OR($H3193="HYDROCRACKING",$H3193="RESID_HYDROCRACKING"),"Hydrocracker",IF($H3193="REFORMING","Reformer",""))))</f>
        <v>CDU</v>
      </c>
      <c r="H3193" s="6" t="s">
        <v>38</v>
      </c>
      <c r="I3193" s="6" t="s">
        <v>1121</v>
      </c>
      <c r="J3193" s="6" t="s">
        <v>349</v>
      </c>
      <c r="K3193" s="10">
        <v>32.5</v>
      </c>
      <c r="L3193" s="10">
        <v>50</v>
      </c>
      <c r="M3193" s="6" t="s">
        <v>371</v>
      </c>
    </row>
    <row r="3194" spans="1:13">
      <c r="A3194" s="6">
        <v>2024</v>
      </c>
      <c r="B3194" s="6">
        <v>3</v>
      </c>
      <c r="C3194" s="6" t="s">
        <v>61</v>
      </c>
      <c r="D3194" s="6" t="s">
        <v>346</v>
      </c>
      <c r="E3194" s="6" t="s">
        <v>383</v>
      </c>
      <c r="F3194" s="6" t="str">
        <f>IF($M3194="PADD I","PADD 1",IF($M3194="PADD II","PADD 2",IF($M3194="PADD III","PADD 3",IF($M3194="PADD IV","PADD 4",IF($M3194="PADD V","PADD 5","")))))</f>
        <v>PADD 2</v>
      </c>
      <c r="G3194" s="6" t="str">
        <f>IF(AND($H3194="ATMOS DISTILLATION",ISNUMBER(SEARCH("VPS",$I3194))=FALSE,LEFT($I3194,6)&lt;&gt;"VACUUM"),"CDU",IF($H3194="FLUID CAT CRACKING","FCC",IF(OR($H3194="HYDROCRACKING",$H3194="RESID_HYDROCRACKING"),"Hydrocracker",IF($H3194="REFORMING","Reformer",""))))</f>
        <v>Hydrocracker</v>
      </c>
      <c r="H3194" s="6" t="s">
        <v>444</v>
      </c>
      <c r="I3194" s="6" t="s">
        <v>463</v>
      </c>
      <c r="J3194" s="6" t="s">
        <v>349</v>
      </c>
      <c r="K3194" s="10">
        <v>32</v>
      </c>
      <c r="L3194" s="10">
        <v>32</v>
      </c>
      <c r="M3194" s="6" t="s">
        <v>375</v>
      </c>
    </row>
    <row r="3195" spans="1:13">
      <c r="A3195" s="6">
        <v>2024</v>
      </c>
      <c r="B3195" s="6">
        <v>3</v>
      </c>
      <c r="C3195" s="6" t="s">
        <v>61</v>
      </c>
      <c r="D3195" s="6" t="s">
        <v>455</v>
      </c>
      <c r="E3195" s="6" t="s">
        <v>405</v>
      </c>
      <c r="F3195" s="6" t="str">
        <f>IF($M3195="PADD I","PADD 1",IF($M3195="PADD II","PADD 2",IF($M3195="PADD III","PADD 3",IF($M3195="PADD IV","PADD 4",IF($M3195="PADD V","PADD 5","")))))</f>
        <v>PADD 3</v>
      </c>
      <c r="G3195" s="6">
        <f>IF(AND($H3195="ATMOS DISTILLATION",ISNUMBER(SEARCH("VPS",$I3195))=FALSE,LEFT($I3195,6)&lt;&gt;"VACUUM"),"CDU",IF($H3195="FLUID CAT CRACKING","FCC",IF(OR($H3195="HYDROCRACKING",$H3195="RESID_HYDROCRACKING"),"Hydrocracker",IF($H3195="REFORMING","Reformer",""))))</f>
        <v/>
      </c>
      <c r="H3195" s="6" t="s">
        <v>435</v>
      </c>
      <c r="I3195" s="6" t="s">
        <v>441</v>
      </c>
      <c r="J3195" s="6" t="s">
        <v>345</v>
      </c>
      <c r="K3195" s="10">
        <v>31.2</v>
      </c>
      <c r="L3195" s="10">
        <v>80</v>
      </c>
      <c r="M3195" s="6" t="s">
        <v>371</v>
      </c>
    </row>
    <row r="3196" spans="1:13">
      <c r="A3196" s="6">
        <v>2024</v>
      </c>
      <c r="B3196" s="6">
        <v>3</v>
      </c>
      <c r="C3196" s="6" t="s">
        <v>61</v>
      </c>
      <c r="D3196" s="6" t="s">
        <v>346</v>
      </c>
      <c r="E3196" s="6" t="s">
        <v>383</v>
      </c>
      <c r="F3196" s="6" t="str">
        <f>IF($M3196="PADD I","PADD 1",IF($M3196="PADD II","PADD 2",IF($M3196="PADD III","PADD 3",IF($M3196="PADD IV","PADD 4",IF($M3196="PADD V","PADD 5","")))))</f>
        <v>PADD 2</v>
      </c>
      <c r="G3196" s="6" t="str">
        <f>IF(AND($H3196="ATMOS DISTILLATION",ISNUMBER(SEARCH("VPS",$I3196))=FALSE,LEFT($I3196,6)&lt;&gt;"VACUUM"),"CDU",IF($H3196="FLUID CAT CRACKING","FCC",IF(OR($H3196="HYDROCRACKING",$H3196="RESID_HYDROCRACKING"),"Hydrocracker",IF($H3196="REFORMING","Reformer",""))))</f>
        <v>Reformer</v>
      </c>
      <c r="H3196" s="6" t="s">
        <v>421</v>
      </c>
      <c r="I3196" s="6" t="s">
        <v>471</v>
      </c>
      <c r="J3196" s="6" t="s">
        <v>349</v>
      </c>
      <c r="K3196" s="10">
        <v>30</v>
      </c>
      <c r="L3196" s="10">
        <v>30</v>
      </c>
      <c r="M3196" s="6" t="s">
        <v>375</v>
      </c>
    </row>
    <row r="3197" spans="1:13">
      <c r="A3197" s="6">
        <v>2024</v>
      </c>
      <c r="B3197" s="6">
        <v>3</v>
      </c>
      <c r="C3197" s="6" t="s">
        <v>61</v>
      </c>
      <c r="D3197" s="6" t="s">
        <v>762</v>
      </c>
      <c r="E3197" s="6" t="s">
        <v>763</v>
      </c>
      <c r="F3197" s="6" t="str">
        <f>IF($M3197="PADD I","PADD 1",IF($M3197="PADD II","PADD 2",IF($M3197="PADD III","PADD 3",IF($M3197="PADD IV","PADD 4",IF($M3197="PADD V","PADD 5","")))))</f>
        <v>PADD 2</v>
      </c>
      <c r="G3197" s="6" t="str">
        <f>IF(AND($H3197="ATMOS DISTILLATION",ISNUMBER(SEARCH("VPS",$I3197))=FALSE,LEFT($I3197,6)&lt;&gt;"VACUUM"),"CDU",IF($H3197="FLUID CAT CRACKING","FCC",IF(OR($H3197="HYDROCRACKING",$H3197="RESID_HYDROCRACKING"),"Hydrocracker",IF($H3197="REFORMING","Reformer",""))))</f>
        <v>CDU</v>
      </c>
      <c r="H3197" s="6" t="s">
        <v>38</v>
      </c>
      <c r="I3197" s="6" t="s">
        <v>330</v>
      </c>
      <c r="J3197" s="6" t="s">
        <v>349</v>
      </c>
      <c r="K3197" s="10">
        <v>29.4</v>
      </c>
      <c r="L3197" s="10">
        <v>35</v>
      </c>
      <c r="M3197" s="6" t="s">
        <v>375</v>
      </c>
    </row>
    <row r="3198" spans="1:13">
      <c r="A3198" s="6">
        <v>2024</v>
      </c>
      <c r="B3198" s="6">
        <v>3</v>
      </c>
      <c r="C3198" s="6" t="s">
        <v>61</v>
      </c>
      <c r="D3198" s="6" t="s">
        <v>333</v>
      </c>
      <c r="E3198" s="6" t="s">
        <v>381</v>
      </c>
      <c r="F3198" s="6" t="str">
        <f>IF($M3198="PADD I","PADD 1",IF($M3198="PADD II","PADD 2",IF($M3198="PADD III","PADD 3",IF($M3198="PADD IV","PADD 4",IF($M3198="PADD V","PADD 5","")))))</f>
        <v>PADD 3</v>
      </c>
      <c r="G3198" s="6">
        <f>IF(AND($H3198="ATMOS DISTILLATION",ISNUMBER(SEARCH("VPS",$I3198))=FALSE,LEFT($I3198,6)&lt;&gt;"VACUUM"),"CDU",IF($H3198="FLUID CAT CRACKING","FCC",IF(OR($H3198="HYDROCRACKING",$H3198="RESID_HYDROCRACKING"),"Hydrocracker",IF($H3198="REFORMING","Reformer",""))))</f>
        <v/>
      </c>
      <c r="H3198" s="6" t="s">
        <v>43</v>
      </c>
      <c r="I3198" s="6" t="s">
        <v>784</v>
      </c>
      <c r="J3198" s="6" t="s">
        <v>349</v>
      </c>
      <c r="K3198" s="10">
        <v>29.25</v>
      </c>
      <c r="L3198" s="10">
        <v>45</v>
      </c>
      <c r="M3198" s="6" t="s">
        <v>371</v>
      </c>
    </row>
    <row r="3199" spans="1:13">
      <c r="A3199" s="6">
        <v>2024</v>
      </c>
      <c r="B3199" s="6">
        <v>3</v>
      </c>
      <c r="C3199" s="6" t="s">
        <v>61</v>
      </c>
      <c r="D3199" s="6" t="s">
        <v>322</v>
      </c>
      <c r="E3199" s="6" t="s">
        <v>369</v>
      </c>
      <c r="F3199" s="6" t="str">
        <f>IF($M3199="PADD I","PADD 1",IF($M3199="PADD II","PADD 2",IF($M3199="PADD III","PADD 3",IF($M3199="PADD IV","PADD 4",IF($M3199="PADD V","PADD 5","")))))</f>
        <v>PADD 2</v>
      </c>
      <c r="G3199" s="6" t="str">
        <f>IF(AND($H3199="ATMOS DISTILLATION",ISNUMBER(SEARCH("VPS",$I3199))=FALSE,LEFT($I3199,6)&lt;&gt;"VACUUM"),"CDU",IF($H3199="FLUID CAT CRACKING","FCC",IF(OR($H3199="HYDROCRACKING",$H3199="RESID_HYDROCRACKING"),"Hydrocracker",IF($H3199="REFORMING","Reformer",""))))</f>
        <v>CDU</v>
      </c>
      <c r="H3199" s="6" t="s">
        <v>38</v>
      </c>
      <c r="I3199" s="6" t="s">
        <v>911</v>
      </c>
      <c r="J3199" s="6" t="s">
        <v>349</v>
      </c>
      <c r="K3199" s="10">
        <v>29.25</v>
      </c>
      <c r="L3199" s="10">
        <v>75</v>
      </c>
      <c r="M3199" s="6" t="s">
        <v>375</v>
      </c>
    </row>
    <row r="3200" spans="1:13">
      <c r="A3200" s="6">
        <v>2024</v>
      </c>
      <c r="B3200" s="6">
        <v>3</v>
      </c>
      <c r="C3200" s="6" t="s">
        <v>61</v>
      </c>
      <c r="D3200" s="6" t="s">
        <v>42</v>
      </c>
      <c r="E3200" s="6" t="s">
        <v>405</v>
      </c>
      <c r="F3200" s="6" t="str">
        <f>IF($M3200="PADD I","PADD 1",IF($M3200="PADD II","PADD 2",IF($M3200="PADD III","PADD 3",IF($M3200="PADD IV","PADD 4",IF($M3200="PADD V","PADD 5","")))))</f>
        <v>PADD 3</v>
      </c>
      <c r="G3200" s="6">
        <f>IF(AND($H3200="ATMOS DISTILLATION",ISNUMBER(SEARCH("VPS",$I3200))=FALSE,LEFT($I3200,6)&lt;&gt;"VACUUM"),"CDU",IF($H3200="FLUID CAT CRACKING","FCC",IF(OR($H3200="HYDROCRACKING",$H3200="RESID_HYDROCRACKING"),"Hydrocracker",IF($H3200="REFORMING","Reformer",""))))</f>
        <v/>
      </c>
      <c r="H3200" s="6" t="s">
        <v>43</v>
      </c>
      <c r="I3200" s="6" t="s">
        <v>1088</v>
      </c>
      <c r="J3200" s="6" t="s">
        <v>345</v>
      </c>
      <c r="K3200" s="10">
        <v>28.6</v>
      </c>
      <c r="L3200" s="10">
        <v>110</v>
      </c>
      <c r="M3200" s="6" t="s">
        <v>371</v>
      </c>
    </row>
    <row r="3201" spans="1:13">
      <c r="A3201" s="6">
        <v>2024</v>
      </c>
      <c r="B3201" s="6">
        <v>3</v>
      </c>
      <c r="C3201" s="6" t="s">
        <v>61</v>
      </c>
      <c r="D3201" s="6" t="s">
        <v>465</v>
      </c>
      <c r="E3201" s="6" t="s">
        <v>369</v>
      </c>
      <c r="F3201" s="6" t="str">
        <f>IF($M3201="PADD I","PADD 1",IF($M3201="PADD II","PADD 2",IF($M3201="PADD III","PADD 3",IF($M3201="PADD IV","PADD 4",IF($M3201="PADD V","PADD 5","")))))</f>
        <v>PADD 5</v>
      </c>
      <c r="G3201" s="6" t="str">
        <f>IF(AND($H3201="ATMOS DISTILLATION",ISNUMBER(SEARCH("VPS",$I3201))=FALSE,LEFT($I3201,6)&lt;&gt;"VACUUM"),"CDU",IF($H3201="FLUID CAT CRACKING","FCC",IF(OR($H3201="HYDROCRACKING",$H3201="RESID_HYDROCRACKING"),"Hydrocracker",IF($H3201="REFORMING","Reformer",""))))</f>
        <v>Hydrocracker</v>
      </c>
      <c r="H3201" s="6" t="s">
        <v>444</v>
      </c>
      <c r="I3201" s="6" t="s">
        <v>668</v>
      </c>
      <c r="J3201" s="6" t="s">
        <v>349</v>
      </c>
      <c r="K3201" s="10">
        <v>27.5</v>
      </c>
      <c r="L3201" s="10">
        <v>27.5</v>
      </c>
      <c r="M3201" s="6" t="s">
        <v>386</v>
      </c>
    </row>
    <row r="3202" spans="1:13">
      <c r="A3202" s="6">
        <v>2024</v>
      </c>
      <c r="B3202" s="6">
        <v>3</v>
      </c>
      <c r="C3202" s="6" t="s">
        <v>61</v>
      </c>
      <c r="D3202" s="6" t="s">
        <v>50</v>
      </c>
      <c r="E3202" s="6" t="s">
        <v>381</v>
      </c>
      <c r="F3202" s="6" t="str">
        <f>IF($M3202="PADD I","PADD 1",IF($M3202="PADD II","PADD 2",IF($M3202="PADD III","PADD 3",IF($M3202="PADD IV","PADD 4",IF($M3202="PADD V","PADD 5","")))))</f>
        <v>PADD 3</v>
      </c>
      <c r="G3202" s="6" t="str">
        <f>IF(AND($H3202="ATMOS DISTILLATION",ISNUMBER(SEARCH("VPS",$I3202))=FALSE,LEFT($I3202,6)&lt;&gt;"VACUUM"),"CDU",IF($H3202="FLUID CAT CRACKING","FCC",IF(OR($H3202="HYDROCRACKING",$H3202="RESID_HYDROCRACKING"),"Hydrocracker",IF($H3202="REFORMING","Reformer",""))))</f>
        <v>Reformer</v>
      </c>
      <c r="H3202" s="6" t="s">
        <v>421</v>
      </c>
      <c r="I3202" s="6" t="s">
        <v>1086</v>
      </c>
      <c r="J3202" s="6" t="s">
        <v>345</v>
      </c>
      <c r="K3202" s="10">
        <v>27.36</v>
      </c>
      <c r="L3202" s="10">
        <v>57</v>
      </c>
      <c r="M3202" s="6" t="s">
        <v>371</v>
      </c>
    </row>
    <row r="3203" spans="1:13">
      <c r="A3203" s="6">
        <v>2024</v>
      </c>
      <c r="B3203" s="6">
        <v>3</v>
      </c>
      <c r="C3203" s="6" t="s">
        <v>61</v>
      </c>
      <c r="D3203" s="6" t="s">
        <v>50</v>
      </c>
      <c r="E3203" s="6" t="s">
        <v>381</v>
      </c>
      <c r="F3203" s="6" t="str">
        <f>IF($M3203="PADD I","PADD 1",IF($M3203="PADD II","PADD 2",IF($M3203="PADD III","PADD 3",IF($M3203="PADD IV","PADD 4",IF($M3203="PADD V","PADD 5","")))))</f>
        <v>PADD 3</v>
      </c>
      <c r="G3203" s="6" t="str">
        <f>IF(AND($H3203="ATMOS DISTILLATION",ISNUMBER(SEARCH("VPS",$I3203))=FALSE,LEFT($I3203,6)&lt;&gt;"VACUUM"),"CDU",IF($H3203="FLUID CAT CRACKING","FCC",IF(OR($H3203="HYDROCRACKING",$H3203="RESID_HYDROCRACKING"),"Hydrocracker",IF($H3203="REFORMING","Reformer",""))))</f>
        <v>Reformer</v>
      </c>
      <c r="H3203" s="6" t="s">
        <v>421</v>
      </c>
      <c r="I3203" s="6" t="s">
        <v>1086</v>
      </c>
      <c r="J3203" s="6" t="s">
        <v>349</v>
      </c>
      <c r="K3203" s="10">
        <v>27.36</v>
      </c>
      <c r="L3203" s="10">
        <v>57</v>
      </c>
      <c r="M3203" s="6" t="s">
        <v>371</v>
      </c>
    </row>
    <row r="3204" spans="1:13">
      <c r="A3204" s="6">
        <v>2024</v>
      </c>
      <c r="B3204" s="6">
        <v>3</v>
      </c>
      <c r="C3204" s="6" t="s">
        <v>61</v>
      </c>
      <c r="D3204" s="6" t="s">
        <v>542</v>
      </c>
      <c r="E3204" s="6" t="s">
        <v>543</v>
      </c>
      <c r="F3204" s="6" t="str">
        <f>IF($M3204="PADD I","PADD 1",IF($M3204="PADD II","PADD 2",IF($M3204="PADD III","PADD 3",IF($M3204="PADD IV","PADD 4",IF($M3204="PADD V","PADD 5","")))))</f>
        <v>PADD 2</v>
      </c>
      <c r="G3204" s="6">
        <f>IF(AND($H3204="ATMOS DISTILLATION",ISNUMBER(SEARCH("VPS",$I3204))=FALSE,LEFT($I3204,6)&lt;&gt;"VACUUM"),"CDU",IF($H3204="FLUID CAT CRACKING","FCC",IF(OR($H3204="HYDROCRACKING",$H3204="RESID_HYDROCRACKING"),"Hydrocracker",IF($H3204="REFORMING","Reformer",""))))</f>
        <v/>
      </c>
      <c r="H3204" s="6" t="s">
        <v>43</v>
      </c>
      <c r="I3204" s="6" t="s">
        <v>759</v>
      </c>
      <c r="J3204" s="6" t="s">
        <v>345</v>
      </c>
      <c r="K3204" s="10">
        <v>27.3</v>
      </c>
      <c r="L3204" s="10">
        <v>70</v>
      </c>
      <c r="M3204" s="6" t="s">
        <v>375</v>
      </c>
    </row>
    <row r="3205" spans="1:13">
      <c r="A3205" s="6">
        <v>2024</v>
      </c>
      <c r="B3205" s="6">
        <v>3</v>
      </c>
      <c r="C3205" s="6" t="s">
        <v>61</v>
      </c>
      <c r="D3205" s="6" t="s">
        <v>639</v>
      </c>
      <c r="E3205" s="6" t="s">
        <v>452</v>
      </c>
      <c r="F3205" s="6" t="str">
        <f>IF($M3205="PADD I","PADD 1",IF($M3205="PADD II","PADD 2",IF($M3205="PADD III","PADD 3",IF($M3205="PADD IV","PADD 4",IF($M3205="PADD V","PADD 5","")))))</f>
        <v>PADD 5</v>
      </c>
      <c r="G3205" s="6">
        <f>IF(AND($H3205="ATMOS DISTILLATION",ISNUMBER(SEARCH("VPS",$I3205))=FALSE,LEFT($I3205,6)&lt;&gt;"VACUUM"),"CDU",IF($H3205="FLUID CAT CRACKING","FCC",IF(OR($H3205="HYDROCRACKING",$H3205="RESID_HYDROCRACKING"),"Hydrocracker",IF($H3205="REFORMING","Reformer",""))))</f>
        <v/>
      </c>
      <c r="H3205" s="6" t="s">
        <v>43</v>
      </c>
      <c r="I3205" s="6" t="s">
        <v>1140</v>
      </c>
      <c r="J3205" s="6" t="s">
        <v>349</v>
      </c>
      <c r="K3205" s="10">
        <v>27.16</v>
      </c>
      <c r="L3205" s="10">
        <v>28</v>
      </c>
      <c r="M3205" s="6" t="s">
        <v>386</v>
      </c>
    </row>
    <row r="3206" spans="1:13">
      <c r="A3206" s="6">
        <v>2024</v>
      </c>
      <c r="B3206" s="6">
        <v>3</v>
      </c>
      <c r="C3206" s="6" t="s">
        <v>61</v>
      </c>
      <c r="D3206" s="6" t="s">
        <v>408</v>
      </c>
      <c r="E3206" s="6" t="s">
        <v>409</v>
      </c>
      <c r="F3206" s="6" t="str">
        <f>IF($M3206="PADD I","PADD 1",IF($M3206="PADD II","PADD 2",IF($M3206="PADD III","PADD 3",IF($M3206="PADD IV","PADD 4",IF($M3206="PADD V","PADD 5","")))))</f>
        <v>PADD 3</v>
      </c>
      <c r="G3206" s="6">
        <f>IF(AND($H3206="ATMOS DISTILLATION",ISNUMBER(SEARCH("VPS",$I3206))=FALSE,LEFT($I3206,6)&lt;&gt;"VACUUM"),"CDU",IF($H3206="FLUID CAT CRACKING","FCC",IF(OR($H3206="HYDROCRACKING",$H3206="RESID_HYDROCRACKING"),"Hydrocracker",IF($H3206="REFORMING","Reformer",""))))</f>
        <v/>
      </c>
      <c r="H3206" s="6" t="s">
        <v>435</v>
      </c>
      <c r="I3206" s="6" t="s">
        <v>459</v>
      </c>
      <c r="J3206" s="6" t="s">
        <v>345</v>
      </c>
      <c r="K3206" s="10">
        <v>27</v>
      </c>
      <c r="L3206" s="10">
        <v>60</v>
      </c>
      <c r="M3206" s="6" t="s">
        <v>371</v>
      </c>
    </row>
    <row r="3207" spans="1:13">
      <c r="A3207" s="6">
        <v>2024</v>
      </c>
      <c r="B3207" s="6">
        <v>3</v>
      </c>
      <c r="C3207" s="6" t="s">
        <v>61</v>
      </c>
      <c r="D3207" s="6" t="s">
        <v>851</v>
      </c>
      <c r="E3207" s="6" t="s">
        <v>852</v>
      </c>
      <c r="F3207" s="6" t="str">
        <f>IF($M3207="PADD I","PADD 1",IF($M3207="PADD II","PADD 2",IF($M3207="PADD III","PADD 3",IF($M3207="PADD IV","PADD 4",IF($M3207="PADD V","PADD 5","")))))</f>
        <v>PADD 3</v>
      </c>
      <c r="G3207" s="6" t="str">
        <f>IF(AND($H3207="ATMOS DISTILLATION",ISNUMBER(SEARCH("VPS",$I3207))=FALSE,LEFT($I3207,6)&lt;&gt;"VACUUM"),"CDU",IF($H3207="FLUID CAT CRACKING","FCC",IF(OR($H3207="HYDROCRACKING",$H3207="RESID_HYDROCRACKING"),"Hydrocracker",IF($H3207="REFORMING","Reformer",""))))</f>
        <v>CDU</v>
      </c>
      <c r="H3207" s="6" t="s">
        <v>38</v>
      </c>
      <c r="I3207" s="6" t="s">
        <v>853</v>
      </c>
      <c r="J3207" s="6" t="s">
        <v>345</v>
      </c>
      <c r="K3207" s="10">
        <v>26.88</v>
      </c>
      <c r="L3207" s="10">
        <v>64</v>
      </c>
      <c r="M3207" s="6" t="s">
        <v>371</v>
      </c>
    </row>
    <row r="3208" spans="1:13">
      <c r="A3208" s="6">
        <v>2024</v>
      </c>
      <c r="B3208" s="6">
        <v>3</v>
      </c>
      <c r="C3208" s="6" t="s">
        <v>61</v>
      </c>
      <c r="D3208" s="6" t="s">
        <v>324</v>
      </c>
      <c r="E3208" s="6" t="s">
        <v>388</v>
      </c>
      <c r="F3208" s="6" t="str">
        <f>IF($M3208="PADD I","PADD 1",IF($M3208="PADD II","PADD 2",IF($M3208="PADD III","PADD 3",IF($M3208="PADD IV","PADD 4",IF($M3208="PADD V","PADD 5","")))))</f>
        <v>PADD 3</v>
      </c>
      <c r="G3208" s="6" t="str">
        <f>IF(AND($H3208="ATMOS DISTILLATION",ISNUMBER(SEARCH("VPS",$I3208))=FALSE,LEFT($I3208,6)&lt;&gt;"VACUUM"),"CDU",IF($H3208="FLUID CAT CRACKING","FCC",IF(OR($H3208="HYDROCRACKING",$H3208="RESID_HYDROCRACKING"),"Hydrocracker",IF($H3208="REFORMING","Reformer",""))))</f>
        <v>Hydrocracker</v>
      </c>
      <c r="H3208" s="6" t="s">
        <v>444</v>
      </c>
      <c r="I3208" s="6" t="s">
        <v>945</v>
      </c>
      <c r="J3208" s="6" t="s">
        <v>345</v>
      </c>
      <c r="K3208" s="10">
        <v>26.22</v>
      </c>
      <c r="L3208" s="10">
        <v>114</v>
      </c>
      <c r="M3208" s="6" t="s">
        <v>371</v>
      </c>
    </row>
    <row r="3209" spans="1:13">
      <c r="A3209" s="6">
        <v>2024</v>
      </c>
      <c r="B3209" s="6">
        <v>3</v>
      </c>
      <c r="C3209" s="6" t="s">
        <v>61</v>
      </c>
      <c r="D3209" s="6" t="s">
        <v>526</v>
      </c>
      <c r="E3209" s="6" t="s">
        <v>405</v>
      </c>
      <c r="F3209" s="6" t="str">
        <f>IF($M3209="PADD I","PADD 1",IF($M3209="PADD II","PADD 2",IF($M3209="PADD III","PADD 3",IF($M3209="PADD IV","PADD 4",IF($M3209="PADD V","PADD 5","")))))</f>
        <v>PADD 3</v>
      </c>
      <c r="G3209" s="6">
        <f>IF(AND($H3209="ATMOS DISTILLATION",ISNUMBER(SEARCH("VPS",$I3209))=FALSE,LEFT($I3209,6)&lt;&gt;"VACUUM"),"CDU",IF($H3209="FLUID CAT CRACKING","FCC",IF(OR($H3209="HYDROCRACKING",$H3209="RESID_HYDROCRACKING"),"Hydrocracker",IF($H3209="REFORMING","Reformer",""))))</f>
        <v/>
      </c>
      <c r="H3209" s="6" t="s">
        <v>435</v>
      </c>
      <c r="I3209" s="6" t="s">
        <v>954</v>
      </c>
      <c r="J3209" s="6" t="s">
        <v>345</v>
      </c>
      <c r="K3209" s="10">
        <v>26</v>
      </c>
      <c r="L3209" s="10">
        <v>100</v>
      </c>
      <c r="M3209" s="6" t="s">
        <v>371</v>
      </c>
    </row>
    <row r="3210" spans="1:13">
      <c r="A3210" s="6">
        <v>2024</v>
      </c>
      <c r="B3210" s="6">
        <v>3</v>
      </c>
      <c r="C3210" s="6" t="s">
        <v>61</v>
      </c>
      <c r="D3210" s="6" t="s">
        <v>628</v>
      </c>
      <c r="E3210" s="6" t="s">
        <v>388</v>
      </c>
      <c r="F3210" s="6" t="str">
        <f>IF($M3210="PADD I","PADD 1",IF($M3210="PADD II","PADD 2",IF($M3210="PADD III","PADD 3",IF($M3210="PADD IV","PADD 4",IF($M3210="PADD V","PADD 5","")))))</f>
        <v>PADD 3</v>
      </c>
      <c r="G3210" s="6" t="str">
        <f>IF(AND($H3210="ATMOS DISTILLATION",ISNUMBER(SEARCH("VPS",$I3210))=FALSE,LEFT($I3210,6)&lt;&gt;"VACUUM"),"CDU",IF($H3210="FLUID CAT CRACKING","FCC",IF(OR($H3210="HYDROCRACKING",$H3210="RESID_HYDROCRACKING"),"Hydrocracker",IF($H3210="REFORMING","Reformer",""))))</f>
        <v>CDU</v>
      </c>
      <c r="H3210" s="6" t="s">
        <v>38</v>
      </c>
      <c r="I3210" s="6" t="s">
        <v>1053</v>
      </c>
      <c r="J3210" s="6" t="s">
        <v>349</v>
      </c>
      <c r="K3210" s="10">
        <v>25.9</v>
      </c>
      <c r="L3210" s="10">
        <v>35</v>
      </c>
      <c r="M3210" s="6" t="s">
        <v>371</v>
      </c>
    </row>
    <row r="3211" spans="1:13">
      <c r="A3211" s="6">
        <v>2024</v>
      </c>
      <c r="B3211" s="6">
        <v>3</v>
      </c>
      <c r="C3211" s="6" t="s">
        <v>61</v>
      </c>
      <c r="D3211" s="6" t="s">
        <v>408</v>
      </c>
      <c r="E3211" s="6" t="s">
        <v>409</v>
      </c>
      <c r="F3211" s="6" t="str">
        <f>IF($M3211="PADD I","PADD 1",IF($M3211="PADD II","PADD 2",IF($M3211="PADD III","PADD 3",IF($M3211="PADD IV","PADD 4",IF($M3211="PADD V","PADD 5","")))))</f>
        <v>PADD 3</v>
      </c>
      <c r="G3211" s="6" t="str">
        <f>IF(AND($H3211="ATMOS DISTILLATION",ISNUMBER(SEARCH("VPS",$I3211))=FALSE,LEFT($I3211,6)&lt;&gt;"VACUUM"),"CDU",IF($H3211="FLUID CAT CRACKING","FCC",IF(OR($H3211="HYDROCRACKING",$H3211="RESID_HYDROCRACKING"),"Hydrocracker",IF($H3211="REFORMING","Reformer",""))))</f>
        <v>CDU</v>
      </c>
      <c r="H3211" s="6" t="s">
        <v>38</v>
      </c>
      <c r="I3211" s="6" t="s">
        <v>410</v>
      </c>
      <c r="J3211" s="6" t="s">
        <v>345</v>
      </c>
      <c r="K3211" s="10">
        <v>25.6</v>
      </c>
      <c r="L3211" s="10">
        <v>80</v>
      </c>
      <c r="M3211" s="6" t="s">
        <v>371</v>
      </c>
    </row>
    <row r="3212" spans="1:13">
      <c r="A3212" s="6">
        <v>2024</v>
      </c>
      <c r="B3212" s="6">
        <v>3</v>
      </c>
      <c r="C3212" s="6" t="s">
        <v>61</v>
      </c>
      <c r="D3212" s="6" t="s">
        <v>455</v>
      </c>
      <c r="E3212" s="6" t="s">
        <v>405</v>
      </c>
      <c r="F3212" s="6" t="str">
        <f>IF($M3212="PADD I","PADD 1",IF($M3212="PADD II","PADD 2",IF($M3212="PADD III","PADD 3",IF($M3212="PADD IV","PADD 4",IF($M3212="PADD V","PADD 5","")))))</f>
        <v>PADD 3</v>
      </c>
      <c r="G3212" s="6">
        <f>IF(AND($H3212="ATMOS DISTILLATION",ISNUMBER(SEARCH("VPS",$I3212))=FALSE,LEFT($I3212,6)&lt;&gt;"VACUUM"),"CDU",IF($H3212="FLUID CAT CRACKING","FCC",IF(OR($H3212="HYDROCRACKING",$H3212="RESID_HYDROCRACKING"),"Hydrocracker",IF($H3212="REFORMING","Reformer",""))))</f>
        <v/>
      </c>
      <c r="H3212" s="6" t="s">
        <v>435</v>
      </c>
      <c r="I3212" s="6" t="s">
        <v>441</v>
      </c>
      <c r="J3212" s="6" t="s">
        <v>349</v>
      </c>
      <c r="K3212" s="10">
        <v>25.6</v>
      </c>
      <c r="L3212" s="10">
        <v>80</v>
      </c>
      <c r="M3212" s="6" t="s">
        <v>371</v>
      </c>
    </row>
    <row r="3213" spans="1:13">
      <c r="A3213" s="6">
        <v>2024</v>
      </c>
      <c r="B3213" s="6">
        <v>3</v>
      </c>
      <c r="C3213" s="6" t="s">
        <v>61</v>
      </c>
      <c r="D3213" s="6" t="s">
        <v>542</v>
      </c>
      <c r="E3213" s="6" t="s">
        <v>543</v>
      </c>
      <c r="F3213" s="6" t="str">
        <f>IF($M3213="PADD I","PADD 1",IF($M3213="PADD II","PADD 2",IF($M3213="PADD III","PADD 3",IF($M3213="PADD IV","PADD 4",IF($M3213="PADD V","PADD 5","")))))</f>
        <v>PADD 2</v>
      </c>
      <c r="G3213" s="6" t="str">
        <f>IF(AND($H3213="ATMOS DISTILLATION",ISNUMBER(SEARCH("VPS",$I3213))=FALSE,LEFT($I3213,6)&lt;&gt;"VACUUM"),"CDU",IF($H3213="FLUID CAT CRACKING","FCC",IF(OR($H3213="HYDROCRACKING",$H3213="RESID_HYDROCRACKING"),"Hydrocracker",IF($H3213="REFORMING","Reformer",""))))</f>
        <v>FCC</v>
      </c>
      <c r="H3213" s="6" t="s">
        <v>376</v>
      </c>
      <c r="I3213" s="6" t="s">
        <v>1113</v>
      </c>
      <c r="J3213" s="6" t="s">
        <v>345</v>
      </c>
      <c r="K3213" s="10">
        <v>25.35</v>
      </c>
      <c r="L3213" s="10">
        <v>65</v>
      </c>
      <c r="M3213" s="6" t="s">
        <v>375</v>
      </c>
    </row>
    <row r="3214" spans="1:13">
      <c r="A3214" s="6">
        <v>2024</v>
      </c>
      <c r="B3214" s="6">
        <v>3</v>
      </c>
      <c r="C3214" s="6" t="s">
        <v>61</v>
      </c>
      <c r="D3214" s="6" t="s">
        <v>1141</v>
      </c>
      <c r="E3214" s="6" t="s">
        <v>1079</v>
      </c>
      <c r="F3214" s="6" t="str">
        <f>IF($M3214="PADD I","PADD 1",IF($M3214="PADD II","PADD 2",IF($M3214="PADD III","PADD 3",IF($M3214="PADD IV","PADD 4",IF($M3214="PADD V","PADD 5","")))))</f>
        <v>PADD 3</v>
      </c>
      <c r="G3214" s="6">
        <f>IF(AND($H3214="ATMOS DISTILLATION",ISNUMBER(SEARCH("VPS",$I3214))=FALSE,LEFT($I3214,6)&lt;&gt;"VACUUM"),"CDU",IF($H3214="FLUID CAT CRACKING","FCC",IF(OR($H3214="HYDROCRACKING",$H3214="RESID_HYDROCRACKING"),"Hydrocracker",IF($H3214="REFORMING","Reformer",""))))</f>
        <v/>
      </c>
      <c r="H3214" s="6" t="s">
        <v>43</v>
      </c>
      <c r="I3214" s="6" t="s">
        <v>927</v>
      </c>
      <c r="J3214" s="6" t="s">
        <v>349</v>
      </c>
      <c r="K3214" s="10">
        <v>25</v>
      </c>
      <c r="L3214" s="10">
        <v>25</v>
      </c>
      <c r="M3214" s="6" t="s">
        <v>371</v>
      </c>
    </row>
    <row r="3215" spans="1:13">
      <c r="A3215" s="6">
        <v>2024</v>
      </c>
      <c r="B3215" s="6">
        <v>3</v>
      </c>
      <c r="C3215" s="6" t="s">
        <v>61</v>
      </c>
      <c r="D3215" s="6" t="s">
        <v>457</v>
      </c>
      <c r="E3215" s="6" t="s">
        <v>388</v>
      </c>
      <c r="F3215" s="6" t="str">
        <f>IF($M3215="PADD I","PADD 1",IF($M3215="PADD II","PADD 2",IF($M3215="PADD III","PADD 3",IF($M3215="PADD IV","PADD 4",IF($M3215="PADD V","PADD 5","")))))</f>
        <v>PADD 5</v>
      </c>
      <c r="G3215" s="6" t="str">
        <f>IF(AND($H3215="ATMOS DISTILLATION",ISNUMBER(SEARCH("VPS",$I3215))=FALSE,LEFT($I3215,6)&lt;&gt;"VACUUM"),"CDU",IF($H3215="FLUID CAT CRACKING","FCC",IF(OR($H3215="HYDROCRACKING",$H3215="RESID_HYDROCRACKING"),"Hydrocracker",IF($H3215="REFORMING","Reformer",""))))</f>
        <v>Hydrocracker</v>
      </c>
      <c r="H3215" s="6" t="s">
        <v>444</v>
      </c>
      <c r="I3215" s="6" t="s">
        <v>14</v>
      </c>
      <c r="J3215" s="6" t="s">
        <v>345</v>
      </c>
      <c r="K3215" s="10">
        <v>24.75</v>
      </c>
      <c r="L3215" s="10">
        <v>55</v>
      </c>
      <c r="M3215" s="6" t="s">
        <v>386</v>
      </c>
    </row>
    <row r="3216" spans="1:13">
      <c r="A3216" s="6">
        <v>2024</v>
      </c>
      <c r="B3216" s="6">
        <v>3</v>
      </c>
      <c r="C3216" s="6" t="s">
        <v>61</v>
      </c>
      <c r="D3216" s="6" t="s">
        <v>542</v>
      </c>
      <c r="E3216" s="6" t="s">
        <v>543</v>
      </c>
      <c r="F3216" s="6" t="str">
        <f>IF($M3216="PADD I","PADD 1",IF($M3216="PADD II","PADD 2",IF($M3216="PADD III","PADD 3",IF($M3216="PADD IV","PADD 4",IF($M3216="PADD V","PADD 5","")))))</f>
        <v>PADD 2</v>
      </c>
      <c r="G3216" s="6" t="str">
        <f>IF(AND($H3216="ATMOS DISTILLATION",ISNUMBER(SEARCH("VPS",$I3216))=FALSE,LEFT($I3216,6)&lt;&gt;"VACUUM"),"CDU",IF($H3216="FLUID CAT CRACKING","FCC",IF(OR($H3216="HYDROCRACKING",$H3216="RESID_HYDROCRACKING"),"Hydrocracker",IF($H3216="REFORMING","Reformer",""))))</f>
        <v>Reformer</v>
      </c>
      <c r="H3216" s="6" t="s">
        <v>421</v>
      </c>
      <c r="I3216" s="6" t="s">
        <v>1114</v>
      </c>
      <c r="J3216" s="6" t="s">
        <v>345</v>
      </c>
      <c r="K3216" s="10">
        <v>23.4</v>
      </c>
      <c r="L3216" s="10">
        <v>60</v>
      </c>
      <c r="M3216" s="6" t="s">
        <v>375</v>
      </c>
    </row>
    <row r="3217" spans="1:13">
      <c r="A3217" s="6">
        <v>2024</v>
      </c>
      <c r="B3217" s="6">
        <v>3</v>
      </c>
      <c r="C3217" s="6" t="s">
        <v>61</v>
      </c>
      <c r="D3217" s="6" t="s">
        <v>50</v>
      </c>
      <c r="E3217" s="6" t="s">
        <v>381</v>
      </c>
      <c r="F3217" s="6" t="str">
        <f>IF($M3217="PADD I","PADD 1",IF($M3217="PADD II","PADD 2",IF($M3217="PADD III","PADD 3",IF($M3217="PADD IV","PADD 4",IF($M3217="PADD V","PADD 5","")))))</f>
        <v>PADD 3</v>
      </c>
      <c r="G3217" s="6">
        <f>IF(AND($H3217="ATMOS DISTILLATION",ISNUMBER(SEARCH("VPS",$I3217))=FALSE,LEFT($I3217,6)&lt;&gt;"VACUUM"),"CDU",IF($H3217="FLUID CAT CRACKING","FCC",IF(OR($H3217="HYDROCRACKING",$H3217="RESID_HYDROCRACKING"),"Hydrocracker",IF($H3217="REFORMING","Reformer",""))))</f>
        <v/>
      </c>
      <c r="H3217" s="6" t="s">
        <v>43</v>
      </c>
      <c r="I3217" s="6" t="s">
        <v>1083</v>
      </c>
      <c r="J3217" s="6" t="s">
        <v>349</v>
      </c>
      <c r="K3217" s="10">
        <v>23.2</v>
      </c>
      <c r="L3217" s="10">
        <v>80</v>
      </c>
      <c r="M3217" s="6" t="s">
        <v>371</v>
      </c>
    </row>
    <row r="3218" spans="1:13">
      <c r="A3218" s="6">
        <v>2024</v>
      </c>
      <c r="B3218" s="6">
        <v>3</v>
      </c>
      <c r="C3218" s="6" t="s">
        <v>61</v>
      </c>
      <c r="D3218" s="6" t="s">
        <v>429</v>
      </c>
      <c r="E3218" s="6" t="s">
        <v>388</v>
      </c>
      <c r="F3218" s="6" t="str">
        <f>IF($M3218="PADD I","PADD 1",IF($M3218="PADD II","PADD 2",IF($M3218="PADD III","PADD 3",IF($M3218="PADD IV","PADD 4",IF($M3218="PADD V","PADD 5","")))))</f>
        <v>PADD 4</v>
      </c>
      <c r="G3218" s="6" t="str">
        <f>IF(AND($H3218="ATMOS DISTILLATION",ISNUMBER(SEARCH("VPS",$I3218))=FALSE,LEFT($I3218,6)&lt;&gt;"VACUUM"),"CDU",IF($H3218="FLUID CAT CRACKING","FCC",IF(OR($H3218="HYDROCRACKING",$H3218="RESID_HYDROCRACKING"),"Hydrocracker",IF($H3218="REFORMING","Reformer",""))))</f>
        <v>FCC</v>
      </c>
      <c r="H3218" s="6" t="s">
        <v>376</v>
      </c>
      <c r="I3218" s="6" t="s">
        <v>105</v>
      </c>
      <c r="J3218" s="6" t="s">
        <v>349</v>
      </c>
      <c r="K3218" s="10">
        <v>22.968</v>
      </c>
      <c r="L3218" s="10">
        <v>26.4</v>
      </c>
      <c r="M3218" s="6" t="s">
        <v>430</v>
      </c>
    </row>
    <row r="3219" spans="1:13">
      <c r="A3219" s="6">
        <v>2024</v>
      </c>
      <c r="B3219" s="6">
        <v>3</v>
      </c>
      <c r="C3219" s="6" t="s">
        <v>61</v>
      </c>
      <c r="D3219" s="6" t="s">
        <v>372</v>
      </c>
      <c r="E3219" s="6" t="s">
        <v>373</v>
      </c>
      <c r="F3219" s="6" t="str">
        <f>IF($M3219="PADD I","PADD 1",IF($M3219="PADD II","PADD 2",IF($M3219="PADD III","PADD 3",IF($M3219="PADD IV","PADD 4",IF($M3219="PADD V","PADD 5","")))))</f>
        <v>PADD 2</v>
      </c>
      <c r="G3219" s="6">
        <f>IF(AND($H3219="ATMOS DISTILLATION",ISNUMBER(SEARCH("VPS",$I3219))=FALSE,LEFT($I3219,6)&lt;&gt;"VACUUM"),"CDU",IF($H3219="FLUID CAT CRACKING","FCC",IF(OR($H3219="HYDROCRACKING",$H3219="RESID_HYDROCRACKING"),"Hydrocracker",IF($H3219="REFORMING","Reformer",""))))</f>
        <v/>
      </c>
      <c r="H3219" s="6" t="s">
        <v>43</v>
      </c>
      <c r="I3219" s="6" t="s">
        <v>480</v>
      </c>
      <c r="J3219" s="6" t="s">
        <v>349</v>
      </c>
      <c r="K3219" s="10">
        <v>22.5</v>
      </c>
      <c r="L3219" s="10">
        <v>22.5</v>
      </c>
      <c r="M3219" s="6" t="s">
        <v>375</v>
      </c>
    </row>
    <row r="3220" spans="1:13">
      <c r="A3220" s="6">
        <v>2024</v>
      </c>
      <c r="B3220" s="6">
        <v>3</v>
      </c>
      <c r="C3220" s="6" t="s">
        <v>61</v>
      </c>
      <c r="D3220" s="6" t="s">
        <v>628</v>
      </c>
      <c r="E3220" s="6" t="s">
        <v>388</v>
      </c>
      <c r="F3220" s="6" t="str">
        <f>IF($M3220="PADD I","PADD 1",IF($M3220="PADD II","PADD 2",IF($M3220="PADD III","PADD 3",IF($M3220="PADD IV","PADD 4",IF($M3220="PADD V","PADD 5","")))))</f>
        <v>PADD 3</v>
      </c>
      <c r="G3220" s="6">
        <f>IF(AND($H3220="ATMOS DISTILLATION",ISNUMBER(SEARCH("VPS",$I3220))=FALSE,LEFT($I3220,6)&lt;&gt;"VACUUM"),"CDU",IF($H3220="FLUID CAT CRACKING","FCC",IF(OR($H3220="HYDROCRACKING",$H3220="RESID_HYDROCRACKING"),"Hydrocracker",IF($H3220="REFORMING","Reformer",""))))</f>
        <v/>
      </c>
      <c r="H3220" s="6" t="s">
        <v>43</v>
      </c>
      <c r="I3220" s="6" t="s">
        <v>464</v>
      </c>
      <c r="J3220" s="6" t="s">
        <v>349</v>
      </c>
      <c r="K3220" s="10">
        <v>22.2</v>
      </c>
      <c r="L3220" s="10">
        <v>30</v>
      </c>
      <c r="M3220" s="6" t="s">
        <v>371</v>
      </c>
    </row>
    <row r="3221" spans="1:13">
      <c r="A3221" s="6">
        <v>2024</v>
      </c>
      <c r="B3221" s="6">
        <v>3</v>
      </c>
      <c r="C3221" s="6" t="s">
        <v>61</v>
      </c>
      <c r="D3221" s="6" t="s">
        <v>446</v>
      </c>
      <c r="E3221" s="6" t="s">
        <v>391</v>
      </c>
      <c r="F3221" s="6" t="str">
        <f>IF($M3221="PADD I","PADD 1",IF($M3221="PADD II","PADD 2",IF($M3221="PADD III","PADD 3",IF($M3221="PADD IV","PADD 4",IF($M3221="PADD V","PADD 5","")))))</f>
        <v>PADD 3</v>
      </c>
      <c r="G3221" s="6" t="str">
        <f>IF(AND($H3221="ATMOS DISTILLATION",ISNUMBER(SEARCH("VPS",$I3221))=FALSE,LEFT($I3221,6)&lt;&gt;"VACUUM"),"CDU",IF($H3221="FLUID CAT CRACKING","FCC",IF(OR($H3221="HYDROCRACKING",$H3221="RESID_HYDROCRACKING"),"Hydrocracker",IF($H3221="REFORMING","Reformer",""))))</f>
        <v>Reformer</v>
      </c>
      <c r="H3221" s="6" t="s">
        <v>421</v>
      </c>
      <c r="I3221" s="6" t="s">
        <v>483</v>
      </c>
      <c r="J3221" s="6" t="s">
        <v>349</v>
      </c>
      <c r="K3221" s="10">
        <v>21.6</v>
      </c>
      <c r="L3221" s="10">
        <v>24</v>
      </c>
      <c r="M3221" s="6" t="s">
        <v>371</v>
      </c>
    </row>
    <row r="3222" spans="1:13">
      <c r="A3222" s="6">
        <v>2024</v>
      </c>
      <c r="B3222" s="6">
        <v>3</v>
      </c>
      <c r="C3222" s="6" t="s">
        <v>61</v>
      </c>
      <c r="D3222" s="6" t="s">
        <v>675</v>
      </c>
      <c r="E3222" s="6" t="s">
        <v>452</v>
      </c>
      <c r="F3222" s="6" t="str">
        <f>IF($M3222="PADD I","PADD 1",IF($M3222="PADD II","PADD 2",IF($M3222="PADD III","PADD 3",IF($M3222="PADD IV","PADD 4",IF($M3222="PADD V","PADD 5","")))))</f>
        <v>PADD 2</v>
      </c>
      <c r="G3222" s="6">
        <f>IF(AND($H3222="ATMOS DISTILLATION",ISNUMBER(SEARCH("VPS",$I3222))=FALSE,LEFT($I3222,6)&lt;&gt;"VACUUM"),"CDU",IF($H3222="FLUID CAT CRACKING","FCC",IF(OR($H3222="HYDROCRACKING",$H3222="RESID_HYDROCRACKING"),"Hydrocracker",IF($H3222="REFORMING","Reformer",""))))</f>
        <v/>
      </c>
      <c r="H3222" s="6" t="s">
        <v>43</v>
      </c>
      <c r="I3222" s="6" t="s">
        <v>1142</v>
      </c>
      <c r="J3222" s="6" t="s">
        <v>345</v>
      </c>
      <c r="K3222" s="10">
        <v>21.6</v>
      </c>
      <c r="L3222" s="10">
        <v>45</v>
      </c>
      <c r="M3222" s="6" t="s">
        <v>375</v>
      </c>
    </row>
    <row r="3223" spans="1:13">
      <c r="A3223" s="6">
        <v>2024</v>
      </c>
      <c r="B3223" s="6">
        <v>3</v>
      </c>
      <c r="C3223" s="6" t="s">
        <v>61</v>
      </c>
      <c r="D3223" s="6" t="s">
        <v>48</v>
      </c>
      <c r="E3223" s="6" t="s">
        <v>388</v>
      </c>
      <c r="F3223" s="6" t="str">
        <f>IF($M3223="PADD I","PADD 1",IF($M3223="PADD II","PADD 2",IF($M3223="PADD III","PADD 3",IF($M3223="PADD IV","PADD 4",IF($M3223="PADD V","PADD 5","")))))</f>
        <v>PADD 2</v>
      </c>
      <c r="G3223" s="6" t="str">
        <f>IF(AND($H3223="ATMOS DISTILLATION",ISNUMBER(SEARCH("VPS",$I3223))=FALSE,LEFT($I3223,6)&lt;&gt;"VACUUM"),"CDU",IF($H3223="FLUID CAT CRACKING","FCC",IF(OR($H3223="HYDROCRACKING",$H3223="RESID_HYDROCRACKING"),"Hydrocracker",IF($H3223="REFORMING","Reformer",""))))</f>
        <v>Reformer</v>
      </c>
      <c r="H3223" s="6" t="s">
        <v>421</v>
      </c>
      <c r="I3223" s="6" t="s">
        <v>721</v>
      </c>
      <c r="J3223" s="6" t="s">
        <v>345</v>
      </c>
      <c r="K3223" s="10">
        <v>21.45</v>
      </c>
      <c r="L3223" s="10">
        <v>39</v>
      </c>
      <c r="M3223" s="6" t="s">
        <v>375</v>
      </c>
    </row>
    <row r="3224" spans="1:13">
      <c r="A3224" s="6">
        <v>2024</v>
      </c>
      <c r="B3224" s="6">
        <v>3</v>
      </c>
      <c r="C3224" s="6" t="s">
        <v>61</v>
      </c>
      <c r="D3224" s="6" t="s">
        <v>985</v>
      </c>
      <c r="E3224" s="6" t="s">
        <v>543</v>
      </c>
      <c r="F3224" s="6" t="str">
        <f>IF($M3224="PADD I","PADD 1",IF($M3224="PADD II","PADD 2",IF($M3224="PADD III","PADD 3",IF($M3224="PADD IV","PADD 4",IF($M3224="PADD V","PADD 5","")))))</f>
        <v>PADD 2</v>
      </c>
      <c r="G3224" s="6">
        <f>IF(AND($H3224="ATMOS DISTILLATION",ISNUMBER(SEARCH("VPS",$I3224))=FALSE,LEFT($I3224,6)&lt;&gt;"VACUUM"),"CDU",IF($H3224="FLUID CAT CRACKING","FCC",IF(OR($H3224="HYDROCRACKING",$H3224="RESID_HYDROCRACKING"),"Hydrocracker",IF($H3224="REFORMING","Reformer",""))))</f>
        <v/>
      </c>
      <c r="H3224" s="6" t="s">
        <v>378</v>
      </c>
      <c r="I3224" s="6" t="s">
        <v>786</v>
      </c>
      <c r="J3224" s="6" t="s">
        <v>345</v>
      </c>
      <c r="K3224" s="10">
        <v>21.1155</v>
      </c>
      <c r="L3224" s="10">
        <v>60.33</v>
      </c>
      <c r="M3224" s="6" t="s">
        <v>375</v>
      </c>
    </row>
    <row r="3225" spans="1:13">
      <c r="A3225" s="6">
        <v>2024</v>
      </c>
      <c r="B3225" s="6">
        <v>3</v>
      </c>
      <c r="C3225" s="6" t="s">
        <v>61</v>
      </c>
      <c r="D3225" s="6" t="s">
        <v>408</v>
      </c>
      <c r="E3225" s="6" t="s">
        <v>409</v>
      </c>
      <c r="F3225" s="6" t="str">
        <f>IF($M3225="PADD I","PADD 1",IF($M3225="PADD II","PADD 2",IF($M3225="PADD III","PADD 3",IF($M3225="PADD IV","PADD 4",IF($M3225="PADD V","PADD 5","")))))</f>
        <v>PADD 3</v>
      </c>
      <c r="G3225" s="6" t="str">
        <f>IF(AND($H3225="ATMOS DISTILLATION",ISNUMBER(SEARCH("VPS",$I3225))=FALSE,LEFT($I3225,6)&lt;&gt;"VACUUM"),"CDU",IF($H3225="FLUID CAT CRACKING","FCC",IF(OR($H3225="HYDROCRACKING",$H3225="RESID_HYDROCRACKING"),"Hydrocracker",IF($H3225="REFORMING","Reformer",""))))</f>
        <v>CDU</v>
      </c>
      <c r="H3225" s="6" t="s">
        <v>38</v>
      </c>
      <c r="I3225" s="6" t="s">
        <v>410</v>
      </c>
      <c r="J3225" s="6" t="s">
        <v>345</v>
      </c>
      <c r="K3225" s="10">
        <v>20.8</v>
      </c>
      <c r="L3225" s="10">
        <v>80</v>
      </c>
      <c r="M3225" s="6" t="s">
        <v>371</v>
      </c>
    </row>
    <row r="3226" spans="1:13">
      <c r="A3226" s="6">
        <v>2024</v>
      </c>
      <c r="B3226" s="6">
        <v>3</v>
      </c>
      <c r="C3226" s="6" t="s">
        <v>61</v>
      </c>
      <c r="D3226" s="6" t="s">
        <v>576</v>
      </c>
      <c r="E3226" s="6" t="s">
        <v>369</v>
      </c>
      <c r="F3226" s="6" t="str">
        <f>IF($M3226="PADD I","PADD 1",IF($M3226="PADD II","PADD 2",IF($M3226="PADD III","PADD 3",IF($M3226="PADD IV","PADD 4",IF($M3226="PADD V","PADD 5","")))))</f>
        <v>PADD 3</v>
      </c>
      <c r="G3226" s="6" t="str">
        <f>IF(AND($H3226="ATMOS DISTILLATION",ISNUMBER(SEARCH("VPS",$I3226))=FALSE,LEFT($I3226,6)&lt;&gt;"VACUUM"),"CDU",IF($H3226="FLUID CAT CRACKING","FCC",IF(OR($H3226="HYDROCRACKING",$H3226="RESID_HYDROCRACKING"),"Hydrocracker",IF($H3226="REFORMING","Reformer",""))))</f>
        <v>CDU</v>
      </c>
      <c r="H3226" s="6" t="s">
        <v>38</v>
      </c>
      <c r="I3226" s="6" t="s">
        <v>332</v>
      </c>
      <c r="J3226" s="6" t="s">
        <v>349</v>
      </c>
      <c r="K3226" s="10">
        <v>20.3</v>
      </c>
      <c r="L3226" s="10">
        <v>70</v>
      </c>
      <c r="M3226" s="6" t="s">
        <v>371</v>
      </c>
    </row>
    <row r="3227" spans="1:13">
      <c r="A3227" s="6">
        <v>2024</v>
      </c>
      <c r="B3227" s="6">
        <v>3</v>
      </c>
      <c r="C3227" s="6" t="s">
        <v>61</v>
      </c>
      <c r="D3227" s="6" t="s">
        <v>331</v>
      </c>
      <c r="E3227" s="6" t="s">
        <v>373</v>
      </c>
      <c r="F3227" s="6" t="str">
        <f>IF($M3227="PADD I","PADD 1",IF($M3227="PADD II","PADD 2",IF($M3227="PADD III","PADD 3",IF($M3227="PADD IV","PADD 4",IF($M3227="PADD V","PADD 5","")))))</f>
        <v>PADD 2</v>
      </c>
      <c r="G3227" s="6">
        <f>IF(AND($H3227="ATMOS DISTILLATION",ISNUMBER(SEARCH("VPS",$I3227))=FALSE,LEFT($I3227,6)&lt;&gt;"VACUUM"),"CDU",IF($H3227="FLUID CAT CRACKING","FCC",IF(OR($H3227="HYDROCRACKING",$H3227="RESID_HYDROCRACKING"),"Hydrocracker",IF($H3227="REFORMING","Reformer",""))))</f>
        <v/>
      </c>
      <c r="H3227" s="6" t="s">
        <v>435</v>
      </c>
      <c r="I3227" s="6" t="s">
        <v>441</v>
      </c>
      <c r="J3227" s="6" t="s">
        <v>345</v>
      </c>
      <c r="K3227" s="10">
        <v>20.01</v>
      </c>
      <c r="L3227" s="10">
        <v>23</v>
      </c>
      <c r="M3227" s="6" t="s">
        <v>375</v>
      </c>
    </row>
    <row r="3228" spans="1:13">
      <c r="A3228" s="6">
        <v>2024</v>
      </c>
      <c r="B3228" s="6">
        <v>3</v>
      </c>
      <c r="C3228" s="6" t="s">
        <v>61</v>
      </c>
      <c r="D3228" s="6" t="s">
        <v>465</v>
      </c>
      <c r="E3228" s="6" t="s">
        <v>369</v>
      </c>
      <c r="F3228" s="6" t="str">
        <f>IF($M3228="PADD I","PADD 1",IF($M3228="PADD II","PADD 2",IF($M3228="PADD III","PADD 3",IF($M3228="PADD IV","PADD 4",IF($M3228="PADD V","PADD 5","")))))</f>
        <v>PADD 5</v>
      </c>
      <c r="G3228" s="6" t="str">
        <f>IF(AND($H3228="ATMOS DISTILLATION",ISNUMBER(SEARCH("VPS",$I3228))=FALSE,LEFT($I3228,6)&lt;&gt;"VACUUM"),"CDU",IF($H3228="FLUID CAT CRACKING","FCC",IF(OR($H3228="HYDROCRACKING",$H3228="RESID_HYDROCRACKING"),"Hydrocracker",IF($H3228="REFORMING","Reformer",""))))</f>
        <v>Reformer</v>
      </c>
      <c r="H3228" s="6" t="s">
        <v>421</v>
      </c>
      <c r="I3228" s="6" t="s">
        <v>673</v>
      </c>
      <c r="J3228" s="6" t="s">
        <v>349</v>
      </c>
      <c r="K3228" s="10">
        <v>20</v>
      </c>
      <c r="L3228" s="10">
        <v>20</v>
      </c>
      <c r="M3228" s="6" t="s">
        <v>386</v>
      </c>
    </row>
    <row r="3229" spans="1:13">
      <c r="A3229" s="6">
        <v>2024</v>
      </c>
      <c r="B3229" s="6">
        <v>3</v>
      </c>
      <c r="C3229" s="6" t="s">
        <v>61</v>
      </c>
      <c r="D3229" s="6" t="s">
        <v>408</v>
      </c>
      <c r="E3229" s="6" t="s">
        <v>409</v>
      </c>
      <c r="F3229" s="6" t="str">
        <f>IF($M3229="PADD I","PADD 1",IF($M3229="PADD II","PADD 2",IF($M3229="PADD III","PADD 3",IF($M3229="PADD IV","PADD 4",IF($M3229="PADD V","PADD 5","")))))</f>
        <v>PADD 3</v>
      </c>
      <c r="G3229" s="6">
        <f>IF(AND($H3229="ATMOS DISTILLATION",ISNUMBER(SEARCH("VPS",$I3229))=FALSE,LEFT($I3229,6)&lt;&gt;"VACUUM"),"CDU",IF($H3229="FLUID CAT CRACKING","FCC",IF(OR($H3229="HYDROCRACKING",$H3229="RESID_HYDROCRACKING"),"Hydrocracker",IF($H3229="REFORMING","Reformer",""))))</f>
        <v/>
      </c>
      <c r="H3229" s="6" t="s">
        <v>378</v>
      </c>
      <c r="I3229" s="6" t="s">
        <v>489</v>
      </c>
      <c r="J3229" s="6" t="s">
        <v>345</v>
      </c>
      <c r="K3229" s="10">
        <v>19.2</v>
      </c>
      <c r="L3229" s="10">
        <v>60</v>
      </c>
      <c r="M3229" s="6" t="s">
        <v>371</v>
      </c>
    </row>
    <row r="3230" spans="1:13">
      <c r="A3230" s="6">
        <v>2024</v>
      </c>
      <c r="B3230" s="6">
        <v>3</v>
      </c>
      <c r="C3230" s="6" t="s">
        <v>61</v>
      </c>
      <c r="D3230" s="6" t="s">
        <v>48</v>
      </c>
      <c r="E3230" s="6" t="s">
        <v>388</v>
      </c>
      <c r="F3230" s="6" t="str">
        <f>IF($M3230="PADD I","PADD 1",IF($M3230="PADD II","PADD 2",IF($M3230="PADD III","PADD 3",IF($M3230="PADD IV","PADD 4",IF($M3230="PADD V","PADD 5","")))))</f>
        <v>PADD 2</v>
      </c>
      <c r="G3230" s="6" t="str">
        <f>IF(AND($H3230="ATMOS DISTILLATION",ISNUMBER(SEARCH("VPS",$I3230))=FALSE,LEFT($I3230,6)&lt;&gt;"VACUUM"),"CDU",IF($H3230="FLUID CAT CRACKING","FCC",IF(OR($H3230="HYDROCRACKING",$H3230="RESID_HYDROCRACKING"),"Hydrocracker",IF($H3230="REFORMING","Reformer",""))))</f>
        <v>Hydrocracker</v>
      </c>
      <c r="H3230" s="6" t="s">
        <v>444</v>
      </c>
      <c r="I3230" s="6" t="s">
        <v>758</v>
      </c>
      <c r="J3230" s="6" t="s">
        <v>345</v>
      </c>
      <c r="K3230" s="10">
        <v>18.48</v>
      </c>
      <c r="L3230" s="10">
        <v>44</v>
      </c>
      <c r="M3230" s="6" t="s">
        <v>375</v>
      </c>
    </row>
    <row r="3231" spans="1:13">
      <c r="A3231" s="6">
        <v>2024</v>
      </c>
      <c r="B3231" s="6">
        <v>3</v>
      </c>
      <c r="C3231" s="6" t="s">
        <v>61</v>
      </c>
      <c r="D3231" s="6" t="s">
        <v>762</v>
      </c>
      <c r="E3231" s="6" t="s">
        <v>763</v>
      </c>
      <c r="F3231" s="6" t="str">
        <f>IF($M3231="PADD I","PADD 1",IF($M3231="PADD II","PADD 2",IF($M3231="PADD III","PADD 3",IF($M3231="PADD IV","PADD 4",IF($M3231="PADD V","PADD 5","")))))</f>
        <v>PADD 2</v>
      </c>
      <c r="G3231" s="6" t="str">
        <f>IF(AND($H3231="ATMOS DISTILLATION",ISNUMBER(SEARCH("VPS",$I3231))=FALSE,LEFT($I3231,6)&lt;&gt;"VACUUM"),"CDU",IF($H3231="FLUID CAT CRACKING","FCC",IF(OR($H3231="HYDROCRACKING",$H3231="RESID_HYDROCRACKING"),"Hydrocracker",IF($H3231="REFORMING","Reformer",""))))</f>
        <v>FCC</v>
      </c>
      <c r="H3231" s="6" t="s">
        <v>376</v>
      </c>
      <c r="I3231" s="6" t="s">
        <v>105</v>
      </c>
      <c r="J3231" s="6" t="s">
        <v>349</v>
      </c>
      <c r="K3231" s="10">
        <v>17.64</v>
      </c>
      <c r="L3231" s="10">
        <v>21</v>
      </c>
      <c r="M3231" s="6" t="s">
        <v>375</v>
      </c>
    </row>
    <row r="3232" spans="1:13">
      <c r="A3232" s="6">
        <v>2024</v>
      </c>
      <c r="B3232" s="6">
        <v>3</v>
      </c>
      <c r="C3232" s="6" t="s">
        <v>61</v>
      </c>
      <c r="D3232" s="6" t="s">
        <v>446</v>
      </c>
      <c r="E3232" s="6" t="s">
        <v>391</v>
      </c>
      <c r="F3232" s="6" t="str">
        <f>IF($M3232="PADD I","PADD 1",IF($M3232="PADD II","PADD 2",IF($M3232="PADD III","PADD 3",IF($M3232="PADD IV","PADD 4",IF($M3232="PADD V","PADD 5","")))))</f>
        <v>PADD 3</v>
      </c>
      <c r="G3232" s="6">
        <f>IF(AND($H3232="ATMOS DISTILLATION",ISNUMBER(SEARCH("VPS",$I3232))=FALSE,LEFT($I3232,6)&lt;&gt;"VACUUM"),"CDU",IF($H3232="FLUID CAT CRACKING","FCC",IF(OR($H3232="HYDROCRACKING",$H3232="RESID_HYDROCRACKING"),"Hydrocracker",IF($H3232="REFORMING","Reformer",""))))</f>
        <v/>
      </c>
      <c r="H3232" s="6" t="s">
        <v>43</v>
      </c>
      <c r="I3232" s="6" t="s">
        <v>1143</v>
      </c>
      <c r="J3232" s="6" t="s">
        <v>349</v>
      </c>
      <c r="K3232" s="10">
        <v>17.6</v>
      </c>
      <c r="L3232" s="10">
        <v>32</v>
      </c>
      <c r="M3232" s="6" t="s">
        <v>371</v>
      </c>
    </row>
    <row r="3233" spans="1:13">
      <c r="A3233" s="6">
        <v>2024</v>
      </c>
      <c r="B3233" s="6">
        <v>3</v>
      </c>
      <c r="C3233" s="6" t="s">
        <v>61</v>
      </c>
      <c r="D3233" s="6" t="s">
        <v>415</v>
      </c>
      <c r="E3233" s="6" t="s">
        <v>416</v>
      </c>
      <c r="F3233" s="6" t="str">
        <f>IF($M3233="PADD I","PADD 1",IF($M3233="PADD II","PADD 2",IF($M3233="PADD III","PADD 3",IF($M3233="PADD IV","PADD 4",IF($M3233="PADD V","PADD 5","")))))</f>
        <v>PADD 3</v>
      </c>
      <c r="G3233" s="6" t="str">
        <f>IF(AND($H3233="ATMOS DISTILLATION",ISNUMBER(SEARCH("VPS",$I3233))=FALSE,LEFT($I3233,6)&lt;&gt;"VACUUM"),"CDU",IF($H3233="FLUID CAT CRACKING","FCC",IF(OR($H3233="HYDROCRACKING",$H3233="RESID_HYDROCRACKING"),"Hydrocracker",IF($H3233="REFORMING","Reformer",""))))</f>
        <v>CDU</v>
      </c>
      <c r="H3233" s="6" t="s">
        <v>38</v>
      </c>
      <c r="I3233" s="6" t="s">
        <v>133</v>
      </c>
      <c r="J3233" s="6" t="s">
        <v>349</v>
      </c>
      <c r="K3233" s="10">
        <v>17.28</v>
      </c>
      <c r="L3233" s="10">
        <v>108</v>
      </c>
      <c r="M3233" s="6" t="s">
        <v>371</v>
      </c>
    </row>
    <row r="3234" spans="1:13">
      <c r="A3234" s="6">
        <v>2024</v>
      </c>
      <c r="B3234" s="6">
        <v>3</v>
      </c>
      <c r="C3234" s="6" t="s">
        <v>61</v>
      </c>
      <c r="D3234" s="6" t="s">
        <v>639</v>
      </c>
      <c r="E3234" s="6" t="s">
        <v>452</v>
      </c>
      <c r="F3234" s="6" t="str">
        <f>IF($M3234="PADD I","PADD 1",IF($M3234="PADD II","PADD 2",IF($M3234="PADD III","PADD 3",IF($M3234="PADD IV","PADD 4",IF($M3234="PADD V","PADD 5","")))))</f>
        <v>PADD 5</v>
      </c>
      <c r="G3234" s="6">
        <f>IF(AND($H3234="ATMOS DISTILLATION",ISNUMBER(SEARCH("VPS",$I3234))=FALSE,LEFT($I3234,6)&lt;&gt;"VACUUM"),"CDU",IF($H3234="FLUID CAT CRACKING","FCC",IF(OR($H3234="HYDROCRACKING",$H3234="RESID_HYDROCRACKING"),"Hydrocracker",IF($H3234="REFORMING","Reformer",""))))</f>
        <v/>
      </c>
      <c r="H3234" s="6" t="s">
        <v>435</v>
      </c>
      <c r="I3234" s="6" t="s">
        <v>1096</v>
      </c>
      <c r="J3234" s="6" t="s">
        <v>345</v>
      </c>
      <c r="K3234" s="10">
        <v>17.04</v>
      </c>
      <c r="L3234" s="10">
        <v>24</v>
      </c>
      <c r="M3234" s="6" t="s">
        <v>386</v>
      </c>
    </row>
    <row r="3235" spans="1:13">
      <c r="A3235" s="6">
        <v>2024</v>
      </c>
      <c r="B3235" s="6">
        <v>3</v>
      </c>
      <c r="C3235" s="6" t="s">
        <v>61</v>
      </c>
      <c r="D3235" s="6" t="s">
        <v>465</v>
      </c>
      <c r="E3235" s="6" t="s">
        <v>369</v>
      </c>
      <c r="F3235" s="6" t="str">
        <f>IF($M3235="PADD I","PADD 1",IF($M3235="PADD II","PADD 2",IF($M3235="PADD III","PADD 3",IF($M3235="PADD IV","PADD 4",IF($M3235="PADD V","PADD 5","")))))</f>
        <v>PADD 5</v>
      </c>
      <c r="G3235" s="6" t="str">
        <f>IF(AND($H3235="ATMOS DISTILLATION",ISNUMBER(SEARCH("VPS",$I3235))=FALSE,LEFT($I3235,6)&lt;&gt;"VACUUM"),"CDU",IF($H3235="FLUID CAT CRACKING","FCC",IF(OR($H3235="HYDROCRACKING",$H3235="RESID_HYDROCRACKING"),"Hydrocracker",IF($H3235="REFORMING","Reformer",""))))</f>
        <v>Hydrocracker</v>
      </c>
      <c r="H3235" s="6" t="s">
        <v>444</v>
      </c>
      <c r="I3235" s="6" t="s">
        <v>668</v>
      </c>
      <c r="J3235" s="6" t="s">
        <v>349</v>
      </c>
      <c r="K3235" s="10">
        <v>16.775</v>
      </c>
      <c r="L3235" s="10">
        <v>27.5</v>
      </c>
      <c r="M3235" s="6" t="s">
        <v>386</v>
      </c>
    </row>
    <row r="3236" spans="1:13">
      <c r="A3236" s="6">
        <v>2024</v>
      </c>
      <c r="B3236" s="6">
        <v>3</v>
      </c>
      <c r="C3236" s="6" t="s">
        <v>61</v>
      </c>
      <c r="D3236" s="6" t="s">
        <v>408</v>
      </c>
      <c r="E3236" s="6" t="s">
        <v>409</v>
      </c>
      <c r="F3236" s="6" t="str">
        <f>IF($M3236="PADD I","PADD 1",IF($M3236="PADD II","PADD 2",IF($M3236="PADD III","PADD 3",IF($M3236="PADD IV","PADD 4",IF($M3236="PADD V","PADD 5","")))))</f>
        <v>PADD 3</v>
      </c>
      <c r="G3236" s="6">
        <f>IF(AND($H3236="ATMOS DISTILLATION",ISNUMBER(SEARCH("VPS",$I3236))=FALSE,LEFT($I3236,6)&lt;&gt;"VACUUM"),"CDU",IF($H3236="FLUID CAT CRACKING","FCC",IF(OR($H3236="HYDROCRACKING",$H3236="RESID_HYDROCRACKING"),"Hydrocracker",IF($H3236="REFORMING","Reformer",""))))</f>
        <v/>
      </c>
      <c r="H3236" s="6" t="s">
        <v>378</v>
      </c>
      <c r="I3236" s="6" t="s">
        <v>506</v>
      </c>
      <c r="J3236" s="6" t="s">
        <v>345</v>
      </c>
      <c r="K3236" s="10">
        <v>16.64</v>
      </c>
      <c r="L3236" s="10">
        <v>52</v>
      </c>
      <c r="M3236" s="6" t="s">
        <v>371</v>
      </c>
    </row>
    <row r="3237" spans="1:13">
      <c r="A3237" s="6">
        <v>2024</v>
      </c>
      <c r="B3237" s="6">
        <v>3</v>
      </c>
      <c r="C3237" s="6" t="s">
        <v>61</v>
      </c>
      <c r="D3237" s="6" t="s">
        <v>429</v>
      </c>
      <c r="E3237" s="6" t="s">
        <v>388</v>
      </c>
      <c r="F3237" s="6" t="str">
        <f>IF($M3237="PADD I","PADD 1",IF($M3237="PADD II","PADD 2",IF($M3237="PADD III","PADD 3",IF($M3237="PADD IV","PADD 4",IF($M3237="PADD V","PADD 5","")))))</f>
        <v>PADD 4</v>
      </c>
      <c r="G3237" s="6">
        <f>IF(AND($H3237="ATMOS DISTILLATION",ISNUMBER(SEARCH("VPS",$I3237))=FALSE,LEFT($I3237,6)&lt;&gt;"VACUUM"),"CDU",IF($H3237="FLUID CAT CRACKING","FCC",IF(OR($H3237="HYDROCRACKING",$H3237="RESID_HYDROCRACKING"),"Hydrocracker",IF($H3237="REFORMING","Reformer",""))))</f>
        <v/>
      </c>
      <c r="H3237" s="6" t="s">
        <v>43</v>
      </c>
      <c r="I3237" s="6" t="s">
        <v>514</v>
      </c>
      <c r="J3237" s="6" t="s">
        <v>345</v>
      </c>
      <c r="K3237" s="10">
        <v>16.587</v>
      </c>
      <c r="L3237" s="10">
        <v>17.1</v>
      </c>
      <c r="M3237" s="6" t="s">
        <v>430</v>
      </c>
    </row>
    <row r="3238" spans="1:13">
      <c r="A3238" s="6">
        <v>2024</v>
      </c>
      <c r="B3238" s="6">
        <v>3</v>
      </c>
      <c r="C3238" s="6" t="s">
        <v>61</v>
      </c>
      <c r="D3238" s="6" t="s">
        <v>446</v>
      </c>
      <c r="E3238" s="6" t="s">
        <v>391</v>
      </c>
      <c r="F3238" s="6" t="str">
        <f>IF($M3238="PADD I","PADD 1",IF($M3238="PADD II","PADD 2",IF($M3238="PADD III","PADD 3",IF($M3238="PADD IV","PADD 4",IF($M3238="PADD V","PADD 5","")))))</f>
        <v>PADD 3</v>
      </c>
      <c r="G3238" s="6">
        <f>IF(AND($H3238="ATMOS DISTILLATION",ISNUMBER(SEARCH("VPS",$I3238))=FALSE,LEFT($I3238,6)&lt;&gt;"VACUUM"),"CDU",IF($H3238="FLUID CAT CRACKING","FCC",IF(OR($H3238="HYDROCRACKING",$H3238="RESID_HYDROCRACKING"),"Hydrocracker",IF($H3238="REFORMING","Reformer",""))))</f>
        <v/>
      </c>
      <c r="H3238" s="6" t="s">
        <v>378</v>
      </c>
      <c r="I3238" s="6" t="s">
        <v>1041</v>
      </c>
      <c r="J3238" s="6" t="s">
        <v>345</v>
      </c>
      <c r="K3238" s="10">
        <v>15.96</v>
      </c>
      <c r="L3238" s="10">
        <v>38</v>
      </c>
      <c r="M3238" s="6" t="s">
        <v>371</v>
      </c>
    </row>
    <row r="3239" spans="1:13">
      <c r="A3239" s="6">
        <v>2024</v>
      </c>
      <c r="B3239" s="6">
        <v>3</v>
      </c>
      <c r="C3239" s="6" t="s">
        <v>61</v>
      </c>
      <c r="D3239" s="6" t="s">
        <v>542</v>
      </c>
      <c r="E3239" s="6" t="s">
        <v>543</v>
      </c>
      <c r="F3239" s="6" t="str">
        <f>IF($M3239="PADD I","PADD 1",IF($M3239="PADD II","PADD 2",IF($M3239="PADD III","PADD 3",IF($M3239="PADD IV","PADD 4",IF($M3239="PADD V","PADD 5","")))))</f>
        <v>PADD 2</v>
      </c>
      <c r="G3239" s="6">
        <f>IF(AND($H3239="ATMOS DISTILLATION",ISNUMBER(SEARCH("VPS",$I3239))=FALSE,LEFT($I3239,6)&lt;&gt;"VACUUM"),"CDU",IF($H3239="FLUID CAT CRACKING","FCC",IF(OR($H3239="HYDROCRACKING",$H3239="RESID_HYDROCRACKING"),"Hydrocracker",IF($H3239="REFORMING","Reformer",""))))</f>
        <v/>
      </c>
      <c r="H3239" s="6" t="s">
        <v>43</v>
      </c>
      <c r="I3239" s="6" t="s">
        <v>915</v>
      </c>
      <c r="J3239" s="6" t="s">
        <v>345</v>
      </c>
      <c r="K3239" s="10">
        <v>15.6</v>
      </c>
      <c r="L3239" s="10">
        <v>40</v>
      </c>
      <c r="M3239" s="6" t="s">
        <v>375</v>
      </c>
    </row>
    <row r="3240" spans="1:13">
      <c r="A3240" s="6">
        <v>2024</v>
      </c>
      <c r="B3240" s="6">
        <v>3</v>
      </c>
      <c r="C3240" s="6" t="s">
        <v>61</v>
      </c>
      <c r="D3240" s="6" t="s">
        <v>851</v>
      </c>
      <c r="E3240" s="6" t="s">
        <v>852</v>
      </c>
      <c r="F3240" s="6" t="str">
        <f>IF($M3240="PADD I","PADD 1",IF($M3240="PADD II","PADD 2",IF($M3240="PADD III","PADD 3",IF($M3240="PADD IV","PADD 4",IF($M3240="PADD V","PADD 5","")))))</f>
        <v>PADD 3</v>
      </c>
      <c r="G3240" s="6">
        <f>IF(AND($H3240="ATMOS DISTILLATION",ISNUMBER(SEARCH("VPS",$I3240))=FALSE,LEFT($I3240,6)&lt;&gt;"VACUUM"),"CDU",IF($H3240="FLUID CAT CRACKING","FCC",IF(OR($H3240="HYDROCRACKING",$H3240="RESID_HYDROCRACKING"),"Hydrocracker",IF($H3240="REFORMING","Reformer",""))))</f>
        <v/>
      </c>
      <c r="H3240" s="6" t="s">
        <v>378</v>
      </c>
      <c r="I3240" s="6" t="s">
        <v>860</v>
      </c>
      <c r="J3240" s="6" t="s">
        <v>345</v>
      </c>
      <c r="K3240" s="10">
        <v>15.12</v>
      </c>
      <c r="L3240" s="10">
        <v>36</v>
      </c>
      <c r="M3240" s="6" t="s">
        <v>371</v>
      </c>
    </row>
    <row r="3241" spans="1:13">
      <c r="A3241" s="6">
        <v>2024</v>
      </c>
      <c r="B3241" s="6">
        <v>3</v>
      </c>
      <c r="C3241" s="6" t="s">
        <v>61</v>
      </c>
      <c r="D3241" s="6" t="s">
        <v>387</v>
      </c>
      <c r="E3241" s="6" t="s">
        <v>388</v>
      </c>
      <c r="F3241" s="6" t="str">
        <f>IF($M3241="PADD I","PADD 1",IF($M3241="PADD II","PADD 2",IF($M3241="PADD III","PADD 3",IF($M3241="PADD IV","PADD 4",IF($M3241="PADD V","PADD 5","")))))</f>
        <v>PADD 3</v>
      </c>
      <c r="G3241" s="6" t="str">
        <f>IF(AND($H3241="ATMOS DISTILLATION",ISNUMBER(SEARCH("VPS",$I3241))=FALSE,LEFT($I3241,6)&lt;&gt;"VACUUM"),"CDU",IF($H3241="FLUID CAT CRACKING","FCC",IF(OR($H3241="HYDROCRACKING",$H3241="RESID_HYDROCRACKING"),"Hydrocracker",IF($H3241="REFORMING","Reformer",""))))</f>
        <v>Reformer</v>
      </c>
      <c r="H3241" s="6" t="s">
        <v>421</v>
      </c>
      <c r="I3241" s="6" t="s">
        <v>443</v>
      </c>
      <c r="J3241" s="6" t="s">
        <v>345</v>
      </c>
      <c r="K3241" s="10">
        <v>14.725</v>
      </c>
      <c r="L3241" s="10">
        <v>77.5</v>
      </c>
      <c r="M3241" s="6" t="s">
        <v>371</v>
      </c>
    </row>
    <row r="3242" spans="1:13">
      <c r="A3242" s="6">
        <v>2024</v>
      </c>
      <c r="B3242" s="6">
        <v>3</v>
      </c>
      <c r="C3242" s="6" t="s">
        <v>61</v>
      </c>
      <c r="D3242" s="6" t="s">
        <v>547</v>
      </c>
      <c r="E3242" s="6" t="s">
        <v>391</v>
      </c>
      <c r="F3242" s="6" t="str">
        <f>IF($M3242="PADD I","PADD 1",IF($M3242="PADD II","PADD 2",IF($M3242="PADD III","PADD 3",IF($M3242="PADD IV","PADD 4",IF($M3242="PADD V","PADD 5","")))))</f>
        <v>PADD 5</v>
      </c>
      <c r="G3242" s="6" t="str">
        <f>IF(AND($H3242="ATMOS DISTILLATION",ISNUMBER(SEARCH("VPS",$I3242))=FALSE,LEFT($I3242,6)&lt;&gt;"VACUUM"),"CDU",IF($H3242="FLUID CAT CRACKING","FCC",IF(OR($H3242="HYDROCRACKING",$H3242="RESID_HYDROCRACKING"),"Hydrocracker",IF($H3242="REFORMING","Reformer",""))))</f>
        <v>Reformer</v>
      </c>
      <c r="H3242" s="6" t="s">
        <v>421</v>
      </c>
      <c r="I3242" s="6" t="s">
        <v>548</v>
      </c>
      <c r="J3242" s="6" t="s">
        <v>345</v>
      </c>
      <c r="K3242" s="10">
        <v>14.56</v>
      </c>
      <c r="L3242" s="10">
        <v>28</v>
      </c>
      <c r="M3242" s="6" t="s">
        <v>386</v>
      </c>
    </row>
    <row r="3243" spans="1:13">
      <c r="A3243" s="6">
        <v>2024</v>
      </c>
      <c r="B3243" s="6">
        <v>3</v>
      </c>
      <c r="C3243" s="6" t="s">
        <v>61</v>
      </c>
      <c r="D3243" s="6" t="s">
        <v>484</v>
      </c>
      <c r="E3243" s="6" t="s">
        <v>409</v>
      </c>
      <c r="F3243" s="6" t="str">
        <f>IF($M3243="PADD I","PADD 1",IF($M3243="PADD II","PADD 2",IF($M3243="PADD III","PADD 3",IF($M3243="PADD IV","PADD 4",IF($M3243="PADD V","PADD 5","")))))</f>
        <v>PADD 3</v>
      </c>
      <c r="G3243" s="6">
        <f>IF(AND($H3243="ATMOS DISTILLATION",ISNUMBER(SEARCH("VPS",$I3243))=FALSE,LEFT($I3243,6)&lt;&gt;"VACUUM"),"CDU",IF($H3243="FLUID CAT CRACKING","FCC",IF(OR($H3243="HYDROCRACKING",$H3243="RESID_HYDROCRACKING"),"Hydrocracker",IF($H3243="REFORMING","Reformer",""))))</f>
        <v/>
      </c>
      <c r="H3243" s="6" t="s">
        <v>43</v>
      </c>
      <c r="I3243" s="6" t="s">
        <v>501</v>
      </c>
      <c r="J3243" s="6" t="s">
        <v>345</v>
      </c>
      <c r="K3243" s="10">
        <v>14.56</v>
      </c>
      <c r="L3243" s="10">
        <v>45.5</v>
      </c>
      <c r="M3243" s="6" t="s">
        <v>371</v>
      </c>
    </row>
    <row r="3244" spans="1:13">
      <c r="A3244" s="6">
        <v>2024</v>
      </c>
      <c r="B3244" s="6">
        <v>3</v>
      </c>
      <c r="C3244" s="6" t="s">
        <v>61</v>
      </c>
      <c r="D3244" s="6" t="s">
        <v>408</v>
      </c>
      <c r="E3244" s="6" t="s">
        <v>409</v>
      </c>
      <c r="F3244" s="6" t="str">
        <f>IF($M3244="PADD I","PADD 1",IF($M3244="PADD II","PADD 2",IF($M3244="PADD III","PADD 3",IF($M3244="PADD IV","PADD 4",IF($M3244="PADD V","PADD 5","")))))</f>
        <v>PADD 3</v>
      </c>
      <c r="G3244" s="6" t="str">
        <f>IF(AND($H3244="ATMOS DISTILLATION",ISNUMBER(SEARCH("VPS",$I3244))=FALSE,LEFT($I3244,6)&lt;&gt;"VACUUM"),"CDU",IF($H3244="FLUID CAT CRACKING","FCC",IF(OR($H3244="HYDROCRACKING",$H3244="RESID_HYDROCRACKING"),"Hydrocracker",IF($H3244="REFORMING","Reformer",""))))</f>
        <v>FCC</v>
      </c>
      <c r="H3244" s="6" t="s">
        <v>376</v>
      </c>
      <c r="I3244" s="6" t="s">
        <v>426</v>
      </c>
      <c r="J3244" s="6" t="s">
        <v>345</v>
      </c>
      <c r="K3244" s="10">
        <v>14.44</v>
      </c>
      <c r="L3244" s="10">
        <v>76</v>
      </c>
      <c r="M3244" s="6" t="s">
        <v>371</v>
      </c>
    </row>
    <row r="3245" spans="1:13">
      <c r="A3245" s="6">
        <v>2024</v>
      </c>
      <c r="B3245" s="6">
        <v>3</v>
      </c>
      <c r="C3245" s="6" t="s">
        <v>61</v>
      </c>
      <c r="D3245" s="6" t="s">
        <v>42</v>
      </c>
      <c r="E3245" s="6" t="s">
        <v>405</v>
      </c>
      <c r="F3245" s="6" t="str">
        <f>IF($M3245="PADD I","PADD 1",IF($M3245="PADD II","PADD 2",IF($M3245="PADD III","PADD 3",IF($M3245="PADD IV","PADD 4",IF($M3245="PADD V","PADD 5","")))))</f>
        <v>PADD 3</v>
      </c>
      <c r="G3245" s="6">
        <f>IF(AND($H3245="ATMOS DISTILLATION",ISNUMBER(SEARCH("VPS",$I3245))=FALSE,LEFT($I3245,6)&lt;&gt;"VACUUM"),"CDU",IF($H3245="FLUID CAT CRACKING","FCC",IF(OR($H3245="HYDROCRACKING",$H3245="RESID_HYDROCRACKING"),"Hydrocracker",IF($H3245="REFORMING","Reformer",""))))</f>
        <v/>
      </c>
      <c r="H3245" s="6" t="s">
        <v>43</v>
      </c>
      <c r="I3245" s="6" t="s">
        <v>1087</v>
      </c>
      <c r="J3245" s="6" t="s">
        <v>349</v>
      </c>
      <c r="K3245" s="10">
        <v>14.3</v>
      </c>
      <c r="L3245" s="10">
        <v>110</v>
      </c>
      <c r="M3245" s="6" t="s">
        <v>371</v>
      </c>
    </row>
    <row r="3246" spans="1:13">
      <c r="A3246" s="6">
        <v>2024</v>
      </c>
      <c r="B3246" s="6">
        <v>3</v>
      </c>
      <c r="C3246" s="6" t="s">
        <v>61</v>
      </c>
      <c r="D3246" s="6" t="s">
        <v>455</v>
      </c>
      <c r="E3246" s="6" t="s">
        <v>405</v>
      </c>
      <c r="F3246" s="6" t="str">
        <f>IF($M3246="PADD I","PADD 1",IF($M3246="PADD II","PADD 2",IF($M3246="PADD III","PADD 3",IF($M3246="PADD IV","PADD 4",IF($M3246="PADD V","PADD 5","")))))</f>
        <v>PADD 3</v>
      </c>
      <c r="G3246" s="6" t="str">
        <f>IF(AND($H3246="ATMOS DISTILLATION",ISNUMBER(SEARCH("VPS",$I3246))=FALSE,LEFT($I3246,6)&lt;&gt;"VACUUM"),"CDU",IF($H3246="FLUID CAT CRACKING","FCC",IF(OR($H3246="HYDROCRACKING",$H3246="RESID_HYDROCRACKING"),"Hydrocracker",IF($H3246="REFORMING","Reformer",""))))</f>
        <v>Hydrocracker</v>
      </c>
      <c r="H3246" s="6" t="s">
        <v>444</v>
      </c>
      <c r="I3246" s="6" t="s">
        <v>456</v>
      </c>
      <c r="J3246" s="6" t="s">
        <v>349</v>
      </c>
      <c r="K3246" s="10">
        <v>14.25</v>
      </c>
      <c r="L3246" s="10">
        <v>75</v>
      </c>
      <c r="M3246" s="6" t="s">
        <v>371</v>
      </c>
    </row>
    <row r="3247" spans="1:13">
      <c r="A3247" s="6">
        <v>2024</v>
      </c>
      <c r="B3247" s="6">
        <v>3</v>
      </c>
      <c r="C3247" s="6" t="s">
        <v>61</v>
      </c>
      <c r="D3247" s="6" t="s">
        <v>865</v>
      </c>
      <c r="E3247" s="6" t="s">
        <v>369</v>
      </c>
      <c r="F3247" s="6" t="str">
        <f>IF($M3247="PADD I","PADD 1",IF($M3247="PADD II","PADD 2",IF($M3247="PADD III","PADD 3",IF($M3247="PADD IV","PADD 4",IF($M3247="PADD V","PADD 5","")))))</f>
        <v>PADD 4</v>
      </c>
      <c r="G3247" s="6">
        <f>IF(AND($H3247="ATMOS DISTILLATION",ISNUMBER(SEARCH("VPS",$I3247))=FALSE,LEFT($I3247,6)&lt;&gt;"VACUUM"),"CDU",IF($H3247="FLUID CAT CRACKING","FCC",IF(OR($H3247="HYDROCRACKING",$H3247="RESID_HYDROCRACKING"),"Hydrocracker",IF($H3247="REFORMING","Reformer",""))))</f>
        <v/>
      </c>
      <c r="H3247" s="6" t="s">
        <v>435</v>
      </c>
      <c r="I3247" s="6" t="s">
        <v>870</v>
      </c>
      <c r="J3247" s="6" t="s">
        <v>345</v>
      </c>
      <c r="K3247" s="10">
        <v>14.2</v>
      </c>
      <c r="L3247" s="10">
        <v>20</v>
      </c>
      <c r="M3247" s="6" t="s">
        <v>430</v>
      </c>
    </row>
    <row r="3248" spans="1:13">
      <c r="A3248" s="6">
        <v>2024</v>
      </c>
      <c r="B3248" s="6">
        <v>3</v>
      </c>
      <c r="C3248" s="6" t="s">
        <v>61</v>
      </c>
      <c r="D3248" s="6" t="s">
        <v>799</v>
      </c>
      <c r="E3248" s="6" t="s">
        <v>391</v>
      </c>
      <c r="F3248" s="6" t="str">
        <f>IF($M3248="PADD I","PADD 1",IF($M3248="PADD II","PADD 2",IF($M3248="PADD III","PADD 3",IF($M3248="PADD IV","PADD 4",IF($M3248="PADD V","PADD 5","")))))</f>
        <v>PADD 4</v>
      </c>
      <c r="G3248" s="6" t="str">
        <f>IF(AND($H3248="ATMOS DISTILLATION",ISNUMBER(SEARCH("VPS",$I3248))=FALSE,LEFT($I3248,6)&lt;&gt;"VACUUM"),"CDU",IF($H3248="FLUID CAT CRACKING","FCC",IF(OR($H3248="HYDROCRACKING",$H3248="RESID_HYDROCRACKING"),"Hydrocracker",IF($H3248="REFORMING","Reformer",""))))</f>
        <v>CDU</v>
      </c>
      <c r="H3248" s="6" t="s">
        <v>38</v>
      </c>
      <c r="I3248" s="6" t="s">
        <v>1104</v>
      </c>
      <c r="J3248" s="6" t="s">
        <v>349</v>
      </c>
      <c r="K3248" s="10">
        <v>14.17</v>
      </c>
      <c r="L3248" s="10">
        <v>54.5</v>
      </c>
      <c r="M3248" s="6" t="s">
        <v>430</v>
      </c>
    </row>
    <row r="3249" spans="1:13">
      <c r="A3249" s="6">
        <v>2024</v>
      </c>
      <c r="B3249" s="6">
        <v>3</v>
      </c>
      <c r="C3249" s="6" t="s">
        <v>61</v>
      </c>
      <c r="D3249" s="6" t="s">
        <v>542</v>
      </c>
      <c r="E3249" s="6" t="s">
        <v>543</v>
      </c>
      <c r="F3249" s="6" t="str">
        <f>IF($M3249="PADD I","PADD 1",IF($M3249="PADD II","PADD 2",IF($M3249="PADD III","PADD 3",IF($M3249="PADD IV","PADD 4",IF($M3249="PADD V","PADD 5","")))))</f>
        <v>PADD 2</v>
      </c>
      <c r="G3249" s="6">
        <f>IF(AND($H3249="ATMOS DISTILLATION",ISNUMBER(SEARCH("VPS",$I3249))=FALSE,LEFT($I3249,6)&lt;&gt;"VACUUM"),"CDU",IF($H3249="FLUID CAT CRACKING","FCC",IF(OR($H3249="HYDROCRACKING",$H3249="RESID_HYDROCRACKING"),"Hydrocracker",IF($H3249="REFORMING","Reformer",""))))</f>
        <v/>
      </c>
      <c r="H3249" s="6" t="s">
        <v>43</v>
      </c>
      <c r="I3249" s="6" t="s">
        <v>1006</v>
      </c>
      <c r="J3249" s="6" t="s">
        <v>345</v>
      </c>
      <c r="K3249" s="10">
        <v>14.04</v>
      </c>
      <c r="L3249" s="10">
        <v>36</v>
      </c>
      <c r="M3249" s="6" t="s">
        <v>375</v>
      </c>
    </row>
    <row r="3250" spans="1:13">
      <c r="A3250" s="6">
        <v>2024</v>
      </c>
      <c r="B3250" s="6">
        <v>3</v>
      </c>
      <c r="C3250" s="6" t="s">
        <v>61</v>
      </c>
      <c r="D3250" s="6" t="s">
        <v>774</v>
      </c>
      <c r="E3250" s="6" t="s">
        <v>775</v>
      </c>
      <c r="F3250" s="6" t="str">
        <f>IF($M3250="PADD I","PADD 1",IF($M3250="PADD II","PADD 2",IF($M3250="PADD III","PADD 3",IF($M3250="PADD IV","PADD 4",IF($M3250="PADD V","PADD 5","")))))</f>
        <v>PADD 1</v>
      </c>
      <c r="G3250" s="6">
        <f>IF(AND($H3250="ATMOS DISTILLATION",ISNUMBER(SEARCH("VPS",$I3250))=FALSE,LEFT($I3250,6)&lt;&gt;"VACUUM"),"CDU",IF($H3250="FLUID CAT CRACKING","FCC",IF(OR($H3250="HYDROCRACKING",$H3250="RESID_HYDROCRACKING"),"Hydrocracker",IF($H3250="REFORMING","Reformer",""))))</f>
        <v/>
      </c>
      <c r="H3250" s="6" t="s">
        <v>435</v>
      </c>
      <c r="I3250" s="6" t="s">
        <v>776</v>
      </c>
      <c r="J3250" s="6" t="s">
        <v>349</v>
      </c>
      <c r="K3250" s="10">
        <v>13.818</v>
      </c>
      <c r="L3250" s="10">
        <v>14.7</v>
      </c>
      <c r="M3250" s="6" t="s">
        <v>413</v>
      </c>
    </row>
    <row r="3251" spans="1:13">
      <c r="A3251" s="6">
        <v>2024</v>
      </c>
      <c r="B3251" s="6">
        <v>3</v>
      </c>
      <c r="C3251" s="6" t="s">
        <v>61</v>
      </c>
      <c r="D3251" s="6" t="s">
        <v>576</v>
      </c>
      <c r="E3251" s="6" t="s">
        <v>369</v>
      </c>
      <c r="F3251" s="6" t="str">
        <f>IF($M3251="PADD I","PADD 1",IF($M3251="PADD II","PADD 2",IF($M3251="PADD III","PADD 3",IF($M3251="PADD IV","PADD 4",IF($M3251="PADD V","PADD 5","")))))</f>
        <v>PADD 3</v>
      </c>
      <c r="G3251" s="6">
        <f>IF(AND($H3251="ATMOS DISTILLATION",ISNUMBER(SEARCH("VPS",$I3251))=FALSE,LEFT($I3251,6)&lt;&gt;"VACUUM"),"CDU",IF($H3251="FLUID CAT CRACKING","FCC",IF(OR($H3251="HYDROCRACKING",$H3251="RESID_HYDROCRACKING"),"Hydrocracker",IF($H3251="REFORMING","Reformer",""))))</f>
        <v/>
      </c>
      <c r="H3251" s="6" t="s">
        <v>378</v>
      </c>
      <c r="I3251" s="6" t="s">
        <v>964</v>
      </c>
      <c r="J3251" s="6" t="s">
        <v>345</v>
      </c>
      <c r="K3251" s="10">
        <v>13.806</v>
      </c>
      <c r="L3251" s="10">
        <v>53.1</v>
      </c>
      <c r="M3251" s="6" t="s">
        <v>371</v>
      </c>
    </row>
    <row r="3252" spans="1:13">
      <c r="A3252" s="6">
        <v>2024</v>
      </c>
      <c r="B3252" s="6">
        <v>3</v>
      </c>
      <c r="C3252" s="6" t="s">
        <v>61</v>
      </c>
      <c r="D3252" s="6" t="s">
        <v>628</v>
      </c>
      <c r="E3252" s="6" t="s">
        <v>388</v>
      </c>
      <c r="F3252" s="6" t="str">
        <f>IF($M3252="PADD I","PADD 1",IF($M3252="PADD II","PADD 2",IF($M3252="PADD III","PADD 3",IF($M3252="PADD IV","PADD 4",IF($M3252="PADD V","PADD 5","")))))</f>
        <v>PADD 3</v>
      </c>
      <c r="G3252" s="6">
        <f>IF(AND($H3252="ATMOS DISTILLATION",ISNUMBER(SEARCH("VPS",$I3252))=FALSE,LEFT($I3252,6)&lt;&gt;"VACUUM"),"CDU",IF($H3252="FLUID CAT CRACKING","FCC",IF(OR($H3252="HYDROCRACKING",$H3252="RESID_HYDROCRACKING"),"Hydrocracker",IF($H3252="REFORMING","Reformer",""))))</f>
        <v/>
      </c>
      <c r="H3252" s="6" t="s">
        <v>460</v>
      </c>
      <c r="I3252" s="6" t="s">
        <v>616</v>
      </c>
      <c r="J3252" s="6" t="s">
        <v>345</v>
      </c>
      <c r="K3252" s="10">
        <v>13.8</v>
      </c>
      <c r="L3252" s="10">
        <v>13.8</v>
      </c>
      <c r="M3252" s="6" t="s">
        <v>371</v>
      </c>
    </row>
    <row r="3253" spans="1:13">
      <c r="A3253" s="6">
        <v>2024</v>
      </c>
      <c r="B3253" s="6">
        <v>3</v>
      </c>
      <c r="C3253" s="6" t="s">
        <v>61</v>
      </c>
      <c r="D3253" s="6" t="s">
        <v>774</v>
      </c>
      <c r="E3253" s="6" t="s">
        <v>775</v>
      </c>
      <c r="F3253" s="6" t="str">
        <f>IF($M3253="PADD I","PADD 1",IF($M3253="PADD II","PADD 2",IF($M3253="PADD III","PADD 3",IF($M3253="PADD IV","PADD 4",IF($M3253="PADD V","PADD 5","")))))</f>
        <v>PADD 1</v>
      </c>
      <c r="G3253" s="6">
        <f>IF(AND($H3253="ATMOS DISTILLATION",ISNUMBER(SEARCH("VPS",$I3253))=FALSE,LEFT($I3253,6)&lt;&gt;"VACUUM"),"CDU",IF($H3253="FLUID CAT CRACKING","FCC",IF(OR($H3253="HYDROCRACKING",$H3253="RESID_HYDROCRACKING"),"Hydrocracker",IF($H3253="REFORMING","Reformer",""))))</f>
        <v/>
      </c>
      <c r="H3253" s="6" t="s">
        <v>43</v>
      </c>
      <c r="I3253" s="6" t="s">
        <v>1144</v>
      </c>
      <c r="J3253" s="6" t="s">
        <v>349</v>
      </c>
      <c r="K3253" s="10">
        <v>13.536</v>
      </c>
      <c r="L3253" s="10">
        <v>14.4</v>
      </c>
      <c r="M3253" s="6" t="s">
        <v>413</v>
      </c>
    </row>
    <row r="3254" spans="1:13">
      <c r="A3254" s="6">
        <v>2024</v>
      </c>
      <c r="B3254" s="6">
        <v>3</v>
      </c>
      <c r="C3254" s="6" t="s">
        <v>61</v>
      </c>
      <c r="D3254" s="6" t="s">
        <v>408</v>
      </c>
      <c r="E3254" s="6" t="s">
        <v>409</v>
      </c>
      <c r="F3254" s="6" t="str">
        <f>IF($M3254="PADD I","PADD 1",IF($M3254="PADD II","PADD 2",IF($M3254="PADD III","PADD 3",IF($M3254="PADD IV","PADD 4",IF($M3254="PADD V","PADD 5","")))))</f>
        <v>PADD 3</v>
      </c>
      <c r="G3254" s="6">
        <f>IF(AND($H3254="ATMOS DISTILLATION",ISNUMBER(SEARCH("VPS",$I3254))=FALSE,LEFT($I3254,6)&lt;&gt;"VACUUM"),"CDU",IF($H3254="FLUID CAT CRACKING","FCC",IF(OR($H3254="HYDROCRACKING",$H3254="RESID_HYDROCRACKING"),"Hydrocracker",IF($H3254="REFORMING","Reformer",""))))</f>
        <v/>
      </c>
      <c r="H3254" s="6" t="s">
        <v>378</v>
      </c>
      <c r="I3254" s="6" t="s">
        <v>506</v>
      </c>
      <c r="J3254" s="6" t="s">
        <v>345</v>
      </c>
      <c r="K3254" s="10">
        <v>13.52</v>
      </c>
      <c r="L3254" s="10">
        <v>52</v>
      </c>
      <c r="M3254" s="6" t="s">
        <v>371</v>
      </c>
    </row>
    <row r="3255" spans="1:13">
      <c r="A3255" s="6">
        <v>2024</v>
      </c>
      <c r="B3255" s="6">
        <v>3</v>
      </c>
      <c r="C3255" s="6" t="s">
        <v>61</v>
      </c>
      <c r="D3255" s="6" t="s">
        <v>1141</v>
      </c>
      <c r="E3255" s="6" t="s">
        <v>1079</v>
      </c>
      <c r="F3255" s="6" t="str">
        <f>IF($M3255="PADD I","PADD 1",IF($M3255="PADD II","PADD 2",IF($M3255="PADD III","PADD 3",IF($M3255="PADD IV","PADD 4",IF($M3255="PADD V","PADD 5","")))))</f>
        <v>PADD 3</v>
      </c>
      <c r="G3255" s="6" t="str">
        <f>IF(AND($H3255="ATMOS DISTILLATION",ISNUMBER(SEARCH("VPS",$I3255))=FALSE,LEFT($I3255,6)&lt;&gt;"VACUUM"),"CDU",IF($H3255="FLUID CAT CRACKING","FCC",IF(OR($H3255="HYDROCRACKING",$H3255="RESID_HYDROCRACKING"),"Hydrocracker",IF($H3255="REFORMING","Reformer",""))))</f>
        <v>Reformer</v>
      </c>
      <c r="H3255" s="6" t="s">
        <v>421</v>
      </c>
      <c r="I3255" s="6" t="s">
        <v>559</v>
      </c>
      <c r="J3255" s="6" t="s">
        <v>349</v>
      </c>
      <c r="K3255" s="10">
        <v>13.5</v>
      </c>
      <c r="L3255" s="10">
        <v>13.5</v>
      </c>
      <c r="M3255" s="6" t="s">
        <v>371</v>
      </c>
    </row>
    <row r="3256" spans="1:13">
      <c r="A3256" s="6">
        <v>2024</v>
      </c>
      <c r="B3256" s="6">
        <v>3</v>
      </c>
      <c r="C3256" s="6" t="s">
        <v>61</v>
      </c>
      <c r="D3256" s="6" t="s">
        <v>408</v>
      </c>
      <c r="E3256" s="6" t="s">
        <v>409</v>
      </c>
      <c r="F3256" s="6" t="str">
        <f>IF($M3256="PADD I","PADD 1",IF($M3256="PADD II","PADD 2",IF($M3256="PADD III","PADD 3",IF($M3256="PADD IV","PADD 4",IF($M3256="PADD V","PADD 5","")))))</f>
        <v>PADD 3</v>
      </c>
      <c r="G3256" s="6">
        <f>IF(AND($H3256="ATMOS DISTILLATION",ISNUMBER(SEARCH("VPS",$I3256))=FALSE,LEFT($I3256,6)&lt;&gt;"VACUUM"),"CDU",IF($H3256="FLUID CAT CRACKING","FCC",IF(OR($H3256="HYDROCRACKING",$H3256="RESID_HYDROCRACKING"),"Hydrocracker",IF($H3256="REFORMING","Reformer",""))))</f>
        <v/>
      </c>
      <c r="H3256" s="6" t="s">
        <v>43</v>
      </c>
      <c r="I3256" s="6" t="s">
        <v>478</v>
      </c>
      <c r="J3256" s="6" t="s">
        <v>345</v>
      </c>
      <c r="K3256" s="10">
        <v>13.44</v>
      </c>
      <c r="L3256" s="10">
        <v>42</v>
      </c>
      <c r="M3256" s="6" t="s">
        <v>371</v>
      </c>
    </row>
    <row r="3257" spans="1:13">
      <c r="A3257" s="6">
        <v>2024</v>
      </c>
      <c r="B3257" s="6">
        <v>3</v>
      </c>
      <c r="C3257" s="6" t="s">
        <v>61</v>
      </c>
      <c r="D3257" s="6" t="s">
        <v>639</v>
      </c>
      <c r="E3257" s="6" t="s">
        <v>452</v>
      </c>
      <c r="F3257" s="6" t="str">
        <f>IF($M3257="PADD I","PADD 1",IF($M3257="PADD II","PADD 2",IF($M3257="PADD III","PADD 3",IF($M3257="PADD IV","PADD 4",IF($M3257="PADD V","PADD 5","")))))</f>
        <v>PADD 5</v>
      </c>
      <c r="G3257" s="6">
        <f>IF(AND($H3257="ATMOS DISTILLATION",ISNUMBER(SEARCH("VPS",$I3257))=FALSE,LEFT($I3257,6)&lt;&gt;"VACUUM"),"CDU",IF($H3257="FLUID CAT CRACKING","FCC",IF(OR($H3257="HYDROCRACKING",$H3257="RESID_HYDROCRACKING"),"Hydrocracker",IF($H3257="REFORMING","Reformer",""))))</f>
        <v/>
      </c>
      <c r="H3257" s="6" t="s">
        <v>435</v>
      </c>
      <c r="I3257" s="6" t="s">
        <v>1096</v>
      </c>
      <c r="J3257" s="6" t="s">
        <v>349</v>
      </c>
      <c r="K3257" s="10">
        <v>13.2</v>
      </c>
      <c r="L3257" s="10">
        <v>24</v>
      </c>
      <c r="M3257" s="6" t="s">
        <v>386</v>
      </c>
    </row>
    <row r="3258" spans="1:13">
      <c r="A3258" s="6">
        <v>2024</v>
      </c>
      <c r="B3258" s="6">
        <v>3</v>
      </c>
      <c r="C3258" s="6" t="s">
        <v>61</v>
      </c>
      <c r="D3258" s="6" t="s">
        <v>48</v>
      </c>
      <c r="E3258" s="6" t="s">
        <v>388</v>
      </c>
      <c r="F3258" s="6" t="str">
        <f>IF($M3258="PADD I","PADD 1",IF($M3258="PADD II","PADD 2",IF($M3258="PADD III","PADD 3",IF($M3258="PADD IV","PADD 4",IF($M3258="PADD V","PADD 5","")))))</f>
        <v>PADD 2</v>
      </c>
      <c r="G3258" s="6">
        <f>IF(AND($H3258="ATMOS DISTILLATION",ISNUMBER(SEARCH("VPS",$I3258))=FALSE,LEFT($I3258,6)&lt;&gt;"VACUUM"),"CDU",IF($H3258="FLUID CAT CRACKING","FCC",IF(OR($H3258="HYDROCRACKING",$H3258="RESID_HYDROCRACKING"),"Hydrocracker",IF($H3258="REFORMING","Reformer",""))))</f>
        <v/>
      </c>
      <c r="H3258" s="6" t="s">
        <v>43</v>
      </c>
      <c r="I3258" s="6" t="s">
        <v>761</v>
      </c>
      <c r="J3258" s="6" t="s">
        <v>345</v>
      </c>
      <c r="K3258" s="10">
        <v>13.2</v>
      </c>
      <c r="L3258" s="10">
        <v>24</v>
      </c>
      <c r="M3258" s="6" t="s">
        <v>375</v>
      </c>
    </row>
    <row r="3259" spans="1:13">
      <c r="A3259" s="6">
        <v>2024</v>
      </c>
      <c r="B3259" s="6">
        <v>3</v>
      </c>
      <c r="C3259" s="6" t="s">
        <v>61</v>
      </c>
      <c r="D3259" s="6" t="s">
        <v>774</v>
      </c>
      <c r="E3259" s="6" t="s">
        <v>775</v>
      </c>
      <c r="F3259" s="6" t="str">
        <f>IF($M3259="PADD I","PADD 1",IF($M3259="PADD II","PADD 2",IF($M3259="PADD III","PADD 3",IF($M3259="PADD IV","PADD 4",IF($M3259="PADD V","PADD 5","")))))</f>
        <v>PADD 1</v>
      </c>
      <c r="G3259" s="6">
        <f>IF(AND($H3259="ATMOS DISTILLATION",ISNUMBER(SEARCH("VPS",$I3259))=FALSE,LEFT($I3259,6)&lt;&gt;"VACUUM"),"CDU",IF($H3259="FLUID CAT CRACKING","FCC",IF(OR($H3259="HYDROCRACKING",$H3259="RESID_HYDROCRACKING"),"Hydrocracker",IF($H3259="REFORMING","Reformer",""))))</f>
        <v/>
      </c>
      <c r="H3259" s="6" t="s">
        <v>43</v>
      </c>
      <c r="I3259" s="6" t="s">
        <v>1145</v>
      </c>
      <c r="J3259" s="6" t="s">
        <v>349</v>
      </c>
      <c r="K3259" s="10">
        <v>13.16</v>
      </c>
      <c r="L3259" s="10">
        <v>14</v>
      </c>
      <c r="M3259" s="6" t="s">
        <v>413</v>
      </c>
    </row>
    <row r="3260" spans="1:13">
      <c r="A3260" s="6">
        <v>2024</v>
      </c>
      <c r="B3260" s="6">
        <v>3</v>
      </c>
      <c r="C3260" s="6" t="s">
        <v>61</v>
      </c>
      <c r="D3260" s="6" t="s">
        <v>639</v>
      </c>
      <c r="E3260" s="6" t="s">
        <v>452</v>
      </c>
      <c r="F3260" s="6" t="str">
        <f>IF($M3260="PADD I","PADD 1",IF($M3260="PADD II","PADD 2",IF($M3260="PADD III","PADD 3",IF($M3260="PADD IV","PADD 4",IF($M3260="PADD V","PADD 5","")))))</f>
        <v>PADD 5</v>
      </c>
      <c r="G3260" s="6">
        <f>IF(AND($H3260="ATMOS DISTILLATION",ISNUMBER(SEARCH("VPS",$I3260))=FALSE,LEFT($I3260,6)&lt;&gt;"VACUUM"),"CDU",IF($H3260="FLUID CAT CRACKING","FCC",IF(OR($H3260="HYDROCRACKING",$H3260="RESID_HYDROCRACKING"),"Hydrocracker",IF($H3260="REFORMING","Reformer",""))))</f>
        <v/>
      </c>
      <c r="H3260" s="6" t="s">
        <v>435</v>
      </c>
      <c r="I3260" s="6" t="s">
        <v>1096</v>
      </c>
      <c r="J3260" s="6" t="s">
        <v>349</v>
      </c>
      <c r="K3260" s="10">
        <v>13.156</v>
      </c>
      <c r="L3260" s="10">
        <v>25.3</v>
      </c>
      <c r="M3260" s="6" t="s">
        <v>386</v>
      </c>
    </row>
    <row r="3261" spans="1:13">
      <c r="A3261" s="6">
        <v>2024</v>
      </c>
      <c r="B3261" s="6">
        <v>3</v>
      </c>
      <c r="C3261" s="6" t="s">
        <v>61</v>
      </c>
      <c r="D3261" s="6" t="s">
        <v>408</v>
      </c>
      <c r="E3261" s="6" t="s">
        <v>409</v>
      </c>
      <c r="F3261" s="6" t="str">
        <f>IF($M3261="PADD I","PADD 1",IF($M3261="PADD II","PADD 2",IF($M3261="PADD III","PADD 3",IF($M3261="PADD IV","PADD 4",IF($M3261="PADD V","PADD 5","")))))</f>
        <v>PADD 3</v>
      </c>
      <c r="G3261" s="6">
        <f>IF(AND($H3261="ATMOS DISTILLATION",ISNUMBER(SEARCH("VPS",$I3261))=FALSE,LEFT($I3261,6)&lt;&gt;"VACUUM"),"CDU",IF($H3261="FLUID CAT CRACKING","FCC",IF(OR($H3261="HYDROCRACKING",$H3261="RESID_HYDROCRACKING"),"Hydrocracker",IF($H3261="REFORMING","Reformer",""))))</f>
        <v/>
      </c>
      <c r="H3261" s="6" t="s">
        <v>378</v>
      </c>
      <c r="I3261" s="6" t="s">
        <v>489</v>
      </c>
      <c r="J3261" s="6" t="s">
        <v>345</v>
      </c>
      <c r="K3261" s="10">
        <v>12.65</v>
      </c>
      <c r="L3261" s="10">
        <v>55</v>
      </c>
      <c r="M3261" s="6" t="s">
        <v>371</v>
      </c>
    </row>
    <row r="3262" spans="1:13">
      <c r="A3262" s="6">
        <v>2024</v>
      </c>
      <c r="B3262" s="6">
        <v>3</v>
      </c>
      <c r="C3262" s="6" t="s">
        <v>61</v>
      </c>
      <c r="D3262" s="6" t="s">
        <v>762</v>
      </c>
      <c r="E3262" s="6" t="s">
        <v>763</v>
      </c>
      <c r="F3262" s="6" t="str">
        <f>IF($M3262="PADD I","PADD 1",IF($M3262="PADD II","PADD 2",IF($M3262="PADD III","PADD 3",IF($M3262="PADD IV","PADD 4",IF($M3262="PADD V","PADD 5","")))))</f>
        <v>PADD 2</v>
      </c>
      <c r="G3262" s="6" t="str">
        <f>IF(AND($H3262="ATMOS DISTILLATION",ISNUMBER(SEARCH("VPS",$I3262))=FALSE,LEFT($I3262,6)&lt;&gt;"VACUUM"),"CDU",IF($H3262="FLUID CAT CRACKING","FCC",IF(OR($H3262="HYDROCRACKING",$H3262="RESID_HYDROCRACKING"),"Hydrocracker",IF($H3262="REFORMING","Reformer",""))))</f>
        <v>Reformer</v>
      </c>
      <c r="H3262" s="6" t="s">
        <v>421</v>
      </c>
      <c r="I3262" s="6" t="s">
        <v>782</v>
      </c>
      <c r="J3262" s="6" t="s">
        <v>349</v>
      </c>
      <c r="K3262" s="10">
        <v>12.6</v>
      </c>
      <c r="L3262" s="10">
        <v>15</v>
      </c>
      <c r="M3262" s="6" t="s">
        <v>375</v>
      </c>
    </row>
    <row r="3263" spans="1:13">
      <c r="A3263" s="6">
        <v>2024</v>
      </c>
      <c r="B3263" s="6">
        <v>3</v>
      </c>
      <c r="C3263" s="6" t="s">
        <v>61</v>
      </c>
      <c r="D3263" s="6" t="s">
        <v>762</v>
      </c>
      <c r="E3263" s="6" t="s">
        <v>763</v>
      </c>
      <c r="F3263" s="6" t="str">
        <f>IF($M3263="PADD I","PADD 1",IF($M3263="PADD II","PADD 2",IF($M3263="PADD III","PADD 3",IF($M3263="PADD IV","PADD 4",IF($M3263="PADD V","PADD 5","")))))</f>
        <v>PADD 2</v>
      </c>
      <c r="G3263" s="6">
        <f>IF(AND($H3263="ATMOS DISTILLATION",ISNUMBER(SEARCH("VPS",$I3263))=FALSE,LEFT($I3263,6)&lt;&gt;"VACUUM"),"CDU",IF($H3263="FLUID CAT CRACKING","FCC",IF(OR($H3263="HYDROCRACKING",$H3263="RESID_HYDROCRACKING"),"Hydrocracker",IF($H3263="REFORMING","Reformer",""))))</f>
        <v/>
      </c>
      <c r="H3263" s="6" t="s">
        <v>378</v>
      </c>
      <c r="I3263" s="6" t="s">
        <v>964</v>
      </c>
      <c r="J3263" s="6" t="s">
        <v>349</v>
      </c>
      <c r="K3263" s="10">
        <v>12</v>
      </c>
      <c r="L3263" s="10">
        <v>12</v>
      </c>
      <c r="M3263" s="6" t="s">
        <v>375</v>
      </c>
    </row>
    <row r="3264" spans="1:13">
      <c r="A3264" s="6">
        <v>2024</v>
      </c>
      <c r="B3264" s="6">
        <v>3</v>
      </c>
      <c r="C3264" s="6" t="s">
        <v>61</v>
      </c>
      <c r="D3264" s="6" t="s">
        <v>615</v>
      </c>
      <c r="E3264" s="6" t="s">
        <v>405</v>
      </c>
      <c r="F3264" s="6" t="str">
        <f>IF($M3264="PADD I","PADD 1",IF($M3264="PADD II","PADD 2",IF($M3264="PADD III","PADD 3",IF($M3264="PADD IV","PADD 4",IF($M3264="PADD V","PADD 5","")))))</f>
        <v>PADD 5</v>
      </c>
      <c r="G3264" s="6">
        <f>IF(AND($H3264="ATMOS DISTILLATION",ISNUMBER(SEARCH("VPS",$I3264))=FALSE,LEFT($I3264,6)&lt;&gt;"VACUUM"),"CDU",IF($H3264="FLUID CAT CRACKING","FCC",IF(OR($H3264="HYDROCRACKING",$H3264="RESID_HYDROCRACKING"),"Hydrocracker",IF($H3264="REFORMING","Reformer",""))))</f>
        <v/>
      </c>
      <c r="H3264" s="6" t="s">
        <v>435</v>
      </c>
      <c r="I3264" s="6" t="s">
        <v>1135</v>
      </c>
      <c r="J3264" s="6" t="s">
        <v>345</v>
      </c>
      <c r="K3264" s="10">
        <v>11.76</v>
      </c>
      <c r="L3264" s="10">
        <v>28</v>
      </c>
      <c r="M3264" s="6" t="s">
        <v>386</v>
      </c>
    </row>
    <row r="3265" spans="1:13">
      <c r="A3265" s="6">
        <v>2024</v>
      </c>
      <c r="B3265" s="6">
        <v>3</v>
      </c>
      <c r="C3265" s="6" t="s">
        <v>61</v>
      </c>
      <c r="D3265" s="6" t="s">
        <v>762</v>
      </c>
      <c r="E3265" s="6" t="s">
        <v>763</v>
      </c>
      <c r="F3265" s="6" t="str">
        <f>IF($M3265="PADD I","PADD 1",IF($M3265="PADD II","PADD 2",IF($M3265="PADD III","PADD 3",IF($M3265="PADD IV","PADD 4",IF($M3265="PADD V","PADD 5","")))))</f>
        <v>PADD 2</v>
      </c>
      <c r="G3265" s="6">
        <f>IF(AND($H3265="ATMOS DISTILLATION",ISNUMBER(SEARCH("VPS",$I3265))=FALSE,LEFT($I3265,6)&lt;&gt;"VACUUM"),"CDU",IF($H3265="FLUID CAT CRACKING","FCC",IF(OR($H3265="HYDROCRACKING",$H3265="RESID_HYDROCRACKING"),"Hydrocracker",IF($H3265="REFORMING","Reformer",""))))</f>
        <v/>
      </c>
      <c r="H3265" s="6" t="s">
        <v>43</v>
      </c>
      <c r="I3265" s="6" t="s">
        <v>458</v>
      </c>
      <c r="J3265" s="6" t="s">
        <v>345</v>
      </c>
      <c r="K3265" s="10">
        <v>11.7</v>
      </c>
      <c r="L3265" s="10">
        <v>13</v>
      </c>
      <c r="M3265" s="6" t="s">
        <v>375</v>
      </c>
    </row>
    <row r="3266" spans="1:13">
      <c r="A3266" s="6">
        <v>2024</v>
      </c>
      <c r="B3266" s="6">
        <v>3</v>
      </c>
      <c r="C3266" s="6" t="s">
        <v>61</v>
      </c>
      <c r="D3266" s="6" t="s">
        <v>1141</v>
      </c>
      <c r="E3266" s="6" t="s">
        <v>1079</v>
      </c>
      <c r="F3266" s="6" t="str">
        <f>IF($M3266="PADD I","PADD 1",IF($M3266="PADD II","PADD 2",IF($M3266="PADD III","PADD 3",IF($M3266="PADD IV","PADD 4",IF($M3266="PADD V","PADD 5","")))))</f>
        <v>PADD 3</v>
      </c>
      <c r="G3266" s="6" t="str">
        <f>IF(AND($H3266="ATMOS DISTILLATION",ISNUMBER(SEARCH("VPS",$I3266))=FALSE,LEFT($I3266,6)&lt;&gt;"VACUUM"),"CDU",IF($H3266="FLUID CAT CRACKING","FCC",IF(OR($H3266="HYDROCRACKING",$H3266="RESID_HYDROCRACKING"),"Hydrocracker",IF($H3266="REFORMING","Reformer",""))))</f>
        <v>CDU</v>
      </c>
      <c r="H3266" s="6" t="s">
        <v>38</v>
      </c>
      <c r="I3266" s="6" t="s">
        <v>131</v>
      </c>
      <c r="J3266" s="6" t="s">
        <v>349</v>
      </c>
      <c r="K3266" s="10">
        <v>11.6</v>
      </c>
      <c r="L3266" s="10">
        <v>40</v>
      </c>
      <c r="M3266" s="6" t="s">
        <v>371</v>
      </c>
    </row>
    <row r="3267" spans="1:13">
      <c r="A3267" s="6">
        <v>2024</v>
      </c>
      <c r="B3267" s="6">
        <v>3</v>
      </c>
      <c r="C3267" s="6" t="s">
        <v>61</v>
      </c>
      <c r="D3267" s="6" t="s">
        <v>762</v>
      </c>
      <c r="E3267" s="6" t="s">
        <v>763</v>
      </c>
      <c r="F3267" s="6" t="str">
        <f>IF($M3267="PADD I","PADD 1",IF($M3267="PADD II","PADD 2",IF($M3267="PADD III","PADD 3",IF($M3267="PADD IV","PADD 4",IF($M3267="PADD V","PADD 5","")))))</f>
        <v>PADD 2</v>
      </c>
      <c r="G3267" s="6">
        <f>IF(AND($H3267="ATMOS DISTILLATION",ISNUMBER(SEARCH("VPS",$I3267))=FALSE,LEFT($I3267,6)&lt;&gt;"VACUUM"),"CDU",IF($H3267="FLUID CAT CRACKING","FCC",IF(OR($H3267="HYDROCRACKING",$H3267="RESID_HYDROCRACKING"),"Hydrocracker",IF($H3267="REFORMING","Reformer",""))))</f>
        <v/>
      </c>
      <c r="H3267" s="6" t="s">
        <v>43</v>
      </c>
      <c r="I3267" s="6" t="s">
        <v>863</v>
      </c>
      <c r="J3267" s="6" t="s">
        <v>345</v>
      </c>
      <c r="K3267" s="10">
        <v>11.6</v>
      </c>
      <c r="L3267" s="10">
        <v>20</v>
      </c>
      <c r="M3267" s="6" t="s">
        <v>375</v>
      </c>
    </row>
    <row r="3268" spans="1:13">
      <c r="A3268" s="6">
        <v>2024</v>
      </c>
      <c r="B3268" s="6">
        <v>3</v>
      </c>
      <c r="C3268" s="6" t="s">
        <v>61</v>
      </c>
      <c r="D3268" s="6" t="s">
        <v>542</v>
      </c>
      <c r="E3268" s="6" t="s">
        <v>543</v>
      </c>
      <c r="F3268" s="6" t="str">
        <f>IF($M3268="PADD I","PADD 1",IF($M3268="PADD II","PADD 2",IF($M3268="PADD III","PADD 3",IF($M3268="PADD IV","PADD 4",IF($M3268="PADD V","PADD 5","")))))</f>
        <v>PADD 2</v>
      </c>
      <c r="G3268" s="6">
        <f>IF(AND($H3268="ATMOS DISTILLATION",ISNUMBER(SEARCH("VPS",$I3268))=FALSE,LEFT($I3268,6)&lt;&gt;"VACUUM"),"CDU",IF($H3268="FLUID CAT CRACKING","FCC",IF(OR($H3268="HYDROCRACKING",$H3268="RESID_HYDROCRACKING"),"Hydrocracker",IF($H3268="REFORMING","Reformer",""))))</f>
        <v/>
      </c>
      <c r="H3268" s="6" t="s">
        <v>460</v>
      </c>
      <c r="I3268" s="6" t="s">
        <v>461</v>
      </c>
      <c r="J3268" s="6" t="s">
        <v>345</v>
      </c>
      <c r="K3268" s="10">
        <v>11.31</v>
      </c>
      <c r="L3268" s="10">
        <v>29</v>
      </c>
      <c r="M3268" s="6" t="s">
        <v>375</v>
      </c>
    </row>
    <row r="3269" spans="1:13">
      <c r="A3269" s="6">
        <v>2024</v>
      </c>
      <c r="B3269" s="6">
        <v>3</v>
      </c>
      <c r="C3269" s="6" t="s">
        <v>61</v>
      </c>
      <c r="D3269" s="6" t="s">
        <v>762</v>
      </c>
      <c r="E3269" s="6" t="s">
        <v>763</v>
      </c>
      <c r="F3269" s="6" t="str">
        <f>IF($M3269="PADD I","PADD 1",IF($M3269="PADD II","PADD 2",IF($M3269="PADD III","PADD 3",IF($M3269="PADD IV","PADD 4",IF($M3269="PADD V","PADD 5","")))))</f>
        <v>PADD 2</v>
      </c>
      <c r="G3269" s="6">
        <f>IF(AND($H3269="ATMOS DISTILLATION",ISNUMBER(SEARCH("VPS",$I3269))=FALSE,LEFT($I3269,6)&lt;&gt;"VACUUM"),"CDU",IF($H3269="FLUID CAT CRACKING","FCC",IF(OR($H3269="HYDROCRACKING",$H3269="RESID_HYDROCRACKING"),"Hydrocracker",IF($H3269="REFORMING","Reformer",""))))</f>
        <v/>
      </c>
      <c r="H3269" s="6" t="s">
        <v>43</v>
      </c>
      <c r="I3269" s="6" t="s">
        <v>458</v>
      </c>
      <c r="J3269" s="6" t="s">
        <v>345</v>
      </c>
      <c r="K3269" s="10">
        <v>11.31</v>
      </c>
      <c r="L3269" s="10">
        <v>13</v>
      </c>
      <c r="M3269" s="6" t="s">
        <v>375</v>
      </c>
    </row>
    <row r="3270" spans="1:13">
      <c r="A3270" s="6">
        <v>2024</v>
      </c>
      <c r="B3270" s="6">
        <v>3</v>
      </c>
      <c r="C3270" s="6" t="s">
        <v>61</v>
      </c>
      <c r="D3270" s="6" t="s">
        <v>839</v>
      </c>
      <c r="E3270" s="6" t="s">
        <v>840</v>
      </c>
      <c r="F3270" s="6" t="str">
        <f>IF($M3270="PADD I","PADD 1",IF($M3270="PADD II","PADD 2",IF($M3270="PADD III","PADD 3",IF($M3270="PADD IV","PADD 4",IF($M3270="PADD V","PADD 5","")))))</f>
        <v>PADD 1</v>
      </c>
      <c r="G3270" s="6" t="str">
        <f>IF(AND($H3270="ATMOS DISTILLATION",ISNUMBER(SEARCH("VPS",$I3270))=FALSE,LEFT($I3270,6)&lt;&gt;"VACUUM"),"CDU",IF($H3270="FLUID CAT CRACKING","FCC",IF(OR($H3270="HYDROCRACKING",$H3270="RESID_HYDROCRACKING"),"Hydrocracker",IF($H3270="REFORMING","Reformer",""))))</f>
        <v>CDU</v>
      </c>
      <c r="H3270" s="6" t="s">
        <v>38</v>
      </c>
      <c r="I3270" s="6" t="s">
        <v>133</v>
      </c>
      <c r="J3270" s="6" t="s">
        <v>345</v>
      </c>
      <c r="K3270" s="10">
        <v>11.2</v>
      </c>
      <c r="L3270" s="10">
        <v>35</v>
      </c>
      <c r="M3270" s="6" t="s">
        <v>413</v>
      </c>
    </row>
    <row r="3271" spans="1:13">
      <c r="A3271" s="6">
        <v>2024</v>
      </c>
      <c r="B3271" s="6">
        <v>3</v>
      </c>
      <c r="C3271" s="6" t="s">
        <v>61</v>
      </c>
      <c r="D3271" s="6" t="s">
        <v>408</v>
      </c>
      <c r="E3271" s="6" t="s">
        <v>409</v>
      </c>
      <c r="F3271" s="6" t="str">
        <f>IF($M3271="PADD I","PADD 1",IF($M3271="PADD II","PADD 2",IF($M3271="PADD III","PADD 3",IF($M3271="PADD IV","PADD 4",IF($M3271="PADD V","PADD 5","")))))</f>
        <v>PADD 3</v>
      </c>
      <c r="G3271" s="6" t="str">
        <f>IF(AND($H3271="ATMOS DISTILLATION",ISNUMBER(SEARCH("VPS",$I3271))=FALSE,LEFT($I3271,6)&lt;&gt;"VACUUM"),"CDU",IF($H3271="FLUID CAT CRACKING","FCC",IF(OR($H3271="HYDROCRACKING",$H3271="RESID_HYDROCRACKING"),"Hydrocracker",IF($H3271="REFORMING","Reformer",""))))</f>
        <v>Reformer</v>
      </c>
      <c r="H3271" s="6" t="s">
        <v>421</v>
      </c>
      <c r="I3271" s="6" t="s">
        <v>533</v>
      </c>
      <c r="J3271" s="6" t="s">
        <v>345</v>
      </c>
      <c r="K3271" s="10">
        <v>11.2</v>
      </c>
      <c r="L3271" s="10">
        <v>35</v>
      </c>
      <c r="M3271" s="6" t="s">
        <v>371</v>
      </c>
    </row>
    <row r="3272" spans="1:13">
      <c r="A3272" s="6">
        <v>2024</v>
      </c>
      <c r="B3272" s="6">
        <v>3</v>
      </c>
      <c r="C3272" s="6" t="s">
        <v>61</v>
      </c>
      <c r="D3272" s="6" t="s">
        <v>739</v>
      </c>
      <c r="E3272" s="6" t="s">
        <v>405</v>
      </c>
      <c r="F3272" s="6" t="str">
        <f>IF($M3272="PADD I","PADD 1",IF($M3272="PADD II","PADD 2",IF($M3272="PADD III","PADD 3",IF($M3272="PADD IV","PADD 4",IF($M3272="PADD V","PADD 5","")))))</f>
        <v>PADD 2</v>
      </c>
      <c r="G3272" s="6">
        <f>IF(AND($H3272="ATMOS DISTILLATION",ISNUMBER(SEARCH("VPS",$I3272))=FALSE,LEFT($I3272,6)&lt;&gt;"VACUUM"),"CDU",IF($H3272="FLUID CAT CRACKING","FCC",IF(OR($H3272="HYDROCRACKING",$H3272="RESID_HYDROCRACKING"),"Hydrocracker",IF($H3272="REFORMING","Reformer",""))))</f>
        <v/>
      </c>
      <c r="H3272" s="6" t="s">
        <v>43</v>
      </c>
      <c r="I3272" s="6" t="s">
        <v>740</v>
      </c>
      <c r="J3272" s="6" t="s">
        <v>345</v>
      </c>
      <c r="K3272" s="10">
        <v>11.2</v>
      </c>
      <c r="L3272" s="10">
        <v>32</v>
      </c>
      <c r="M3272" s="6" t="s">
        <v>375</v>
      </c>
    </row>
    <row r="3273" spans="1:13">
      <c r="A3273" s="6">
        <v>2024</v>
      </c>
      <c r="B3273" s="6">
        <v>3</v>
      </c>
      <c r="C3273" s="6" t="s">
        <v>61</v>
      </c>
      <c r="D3273" s="6" t="s">
        <v>762</v>
      </c>
      <c r="E3273" s="6" t="s">
        <v>763</v>
      </c>
      <c r="F3273" s="6" t="str">
        <f>IF($M3273="PADD I","PADD 1",IF($M3273="PADD II","PADD 2",IF($M3273="PADD III","PADD 3",IF($M3273="PADD IV","PADD 4",IF($M3273="PADD V","PADD 5","")))))</f>
        <v>PADD 2</v>
      </c>
      <c r="G3273" s="6">
        <f>IF(AND($H3273="ATMOS DISTILLATION",ISNUMBER(SEARCH("VPS",$I3273))=FALSE,LEFT($I3273,6)&lt;&gt;"VACUUM"),"CDU",IF($H3273="FLUID CAT CRACKING","FCC",IF(OR($H3273="HYDROCRACKING",$H3273="RESID_HYDROCRACKING"),"Hydrocracker",IF($H3273="REFORMING","Reformer",""))))</f>
        <v/>
      </c>
      <c r="H3273" s="6" t="s">
        <v>43</v>
      </c>
      <c r="I3273" s="6" t="s">
        <v>1055</v>
      </c>
      <c r="J3273" s="6" t="s">
        <v>349</v>
      </c>
      <c r="K3273" s="10">
        <v>10.92</v>
      </c>
      <c r="L3273" s="10">
        <v>13</v>
      </c>
      <c r="M3273" s="6" t="s">
        <v>375</v>
      </c>
    </row>
    <row r="3274" spans="1:13">
      <c r="A3274" s="6">
        <v>2024</v>
      </c>
      <c r="B3274" s="6">
        <v>3</v>
      </c>
      <c r="C3274" s="6" t="s">
        <v>61</v>
      </c>
      <c r="D3274" s="6" t="s">
        <v>542</v>
      </c>
      <c r="E3274" s="6" t="s">
        <v>543</v>
      </c>
      <c r="F3274" s="6" t="str">
        <f>IF($M3274="PADD I","PADD 1",IF($M3274="PADD II","PADD 2",IF($M3274="PADD III","PADD 3",IF($M3274="PADD IV","PADD 4",IF($M3274="PADD V","PADD 5","")))))</f>
        <v>PADD 2</v>
      </c>
      <c r="G3274" s="6">
        <f>IF(AND($H3274="ATMOS DISTILLATION",ISNUMBER(SEARCH("VPS",$I3274))=FALSE,LEFT($I3274,6)&lt;&gt;"VACUUM"),"CDU",IF($H3274="FLUID CAT CRACKING","FCC",IF(OR($H3274="HYDROCRACKING",$H3274="RESID_HYDROCRACKING"),"Hydrocracker",IF($H3274="REFORMING","Reformer",""))))</f>
        <v/>
      </c>
      <c r="H3274" s="6" t="s">
        <v>568</v>
      </c>
      <c r="I3274" s="6" t="s">
        <v>604</v>
      </c>
      <c r="J3274" s="6" t="s">
        <v>345</v>
      </c>
      <c r="K3274" s="10">
        <v>10.881</v>
      </c>
      <c r="L3274" s="10">
        <v>27.9</v>
      </c>
      <c r="M3274" s="6" t="s">
        <v>375</v>
      </c>
    </row>
    <row r="3275" spans="1:13">
      <c r="A3275" s="6">
        <v>2024</v>
      </c>
      <c r="B3275" s="6">
        <v>3</v>
      </c>
      <c r="C3275" s="6" t="s">
        <v>61</v>
      </c>
      <c r="D3275" s="6" t="s">
        <v>526</v>
      </c>
      <c r="E3275" s="6" t="s">
        <v>405</v>
      </c>
      <c r="F3275" s="6" t="str">
        <f>IF($M3275="PADD I","PADD 1",IF($M3275="PADD II","PADD 2",IF($M3275="PADD III","PADD 3",IF($M3275="PADD IV","PADD 4",IF($M3275="PADD V","PADD 5","")))))</f>
        <v>PADD 3</v>
      </c>
      <c r="G3275" s="6" t="str">
        <f>IF(AND($H3275="ATMOS DISTILLATION",ISNUMBER(SEARCH("VPS",$I3275))=FALSE,LEFT($I3275,6)&lt;&gt;"VACUUM"),"CDU",IF($H3275="FLUID CAT CRACKING","FCC",IF(OR($H3275="HYDROCRACKING",$H3275="RESID_HYDROCRACKING"),"Hydrocracker",IF($H3275="REFORMING","Reformer",""))))</f>
        <v>Hydrocracker</v>
      </c>
      <c r="H3275" s="6" t="s">
        <v>444</v>
      </c>
      <c r="I3275" s="6" t="s">
        <v>527</v>
      </c>
      <c r="J3275" s="6" t="s">
        <v>349</v>
      </c>
      <c r="K3275" s="10">
        <v>10.83</v>
      </c>
      <c r="L3275" s="10">
        <v>57</v>
      </c>
      <c r="M3275" s="6" t="s">
        <v>371</v>
      </c>
    </row>
    <row r="3276" spans="1:13">
      <c r="A3276" s="6">
        <v>2024</v>
      </c>
      <c r="B3276" s="6">
        <v>3</v>
      </c>
      <c r="C3276" s="6" t="s">
        <v>61</v>
      </c>
      <c r="D3276" s="6" t="s">
        <v>542</v>
      </c>
      <c r="E3276" s="6" t="s">
        <v>543</v>
      </c>
      <c r="F3276" s="6" t="str">
        <f>IF($M3276="PADD I","PADD 1",IF($M3276="PADD II","PADD 2",IF($M3276="PADD III","PADD 3",IF($M3276="PADD IV","PADD 4",IF($M3276="PADD V","PADD 5","")))))</f>
        <v>PADD 2</v>
      </c>
      <c r="G3276" s="6">
        <f>IF(AND($H3276="ATMOS DISTILLATION",ISNUMBER(SEARCH("VPS",$I3276))=FALSE,LEFT($I3276,6)&lt;&gt;"VACUUM"),"CDU",IF($H3276="FLUID CAT CRACKING","FCC",IF(OR($H3276="HYDROCRACKING",$H3276="RESID_HYDROCRACKING"),"Hydrocracker",IF($H3276="REFORMING","Reformer",""))))</f>
        <v/>
      </c>
      <c r="H3276" s="6" t="s">
        <v>43</v>
      </c>
      <c r="I3276" s="6" t="s">
        <v>913</v>
      </c>
      <c r="J3276" s="6" t="s">
        <v>345</v>
      </c>
      <c r="K3276" s="10">
        <v>10.545</v>
      </c>
      <c r="L3276" s="10">
        <v>55.5</v>
      </c>
      <c r="M3276" s="6" t="s">
        <v>375</v>
      </c>
    </row>
    <row r="3277" spans="1:13">
      <c r="A3277" s="6">
        <v>2024</v>
      </c>
      <c r="B3277" s="6">
        <v>3</v>
      </c>
      <c r="C3277" s="6" t="s">
        <v>61</v>
      </c>
      <c r="D3277" s="6" t="s">
        <v>429</v>
      </c>
      <c r="E3277" s="6" t="s">
        <v>388</v>
      </c>
      <c r="F3277" s="6" t="str">
        <f>IF($M3277="PADD I","PADD 1",IF($M3277="PADD II","PADD 2",IF($M3277="PADD III","PADD 3",IF($M3277="PADD IV","PADD 4",IF($M3277="PADD V","PADD 5","")))))</f>
        <v>PADD 4</v>
      </c>
      <c r="G3277" s="6" t="str">
        <f>IF(AND($H3277="ATMOS DISTILLATION",ISNUMBER(SEARCH("VPS",$I3277))=FALSE,LEFT($I3277,6)&lt;&gt;"VACUUM"),"CDU",IF($H3277="FLUID CAT CRACKING","FCC",IF(OR($H3277="HYDROCRACKING",$H3277="RESID_HYDROCRACKING"),"Hydrocracker",IF($H3277="REFORMING","Reformer",""))))</f>
        <v>Reformer</v>
      </c>
      <c r="H3277" s="6" t="s">
        <v>421</v>
      </c>
      <c r="I3277" s="6" t="s">
        <v>1131</v>
      </c>
      <c r="J3277" s="6" t="s">
        <v>349</v>
      </c>
      <c r="K3277" s="10">
        <v>10.44</v>
      </c>
      <c r="L3277" s="10">
        <v>12</v>
      </c>
      <c r="M3277" s="6" t="s">
        <v>430</v>
      </c>
    </row>
    <row r="3278" spans="1:13">
      <c r="A3278" s="6">
        <v>2024</v>
      </c>
      <c r="B3278" s="6">
        <v>3</v>
      </c>
      <c r="C3278" s="6" t="s">
        <v>61</v>
      </c>
      <c r="D3278" s="6" t="s">
        <v>429</v>
      </c>
      <c r="E3278" s="6" t="s">
        <v>388</v>
      </c>
      <c r="F3278" s="6" t="str">
        <f>IF($M3278="PADD I","PADD 1",IF($M3278="PADD II","PADD 2",IF($M3278="PADD III","PADD 3",IF($M3278="PADD IV","PADD 4",IF($M3278="PADD V","PADD 5","")))))</f>
        <v>PADD 4</v>
      </c>
      <c r="G3278" s="6">
        <f>IF(AND($H3278="ATMOS DISTILLATION",ISNUMBER(SEARCH("VPS",$I3278))=FALSE,LEFT($I3278,6)&lt;&gt;"VACUUM"),"CDU",IF($H3278="FLUID CAT CRACKING","FCC",IF(OR($H3278="HYDROCRACKING",$H3278="RESID_HYDROCRACKING"),"Hydrocracker",IF($H3278="REFORMING","Reformer",""))))</f>
        <v/>
      </c>
      <c r="H3278" s="6" t="s">
        <v>43</v>
      </c>
      <c r="I3278" s="6" t="s">
        <v>1057</v>
      </c>
      <c r="J3278" s="6" t="s">
        <v>349</v>
      </c>
      <c r="K3278" s="10">
        <v>10.44</v>
      </c>
      <c r="L3278" s="10">
        <v>12</v>
      </c>
      <c r="M3278" s="6" t="s">
        <v>430</v>
      </c>
    </row>
    <row r="3279" spans="1:13">
      <c r="A3279" s="6">
        <v>2024</v>
      </c>
      <c r="B3279" s="6">
        <v>3</v>
      </c>
      <c r="C3279" s="6" t="s">
        <v>61</v>
      </c>
      <c r="D3279" s="6" t="s">
        <v>762</v>
      </c>
      <c r="E3279" s="6" t="s">
        <v>763</v>
      </c>
      <c r="F3279" s="6" t="str">
        <f>IF($M3279="PADD I","PADD 1",IF($M3279="PADD II","PADD 2",IF($M3279="PADD III","PADD 3",IF($M3279="PADD IV","PADD 4",IF($M3279="PADD V","PADD 5","")))))</f>
        <v>PADD 2</v>
      </c>
      <c r="G3279" s="6">
        <f>IF(AND($H3279="ATMOS DISTILLATION",ISNUMBER(SEARCH("VPS",$I3279))=FALSE,LEFT($I3279,6)&lt;&gt;"VACUUM"),"CDU",IF($H3279="FLUID CAT CRACKING","FCC",IF(OR($H3279="HYDROCRACKING",$H3279="RESID_HYDROCRACKING"),"Hydrocracker",IF($H3279="REFORMING","Reformer",""))))</f>
        <v/>
      </c>
      <c r="H3279" s="6" t="s">
        <v>378</v>
      </c>
      <c r="I3279" s="6" t="s">
        <v>812</v>
      </c>
      <c r="J3279" s="6" t="s">
        <v>345</v>
      </c>
      <c r="K3279" s="10">
        <v>10.44</v>
      </c>
      <c r="L3279" s="10">
        <v>12</v>
      </c>
      <c r="M3279" s="6" t="s">
        <v>375</v>
      </c>
    </row>
    <row r="3280" spans="1:13">
      <c r="A3280" s="6">
        <v>2024</v>
      </c>
      <c r="B3280" s="6">
        <v>3</v>
      </c>
      <c r="C3280" s="6" t="s">
        <v>61</v>
      </c>
      <c r="D3280" s="6" t="s">
        <v>774</v>
      </c>
      <c r="E3280" s="6" t="s">
        <v>775</v>
      </c>
      <c r="F3280" s="6" t="str">
        <f>IF($M3280="PADD I","PADD 1",IF($M3280="PADD II","PADD 2",IF($M3280="PADD III","PADD 3",IF($M3280="PADD IV","PADD 4",IF($M3280="PADD V","PADD 5","")))))</f>
        <v>PADD 1</v>
      </c>
      <c r="G3280" s="6" t="str">
        <f>IF(AND($H3280="ATMOS DISTILLATION",ISNUMBER(SEARCH("VPS",$I3280))=FALSE,LEFT($I3280,6)&lt;&gt;"VACUUM"),"CDU",IF($H3280="FLUID CAT CRACKING","FCC",IF(OR($H3280="HYDROCRACKING",$H3280="RESID_HYDROCRACKING"),"Hydrocracker",IF($H3280="REFORMING","Reformer",""))))</f>
        <v>Reformer</v>
      </c>
      <c r="H3280" s="6" t="s">
        <v>421</v>
      </c>
      <c r="I3280" s="6" t="s">
        <v>1070</v>
      </c>
      <c r="J3280" s="6" t="s">
        <v>349</v>
      </c>
      <c r="K3280" s="10">
        <v>10.4058</v>
      </c>
      <c r="L3280" s="10">
        <v>11.07</v>
      </c>
      <c r="M3280" s="6" t="s">
        <v>413</v>
      </c>
    </row>
    <row r="3281" spans="1:13">
      <c r="A3281" s="6">
        <v>2024</v>
      </c>
      <c r="B3281" s="6">
        <v>3</v>
      </c>
      <c r="C3281" s="6" t="s">
        <v>61</v>
      </c>
      <c r="D3281" s="6" t="s">
        <v>48</v>
      </c>
      <c r="E3281" s="6" t="s">
        <v>388</v>
      </c>
      <c r="F3281" s="6" t="str">
        <f>IF($M3281="PADD I","PADD 1",IF($M3281="PADD II","PADD 2",IF($M3281="PADD III","PADD 3",IF($M3281="PADD IV","PADD 4",IF($M3281="PADD V","PADD 5","")))))</f>
        <v>PADD 2</v>
      </c>
      <c r="G3281" s="6">
        <f>IF(AND($H3281="ATMOS DISTILLATION",ISNUMBER(SEARCH("VPS",$I3281))=FALSE,LEFT($I3281,6)&lt;&gt;"VACUUM"),"CDU",IF($H3281="FLUID CAT CRACKING","FCC",IF(OR($H3281="HYDROCRACKING",$H3281="RESID_HYDROCRACKING"),"Hydrocracker",IF($H3281="REFORMING","Reformer",""))))</f>
        <v/>
      </c>
      <c r="H3281" s="6" t="s">
        <v>435</v>
      </c>
      <c r="I3281" s="6" t="s">
        <v>754</v>
      </c>
      <c r="J3281" s="6" t="s">
        <v>345</v>
      </c>
      <c r="K3281" s="10">
        <v>10.175</v>
      </c>
      <c r="L3281" s="10">
        <v>18.5</v>
      </c>
      <c r="M3281" s="6" t="s">
        <v>375</v>
      </c>
    </row>
    <row r="3282" spans="1:13">
      <c r="A3282" s="6">
        <v>2024</v>
      </c>
      <c r="B3282" s="6">
        <v>3</v>
      </c>
      <c r="C3282" s="6" t="s">
        <v>61</v>
      </c>
      <c r="D3282" s="6" t="s">
        <v>934</v>
      </c>
      <c r="E3282" s="6" t="s">
        <v>388</v>
      </c>
      <c r="F3282" s="6" t="str">
        <f>IF($M3282="PADD I","PADD 1",IF($M3282="PADD II","PADD 2",IF($M3282="PADD III","PADD 3",IF($M3282="PADD IV","PADD 4",IF($M3282="PADD V","PADD 5","")))))</f>
        <v>PADD 3</v>
      </c>
      <c r="G3282" s="6" t="str">
        <f>IF(AND($H3282="ATMOS DISTILLATION",ISNUMBER(SEARCH("VPS",$I3282))=FALSE,LEFT($I3282,6)&lt;&gt;"VACUUM"),"CDU",IF($H3282="FLUID CAT CRACKING","FCC",IF(OR($H3282="HYDROCRACKING",$H3282="RESID_HYDROCRACKING"),"Hydrocracker",IF($H3282="REFORMING","Reformer",""))))</f>
        <v>CDU</v>
      </c>
      <c r="H3282" s="6" t="s">
        <v>38</v>
      </c>
      <c r="I3282" s="6" t="s">
        <v>135</v>
      </c>
      <c r="J3282" s="6" t="s">
        <v>349</v>
      </c>
      <c r="K3282" s="10">
        <v>9.75</v>
      </c>
      <c r="L3282" s="10">
        <v>75</v>
      </c>
      <c r="M3282" s="6" t="s">
        <v>371</v>
      </c>
    </row>
    <row r="3283" spans="1:13">
      <c r="A3283" s="6">
        <v>2024</v>
      </c>
      <c r="B3283" s="6">
        <v>3</v>
      </c>
      <c r="C3283" s="6" t="s">
        <v>61</v>
      </c>
      <c r="D3283" s="6" t="s">
        <v>468</v>
      </c>
      <c r="E3283" s="6" t="s">
        <v>369</v>
      </c>
      <c r="F3283" s="6" t="str">
        <f>IF($M3283="PADD I","PADD 1",IF($M3283="PADD II","PADD 2",IF($M3283="PADD III","PADD 3",IF($M3283="PADD IV","PADD 4",IF($M3283="PADD V","PADD 5","")))))</f>
        <v>PADD 3</v>
      </c>
      <c r="G3283" s="6" t="str">
        <f>IF(AND($H3283="ATMOS DISTILLATION",ISNUMBER(SEARCH("VPS",$I3283))=FALSE,LEFT($I3283,6)&lt;&gt;"VACUUM"),"CDU",IF($H3283="FLUID CAT CRACKING","FCC",IF(OR($H3283="HYDROCRACKING",$H3283="RESID_HYDROCRACKING"),"Hydrocracker",IF($H3283="REFORMING","Reformer",""))))</f>
        <v>FCC</v>
      </c>
      <c r="H3283" s="6" t="s">
        <v>376</v>
      </c>
      <c r="I3283" s="6" t="s">
        <v>473</v>
      </c>
      <c r="J3283" s="6" t="s">
        <v>345</v>
      </c>
      <c r="K3283" s="10">
        <v>9.6</v>
      </c>
      <c r="L3283" s="10">
        <v>30</v>
      </c>
      <c r="M3283" s="6" t="s">
        <v>371</v>
      </c>
    </row>
    <row r="3284" spans="1:13">
      <c r="A3284" s="6">
        <v>2024</v>
      </c>
      <c r="B3284" s="6">
        <v>3</v>
      </c>
      <c r="C3284" s="6" t="s">
        <v>61</v>
      </c>
      <c r="D3284" s="6" t="s">
        <v>526</v>
      </c>
      <c r="E3284" s="6" t="s">
        <v>405</v>
      </c>
      <c r="F3284" s="6" t="str">
        <f>IF($M3284="PADD I","PADD 1",IF($M3284="PADD II","PADD 2",IF($M3284="PADD III","PADD 3",IF($M3284="PADD IV","PADD 4",IF($M3284="PADD V","PADD 5","")))))</f>
        <v>PADD 3</v>
      </c>
      <c r="G3284" s="6" t="str">
        <f>IF(AND($H3284="ATMOS DISTILLATION",ISNUMBER(SEARCH("VPS",$I3284))=FALSE,LEFT($I3284,6)&lt;&gt;"VACUUM"),"CDU",IF($H3284="FLUID CAT CRACKING","FCC",IF(OR($H3284="HYDROCRACKING",$H3284="RESID_HYDROCRACKING"),"Hydrocracker",IF($H3284="REFORMING","Reformer",""))))</f>
        <v>Reformer</v>
      </c>
      <c r="H3284" s="6" t="s">
        <v>421</v>
      </c>
      <c r="I3284" s="6" t="s">
        <v>928</v>
      </c>
      <c r="J3284" s="6" t="s">
        <v>349</v>
      </c>
      <c r="K3284" s="10">
        <v>9.5</v>
      </c>
      <c r="L3284" s="10">
        <v>50</v>
      </c>
      <c r="M3284" s="6" t="s">
        <v>371</v>
      </c>
    </row>
    <row r="3285" spans="1:13">
      <c r="A3285" s="6">
        <v>2024</v>
      </c>
      <c r="B3285" s="6">
        <v>3</v>
      </c>
      <c r="C3285" s="6" t="s">
        <v>61</v>
      </c>
      <c r="D3285" s="6" t="s">
        <v>408</v>
      </c>
      <c r="E3285" s="6" t="s">
        <v>409</v>
      </c>
      <c r="F3285" s="6" t="str">
        <f>IF($M3285="PADD I","PADD 1",IF($M3285="PADD II","PADD 2",IF($M3285="PADD III","PADD 3",IF($M3285="PADD IV","PADD 4",IF($M3285="PADD V","PADD 5","")))))</f>
        <v>PADD 3</v>
      </c>
      <c r="G3285" s="6" t="str">
        <f>IF(AND($H3285="ATMOS DISTILLATION",ISNUMBER(SEARCH("VPS",$I3285))=FALSE,LEFT($I3285,6)&lt;&gt;"VACUUM"),"CDU",IF($H3285="FLUID CAT CRACKING","FCC",IF(OR($H3285="HYDROCRACKING",$H3285="RESID_HYDROCRACKING"),"Hydrocracker",IF($H3285="REFORMING","Reformer",""))))</f>
        <v>CDU</v>
      </c>
      <c r="H3285" s="6" t="s">
        <v>38</v>
      </c>
      <c r="I3285" s="6" t="s">
        <v>522</v>
      </c>
      <c r="J3285" s="6" t="s">
        <v>345</v>
      </c>
      <c r="K3285" s="10">
        <v>9.199999999999999</v>
      </c>
      <c r="L3285" s="10">
        <v>40</v>
      </c>
      <c r="M3285" s="6" t="s">
        <v>371</v>
      </c>
    </row>
    <row r="3286" spans="1:13">
      <c r="A3286" s="6">
        <v>2024</v>
      </c>
      <c r="B3286" s="6">
        <v>3</v>
      </c>
      <c r="C3286" s="6" t="s">
        <v>61</v>
      </c>
      <c r="D3286" s="6" t="s">
        <v>346</v>
      </c>
      <c r="E3286" s="6" t="s">
        <v>383</v>
      </c>
      <c r="F3286" s="6" t="str">
        <f>IF($M3286="PADD I","PADD 1",IF($M3286="PADD II","PADD 2",IF($M3286="PADD III","PADD 3",IF($M3286="PADD IV","PADD 4",IF($M3286="PADD V","PADD 5","")))))</f>
        <v>PADD 2</v>
      </c>
      <c r="G3286" s="6">
        <f>IF(AND($H3286="ATMOS DISTILLATION",ISNUMBER(SEARCH("VPS",$I3286))=FALSE,LEFT($I3286,6)&lt;&gt;"VACUUM"),"CDU",IF($H3286="FLUID CAT CRACKING","FCC",IF(OR($H3286="HYDROCRACKING",$H3286="RESID_HYDROCRACKING"),"Hydrocracker",IF($H3286="REFORMING","Reformer",""))))</f>
        <v/>
      </c>
      <c r="H3286" s="6" t="s">
        <v>460</v>
      </c>
      <c r="I3286" s="6" t="s">
        <v>461</v>
      </c>
      <c r="J3286" s="6" t="s">
        <v>349</v>
      </c>
      <c r="K3286" s="10">
        <v>9</v>
      </c>
      <c r="L3286" s="10">
        <v>9</v>
      </c>
      <c r="M3286" s="6" t="s">
        <v>375</v>
      </c>
    </row>
    <row r="3287" spans="1:13">
      <c r="A3287" s="6">
        <v>2024</v>
      </c>
      <c r="B3287" s="6">
        <v>3</v>
      </c>
      <c r="C3287" s="6" t="s">
        <v>61</v>
      </c>
      <c r="D3287" s="6" t="s">
        <v>526</v>
      </c>
      <c r="E3287" s="6" t="s">
        <v>405</v>
      </c>
      <c r="F3287" s="6" t="str">
        <f>IF($M3287="PADD I","PADD 1",IF($M3287="PADD II","PADD 2",IF($M3287="PADD III","PADD 3",IF($M3287="PADD IV","PADD 4",IF($M3287="PADD V","PADD 5","")))))</f>
        <v>PADD 3</v>
      </c>
      <c r="G3287" s="6">
        <f>IF(AND($H3287="ATMOS DISTILLATION",ISNUMBER(SEARCH("VPS",$I3287))=FALSE,LEFT($I3287,6)&lt;&gt;"VACUUM"),"CDU",IF($H3287="FLUID CAT CRACKING","FCC",IF(OR($H3287="HYDROCRACKING",$H3287="RESID_HYDROCRACKING"),"Hydrocracker",IF($H3287="REFORMING","Reformer",""))))</f>
        <v/>
      </c>
      <c r="H3287" s="6" t="s">
        <v>43</v>
      </c>
      <c r="I3287" s="6" t="s">
        <v>1076</v>
      </c>
      <c r="J3287" s="6" t="s">
        <v>349</v>
      </c>
      <c r="K3287" s="10">
        <v>8.93</v>
      </c>
      <c r="L3287" s="10">
        <v>47</v>
      </c>
      <c r="M3287" s="6" t="s">
        <v>371</v>
      </c>
    </row>
    <row r="3288" spans="1:13">
      <c r="A3288" s="6">
        <v>2024</v>
      </c>
      <c r="B3288" s="6">
        <v>3</v>
      </c>
      <c r="C3288" s="6" t="s">
        <v>61</v>
      </c>
      <c r="D3288" s="6" t="s">
        <v>576</v>
      </c>
      <c r="E3288" s="6" t="s">
        <v>369</v>
      </c>
      <c r="F3288" s="6" t="str">
        <f>IF($M3288="PADD I","PADD 1",IF($M3288="PADD II","PADD 2",IF($M3288="PADD III","PADD 3",IF($M3288="PADD IV","PADD 4",IF($M3288="PADD V","PADD 5","")))))</f>
        <v>PADD 3</v>
      </c>
      <c r="G3288" s="6">
        <f>IF(AND($H3288="ATMOS DISTILLATION",ISNUMBER(SEARCH("VPS",$I3288))=FALSE,LEFT($I3288,6)&lt;&gt;"VACUUM"),"CDU",IF($H3288="FLUID CAT CRACKING","FCC",IF(OR($H3288="HYDROCRACKING",$H3288="RESID_HYDROCRACKING"),"Hydrocracker",IF($H3288="REFORMING","Reformer",""))))</f>
        <v/>
      </c>
      <c r="H3288" s="6" t="s">
        <v>43</v>
      </c>
      <c r="I3288" s="6" t="s">
        <v>983</v>
      </c>
      <c r="J3288" s="6" t="s">
        <v>349</v>
      </c>
      <c r="K3288" s="10">
        <v>8.800000000000001</v>
      </c>
      <c r="L3288" s="10">
        <v>55</v>
      </c>
      <c r="M3288" s="6" t="s">
        <v>371</v>
      </c>
    </row>
    <row r="3289" spans="1:13">
      <c r="A3289" s="6">
        <v>2024</v>
      </c>
      <c r="B3289" s="6">
        <v>3</v>
      </c>
      <c r="C3289" s="6" t="s">
        <v>61</v>
      </c>
      <c r="D3289" s="6" t="s">
        <v>778</v>
      </c>
      <c r="E3289" s="6" t="s">
        <v>779</v>
      </c>
      <c r="F3289" s="6" t="str">
        <f>IF($M3289="PADD I","PADD 1",IF($M3289="PADD II","PADD 2",IF($M3289="PADD III","PADD 3",IF($M3289="PADD IV","PADD 4",IF($M3289="PADD V","PADD 5","")))))</f>
        <v>PADD 3</v>
      </c>
      <c r="G3289" s="6" t="str">
        <f>IF(AND($H3289="ATMOS DISTILLATION",ISNUMBER(SEARCH("VPS",$I3289))=FALSE,LEFT($I3289,6)&lt;&gt;"VACUUM"),"CDU",IF($H3289="FLUID CAT CRACKING","FCC",IF(OR($H3289="HYDROCRACKING",$H3289="RESID_HYDROCRACKING"),"Hydrocracker",IF($H3289="REFORMING","Reformer",""))))</f>
        <v>FCC</v>
      </c>
      <c r="H3289" s="6" t="s">
        <v>376</v>
      </c>
      <c r="I3289" s="6" t="s">
        <v>806</v>
      </c>
      <c r="J3289" s="6" t="s">
        <v>345</v>
      </c>
      <c r="K3289" s="10">
        <v>8.800000000000001</v>
      </c>
      <c r="L3289" s="10">
        <v>55</v>
      </c>
      <c r="M3289" s="6" t="s">
        <v>371</v>
      </c>
    </row>
    <row r="3290" spans="1:13">
      <c r="A3290" s="6">
        <v>2024</v>
      </c>
      <c r="B3290" s="6">
        <v>3</v>
      </c>
      <c r="C3290" s="6" t="s">
        <v>61</v>
      </c>
      <c r="D3290" s="6" t="s">
        <v>48</v>
      </c>
      <c r="E3290" s="6" t="s">
        <v>388</v>
      </c>
      <c r="F3290" s="6" t="str">
        <f>IF($M3290="PADD I","PADD 1",IF($M3290="PADD II","PADD 2",IF($M3290="PADD III","PADD 3",IF($M3290="PADD IV","PADD 4",IF($M3290="PADD V","PADD 5","")))))</f>
        <v>PADD 2</v>
      </c>
      <c r="G3290" s="6">
        <f>IF(AND($H3290="ATMOS DISTILLATION",ISNUMBER(SEARCH("VPS",$I3290))=FALSE,LEFT($I3290,6)&lt;&gt;"VACUUM"),"CDU",IF($H3290="FLUID CAT CRACKING","FCC",IF(OR($H3290="HYDROCRACKING",$H3290="RESID_HYDROCRACKING"),"Hydrocracker",IF($H3290="REFORMING","Reformer",""))))</f>
        <v/>
      </c>
      <c r="H3290" s="6" t="s">
        <v>637</v>
      </c>
      <c r="I3290" s="6" t="s">
        <v>604</v>
      </c>
      <c r="J3290" s="6" t="s">
        <v>345</v>
      </c>
      <c r="K3290" s="10">
        <v>8.800000000000001</v>
      </c>
      <c r="L3290" s="10">
        <v>16</v>
      </c>
      <c r="M3290" s="6" t="s">
        <v>375</v>
      </c>
    </row>
    <row r="3291" spans="1:13">
      <c r="A3291" s="6">
        <v>2024</v>
      </c>
      <c r="B3291" s="6">
        <v>3</v>
      </c>
      <c r="C3291" s="6" t="s">
        <v>61</v>
      </c>
      <c r="D3291" s="6" t="s">
        <v>699</v>
      </c>
      <c r="E3291" s="6" t="s">
        <v>700</v>
      </c>
      <c r="F3291" s="6" t="str">
        <f>IF($M3291="PADD I","PADD 1",IF($M3291="PADD II","PADD 2",IF($M3291="PADD III","PADD 3",IF($M3291="PADD IV","PADD 4",IF($M3291="PADD V","PADD 5","")))))</f>
        <v>PADD 5</v>
      </c>
      <c r="G3291" s="6" t="str">
        <f>IF(AND($H3291="ATMOS DISTILLATION",ISNUMBER(SEARCH("VPS",$I3291))=FALSE,LEFT($I3291,6)&lt;&gt;"VACUUM"),"CDU",IF($H3291="FLUID CAT CRACKING","FCC",IF(OR($H3291="HYDROCRACKING",$H3291="RESID_HYDROCRACKING"),"Hydrocracker",IF($H3291="REFORMING","Reformer",""))))</f>
        <v>CDU</v>
      </c>
      <c r="H3291" s="6" t="s">
        <v>38</v>
      </c>
      <c r="I3291" s="6" t="s">
        <v>81</v>
      </c>
      <c r="J3291" s="6" t="s">
        <v>349</v>
      </c>
      <c r="K3291" s="10">
        <v>8.640000000000001</v>
      </c>
      <c r="L3291" s="10">
        <v>27</v>
      </c>
      <c r="M3291" s="6" t="s">
        <v>386</v>
      </c>
    </row>
    <row r="3292" spans="1:13">
      <c r="A3292" s="6">
        <v>2024</v>
      </c>
      <c r="B3292" s="6">
        <v>3</v>
      </c>
      <c r="C3292" s="6" t="s">
        <v>61</v>
      </c>
      <c r="D3292" s="6" t="s">
        <v>387</v>
      </c>
      <c r="E3292" s="6" t="s">
        <v>388</v>
      </c>
      <c r="F3292" s="6" t="str">
        <f>IF($M3292="PADD I","PADD 1",IF($M3292="PADD II","PADD 2",IF($M3292="PADD III","PADD 3",IF($M3292="PADD IV","PADD 4",IF($M3292="PADD V","PADD 5","")))))</f>
        <v>PADD 3</v>
      </c>
      <c r="G3292" s="6" t="str">
        <f>IF(AND($H3292="ATMOS DISTILLATION",ISNUMBER(SEARCH("VPS",$I3292))=FALSE,LEFT($I3292,6)&lt;&gt;"VACUUM"),"CDU",IF($H3292="FLUID CAT CRACKING","FCC",IF(OR($H3292="HYDROCRACKING",$H3292="RESID_HYDROCRACKING"),"Hydrocracker",IF($H3292="REFORMING","Reformer",""))))</f>
        <v>Reformer</v>
      </c>
      <c r="H3292" s="6" t="s">
        <v>421</v>
      </c>
      <c r="I3292" s="6" t="s">
        <v>583</v>
      </c>
      <c r="J3292" s="6" t="s">
        <v>345</v>
      </c>
      <c r="K3292" s="10">
        <v>8.515000000000001</v>
      </c>
      <c r="L3292" s="10">
        <v>65.5</v>
      </c>
      <c r="M3292" s="6" t="s">
        <v>371</v>
      </c>
    </row>
    <row r="3293" spans="1:13">
      <c r="A3293" s="6">
        <v>2024</v>
      </c>
      <c r="B3293" s="6">
        <v>3</v>
      </c>
      <c r="C3293" s="6" t="s">
        <v>61</v>
      </c>
      <c r="D3293" s="6" t="s">
        <v>526</v>
      </c>
      <c r="E3293" s="6" t="s">
        <v>405</v>
      </c>
      <c r="F3293" s="6" t="str">
        <f>IF($M3293="PADD I","PADD 1",IF($M3293="PADD II","PADD 2",IF($M3293="PADD III","PADD 3",IF($M3293="PADD IV","PADD 4",IF($M3293="PADD V","PADD 5","")))))</f>
        <v>PADD 3</v>
      </c>
      <c r="G3293" s="6">
        <f>IF(AND($H3293="ATMOS DISTILLATION",ISNUMBER(SEARCH("VPS",$I3293))=FALSE,LEFT($I3293,6)&lt;&gt;"VACUUM"),"CDU",IF($H3293="FLUID CAT CRACKING","FCC",IF(OR($H3293="HYDROCRACKING",$H3293="RESID_HYDROCRACKING"),"Hydrocracker",IF($H3293="REFORMING","Reformer",""))))</f>
        <v/>
      </c>
      <c r="H3293" s="6" t="s">
        <v>43</v>
      </c>
      <c r="I3293" s="6" t="s">
        <v>1089</v>
      </c>
      <c r="J3293" s="6" t="s">
        <v>349</v>
      </c>
      <c r="K3293" s="10">
        <v>8.17</v>
      </c>
      <c r="L3293" s="10">
        <v>43</v>
      </c>
      <c r="M3293" s="6" t="s">
        <v>371</v>
      </c>
    </row>
    <row r="3294" spans="1:13">
      <c r="A3294" s="6">
        <v>2024</v>
      </c>
      <c r="B3294" s="6">
        <v>3</v>
      </c>
      <c r="C3294" s="6" t="s">
        <v>61</v>
      </c>
      <c r="D3294" s="6" t="s">
        <v>331</v>
      </c>
      <c r="E3294" s="6" t="s">
        <v>373</v>
      </c>
      <c r="F3294" s="6" t="str">
        <f>IF($M3294="PADD I","PADD 1",IF($M3294="PADD II","PADD 2",IF($M3294="PADD III","PADD 3",IF($M3294="PADD IV","PADD 4",IF($M3294="PADD V","PADD 5","")))))</f>
        <v>PADD 2</v>
      </c>
      <c r="G3294" s="6">
        <f>IF(AND($H3294="ATMOS DISTILLATION",ISNUMBER(SEARCH("VPS",$I3294))=FALSE,LEFT($I3294,6)&lt;&gt;"VACUUM"),"CDU",IF($H3294="FLUID CAT CRACKING","FCC",IF(OR($H3294="HYDROCRACKING",$H3294="RESID_HYDROCRACKING"),"Hydrocracker",IF($H3294="REFORMING","Reformer",""))))</f>
        <v/>
      </c>
      <c r="H3294" s="6" t="s">
        <v>435</v>
      </c>
      <c r="I3294" s="6" t="s">
        <v>441</v>
      </c>
      <c r="J3294" s="6" t="s">
        <v>345</v>
      </c>
      <c r="K3294" s="10">
        <v>8.138</v>
      </c>
      <c r="L3294" s="10">
        <v>31.3</v>
      </c>
      <c r="M3294" s="6" t="s">
        <v>375</v>
      </c>
    </row>
    <row r="3295" spans="1:13">
      <c r="A3295" s="6">
        <v>2024</v>
      </c>
      <c r="B3295" s="6">
        <v>3</v>
      </c>
      <c r="C3295" s="6" t="s">
        <v>61</v>
      </c>
      <c r="D3295" s="6" t="s">
        <v>632</v>
      </c>
      <c r="E3295" s="6" t="s">
        <v>633</v>
      </c>
      <c r="F3295" s="6" t="str">
        <f>IF($M3295="PADD I","PADD 1",IF($M3295="PADD II","PADD 2",IF($M3295="PADD III","PADD 3",IF($M3295="PADD IV","PADD 4",IF($M3295="PADD V","PADD 5","")))))</f>
        <v>PADD 4</v>
      </c>
      <c r="G3295" s="6" t="str">
        <f>IF(AND($H3295="ATMOS DISTILLATION",ISNUMBER(SEARCH("VPS",$I3295))=FALSE,LEFT($I3295,6)&lt;&gt;"VACUUM"),"CDU",IF($H3295="FLUID CAT CRACKING","FCC",IF(OR($H3295="HYDROCRACKING",$H3295="RESID_HYDROCRACKING"),"Hydrocracker",IF($H3295="REFORMING","Reformer",""))))</f>
        <v>CDU</v>
      </c>
      <c r="H3295" s="6" t="s">
        <v>38</v>
      </c>
      <c r="I3295" s="6" t="s">
        <v>81</v>
      </c>
      <c r="J3295" s="6" t="s">
        <v>349</v>
      </c>
      <c r="K3295" s="10">
        <v>8.06</v>
      </c>
      <c r="L3295" s="10">
        <v>31</v>
      </c>
      <c r="M3295" s="6" t="s">
        <v>430</v>
      </c>
    </row>
    <row r="3296" spans="1:13">
      <c r="A3296" s="6">
        <v>2024</v>
      </c>
      <c r="B3296" s="6">
        <v>3</v>
      </c>
      <c r="C3296" s="6" t="s">
        <v>61</v>
      </c>
      <c r="D3296" s="6" t="s">
        <v>335</v>
      </c>
      <c r="E3296" s="6" t="s">
        <v>369</v>
      </c>
      <c r="F3296" s="6" t="str">
        <f>IF($M3296="PADD I","PADD 1",IF($M3296="PADD II","PADD 2",IF($M3296="PADD III","PADD 3",IF($M3296="PADD IV","PADD 4",IF($M3296="PADD V","PADD 5","")))))</f>
        <v>PADD 3</v>
      </c>
      <c r="G3296" s="6" t="str">
        <f>IF(AND($H3296="ATMOS DISTILLATION",ISNUMBER(SEARCH("VPS",$I3296))=FALSE,LEFT($I3296,6)&lt;&gt;"VACUUM"),"CDU",IF($H3296="FLUID CAT CRACKING","FCC",IF(OR($H3296="HYDROCRACKING",$H3296="RESID_HYDROCRACKING"),"Hydrocracker",IF($H3296="REFORMING","Reformer",""))))</f>
        <v>Reformer</v>
      </c>
      <c r="H3296" s="6" t="s">
        <v>421</v>
      </c>
      <c r="I3296" s="6" t="s">
        <v>1099</v>
      </c>
      <c r="J3296" s="6" t="s">
        <v>349</v>
      </c>
      <c r="K3296" s="10">
        <v>8.050000000000001</v>
      </c>
      <c r="L3296" s="10">
        <v>35</v>
      </c>
      <c r="M3296" s="6" t="s">
        <v>371</v>
      </c>
    </row>
    <row r="3297" spans="1:13">
      <c r="A3297" s="6">
        <v>2024</v>
      </c>
      <c r="B3297" s="6">
        <v>3</v>
      </c>
      <c r="C3297" s="6" t="s">
        <v>61</v>
      </c>
      <c r="D3297" s="6" t="s">
        <v>415</v>
      </c>
      <c r="E3297" s="6" t="s">
        <v>416</v>
      </c>
      <c r="F3297" s="6" t="str">
        <f>IF($M3297="PADD I","PADD 1",IF($M3297="PADD II","PADD 2",IF($M3297="PADD III","PADD 3",IF($M3297="PADD IV","PADD 4",IF($M3297="PADD V","PADD 5","")))))</f>
        <v>PADD 3</v>
      </c>
      <c r="G3297" s="6" t="str">
        <f>IF(AND($H3297="ATMOS DISTILLATION",ISNUMBER(SEARCH("VPS",$I3297))=FALSE,LEFT($I3297,6)&lt;&gt;"VACUUM"),"CDU",IF($H3297="FLUID CAT CRACKING","FCC",IF(OR($H3297="HYDROCRACKING",$H3297="RESID_HYDROCRACKING"),"Hydrocracker",IF($H3297="REFORMING","Reformer",""))))</f>
        <v>FCC</v>
      </c>
      <c r="H3297" s="6" t="s">
        <v>376</v>
      </c>
      <c r="I3297" s="6" t="s">
        <v>1122</v>
      </c>
      <c r="J3297" s="6" t="s">
        <v>349</v>
      </c>
      <c r="K3297" s="10">
        <v>8</v>
      </c>
      <c r="L3297" s="10">
        <v>50</v>
      </c>
      <c r="M3297" s="6" t="s">
        <v>371</v>
      </c>
    </row>
    <row r="3298" spans="1:13">
      <c r="A3298" s="6">
        <v>2024</v>
      </c>
      <c r="B3298" s="6">
        <v>3</v>
      </c>
      <c r="C3298" s="6" t="s">
        <v>61</v>
      </c>
      <c r="D3298" s="6" t="s">
        <v>602</v>
      </c>
      <c r="E3298" s="6" t="s">
        <v>369</v>
      </c>
      <c r="F3298" s="6" t="str">
        <f>IF($M3298="PADD I","PADD 1",IF($M3298="PADD II","PADD 2",IF($M3298="PADD III","PADD 3",IF($M3298="PADD IV","PADD 4",IF($M3298="PADD V","PADD 5","")))))</f>
        <v>PADD 2</v>
      </c>
      <c r="G3298" s="6">
        <f>IF(AND($H3298="ATMOS DISTILLATION",ISNUMBER(SEARCH("VPS",$I3298))=FALSE,LEFT($I3298,6)&lt;&gt;"VACUUM"),"CDU",IF($H3298="FLUID CAT CRACKING","FCC",IF(OR($H3298="HYDROCRACKING",$H3298="RESID_HYDROCRACKING"),"Hydrocracker",IF($H3298="REFORMING","Reformer",""))))</f>
        <v/>
      </c>
      <c r="H3298" s="6" t="s">
        <v>460</v>
      </c>
      <c r="I3298" s="6" t="s">
        <v>616</v>
      </c>
      <c r="J3298" s="6" t="s">
        <v>345</v>
      </c>
      <c r="K3298" s="10">
        <v>7.8</v>
      </c>
      <c r="L3298" s="10">
        <v>12</v>
      </c>
      <c r="M3298" s="6" t="s">
        <v>375</v>
      </c>
    </row>
    <row r="3299" spans="1:13">
      <c r="A3299" s="6">
        <v>2024</v>
      </c>
      <c r="B3299" s="6">
        <v>3</v>
      </c>
      <c r="C3299" s="6" t="s">
        <v>61</v>
      </c>
      <c r="D3299" s="6" t="s">
        <v>628</v>
      </c>
      <c r="E3299" s="6" t="s">
        <v>388</v>
      </c>
      <c r="F3299" s="6" t="str">
        <f>IF($M3299="PADD I","PADD 1",IF($M3299="PADD II","PADD 2",IF($M3299="PADD III","PADD 3",IF($M3299="PADD IV","PADD 4",IF($M3299="PADD V","PADD 5","")))))</f>
        <v>PADD 3</v>
      </c>
      <c r="G3299" s="6" t="str">
        <f>IF(AND($H3299="ATMOS DISTILLATION",ISNUMBER(SEARCH("VPS",$I3299))=FALSE,LEFT($I3299,6)&lt;&gt;"VACUUM"),"CDU",IF($H3299="FLUID CAT CRACKING","FCC",IF(OR($H3299="HYDROCRACKING",$H3299="RESID_HYDROCRACKING"),"Hydrocracker",IF($H3299="REFORMING","Reformer",""))))</f>
        <v>Reformer</v>
      </c>
      <c r="H3299" s="6" t="s">
        <v>421</v>
      </c>
      <c r="I3299" s="6" t="s">
        <v>571</v>
      </c>
      <c r="J3299" s="6" t="s">
        <v>349</v>
      </c>
      <c r="K3299" s="10">
        <v>7.4</v>
      </c>
      <c r="L3299" s="10">
        <v>10</v>
      </c>
      <c r="M3299" s="6" t="s">
        <v>371</v>
      </c>
    </row>
    <row r="3300" spans="1:13">
      <c r="A3300" s="6">
        <v>2024</v>
      </c>
      <c r="B3300" s="6">
        <v>3</v>
      </c>
      <c r="C3300" s="6" t="s">
        <v>61</v>
      </c>
      <c r="D3300" s="6" t="s">
        <v>446</v>
      </c>
      <c r="E3300" s="6" t="s">
        <v>391</v>
      </c>
      <c r="F3300" s="6" t="str">
        <f>IF($M3300="PADD I","PADD 1",IF($M3300="PADD II","PADD 2",IF($M3300="PADD III","PADD 3",IF($M3300="PADD IV","PADD 4",IF($M3300="PADD V","PADD 5","")))))</f>
        <v>PADD 3</v>
      </c>
      <c r="G3300" s="6">
        <f>IF(AND($H3300="ATMOS DISTILLATION",ISNUMBER(SEARCH("VPS",$I3300))=FALSE,LEFT($I3300,6)&lt;&gt;"VACUUM"),"CDU",IF($H3300="FLUID CAT CRACKING","FCC",IF(OR($H3300="HYDROCRACKING",$H3300="RESID_HYDROCRACKING"),"Hydrocracker",IF($H3300="REFORMING","Reformer",""))))</f>
        <v/>
      </c>
      <c r="H3300" s="6" t="s">
        <v>460</v>
      </c>
      <c r="I3300" s="6" t="s">
        <v>1075</v>
      </c>
      <c r="J3300" s="6" t="s">
        <v>345</v>
      </c>
      <c r="K3300" s="10">
        <v>7.2</v>
      </c>
      <c r="L3300" s="10">
        <v>7.2</v>
      </c>
      <c r="M3300" s="6" t="s">
        <v>371</v>
      </c>
    </row>
    <row r="3301" spans="1:13">
      <c r="A3301" s="6">
        <v>2024</v>
      </c>
      <c r="B3301" s="6">
        <v>3</v>
      </c>
      <c r="C3301" s="6" t="s">
        <v>61</v>
      </c>
      <c r="D3301" s="6" t="s">
        <v>774</v>
      </c>
      <c r="E3301" s="6" t="s">
        <v>775</v>
      </c>
      <c r="F3301" s="6" t="str">
        <f>IF($M3301="PADD I","PADD 1",IF($M3301="PADD II","PADD 2",IF($M3301="PADD III","PADD 3",IF($M3301="PADD IV","PADD 4",IF($M3301="PADD V","PADD 5","")))))</f>
        <v>PADD 1</v>
      </c>
      <c r="G3301" s="6">
        <f>IF(AND($H3301="ATMOS DISTILLATION",ISNUMBER(SEARCH("VPS",$I3301))=FALSE,LEFT($I3301,6)&lt;&gt;"VACUUM"),"CDU",IF($H3301="FLUID CAT CRACKING","FCC",IF(OR($H3301="HYDROCRACKING",$H3301="RESID_HYDROCRACKING"),"Hydrocracker",IF($H3301="REFORMING","Reformer",""))))</f>
        <v/>
      </c>
      <c r="H3301" s="6" t="s">
        <v>43</v>
      </c>
      <c r="I3301" s="6" t="s">
        <v>1146</v>
      </c>
      <c r="J3301" s="6" t="s">
        <v>349</v>
      </c>
      <c r="K3301" s="10">
        <v>7.1346</v>
      </c>
      <c r="L3301" s="10">
        <v>7.59</v>
      </c>
      <c r="M3301" s="6" t="s">
        <v>413</v>
      </c>
    </row>
    <row r="3302" spans="1:13">
      <c r="A3302" s="6">
        <v>2024</v>
      </c>
      <c r="B3302" s="6">
        <v>3</v>
      </c>
      <c r="C3302" s="6" t="s">
        <v>61</v>
      </c>
      <c r="D3302" s="6" t="s">
        <v>468</v>
      </c>
      <c r="E3302" s="6" t="s">
        <v>369</v>
      </c>
      <c r="F3302" s="6" t="str">
        <f>IF($M3302="PADD I","PADD 1",IF($M3302="PADD II","PADD 2",IF($M3302="PADD III","PADD 3",IF($M3302="PADD IV","PADD 4",IF($M3302="PADD V","PADD 5","")))))</f>
        <v>PADD 3</v>
      </c>
      <c r="G3302" s="6" t="str">
        <f>IF(AND($H3302="ATMOS DISTILLATION",ISNUMBER(SEARCH("VPS",$I3302))=FALSE,LEFT($I3302,6)&lt;&gt;"VACUUM"),"CDU",IF($H3302="FLUID CAT CRACKING","FCC",IF(OR($H3302="HYDROCRACKING",$H3302="RESID_HYDROCRACKING"),"Hydrocracker",IF($H3302="REFORMING","Reformer",""))))</f>
        <v>Reformer</v>
      </c>
      <c r="H3302" s="6" t="s">
        <v>421</v>
      </c>
      <c r="I3302" s="6" t="s">
        <v>635</v>
      </c>
      <c r="J3302" s="6" t="s">
        <v>349</v>
      </c>
      <c r="K3302" s="10">
        <v>7</v>
      </c>
      <c r="L3302" s="10">
        <v>7</v>
      </c>
      <c r="M3302" s="6" t="s">
        <v>371</v>
      </c>
    </row>
    <row r="3303" spans="1:13">
      <c r="A3303" s="6">
        <v>2024</v>
      </c>
      <c r="B3303" s="6">
        <v>3</v>
      </c>
      <c r="C3303" s="6" t="s">
        <v>61</v>
      </c>
      <c r="D3303" s="6" t="s">
        <v>639</v>
      </c>
      <c r="E3303" s="6" t="s">
        <v>452</v>
      </c>
      <c r="F3303" s="6" t="str">
        <f>IF($M3303="PADD I","PADD 1",IF($M3303="PADD II","PADD 2",IF($M3303="PADD III","PADD 3",IF($M3303="PADD IV","PADD 4",IF($M3303="PADD V","PADD 5","")))))</f>
        <v>PADD 5</v>
      </c>
      <c r="G3303" s="6">
        <f>IF(AND($H3303="ATMOS DISTILLATION",ISNUMBER(SEARCH("VPS",$I3303))=FALSE,LEFT($I3303,6)&lt;&gt;"VACUUM"),"CDU",IF($H3303="FLUID CAT CRACKING","FCC",IF(OR($H3303="HYDROCRACKING",$H3303="RESID_HYDROCRACKING"),"Hydrocracker",IF($H3303="REFORMING","Reformer",""))))</f>
        <v/>
      </c>
      <c r="H3303" s="6" t="s">
        <v>460</v>
      </c>
      <c r="I3303" s="6" t="s">
        <v>541</v>
      </c>
      <c r="J3303" s="6" t="s">
        <v>349</v>
      </c>
      <c r="K3303" s="10">
        <v>7</v>
      </c>
      <c r="L3303" s="10">
        <v>7</v>
      </c>
      <c r="M3303" s="6" t="s">
        <v>386</v>
      </c>
    </row>
    <row r="3304" spans="1:13">
      <c r="A3304" s="6">
        <v>2024</v>
      </c>
      <c r="B3304" s="6">
        <v>3</v>
      </c>
      <c r="C3304" s="6" t="s">
        <v>61</v>
      </c>
      <c r="D3304" s="6" t="s">
        <v>429</v>
      </c>
      <c r="E3304" s="6" t="s">
        <v>388</v>
      </c>
      <c r="F3304" s="6" t="str">
        <f>IF($M3304="PADD I","PADD 1",IF($M3304="PADD II","PADD 2",IF($M3304="PADD III","PADD 3",IF($M3304="PADD IV","PADD 4",IF($M3304="PADD V","PADD 5","")))))</f>
        <v>PADD 4</v>
      </c>
      <c r="G3304" s="6">
        <f>IF(AND($H3304="ATMOS DISTILLATION",ISNUMBER(SEARCH("VPS",$I3304))=FALSE,LEFT($I3304,6)&lt;&gt;"VACUUM"),"CDU",IF($H3304="FLUID CAT CRACKING","FCC",IF(OR($H3304="HYDROCRACKING",$H3304="RESID_HYDROCRACKING"),"Hydrocracker",IF($H3304="REFORMING","Reformer",""))))</f>
        <v/>
      </c>
      <c r="H3304" s="6" t="s">
        <v>43</v>
      </c>
      <c r="I3304" s="6" t="s">
        <v>1133</v>
      </c>
      <c r="J3304" s="6" t="s">
        <v>349</v>
      </c>
      <c r="K3304" s="10">
        <v>6.96</v>
      </c>
      <c r="L3304" s="10">
        <v>8</v>
      </c>
      <c r="M3304" s="6" t="s">
        <v>430</v>
      </c>
    </row>
    <row r="3305" spans="1:13">
      <c r="A3305" s="6">
        <v>2024</v>
      </c>
      <c r="B3305" s="6">
        <v>3</v>
      </c>
      <c r="C3305" s="6" t="s">
        <v>61</v>
      </c>
      <c r="D3305" s="6" t="s">
        <v>440</v>
      </c>
      <c r="E3305" s="6" t="s">
        <v>369</v>
      </c>
      <c r="F3305" s="6" t="str">
        <f>IF($M3305="PADD I","PADD 1",IF($M3305="PADD II","PADD 2",IF($M3305="PADD III","PADD 3",IF($M3305="PADD IV","PADD 4",IF($M3305="PADD V","PADD 5","")))))</f>
        <v>PADD 5</v>
      </c>
      <c r="G3305" s="6">
        <f>IF(AND($H3305="ATMOS DISTILLATION",ISNUMBER(SEARCH("VPS",$I3305))=FALSE,LEFT($I3305,6)&lt;&gt;"VACUUM"),"CDU",IF($H3305="FLUID CAT CRACKING","FCC",IF(OR($H3305="HYDROCRACKING",$H3305="RESID_HYDROCRACKING"),"Hydrocracker",IF($H3305="REFORMING","Reformer",""))))</f>
        <v/>
      </c>
      <c r="H3305" s="6" t="s">
        <v>435</v>
      </c>
      <c r="I3305" s="6" t="s">
        <v>441</v>
      </c>
      <c r="J3305" s="6" t="s">
        <v>345</v>
      </c>
      <c r="K3305" s="10">
        <v>6.89</v>
      </c>
      <c r="L3305" s="10">
        <v>53</v>
      </c>
      <c r="M3305" s="6" t="s">
        <v>386</v>
      </c>
    </row>
    <row r="3306" spans="1:13">
      <c r="A3306" s="6">
        <v>2024</v>
      </c>
      <c r="B3306" s="6">
        <v>3</v>
      </c>
      <c r="C3306" s="6" t="s">
        <v>61</v>
      </c>
      <c r="D3306" s="6" t="s">
        <v>722</v>
      </c>
      <c r="E3306" s="6" t="s">
        <v>452</v>
      </c>
      <c r="F3306" s="6" t="str">
        <f>IF($M3306="PADD I","PADD 1",IF($M3306="PADD II","PADD 2",IF($M3306="PADD III","PADD 3",IF($M3306="PADD IV","PADD 4",IF($M3306="PADD V","PADD 5","")))))</f>
        <v>PADD 4</v>
      </c>
      <c r="G3306" s="6" t="str">
        <f>IF(AND($H3306="ATMOS DISTILLATION",ISNUMBER(SEARCH("VPS",$I3306))=FALSE,LEFT($I3306,6)&lt;&gt;"VACUUM"),"CDU",IF($H3306="FLUID CAT CRACKING","FCC",IF(OR($H3306="HYDROCRACKING",$H3306="RESID_HYDROCRACKING"),"Hydrocracker",IF($H3306="REFORMING","Reformer",""))))</f>
        <v>Hydrocracker</v>
      </c>
      <c r="H3306" s="6" t="s">
        <v>444</v>
      </c>
      <c r="I3306" s="6" t="s">
        <v>1147</v>
      </c>
      <c r="J3306" s="6" t="s">
        <v>345</v>
      </c>
      <c r="K3306" s="10">
        <v>6.75</v>
      </c>
      <c r="L3306" s="10">
        <v>15</v>
      </c>
      <c r="M3306" s="6" t="s">
        <v>430</v>
      </c>
    </row>
    <row r="3307" spans="1:13">
      <c r="A3307" s="6">
        <v>2024</v>
      </c>
      <c r="B3307" s="6">
        <v>3</v>
      </c>
      <c r="C3307" s="6" t="s">
        <v>61</v>
      </c>
      <c r="D3307" s="6" t="s">
        <v>742</v>
      </c>
      <c r="E3307" s="6" t="s">
        <v>388</v>
      </c>
      <c r="F3307" s="6" t="str">
        <f>IF($M3307="PADD I","PADD 1",IF($M3307="PADD II","PADD 2",IF($M3307="PADD III","PADD 3",IF($M3307="PADD IV","PADD 4",IF($M3307="PADD V","PADD 5","")))))</f>
        <v>PADD 5</v>
      </c>
      <c r="G3307" s="6" t="str">
        <f>IF(AND($H3307="ATMOS DISTILLATION",ISNUMBER(SEARCH("VPS",$I3307))=FALSE,LEFT($I3307,6)&lt;&gt;"VACUUM"),"CDU",IF($H3307="FLUID CAT CRACKING","FCC",IF(OR($H3307="HYDROCRACKING",$H3307="RESID_HYDROCRACKING"),"Hydrocracker",IF($H3307="REFORMING","Reformer",""))))</f>
        <v>FCC</v>
      </c>
      <c r="H3307" s="6" t="s">
        <v>376</v>
      </c>
      <c r="I3307" s="6" t="s">
        <v>105</v>
      </c>
      <c r="J3307" s="6" t="s">
        <v>345</v>
      </c>
      <c r="K3307" s="10">
        <v>6.72</v>
      </c>
      <c r="L3307" s="10">
        <v>42</v>
      </c>
      <c r="M3307" s="6" t="s">
        <v>386</v>
      </c>
    </row>
    <row r="3308" spans="1:13">
      <c r="A3308" s="6">
        <v>2024</v>
      </c>
      <c r="B3308" s="6">
        <v>3</v>
      </c>
      <c r="C3308" s="6" t="s">
        <v>61</v>
      </c>
      <c r="D3308" s="6" t="s">
        <v>437</v>
      </c>
      <c r="E3308" s="6" t="s">
        <v>438</v>
      </c>
      <c r="F3308" s="6" t="str">
        <f>IF($M3308="PADD I","PADD 1",IF($M3308="PADD II","PADD 2",IF($M3308="PADD III","PADD 3",IF($M3308="PADD IV","PADD 4",IF($M3308="PADD V","PADD 5","")))))</f>
        <v>PADD 4</v>
      </c>
      <c r="G3308" s="6">
        <f>IF(AND($H3308="ATMOS DISTILLATION",ISNUMBER(SEARCH("VPS",$I3308))=FALSE,LEFT($I3308,6)&lt;&gt;"VACUUM"),"CDU",IF($H3308="FLUID CAT CRACKING","FCC",IF(OR($H3308="HYDROCRACKING",$H3308="RESID_HYDROCRACKING"),"Hydrocracker",IF($H3308="REFORMING","Reformer",""))))</f>
        <v/>
      </c>
      <c r="H3308" s="6" t="s">
        <v>43</v>
      </c>
      <c r="I3308" s="6" t="s">
        <v>493</v>
      </c>
      <c r="J3308" s="6" t="s">
        <v>345</v>
      </c>
      <c r="K3308" s="10">
        <v>6.72</v>
      </c>
      <c r="L3308" s="10">
        <v>21</v>
      </c>
      <c r="M3308" s="6" t="s">
        <v>430</v>
      </c>
    </row>
    <row r="3309" spans="1:13">
      <c r="A3309" s="6">
        <v>2024</v>
      </c>
      <c r="B3309" s="6">
        <v>3</v>
      </c>
      <c r="C3309" s="6" t="s">
        <v>61</v>
      </c>
      <c r="D3309" s="6" t="s">
        <v>807</v>
      </c>
      <c r="E3309" s="6" t="s">
        <v>779</v>
      </c>
      <c r="F3309" s="6" t="str">
        <f>IF($M3309="PADD I","PADD 1",IF($M3309="PADD II","PADD 2",IF($M3309="PADD III","PADD 3",IF($M3309="PADD IV","PADD 4",IF($M3309="PADD V","PADD 5","")))))</f>
        <v>PADD 3</v>
      </c>
      <c r="G3309" s="6" t="str">
        <f>IF(AND($H3309="ATMOS DISTILLATION",ISNUMBER(SEARCH("VPS",$I3309))=FALSE,LEFT($I3309,6)&lt;&gt;"VACUUM"),"CDU",IF($H3309="FLUID CAT CRACKING","FCC",IF(OR($H3309="HYDROCRACKING",$H3309="RESID_HYDROCRACKING"),"Hydrocracker",IF($H3309="REFORMING","Reformer",""))))</f>
        <v>CDU</v>
      </c>
      <c r="H3309" s="6" t="s">
        <v>38</v>
      </c>
      <c r="I3309" s="6" t="s">
        <v>135</v>
      </c>
      <c r="J3309" s="6" t="s">
        <v>349</v>
      </c>
      <c r="K3309" s="10">
        <v>6.7</v>
      </c>
      <c r="L3309" s="10">
        <v>67</v>
      </c>
      <c r="M3309" s="6" t="s">
        <v>371</v>
      </c>
    </row>
    <row r="3310" spans="1:13">
      <c r="A3310" s="6">
        <v>2024</v>
      </c>
      <c r="B3310" s="6">
        <v>3</v>
      </c>
      <c r="C3310" s="6" t="s">
        <v>61</v>
      </c>
      <c r="D3310" s="6" t="s">
        <v>799</v>
      </c>
      <c r="E3310" s="6" t="s">
        <v>391</v>
      </c>
      <c r="F3310" s="6" t="str">
        <f>IF($M3310="PADD I","PADD 1",IF($M3310="PADD II","PADD 2",IF($M3310="PADD III","PADD 3",IF($M3310="PADD IV","PADD 4",IF($M3310="PADD V","PADD 5","")))))</f>
        <v>PADD 4</v>
      </c>
      <c r="G3310" s="6">
        <f>IF(AND($H3310="ATMOS DISTILLATION",ISNUMBER(SEARCH("VPS",$I3310))=FALSE,LEFT($I3310,6)&lt;&gt;"VACUUM"),"CDU",IF($H3310="FLUID CAT CRACKING","FCC",IF(OR($H3310="HYDROCRACKING",$H3310="RESID_HYDROCRACKING"),"Hydrocracker",IF($H3310="REFORMING","Reformer",""))))</f>
        <v/>
      </c>
      <c r="H3310" s="6" t="s">
        <v>378</v>
      </c>
      <c r="I3310" s="6" t="s">
        <v>379</v>
      </c>
      <c r="J3310" s="6" t="s">
        <v>349</v>
      </c>
      <c r="K3310" s="10">
        <v>6.656</v>
      </c>
      <c r="L3310" s="10">
        <v>25.6</v>
      </c>
      <c r="M3310" s="6" t="s">
        <v>430</v>
      </c>
    </row>
    <row r="3311" spans="1:13">
      <c r="A3311" s="6">
        <v>2024</v>
      </c>
      <c r="B3311" s="6">
        <v>3</v>
      </c>
      <c r="C3311" s="6" t="s">
        <v>61</v>
      </c>
      <c r="D3311" s="6" t="s">
        <v>465</v>
      </c>
      <c r="E3311" s="6" t="s">
        <v>369</v>
      </c>
      <c r="F3311" s="6" t="str">
        <f>IF($M3311="PADD I","PADD 1",IF($M3311="PADD II","PADD 2",IF($M3311="PADD III","PADD 3",IF($M3311="PADD IV","PADD 4",IF($M3311="PADD V","PADD 5","")))))</f>
        <v>PADD 5</v>
      </c>
      <c r="G3311" s="6" t="str">
        <f>IF(AND($H3311="ATMOS DISTILLATION",ISNUMBER(SEARCH("VPS",$I3311))=FALSE,LEFT($I3311,6)&lt;&gt;"VACUUM"),"CDU",IF($H3311="FLUID CAT CRACKING","FCC",IF(OR($H3311="HYDROCRACKING",$H3311="RESID_HYDROCRACKING"),"Hydrocracker",IF($H3311="REFORMING","Reformer",""))))</f>
        <v>Reformer</v>
      </c>
      <c r="H3311" s="6" t="s">
        <v>421</v>
      </c>
      <c r="I3311" s="6" t="s">
        <v>673</v>
      </c>
      <c r="J3311" s="6" t="s">
        <v>349</v>
      </c>
      <c r="K3311" s="10">
        <v>6.4</v>
      </c>
      <c r="L3311" s="10">
        <v>20</v>
      </c>
      <c r="M3311" s="6" t="s">
        <v>386</v>
      </c>
    </row>
    <row r="3312" spans="1:13">
      <c r="A3312" s="6">
        <v>2024</v>
      </c>
      <c r="B3312" s="6">
        <v>3</v>
      </c>
      <c r="C3312" s="6" t="s">
        <v>61</v>
      </c>
      <c r="D3312" s="6" t="s">
        <v>646</v>
      </c>
      <c r="E3312" s="6" t="s">
        <v>405</v>
      </c>
      <c r="F3312" s="6" t="str">
        <f>IF($M3312="PADD I","PADD 1",IF($M3312="PADD II","PADD 2",IF($M3312="PADD III","PADD 3",IF($M3312="PADD IV","PADD 4",IF($M3312="PADD V","PADD 5","")))))</f>
        <v>PADD 3</v>
      </c>
      <c r="G3312" s="6">
        <f>IF(AND($H3312="ATMOS DISTILLATION",ISNUMBER(SEARCH("VPS",$I3312))=FALSE,LEFT($I3312,6)&lt;&gt;"VACUUM"),"CDU",IF($H3312="FLUID CAT CRACKING","FCC",IF(OR($H3312="HYDROCRACKING",$H3312="RESID_HYDROCRACKING"),"Hydrocracker",IF($H3312="REFORMING","Reformer",""))))</f>
        <v/>
      </c>
      <c r="H3312" s="6" t="s">
        <v>435</v>
      </c>
      <c r="I3312" s="6" t="s">
        <v>441</v>
      </c>
      <c r="J3312" s="6" t="s">
        <v>345</v>
      </c>
      <c r="K3312" s="10">
        <v>6.3</v>
      </c>
      <c r="L3312" s="10">
        <v>18</v>
      </c>
      <c r="M3312" s="6" t="s">
        <v>371</v>
      </c>
    </row>
    <row r="3313" spans="1:13">
      <c r="A3313" s="6">
        <v>2024</v>
      </c>
      <c r="B3313" s="6">
        <v>3</v>
      </c>
      <c r="C3313" s="6" t="s">
        <v>61</v>
      </c>
      <c r="D3313" s="6" t="s">
        <v>748</v>
      </c>
      <c r="E3313" s="6" t="s">
        <v>388</v>
      </c>
      <c r="F3313" s="6" t="str">
        <f>IF($M3313="PADD I","PADD 1",IF($M3313="PADD II","PADD 2",IF($M3313="PADD III","PADD 3",IF($M3313="PADD IV","PADD 4",IF($M3313="PADD V","PADD 5","")))))</f>
        <v>PADD 3</v>
      </c>
      <c r="G3313" s="6" t="str">
        <f>IF(AND($H3313="ATMOS DISTILLATION",ISNUMBER(SEARCH("VPS",$I3313))=FALSE,LEFT($I3313,6)&lt;&gt;"VACUUM"),"CDU",IF($H3313="FLUID CAT CRACKING","FCC",IF(OR($H3313="HYDROCRACKING",$H3313="RESID_HYDROCRACKING"),"Hydrocracker",IF($H3313="REFORMING","Reformer",""))))</f>
        <v>Reformer</v>
      </c>
      <c r="H3313" s="6" t="s">
        <v>421</v>
      </c>
      <c r="I3313" s="6" t="s">
        <v>764</v>
      </c>
      <c r="J3313" s="6" t="s">
        <v>349</v>
      </c>
      <c r="K3313" s="10">
        <v>6.3</v>
      </c>
      <c r="L3313" s="10">
        <v>15</v>
      </c>
      <c r="M3313" s="6" t="s">
        <v>371</v>
      </c>
    </row>
    <row r="3314" spans="1:13">
      <c r="A3314" s="6">
        <v>2024</v>
      </c>
      <c r="B3314" s="6">
        <v>3</v>
      </c>
      <c r="C3314" s="6" t="s">
        <v>61</v>
      </c>
      <c r="D3314" s="6" t="s">
        <v>1148</v>
      </c>
      <c r="E3314" s="6" t="s">
        <v>1149</v>
      </c>
      <c r="F3314" s="6" t="str">
        <f>IF($M3314="PADD I","PADD 1",IF($M3314="PADD II","PADD 2",IF($M3314="PADD III","PADD 3",IF($M3314="PADD IV","PADD 4",IF($M3314="PADD V","PADD 5","")))))</f>
        <v>PADD 3</v>
      </c>
      <c r="G3314" s="6" t="str">
        <f>IF(AND($H3314="ATMOS DISTILLATION",ISNUMBER(SEARCH("VPS",$I3314))=FALSE,LEFT($I3314,6)&lt;&gt;"VACUUM"),"CDU",IF($H3314="FLUID CAT CRACKING","FCC",IF(OR($H3314="HYDROCRACKING",$H3314="RESID_HYDROCRACKING"),"Hydrocracker",IF($H3314="REFORMING","Reformer",""))))</f>
        <v>CDU</v>
      </c>
      <c r="H3314" s="6" t="s">
        <v>38</v>
      </c>
      <c r="I3314" s="6" t="s">
        <v>81</v>
      </c>
      <c r="J3314" s="6" t="s">
        <v>349</v>
      </c>
      <c r="K3314" s="10">
        <v>6.09</v>
      </c>
      <c r="L3314" s="10">
        <v>7</v>
      </c>
      <c r="M3314" s="6" t="s">
        <v>371</v>
      </c>
    </row>
    <row r="3315" spans="1:13">
      <c r="A3315" s="6">
        <v>2024</v>
      </c>
      <c r="B3315" s="6">
        <v>3</v>
      </c>
      <c r="C3315" s="6" t="s">
        <v>61</v>
      </c>
      <c r="D3315" s="6" t="s">
        <v>415</v>
      </c>
      <c r="E3315" s="6" t="s">
        <v>416</v>
      </c>
      <c r="F3315" s="6" t="str">
        <f>IF($M3315="PADD I","PADD 1",IF($M3315="PADD II","PADD 2",IF($M3315="PADD III","PADD 3",IF($M3315="PADD IV","PADD 4",IF($M3315="PADD V","PADD 5","")))))</f>
        <v>PADD 3</v>
      </c>
      <c r="G3315" s="6">
        <f>IF(AND($H3315="ATMOS DISTILLATION",ISNUMBER(SEARCH("VPS",$I3315))=FALSE,LEFT($I3315,6)&lt;&gt;"VACUUM"),"CDU",IF($H3315="FLUID CAT CRACKING","FCC",IF(OR($H3315="HYDROCRACKING",$H3315="RESID_HYDROCRACKING"),"Hydrocracker",IF($H3315="REFORMING","Reformer",""))))</f>
        <v/>
      </c>
      <c r="H3315" s="6" t="s">
        <v>43</v>
      </c>
      <c r="I3315" s="6" t="s">
        <v>1095</v>
      </c>
      <c r="J3315" s="6" t="s">
        <v>349</v>
      </c>
      <c r="K3315" s="10">
        <v>6.08</v>
      </c>
      <c r="L3315" s="10">
        <v>38</v>
      </c>
      <c r="M3315" s="6" t="s">
        <v>371</v>
      </c>
    </row>
    <row r="3316" spans="1:13">
      <c r="A3316" s="6">
        <v>2024</v>
      </c>
      <c r="B3316" s="6">
        <v>3</v>
      </c>
      <c r="C3316" s="6" t="s">
        <v>61</v>
      </c>
      <c r="D3316" s="6" t="s">
        <v>788</v>
      </c>
      <c r="E3316" s="6" t="s">
        <v>405</v>
      </c>
      <c r="F3316" s="6" t="str">
        <f>IF($M3316="PADD I","PADD 1",IF($M3316="PADD II","PADD 2",IF($M3316="PADD III","PADD 3",IF($M3316="PADD IV","PADD 4",IF($M3316="PADD V","PADD 5","")))))</f>
        <v>PADD 3</v>
      </c>
      <c r="G3316" s="6" t="str">
        <f>IF(AND($H3316="ATMOS DISTILLATION",ISNUMBER(SEARCH("VPS",$I3316))=FALSE,LEFT($I3316,6)&lt;&gt;"VACUUM"),"CDU",IF($H3316="FLUID CAT CRACKING","FCC",IF(OR($H3316="HYDROCRACKING",$H3316="RESID_HYDROCRACKING"),"Hydrocracker",IF($H3316="REFORMING","Reformer",""))))</f>
        <v>Reformer</v>
      </c>
      <c r="H3316" s="6" t="s">
        <v>421</v>
      </c>
      <c r="I3316" s="6" t="s">
        <v>782</v>
      </c>
      <c r="J3316" s="6" t="s">
        <v>345</v>
      </c>
      <c r="K3316" s="10">
        <v>6.08</v>
      </c>
      <c r="L3316" s="10">
        <v>32</v>
      </c>
      <c r="M3316" s="6" t="s">
        <v>371</v>
      </c>
    </row>
    <row r="3317" spans="1:13">
      <c r="A3317" s="6">
        <v>2024</v>
      </c>
      <c r="B3317" s="6">
        <v>3</v>
      </c>
      <c r="C3317" s="6" t="s">
        <v>61</v>
      </c>
      <c r="D3317" s="6" t="s">
        <v>372</v>
      </c>
      <c r="E3317" s="6" t="s">
        <v>373</v>
      </c>
      <c r="F3317" s="6" t="str">
        <f>IF($M3317="PADD I","PADD 1",IF($M3317="PADD II","PADD 2",IF($M3317="PADD III","PADD 3",IF($M3317="PADD IV","PADD 4",IF($M3317="PADD V","PADD 5","")))))</f>
        <v>PADD 2</v>
      </c>
      <c r="G3317" s="6">
        <f>IF(AND($H3317="ATMOS DISTILLATION",ISNUMBER(SEARCH("VPS",$I3317))=FALSE,LEFT($I3317,6)&lt;&gt;"VACUUM"),"CDU",IF($H3317="FLUID CAT CRACKING","FCC",IF(OR($H3317="HYDROCRACKING",$H3317="RESID_HYDROCRACKING"),"Hydrocracker",IF($H3317="REFORMING","Reformer",""))))</f>
        <v/>
      </c>
      <c r="H3317" s="6" t="s">
        <v>435</v>
      </c>
      <c r="I3317" s="6" t="s">
        <v>584</v>
      </c>
      <c r="J3317" s="6" t="s">
        <v>345</v>
      </c>
      <c r="K3317" s="10">
        <v>6.075</v>
      </c>
      <c r="L3317" s="10">
        <v>7.5</v>
      </c>
      <c r="M3317" s="6" t="s">
        <v>375</v>
      </c>
    </row>
    <row r="3318" spans="1:13">
      <c r="A3318" s="6">
        <v>2024</v>
      </c>
      <c r="B3318" s="6">
        <v>3</v>
      </c>
      <c r="C3318" s="6" t="s">
        <v>61</v>
      </c>
      <c r="D3318" s="6" t="s">
        <v>496</v>
      </c>
      <c r="E3318" s="6" t="s">
        <v>388</v>
      </c>
      <c r="F3318" s="6" t="str">
        <f>IF($M3318="PADD I","PADD 1",IF($M3318="PADD II","PADD 2",IF($M3318="PADD III","PADD 3",IF($M3318="PADD IV","PADD 4",IF($M3318="PADD V","PADD 5","")))))</f>
        <v>PADD 2</v>
      </c>
      <c r="G3318" s="6">
        <f>IF(AND($H3318="ATMOS DISTILLATION",ISNUMBER(SEARCH("VPS",$I3318))=FALSE,LEFT($I3318,6)&lt;&gt;"VACUUM"),"CDU",IF($H3318="FLUID CAT CRACKING","FCC",IF(OR($H3318="HYDROCRACKING",$H3318="RESID_HYDROCRACKING"),"Hydrocracker",IF($H3318="REFORMING","Reformer",""))))</f>
        <v/>
      </c>
      <c r="H3318" s="6" t="s">
        <v>43</v>
      </c>
      <c r="I3318" s="6" t="s">
        <v>955</v>
      </c>
      <c r="J3318" s="6" t="s">
        <v>349</v>
      </c>
      <c r="K3318" s="10">
        <v>6</v>
      </c>
      <c r="L3318" s="10">
        <v>6</v>
      </c>
      <c r="M3318" s="6" t="s">
        <v>375</v>
      </c>
    </row>
    <row r="3319" spans="1:13">
      <c r="A3319" s="6">
        <v>2024</v>
      </c>
      <c r="B3319" s="6">
        <v>3</v>
      </c>
      <c r="C3319" s="6" t="s">
        <v>61</v>
      </c>
      <c r="D3319" s="6" t="s">
        <v>490</v>
      </c>
      <c r="E3319" s="6" t="s">
        <v>491</v>
      </c>
      <c r="F3319" s="6" t="str">
        <f>IF($M3319="PADD I","PADD 1",IF($M3319="PADD II","PADD 2",IF($M3319="PADD III","PADD 3",IF($M3319="PADD IV","PADD 4",IF($M3319="PADD V","PADD 5","")))))</f>
        <v>PADD 3</v>
      </c>
      <c r="G3319" s="6">
        <f>IF(AND($H3319="ATMOS DISTILLATION",ISNUMBER(SEARCH("VPS",$I3319))=FALSE,LEFT($I3319,6)&lt;&gt;"VACUUM"),"CDU",IF($H3319="FLUID CAT CRACKING","FCC",IF(OR($H3319="HYDROCRACKING",$H3319="RESID_HYDROCRACKING"),"Hydrocracker",IF($H3319="REFORMING","Reformer",""))))</f>
        <v/>
      </c>
      <c r="H3319" s="6" t="s">
        <v>378</v>
      </c>
      <c r="I3319" s="6" t="s">
        <v>560</v>
      </c>
      <c r="J3319" s="6" t="s">
        <v>345</v>
      </c>
      <c r="K3319" s="10">
        <v>6</v>
      </c>
      <c r="L3319" s="10">
        <v>100</v>
      </c>
      <c r="M3319" s="6" t="s">
        <v>371</v>
      </c>
    </row>
    <row r="3320" spans="1:13">
      <c r="A3320" s="6">
        <v>2024</v>
      </c>
      <c r="B3320" s="6">
        <v>3</v>
      </c>
      <c r="C3320" s="6" t="s">
        <v>61</v>
      </c>
      <c r="D3320" s="6" t="s">
        <v>437</v>
      </c>
      <c r="E3320" s="6" t="s">
        <v>438</v>
      </c>
      <c r="F3320" s="6" t="str">
        <f>IF($M3320="PADD I","PADD 1",IF($M3320="PADD II","PADD 2",IF($M3320="PADD III","PADD 3",IF($M3320="PADD IV","PADD 4",IF($M3320="PADD V","PADD 5","")))))</f>
        <v>PADD 4</v>
      </c>
      <c r="G3320" s="6">
        <f>IF(AND($H3320="ATMOS DISTILLATION",ISNUMBER(SEARCH("VPS",$I3320))=FALSE,LEFT($I3320,6)&lt;&gt;"VACUUM"),"CDU",IF($H3320="FLUID CAT CRACKING","FCC",IF(OR($H3320="HYDROCRACKING",$H3320="RESID_HYDROCRACKING"),"Hydrocracker",IF($H3320="REFORMING","Reformer",""))))</f>
        <v/>
      </c>
      <c r="H3320" s="6" t="s">
        <v>378</v>
      </c>
      <c r="I3320" s="6" t="s">
        <v>556</v>
      </c>
      <c r="J3320" s="6" t="s">
        <v>345</v>
      </c>
      <c r="K3320" s="10">
        <v>5.9498</v>
      </c>
      <c r="L3320" s="10">
        <v>8.380000000000001</v>
      </c>
      <c r="M3320" s="6" t="s">
        <v>430</v>
      </c>
    </row>
    <row r="3321" spans="1:13">
      <c r="A3321" s="6">
        <v>2024</v>
      </c>
      <c r="B3321" s="6">
        <v>3</v>
      </c>
      <c r="C3321" s="6" t="s">
        <v>61</v>
      </c>
      <c r="D3321" s="6" t="s">
        <v>48</v>
      </c>
      <c r="E3321" s="6" t="s">
        <v>388</v>
      </c>
      <c r="F3321" s="6" t="str">
        <f>IF($M3321="PADD I","PADD 1",IF($M3321="PADD II","PADD 2",IF($M3321="PADD III","PADD 3",IF($M3321="PADD IV","PADD 4",IF($M3321="PADD V","PADD 5","")))))</f>
        <v>PADD 2</v>
      </c>
      <c r="G3321" s="6">
        <f>IF(AND($H3321="ATMOS DISTILLATION",ISNUMBER(SEARCH("VPS",$I3321))=FALSE,LEFT($I3321,6)&lt;&gt;"VACUUM"),"CDU",IF($H3321="FLUID CAT CRACKING","FCC",IF(OR($H3321="HYDROCRACKING",$H3321="RESID_HYDROCRACKING"),"Hydrocracker",IF($H3321="REFORMING","Reformer",""))))</f>
        <v/>
      </c>
      <c r="H3321" s="6" t="s">
        <v>435</v>
      </c>
      <c r="I3321" s="6" t="s">
        <v>631</v>
      </c>
      <c r="J3321" s="6" t="s">
        <v>345</v>
      </c>
      <c r="K3321" s="10">
        <v>5.76</v>
      </c>
      <c r="L3321" s="10">
        <v>12</v>
      </c>
      <c r="M3321" s="6" t="s">
        <v>375</v>
      </c>
    </row>
    <row r="3322" spans="1:13">
      <c r="A3322" s="6">
        <v>2024</v>
      </c>
      <c r="B3322" s="6">
        <v>3</v>
      </c>
      <c r="C3322" s="6" t="s">
        <v>61</v>
      </c>
      <c r="D3322" s="6" t="s">
        <v>807</v>
      </c>
      <c r="E3322" s="6" t="s">
        <v>779</v>
      </c>
      <c r="F3322" s="6" t="str">
        <f>IF($M3322="PADD I","PADD 1",IF($M3322="PADD II","PADD 2",IF($M3322="PADD III","PADD 3",IF($M3322="PADD IV","PADD 4",IF($M3322="PADD V","PADD 5","")))))</f>
        <v>PADD 3</v>
      </c>
      <c r="G3322" s="6" t="str">
        <f>IF(AND($H3322="ATMOS DISTILLATION",ISNUMBER(SEARCH("VPS",$I3322))=FALSE,LEFT($I3322,6)&lt;&gt;"VACUUM"),"CDU",IF($H3322="FLUID CAT CRACKING","FCC",IF(OR($H3322="HYDROCRACKING",$H3322="RESID_HYDROCRACKING"),"Hydrocracker",IF($H3322="REFORMING","Reformer",""))))</f>
        <v>FCC</v>
      </c>
      <c r="H3322" s="6" t="s">
        <v>376</v>
      </c>
      <c r="I3322" s="6" t="s">
        <v>428</v>
      </c>
      <c r="J3322" s="6" t="s">
        <v>349</v>
      </c>
      <c r="K3322" s="10">
        <v>5.5</v>
      </c>
      <c r="L3322" s="10">
        <v>55</v>
      </c>
      <c r="M3322" s="6" t="s">
        <v>371</v>
      </c>
    </row>
    <row r="3323" spans="1:13">
      <c r="A3323" s="6">
        <v>2024</v>
      </c>
      <c r="B3323" s="6">
        <v>3</v>
      </c>
      <c r="C3323" s="6" t="s">
        <v>61</v>
      </c>
      <c r="D3323" s="6" t="s">
        <v>48</v>
      </c>
      <c r="E3323" s="6" t="s">
        <v>388</v>
      </c>
      <c r="F3323" s="6" t="str">
        <f>IF($M3323="PADD I","PADD 1",IF($M3323="PADD II","PADD 2",IF($M3323="PADD III","PADD 3",IF($M3323="PADD IV","PADD 4",IF($M3323="PADD V","PADD 5","")))))</f>
        <v>PADD 2</v>
      </c>
      <c r="G3323" s="6">
        <f>IF(AND($H3323="ATMOS DISTILLATION",ISNUMBER(SEARCH("VPS",$I3323))=FALSE,LEFT($I3323,6)&lt;&gt;"VACUUM"),"CDU",IF($H3323="FLUID CAT CRACKING","FCC",IF(OR($H3323="HYDROCRACKING",$H3323="RESID_HYDROCRACKING"),"Hydrocracker",IF($H3323="REFORMING","Reformer",""))))</f>
        <v/>
      </c>
      <c r="H3323" s="6" t="s">
        <v>568</v>
      </c>
      <c r="I3323" s="6" t="s">
        <v>1150</v>
      </c>
      <c r="J3323" s="6" t="s">
        <v>349</v>
      </c>
      <c r="K3323" s="10">
        <v>5.46</v>
      </c>
      <c r="L3323" s="10">
        <v>13</v>
      </c>
      <c r="M3323" s="6" t="s">
        <v>375</v>
      </c>
    </row>
    <row r="3324" spans="1:13">
      <c r="A3324" s="6">
        <v>2024</v>
      </c>
      <c r="B3324" s="6">
        <v>3</v>
      </c>
      <c r="C3324" s="6" t="s">
        <v>61</v>
      </c>
      <c r="D3324" s="6" t="s">
        <v>324</v>
      </c>
      <c r="E3324" s="6" t="s">
        <v>388</v>
      </c>
      <c r="F3324" s="6" t="str">
        <f>IF($M3324="PADD I","PADD 1",IF($M3324="PADD II","PADD 2",IF($M3324="PADD III","PADD 3",IF($M3324="PADD IV","PADD 4",IF($M3324="PADD V","PADD 5","")))))</f>
        <v>PADD 3</v>
      </c>
      <c r="G3324" s="6">
        <f>IF(AND($H3324="ATMOS DISTILLATION",ISNUMBER(SEARCH("VPS",$I3324))=FALSE,LEFT($I3324,6)&lt;&gt;"VACUUM"),"CDU",IF($H3324="FLUID CAT CRACKING","FCC",IF(OR($H3324="HYDROCRACKING",$H3324="RESID_HYDROCRACKING"),"Hydrocracker",IF($H3324="REFORMING","Reformer",""))))</f>
        <v/>
      </c>
      <c r="H3324" s="6" t="s">
        <v>460</v>
      </c>
      <c r="I3324" s="6" t="s">
        <v>959</v>
      </c>
      <c r="J3324" s="6" t="s">
        <v>345</v>
      </c>
      <c r="K3324" s="10">
        <v>5.32</v>
      </c>
      <c r="L3324" s="10">
        <v>28</v>
      </c>
      <c r="M3324" s="6" t="s">
        <v>371</v>
      </c>
    </row>
    <row r="3325" spans="1:13">
      <c r="A3325" s="6">
        <v>2024</v>
      </c>
      <c r="B3325" s="6">
        <v>3</v>
      </c>
      <c r="C3325" s="6" t="s">
        <v>61</v>
      </c>
      <c r="D3325" s="6" t="s">
        <v>429</v>
      </c>
      <c r="E3325" s="6" t="s">
        <v>388</v>
      </c>
      <c r="F3325" s="6" t="str">
        <f>IF($M3325="PADD I","PADD 1",IF($M3325="PADD II","PADD 2",IF($M3325="PADD III","PADD 3",IF($M3325="PADD IV","PADD 4",IF($M3325="PADD V","PADD 5","")))))</f>
        <v>PADD 4</v>
      </c>
      <c r="G3325" s="6">
        <f>IF(AND($H3325="ATMOS DISTILLATION",ISNUMBER(SEARCH("VPS",$I3325))=FALSE,LEFT($I3325,6)&lt;&gt;"VACUUM"),"CDU",IF($H3325="FLUID CAT CRACKING","FCC",IF(OR($H3325="HYDROCRACKING",$H3325="RESID_HYDROCRACKING"),"Hydrocracker",IF($H3325="REFORMING","Reformer",""))))</f>
        <v/>
      </c>
      <c r="H3325" s="6" t="s">
        <v>460</v>
      </c>
      <c r="I3325" s="6" t="s">
        <v>461</v>
      </c>
      <c r="J3325" s="6" t="s">
        <v>349</v>
      </c>
      <c r="K3325" s="10">
        <v>5.22</v>
      </c>
      <c r="L3325" s="10">
        <v>6</v>
      </c>
      <c r="M3325" s="6" t="s">
        <v>430</v>
      </c>
    </row>
    <row r="3326" spans="1:13">
      <c r="A3326" s="6">
        <v>2024</v>
      </c>
      <c r="B3326" s="6">
        <v>3</v>
      </c>
      <c r="C3326" s="6" t="s">
        <v>61</v>
      </c>
      <c r="D3326" s="6" t="s">
        <v>331</v>
      </c>
      <c r="E3326" s="6" t="s">
        <v>373</v>
      </c>
      <c r="F3326" s="6" t="str">
        <f>IF($M3326="PADD I","PADD 1",IF($M3326="PADD II","PADD 2",IF($M3326="PADD III","PADD 3",IF($M3326="PADD IV","PADD 4",IF($M3326="PADD V","PADD 5","")))))</f>
        <v>PADD 2</v>
      </c>
      <c r="G3326" s="6" t="str">
        <f>IF(AND($H3326="ATMOS DISTILLATION",ISNUMBER(SEARCH("VPS",$I3326))=FALSE,LEFT($I3326,6)&lt;&gt;"VACUUM"),"CDU",IF($H3326="FLUID CAT CRACKING","FCC",IF(OR($H3326="HYDROCRACKING",$H3326="RESID_HYDROCRACKING"),"Hydrocracker",IF($H3326="REFORMING","Reformer",""))))</f>
        <v>CDU</v>
      </c>
      <c r="H3326" s="6" t="s">
        <v>38</v>
      </c>
      <c r="I3326" s="6" t="s">
        <v>332</v>
      </c>
      <c r="J3326" s="6" t="s">
        <v>345</v>
      </c>
      <c r="K3326" s="10">
        <v>5.16</v>
      </c>
      <c r="L3326" s="10">
        <v>172</v>
      </c>
      <c r="M3326" s="6" t="s">
        <v>375</v>
      </c>
    </row>
    <row r="3327" spans="1:13">
      <c r="A3327" s="6">
        <v>2024</v>
      </c>
      <c r="B3327" s="6">
        <v>3</v>
      </c>
      <c r="C3327" s="6" t="s">
        <v>61</v>
      </c>
      <c r="D3327" s="6" t="s">
        <v>742</v>
      </c>
      <c r="E3327" s="6" t="s">
        <v>388</v>
      </c>
      <c r="F3327" s="6" t="str">
        <f>IF($M3327="PADD I","PADD 1",IF($M3327="PADD II","PADD 2",IF($M3327="PADD III","PADD 3",IF($M3327="PADD IV","PADD 4",IF($M3327="PADD V","PADD 5","")))))</f>
        <v>PADD 5</v>
      </c>
      <c r="G3327" s="6">
        <f>IF(AND($H3327="ATMOS DISTILLATION",ISNUMBER(SEARCH("VPS",$I3327))=FALSE,LEFT($I3327,6)&lt;&gt;"VACUUM"),"CDU",IF($H3327="FLUID CAT CRACKING","FCC",IF(OR($H3327="HYDROCRACKING",$H3327="RESID_HYDROCRACKING"),"Hydrocracker",IF($H3327="REFORMING","Reformer",""))))</f>
        <v/>
      </c>
      <c r="H3327" s="6" t="s">
        <v>43</v>
      </c>
      <c r="I3327" s="6" t="s">
        <v>912</v>
      </c>
      <c r="J3327" s="6" t="s">
        <v>345</v>
      </c>
      <c r="K3327" s="10">
        <v>5.12</v>
      </c>
      <c r="L3327" s="10">
        <v>32</v>
      </c>
      <c r="M3327" s="6" t="s">
        <v>386</v>
      </c>
    </row>
    <row r="3328" spans="1:13">
      <c r="A3328" s="6">
        <v>2024</v>
      </c>
      <c r="B3328" s="6">
        <v>3</v>
      </c>
      <c r="C3328" s="6" t="s">
        <v>61</v>
      </c>
      <c r="D3328" s="6" t="s">
        <v>878</v>
      </c>
      <c r="E3328" s="6" t="s">
        <v>452</v>
      </c>
      <c r="F3328" s="6" t="str">
        <f>IF($M3328="PADD I","PADD 1",IF($M3328="PADD II","PADD 2",IF($M3328="PADD III","PADD 3",IF($M3328="PADD IV","PADD 4",IF($M3328="PADD V","PADD 5","")))))</f>
        <v>PADD 2</v>
      </c>
      <c r="G3328" s="6" t="str">
        <f>IF(AND($H3328="ATMOS DISTILLATION",ISNUMBER(SEARCH("VPS",$I3328))=FALSE,LEFT($I3328,6)&lt;&gt;"VACUUM"),"CDU",IF($H3328="FLUID CAT CRACKING","FCC",IF(OR($H3328="HYDROCRACKING",$H3328="RESID_HYDROCRACKING"),"Hydrocracker",IF($H3328="REFORMING","Reformer",""))))</f>
        <v>CDU</v>
      </c>
      <c r="H3328" s="6" t="s">
        <v>38</v>
      </c>
      <c r="I3328" s="6" t="s">
        <v>879</v>
      </c>
      <c r="J3328" s="6" t="s">
        <v>345</v>
      </c>
      <c r="K3328" s="10">
        <v>5.1</v>
      </c>
      <c r="L3328" s="10">
        <v>85</v>
      </c>
      <c r="M3328" s="6" t="s">
        <v>375</v>
      </c>
    </row>
    <row r="3329" spans="1:13">
      <c r="A3329" s="6">
        <v>2024</v>
      </c>
      <c r="B3329" s="6">
        <v>3</v>
      </c>
      <c r="C3329" s="6" t="s">
        <v>61</v>
      </c>
      <c r="D3329" s="6" t="s">
        <v>490</v>
      </c>
      <c r="E3329" s="6" t="s">
        <v>491</v>
      </c>
      <c r="F3329" s="6" t="str">
        <f>IF($M3329="PADD I","PADD 1",IF($M3329="PADD II","PADD 2",IF($M3329="PADD III","PADD 3",IF($M3329="PADD IV","PADD 4",IF($M3329="PADD V","PADD 5","")))))</f>
        <v>PADD 3</v>
      </c>
      <c r="G3329" s="6">
        <f>IF(AND($H3329="ATMOS DISTILLATION",ISNUMBER(SEARCH("VPS",$I3329))=FALSE,LEFT($I3329,6)&lt;&gt;"VACUUM"),"CDU",IF($H3329="FLUID CAT CRACKING","FCC",IF(OR($H3329="HYDROCRACKING",$H3329="RESID_HYDROCRACKING"),"Hydrocracker",IF($H3329="REFORMING","Reformer",""))))</f>
        <v/>
      </c>
      <c r="H3329" s="6" t="s">
        <v>38</v>
      </c>
      <c r="I3329" s="6" t="s">
        <v>1008</v>
      </c>
      <c r="J3329" s="6" t="s">
        <v>345</v>
      </c>
      <c r="K3329" s="10">
        <v>5.082</v>
      </c>
      <c r="L3329" s="10">
        <v>84.7</v>
      </c>
      <c r="M3329" s="6" t="s">
        <v>371</v>
      </c>
    </row>
    <row r="3330" spans="1:13">
      <c r="A3330" s="6">
        <v>2024</v>
      </c>
      <c r="B3330" s="6">
        <v>3</v>
      </c>
      <c r="C3330" s="6" t="s">
        <v>61</v>
      </c>
      <c r="D3330" s="6" t="s">
        <v>774</v>
      </c>
      <c r="E3330" s="6" t="s">
        <v>775</v>
      </c>
      <c r="F3330" s="6" t="str">
        <f>IF($M3330="PADD I","PADD 1",IF($M3330="PADD II","PADD 2",IF($M3330="PADD III","PADD 3",IF($M3330="PADD IV","PADD 4",IF($M3330="PADD V","PADD 5","")))))</f>
        <v>PADD 1</v>
      </c>
      <c r="G3330" s="6" t="str">
        <f>IF(AND($H3330="ATMOS DISTILLATION",ISNUMBER(SEARCH("VPS",$I3330))=FALSE,LEFT($I3330,6)&lt;&gt;"VACUUM"),"CDU",IF($H3330="FLUID CAT CRACKING","FCC",IF(OR($H3330="HYDROCRACKING",$H3330="RESID_HYDROCRACKING"),"Hydrocracker",IF($H3330="REFORMING","Reformer",""))))</f>
        <v>Hydrocracker</v>
      </c>
      <c r="H3330" s="6" t="s">
        <v>444</v>
      </c>
      <c r="I3330" s="6" t="s">
        <v>14</v>
      </c>
      <c r="J3330" s="6" t="s">
        <v>349</v>
      </c>
      <c r="K3330" s="10">
        <v>5.076</v>
      </c>
      <c r="L3330" s="10">
        <v>5.4</v>
      </c>
      <c r="M3330" s="6" t="s">
        <v>413</v>
      </c>
    </row>
    <row r="3331" spans="1:13">
      <c r="A3331" s="6">
        <v>2024</v>
      </c>
      <c r="B3331" s="6">
        <v>3</v>
      </c>
      <c r="C3331" s="6" t="s">
        <v>61</v>
      </c>
      <c r="D3331" s="6" t="s">
        <v>807</v>
      </c>
      <c r="E3331" s="6" t="s">
        <v>779</v>
      </c>
      <c r="F3331" s="6" t="str">
        <f>IF($M3331="PADD I","PADD 1",IF($M3331="PADD II","PADD 2",IF($M3331="PADD III","PADD 3",IF($M3331="PADD IV","PADD 4",IF($M3331="PADD V","PADD 5","")))))</f>
        <v>PADD 3</v>
      </c>
      <c r="G3331" s="6">
        <f>IF(AND($H3331="ATMOS DISTILLATION",ISNUMBER(SEARCH("VPS",$I3331))=FALSE,LEFT($I3331,6)&lt;&gt;"VACUUM"),"CDU",IF($H3331="FLUID CAT CRACKING","FCC",IF(OR($H3331="HYDROCRACKING",$H3331="RESID_HYDROCRACKING"),"Hydrocracker",IF($H3331="REFORMING","Reformer",""))))</f>
        <v/>
      </c>
      <c r="H3331" s="6" t="s">
        <v>43</v>
      </c>
      <c r="I3331" s="6" t="s">
        <v>793</v>
      </c>
      <c r="J3331" s="6" t="s">
        <v>349</v>
      </c>
      <c r="K3331" s="10">
        <v>5</v>
      </c>
      <c r="L3331" s="10">
        <v>50</v>
      </c>
      <c r="M3331" s="6" t="s">
        <v>371</v>
      </c>
    </row>
    <row r="3332" spans="1:13">
      <c r="A3332" s="6">
        <v>2024</v>
      </c>
      <c r="B3332" s="6">
        <v>3</v>
      </c>
      <c r="C3332" s="6" t="s">
        <v>61</v>
      </c>
      <c r="D3332" s="6" t="s">
        <v>839</v>
      </c>
      <c r="E3332" s="6" t="s">
        <v>840</v>
      </c>
      <c r="F3332" s="6" t="str">
        <f>IF($M3332="PADD I","PADD 1",IF($M3332="PADD II","PADD 2",IF($M3332="PADD III","PADD 3",IF($M3332="PADD IV","PADD 4",IF($M3332="PADD V","PADD 5","")))))</f>
        <v>PADD 1</v>
      </c>
      <c r="G3332" s="6">
        <f>IF(AND($H3332="ATMOS DISTILLATION",ISNUMBER(SEARCH("VPS",$I3332))=FALSE,LEFT($I3332,6)&lt;&gt;"VACUUM"),"CDU",IF($H3332="FLUID CAT CRACKING","FCC",IF(OR($H3332="HYDROCRACKING",$H3332="RESID_HYDROCRACKING"),"Hydrocracker",IF($H3332="REFORMING","Reformer",""))))</f>
        <v/>
      </c>
      <c r="H3332" s="6" t="s">
        <v>43</v>
      </c>
      <c r="I3332" s="6" t="s">
        <v>841</v>
      </c>
      <c r="J3332" s="6" t="s">
        <v>345</v>
      </c>
      <c r="K3332" s="10">
        <v>4.875</v>
      </c>
      <c r="L3332" s="10">
        <v>12.5</v>
      </c>
      <c r="M3332" s="6" t="s">
        <v>413</v>
      </c>
    </row>
    <row r="3333" spans="1:13">
      <c r="A3333" s="6">
        <v>2024</v>
      </c>
      <c r="B3333" s="6">
        <v>3</v>
      </c>
      <c r="C3333" s="6" t="s">
        <v>61</v>
      </c>
      <c r="D3333" s="6" t="s">
        <v>408</v>
      </c>
      <c r="E3333" s="6" t="s">
        <v>409</v>
      </c>
      <c r="F3333" s="6" t="str">
        <f>IF($M3333="PADD I","PADD 1",IF($M3333="PADD II","PADD 2",IF($M3333="PADD III","PADD 3",IF($M3333="PADD IV","PADD 4",IF($M3333="PADD V","PADD 5","")))))</f>
        <v>PADD 3</v>
      </c>
      <c r="G3333" s="6" t="str">
        <f>IF(AND($H3333="ATMOS DISTILLATION",ISNUMBER(SEARCH("VPS",$I3333))=FALSE,LEFT($I3333,6)&lt;&gt;"VACUUM"),"CDU",IF($H3333="FLUID CAT CRACKING","FCC",IF(OR($H3333="HYDROCRACKING",$H3333="RESID_HYDROCRACKING"),"Hydrocracker",IF($H3333="REFORMING","Reformer",""))))</f>
        <v>CDU</v>
      </c>
      <c r="H3333" s="6" t="s">
        <v>38</v>
      </c>
      <c r="I3333" s="6" t="s">
        <v>410</v>
      </c>
      <c r="J3333" s="6" t="s">
        <v>345</v>
      </c>
      <c r="K3333" s="10">
        <v>4.5</v>
      </c>
      <c r="L3333" s="10">
        <v>150</v>
      </c>
      <c r="M3333" s="6" t="s">
        <v>371</v>
      </c>
    </row>
    <row r="3334" spans="1:13">
      <c r="A3334" s="6">
        <v>2024</v>
      </c>
      <c r="B3334" s="6">
        <v>3</v>
      </c>
      <c r="C3334" s="6" t="s">
        <v>61</v>
      </c>
      <c r="D3334" s="6" t="s">
        <v>395</v>
      </c>
      <c r="E3334" s="6" t="s">
        <v>396</v>
      </c>
      <c r="F3334" s="6" t="str">
        <f>IF($M3334="PADD I","PADD 1",IF($M3334="PADD II","PADD 2",IF($M3334="PADD III","PADD 3",IF($M3334="PADD IV","PADD 4",IF($M3334="PADD V","PADD 5","")))))</f>
        <v>PADD 3</v>
      </c>
      <c r="G3334" s="6" t="str">
        <f>IF(AND($H3334="ATMOS DISTILLATION",ISNUMBER(SEARCH("VPS",$I3334))=FALSE,LEFT($I3334,6)&lt;&gt;"VACUUM"),"CDU",IF($H3334="FLUID CAT CRACKING","FCC",IF(OR($H3334="HYDROCRACKING",$H3334="RESID_HYDROCRACKING"),"Hydrocracker",IF($H3334="REFORMING","Reformer",""))))</f>
        <v>Reformer</v>
      </c>
      <c r="H3334" s="6" t="s">
        <v>421</v>
      </c>
      <c r="I3334" s="6" t="s">
        <v>538</v>
      </c>
      <c r="J3334" s="6" t="s">
        <v>349</v>
      </c>
      <c r="K3334" s="10">
        <v>4.5</v>
      </c>
      <c r="L3334" s="10">
        <v>45</v>
      </c>
      <c r="M3334" s="6" t="s">
        <v>371</v>
      </c>
    </row>
    <row r="3335" spans="1:13">
      <c r="A3335" s="6">
        <v>2024</v>
      </c>
      <c r="B3335" s="6">
        <v>3</v>
      </c>
      <c r="C3335" s="6" t="s">
        <v>61</v>
      </c>
      <c r="D3335" s="6" t="s">
        <v>324</v>
      </c>
      <c r="E3335" s="6" t="s">
        <v>388</v>
      </c>
      <c r="F3335" s="6" t="str">
        <f>IF($M3335="PADD I","PADD 1",IF($M3335="PADD II","PADD 2",IF($M3335="PADD III","PADD 3",IF($M3335="PADD IV","PADD 4",IF($M3335="PADD V","PADD 5","")))))</f>
        <v>PADD 3</v>
      </c>
      <c r="G3335" s="6">
        <f>IF(AND($H3335="ATMOS DISTILLATION",ISNUMBER(SEARCH("VPS",$I3335))=FALSE,LEFT($I3335,6)&lt;&gt;"VACUUM"),"CDU",IF($H3335="FLUID CAT CRACKING","FCC",IF(OR($H3335="HYDROCRACKING",$H3335="RESID_HYDROCRACKING"),"Hydrocracker",IF($H3335="REFORMING","Reformer",""))))</f>
        <v/>
      </c>
      <c r="H3335" s="6" t="s">
        <v>435</v>
      </c>
      <c r="I3335" s="6" t="s">
        <v>956</v>
      </c>
      <c r="J3335" s="6" t="s">
        <v>349</v>
      </c>
      <c r="K3335" s="10">
        <v>4.4</v>
      </c>
      <c r="L3335" s="10">
        <v>44</v>
      </c>
      <c r="M3335" s="6" t="s">
        <v>371</v>
      </c>
    </row>
    <row r="3336" spans="1:13">
      <c r="A3336" s="6">
        <v>2024</v>
      </c>
      <c r="B3336" s="6">
        <v>3</v>
      </c>
      <c r="C3336" s="6" t="s">
        <v>61</v>
      </c>
      <c r="D3336" s="6" t="s">
        <v>774</v>
      </c>
      <c r="E3336" s="6" t="s">
        <v>775</v>
      </c>
      <c r="F3336" s="6" t="str">
        <f>IF($M3336="PADD I","PADD 1",IF($M3336="PADD II","PADD 2",IF($M3336="PADD III","PADD 3",IF($M3336="PADD IV","PADD 4",IF($M3336="PADD V","PADD 5","")))))</f>
        <v>PADD 1</v>
      </c>
      <c r="G3336" s="6">
        <f>IF(AND($H3336="ATMOS DISTILLATION",ISNUMBER(SEARCH("VPS",$I3336))=FALSE,LEFT($I3336,6)&lt;&gt;"VACUUM"),"CDU",IF($H3336="FLUID CAT CRACKING","FCC",IF(OR($H3336="HYDROCRACKING",$H3336="RESID_HYDROCRACKING"),"Hydrocracker",IF($H3336="REFORMING","Reformer",""))))</f>
        <v/>
      </c>
      <c r="H3336" s="6" t="s">
        <v>43</v>
      </c>
      <c r="I3336" s="6" t="s">
        <v>1151</v>
      </c>
      <c r="J3336" s="6" t="s">
        <v>349</v>
      </c>
      <c r="K3336" s="10">
        <v>4.23</v>
      </c>
      <c r="L3336" s="10">
        <v>4.5</v>
      </c>
      <c r="M3336" s="6" t="s">
        <v>413</v>
      </c>
    </row>
    <row r="3337" spans="1:13">
      <c r="A3337" s="6">
        <v>2024</v>
      </c>
      <c r="B3337" s="6">
        <v>3</v>
      </c>
      <c r="C3337" s="6" t="s">
        <v>61</v>
      </c>
      <c r="D3337" s="6" t="s">
        <v>542</v>
      </c>
      <c r="E3337" s="6" t="s">
        <v>543</v>
      </c>
      <c r="F3337" s="6" t="str">
        <f>IF($M3337="PADD I","PADD 1",IF($M3337="PADD II","PADD 2",IF($M3337="PADD III","PADD 3",IF($M3337="PADD IV","PADD 4",IF($M3337="PADD V","PADD 5","")))))</f>
        <v>PADD 2</v>
      </c>
      <c r="G3337" s="6" t="str">
        <f>IF(AND($H3337="ATMOS DISTILLATION",ISNUMBER(SEARCH("VPS",$I3337))=FALSE,LEFT($I3337,6)&lt;&gt;"VACUUM"),"CDU",IF($H3337="FLUID CAT CRACKING","FCC",IF(OR($H3337="HYDROCRACKING",$H3337="RESID_HYDROCRACKING"),"Hydrocracker",IF($H3337="REFORMING","Reformer",""))))</f>
        <v>Reformer</v>
      </c>
      <c r="H3337" s="6" t="s">
        <v>421</v>
      </c>
      <c r="I3337" s="6" t="s">
        <v>1112</v>
      </c>
      <c r="J3337" s="6" t="s">
        <v>345</v>
      </c>
      <c r="K3337" s="10">
        <v>4.2</v>
      </c>
      <c r="L3337" s="10">
        <v>70</v>
      </c>
      <c r="M3337" s="6" t="s">
        <v>375</v>
      </c>
    </row>
    <row r="3338" spans="1:13">
      <c r="A3338" s="6">
        <v>2024</v>
      </c>
      <c r="B3338" s="6">
        <v>3</v>
      </c>
      <c r="C3338" s="6" t="s">
        <v>61</v>
      </c>
      <c r="D3338" s="6" t="s">
        <v>762</v>
      </c>
      <c r="E3338" s="6" t="s">
        <v>763</v>
      </c>
      <c r="F3338" s="6" t="str">
        <f>IF($M3338="PADD I","PADD 1",IF($M3338="PADD II","PADD 2",IF($M3338="PADD III","PADD 3",IF($M3338="PADD IV","PADD 4",IF($M3338="PADD V","PADD 5","")))))</f>
        <v>PADD 2</v>
      </c>
      <c r="G3338" s="6">
        <f>IF(AND($H3338="ATMOS DISTILLATION",ISNUMBER(SEARCH("VPS",$I3338))=FALSE,LEFT($I3338,6)&lt;&gt;"VACUUM"),"CDU",IF($H3338="FLUID CAT CRACKING","FCC",IF(OR($H3338="HYDROCRACKING",$H3338="RESID_HYDROCRACKING"),"Hydrocracker",IF($H3338="REFORMING","Reformer",""))))</f>
        <v/>
      </c>
      <c r="H3338" s="6" t="s">
        <v>460</v>
      </c>
      <c r="I3338" s="6" t="s">
        <v>616</v>
      </c>
      <c r="J3338" s="6" t="s">
        <v>349</v>
      </c>
      <c r="K3338" s="10">
        <v>4.2</v>
      </c>
      <c r="L3338" s="10">
        <v>5</v>
      </c>
      <c r="M3338" s="6" t="s">
        <v>375</v>
      </c>
    </row>
    <row r="3339" spans="1:13">
      <c r="A3339" s="6">
        <v>2024</v>
      </c>
      <c r="B3339" s="6">
        <v>3</v>
      </c>
      <c r="C3339" s="6" t="s">
        <v>61</v>
      </c>
      <c r="D3339" s="6" t="s">
        <v>675</v>
      </c>
      <c r="E3339" s="6" t="s">
        <v>452</v>
      </c>
      <c r="F3339" s="6" t="str">
        <f>IF($M3339="PADD I","PADD 1",IF($M3339="PADD II","PADD 2",IF($M3339="PADD III","PADD 3",IF($M3339="PADD IV","PADD 4",IF($M3339="PADD V","PADD 5","")))))</f>
        <v>PADD 2</v>
      </c>
      <c r="G3339" s="6" t="str">
        <f>IF(AND($H3339="ATMOS DISTILLATION",ISNUMBER(SEARCH("VPS",$I3339))=FALSE,LEFT($I3339,6)&lt;&gt;"VACUUM"),"CDU",IF($H3339="FLUID CAT CRACKING","FCC",IF(OR($H3339="HYDROCRACKING",$H3339="RESID_HYDROCRACKING"),"Hydrocracker",IF($H3339="REFORMING","Reformer",""))))</f>
        <v>Reformer</v>
      </c>
      <c r="H3339" s="6" t="s">
        <v>421</v>
      </c>
      <c r="I3339" s="6" t="s">
        <v>348</v>
      </c>
      <c r="J3339" s="6" t="s">
        <v>349</v>
      </c>
      <c r="K3339" s="10">
        <v>4.125</v>
      </c>
      <c r="L3339" s="10">
        <v>7.5</v>
      </c>
      <c r="M3339" s="6" t="s">
        <v>375</v>
      </c>
    </row>
    <row r="3340" spans="1:13">
      <c r="A3340" s="6">
        <v>2024</v>
      </c>
      <c r="B3340" s="6">
        <v>3</v>
      </c>
      <c r="C3340" s="6" t="s">
        <v>61</v>
      </c>
      <c r="D3340" s="6" t="s">
        <v>1152</v>
      </c>
      <c r="E3340" s="6" t="s">
        <v>452</v>
      </c>
      <c r="F3340" s="6" t="str">
        <f>IF($M3340="PADD I","PADD 1",IF($M3340="PADD II","PADD 2",IF($M3340="PADD III","PADD 3",IF($M3340="PADD IV","PADD 4",IF($M3340="PADD V","PADD 5","")))))</f>
        <v>PADD 4</v>
      </c>
      <c r="G3340" s="6">
        <f>IF(AND($H3340="ATMOS DISTILLATION",ISNUMBER(SEARCH("VPS",$I3340))=FALSE,LEFT($I3340,6)&lt;&gt;"VACUUM"),"CDU",IF($H3340="FLUID CAT CRACKING","FCC",IF(OR($H3340="HYDROCRACKING",$H3340="RESID_HYDROCRACKING"),"Hydrocracker",IF($H3340="REFORMING","Reformer",""))))</f>
        <v/>
      </c>
      <c r="H3340" s="6" t="s">
        <v>43</v>
      </c>
      <c r="I3340" s="6" t="s">
        <v>493</v>
      </c>
      <c r="J3340" s="6" t="s">
        <v>345</v>
      </c>
      <c r="K3340" s="10">
        <v>4</v>
      </c>
      <c r="L3340" s="10">
        <v>12.5</v>
      </c>
      <c r="M3340" s="6" t="s">
        <v>430</v>
      </c>
    </row>
    <row r="3341" spans="1:13">
      <c r="A3341" s="6">
        <v>2024</v>
      </c>
      <c r="B3341" s="6">
        <v>3</v>
      </c>
      <c r="C3341" s="6" t="s">
        <v>61</v>
      </c>
      <c r="D3341" s="6" t="s">
        <v>639</v>
      </c>
      <c r="E3341" s="6" t="s">
        <v>452</v>
      </c>
      <c r="F3341" s="6" t="str">
        <f>IF($M3341="PADD I","PADD 1",IF($M3341="PADD II","PADD 2",IF($M3341="PADD III","PADD 3",IF($M3341="PADD IV","PADD 4",IF($M3341="PADD V","PADD 5","")))))</f>
        <v>PADD 5</v>
      </c>
      <c r="G3341" s="6">
        <f>IF(AND($H3341="ATMOS DISTILLATION",ISNUMBER(SEARCH("VPS",$I3341))=FALSE,LEFT($I3341,6)&lt;&gt;"VACUUM"),"CDU",IF($H3341="FLUID CAT CRACKING","FCC",IF(OR($H3341="HYDROCRACKING",$H3341="RESID_HYDROCRACKING"),"Hydrocracker",IF($H3341="REFORMING","Reformer",""))))</f>
        <v/>
      </c>
      <c r="H3341" s="6" t="s">
        <v>460</v>
      </c>
      <c r="I3341" s="6" t="s">
        <v>505</v>
      </c>
      <c r="J3341" s="6" t="s">
        <v>349</v>
      </c>
      <c r="K3341" s="10">
        <v>4</v>
      </c>
      <c r="L3341" s="10">
        <v>4</v>
      </c>
      <c r="M3341" s="6" t="s">
        <v>386</v>
      </c>
    </row>
    <row r="3342" spans="1:13">
      <c r="A3342" s="6">
        <v>2024</v>
      </c>
      <c r="B3342" s="6">
        <v>3</v>
      </c>
      <c r="C3342" s="6" t="s">
        <v>61</v>
      </c>
      <c r="D3342" s="6" t="s">
        <v>326</v>
      </c>
      <c r="E3342" s="6" t="s">
        <v>385</v>
      </c>
      <c r="F3342" s="6" t="str">
        <f>IF($M3342="PADD I","PADD 1",IF($M3342="PADD II","PADD 2",IF($M3342="PADD III","PADD 3",IF($M3342="PADD IV","PADD 4",IF($M3342="PADD V","PADD 5","")))))</f>
        <v>PADD 5</v>
      </c>
      <c r="G3342" s="6">
        <f>IF(AND($H3342="ATMOS DISTILLATION",ISNUMBER(SEARCH("VPS",$I3342))=FALSE,LEFT($I3342,6)&lt;&gt;"VACUUM"),"CDU",IF($H3342="FLUID CAT CRACKING","FCC",IF(OR($H3342="HYDROCRACKING",$H3342="RESID_HYDROCRACKING"),"Hydrocracker",IF($H3342="REFORMING","Reformer",""))))</f>
        <v/>
      </c>
      <c r="H3342" s="6" t="s">
        <v>435</v>
      </c>
      <c r="I3342" s="6" t="s">
        <v>813</v>
      </c>
      <c r="J3342" s="6" t="s">
        <v>345</v>
      </c>
      <c r="K3342" s="10">
        <v>3.971</v>
      </c>
      <c r="L3342" s="10">
        <v>20.9</v>
      </c>
      <c r="M3342" s="6" t="s">
        <v>386</v>
      </c>
    </row>
    <row r="3343" spans="1:13">
      <c r="A3343" s="6">
        <v>2024</v>
      </c>
      <c r="B3343" s="6">
        <v>3</v>
      </c>
      <c r="C3343" s="6" t="s">
        <v>61</v>
      </c>
      <c r="D3343" s="6" t="s">
        <v>774</v>
      </c>
      <c r="E3343" s="6" t="s">
        <v>775</v>
      </c>
      <c r="F3343" s="6" t="str">
        <f>IF($M3343="PADD I","PADD 1",IF($M3343="PADD II","PADD 2",IF($M3343="PADD III","PADD 3",IF($M3343="PADD IV","PADD 4",IF($M3343="PADD V","PADD 5","")))))</f>
        <v>PADD 1</v>
      </c>
      <c r="G3343" s="6">
        <f>IF(AND($H3343="ATMOS DISTILLATION",ISNUMBER(SEARCH("VPS",$I3343))=FALSE,LEFT($I3343,6)&lt;&gt;"VACUUM"),"CDU",IF($H3343="FLUID CAT CRACKING","FCC",IF(OR($H3343="HYDROCRACKING",$H3343="RESID_HYDROCRACKING"),"Hydrocracker",IF($H3343="REFORMING","Reformer",""))))</f>
        <v/>
      </c>
      <c r="H3343" s="6" t="s">
        <v>43</v>
      </c>
      <c r="I3343" s="6" t="s">
        <v>1153</v>
      </c>
      <c r="J3343" s="6" t="s">
        <v>349</v>
      </c>
      <c r="K3343" s="10">
        <v>3.948</v>
      </c>
      <c r="L3343" s="10">
        <v>4.2</v>
      </c>
      <c r="M3343" s="6" t="s">
        <v>413</v>
      </c>
    </row>
    <row r="3344" spans="1:13">
      <c r="A3344" s="6">
        <v>2024</v>
      </c>
      <c r="B3344" s="6">
        <v>3</v>
      </c>
      <c r="C3344" s="6" t="s">
        <v>61</v>
      </c>
      <c r="D3344" s="6" t="s">
        <v>1148</v>
      </c>
      <c r="E3344" s="6" t="s">
        <v>1149</v>
      </c>
      <c r="F3344" s="6" t="str">
        <f>IF($M3344="PADD I","PADD 1",IF($M3344="PADD II","PADD 2",IF($M3344="PADD III","PADD 3",IF($M3344="PADD IV","PADD 4",IF($M3344="PADD V","PADD 5","")))))</f>
        <v>PADD 3</v>
      </c>
      <c r="G3344" s="6">
        <f>IF(AND($H3344="ATMOS DISTILLATION",ISNUMBER(SEARCH("VPS",$I3344))=FALSE,LEFT($I3344,6)&lt;&gt;"VACUUM"),"CDU",IF($H3344="FLUID CAT CRACKING","FCC",IF(OR($H3344="HYDROCRACKING",$H3344="RESID_HYDROCRACKING"),"Hydrocracker",IF($H3344="REFORMING","Reformer",""))))</f>
        <v/>
      </c>
      <c r="H3344" s="6" t="s">
        <v>43</v>
      </c>
      <c r="I3344" s="6" t="s">
        <v>904</v>
      </c>
      <c r="J3344" s="6" t="s">
        <v>349</v>
      </c>
      <c r="K3344" s="10">
        <v>3.915</v>
      </c>
      <c r="L3344" s="10">
        <v>4.5</v>
      </c>
      <c r="M3344" s="6" t="s">
        <v>371</v>
      </c>
    </row>
    <row r="3345" spans="1:13">
      <c r="A3345" s="6">
        <v>2024</v>
      </c>
      <c r="B3345" s="6">
        <v>3</v>
      </c>
      <c r="C3345" s="6" t="s">
        <v>61</v>
      </c>
      <c r="D3345" s="6" t="s">
        <v>934</v>
      </c>
      <c r="E3345" s="6" t="s">
        <v>388</v>
      </c>
      <c r="F3345" s="6" t="str">
        <f>IF($M3345="PADD I","PADD 1",IF($M3345="PADD II","PADD 2",IF($M3345="PADD III","PADD 3",IF($M3345="PADD IV","PADD 4",IF($M3345="PADD V","PADD 5","")))))</f>
        <v>PADD 3</v>
      </c>
      <c r="G3345" s="6" t="str">
        <f>IF(AND($H3345="ATMOS DISTILLATION",ISNUMBER(SEARCH("VPS",$I3345))=FALSE,LEFT($I3345,6)&lt;&gt;"VACUUM"),"CDU",IF($H3345="FLUID CAT CRACKING","FCC",IF(OR($H3345="HYDROCRACKING",$H3345="RESID_HYDROCRACKING"),"Hydrocracker",IF($H3345="REFORMING","Reformer",""))))</f>
        <v>FCC</v>
      </c>
      <c r="H3345" s="6" t="s">
        <v>376</v>
      </c>
      <c r="I3345" s="6" t="s">
        <v>105</v>
      </c>
      <c r="J3345" s="6" t="s">
        <v>349</v>
      </c>
      <c r="K3345" s="10">
        <v>3.835</v>
      </c>
      <c r="L3345" s="10">
        <v>29.5</v>
      </c>
      <c r="M3345" s="6" t="s">
        <v>371</v>
      </c>
    </row>
    <row r="3346" spans="1:13">
      <c r="A3346" s="6">
        <v>2024</v>
      </c>
      <c r="B3346" s="6">
        <v>3</v>
      </c>
      <c r="C3346" s="6" t="s">
        <v>61</v>
      </c>
      <c r="D3346" s="6" t="s">
        <v>839</v>
      </c>
      <c r="E3346" s="6" t="s">
        <v>840</v>
      </c>
      <c r="F3346" s="6" t="str">
        <f>IF($M3346="PADD I","PADD 1",IF($M3346="PADD II","PADD 2",IF($M3346="PADD III","PADD 3",IF($M3346="PADD IV","PADD 4",IF($M3346="PADD V","PADD 5","")))))</f>
        <v>PADD 1</v>
      </c>
      <c r="G3346" s="6">
        <f>IF(AND($H3346="ATMOS DISTILLATION",ISNUMBER(SEARCH("VPS",$I3346))=FALSE,LEFT($I3346,6)&lt;&gt;"VACUUM"),"CDU",IF($H3346="FLUID CAT CRACKING","FCC",IF(OR($H3346="HYDROCRACKING",$H3346="RESID_HYDROCRACKING"),"Hydrocracker",IF($H3346="REFORMING","Reformer",""))))</f>
        <v/>
      </c>
      <c r="H3346" s="6" t="s">
        <v>43</v>
      </c>
      <c r="I3346" s="6" t="s">
        <v>1154</v>
      </c>
      <c r="J3346" s="6" t="s">
        <v>345</v>
      </c>
      <c r="K3346" s="10">
        <v>3.68</v>
      </c>
      <c r="L3346" s="10">
        <v>11.5</v>
      </c>
      <c r="M3346" s="6" t="s">
        <v>413</v>
      </c>
    </row>
    <row r="3347" spans="1:13">
      <c r="A3347" s="6">
        <v>2024</v>
      </c>
      <c r="B3347" s="6">
        <v>3</v>
      </c>
      <c r="C3347" s="6" t="s">
        <v>61</v>
      </c>
      <c r="D3347" s="6" t="s">
        <v>807</v>
      </c>
      <c r="E3347" s="6" t="s">
        <v>779</v>
      </c>
      <c r="F3347" s="6" t="str">
        <f>IF($M3347="PADD I","PADD 1",IF($M3347="PADD II","PADD 2",IF($M3347="PADD III","PADD 3",IF($M3347="PADD IV","PADD 4",IF($M3347="PADD V","PADD 5","")))))</f>
        <v>PADD 3</v>
      </c>
      <c r="G3347" s="6">
        <f>IF(AND($H3347="ATMOS DISTILLATION",ISNUMBER(SEARCH("VPS",$I3347))=FALSE,LEFT($I3347,6)&lt;&gt;"VACUUM"),"CDU",IF($H3347="FLUID CAT CRACKING","FCC",IF(OR($H3347="HYDROCRACKING",$H3347="RESID_HYDROCRACKING"),"Hydrocracker",IF($H3347="REFORMING","Reformer",""))))</f>
        <v/>
      </c>
      <c r="H3347" s="6" t="s">
        <v>378</v>
      </c>
      <c r="I3347" s="6" t="s">
        <v>431</v>
      </c>
      <c r="J3347" s="6" t="s">
        <v>349</v>
      </c>
      <c r="K3347" s="10">
        <v>3.6</v>
      </c>
      <c r="L3347" s="10">
        <v>36</v>
      </c>
      <c r="M3347" s="6" t="s">
        <v>371</v>
      </c>
    </row>
    <row r="3348" spans="1:13">
      <c r="A3348" s="6">
        <v>2024</v>
      </c>
      <c r="B3348" s="6">
        <v>3</v>
      </c>
      <c r="C3348" s="6" t="s">
        <v>61</v>
      </c>
      <c r="D3348" s="6" t="s">
        <v>839</v>
      </c>
      <c r="E3348" s="6" t="s">
        <v>840</v>
      </c>
      <c r="F3348" s="6" t="str">
        <f>IF($M3348="PADD I","PADD 1",IF($M3348="PADD II","PADD 2",IF($M3348="PADD III","PADD 3",IF($M3348="PADD IV","PADD 4",IF($M3348="PADD V","PADD 5","")))))</f>
        <v>PADD 1</v>
      </c>
      <c r="G3348" s="6">
        <f>IF(AND($H3348="ATMOS DISTILLATION",ISNUMBER(SEARCH("VPS",$I3348))=FALSE,LEFT($I3348,6)&lt;&gt;"VACUUM"),"CDU",IF($H3348="FLUID CAT CRACKING","FCC",IF(OR($H3348="HYDROCRACKING",$H3348="RESID_HYDROCRACKING"),"Hydrocracker",IF($H3348="REFORMING","Reformer",""))))</f>
        <v/>
      </c>
      <c r="H3348" s="6" t="s">
        <v>43</v>
      </c>
      <c r="I3348" s="6" t="s">
        <v>747</v>
      </c>
      <c r="J3348" s="6" t="s">
        <v>345</v>
      </c>
      <c r="K3348" s="10">
        <v>3.52</v>
      </c>
      <c r="L3348" s="10">
        <v>11</v>
      </c>
      <c r="M3348" s="6" t="s">
        <v>413</v>
      </c>
    </row>
    <row r="3349" spans="1:13">
      <c r="A3349" s="6">
        <v>2024</v>
      </c>
      <c r="B3349" s="6">
        <v>3</v>
      </c>
      <c r="C3349" s="6" t="s">
        <v>61</v>
      </c>
      <c r="D3349" s="6" t="s">
        <v>326</v>
      </c>
      <c r="E3349" s="6" t="s">
        <v>385</v>
      </c>
      <c r="F3349" s="6" t="str">
        <f>IF($M3349="PADD I","PADD 1",IF($M3349="PADD II","PADD 2",IF($M3349="PADD III","PADD 3",IF($M3349="PADD IV","PADD 4",IF($M3349="PADD V","PADD 5","")))))</f>
        <v>PADD 5</v>
      </c>
      <c r="G3349" s="6">
        <f>IF(AND($H3349="ATMOS DISTILLATION",ISNUMBER(SEARCH("VPS",$I3349))=FALSE,LEFT($I3349,6)&lt;&gt;"VACUUM"),"CDU",IF($H3349="FLUID CAT CRACKING","FCC",IF(OR($H3349="HYDROCRACKING",$H3349="RESID_HYDROCRACKING"),"Hydrocracker",IF($H3349="REFORMING","Reformer",""))))</f>
        <v/>
      </c>
      <c r="H3349" s="6" t="s">
        <v>435</v>
      </c>
      <c r="I3349" s="6" t="s">
        <v>441</v>
      </c>
      <c r="J3349" s="6" t="s">
        <v>345</v>
      </c>
      <c r="K3349" s="10">
        <v>3.52</v>
      </c>
      <c r="L3349" s="10">
        <v>22</v>
      </c>
      <c r="M3349" s="6" t="s">
        <v>386</v>
      </c>
    </row>
    <row r="3350" spans="1:13">
      <c r="A3350" s="6">
        <v>2024</v>
      </c>
      <c r="B3350" s="6">
        <v>3</v>
      </c>
      <c r="C3350" s="6" t="s">
        <v>61</v>
      </c>
      <c r="D3350" s="6" t="s">
        <v>387</v>
      </c>
      <c r="E3350" s="6" t="s">
        <v>388</v>
      </c>
      <c r="F3350" s="6" t="str">
        <f>IF($M3350="PADD I","PADD 1",IF($M3350="PADD II","PADD 2",IF($M3350="PADD III","PADD 3",IF($M3350="PADD IV","PADD 4",IF($M3350="PADD V","PADD 5","")))))</f>
        <v>PADD 3</v>
      </c>
      <c r="G3350" s="6">
        <f>IF(AND($H3350="ATMOS DISTILLATION",ISNUMBER(SEARCH("VPS",$I3350))=FALSE,LEFT($I3350,6)&lt;&gt;"VACUUM"),"CDU",IF($H3350="FLUID CAT CRACKING","FCC",IF(OR($H3350="HYDROCRACKING",$H3350="RESID_HYDROCRACKING"),"Hydrocracker",IF($H3350="REFORMING","Reformer",""))))</f>
        <v/>
      </c>
      <c r="H3350" s="6" t="s">
        <v>43</v>
      </c>
      <c r="I3350" s="6" t="s">
        <v>1090</v>
      </c>
      <c r="J3350" s="6" t="s">
        <v>349</v>
      </c>
      <c r="K3350" s="10">
        <v>3.45</v>
      </c>
      <c r="L3350" s="10">
        <v>115</v>
      </c>
      <c r="M3350" s="6" t="s">
        <v>371</v>
      </c>
    </row>
    <row r="3351" spans="1:13">
      <c r="A3351" s="6">
        <v>2024</v>
      </c>
      <c r="B3351" s="6">
        <v>3</v>
      </c>
      <c r="C3351" s="6" t="s">
        <v>61</v>
      </c>
      <c r="D3351" s="6" t="s">
        <v>437</v>
      </c>
      <c r="E3351" s="6" t="s">
        <v>438</v>
      </c>
      <c r="F3351" s="6" t="str">
        <f>IF($M3351="PADD I","PADD 1",IF($M3351="PADD II","PADD 2",IF($M3351="PADD III","PADD 3",IF($M3351="PADD IV","PADD 4",IF($M3351="PADD V","PADD 5","")))))</f>
        <v>PADD 4</v>
      </c>
      <c r="G3351" s="6" t="str">
        <f>IF(AND($H3351="ATMOS DISTILLATION",ISNUMBER(SEARCH("VPS",$I3351))=FALSE,LEFT($I3351,6)&lt;&gt;"VACUUM"),"CDU",IF($H3351="FLUID CAT CRACKING","FCC",IF(OR($H3351="HYDROCRACKING",$H3351="RESID_HYDROCRACKING"),"Hydrocracker",IF($H3351="REFORMING","Reformer",""))))</f>
        <v>Reformer</v>
      </c>
      <c r="H3351" s="6" t="s">
        <v>421</v>
      </c>
      <c r="I3351" s="6" t="s">
        <v>557</v>
      </c>
      <c r="J3351" s="6" t="s">
        <v>345</v>
      </c>
      <c r="K3351" s="10">
        <v>3.355</v>
      </c>
      <c r="L3351" s="10">
        <v>5.5</v>
      </c>
      <c r="M3351" s="6" t="s">
        <v>430</v>
      </c>
    </row>
    <row r="3352" spans="1:13">
      <c r="A3352" s="6">
        <v>2024</v>
      </c>
      <c r="B3352" s="6">
        <v>3</v>
      </c>
      <c r="C3352" s="6" t="s">
        <v>61</v>
      </c>
      <c r="D3352" s="6" t="s">
        <v>934</v>
      </c>
      <c r="E3352" s="6" t="s">
        <v>388</v>
      </c>
      <c r="F3352" s="6" t="str">
        <f>IF($M3352="PADD I","PADD 1",IF($M3352="PADD II","PADD 2",IF($M3352="PADD III","PADD 3",IF($M3352="PADD IV","PADD 4",IF($M3352="PADD V","PADD 5","")))))</f>
        <v>PADD 3</v>
      </c>
      <c r="G3352" s="6">
        <f>IF(AND($H3352="ATMOS DISTILLATION",ISNUMBER(SEARCH("VPS",$I3352))=FALSE,LEFT($I3352,6)&lt;&gt;"VACUUM"),"CDU",IF($H3352="FLUID CAT CRACKING","FCC",IF(OR($H3352="HYDROCRACKING",$H3352="RESID_HYDROCRACKING"),"Hydrocracker",IF($H3352="REFORMING","Reformer",""))))</f>
        <v/>
      </c>
      <c r="H3352" s="6" t="s">
        <v>43</v>
      </c>
      <c r="I3352" s="6" t="s">
        <v>458</v>
      </c>
      <c r="J3352" s="6" t="s">
        <v>349</v>
      </c>
      <c r="K3352" s="10">
        <v>3.25</v>
      </c>
      <c r="L3352" s="10">
        <v>25</v>
      </c>
      <c r="M3352" s="6" t="s">
        <v>371</v>
      </c>
    </row>
    <row r="3353" spans="1:13">
      <c r="A3353" s="6">
        <v>2024</v>
      </c>
      <c r="B3353" s="6">
        <v>3</v>
      </c>
      <c r="C3353" s="6" t="s">
        <v>61</v>
      </c>
      <c r="D3353" s="6" t="s">
        <v>839</v>
      </c>
      <c r="E3353" s="6" t="s">
        <v>840</v>
      </c>
      <c r="F3353" s="6" t="str">
        <f>IF($M3353="PADD I","PADD 1",IF($M3353="PADD II","PADD 2",IF($M3353="PADD III","PADD 3",IF($M3353="PADD IV","PADD 4",IF($M3353="PADD V","PADD 5","")))))</f>
        <v>PADD 1</v>
      </c>
      <c r="G3353" s="6">
        <f>IF(AND($H3353="ATMOS DISTILLATION",ISNUMBER(SEARCH("VPS",$I3353))=FALSE,LEFT($I3353,6)&lt;&gt;"VACUUM"),"CDU",IF($H3353="FLUID CAT CRACKING","FCC",IF(OR($H3353="HYDROCRACKING",$H3353="RESID_HYDROCRACKING"),"Hydrocracker",IF($H3353="REFORMING","Reformer",""))))</f>
        <v/>
      </c>
      <c r="H3353" s="6" t="s">
        <v>378</v>
      </c>
      <c r="I3353" s="6" t="s">
        <v>431</v>
      </c>
      <c r="J3353" s="6" t="s">
        <v>345</v>
      </c>
      <c r="K3353" s="10">
        <v>3.2</v>
      </c>
      <c r="L3353" s="10">
        <v>10</v>
      </c>
      <c r="M3353" s="6" t="s">
        <v>413</v>
      </c>
    </row>
    <row r="3354" spans="1:13">
      <c r="A3354" s="6">
        <v>2024</v>
      </c>
      <c r="B3354" s="6">
        <v>3</v>
      </c>
      <c r="C3354" s="6" t="s">
        <v>61</v>
      </c>
      <c r="D3354" s="6" t="s">
        <v>699</v>
      </c>
      <c r="E3354" s="6" t="s">
        <v>700</v>
      </c>
      <c r="F3354" s="6" t="str">
        <f>IF($M3354="PADD I","PADD 1",IF($M3354="PADD II","PADD 2",IF($M3354="PADD III","PADD 3",IF($M3354="PADD IV","PADD 4",IF($M3354="PADD V","PADD 5","")))))</f>
        <v>PADD 5</v>
      </c>
      <c r="G3354" s="6">
        <f>IF(AND($H3354="ATMOS DISTILLATION",ISNUMBER(SEARCH("VPS",$I3354))=FALSE,LEFT($I3354,6)&lt;&gt;"VACUUM"),"CDU",IF($H3354="FLUID CAT CRACKING","FCC",IF(OR($H3354="HYDROCRACKING",$H3354="RESID_HYDROCRACKING"),"Hydrocracker",IF($H3354="REFORMING","Reformer",""))))</f>
        <v/>
      </c>
      <c r="H3354" s="6" t="s">
        <v>43</v>
      </c>
      <c r="I3354" s="6" t="s">
        <v>924</v>
      </c>
      <c r="J3354" s="6" t="s">
        <v>349</v>
      </c>
      <c r="K3354" s="10">
        <v>3.06</v>
      </c>
      <c r="L3354" s="10">
        <v>4.5</v>
      </c>
      <c r="M3354" s="6" t="s">
        <v>386</v>
      </c>
    </row>
    <row r="3355" spans="1:13">
      <c r="A3355" s="6">
        <v>2024</v>
      </c>
      <c r="B3355" s="6">
        <v>3</v>
      </c>
      <c r="C3355" s="6" t="s">
        <v>61</v>
      </c>
      <c r="D3355" s="6" t="s">
        <v>572</v>
      </c>
      <c r="E3355" s="6" t="s">
        <v>573</v>
      </c>
      <c r="F3355" s="6" t="str">
        <f>IF($M3355="PADD I","PADD 1",IF($M3355="PADD II","PADD 2",IF($M3355="PADD III","PADD 3",IF($M3355="PADD IV","PADD 4",IF($M3355="PADD V","PADD 5","")))))</f>
        <v>PADD 3</v>
      </c>
      <c r="G3355" s="6" t="str">
        <f>IF(AND($H3355="ATMOS DISTILLATION",ISNUMBER(SEARCH("VPS",$I3355))=FALSE,LEFT($I3355,6)&lt;&gt;"VACUUM"),"CDU",IF($H3355="FLUID CAT CRACKING","FCC",IF(OR($H3355="HYDROCRACKING",$H3355="RESID_HYDROCRACKING"),"Hydrocracker",IF($H3355="REFORMING","Reformer",""))))</f>
        <v>CDU</v>
      </c>
      <c r="H3355" s="6" t="s">
        <v>38</v>
      </c>
      <c r="I3355" s="6" t="s">
        <v>574</v>
      </c>
      <c r="J3355" s="6" t="s">
        <v>345</v>
      </c>
      <c r="K3355" s="10">
        <v>3</v>
      </c>
      <c r="L3355" s="10">
        <v>50</v>
      </c>
      <c r="M3355" s="6" t="s">
        <v>371</v>
      </c>
    </row>
    <row r="3356" spans="1:13">
      <c r="A3356" s="6">
        <v>2024</v>
      </c>
      <c r="B3356" s="6">
        <v>3</v>
      </c>
      <c r="C3356" s="6" t="s">
        <v>61</v>
      </c>
      <c r="D3356" s="6" t="s">
        <v>632</v>
      </c>
      <c r="E3356" s="6" t="s">
        <v>633</v>
      </c>
      <c r="F3356" s="6" t="str">
        <f>IF($M3356="PADD I","PADD 1",IF($M3356="PADD II","PADD 2",IF($M3356="PADD III","PADD 3",IF($M3356="PADD IV","PADD 4",IF($M3356="PADD V","PADD 5","")))))</f>
        <v>PADD 4</v>
      </c>
      <c r="G3356" s="6" t="str">
        <f>IF(AND($H3356="ATMOS DISTILLATION",ISNUMBER(SEARCH("VPS",$I3356))=FALSE,LEFT($I3356,6)&lt;&gt;"VACUUM"),"CDU",IF($H3356="FLUID CAT CRACKING","FCC",IF(OR($H3356="HYDROCRACKING",$H3356="RESID_HYDROCRACKING"),"Hydrocracker",IF($H3356="REFORMING","Reformer",""))))</f>
        <v>FCC</v>
      </c>
      <c r="H3356" s="6" t="s">
        <v>376</v>
      </c>
      <c r="I3356" s="6" t="s">
        <v>634</v>
      </c>
      <c r="J3356" s="6" t="s">
        <v>349</v>
      </c>
      <c r="K3356" s="10">
        <v>2.99</v>
      </c>
      <c r="L3356" s="10">
        <v>11.5</v>
      </c>
      <c r="M3356" s="6" t="s">
        <v>430</v>
      </c>
    </row>
    <row r="3357" spans="1:13">
      <c r="A3357" s="6">
        <v>2024</v>
      </c>
      <c r="B3357" s="6">
        <v>3</v>
      </c>
      <c r="C3357" s="6" t="s">
        <v>61</v>
      </c>
      <c r="D3357" s="6" t="s">
        <v>774</v>
      </c>
      <c r="E3357" s="6" t="s">
        <v>775</v>
      </c>
      <c r="F3357" s="6" t="str">
        <f>IF($M3357="PADD I","PADD 1",IF($M3357="PADD II","PADD 2",IF($M3357="PADD III","PADD 3",IF($M3357="PADD IV","PADD 4",IF($M3357="PADD V","PADD 5","")))))</f>
        <v>PADD 1</v>
      </c>
      <c r="G3357" s="6">
        <f>IF(AND($H3357="ATMOS DISTILLATION",ISNUMBER(SEARCH("VPS",$I3357))=FALSE,LEFT($I3357,6)&lt;&gt;"VACUUM"),"CDU",IF($H3357="FLUID CAT CRACKING","FCC",IF(OR($H3357="HYDROCRACKING",$H3357="RESID_HYDROCRACKING"),"Hydrocracker",IF($H3357="REFORMING","Reformer",""))))</f>
        <v/>
      </c>
      <c r="H3357" s="6" t="s">
        <v>460</v>
      </c>
      <c r="I3357" s="6" t="s">
        <v>461</v>
      </c>
      <c r="J3357" s="6" t="s">
        <v>349</v>
      </c>
      <c r="K3357" s="10">
        <v>2.961</v>
      </c>
      <c r="L3357" s="10">
        <v>3.15</v>
      </c>
      <c r="M3357" s="6" t="s">
        <v>413</v>
      </c>
    </row>
    <row r="3358" spans="1:13">
      <c r="A3358" s="6">
        <v>2024</v>
      </c>
      <c r="B3358" s="6">
        <v>3</v>
      </c>
      <c r="C3358" s="6" t="s">
        <v>61</v>
      </c>
      <c r="D3358" s="6" t="s">
        <v>714</v>
      </c>
      <c r="E3358" s="6" t="s">
        <v>405</v>
      </c>
      <c r="F3358" s="6" t="str">
        <f>IF($M3358="PADD I","PADD 1",IF($M3358="PADD II","PADD 2",IF($M3358="PADD III","PADD 3",IF($M3358="PADD IV","PADD 4",IF($M3358="PADD V","PADD 5","")))))</f>
        <v>PADD 3</v>
      </c>
      <c r="G3358" s="6" t="str">
        <f>IF(AND($H3358="ATMOS DISTILLATION",ISNUMBER(SEARCH("VPS",$I3358))=FALSE,LEFT($I3358,6)&lt;&gt;"VACUUM"),"CDU",IF($H3358="FLUID CAT CRACKING","FCC",IF(OR($H3358="HYDROCRACKING",$H3358="RESID_HYDROCRACKING"),"Hydrocracker",IF($H3358="REFORMING","Reformer",""))))</f>
        <v>Hydrocracker</v>
      </c>
      <c r="H3358" s="6" t="s">
        <v>444</v>
      </c>
      <c r="I3358" s="6" t="s">
        <v>14</v>
      </c>
      <c r="J3358" s="6" t="s">
        <v>345</v>
      </c>
      <c r="K3358" s="10">
        <v>2.95</v>
      </c>
      <c r="L3358" s="10">
        <v>29.5</v>
      </c>
      <c r="M3358" s="6" t="s">
        <v>371</v>
      </c>
    </row>
    <row r="3359" spans="1:13">
      <c r="A3359" s="6">
        <v>2024</v>
      </c>
      <c r="B3359" s="6">
        <v>3</v>
      </c>
      <c r="C3359" s="6" t="s">
        <v>61</v>
      </c>
      <c r="D3359" s="6" t="s">
        <v>714</v>
      </c>
      <c r="E3359" s="6" t="s">
        <v>405</v>
      </c>
      <c r="F3359" s="6" t="str">
        <f>IF($M3359="PADD I","PADD 1",IF($M3359="PADD II","PADD 2",IF($M3359="PADD III","PADD 3",IF($M3359="PADD IV","PADD 4",IF($M3359="PADD V","PADD 5","")))))</f>
        <v>PADD 3</v>
      </c>
      <c r="G3359" s="6" t="str">
        <f>IF(AND($H3359="ATMOS DISTILLATION",ISNUMBER(SEARCH("VPS",$I3359))=FALSE,LEFT($I3359,6)&lt;&gt;"VACUUM"),"CDU",IF($H3359="FLUID CAT CRACKING","FCC",IF(OR($H3359="HYDROCRACKING",$H3359="RESID_HYDROCRACKING"),"Hydrocracker",IF($H3359="REFORMING","Reformer",""))))</f>
        <v>Reformer</v>
      </c>
      <c r="H3359" s="6" t="s">
        <v>421</v>
      </c>
      <c r="I3359" s="6" t="s">
        <v>864</v>
      </c>
      <c r="J3359" s="6" t="s">
        <v>345</v>
      </c>
      <c r="K3359" s="10">
        <v>2.89</v>
      </c>
      <c r="L3359" s="10">
        <v>28.9</v>
      </c>
      <c r="M3359" s="6" t="s">
        <v>371</v>
      </c>
    </row>
    <row r="3360" spans="1:13">
      <c r="A3360" s="6">
        <v>2024</v>
      </c>
      <c r="B3360" s="6">
        <v>3</v>
      </c>
      <c r="C3360" s="6" t="s">
        <v>61</v>
      </c>
      <c r="D3360" s="6" t="s">
        <v>730</v>
      </c>
      <c r="E3360" s="6" t="s">
        <v>731</v>
      </c>
      <c r="F3360" s="6" t="str">
        <f>IF($M3360="PADD I","PADD 1",IF($M3360="PADD II","PADD 2",IF($M3360="PADD III","PADD 3",IF($M3360="PADD IV","PADD 4",IF($M3360="PADD V","PADD 5","")))))</f>
        <v>PADD 3</v>
      </c>
      <c r="G3360" s="6" t="str">
        <f>IF(AND($H3360="ATMOS DISTILLATION",ISNUMBER(SEARCH("VPS",$I3360))=FALSE,LEFT($I3360,6)&lt;&gt;"VACUUM"),"CDU",IF($H3360="FLUID CAT CRACKING","FCC",IF(OR($H3360="HYDROCRACKING",$H3360="RESID_HYDROCRACKING"),"Hydrocracker",IF($H3360="REFORMING","Reformer",""))))</f>
        <v>Reformer</v>
      </c>
      <c r="H3360" s="6" t="s">
        <v>421</v>
      </c>
      <c r="I3360" s="6" t="s">
        <v>15</v>
      </c>
      <c r="J3360" s="6" t="s">
        <v>345</v>
      </c>
      <c r="K3360" s="10">
        <v>2.86</v>
      </c>
      <c r="L3360" s="10">
        <v>11</v>
      </c>
      <c r="M3360" s="6" t="s">
        <v>371</v>
      </c>
    </row>
    <row r="3361" spans="1:13">
      <c r="A3361" s="6">
        <v>2024</v>
      </c>
      <c r="B3361" s="6">
        <v>3</v>
      </c>
      <c r="C3361" s="6" t="s">
        <v>61</v>
      </c>
      <c r="D3361" s="6" t="s">
        <v>878</v>
      </c>
      <c r="E3361" s="6" t="s">
        <v>452</v>
      </c>
      <c r="F3361" s="6" t="str">
        <f>IF($M3361="PADD I","PADD 1",IF($M3361="PADD II","PADD 2",IF($M3361="PADD III","PADD 3",IF($M3361="PADD IV","PADD 4",IF($M3361="PADD V","PADD 5","")))))</f>
        <v>PADD 2</v>
      </c>
      <c r="G3361" s="6" t="str">
        <f>IF(AND($H3361="ATMOS DISTILLATION",ISNUMBER(SEARCH("VPS",$I3361))=FALSE,LEFT($I3361,6)&lt;&gt;"VACUUM"),"CDU",IF($H3361="FLUID CAT CRACKING","FCC",IF(OR($H3361="HYDROCRACKING",$H3361="RESID_HYDROCRACKING"),"Hydrocracker",IF($H3361="REFORMING","Reformer",""))))</f>
        <v>CDU</v>
      </c>
      <c r="H3361" s="6" t="s">
        <v>38</v>
      </c>
      <c r="I3361" s="6" t="s">
        <v>879</v>
      </c>
      <c r="J3361" s="6" t="s">
        <v>345</v>
      </c>
      <c r="K3361" s="10">
        <v>2.7306</v>
      </c>
      <c r="L3361" s="10">
        <v>91.02</v>
      </c>
      <c r="M3361" s="6" t="s">
        <v>375</v>
      </c>
    </row>
    <row r="3362" spans="1:13">
      <c r="A3362" s="6">
        <v>2024</v>
      </c>
      <c r="B3362" s="6">
        <v>3</v>
      </c>
      <c r="C3362" s="6" t="s">
        <v>61</v>
      </c>
      <c r="D3362" s="6" t="s">
        <v>839</v>
      </c>
      <c r="E3362" s="6" t="s">
        <v>840</v>
      </c>
      <c r="F3362" s="6" t="str">
        <f>IF($M3362="PADD I","PADD 1",IF($M3362="PADD II","PADD 2",IF($M3362="PADD III","PADD 3",IF($M3362="PADD IV","PADD 4",IF($M3362="PADD V","PADD 5","")))))</f>
        <v>PADD 1</v>
      </c>
      <c r="G3362" s="6" t="str">
        <f>IF(AND($H3362="ATMOS DISTILLATION",ISNUMBER(SEARCH("VPS",$I3362))=FALSE,LEFT($I3362,6)&lt;&gt;"VACUUM"),"CDU",IF($H3362="FLUID CAT CRACKING","FCC",IF(OR($H3362="HYDROCRACKING",$H3362="RESID_HYDROCRACKING"),"Hydrocracker",IF($H3362="REFORMING","Reformer",""))))</f>
        <v>FCC</v>
      </c>
      <c r="H3362" s="6" t="s">
        <v>376</v>
      </c>
      <c r="I3362" s="6" t="s">
        <v>105</v>
      </c>
      <c r="J3362" s="6" t="s">
        <v>345</v>
      </c>
      <c r="K3362" s="10">
        <v>2.73</v>
      </c>
      <c r="L3362" s="10">
        <v>21</v>
      </c>
      <c r="M3362" s="6" t="s">
        <v>413</v>
      </c>
    </row>
    <row r="3363" spans="1:13">
      <c r="A3363" s="6">
        <v>2024</v>
      </c>
      <c r="B3363" s="6">
        <v>3</v>
      </c>
      <c r="C3363" s="6" t="s">
        <v>61</v>
      </c>
      <c r="D3363" s="6" t="s">
        <v>1155</v>
      </c>
      <c r="E3363" s="6" t="s">
        <v>1156</v>
      </c>
      <c r="F3363" s="6" t="str">
        <f>IF($M3363="PADD I","PADD 1",IF($M3363="PADD II","PADD 2",IF($M3363="PADD III","PADD 3",IF($M3363="PADD IV","PADD 4",IF($M3363="PADD V","PADD 5","")))))</f>
        <v>PADD 5</v>
      </c>
      <c r="G3363" s="6" t="str">
        <f>IF(AND($H3363="ATMOS DISTILLATION",ISNUMBER(SEARCH("VPS",$I3363))=FALSE,LEFT($I3363,6)&lt;&gt;"VACUUM"),"CDU",IF($H3363="FLUID CAT CRACKING","FCC",IF(OR($H3363="HYDROCRACKING",$H3363="RESID_HYDROCRACKING"),"Hydrocracker",IF($H3363="REFORMING","Reformer",""))))</f>
        <v>CDU</v>
      </c>
      <c r="H3363" s="6" t="s">
        <v>38</v>
      </c>
      <c r="I3363" s="6" t="s">
        <v>81</v>
      </c>
      <c r="J3363" s="6" t="s">
        <v>349</v>
      </c>
      <c r="K3363" s="10">
        <v>2.72</v>
      </c>
      <c r="L3363" s="10">
        <v>8.5</v>
      </c>
      <c r="M3363" s="6" t="s">
        <v>386</v>
      </c>
    </row>
    <row r="3364" spans="1:13">
      <c r="A3364" s="6">
        <v>2024</v>
      </c>
      <c r="B3364" s="6">
        <v>3</v>
      </c>
      <c r="C3364" s="6" t="s">
        <v>61</v>
      </c>
      <c r="D3364" s="6" t="s">
        <v>822</v>
      </c>
      <c r="E3364" s="6" t="s">
        <v>416</v>
      </c>
      <c r="F3364" s="6" t="str">
        <f>IF($M3364="PADD I","PADD 1",IF($M3364="PADD II","PADD 2",IF($M3364="PADD III","PADD 3",IF($M3364="PADD IV","PADD 4",IF($M3364="PADD V","PADD 5","")))))</f>
        <v>PADD 3</v>
      </c>
      <c r="G3364" s="6">
        <f>IF(AND($H3364="ATMOS DISTILLATION",ISNUMBER(SEARCH("VPS",$I3364))=FALSE,LEFT($I3364,6)&lt;&gt;"VACUUM"),"CDU",IF($H3364="FLUID CAT CRACKING","FCC",IF(OR($H3364="HYDROCRACKING",$H3364="RESID_HYDROCRACKING"),"Hydrocracker",IF($H3364="REFORMING","Reformer",""))))</f>
        <v/>
      </c>
      <c r="H3364" s="6" t="s">
        <v>435</v>
      </c>
      <c r="I3364" s="6" t="s">
        <v>441</v>
      </c>
      <c r="J3364" s="6" t="s">
        <v>345</v>
      </c>
      <c r="K3364" s="10">
        <v>2.64</v>
      </c>
      <c r="L3364" s="10">
        <v>44</v>
      </c>
      <c r="M3364" s="6" t="s">
        <v>371</v>
      </c>
    </row>
    <row r="3365" spans="1:13">
      <c r="A3365" s="6">
        <v>2024</v>
      </c>
      <c r="B3365" s="6">
        <v>3</v>
      </c>
      <c r="C3365" s="6" t="s">
        <v>61</v>
      </c>
      <c r="D3365" s="6" t="s">
        <v>1148</v>
      </c>
      <c r="E3365" s="6" t="s">
        <v>1149</v>
      </c>
      <c r="F3365" s="6" t="str">
        <f>IF($M3365="PADD I","PADD 1",IF($M3365="PADD II","PADD 2",IF($M3365="PADD III","PADD 3",IF($M3365="PADD IV","PADD 4",IF($M3365="PADD V","PADD 5","")))))</f>
        <v>PADD 3</v>
      </c>
      <c r="G3365" s="6">
        <f>IF(AND($H3365="ATMOS DISTILLATION",ISNUMBER(SEARCH("VPS",$I3365))=FALSE,LEFT($I3365,6)&lt;&gt;"VACUUM"),"CDU",IF($H3365="FLUID CAT CRACKING","FCC",IF(OR($H3365="HYDROCRACKING",$H3365="RESID_HYDROCRACKING"),"Hydrocracker",IF($H3365="REFORMING","Reformer",""))))</f>
        <v/>
      </c>
      <c r="H3365" s="6" t="s">
        <v>378</v>
      </c>
      <c r="I3365" s="6" t="s">
        <v>431</v>
      </c>
      <c r="J3365" s="6" t="s">
        <v>349</v>
      </c>
      <c r="K3365" s="10">
        <v>2.61</v>
      </c>
      <c r="L3365" s="10">
        <v>3</v>
      </c>
      <c r="M3365" s="6" t="s">
        <v>371</v>
      </c>
    </row>
    <row r="3366" spans="1:13">
      <c r="A3366" s="6">
        <v>2024</v>
      </c>
      <c r="B3366" s="6">
        <v>3</v>
      </c>
      <c r="C3366" s="6" t="s">
        <v>61</v>
      </c>
      <c r="D3366" s="6" t="s">
        <v>632</v>
      </c>
      <c r="E3366" s="6" t="s">
        <v>633</v>
      </c>
      <c r="F3366" s="6" t="str">
        <f>IF($M3366="PADD I","PADD 1",IF($M3366="PADD II","PADD 2",IF($M3366="PADD III","PADD 3",IF($M3366="PADD IV","PADD 4",IF($M3366="PADD V","PADD 5","")))))</f>
        <v>PADD 4</v>
      </c>
      <c r="G3366" s="6" t="str">
        <f>IF(AND($H3366="ATMOS DISTILLATION",ISNUMBER(SEARCH("VPS",$I3366))=FALSE,LEFT($I3366,6)&lt;&gt;"VACUUM"),"CDU",IF($H3366="FLUID CAT CRACKING","FCC",IF(OR($H3366="HYDROCRACKING",$H3366="RESID_HYDROCRACKING"),"Hydrocracker",IF($H3366="REFORMING","Reformer",""))))</f>
        <v>Reformer</v>
      </c>
      <c r="H3366" s="6" t="s">
        <v>421</v>
      </c>
      <c r="I3366" s="6" t="s">
        <v>1070</v>
      </c>
      <c r="J3366" s="6" t="s">
        <v>349</v>
      </c>
      <c r="K3366" s="10">
        <v>2.6</v>
      </c>
      <c r="L3366" s="10">
        <v>10</v>
      </c>
      <c r="M3366" s="6" t="s">
        <v>430</v>
      </c>
    </row>
    <row r="3367" spans="1:13">
      <c r="A3367" s="6">
        <v>2024</v>
      </c>
      <c r="B3367" s="6">
        <v>3</v>
      </c>
      <c r="C3367" s="6" t="s">
        <v>61</v>
      </c>
      <c r="D3367" s="6" t="s">
        <v>839</v>
      </c>
      <c r="E3367" s="6" t="s">
        <v>840</v>
      </c>
      <c r="F3367" s="6" t="str">
        <f>IF($M3367="PADD I","PADD 1",IF($M3367="PADD II","PADD 2",IF($M3367="PADD III","PADD 3",IF($M3367="PADD IV","PADD 4",IF($M3367="PADD V","PADD 5","")))))</f>
        <v>PADD 1</v>
      </c>
      <c r="G3367" s="6" t="str">
        <f>IF(AND($H3367="ATMOS DISTILLATION",ISNUMBER(SEARCH("VPS",$I3367))=FALSE,LEFT($I3367,6)&lt;&gt;"VACUUM"),"CDU",IF($H3367="FLUID CAT CRACKING","FCC",IF(OR($H3367="HYDROCRACKING",$H3367="RESID_HYDROCRACKING"),"Hydrocracker",IF($H3367="REFORMING","Reformer",""))))</f>
        <v>Reformer</v>
      </c>
      <c r="H3367" s="6" t="s">
        <v>421</v>
      </c>
      <c r="I3367" s="6" t="s">
        <v>15</v>
      </c>
      <c r="J3367" s="6" t="s">
        <v>345</v>
      </c>
      <c r="K3367" s="10">
        <v>2.56</v>
      </c>
      <c r="L3367" s="10">
        <v>8</v>
      </c>
      <c r="M3367" s="6" t="s">
        <v>413</v>
      </c>
    </row>
    <row r="3368" spans="1:13">
      <c r="A3368" s="6">
        <v>2024</v>
      </c>
      <c r="B3368" s="6">
        <v>3</v>
      </c>
      <c r="C3368" s="6" t="s">
        <v>61</v>
      </c>
      <c r="D3368" s="6" t="s">
        <v>490</v>
      </c>
      <c r="E3368" s="6" t="s">
        <v>491</v>
      </c>
      <c r="F3368" s="6" t="str">
        <f>IF($M3368="PADD I","PADD 1",IF($M3368="PADD II","PADD 2",IF($M3368="PADD III","PADD 3",IF($M3368="PADD IV","PADD 4",IF($M3368="PADD V","PADD 5","")))))</f>
        <v>PADD 3</v>
      </c>
      <c r="G3368" s="6">
        <f>IF(AND($H3368="ATMOS DISTILLATION",ISNUMBER(SEARCH("VPS",$I3368))=FALSE,LEFT($I3368,6)&lt;&gt;"VACUUM"),"CDU",IF($H3368="FLUID CAT CRACKING","FCC",IF(OR($H3368="HYDROCRACKING",$H3368="RESID_HYDROCRACKING"),"Hydrocracker",IF($H3368="REFORMING","Reformer",""))))</f>
        <v/>
      </c>
      <c r="H3368" s="6" t="s">
        <v>378</v>
      </c>
      <c r="I3368" s="6" t="s">
        <v>1020</v>
      </c>
      <c r="J3368" s="6" t="s">
        <v>345</v>
      </c>
      <c r="K3368" s="10">
        <v>2.4</v>
      </c>
      <c r="L3368" s="10">
        <v>40</v>
      </c>
      <c r="M3368" s="6" t="s">
        <v>371</v>
      </c>
    </row>
    <row r="3369" spans="1:13">
      <c r="A3369" s="6">
        <v>2024</v>
      </c>
      <c r="B3369" s="6">
        <v>3</v>
      </c>
      <c r="C3369" s="6" t="s">
        <v>61</v>
      </c>
      <c r="D3369" s="6" t="s">
        <v>714</v>
      </c>
      <c r="E3369" s="6" t="s">
        <v>405</v>
      </c>
      <c r="F3369" s="6" t="str">
        <f>IF($M3369="PADD I","PADD 1",IF($M3369="PADD II","PADD 2",IF($M3369="PADD III","PADD 3",IF($M3369="PADD IV","PADD 4",IF($M3369="PADD V","PADD 5","")))))</f>
        <v>PADD 3</v>
      </c>
      <c r="G3369" s="6" t="str">
        <f>IF(AND($H3369="ATMOS DISTILLATION",ISNUMBER(SEARCH("VPS",$I3369))=FALSE,LEFT($I3369,6)&lt;&gt;"VACUUM"),"CDU",IF($H3369="FLUID CAT CRACKING","FCC",IF(OR($H3369="HYDROCRACKING",$H3369="RESID_HYDROCRACKING"),"Hydrocracker",IF($H3369="REFORMING","Reformer",""))))</f>
        <v>Reformer</v>
      </c>
      <c r="H3369" s="6" t="s">
        <v>421</v>
      </c>
      <c r="I3369" s="6" t="s">
        <v>1157</v>
      </c>
      <c r="J3369" s="6" t="s">
        <v>345</v>
      </c>
      <c r="K3369" s="10">
        <v>2.34</v>
      </c>
      <c r="L3369" s="10">
        <v>18</v>
      </c>
      <c r="M3369" s="6" t="s">
        <v>371</v>
      </c>
    </row>
    <row r="3370" spans="1:13">
      <c r="A3370" s="6">
        <v>2024</v>
      </c>
      <c r="B3370" s="6">
        <v>3</v>
      </c>
      <c r="C3370" s="6" t="s">
        <v>61</v>
      </c>
      <c r="D3370" s="6" t="s">
        <v>602</v>
      </c>
      <c r="E3370" s="6" t="s">
        <v>369</v>
      </c>
      <c r="F3370" s="6" t="str">
        <f>IF($M3370="PADD I","PADD 1",IF($M3370="PADD II","PADD 2",IF($M3370="PADD III","PADD 3",IF($M3370="PADD IV","PADD 4",IF($M3370="PADD V","PADD 5","")))))</f>
        <v>PADD 2</v>
      </c>
      <c r="G3370" s="6">
        <f>IF(AND($H3370="ATMOS DISTILLATION",ISNUMBER(SEARCH("VPS",$I3370))=FALSE,LEFT($I3370,6)&lt;&gt;"VACUUM"),"CDU",IF($H3370="FLUID CAT CRACKING","FCC",IF(OR($H3370="HYDROCRACKING",$H3370="RESID_HYDROCRACKING"),"Hydrocracker",IF($H3370="REFORMING","Reformer",""))))</f>
        <v/>
      </c>
      <c r="H3370" s="6" t="s">
        <v>460</v>
      </c>
      <c r="I3370" s="6" t="s">
        <v>616</v>
      </c>
      <c r="J3370" s="6" t="s">
        <v>345</v>
      </c>
      <c r="K3370" s="10">
        <v>2.3</v>
      </c>
      <c r="L3370" s="10">
        <v>23</v>
      </c>
      <c r="M3370" s="6" t="s">
        <v>375</v>
      </c>
    </row>
    <row r="3371" spans="1:13">
      <c r="A3371" s="6">
        <v>2024</v>
      </c>
      <c r="B3371" s="6">
        <v>3</v>
      </c>
      <c r="C3371" s="6" t="s">
        <v>61</v>
      </c>
      <c r="D3371" s="6" t="s">
        <v>1155</v>
      </c>
      <c r="E3371" s="6" t="s">
        <v>1156</v>
      </c>
      <c r="F3371" s="6" t="str">
        <f>IF($M3371="PADD I","PADD 1",IF($M3371="PADD II","PADD 2",IF($M3371="PADD III","PADD 3",IF($M3371="PADD IV","PADD 4",IF($M3371="PADD V","PADD 5","")))))</f>
        <v>PADD 5</v>
      </c>
      <c r="G3371" s="6">
        <f>IF(AND($H3371="ATMOS DISTILLATION",ISNUMBER(SEARCH("VPS",$I3371))=FALSE,LEFT($I3371,6)&lt;&gt;"VACUUM"),"CDU",IF($H3371="FLUID CAT CRACKING","FCC",IF(OR($H3371="HYDROCRACKING",$H3371="RESID_HYDROCRACKING"),"Hydrocracker",IF($H3371="REFORMING","Reformer",""))))</f>
        <v/>
      </c>
      <c r="H3371" s="6" t="s">
        <v>378</v>
      </c>
      <c r="I3371" s="6" t="s">
        <v>431</v>
      </c>
      <c r="J3371" s="6" t="s">
        <v>349</v>
      </c>
      <c r="K3371" s="10">
        <v>2.24</v>
      </c>
      <c r="L3371" s="10">
        <v>7</v>
      </c>
      <c r="M3371" s="6" t="s">
        <v>386</v>
      </c>
    </row>
    <row r="3372" spans="1:13">
      <c r="A3372" s="6">
        <v>2024</v>
      </c>
      <c r="B3372" s="6">
        <v>3</v>
      </c>
      <c r="C3372" s="6" t="s">
        <v>61</v>
      </c>
      <c r="D3372" s="6" t="s">
        <v>1158</v>
      </c>
      <c r="E3372" s="6" t="s">
        <v>724</v>
      </c>
      <c r="F3372" s="6" t="str">
        <f>IF($M3372="PADD I","PADD 1",IF($M3372="PADD II","PADD 2",IF($M3372="PADD III","PADD 3",IF($M3372="PADD IV","PADD 4",IF($M3372="PADD V","PADD 5","")))))</f>
        <v>PADD 5</v>
      </c>
      <c r="G3372" s="6">
        <f>IF(AND($H3372="ATMOS DISTILLATION",ISNUMBER(SEARCH("VPS",$I3372))=FALSE,LEFT($I3372,6)&lt;&gt;"VACUUM"),"CDU",IF($H3372="FLUID CAT CRACKING","FCC",IF(OR($H3372="HYDROCRACKING",$H3372="RESID_HYDROCRACKING"),"Hydrocracker",IF($H3372="REFORMING","Reformer",""))))</f>
        <v/>
      </c>
      <c r="H3372" s="6" t="s">
        <v>43</v>
      </c>
      <c r="I3372" s="6" t="s">
        <v>1159</v>
      </c>
      <c r="J3372" s="6" t="s">
        <v>349</v>
      </c>
      <c r="K3372" s="10">
        <v>2.21</v>
      </c>
      <c r="L3372" s="10">
        <v>8.5</v>
      </c>
      <c r="M3372" s="6" t="s">
        <v>386</v>
      </c>
    </row>
    <row r="3373" spans="1:13">
      <c r="A3373" s="6">
        <v>2024</v>
      </c>
      <c r="B3373" s="6">
        <v>3</v>
      </c>
      <c r="C3373" s="6" t="s">
        <v>61</v>
      </c>
      <c r="D3373" s="6" t="s">
        <v>934</v>
      </c>
      <c r="E3373" s="6" t="s">
        <v>388</v>
      </c>
      <c r="F3373" s="6" t="str">
        <f>IF($M3373="PADD I","PADD 1",IF($M3373="PADD II","PADD 2",IF($M3373="PADD III","PADD 3",IF($M3373="PADD IV","PADD 4",IF($M3373="PADD V","PADD 5","")))))</f>
        <v>PADD 3</v>
      </c>
      <c r="G3373" s="6">
        <f>IF(AND($H3373="ATMOS DISTILLATION",ISNUMBER(SEARCH("VPS",$I3373))=FALSE,LEFT($I3373,6)&lt;&gt;"VACUUM"),"CDU",IF($H3373="FLUID CAT CRACKING","FCC",IF(OR($H3373="HYDROCRACKING",$H3373="RESID_HYDROCRACKING"),"Hydrocracker",IF($H3373="REFORMING","Reformer",""))))</f>
        <v/>
      </c>
      <c r="H3373" s="6" t="s">
        <v>378</v>
      </c>
      <c r="I3373" s="6" t="s">
        <v>964</v>
      </c>
      <c r="J3373" s="6" t="s">
        <v>349</v>
      </c>
      <c r="K3373" s="10">
        <v>2.21</v>
      </c>
      <c r="L3373" s="10">
        <v>17</v>
      </c>
      <c r="M3373" s="6" t="s">
        <v>371</v>
      </c>
    </row>
    <row r="3374" spans="1:13">
      <c r="A3374" s="6">
        <v>2024</v>
      </c>
      <c r="B3374" s="6">
        <v>3</v>
      </c>
      <c r="C3374" s="6" t="s">
        <v>61</v>
      </c>
      <c r="D3374" s="6" t="s">
        <v>632</v>
      </c>
      <c r="E3374" s="6" t="s">
        <v>633</v>
      </c>
      <c r="F3374" s="6" t="str">
        <f>IF($M3374="PADD I","PADD 1",IF($M3374="PADD II","PADD 2",IF($M3374="PADD III","PADD 3",IF($M3374="PADD IV","PADD 4",IF($M3374="PADD V","PADD 5","")))))</f>
        <v>PADD 4</v>
      </c>
      <c r="G3374" s="6" t="str">
        <f>IF(AND($H3374="ATMOS DISTILLATION",ISNUMBER(SEARCH("VPS",$I3374))=FALSE,LEFT($I3374,6)&lt;&gt;"VACUUM"),"CDU",IF($H3374="FLUID CAT CRACKING","FCC",IF(OR($H3374="HYDROCRACKING",$H3374="RESID_HYDROCRACKING"),"Hydrocracker",IF($H3374="REFORMING","Reformer",""))))</f>
        <v>Reformer</v>
      </c>
      <c r="H3374" s="6" t="s">
        <v>421</v>
      </c>
      <c r="I3374" s="6" t="s">
        <v>1070</v>
      </c>
      <c r="J3374" s="6" t="s">
        <v>345</v>
      </c>
      <c r="K3374" s="10">
        <v>1.955</v>
      </c>
      <c r="L3374" s="10">
        <v>8.5</v>
      </c>
      <c r="M3374" s="6" t="s">
        <v>430</v>
      </c>
    </row>
    <row r="3375" spans="1:13">
      <c r="A3375" s="6">
        <v>2024</v>
      </c>
      <c r="B3375" s="6">
        <v>3</v>
      </c>
      <c r="C3375" s="6" t="s">
        <v>61</v>
      </c>
      <c r="D3375" s="6" t="s">
        <v>434</v>
      </c>
      <c r="E3375" s="6" t="s">
        <v>388</v>
      </c>
      <c r="F3375" s="6" t="str">
        <f>IF($M3375="PADD I","PADD 1",IF($M3375="PADD II","PADD 2",IF($M3375="PADD III","PADD 3",IF($M3375="PADD IV","PADD 4",IF($M3375="PADD V","PADD 5","")))))</f>
        <v>PADD 5</v>
      </c>
      <c r="G3375" s="6" t="str">
        <f>IF(AND($H3375="ATMOS DISTILLATION",ISNUMBER(SEARCH("VPS",$I3375))=FALSE,LEFT($I3375,6)&lt;&gt;"VACUUM"),"CDU",IF($H3375="FLUID CAT CRACKING","FCC",IF(OR($H3375="HYDROCRACKING",$H3375="RESID_HYDROCRACKING"),"Hydrocracker",IF($H3375="REFORMING","Reformer",""))))</f>
        <v>Reformer</v>
      </c>
      <c r="H3375" s="6" t="s">
        <v>421</v>
      </c>
      <c r="I3375" s="6" t="s">
        <v>671</v>
      </c>
      <c r="J3375" s="6" t="s">
        <v>345</v>
      </c>
      <c r="K3375" s="10">
        <v>1.95</v>
      </c>
      <c r="L3375" s="10">
        <v>15</v>
      </c>
      <c r="M3375" s="6" t="s">
        <v>386</v>
      </c>
    </row>
    <row r="3376" spans="1:13">
      <c r="A3376" s="6">
        <v>2024</v>
      </c>
      <c r="B3376" s="6">
        <v>3</v>
      </c>
      <c r="C3376" s="6" t="s">
        <v>61</v>
      </c>
      <c r="D3376" s="6" t="s">
        <v>878</v>
      </c>
      <c r="E3376" s="6" t="s">
        <v>452</v>
      </c>
      <c r="F3376" s="6" t="str">
        <f>IF($M3376="PADD I","PADD 1",IF($M3376="PADD II","PADD 2",IF($M3376="PADD III","PADD 3",IF($M3376="PADD IV","PADD 4",IF($M3376="PADD V","PADD 5","")))))</f>
        <v>PADD 2</v>
      </c>
      <c r="G3376" s="6">
        <f>IF(AND($H3376="ATMOS DISTILLATION",ISNUMBER(SEARCH("VPS",$I3376))=FALSE,LEFT($I3376,6)&lt;&gt;"VACUUM"),"CDU",IF($H3376="FLUID CAT CRACKING","FCC",IF(OR($H3376="HYDROCRACKING",$H3376="RESID_HYDROCRACKING"),"Hydrocracker",IF($H3376="REFORMING","Reformer",""))))</f>
        <v/>
      </c>
      <c r="H3376" s="6" t="s">
        <v>378</v>
      </c>
      <c r="I3376" s="6" t="s">
        <v>536</v>
      </c>
      <c r="J3376" s="6" t="s">
        <v>345</v>
      </c>
      <c r="K3376" s="10">
        <v>1.92</v>
      </c>
      <c r="L3376" s="10">
        <v>32</v>
      </c>
      <c r="M3376" s="6" t="s">
        <v>375</v>
      </c>
    </row>
    <row r="3377" spans="1:13">
      <c r="A3377" s="6">
        <v>2024</v>
      </c>
      <c r="B3377" s="6">
        <v>3</v>
      </c>
      <c r="C3377" s="6" t="s">
        <v>61</v>
      </c>
      <c r="D3377" s="6" t="s">
        <v>446</v>
      </c>
      <c r="E3377" s="6" t="s">
        <v>391</v>
      </c>
      <c r="F3377" s="6" t="str">
        <f>IF($M3377="PADD I","PADD 1",IF($M3377="PADD II","PADD 2",IF($M3377="PADD III","PADD 3",IF($M3377="PADD IV","PADD 4",IF($M3377="PADD V","PADD 5","")))))</f>
        <v>PADD 3</v>
      </c>
      <c r="G3377" s="6">
        <f>IF(AND($H3377="ATMOS DISTILLATION",ISNUMBER(SEARCH("VPS",$I3377))=FALSE,LEFT($I3377,6)&lt;&gt;"VACUUM"),"CDU",IF($H3377="FLUID CAT CRACKING","FCC",IF(OR($H3377="HYDROCRACKING",$H3377="RESID_HYDROCRACKING"),"Hydrocracker",IF($H3377="REFORMING","Reformer",""))))</f>
        <v/>
      </c>
      <c r="H3377" s="6" t="s">
        <v>460</v>
      </c>
      <c r="I3377" s="6" t="s">
        <v>580</v>
      </c>
      <c r="J3377" s="6" t="s">
        <v>345</v>
      </c>
      <c r="K3377" s="10">
        <v>1.872</v>
      </c>
      <c r="L3377" s="10">
        <v>7.2</v>
      </c>
      <c r="M3377" s="6" t="s">
        <v>371</v>
      </c>
    </row>
    <row r="3378" spans="1:13">
      <c r="A3378" s="6">
        <v>2024</v>
      </c>
      <c r="B3378" s="6">
        <v>3</v>
      </c>
      <c r="C3378" s="6" t="s">
        <v>61</v>
      </c>
      <c r="D3378" s="6" t="s">
        <v>946</v>
      </c>
      <c r="E3378" s="6" t="s">
        <v>405</v>
      </c>
      <c r="F3378" s="6" t="str">
        <f>IF($M3378="PADD I","PADD 1",IF($M3378="PADD II","PADD 2",IF($M3378="PADD III","PADD 3",IF($M3378="PADD IV","PADD 4",IF($M3378="PADD V","PADD 5","")))))</f>
        <v>PADD 5</v>
      </c>
      <c r="G3378" s="6">
        <f>IF(AND($H3378="ATMOS DISTILLATION",ISNUMBER(SEARCH("VPS",$I3378))=FALSE,LEFT($I3378,6)&lt;&gt;"VACUUM"),"CDU",IF($H3378="FLUID CAT CRACKING","FCC",IF(OR($H3378="HYDROCRACKING",$H3378="RESID_HYDROCRACKING"),"Hydrocracker",IF($H3378="REFORMING","Reformer",""))))</f>
        <v/>
      </c>
      <c r="H3378" s="6" t="s">
        <v>435</v>
      </c>
      <c r="I3378" s="6" t="s">
        <v>972</v>
      </c>
      <c r="J3378" s="6" t="s">
        <v>345</v>
      </c>
      <c r="K3378" s="10">
        <v>1.8</v>
      </c>
      <c r="L3378" s="10">
        <v>18</v>
      </c>
      <c r="M3378" s="6" t="s">
        <v>386</v>
      </c>
    </row>
    <row r="3379" spans="1:13">
      <c r="A3379" s="6">
        <v>2024</v>
      </c>
      <c r="B3379" s="6">
        <v>3</v>
      </c>
      <c r="C3379" s="6" t="s">
        <v>61</v>
      </c>
      <c r="D3379" s="6" t="s">
        <v>646</v>
      </c>
      <c r="E3379" s="6" t="s">
        <v>405</v>
      </c>
      <c r="F3379" s="6" t="str">
        <f>IF($M3379="PADD I","PADD 1",IF($M3379="PADD II","PADD 2",IF($M3379="PADD III","PADD 3",IF($M3379="PADD IV","PADD 4",IF($M3379="PADD V","PADD 5","")))))</f>
        <v>PADD 3</v>
      </c>
      <c r="G3379" s="6" t="str">
        <f>IF(AND($H3379="ATMOS DISTILLATION",ISNUMBER(SEARCH("VPS",$I3379))=FALSE,LEFT($I3379,6)&lt;&gt;"VACUUM"),"CDU",IF($H3379="FLUID CAT CRACKING","FCC",IF(OR($H3379="HYDROCRACKING",$H3379="RESID_HYDROCRACKING"),"Hydrocracker",IF($H3379="REFORMING","Reformer",""))))</f>
        <v>Reformer</v>
      </c>
      <c r="H3379" s="6" t="s">
        <v>421</v>
      </c>
      <c r="I3379" s="6" t="s">
        <v>1160</v>
      </c>
      <c r="J3379" s="6" t="s">
        <v>345</v>
      </c>
      <c r="K3379" s="10">
        <v>1.6</v>
      </c>
      <c r="L3379" s="10">
        <v>10</v>
      </c>
      <c r="M3379" s="6" t="s">
        <v>371</v>
      </c>
    </row>
    <row r="3380" spans="1:13">
      <c r="A3380" s="6">
        <v>2024</v>
      </c>
      <c r="B3380" s="6">
        <v>3</v>
      </c>
      <c r="C3380" s="6" t="s">
        <v>61</v>
      </c>
      <c r="D3380" s="6" t="s">
        <v>946</v>
      </c>
      <c r="E3380" s="6" t="s">
        <v>405</v>
      </c>
      <c r="F3380" s="6" t="str">
        <f>IF($M3380="PADD I","PADD 1",IF($M3380="PADD II","PADD 2",IF($M3380="PADD III","PADD 3",IF($M3380="PADD IV","PADD 4",IF($M3380="PADD V","PADD 5","")))))</f>
        <v>PADD 5</v>
      </c>
      <c r="G3380" s="6">
        <f>IF(AND($H3380="ATMOS DISTILLATION",ISNUMBER(SEARCH("VPS",$I3380))=FALSE,LEFT($I3380,6)&lt;&gt;"VACUUM"),"CDU",IF($H3380="FLUID CAT CRACKING","FCC",IF(OR($H3380="HYDROCRACKING",$H3380="RESID_HYDROCRACKING"),"Hydrocracker",IF($H3380="REFORMING","Reformer",""))))</f>
        <v/>
      </c>
      <c r="H3380" s="6" t="s">
        <v>435</v>
      </c>
      <c r="I3380" s="6" t="s">
        <v>975</v>
      </c>
      <c r="J3380" s="6" t="s">
        <v>345</v>
      </c>
      <c r="K3380" s="10">
        <v>1.6</v>
      </c>
      <c r="L3380" s="10">
        <v>16</v>
      </c>
      <c r="M3380" s="6" t="s">
        <v>386</v>
      </c>
    </row>
    <row r="3381" spans="1:13">
      <c r="A3381" s="6">
        <v>2024</v>
      </c>
      <c r="B3381" s="6">
        <v>3</v>
      </c>
      <c r="C3381" s="6" t="s">
        <v>61</v>
      </c>
      <c r="D3381" s="6" t="s">
        <v>42</v>
      </c>
      <c r="E3381" s="6" t="s">
        <v>405</v>
      </c>
      <c r="F3381" s="6" t="str">
        <f>IF($M3381="PADD I","PADD 1",IF($M3381="PADD II","PADD 2",IF($M3381="PADD III","PADD 3",IF($M3381="PADD IV","PADD 4",IF($M3381="PADD V","PADD 5","")))))</f>
        <v>PADD 3</v>
      </c>
      <c r="G3381" s="6">
        <f>IF(AND($H3381="ATMOS DISTILLATION",ISNUMBER(SEARCH("VPS",$I3381))=FALSE,LEFT($I3381,6)&lt;&gt;"VACUUM"),"CDU",IF($H3381="FLUID CAT CRACKING","FCC",IF(OR($H3381="HYDROCRACKING",$H3381="RESID_HYDROCRACKING"),"Hydrocracker",IF($H3381="REFORMING","Reformer",""))))</f>
        <v/>
      </c>
      <c r="H3381" s="6" t="s">
        <v>460</v>
      </c>
      <c r="I3381" s="6" t="s">
        <v>616</v>
      </c>
      <c r="J3381" s="6" t="s">
        <v>349</v>
      </c>
      <c r="K3381" s="10">
        <v>1.56</v>
      </c>
      <c r="L3381" s="10">
        <v>12</v>
      </c>
      <c r="M3381" s="6" t="s">
        <v>371</v>
      </c>
    </row>
    <row r="3382" spans="1:13">
      <c r="A3382" s="6">
        <v>2024</v>
      </c>
      <c r="B3382" s="6">
        <v>3</v>
      </c>
      <c r="C3382" s="6" t="s">
        <v>61</v>
      </c>
      <c r="D3382" s="6" t="s">
        <v>602</v>
      </c>
      <c r="E3382" s="6" t="s">
        <v>369</v>
      </c>
      <c r="F3382" s="6" t="str">
        <f>IF($M3382="PADD I","PADD 1",IF($M3382="PADD II","PADD 2",IF($M3382="PADD III","PADD 3",IF($M3382="PADD IV","PADD 4",IF($M3382="PADD V","PADD 5","")))))</f>
        <v>PADD 2</v>
      </c>
      <c r="G3382" s="6">
        <f>IF(AND($H3382="ATMOS DISTILLATION",ISNUMBER(SEARCH("VPS",$I3382))=FALSE,LEFT($I3382,6)&lt;&gt;"VACUUM"),"CDU",IF($H3382="FLUID CAT CRACKING","FCC",IF(OR($H3382="HYDROCRACKING",$H3382="RESID_HYDROCRACKING"),"Hydrocracker",IF($H3382="REFORMING","Reformer",""))))</f>
        <v/>
      </c>
      <c r="H3382" s="6" t="s">
        <v>460</v>
      </c>
      <c r="I3382" s="6" t="s">
        <v>616</v>
      </c>
      <c r="J3382" s="6" t="s">
        <v>345</v>
      </c>
      <c r="K3382" s="10">
        <v>1.56</v>
      </c>
      <c r="L3382" s="10">
        <v>12</v>
      </c>
      <c r="M3382" s="6" t="s">
        <v>375</v>
      </c>
    </row>
    <row r="3383" spans="1:13">
      <c r="A3383" s="6">
        <v>2024</v>
      </c>
      <c r="B3383" s="6">
        <v>3</v>
      </c>
      <c r="C3383" s="6" t="s">
        <v>61</v>
      </c>
      <c r="D3383" s="6" t="s">
        <v>331</v>
      </c>
      <c r="E3383" s="6" t="s">
        <v>373</v>
      </c>
      <c r="F3383" s="6" t="str">
        <f>IF($M3383="PADD I","PADD 1",IF($M3383="PADD II","PADD 2",IF($M3383="PADD III","PADD 3",IF($M3383="PADD IV","PADD 4",IF($M3383="PADD V","PADD 5","")))))</f>
        <v>PADD 2</v>
      </c>
      <c r="G3383" s="6">
        <f>IF(AND($H3383="ATMOS DISTILLATION",ISNUMBER(SEARCH("VPS",$I3383))=FALSE,LEFT($I3383,6)&lt;&gt;"VACUUM"),"CDU",IF($H3383="FLUID CAT CRACKING","FCC",IF(OR($H3383="HYDROCRACKING",$H3383="RESID_HYDROCRACKING"),"Hydrocracker",IF($H3383="REFORMING","Reformer",""))))</f>
        <v/>
      </c>
      <c r="H3383" s="6" t="s">
        <v>378</v>
      </c>
      <c r="I3383" s="6" t="s">
        <v>431</v>
      </c>
      <c r="J3383" s="6" t="s">
        <v>345</v>
      </c>
      <c r="K3383" s="10">
        <v>1.56</v>
      </c>
      <c r="L3383" s="10">
        <v>52</v>
      </c>
      <c r="M3383" s="6" t="s">
        <v>375</v>
      </c>
    </row>
    <row r="3384" spans="1:13">
      <c r="A3384" s="6">
        <v>2024</v>
      </c>
      <c r="B3384" s="6">
        <v>3</v>
      </c>
      <c r="C3384" s="6" t="s">
        <v>61</v>
      </c>
      <c r="D3384" s="6" t="s">
        <v>531</v>
      </c>
      <c r="E3384" s="6" t="s">
        <v>532</v>
      </c>
      <c r="F3384" s="6" t="str">
        <f>IF($M3384="PADD I","PADD 1",IF($M3384="PADD II","PADD 2",IF($M3384="PADD III","PADD 3",IF($M3384="PADD IV","PADD 4",IF($M3384="PADD V","PADD 5","")))))</f>
        <v>PADD 5</v>
      </c>
      <c r="G3384" s="6">
        <f>IF(AND($H3384="ATMOS DISTILLATION",ISNUMBER(SEARCH("VPS",$I3384))=FALSE,LEFT($I3384,6)&lt;&gt;"VACUUM"),"CDU",IF($H3384="FLUID CAT CRACKING","FCC",IF(OR($H3384="HYDROCRACKING",$H3384="RESID_HYDROCRACKING"),"Hydrocracker",IF($H3384="REFORMING","Reformer",""))))</f>
        <v/>
      </c>
      <c r="H3384" s="6" t="s">
        <v>460</v>
      </c>
      <c r="I3384" s="6" t="s">
        <v>616</v>
      </c>
      <c r="J3384" s="6" t="s">
        <v>345</v>
      </c>
      <c r="K3384" s="10">
        <v>1.53</v>
      </c>
      <c r="L3384" s="10">
        <v>25.5</v>
      </c>
      <c r="M3384" s="6" t="s">
        <v>386</v>
      </c>
    </row>
    <row r="3385" spans="1:13">
      <c r="A3385" s="6">
        <v>2024</v>
      </c>
      <c r="B3385" s="6">
        <v>3</v>
      </c>
      <c r="C3385" s="6" t="s">
        <v>61</v>
      </c>
      <c r="D3385" s="6" t="s">
        <v>380</v>
      </c>
      <c r="E3385" s="6" t="s">
        <v>381</v>
      </c>
      <c r="F3385" s="6" t="str">
        <f>IF($M3385="PADD I","PADD 1",IF($M3385="PADD II","PADD 2",IF($M3385="PADD III","PADD 3",IF($M3385="PADD IV","PADD 4",IF($M3385="PADD V","PADD 5","")))))</f>
        <v>PADD 3</v>
      </c>
      <c r="G3385" s="6" t="str">
        <f>IF(AND($H3385="ATMOS DISTILLATION",ISNUMBER(SEARCH("VPS",$I3385))=FALSE,LEFT($I3385,6)&lt;&gt;"VACUUM"),"CDU",IF($H3385="FLUID CAT CRACKING","FCC",IF(OR($H3385="HYDROCRACKING",$H3385="RESID_HYDROCRACKING"),"Hydrocracker",IF($H3385="REFORMING","Reformer",""))))</f>
        <v>CDU</v>
      </c>
      <c r="H3385" s="6" t="s">
        <v>38</v>
      </c>
      <c r="I3385" s="6" t="s">
        <v>382</v>
      </c>
      <c r="J3385" s="6" t="s">
        <v>349</v>
      </c>
      <c r="K3385" s="10">
        <v>1.5</v>
      </c>
      <c r="L3385" s="10">
        <v>50</v>
      </c>
      <c r="M3385" s="6" t="s">
        <v>371</v>
      </c>
    </row>
    <row r="3386" spans="1:13">
      <c r="A3386" s="6">
        <v>2024</v>
      </c>
      <c r="B3386" s="6">
        <v>3</v>
      </c>
      <c r="C3386" s="6" t="s">
        <v>61</v>
      </c>
      <c r="D3386" s="6" t="s">
        <v>632</v>
      </c>
      <c r="E3386" s="6" t="s">
        <v>633</v>
      </c>
      <c r="F3386" s="6" t="str">
        <f>IF($M3386="PADD I","PADD 1",IF($M3386="PADD II","PADD 2",IF($M3386="PADD III","PADD 3",IF($M3386="PADD IV","PADD 4",IF($M3386="PADD V","PADD 5","")))))</f>
        <v>PADD 4</v>
      </c>
      <c r="G3386" s="6">
        <f>IF(AND($H3386="ATMOS DISTILLATION",ISNUMBER(SEARCH("VPS",$I3386))=FALSE,LEFT($I3386,6)&lt;&gt;"VACUUM"),"CDU",IF($H3386="FLUID CAT CRACKING","FCC",IF(OR($H3386="HYDROCRACKING",$H3386="RESID_HYDROCRACKING"),"Hydrocracker",IF($H3386="REFORMING","Reformer",""))))</f>
        <v/>
      </c>
      <c r="H3386" s="6" t="s">
        <v>43</v>
      </c>
      <c r="I3386" s="6" t="s">
        <v>674</v>
      </c>
      <c r="J3386" s="6" t="s">
        <v>345</v>
      </c>
      <c r="K3386" s="10">
        <v>1.495</v>
      </c>
      <c r="L3386" s="10">
        <v>11.5</v>
      </c>
      <c r="M3386" s="6" t="s">
        <v>430</v>
      </c>
    </row>
    <row r="3387" spans="1:13">
      <c r="A3387" s="6">
        <v>2024</v>
      </c>
      <c r="B3387" s="6">
        <v>3</v>
      </c>
      <c r="C3387" s="6" t="s">
        <v>61</v>
      </c>
      <c r="D3387" s="6" t="s">
        <v>878</v>
      </c>
      <c r="E3387" s="6" t="s">
        <v>452</v>
      </c>
      <c r="F3387" s="6" t="str">
        <f>IF($M3387="PADD I","PADD 1",IF($M3387="PADD II","PADD 2",IF($M3387="PADD III","PADD 3",IF($M3387="PADD IV","PADD 4",IF($M3387="PADD V","PADD 5","")))))</f>
        <v>PADD 2</v>
      </c>
      <c r="G3387" s="6">
        <f>IF(AND($H3387="ATMOS DISTILLATION",ISNUMBER(SEARCH("VPS",$I3387))=FALSE,LEFT($I3387,6)&lt;&gt;"VACUUM"),"CDU",IF($H3387="FLUID CAT CRACKING","FCC",IF(OR($H3387="HYDROCRACKING",$H3387="RESID_HYDROCRACKING"),"Hydrocracker",IF($H3387="REFORMING","Reformer",""))))</f>
        <v/>
      </c>
      <c r="H3387" s="6" t="s">
        <v>435</v>
      </c>
      <c r="I3387" s="6" t="s">
        <v>441</v>
      </c>
      <c r="J3387" s="6" t="s">
        <v>345</v>
      </c>
      <c r="K3387" s="10">
        <v>1.36</v>
      </c>
      <c r="L3387" s="10">
        <v>8.5</v>
      </c>
      <c r="M3387" s="6" t="s">
        <v>375</v>
      </c>
    </row>
    <row r="3388" spans="1:13">
      <c r="A3388" s="6">
        <v>2024</v>
      </c>
      <c r="B3388" s="6">
        <v>3</v>
      </c>
      <c r="C3388" s="6" t="s">
        <v>61</v>
      </c>
      <c r="D3388" s="6" t="s">
        <v>612</v>
      </c>
      <c r="E3388" s="6" t="s">
        <v>416</v>
      </c>
      <c r="F3388" s="6" t="str">
        <f>IF($M3388="PADD I","PADD 1",IF($M3388="PADD II","PADD 2",IF($M3388="PADD III","PADD 3",IF($M3388="PADD IV","PADD 4",IF($M3388="PADD V","PADD 5","")))))</f>
        <v>PADD 3</v>
      </c>
      <c r="G3388" s="6">
        <f>IF(AND($H3388="ATMOS DISTILLATION",ISNUMBER(SEARCH("VPS",$I3388))=FALSE,LEFT($I3388,6)&lt;&gt;"VACUUM"),"CDU",IF($H3388="FLUID CAT CRACKING","FCC",IF(OR($H3388="HYDROCRACKING",$H3388="RESID_HYDROCRACKING"),"Hydrocracker",IF($H3388="REFORMING","Reformer",""))))</f>
        <v/>
      </c>
      <c r="H3388" s="6" t="s">
        <v>435</v>
      </c>
      <c r="I3388" s="6" t="s">
        <v>441</v>
      </c>
      <c r="J3388" s="6" t="s">
        <v>345</v>
      </c>
      <c r="K3388" s="10">
        <v>1.32</v>
      </c>
      <c r="L3388" s="10">
        <v>44</v>
      </c>
      <c r="M3388" s="6" t="s">
        <v>371</v>
      </c>
    </row>
    <row r="3389" spans="1:13">
      <c r="A3389" s="6">
        <v>2024</v>
      </c>
      <c r="B3389" s="6">
        <v>3</v>
      </c>
      <c r="C3389" s="6" t="s">
        <v>61</v>
      </c>
      <c r="D3389" s="6" t="s">
        <v>1148</v>
      </c>
      <c r="E3389" s="6" t="s">
        <v>1149</v>
      </c>
      <c r="F3389" s="6" t="str">
        <f>IF($M3389="PADD I","PADD 1",IF($M3389="PADD II","PADD 2",IF($M3389="PADD III","PADD 3",IF($M3389="PADD IV","PADD 4",IF($M3389="PADD V","PADD 5","")))))</f>
        <v>PADD 3</v>
      </c>
      <c r="G3389" s="6">
        <f>IF(AND($H3389="ATMOS DISTILLATION",ISNUMBER(SEARCH("VPS",$I3389))=FALSE,LEFT($I3389,6)&lt;&gt;"VACUUM"),"CDU",IF($H3389="FLUID CAT CRACKING","FCC",IF(OR($H3389="HYDROCRACKING",$H3389="RESID_HYDROCRACKING"),"Hydrocracker",IF($H3389="REFORMING","Reformer",""))))</f>
        <v/>
      </c>
      <c r="H3389" s="6" t="s">
        <v>523</v>
      </c>
      <c r="I3389" s="6" t="s">
        <v>524</v>
      </c>
      <c r="J3389" s="6" t="s">
        <v>349</v>
      </c>
      <c r="K3389" s="10">
        <v>1.305</v>
      </c>
      <c r="L3389" s="10">
        <v>1.5</v>
      </c>
      <c r="M3389" s="6" t="s">
        <v>371</v>
      </c>
    </row>
    <row r="3390" spans="1:13">
      <c r="A3390" s="6">
        <v>2024</v>
      </c>
      <c r="B3390" s="6">
        <v>3</v>
      </c>
      <c r="C3390" s="6" t="s">
        <v>61</v>
      </c>
      <c r="D3390" s="6" t="s">
        <v>934</v>
      </c>
      <c r="E3390" s="6" t="s">
        <v>388</v>
      </c>
      <c r="F3390" s="6" t="str">
        <f>IF($M3390="PADD I","PADD 1",IF($M3390="PADD II","PADD 2",IF($M3390="PADD III","PADD 3",IF($M3390="PADD IV","PADD 4",IF($M3390="PADD V","PADD 5","")))))</f>
        <v>PADD 3</v>
      </c>
      <c r="G3390" s="6">
        <f>IF(AND($H3390="ATMOS DISTILLATION",ISNUMBER(SEARCH("VPS",$I3390))=FALSE,LEFT($I3390,6)&lt;&gt;"VACUUM"),"CDU",IF($H3390="FLUID CAT CRACKING","FCC",IF(OR($H3390="HYDROCRACKING",$H3390="RESID_HYDROCRACKING"),"Hydrocracker",IF($H3390="REFORMING","Reformer",""))))</f>
        <v/>
      </c>
      <c r="H3390" s="6" t="s">
        <v>460</v>
      </c>
      <c r="I3390" s="6" t="s">
        <v>461</v>
      </c>
      <c r="J3390" s="6" t="s">
        <v>349</v>
      </c>
      <c r="K3390" s="10">
        <v>1.3</v>
      </c>
      <c r="L3390" s="10">
        <v>10</v>
      </c>
      <c r="M3390" s="6" t="s">
        <v>371</v>
      </c>
    </row>
    <row r="3391" spans="1:13">
      <c r="A3391" s="6">
        <v>2024</v>
      </c>
      <c r="B3391" s="6">
        <v>3</v>
      </c>
      <c r="C3391" s="6" t="s">
        <v>61</v>
      </c>
      <c r="D3391" s="6" t="s">
        <v>319</v>
      </c>
      <c r="E3391" s="6" t="s">
        <v>665</v>
      </c>
      <c r="F3391" s="6" t="str">
        <f>IF($M3391="PADD I","PADD 1",IF($M3391="PADD II","PADD 2",IF($M3391="PADD III","PADD 3",IF($M3391="PADD IV","PADD 4",IF($M3391="PADD V","PADD 5","")))))</f>
        <v>PADD 3</v>
      </c>
      <c r="G3391" s="6">
        <f>IF(AND($H3391="ATMOS DISTILLATION",ISNUMBER(SEARCH("VPS",$I3391))=FALSE,LEFT($I3391,6)&lt;&gt;"VACUUM"),"CDU",IF($H3391="FLUID CAT CRACKING","FCC",IF(OR($H3391="HYDROCRACKING",$H3391="RESID_HYDROCRACKING"),"Hydrocracker",IF($H3391="REFORMING","Reformer",""))))</f>
        <v/>
      </c>
      <c r="H3391" s="6" t="s">
        <v>435</v>
      </c>
      <c r="I3391" s="6" t="s">
        <v>441</v>
      </c>
      <c r="J3391" s="6" t="s">
        <v>345</v>
      </c>
      <c r="K3391" s="10">
        <v>1.2828</v>
      </c>
      <c r="L3391" s="10">
        <v>21.38</v>
      </c>
      <c r="M3391" s="6" t="s">
        <v>371</v>
      </c>
    </row>
    <row r="3392" spans="1:13">
      <c r="A3392" s="6">
        <v>2024</v>
      </c>
      <c r="B3392" s="6">
        <v>3</v>
      </c>
      <c r="C3392" s="6" t="s">
        <v>61</v>
      </c>
      <c r="D3392" s="6" t="s">
        <v>742</v>
      </c>
      <c r="E3392" s="6" t="s">
        <v>388</v>
      </c>
      <c r="F3392" s="6" t="str">
        <f>IF($M3392="PADD I","PADD 1",IF($M3392="PADD II","PADD 2",IF($M3392="PADD III","PADD 3",IF($M3392="PADD IV","PADD 4",IF($M3392="PADD V","PADD 5","")))))</f>
        <v>PADD 5</v>
      </c>
      <c r="G3392" s="6">
        <f>IF(AND($H3392="ATMOS DISTILLATION",ISNUMBER(SEARCH("VPS",$I3392))=FALSE,LEFT($I3392,6)&lt;&gt;"VACUUM"),"CDU",IF($H3392="FLUID CAT CRACKING","FCC",IF(OR($H3392="HYDROCRACKING",$H3392="RESID_HYDROCRACKING"),"Hydrocracker",IF($H3392="REFORMING","Reformer",""))))</f>
        <v/>
      </c>
      <c r="H3392" s="6" t="s">
        <v>460</v>
      </c>
      <c r="I3392" s="6" t="s">
        <v>461</v>
      </c>
      <c r="J3392" s="6" t="s">
        <v>345</v>
      </c>
      <c r="K3392" s="10">
        <v>0.96</v>
      </c>
      <c r="L3392" s="10">
        <v>6</v>
      </c>
      <c r="M3392" s="6" t="s">
        <v>386</v>
      </c>
    </row>
    <row r="3393" spans="1:13">
      <c r="A3393" s="6">
        <v>2024</v>
      </c>
      <c r="B3393" s="6">
        <v>3</v>
      </c>
      <c r="C3393" s="6" t="s">
        <v>61</v>
      </c>
      <c r="D3393" s="6" t="s">
        <v>739</v>
      </c>
      <c r="E3393" s="6" t="s">
        <v>405</v>
      </c>
      <c r="F3393" s="6" t="str">
        <f>IF($M3393="PADD I","PADD 1",IF($M3393="PADD II","PADD 2",IF($M3393="PADD III","PADD 3",IF($M3393="PADD IV","PADD 4",IF($M3393="PADD V","PADD 5","")))))</f>
        <v>PADD 2</v>
      </c>
      <c r="G3393" s="6">
        <f>IF(AND($H3393="ATMOS DISTILLATION",ISNUMBER(SEARCH("VPS",$I3393))=FALSE,LEFT($I3393,6)&lt;&gt;"VACUUM"),"CDU",IF($H3393="FLUID CAT CRACKING","FCC",IF(OR($H3393="HYDROCRACKING",$H3393="RESID_HYDROCRACKING"),"Hydrocracker",IF($H3393="REFORMING","Reformer",""))))</f>
        <v/>
      </c>
      <c r="H3393" s="6" t="s">
        <v>43</v>
      </c>
      <c r="I3393" s="6" t="s">
        <v>740</v>
      </c>
      <c r="J3393" s="6" t="s">
        <v>345</v>
      </c>
      <c r="K3393" s="10">
        <v>0.96</v>
      </c>
      <c r="L3393" s="10">
        <v>32</v>
      </c>
      <c r="M3393" s="6" t="s">
        <v>375</v>
      </c>
    </row>
    <row r="3394" spans="1:13">
      <c r="A3394" s="6">
        <v>2024</v>
      </c>
      <c r="B3394" s="6">
        <v>3</v>
      </c>
      <c r="C3394" s="6" t="s">
        <v>61</v>
      </c>
      <c r="D3394" s="6" t="s">
        <v>1130</v>
      </c>
      <c r="E3394" s="6" t="s">
        <v>452</v>
      </c>
      <c r="F3394" s="6" t="str">
        <f>IF($M3394="PADD I","PADD 1",IF($M3394="PADD II","PADD 2",IF($M3394="PADD III","PADD 3",IF($M3394="PADD IV","PADD 4",IF($M3394="PADD V","PADD 5","")))))</f>
        <v>PADD 2</v>
      </c>
      <c r="G3394" s="6">
        <f>IF(AND($H3394="ATMOS DISTILLATION",ISNUMBER(SEARCH("VPS",$I3394))=FALSE,LEFT($I3394,6)&lt;&gt;"VACUUM"),"CDU",IF($H3394="FLUID CAT CRACKING","FCC",IF(OR($H3394="HYDROCRACKING",$H3394="RESID_HYDROCRACKING"),"Hydrocracker",IF($H3394="REFORMING","Reformer",""))))</f>
        <v/>
      </c>
      <c r="H3394" s="6" t="s">
        <v>43</v>
      </c>
      <c r="I3394" s="6" t="s">
        <v>493</v>
      </c>
      <c r="J3394" s="6" t="s">
        <v>345</v>
      </c>
      <c r="K3394" s="10">
        <v>0.93</v>
      </c>
      <c r="L3394" s="10">
        <v>15.5</v>
      </c>
      <c r="M3394" s="6" t="s">
        <v>375</v>
      </c>
    </row>
    <row r="3395" spans="1:13">
      <c r="A3395" s="6">
        <v>2024</v>
      </c>
      <c r="B3395" s="6">
        <v>3</v>
      </c>
      <c r="C3395" s="6" t="s">
        <v>61</v>
      </c>
      <c r="D3395" s="6" t="s">
        <v>395</v>
      </c>
      <c r="E3395" s="6" t="s">
        <v>396</v>
      </c>
      <c r="F3395" s="6" t="str">
        <f>IF($M3395="PADD I","PADD 1",IF($M3395="PADD II","PADD 2",IF($M3395="PADD III","PADD 3",IF($M3395="PADD IV","PADD 4",IF($M3395="PADD V","PADD 5","")))))</f>
        <v>PADD 3</v>
      </c>
      <c r="G3395" s="6">
        <f>IF(AND($H3395="ATMOS DISTILLATION",ISNUMBER(SEARCH("VPS",$I3395))=FALSE,LEFT($I3395,6)&lt;&gt;"VACUUM"),"CDU",IF($H3395="FLUID CAT CRACKING","FCC",IF(OR($H3395="HYDROCRACKING",$H3395="RESID_HYDROCRACKING"),"Hydrocracker",IF($H3395="REFORMING","Reformer",""))))</f>
        <v/>
      </c>
      <c r="H3395" s="6" t="s">
        <v>378</v>
      </c>
      <c r="I3395" s="6" t="s">
        <v>575</v>
      </c>
      <c r="J3395" s="6" t="s">
        <v>349</v>
      </c>
      <c r="K3395" s="10">
        <v>0.9</v>
      </c>
      <c r="L3395" s="10">
        <v>30</v>
      </c>
      <c r="M3395" s="6" t="s">
        <v>371</v>
      </c>
    </row>
    <row r="3396" spans="1:13">
      <c r="A3396" s="6">
        <v>2024</v>
      </c>
      <c r="B3396" s="6">
        <v>3</v>
      </c>
      <c r="C3396" s="6" t="s">
        <v>61</v>
      </c>
      <c r="D3396" s="6" t="s">
        <v>878</v>
      </c>
      <c r="E3396" s="6" t="s">
        <v>452</v>
      </c>
      <c r="F3396" s="6" t="str">
        <f>IF($M3396="PADD I","PADD 1",IF($M3396="PADD II","PADD 2",IF($M3396="PADD III","PADD 3",IF($M3396="PADD IV","PADD 4",IF($M3396="PADD V","PADD 5","")))))</f>
        <v>PADD 2</v>
      </c>
      <c r="G3396" s="6">
        <f>IF(AND($H3396="ATMOS DISTILLATION",ISNUMBER(SEARCH("VPS",$I3396))=FALSE,LEFT($I3396,6)&lt;&gt;"VACUUM"),"CDU",IF($H3396="FLUID CAT CRACKING","FCC",IF(OR($H3396="HYDROCRACKING",$H3396="RESID_HYDROCRACKING"),"Hydrocracker",IF($H3396="REFORMING","Reformer",""))))</f>
        <v/>
      </c>
      <c r="H3396" s="6" t="s">
        <v>378</v>
      </c>
      <c r="I3396" s="6" t="s">
        <v>536</v>
      </c>
      <c r="J3396" s="6" t="s">
        <v>345</v>
      </c>
      <c r="K3396" s="10">
        <v>0.9</v>
      </c>
      <c r="L3396" s="10">
        <v>30</v>
      </c>
      <c r="M3396" s="6" t="s">
        <v>375</v>
      </c>
    </row>
    <row r="3397" spans="1:13">
      <c r="A3397" s="6">
        <v>2024</v>
      </c>
      <c r="B3397" s="6">
        <v>3</v>
      </c>
      <c r="C3397" s="6" t="s">
        <v>61</v>
      </c>
      <c r="D3397" s="6" t="s">
        <v>839</v>
      </c>
      <c r="E3397" s="6" t="s">
        <v>840</v>
      </c>
      <c r="F3397" s="6" t="str">
        <f>IF($M3397="PADD I","PADD 1",IF($M3397="PADD II","PADD 2",IF($M3397="PADD III","PADD 3",IF($M3397="PADD IV","PADD 4",IF($M3397="PADD V","PADD 5","")))))</f>
        <v>PADD 1</v>
      </c>
      <c r="G3397" s="6">
        <f>IF(AND($H3397="ATMOS DISTILLATION",ISNUMBER(SEARCH("VPS",$I3397))=FALSE,LEFT($I3397,6)&lt;&gt;"VACUUM"),"CDU",IF($H3397="FLUID CAT CRACKING","FCC",IF(OR($H3397="HYDROCRACKING",$H3397="RESID_HYDROCRACKING"),"Hydrocracker",IF($H3397="REFORMING","Reformer",""))))</f>
        <v/>
      </c>
      <c r="H3397" s="6" t="s">
        <v>568</v>
      </c>
      <c r="I3397" s="6" t="s">
        <v>604</v>
      </c>
      <c r="J3397" s="6" t="s">
        <v>345</v>
      </c>
      <c r="K3397" s="10">
        <v>0.88</v>
      </c>
      <c r="L3397" s="10">
        <v>2.75</v>
      </c>
      <c r="M3397" s="6" t="s">
        <v>413</v>
      </c>
    </row>
    <row r="3398" spans="1:13">
      <c r="A3398" s="6">
        <v>2024</v>
      </c>
      <c r="B3398" s="6">
        <v>3</v>
      </c>
      <c r="C3398" s="6" t="s">
        <v>61</v>
      </c>
      <c r="D3398" s="6" t="s">
        <v>632</v>
      </c>
      <c r="E3398" s="6" t="s">
        <v>633</v>
      </c>
      <c r="F3398" s="6" t="str">
        <f>IF($M3398="PADD I","PADD 1",IF($M3398="PADD II","PADD 2",IF($M3398="PADD III","PADD 3",IF($M3398="PADD IV","PADD 4",IF($M3398="PADD V","PADD 5","")))))</f>
        <v>PADD 4</v>
      </c>
      <c r="G3398" s="6" t="str">
        <f>IF(AND($H3398="ATMOS DISTILLATION",ISNUMBER(SEARCH("VPS",$I3398))=FALSE,LEFT($I3398,6)&lt;&gt;"VACUUM"),"CDU",IF($H3398="FLUID CAT CRACKING","FCC",IF(OR($H3398="HYDROCRACKING",$H3398="RESID_HYDROCRACKING"),"Hydrocracker",IF($H3398="REFORMING","Reformer",""))))</f>
        <v>Reformer</v>
      </c>
      <c r="H3398" s="6" t="s">
        <v>421</v>
      </c>
      <c r="I3398" s="6" t="s">
        <v>1070</v>
      </c>
      <c r="J3398" s="6" t="s">
        <v>345</v>
      </c>
      <c r="K3398" s="10">
        <v>0.85</v>
      </c>
      <c r="L3398" s="10">
        <v>8.5</v>
      </c>
      <c r="M3398" s="6" t="s">
        <v>430</v>
      </c>
    </row>
    <row r="3399" spans="1:13">
      <c r="A3399" s="6">
        <v>2024</v>
      </c>
      <c r="B3399" s="6">
        <v>3</v>
      </c>
      <c r="C3399" s="6" t="s">
        <v>61</v>
      </c>
      <c r="D3399" s="6" t="s">
        <v>722</v>
      </c>
      <c r="E3399" s="6" t="s">
        <v>452</v>
      </c>
      <c r="F3399" s="6" t="str">
        <f>IF($M3399="PADD I","PADD 1",IF($M3399="PADD II","PADD 2",IF($M3399="PADD III","PADD 3",IF($M3399="PADD IV","PADD 4",IF($M3399="PADD V","PADD 5","")))))</f>
        <v>PADD 4</v>
      </c>
      <c r="G3399" s="6" t="str">
        <f>IF(AND($H3399="ATMOS DISTILLATION",ISNUMBER(SEARCH("VPS",$I3399))=FALSE,LEFT($I3399,6)&lt;&gt;"VACUUM"),"CDU",IF($H3399="FLUID CAT CRACKING","FCC",IF(OR($H3399="HYDROCRACKING",$H3399="RESID_HYDROCRACKING"),"Hydrocracker",IF($H3399="REFORMING","Reformer",""))))</f>
        <v>CDU</v>
      </c>
      <c r="H3399" s="6" t="s">
        <v>38</v>
      </c>
      <c r="I3399" s="6" t="s">
        <v>1161</v>
      </c>
      <c r="J3399" s="6" t="s">
        <v>345</v>
      </c>
      <c r="K3399" s="10">
        <v>0.792</v>
      </c>
      <c r="L3399" s="10">
        <v>26.4</v>
      </c>
      <c r="M3399" s="6" t="s">
        <v>430</v>
      </c>
    </row>
    <row r="3400" spans="1:13">
      <c r="A3400" s="6">
        <v>2024</v>
      </c>
      <c r="B3400" s="6">
        <v>3</v>
      </c>
      <c r="C3400" s="6" t="s">
        <v>61</v>
      </c>
      <c r="D3400" s="6" t="s">
        <v>434</v>
      </c>
      <c r="E3400" s="6" t="s">
        <v>388</v>
      </c>
      <c r="F3400" s="6" t="str">
        <f>IF($M3400="PADD I","PADD 1",IF($M3400="PADD II","PADD 2",IF($M3400="PADD III","PADD 3",IF($M3400="PADD IV","PADD 4",IF($M3400="PADD V","PADD 5","")))))</f>
        <v>PADD 5</v>
      </c>
      <c r="G3400" s="6">
        <f>IF(AND($H3400="ATMOS DISTILLATION",ISNUMBER(SEARCH("VPS",$I3400))=FALSE,LEFT($I3400,6)&lt;&gt;"VACUUM"),"CDU",IF($H3400="FLUID CAT CRACKING","FCC",IF(OR($H3400="HYDROCRACKING",$H3400="RESID_HYDROCRACKING"),"Hydrocracker",IF($H3400="REFORMING","Reformer",""))))</f>
        <v/>
      </c>
      <c r="H3400" s="6" t="s">
        <v>43</v>
      </c>
      <c r="I3400" s="6" t="s">
        <v>905</v>
      </c>
      <c r="J3400" s="6" t="s">
        <v>345</v>
      </c>
      <c r="K3400" s="10">
        <v>0.75</v>
      </c>
      <c r="L3400" s="10">
        <v>25</v>
      </c>
      <c r="M3400" s="6" t="s">
        <v>386</v>
      </c>
    </row>
    <row r="3401" spans="1:13">
      <c r="A3401" s="6">
        <v>2024</v>
      </c>
      <c r="B3401" s="6">
        <v>3</v>
      </c>
      <c r="C3401" s="6" t="s">
        <v>61</v>
      </c>
      <c r="D3401" s="6" t="s">
        <v>334</v>
      </c>
      <c r="E3401" s="6" t="s">
        <v>552</v>
      </c>
      <c r="F3401" s="6" t="str">
        <f>IF($M3401="PADD I","PADD 1",IF($M3401="PADD II","PADD 2",IF($M3401="PADD III","PADD 3",IF($M3401="PADD IV","PADD 4",IF($M3401="PADD V","PADD 5","")))))</f>
        <v>PADD 3</v>
      </c>
      <c r="G3401" s="6">
        <f>IF(AND($H3401="ATMOS DISTILLATION",ISNUMBER(SEARCH("VPS",$I3401))=FALSE,LEFT($I3401,6)&lt;&gt;"VACUUM"),"CDU",IF($H3401="FLUID CAT CRACKING","FCC",IF(OR($H3401="HYDROCRACKING",$H3401="RESID_HYDROCRACKING"),"Hydrocracker",IF($H3401="REFORMING","Reformer",""))))</f>
        <v/>
      </c>
      <c r="H3401" s="6" t="s">
        <v>378</v>
      </c>
      <c r="I3401" s="6" t="s">
        <v>555</v>
      </c>
      <c r="J3401" s="6" t="s">
        <v>345</v>
      </c>
      <c r="K3401" s="10">
        <v>0.5558999999999999</v>
      </c>
      <c r="L3401" s="10">
        <v>18.53</v>
      </c>
      <c r="M3401" s="6" t="s">
        <v>371</v>
      </c>
    </row>
    <row r="3402" spans="1:13">
      <c r="A3402" s="6">
        <v>2024</v>
      </c>
      <c r="B3402" s="6">
        <v>3</v>
      </c>
      <c r="C3402" s="6" t="s">
        <v>61</v>
      </c>
      <c r="D3402" s="6" t="s">
        <v>329</v>
      </c>
      <c r="E3402" s="6" t="s">
        <v>427</v>
      </c>
      <c r="F3402" s="6" t="str">
        <f>IF($M3402="PADD I","PADD 1",IF($M3402="PADD II","PADD 2",IF($M3402="PADD III","PADD 3",IF($M3402="PADD IV","PADD 4",IF($M3402="PADD V","PADD 5","")))))</f>
        <v>PADD 3</v>
      </c>
      <c r="G3402" s="6" t="str">
        <f>IF(AND($H3402="ATMOS DISTILLATION",ISNUMBER(SEARCH("VPS",$I3402))=FALSE,LEFT($I3402,6)&lt;&gt;"VACUUM"),"CDU",IF($H3402="FLUID CAT CRACKING","FCC",IF(OR($H3402="HYDROCRACKING",$H3402="RESID_HYDROCRACKING"),"Hydrocracker",IF($H3402="REFORMING","Reformer",""))))</f>
        <v>Reformer</v>
      </c>
      <c r="H3402" s="6" t="s">
        <v>421</v>
      </c>
      <c r="I3402" s="6" t="s">
        <v>1162</v>
      </c>
      <c r="J3402" s="6" t="s">
        <v>345</v>
      </c>
      <c r="K3402" s="10">
        <v>0.525</v>
      </c>
      <c r="L3402" s="10">
        <v>17.5</v>
      </c>
      <c r="M3402" s="6" t="s">
        <v>371</v>
      </c>
    </row>
    <row r="3403" spans="1:13">
      <c r="A3403" s="6">
        <v>2024</v>
      </c>
      <c r="B3403" s="6">
        <v>3</v>
      </c>
      <c r="C3403" s="6" t="s">
        <v>61</v>
      </c>
      <c r="D3403" s="6" t="s">
        <v>799</v>
      </c>
      <c r="E3403" s="6" t="s">
        <v>391</v>
      </c>
      <c r="F3403" s="6" t="str">
        <f>IF($M3403="PADD I","PADD 1",IF($M3403="PADD II","PADD 2",IF($M3403="PADD III","PADD 3",IF($M3403="PADD IV","PADD 4",IF($M3403="PADD V","PADD 5","")))))</f>
        <v>PADD 4</v>
      </c>
      <c r="G3403" s="6" t="str">
        <f>IF(AND($H3403="ATMOS DISTILLATION",ISNUMBER(SEARCH("VPS",$I3403))=FALSE,LEFT($I3403,6)&lt;&gt;"VACUUM"),"CDU",IF($H3403="FLUID CAT CRACKING","FCC",IF(OR($H3403="HYDROCRACKING",$H3403="RESID_HYDROCRACKING"),"Hydrocracker",IF($H3403="REFORMING","Reformer",""))))</f>
        <v>FCC</v>
      </c>
      <c r="H3403" s="6" t="s">
        <v>376</v>
      </c>
      <c r="I3403" s="6" t="s">
        <v>800</v>
      </c>
      <c r="J3403" s="6" t="s">
        <v>345</v>
      </c>
      <c r="K3403" s="10">
        <v>0.465</v>
      </c>
      <c r="L3403" s="10">
        <v>15.5</v>
      </c>
      <c r="M3403" s="6" t="s">
        <v>430</v>
      </c>
    </row>
    <row r="3404" spans="1:13">
      <c r="A3404" s="6">
        <v>2024</v>
      </c>
      <c r="B3404" s="6">
        <v>3</v>
      </c>
      <c r="C3404" s="6" t="s">
        <v>61</v>
      </c>
      <c r="D3404" s="6" t="s">
        <v>839</v>
      </c>
      <c r="E3404" s="6" t="s">
        <v>840</v>
      </c>
      <c r="F3404" s="6" t="str">
        <f>IF($M3404="PADD I","PADD 1",IF($M3404="PADD II","PADD 2",IF($M3404="PADD III","PADD 3",IF($M3404="PADD IV","PADD 4",IF($M3404="PADD V","PADD 5","")))))</f>
        <v>PADD 1</v>
      </c>
      <c r="G3404" s="6">
        <f>IF(AND($H3404="ATMOS DISTILLATION",ISNUMBER(SEARCH("VPS",$I3404))=FALSE,LEFT($I3404,6)&lt;&gt;"VACUUM"),"CDU",IF($H3404="FLUID CAT CRACKING","FCC",IF(OR($H3404="HYDROCRACKING",$H3404="RESID_HYDROCRACKING"),"Hydrocracker",IF($H3404="REFORMING","Reformer",""))))</f>
        <v/>
      </c>
      <c r="H3404" s="6" t="s">
        <v>460</v>
      </c>
      <c r="I3404" s="6" t="s">
        <v>461</v>
      </c>
      <c r="J3404" s="6" t="s">
        <v>345</v>
      </c>
      <c r="K3404" s="10">
        <v>0.432</v>
      </c>
      <c r="L3404" s="10">
        <v>1.35</v>
      </c>
      <c r="M3404" s="6" t="s">
        <v>413</v>
      </c>
    </row>
    <row r="3405" spans="1:13">
      <c r="A3405" s="6">
        <v>2024</v>
      </c>
      <c r="B3405" s="6">
        <v>3</v>
      </c>
      <c r="C3405" s="6" t="s">
        <v>61</v>
      </c>
      <c r="D3405" s="6" t="s">
        <v>739</v>
      </c>
      <c r="E3405" s="6" t="s">
        <v>405</v>
      </c>
      <c r="F3405" s="6" t="str">
        <f>IF($M3405="PADD I","PADD 1",IF($M3405="PADD II","PADD 2",IF($M3405="PADD III","PADD 3",IF($M3405="PADD IV","PADD 4",IF($M3405="PADD V","PADD 5","")))))</f>
        <v>PADD 2</v>
      </c>
      <c r="G3405" s="6" t="str">
        <f>IF(AND($H3405="ATMOS DISTILLATION",ISNUMBER(SEARCH("VPS",$I3405))=FALSE,LEFT($I3405,6)&lt;&gt;"VACUUM"),"CDU",IF($H3405="FLUID CAT CRACKING","FCC",IF(OR($H3405="HYDROCRACKING",$H3405="RESID_HYDROCRACKING"),"Hydrocracker",IF($H3405="REFORMING","Reformer",""))))</f>
        <v>Hydrocracker</v>
      </c>
      <c r="H3405" s="6" t="s">
        <v>444</v>
      </c>
      <c r="I3405" s="6" t="s">
        <v>795</v>
      </c>
      <c r="J3405" s="6" t="s">
        <v>345</v>
      </c>
      <c r="K3405" s="10">
        <v>0.42</v>
      </c>
      <c r="L3405" s="10">
        <v>14</v>
      </c>
      <c r="M3405" s="6" t="s">
        <v>375</v>
      </c>
    </row>
    <row r="3406" spans="1:13">
      <c r="A3406" s="6">
        <v>2024</v>
      </c>
      <c r="B3406" s="6">
        <v>3</v>
      </c>
      <c r="C3406" s="6" t="s">
        <v>61</v>
      </c>
      <c r="D3406" s="6" t="s">
        <v>799</v>
      </c>
      <c r="E3406" s="6" t="s">
        <v>391</v>
      </c>
      <c r="F3406" s="6" t="str">
        <f>IF($M3406="PADD I","PADD 1",IF($M3406="PADD II","PADD 2",IF($M3406="PADD III","PADD 3",IF($M3406="PADD IV","PADD 4",IF($M3406="PADD V","PADD 5","")))))</f>
        <v>PADD 4</v>
      </c>
      <c r="G3406" s="6">
        <f>IF(AND($H3406="ATMOS DISTILLATION",ISNUMBER(SEARCH("VPS",$I3406))=FALSE,LEFT($I3406,6)&lt;&gt;"VACUUM"),"CDU",IF($H3406="FLUID CAT CRACKING","FCC",IF(OR($H3406="HYDROCRACKING",$H3406="RESID_HYDROCRACKING"),"Hydrocracker",IF($H3406="REFORMING","Reformer",""))))</f>
        <v/>
      </c>
      <c r="H3406" s="6" t="s">
        <v>43</v>
      </c>
      <c r="I3406" s="6" t="s">
        <v>1064</v>
      </c>
      <c r="J3406" s="6" t="s">
        <v>345</v>
      </c>
      <c r="K3406" s="10">
        <v>0.399</v>
      </c>
      <c r="L3406" s="10">
        <v>13.3</v>
      </c>
      <c r="M3406" s="6" t="s">
        <v>430</v>
      </c>
    </row>
    <row r="3407" spans="1:13">
      <c r="A3407" s="6">
        <v>2024</v>
      </c>
      <c r="B3407" s="6">
        <v>3</v>
      </c>
      <c r="C3407" s="6" t="s">
        <v>61</v>
      </c>
      <c r="D3407" s="6" t="s">
        <v>434</v>
      </c>
      <c r="E3407" s="6" t="s">
        <v>388</v>
      </c>
      <c r="F3407" s="6" t="str">
        <f>IF($M3407="PADD I","PADD 1",IF($M3407="PADD II","PADD 2",IF($M3407="PADD III","PADD 3",IF($M3407="PADD IV","PADD 4",IF($M3407="PADD V","PADD 5","")))))</f>
        <v>PADD 5</v>
      </c>
      <c r="G3407" s="6" t="str">
        <f>IF(AND($H3407="ATMOS DISTILLATION",ISNUMBER(SEARCH("VPS",$I3407))=FALSE,LEFT($I3407,6)&lt;&gt;"VACUUM"),"CDU",IF($H3407="FLUID CAT CRACKING","FCC",IF(OR($H3407="HYDROCRACKING",$H3407="RESID_HYDROCRACKING"),"Hydrocracker",IF($H3407="REFORMING","Reformer",""))))</f>
        <v>Reformer</v>
      </c>
      <c r="H3407" s="6" t="s">
        <v>421</v>
      </c>
      <c r="I3407" s="6" t="s">
        <v>671</v>
      </c>
      <c r="J3407" s="6" t="s">
        <v>345</v>
      </c>
      <c r="K3407" s="10">
        <v>0.39</v>
      </c>
      <c r="L3407" s="10">
        <v>13</v>
      </c>
      <c r="M3407" s="6" t="s">
        <v>386</v>
      </c>
    </row>
    <row r="3408" spans="1:13">
      <c r="A3408" s="6">
        <v>2024</v>
      </c>
      <c r="B3408" s="6">
        <v>3</v>
      </c>
      <c r="C3408" s="6" t="s">
        <v>61</v>
      </c>
      <c r="D3408" s="6" t="s">
        <v>934</v>
      </c>
      <c r="E3408" s="6" t="s">
        <v>388</v>
      </c>
      <c r="F3408" s="6" t="str">
        <f>IF($M3408="PADD I","PADD 1",IF($M3408="PADD II","PADD 2",IF($M3408="PADD III","PADD 3",IF($M3408="PADD IV","PADD 4",IF($M3408="PADD V","PADD 5","")))))</f>
        <v>PADD 3</v>
      </c>
      <c r="G3408" s="6">
        <f>IF(AND($H3408="ATMOS DISTILLATION",ISNUMBER(SEARCH("VPS",$I3408))=FALSE,LEFT($I3408,6)&lt;&gt;"VACUUM"),"CDU",IF($H3408="FLUID CAT CRACKING","FCC",IF(OR($H3408="HYDROCRACKING",$H3408="RESID_HYDROCRACKING"),"Hydrocracker",IF($H3408="REFORMING","Reformer",""))))</f>
        <v/>
      </c>
      <c r="H3408" s="6" t="s">
        <v>568</v>
      </c>
      <c r="I3408" s="6" t="s">
        <v>976</v>
      </c>
      <c r="J3408" s="6" t="s">
        <v>349</v>
      </c>
      <c r="K3408" s="10">
        <v>0.325</v>
      </c>
      <c r="L3408" s="10">
        <v>2.5</v>
      </c>
      <c r="M3408" s="6" t="s">
        <v>371</v>
      </c>
    </row>
    <row r="3409" spans="1:13">
      <c r="A3409" s="6">
        <v>2024</v>
      </c>
      <c r="B3409" s="6">
        <v>3</v>
      </c>
      <c r="C3409" s="6" t="s">
        <v>61</v>
      </c>
      <c r="D3409" s="6" t="s">
        <v>799</v>
      </c>
      <c r="E3409" s="6" t="s">
        <v>391</v>
      </c>
      <c r="F3409" s="6" t="str">
        <f>IF($M3409="PADD I","PADD 1",IF($M3409="PADD II","PADD 2",IF($M3409="PADD III","PADD 3",IF($M3409="PADD IV","PADD 4",IF($M3409="PADD V","PADD 5","")))))</f>
        <v>PADD 4</v>
      </c>
      <c r="G3409" s="6">
        <f>IF(AND($H3409="ATMOS DISTILLATION",ISNUMBER(SEARCH("VPS",$I3409))=FALSE,LEFT($I3409,6)&lt;&gt;"VACUUM"),"CDU",IF($H3409="FLUID CAT CRACKING","FCC",IF(OR($H3409="HYDROCRACKING",$H3409="RESID_HYDROCRACKING"),"Hydrocracker",IF($H3409="REFORMING","Reformer",""))))</f>
        <v/>
      </c>
      <c r="H3409" s="6" t="s">
        <v>637</v>
      </c>
      <c r="I3409" s="6" t="s">
        <v>908</v>
      </c>
      <c r="J3409" s="6" t="s">
        <v>345</v>
      </c>
      <c r="K3409" s="10">
        <v>0.318</v>
      </c>
      <c r="L3409" s="10">
        <v>5.3</v>
      </c>
      <c r="M3409" s="6" t="s">
        <v>430</v>
      </c>
    </row>
    <row r="3410" spans="1:13">
      <c r="A3410" s="6">
        <v>2024</v>
      </c>
      <c r="B3410" s="6">
        <v>3</v>
      </c>
      <c r="C3410" s="6" t="s">
        <v>61</v>
      </c>
      <c r="D3410" s="6" t="s">
        <v>807</v>
      </c>
      <c r="E3410" s="6" t="s">
        <v>779</v>
      </c>
      <c r="F3410" s="6" t="str">
        <f>IF($M3410="PADD I","PADD 1",IF($M3410="PADD II","PADD 2",IF($M3410="PADD III","PADD 3",IF($M3410="PADD IV","PADD 4",IF($M3410="PADD V","PADD 5","")))))</f>
        <v>PADD 3</v>
      </c>
      <c r="G3410" s="6">
        <f>IF(AND($H3410="ATMOS DISTILLATION",ISNUMBER(SEARCH("VPS",$I3410))=FALSE,LEFT($I3410,6)&lt;&gt;"VACUUM"),"CDU",IF($H3410="FLUID CAT CRACKING","FCC",IF(OR($H3410="HYDROCRACKING",$H3410="RESID_HYDROCRACKING"),"Hydrocracker",IF($H3410="REFORMING","Reformer",""))))</f>
        <v/>
      </c>
      <c r="H3410" s="6" t="s">
        <v>1108</v>
      </c>
      <c r="I3410" s="6" t="s">
        <v>1108</v>
      </c>
      <c r="J3410" s="6" t="s">
        <v>349</v>
      </c>
      <c r="K3410" s="10">
        <v>0.3</v>
      </c>
      <c r="L3410" s="10">
        <v>3</v>
      </c>
      <c r="M3410" s="6" t="s">
        <v>371</v>
      </c>
    </row>
    <row r="3411" spans="1:13">
      <c r="A3411" s="6">
        <v>2024</v>
      </c>
      <c r="B3411" s="6">
        <v>3</v>
      </c>
      <c r="C3411" s="6" t="s">
        <v>61</v>
      </c>
      <c r="D3411" s="6" t="s">
        <v>799</v>
      </c>
      <c r="E3411" s="6" t="s">
        <v>391</v>
      </c>
      <c r="F3411" s="6" t="str">
        <f>IF($M3411="PADD I","PADD 1",IF($M3411="PADD II","PADD 2",IF($M3411="PADD III","PADD 3",IF($M3411="PADD IV","PADD 4",IF($M3411="PADD V","PADD 5","")))))</f>
        <v>PADD 4</v>
      </c>
      <c r="G3411" s="6">
        <f>IF(AND($H3411="ATMOS DISTILLATION",ISNUMBER(SEARCH("VPS",$I3411))=FALSE,LEFT($I3411,6)&lt;&gt;"VACUUM"),"CDU",IF($H3411="FLUID CAT CRACKING","FCC",IF(OR($H3411="HYDROCRACKING",$H3411="RESID_HYDROCRACKING"),"Hydrocracker",IF($H3411="REFORMING","Reformer",""))))</f>
        <v/>
      </c>
      <c r="H3411" s="6" t="s">
        <v>460</v>
      </c>
      <c r="I3411" s="6" t="s">
        <v>908</v>
      </c>
      <c r="J3411" s="6" t="s">
        <v>345</v>
      </c>
      <c r="K3411" s="10">
        <v>0.168</v>
      </c>
      <c r="L3411" s="10">
        <v>5.6</v>
      </c>
      <c r="M3411" s="6" t="s">
        <v>430</v>
      </c>
    </row>
    <row r="3412" spans="1:13">
      <c r="A3412" s="6">
        <v>2024</v>
      </c>
      <c r="B3412" s="6">
        <v>4</v>
      </c>
      <c r="C3412" s="6" t="s">
        <v>62</v>
      </c>
      <c r="D3412" s="6" t="s">
        <v>321</v>
      </c>
      <c r="E3412" s="6" t="s">
        <v>381</v>
      </c>
      <c r="F3412" s="6" t="str">
        <f>IF($M3412="PADD I","PADD 1",IF($M3412="PADD II","PADD 2",IF($M3412="PADD III","PADD 3",IF($M3412="PADD IV","PADD 4",IF($M3412="PADD V","PADD 5","")))))</f>
        <v>PADD 2</v>
      </c>
      <c r="G3412" s="6" t="str">
        <f>IF(AND($H3412="ATMOS DISTILLATION",ISNUMBER(SEARCH("VPS",$I3412))=FALSE,LEFT($I3412,6)&lt;&gt;"VACUUM"),"CDU",IF($H3412="FLUID CAT CRACKING","FCC",IF(OR($H3412="HYDROCRACKING",$H3412="RESID_HYDROCRACKING"),"Hydrocracker",IF($H3412="REFORMING","Reformer",""))))</f>
        <v>CDU</v>
      </c>
      <c r="H3412" s="6" t="s">
        <v>38</v>
      </c>
      <c r="I3412" s="6" t="s">
        <v>81</v>
      </c>
      <c r="J3412" s="6" t="s">
        <v>349</v>
      </c>
      <c r="K3412" s="10">
        <v>207.5</v>
      </c>
      <c r="L3412" s="10">
        <v>250</v>
      </c>
      <c r="M3412" s="6" t="s">
        <v>375</v>
      </c>
    </row>
    <row r="3413" spans="1:13">
      <c r="A3413" s="6">
        <v>2024</v>
      </c>
      <c r="B3413" s="6">
        <v>4</v>
      </c>
      <c r="C3413" s="6" t="s">
        <v>62</v>
      </c>
      <c r="D3413" s="6" t="s">
        <v>321</v>
      </c>
      <c r="E3413" s="6" t="s">
        <v>381</v>
      </c>
      <c r="F3413" s="6" t="str">
        <f>IF($M3413="PADD I","PADD 1",IF($M3413="PADD II","PADD 2",IF($M3413="PADD III","PADD 3",IF($M3413="PADD IV","PADD 4",IF($M3413="PADD V","PADD 5","")))))</f>
        <v>PADD 2</v>
      </c>
      <c r="G3413" s="6">
        <f>IF(AND($H3413="ATMOS DISTILLATION",ISNUMBER(SEARCH("VPS",$I3413))=FALSE,LEFT($I3413,6)&lt;&gt;"VACUUM"),"CDU",IF($H3413="FLUID CAT CRACKING","FCC",IF(OR($H3413="HYDROCRACKING",$H3413="RESID_HYDROCRACKING"),"Hydrocracker",IF($H3413="REFORMING","Reformer",""))))</f>
        <v/>
      </c>
      <c r="H3413" s="6" t="s">
        <v>378</v>
      </c>
      <c r="I3413" s="6" t="s">
        <v>431</v>
      </c>
      <c r="J3413" s="6" t="s">
        <v>349</v>
      </c>
      <c r="K3413" s="10">
        <v>127</v>
      </c>
      <c r="L3413" s="10">
        <v>127</v>
      </c>
      <c r="M3413" s="6" t="s">
        <v>375</v>
      </c>
    </row>
    <row r="3414" spans="1:13">
      <c r="A3414" s="6">
        <v>2024</v>
      </c>
      <c r="B3414" s="6">
        <v>4</v>
      </c>
      <c r="C3414" s="6" t="s">
        <v>62</v>
      </c>
      <c r="D3414" s="6" t="s">
        <v>53</v>
      </c>
      <c r="E3414" s="6" t="s">
        <v>543</v>
      </c>
      <c r="F3414" s="6" t="str">
        <f>IF($M3414="PADD I","PADD 1",IF($M3414="PADD II","PADD 2",IF($M3414="PADD III","PADD 3",IF($M3414="PADD IV","PADD 4",IF($M3414="PADD V","PADD 5","")))))</f>
        <v>PADD 5</v>
      </c>
      <c r="G3414" s="6" t="str">
        <f>IF(AND($H3414="ATMOS DISTILLATION",ISNUMBER(SEARCH("VPS",$I3414))=FALSE,LEFT($I3414,6)&lt;&gt;"VACUUM"),"CDU",IF($H3414="FLUID CAT CRACKING","FCC",IF(OR($H3414="HYDROCRACKING",$H3414="RESID_HYDROCRACKING"),"Hydrocracker",IF($H3414="REFORMING","Reformer",""))))</f>
        <v>CDU</v>
      </c>
      <c r="H3414" s="6" t="s">
        <v>38</v>
      </c>
      <c r="I3414" s="6" t="s">
        <v>81</v>
      </c>
      <c r="J3414" s="6" t="s">
        <v>349</v>
      </c>
      <c r="K3414" s="10">
        <v>107.5</v>
      </c>
      <c r="L3414" s="10">
        <v>250</v>
      </c>
      <c r="M3414" s="6" t="s">
        <v>386</v>
      </c>
    </row>
    <row r="3415" spans="1:13">
      <c r="A3415" s="6">
        <v>2024</v>
      </c>
      <c r="B3415" s="6">
        <v>4</v>
      </c>
      <c r="C3415" s="6" t="s">
        <v>62</v>
      </c>
      <c r="D3415" s="6" t="s">
        <v>390</v>
      </c>
      <c r="E3415" s="6" t="s">
        <v>391</v>
      </c>
      <c r="F3415" s="6" t="str">
        <f>IF($M3415="PADD I","PADD 1",IF($M3415="PADD II","PADD 2",IF($M3415="PADD III","PADD 3",IF($M3415="PADD IV","PADD 4",IF($M3415="PADD V","PADD 5","")))))</f>
        <v>PADD 3</v>
      </c>
      <c r="G3415" s="6" t="str">
        <f>IF(AND($H3415="ATMOS DISTILLATION",ISNUMBER(SEARCH("VPS",$I3415))=FALSE,LEFT($I3415,6)&lt;&gt;"VACUUM"),"CDU",IF($H3415="FLUID CAT CRACKING","FCC",IF(OR($H3415="HYDROCRACKING",$H3415="RESID_HYDROCRACKING"),"Hydrocracker",IF($H3415="REFORMING","Reformer",""))))</f>
        <v>CDU</v>
      </c>
      <c r="H3415" s="6" t="s">
        <v>38</v>
      </c>
      <c r="I3415" s="6" t="s">
        <v>392</v>
      </c>
      <c r="J3415" s="6" t="s">
        <v>349</v>
      </c>
      <c r="K3415" s="10">
        <v>99.75</v>
      </c>
      <c r="L3415" s="10">
        <v>175</v>
      </c>
      <c r="M3415" s="6" t="s">
        <v>371</v>
      </c>
    </row>
    <row r="3416" spans="1:13">
      <c r="A3416" s="6">
        <v>2024</v>
      </c>
      <c r="B3416" s="6">
        <v>4</v>
      </c>
      <c r="C3416" s="6" t="s">
        <v>62</v>
      </c>
      <c r="D3416" s="6" t="s">
        <v>321</v>
      </c>
      <c r="E3416" s="6" t="s">
        <v>381</v>
      </c>
      <c r="F3416" s="6" t="str">
        <f>IF($M3416="PADD I","PADD 1",IF($M3416="PADD II","PADD 2",IF($M3416="PADD III","PADD 3",IF($M3416="PADD IV","PADD 4",IF($M3416="PADD V","PADD 5","")))))</f>
        <v>PADD 2</v>
      </c>
      <c r="G3416" s="6" t="str">
        <f>IF(AND($H3416="ATMOS DISTILLATION",ISNUMBER(SEARCH("VPS",$I3416))=FALSE,LEFT($I3416,6)&lt;&gt;"VACUUM"),"CDU",IF($H3416="FLUID CAT CRACKING","FCC",IF(OR($H3416="HYDROCRACKING",$H3416="RESID_HYDROCRACKING"),"Hydrocracker",IF($H3416="REFORMING","Reformer",""))))</f>
        <v>FCC</v>
      </c>
      <c r="H3416" s="6" t="s">
        <v>376</v>
      </c>
      <c r="I3416" s="6" t="s">
        <v>105</v>
      </c>
      <c r="J3416" s="6" t="s">
        <v>349</v>
      </c>
      <c r="K3416" s="10">
        <v>98</v>
      </c>
      <c r="L3416" s="10">
        <v>98</v>
      </c>
      <c r="M3416" s="6" t="s">
        <v>375</v>
      </c>
    </row>
    <row r="3417" spans="1:13">
      <c r="A3417" s="6">
        <v>2024</v>
      </c>
      <c r="B3417" s="6">
        <v>4</v>
      </c>
      <c r="C3417" s="6" t="s">
        <v>62</v>
      </c>
      <c r="D3417" s="6" t="s">
        <v>51</v>
      </c>
      <c r="E3417" s="6" t="s">
        <v>391</v>
      </c>
      <c r="F3417" s="6" t="str">
        <f>IF($M3417="PADD I","PADD 1",IF($M3417="PADD II","PADD 2",IF($M3417="PADD III","PADD 3",IF($M3417="PADD IV","PADD 4",IF($M3417="PADD V","PADD 5","")))))</f>
        <v>PADD 5</v>
      </c>
      <c r="G3417" s="6" t="str">
        <f>IF(AND($H3417="ATMOS DISTILLATION",ISNUMBER(SEARCH("VPS",$I3417))=FALSE,LEFT($I3417,6)&lt;&gt;"VACUUM"),"CDU",IF($H3417="FLUID CAT CRACKING","FCC",IF(OR($H3417="HYDROCRACKING",$H3417="RESID_HYDROCRACKING"),"Hydrocracker",IF($H3417="REFORMING","Reformer",""))))</f>
        <v>CDU</v>
      </c>
      <c r="H3417" s="6" t="s">
        <v>38</v>
      </c>
      <c r="I3417" s="6" t="s">
        <v>1163</v>
      </c>
      <c r="J3417" s="6" t="s">
        <v>349</v>
      </c>
      <c r="K3417" s="10">
        <v>90.09999999999999</v>
      </c>
      <c r="L3417" s="10">
        <v>170</v>
      </c>
      <c r="M3417" s="6" t="s">
        <v>386</v>
      </c>
    </row>
    <row r="3418" spans="1:13">
      <c r="A3418" s="6">
        <v>2024</v>
      </c>
      <c r="B3418" s="6">
        <v>4</v>
      </c>
      <c r="C3418" s="6" t="s">
        <v>62</v>
      </c>
      <c r="D3418" s="6" t="s">
        <v>321</v>
      </c>
      <c r="E3418" s="6" t="s">
        <v>381</v>
      </c>
      <c r="F3418" s="6" t="str">
        <f>IF($M3418="PADD I","PADD 1",IF($M3418="PADD II","PADD 2",IF($M3418="PADD III","PADD 3",IF($M3418="PADD IV","PADD 4",IF($M3418="PADD V","PADD 5","")))))</f>
        <v>PADD 2</v>
      </c>
      <c r="G3418" s="6">
        <f>IF(AND($H3418="ATMOS DISTILLATION",ISNUMBER(SEARCH("VPS",$I3418))=FALSE,LEFT($I3418,6)&lt;&gt;"VACUUM"),"CDU",IF($H3418="FLUID CAT CRACKING","FCC",IF(OR($H3418="HYDROCRACKING",$H3418="RESID_HYDROCRACKING"),"Hydrocracker",IF($H3418="REFORMING","Reformer",""))))</f>
        <v/>
      </c>
      <c r="H3418" s="6" t="s">
        <v>43</v>
      </c>
      <c r="I3418" s="6" t="s">
        <v>1164</v>
      </c>
      <c r="J3418" s="6" t="s">
        <v>349</v>
      </c>
      <c r="K3418" s="10">
        <v>90</v>
      </c>
      <c r="L3418" s="10">
        <v>90</v>
      </c>
      <c r="M3418" s="6" t="s">
        <v>375</v>
      </c>
    </row>
    <row r="3419" spans="1:13">
      <c r="A3419" s="6">
        <v>2024</v>
      </c>
      <c r="B3419" s="6">
        <v>4</v>
      </c>
      <c r="C3419" s="6" t="s">
        <v>62</v>
      </c>
      <c r="D3419" s="6" t="s">
        <v>321</v>
      </c>
      <c r="E3419" s="6" t="s">
        <v>381</v>
      </c>
      <c r="F3419" s="6" t="str">
        <f>IF($M3419="PADD I","PADD 1",IF($M3419="PADD II","PADD 2",IF($M3419="PADD III","PADD 3",IF($M3419="PADD IV","PADD 4",IF($M3419="PADD V","PADD 5","")))))</f>
        <v>PADD 2</v>
      </c>
      <c r="G3419" s="6">
        <f>IF(AND($H3419="ATMOS DISTILLATION",ISNUMBER(SEARCH("VPS",$I3419))=FALSE,LEFT($I3419,6)&lt;&gt;"VACUUM"),"CDU",IF($H3419="FLUID CAT CRACKING","FCC",IF(OR($H3419="HYDROCRACKING",$H3419="RESID_HYDROCRACKING"),"Hydrocracker",IF($H3419="REFORMING","Reformer",""))))</f>
        <v/>
      </c>
      <c r="H3419" s="6" t="s">
        <v>43</v>
      </c>
      <c r="I3419" s="6" t="s">
        <v>1165</v>
      </c>
      <c r="J3419" s="6" t="s">
        <v>349</v>
      </c>
      <c r="K3419" s="10">
        <v>80</v>
      </c>
      <c r="L3419" s="10">
        <v>80</v>
      </c>
      <c r="M3419" s="6" t="s">
        <v>375</v>
      </c>
    </row>
    <row r="3420" spans="1:13">
      <c r="A3420" s="6">
        <v>2024</v>
      </c>
      <c r="B3420" s="6">
        <v>4</v>
      </c>
      <c r="C3420" s="6" t="s">
        <v>62</v>
      </c>
      <c r="D3420" s="6" t="s">
        <v>324</v>
      </c>
      <c r="E3420" s="6" t="s">
        <v>388</v>
      </c>
      <c r="F3420" s="6" t="str">
        <f>IF($M3420="PADD I","PADD 1",IF($M3420="PADD II","PADD 2",IF($M3420="PADD III","PADD 3",IF($M3420="PADD IV","PADD 4",IF($M3420="PADD V","PADD 5","")))))</f>
        <v>PADD 3</v>
      </c>
      <c r="G3420" s="6">
        <f>IF(AND($H3420="ATMOS DISTILLATION",ISNUMBER(SEARCH("VPS",$I3420))=FALSE,LEFT($I3420,6)&lt;&gt;"VACUUM"),"CDU",IF($H3420="FLUID CAT CRACKING","FCC",IF(OR($H3420="HYDROCRACKING",$H3420="RESID_HYDROCRACKING"),"Hydrocracker",IF($H3420="REFORMING","Reformer",""))))</f>
        <v/>
      </c>
      <c r="H3420" s="6" t="s">
        <v>43</v>
      </c>
      <c r="I3420" s="6" t="s">
        <v>682</v>
      </c>
      <c r="J3420" s="6" t="s">
        <v>349</v>
      </c>
      <c r="K3420" s="10">
        <v>74.2</v>
      </c>
      <c r="L3420" s="10">
        <v>106</v>
      </c>
      <c r="M3420" s="6" t="s">
        <v>371</v>
      </c>
    </row>
    <row r="3421" spans="1:13">
      <c r="A3421" s="6">
        <v>2024</v>
      </c>
      <c r="B3421" s="6">
        <v>4</v>
      </c>
      <c r="C3421" s="6" t="s">
        <v>62</v>
      </c>
      <c r="D3421" s="6" t="s">
        <v>774</v>
      </c>
      <c r="E3421" s="6" t="s">
        <v>775</v>
      </c>
      <c r="F3421" s="6" t="str">
        <f>IF($M3421="PADD I","PADD 1",IF($M3421="PADD II","PADD 2",IF($M3421="PADD III","PADD 3",IF($M3421="PADD IV","PADD 4",IF($M3421="PADD V","PADD 5","")))))</f>
        <v>PADD 1</v>
      </c>
      <c r="G3421" s="6" t="str">
        <f>IF(AND($H3421="ATMOS DISTILLATION",ISNUMBER(SEARCH("VPS",$I3421))=FALSE,LEFT($I3421,6)&lt;&gt;"VACUUM"),"CDU",IF($H3421="FLUID CAT CRACKING","FCC",IF(OR($H3421="HYDROCRACKING",$H3421="RESID_HYDROCRACKING"),"Hydrocracker",IF($H3421="REFORMING","Reformer",""))))</f>
        <v>FCC</v>
      </c>
      <c r="H3421" s="6" t="s">
        <v>376</v>
      </c>
      <c r="I3421" s="6" t="s">
        <v>105</v>
      </c>
      <c r="J3421" s="6" t="s">
        <v>349</v>
      </c>
      <c r="K3421" s="10">
        <v>69.59999999999999</v>
      </c>
      <c r="L3421" s="10">
        <v>80</v>
      </c>
      <c r="M3421" s="6" t="s">
        <v>413</v>
      </c>
    </row>
    <row r="3422" spans="1:13">
      <c r="A3422" s="6">
        <v>2024</v>
      </c>
      <c r="B3422" s="6">
        <v>4</v>
      </c>
      <c r="C3422" s="6" t="s">
        <v>62</v>
      </c>
      <c r="D3422" s="6" t="s">
        <v>50</v>
      </c>
      <c r="E3422" s="6" t="s">
        <v>381</v>
      </c>
      <c r="F3422" s="6" t="str">
        <f>IF($M3422="PADD I","PADD 1",IF($M3422="PADD II","PADD 2",IF($M3422="PADD III","PADD 3",IF($M3422="PADD IV","PADD 4",IF($M3422="PADD V","PADD 5","")))))</f>
        <v>PADD 3</v>
      </c>
      <c r="G3422" s="6" t="str">
        <f>IF(AND($H3422="ATMOS DISTILLATION",ISNUMBER(SEARCH("VPS",$I3422))=FALSE,LEFT($I3422,6)&lt;&gt;"VACUUM"),"CDU",IF($H3422="FLUID CAT CRACKING","FCC",IF(OR($H3422="HYDROCRACKING",$H3422="RESID_HYDROCRACKING"),"Hydrocracker",IF($H3422="REFORMING","Reformer",""))))</f>
        <v>CDU</v>
      </c>
      <c r="H3422" s="6" t="s">
        <v>38</v>
      </c>
      <c r="I3422" s="6" t="s">
        <v>769</v>
      </c>
      <c r="J3422" s="6" t="s">
        <v>349</v>
      </c>
      <c r="K3422" s="10">
        <v>67.51000000000001</v>
      </c>
      <c r="L3422" s="10">
        <v>157</v>
      </c>
      <c r="M3422" s="6" t="s">
        <v>371</v>
      </c>
    </row>
    <row r="3423" spans="1:13">
      <c r="A3423" s="6">
        <v>2024</v>
      </c>
      <c r="B3423" s="6">
        <v>4</v>
      </c>
      <c r="C3423" s="6" t="s">
        <v>62</v>
      </c>
      <c r="D3423" s="6" t="s">
        <v>395</v>
      </c>
      <c r="E3423" s="6" t="s">
        <v>396</v>
      </c>
      <c r="F3423" s="6" t="str">
        <f>IF($M3423="PADD I","PADD 1",IF($M3423="PADD II","PADD 2",IF($M3423="PADD III","PADD 3",IF($M3423="PADD IV","PADD 4",IF($M3423="PADD V","PADD 5","")))))</f>
        <v>PADD 3</v>
      </c>
      <c r="G3423" s="6" t="str">
        <f>IF(AND($H3423="ATMOS DISTILLATION",ISNUMBER(SEARCH("VPS",$I3423))=FALSE,LEFT($I3423,6)&lt;&gt;"VACUUM"),"CDU",IF($H3423="FLUID CAT CRACKING","FCC",IF(OR($H3423="HYDROCRACKING",$H3423="RESID_HYDROCRACKING"),"Hydrocracker",IF($H3423="REFORMING","Reformer",""))))</f>
        <v>Hydrocracker</v>
      </c>
      <c r="H3423" s="6" t="s">
        <v>444</v>
      </c>
      <c r="I3423" s="6" t="s">
        <v>512</v>
      </c>
      <c r="J3423" s="6" t="s">
        <v>345</v>
      </c>
      <c r="K3423" s="10">
        <v>67</v>
      </c>
      <c r="L3423" s="10">
        <v>67</v>
      </c>
      <c r="M3423" s="6" t="s">
        <v>371</v>
      </c>
    </row>
    <row r="3424" spans="1:13">
      <c r="A3424" s="6">
        <v>2024</v>
      </c>
      <c r="B3424" s="6">
        <v>4</v>
      </c>
      <c r="C3424" s="6" t="s">
        <v>62</v>
      </c>
      <c r="D3424" s="6" t="s">
        <v>408</v>
      </c>
      <c r="E3424" s="6" t="s">
        <v>409</v>
      </c>
      <c r="F3424" s="6" t="str">
        <f>IF($M3424="PADD I","PADD 1",IF($M3424="PADD II","PADD 2",IF($M3424="PADD III","PADD 3",IF($M3424="PADD IV","PADD 4",IF($M3424="PADD V","PADD 5","")))))</f>
        <v>PADD 3</v>
      </c>
      <c r="G3424" s="6" t="str">
        <f>IF(AND($H3424="ATMOS DISTILLATION",ISNUMBER(SEARCH("VPS",$I3424))=FALSE,LEFT($I3424,6)&lt;&gt;"VACUUM"),"CDU",IF($H3424="FLUID CAT CRACKING","FCC",IF(OR($H3424="HYDROCRACKING",$H3424="RESID_HYDROCRACKING"),"Hydrocracker",IF($H3424="REFORMING","Reformer",""))))</f>
        <v>CDU</v>
      </c>
      <c r="H3424" s="6" t="s">
        <v>38</v>
      </c>
      <c r="I3424" s="6" t="s">
        <v>410</v>
      </c>
      <c r="J3424" s="6" t="s">
        <v>345</v>
      </c>
      <c r="K3424" s="10">
        <v>64</v>
      </c>
      <c r="L3424" s="10">
        <v>80</v>
      </c>
      <c r="M3424" s="6" t="s">
        <v>371</v>
      </c>
    </row>
    <row r="3425" spans="1:13">
      <c r="A3425" s="6">
        <v>2024</v>
      </c>
      <c r="B3425" s="6">
        <v>4</v>
      </c>
      <c r="C3425" s="6" t="s">
        <v>62</v>
      </c>
      <c r="D3425" s="6" t="s">
        <v>395</v>
      </c>
      <c r="E3425" s="6" t="s">
        <v>396</v>
      </c>
      <c r="F3425" s="6" t="str">
        <f>IF($M3425="PADD I","PADD 1",IF($M3425="PADD II","PADD 2",IF($M3425="PADD III","PADD 3",IF($M3425="PADD IV","PADD 4",IF($M3425="PADD V","PADD 5","")))))</f>
        <v>PADD 3</v>
      </c>
      <c r="G3425" s="6" t="str">
        <f>IF(AND($H3425="ATMOS DISTILLATION",ISNUMBER(SEARCH("VPS",$I3425))=FALSE,LEFT($I3425,6)&lt;&gt;"VACUUM"),"CDU",IF($H3425="FLUID CAT CRACKING","FCC",IF(OR($H3425="HYDROCRACKING",$H3425="RESID_HYDROCRACKING"),"Hydrocracker",IF($H3425="REFORMING","Reformer",""))))</f>
        <v>CDU</v>
      </c>
      <c r="H3425" s="6" t="s">
        <v>38</v>
      </c>
      <c r="I3425" s="6" t="s">
        <v>510</v>
      </c>
      <c r="J3425" s="6" t="s">
        <v>349</v>
      </c>
      <c r="K3425" s="10">
        <v>63</v>
      </c>
      <c r="L3425" s="10">
        <v>70</v>
      </c>
      <c r="M3425" s="6" t="s">
        <v>371</v>
      </c>
    </row>
    <row r="3426" spans="1:13">
      <c r="A3426" s="6">
        <v>2024</v>
      </c>
      <c r="B3426" s="6">
        <v>4</v>
      </c>
      <c r="C3426" s="6" t="s">
        <v>62</v>
      </c>
      <c r="D3426" s="6" t="s">
        <v>390</v>
      </c>
      <c r="E3426" s="6" t="s">
        <v>391</v>
      </c>
      <c r="F3426" s="6" t="str">
        <f>IF($M3426="PADD I","PADD 1",IF($M3426="PADD II","PADD 2",IF($M3426="PADD III","PADD 3",IF($M3426="PADD IV","PADD 4",IF($M3426="PADD V","PADD 5","")))))</f>
        <v>PADD 3</v>
      </c>
      <c r="G3426" s="6">
        <f>IF(AND($H3426="ATMOS DISTILLATION",ISNUMBER(SEARCH("VPS",$I3426))=FALSE,LEFT($I3426,6)&lt;&gt;"VACUUM"),"CDU",IF($H3426="FLUID CAT CRACKING","FCC",IF(OR($H3426="HYDROCRACKING",$H3426="RESID_HYDROCRACKING"),"Hydrocracker",IF($H3426="REFORMING","Reformer",""))))</f>
        <v/>
      </c>
      <c r="H3426" s="6" t="s">
        <v>435</v>
      </c>
      <c r="I3426" s="6" t="s">
        <v>1137</v>
      </c>
      <c r="J3426" s="6" t="s">
        <v>349</v>
      </c>
      <c r="K3426" s="10">
        <v>60.99</v>
      </c>
      <c r="L3426" s="10">
        <v>107</v>
      </c>
      <c r="M3426" s="6" t="s">
        <v>371</v>
      </c>
    </row>
    <row r="3427" spans="1:13">
      <c r="A3427" s="6">
        <v>2024</v>
      </c>
      <c r="B3427" s="6">
        <v>4</v>
      </c>
      <c r="C3427" s="6" t="s">
        <v>62</v>
      </c>
      <c r="D3427" s="6" t="s">
        <v>415</v>
      </c>
      <c r="E3427" s="6" t="s">
        <v>416</v>
      </c>
      <c r="F3427" s="6" t="str">
        <f>IF($M3427="PADD I","PADD 1",IF($M3427="PADD II","PADD 2",IF($M3427="PADD III","PADD 3",IF($M3427="PADD IV","PADD 4",IF($M3427="PADD V","PADD 5","")))))</f>
        <v>PADD 3</v>
      </c>
      <c r="G3427" s="6" t="str">
        <f>IF(AND($H3427="ATMOS DISTILLATION",ISNUMBER(SEARCH("VPS",$I3427))=FALSE,LEFT($I3427,6)&lt;&gt;"VACUUM"),"CDU",IF($H3427="FLUID CAT CRACKING","FCC",IF(OR($H3427="HYDROCRACKING",$H3427="RESID_HYDROCRACKING"),"Hydrocracker",IF($H3427="REFORMING","Reformer",""))))</f>
        <v>CDU</v>
      </c>
      <c r="H3427" s="6" t="s">
        <v>38</v>
      </c>
      <c r="I3427" s="6" t="s">
        <v>1166</v>
      </c>
      <c r="J3427" s="6" t="s">
        <v>345</v>
      </c>
      <c r="K3427" s="10">
        <v>60</v>
      </c>
      <c r="L3427" s="10">
        <v>120</v>
      </c>
      <c r="M3427" s="6" t="s">
        <v>371</v>
      </c>
    </row>
    <row r="3428" spans="1:13">
      <c r="A3428" s="6">
        <v>2024</v>
      </c>
      <c r="B3428" s="6">
        <v>4</v>
      </c>
      <c r="C3428" s="6" t="s">
        <v>62</v>
      </c>
      <c r="D3428" s="6" t="s">
        <v>415</v>
      </c>
      <c r="E3428" s="6" t="s">
        <v>416</v>
      </c>
      <c r="F3428" s="6" t="str">
        <f>IF($M3428="PADD I","PADD 1",IF($M3428="PADD II","PADD 2",IF($M3428="PADD III","PADD 3",IF($M3428="PADD IV","PADD 4",IF($M3428="PADD V","PADD 5","")))))</f>
        <v>PADD 3</v>
      </c>
      <c r="G3428" s="6" t="str">
        <f>IF(AND($H3428="ATMOS DISTILLATION",ISNUMBER(SEARCH("VPS",$I3428))=FALSE,LEFT($I3428,6)&lt;&gt;"VACUUM"),"CDU",IF($H3428="FLUID CAT CRACKING","FCC",IF(OR($H3428="HYDROCRACKING",$H3428="RESID_HYDROCRACKING"),"Hydrocracker",IF($H3428="REFORMING","Reformer",""))))</f>
        <v>CDU</v>
      </c>
      <c r="H3428" s="6" t="s">
        <v>38</v>
      </c>
      <c r="I3428" s="6" t="s">
        <v>133</v>
      </c>
      <c r="J3428" s="6" t="s">
        <v>349</v>
      </c>
      <c r="K3428" s="10">
        <v>57.24</v>
      </c>
      <c r="L3428" s="10">
        <v>108</v>
      </c>
      <c r="M3428" s="6" t="s">
        <v>371</v>
      </c>
    </row>
    <row r="3429" spans="1:13">
      <c r="A3429" s="6">
        <v>2024</v>
      </c>
      <c r="B3429" s="6">
        <v>4</v>
      </c>
      <c r="C3429" s="6" t="s">
        <v>62</v>
      </c>
      <c r="D3429" s="6" t="s">
        <v>50</v>
      </c>
      <c r="E3429" s="6" t="s">
        <v>381</v>
      </c>
      <c r="F3429" s="6" t="str">
        <f>IF($M3429="PADD I","PADD 1",IF($M3429="PADD II","PADD 2",IF($M3429="PADD III","PADD 3",IF($M3429="PADD IV","PADD 4",IF($M3429="PADD V","PADD 5","")))))</f>
        <v>PADD 3</v>
      </c>
      <c r="G3429" s="6" t="str">
        <f>IF(AND($H3429="ATMOS DISTILLATION",ISNUMBER(SEARCH("VPS",$I3429))=FALSE,LEFT($I3429,6)&lt;&gt;"VACUUM"),"CDU",IF($H3429="FLUID CAT CRACKING","FCC",IF(OR($H3429="HYDROCRACKING",$H3429="RESID_HYDROCRACKING"),"Hydrocracker",IF($H3429="REFORMING","Reformer",""))))</f>
        <v>Reformer</v>
      </c>
      <c r="H3429" s="6" t="s">
        <v>421</v>
      </c>
      <c r="I3429" s="6" t="s">
        <v>1086</v>
      </c>
      <c r="J3429" s="6" t="s">
        <v>345</v>
      </c>
      <c r="K3429" s="10">
        <v>57</v>
      </c>
      <c r="L3429" s="10">
        <v>57</v>
      </c>
      <c r="M3429" s="6" t="s">
        <v>371</v>
      </c>
    </row>
    <row r="3430" spans="1:13">
      <c r="A3430" s="6">
        <v>2024</v>
      </c>
      <c r="B3430" s="6">
        <v>4</v>
      </c>
      <c r="C3430" s="6" t="s">
        <v>62</v>
      </c>
      <c r="D3430" s="6" t="s">
        <v>51</v>
      </c>
      <c r="E3430" s="6" t="s">
        <v>391</v>
      </c>
      <c r="F3430" s="6" t="str">
        <f>IF($M3430="PADD I","PADD 1",IF($M3430="PADD II","PADD 2",IF($M3430="PADD III","PADD 3",IF($M3430="PADD IV","PADD 4",IF($M3430="PADD V","PADD 5","")))))</f>
        <v>PADD 5</v>
      </c>
      <c r="G3430" s="6">
        <f>IF(AND($H3430="ATMOS DISTILLATION",ISNUMBER(SEARCH("VPS",$I3430))=FALSE,LEFT($I3430,6)&lt;&gt;"VACUUM"),"CDU",IF($H3430="FLUID CAT CRACKING","FCC",IF(OR($H3430="HYDROCRACKING",$H3430="RESID_HYDROCRACKING"),"Hydrocracker",IF($H3430="REFORMING","Reformer",""))))</f>
        <v/>
      </c>
      <c r="H3430" s="6" t="s">
        <v>378</v>
      </c>
      <c r="I3430" s="6" t="s">
        <v>1035</v>
      </c>
      <c r="J3430" s="6" t="s">
        <v>345</v>
      </c>
      <c r="K3430" s="10">
        <v>55.65</v>
      </c>
      <c r="L3430" s="10">
        <v>105</v>
      </c>
      <c r="M3430" s="6" t="s">
        <v>386</v>
      </c>
    </row>
    <row r="3431" spans="1:13">
      <c r="A3431" s="6">
        <v>2024</v>
      </c>
      <c r="B3431" s="6">
        <v>4</v>
      </c>
      <c r="C3431" s="6" t="s">
        <v>62</v>
      </c>
      <c r="D3431" s="6" t="s">
        <v>723</v>
      </c>
      <c r="E3431" s="6" t="s">
        <v>724</v>
      </c>
      <c r="F3431" s="6" t="str">
        <f>IF($M3431="PADD I","PADD 1",IF($M3431="PADD II","PADD 2",IF($M3431="PADD III","PADD 3",IF($M3431="PADD IV","PADD 4",IF($M3431="PADD V","PADD 5","")))))</f>
        <v>PADD 4</v>
      </c>
      <c r="G3431" s="6" t="str">
        <f>IF(AND($H3431="ATMOS DISTILLATION",ISNUMBER(SEARCH("VPS",$I3431))=FALSE,LEFT($I3431,6)&lt;&gt;"VACUUM"),"CDU",IF($H3431="FLUID CAT CRACKING","FCC",IF(OR($H3431="HYDROCRACKING",$H3431="RESID_HYDROCRACKING"),"Hydrocracker",IF($H3431="REFORMING","Reformer",""))))</f>
        <v>CDU</v>
      </c>
      <c r="H3431" s="6" t="s">
        <v>38</v>
      </c>
      <c r="I3431" s="6" t="s">
        <v>81</v>
      </c>
      <c r="J3431" s="6" t="s">
        <v>349</v>
      </c>
      <c r="K3431" s="10">
        <v>53.94</v>
      </c>
      <c r="L3431" s="10">
        <v>58</v>
      </c>
      <c r="M3431" s="6" t="s">
        <v>430</v>
      </c>
    </row>
    <row r="3432" spans="1:13">
      <c r="A3432" s="6">
        <v>2024</v>
      </c>
      <c r="B3432" s="6">
        <v>4</v>
      </c>
      <c r="C3432" s="6" t="s">
        <v>62</v>
      </c>
      <c r="D3432" s="6" t="s">
        <v>333</v>
      </c>
      <c r="E3432" s="6" t="s">
        <v>381</v>
      </c>
      <c r="F3432" s="6" t="str">
        <f>IF($M3432="PADD I","PADD 1",IF($M3432="PADD II","PADD 2",IF($M3432="PADD III","PADD 3",IF($M3432="PADD IV","PADD 4",IF($M3432="PADD V","PADD 5","")))))</f>
        <v>PADD 3</v>
      </c>
      <c r="G3432" s="6" t="str">
        <f>IF(AND($H3432="ATMOS DISTILLATION",ISNUMBER(SEARCH("VPS",$I3432))=FALSE,LEFT($I3432,6)&lt;&gt;"VACUUM"),"CDU",IF($H3432="FLUID CAT CRACKING","FCC",IF(OR($H3432="HYDROCRACKING",$H3432="RESID_HYDROCRACKING"),"Hydrocracker",IF($H3432="REFORMING","Reformer",""))))</f>
        <v>CDU</v>
      </c>
      <c r="H3432" s="6" t="s">
        <v>38</v>
      </c>
      <c r="I3432" s="6" t="s">
        <v>537</v>
      </c>
      <c r="J3432" s="6" t="s">
        <v>345</v>
      </c>
      <c r="K3432" s="10">
        <v>51.3</v>
      </c>
      <c r="L3432" s="10">
        <v>90</v>
      </c>
      <c r="M3432" s="6" t="s">
        <v>371</v>
      </c>
    </row>
    <row r="3433" spans="1:13">
      <c r="A3433" s="6">
        <v>2024</v>
      </c>
      <c r="B3433" s="6">
        <v>4</v>
      </c>
      <c r="C3433" s="6" t="s">
        <v>62</v>
      </c>
      <c r="D3433" s="6" t="s">
        <v>321</v>
      </c>
      <c r="E3433" s="6" t="s">
        <v>381</v>
      </c>
      <c r="F3433" s="6" t="str">
        <f>IF($M3433="PADD I","PADD 1",IF($M3433="PADD II","PADD 2",IF($M3433="PADD III","PADD 3",IF($M3433="PADD IV","PADD 4",IF($M3433="PADD V","PADD 5","")))))</f>
        <v>PADD 2</v>
      </c>
      <c r="G3433" s="6">
        <f>IF(AND($H3433="ATMOS DISTILLATION",ISNUMBER(SEARCH("VPS",$I3433))=FALSE,LEFT($I3433,6)&lt;&gt;"VACUUM"),"CDU",IF($H3433="FLUID CAT CRACKING","FCC",IF(OR($H3433="HYDROCRACKING",$H3433="RESID_HYDROCRACKING"),"Hydrocracker",IF($H3433="REFORMING","Reformer",""))))</f>
        <v/>
      </c>
      <c r="H3433" s="6" t="s">
        <v>43</v>
      </c>
      <c r="I3433" s="6" t="s">
        <v>744</v>
      </c>
      <c r="J3433" s="6" t="s">
        <v>349</v>
      </c>
      <c r="K3433" s="10">
        <v>50</v>
      </c>
      <c r="L3433" s="10">
        <v>50</v>
      </c>
      <c r="M3433" s="6" t="s">
        <v>375</v>
      </c>
    </row>
    <row r="3434" spans="1:13">
      <c r="A3434" s="6">
        <v>2024</v>
      </c>
      <c r="B3434" s="6">
        <v>4</v>
      </c>
      <c r="C3434" s="6" t="s">
        <v>62</v>
      </c>
      <c r="D3434" s="6" t="s">
        <v>415</v>
      </c>
      <c r="E3434" s="6" t="s">
        <v>416</v>
      </c>
      <c r="F3434" s="6" t="str">
        <f>IF($M3434="PADD I","PADD 1",IF($M3434="PADD II","PADD 2",IF($M3434="PADD III","PADD 3",IF($M3434="PADD IV","PADD 4",IF($M3434="PADD V","PADD 5","")))))</f>
        <v>PADD 3</v>
      </c>
      <c r="G3434" s="6" t="str">
        <f>IF(AND($H3434="ATMOS DISTILLATION",ISNUMBER(SEARCH("VPS",$I3434))=FALSE,LEFT($I3434,6)&lt;&gt;"VACUUM"),"CDU",IF($H3434="FLUID CAT CRACKING","FCC",IF(OR($H3434="HYDROCRACKING",$H3434="RESID_HYDROCRACKING"),"Hydrocracker",IF($H3434="REFORMING","Reformer",""))))</f>
        <v>FCC</v>
      </c>
      <c r="H3434" s="6" t="s">
        <v>376</v>
      </c>
      <c r="I3434" s="6" t="s">
        <v>995</v>
      </c>
      <c r="J3434" s="6" t="s">
        <v>349</v>
      </c>
      <c r="K3434" s="10">
        <v>50</v>
      </c>
      <c r="L3434" s="10">
        <v>50</v>
      </c>
      <c r="M3434" s="6" t="s">
        <v>371</v>
      </c>
    </row>
    <row r="3435" spans="1:13">
      <c r="A3435" s="6">
        <v>2024</v>
      </c>
      <c r="B3435" s="6">
        <v>4</v>
      </c>
      <c r="C3435" s="6" t="s">
        <v>62</v>
      </c>
      <c r="D3435" s="6" t="s">
        <v>346</v>
      </c>
      <c r="E3435" s="6" t="s">
        <v>383</v>
      </c>
      <c r="F3435" s="6" t="str">
        <f>IF($M3435="PADD I","PADD 1",IF($M3435="PADD II","PADD 2",IF($M3435="PADD III","PADD 3",IF($M3435="PADD IV","PADD 4",IF($M3435="PADD V","PADD 5","")))))</f>
        <v>PADD 2</v>
      </c>
      <c r="G3435" s="6" t="str">
        <f>IF(AND($H3435="ATMOS DISTILLATION",ISNUMBER(SEARCH("VPS",$I3435))=FALSE,LEFT($I3435,6)&lt;&gt;"VACUUM"),"CDU",IF($H3435="FLUID CAT CRACKING","FCC",IF(OR($H3435="HYDROCRACKING",$H3435="RESID_HYDROCRACKING"),"Hydrocracker",IF($H3435="REFORMING","Reformer",""))))</f>
        <v>CDU</v>
      </c>
      <c r="H3435" s="6" t="s">
        <v>38</v>
      </c>
      <c r="I3435" s="6" t="s">
        <v>1058</v>
      </c>
      <c r="J3435" s="6" t="s">
        <v>349</v>
      </c>
      <c r="K3435" s="10">
        <v>46.11</v>
      </c>
      <c r="L3435" s="10">
        <v>87</v>
      </c>
      <c r="M3435" s="6" t="s">
        <v>375</v>
      </c>
    </row>
    <row r="3436" spans="1:13">
      <c r="A3436" s="6">
        <v>2024</v>
      </c>
      <c r="B3436" s="6">
        <v>4</v>
      </c>
      <c r="C3436" s="6" t="s">
        <v>62</v>
      </c>
      <c r="D3436" s="6" t="s">
        <v>774</v>
      </c>
      <c r="E3436" s="6" t="s">
        <v>775</v>
      </c>
      <c r="F3436" s="6" t="str">
        <f>IF($M3436="PADD I","PADD 1",IF($M3436="PADD II","PADD 2",IF($M3436="PADD III","PADD 3",IF($M3436="PADD IV","PADD 4",IF($M3436="PADD V","PADD 5","")))))</f>
        <v>PADD 1</v>
      </c>
      <c r="G3436" s="6" t="str">
        <f>IF(AND($H3436="ATMOS DISTILLATION",ISNUMBER(SEARCH("VPS",$I3436))=FALSE,LEFT($I3436,6)&lt;&gt;"VACUUM"),"CDU",IF($H3436="FLUID CAT CRACKING","FCC",IF(OR($H3436="HYDROCRACKING",$H3436="RESID_HYDROCRACKING"),"Hydrocracker",IF($H3436="REFORMING","Reformer",""))))</f>
        <v>CDU</v>
      </c>
      <c r="H3436" s="6" t="s">
        <v>38</v>
      </c>
      <c r="I3436" s="6" t="s">
        <v>81</v>
      </c>
      <c r="J3436" s="6" t="s">
        <v>349</v>
      </c>
      <c r="K3436" s="10">
        <v>45.675</v>
      </c>
      <c r="L3436" s="10">
        <v>52.5</v>
      </c>
      <c r="M3436" s="6" t="s">
        <v>413</v>
      </c>
    </row>
    <row r="3437" spans="1:13">
      <c r="A3437" s="6">
        <v>2024</v>
      </c>
      <c r="B3437" s="6">
        <v>4</v>
      </c>
      <c r="C3437" s="6" t="s">
        <v>62</v>
      </c>
      <c r="D3437" s="6" t="s">
        <v>321</v>
      </c>
      <c r="E3437" s="6" t="s">
        <v>381</v>
      </c>
      <c r="F3437" s="6" t="str">
        <f>IF($M3437="PADD I","PADD 1",IF($M3437="PADD II","PADD 2",IF($M3437="PADD III","PADD 3",IF($M3437="PADD IV","PADD 4",IF($M3437="PADD V","PADD 5","")))))</f>
        <v>PADD 2</v>
      </c>
      <c r="G3437" s="6">
        <f>IF(AND($H3437="ATMOS DISTILLATION",ISNUMBER(SEARCH("VPS",$I3437))=FALSE,LEFT($I3437,6)&lt;&gt;"VACUUM"),"CDU",IF($H3437="FLUID CAT CRACKING","FCC",IF(OR($H3437="HYDROCRACKING",$H3437="RESID_HYDROCRACKING"),"Hydrocracker",IF($H3437="REFORMING","Reformer",""))))</f>
        <v/>
      </c>
      <c r="H3437" s="6" t="s">
        <v>435</v>
      </c>
      <c r="I3437" s="6" t="s">
        <v>441</v>
      </c>
      <c r="J3437" s="6" t="s">
        <v>345</v>
      </c>
      <c r="K3437" s="10">
        <v>44.8</v>
      </c>
      <c r="L3437" s="10">
        <v>56</v>
      </c>
      <c r="M3437" s="6" t="s">
        <v>375</v>
      </c>
    </row>
    <row r="3438" spans="1:13">
      <c r="A3438" s="6">
        <v>2024</v>
      </c>
      <c r="B3438" s="6">
        <v>4</v>
      </c>
      <c r="C3438" s="6" t="s">
        <v>62</v>
      </c>
      <c r="D3438" s="6" t="s">
        <v>408</v>
      </c>
      <c r="E3438" s="6" t="s">
        <v>409</v>
      </c>
      <c r="F3438" s="6" t="str">
        <f>IF($M3438="PADD I","PADD 1",IF($M3438="PADD II","PADD 2",IF($M3438="PADD III","PADD 3",IF($M3438="PADD IV","PADD 4",IF($M3438="PADD V","PADD 5","")))))</f>
        <v>PADD 3</v>
      </c>
      <c r="G3438" s="6">
        <f>IF(AND($H3438="ATMOS DISTILLATION",ISNUMBER(SEARCH("VPS",$I3438))=FALSE,LEFT($I3438,6)&lt;&gt;"VACUUM"),"CDU",IF($H3438="FLUID CAT CRACKING","FCC",IF(OR($H3438="HYDROCRACKING",$H3438="RESID_HYDROCRACKING"),"Hydrocracker",IF($H3438="REFORMING","Reformer",""))))</f>
        <v/>
      </c>
      <c r="H3438" s="6" t="s">
        <v>378</v>
      </c>
      <c r="I3438" s="6" t="s">
        <v>489</v>
      </c>
      <c r="J3438" s="6" t="s">
        <v>345</v>
      </c>
      <c r="K3438" s="10">
        <v>43.8</v>
      </c>
      <c r="L3438" s="10">
        <v>60</v>
      </c>
      <c r="M3438" s="6" t="s">
        <v>371</v>
      </c>
    </row>
    <row r="3439" spans="1:13">
      <c r="A3439" s="6">
        <v>2024</v>
      </c>
      <c r="B3439" s="6">
        <v>4</v>
      </c>
      <c r="C3439" s="6" t="s">
        <v>62</v>
      </c>
      <c r="D3439" s="6" t="s">
        <v>670</v>
      </c>
      <c r="E3439" s="6" t="s">
        <v>405</v>
      </c>
      <c r="F3439" s="6" t="str">
        <f>IF($M3439="PADD I","PADD 1",IF($M3439="PADD II","PADD 2",IF($M3439="PADD III","PADD 3",IF($M3439="PADD IV","PADD 4",IF($M3439="PADD V","PADD 5","")))))</f>
        <v>PADD 2</v>
      </c>
      <c r="G3439" s="6" t="str">
        <f>IF(AND($H3439="ATMOS DISTILLATION",ISNUMBER(SEARCH("VPS",$I3439))=FALSE,LEFT($I3439,6)&lt;&gt;"VACUUM"),"CDU",IF($H3439="FLUID CAT CRACKING","FCC",IF(OR($H3439="HYDROCRACKING",$H3439="RESID_HYDROCRACKING"),"Hydrocracker",IF($H3439="REFORMING","Reformer",""))))</f>
        <v>CDU</v>
      </c>
      <c r="H3439" s="6" t="s">
        <v>38</v>
      </c>
      <c r="I3439" s="6" t="s">
        <v>138</v>
      </c>
      <c r="J3439" s="6" t="s">
        <v>349</v>
      </c>
      <c r="K3439" s="10">
        <v>42.4</v>
      </c>
      <c r="L3439" s="10">
        <v>80</v>
      </c>
      <c r="M3439" s="6" t="s">
        <v>375</v>
      </c>
    </row>
    <row r="3440" spans="1:13">
      <c r="A3440" s="6">
        <v>2024</v>
      </c>
      <c r="B3440" s="6">
        <v>4</v>
      </c>
      <c r="C3440" s="6" t="s">
        <v>62</v>
      </c>
      <c r="D3440" s="6" t="s">
        <v>415</v>
      </c>
      <c r="E3440" s="6" t="s">
        <v>416</v>
      </c>
      <c r="F3440" s="6" t="str">
        <f>IF($M3440="PADD I","PADD 1",IF($M3440="PADD II","PADD 2",IF($M3440="PADD III","PADD 3",IF($M3440="PADD IV","PADD 4",IF($M3440="PADD V","PADD 5","")))))</f>
        <v>PADD 3</v>
      </c>
      <c r="G3440" s="6" t="str">
        <f>IF(AND($H3440="ATMOS DISTILLATION",ISNUMBER(SEARCH("VPS",$I3440))=FALSE,LEFT($I3440,6)&lt;&gt;"VACUUM"),"CDU",IF($H3440="FLUID CAT CRACKING","FCC",IF(OR($H3440="HYDROCRACKING",$H3440="RESID_HYDROCRACKING"),"Hydrocracker",IF($H3440="REFORMING","Reformer",""))))</f>
        <v>FCC</v>
      </c>
      <c r="H3440" s="6" t="s">
        <v>376</v>
      </c>
      <c r="I3440" s="6" t="s">
        <v>1122</v>
      </c>
      <c r="J3440" s="6" t="s">
        <v>345</v>
      </c>
      <c r="K3440" s="10">
        <v>42</v>
      </c>
      <c r="L3440" s="10">
        <v>42</v>
      </c>
      <c r="M3440" s="6" t="s">
        <v>371</v>
      </c>
    </row>
    <row r="3441" spans="1:13">
      <c r="A3441" s="6">
        <v>2024</v>
      </c>
      <c r="B3441" s="6">
        <v>4</v>
      </c>
      <c r="C3441" s="6" t="s">
        <v>62</v>
      </c>
      <c r="D3441" s="6" t="s">
        <v>408</v>
      </c>
      <c r="E3441" s="6" t="s">
        <v>409</v>
      </c>
      <c r="F3441" s="6" t="str">
        <f>IF($M3441="PADD I","PADD 1",IF($M3441="PADD II","PADD 2",IF($M3441="PADD III","PADD 3",IF($M3441="PADD IV","PADD 4",IF($M3441="PADD V","PADD 5","")))))</f>
        <v>PADD 3</v>
      </c>
      <c r="G3441" s="6">
        <f>IF(AND($H3441="ATMOS DISTILLATION",ISNUMBER(SEARCH("VPS",$I3441))=FALSE,LEFT($I3441,6)&lt;&gt;"VACUUM"),"CDU",IF($H3441="FLUID CAT CRACKING","FCC",IF(OR($H3441="HYDROCRACKING",$H3441="RESID_HYDROCRACKING"),"Hydrocracker",IF($H3441="REFORMING","Reformer",""))))</f>
        <v/>
      </c>
      <c r="H3441" s="6" t="s">
        <v>378</v>
      </c>
      <c r="I3441" s="6" t="s">
        <v>506</v>
      </c>
      <c r="J3441" s="6" t="s">
        <v>345</v>
      </c>
      <c r="K3441" s="10">
        <v>41.6</v>
      </c>
      <c r="L3441" s="10">
        <v>52</v>
      </c>
      <c r="M3441" s="6" t="s">
        <v>371</v>
      </c>
    </row>
    <row r="3442" spans="1:13">
      <c r="A3442" s="6">
        <v>2024</v>
      </c>
      <c r="B3442" s="6">
        <v>4</v>
      </c>
      <c r="C3442" s="6" t="s">
        <v>62</v>
      </c>
      <c r="D3442" s="6" t="s">
        <v>321</v>
      </c>
      <c r="E3442" s="6" t="s">
        <v>381</v>
      </c>
      <c r="F3442" s="6" t="str">
        <f>IF($M3442="PADD I","PADD 1",IF($M3442="PADD II","PADD 2",IF($M3442="PADD III","PADD 3",IF($M3442="PADD IV","PADD 4",IF($M3442="PADD V","PADD 5","")))))</f>
        <v>PADD 2</v>
      </c>
      <c r="G3442" s="6" t="str">
        <f>IF(AND($H3442="ATMOS DISTILLATION",ISNUMBER(SEARCH("VPS",$I3442))=FALSE,LEFT($I3442,6)&lt;&gt;"VACUUM"),"CDU",IF($H3442="FLUID CAT CRACKING","FCC",IF(OR($H3442="HYDROCRACKING",$H3442="RESID_HYDROCRACKING"),"Hydrocracker",IF($H3442="REFORMING","Reformer",""))))</f>
        <v>Reformer</v>
      </c>
      <c r="H3442" s="6" t="s">
        <v>421</v>
      </c>
      <c r="I3442" s="6" t="s">
        <v>228</v>
      </c>
      <c r="J3442" s="6" t="s">
        <v>345</v>
      </c>
      <c r="K3442" s="10">
        <v>41.5</v>
      </c>
      <c r="L3442" s="10">
        <v>50</v>
      </c>
      <c r="M3442" s="6" t="s">
        <v>375</v>
      </c>
    </row>
    <row r="3443" spans="1:13">
      <c r="A3443" s="6">
        <v>2024</v>
      </c>
      <c r="B3443" s="6">
        <v>4</v>
      </c>
      <c r="C3443" s="6" t="s">
        <v>62</v>
      </c>
      <c r="D3443" s="6" t="s">
        <v>329</v>
      </c>
      <c r="E3443" s="6" t="s">
        <v>427</v>
      </c>
      <c r="F3443" s="6" t="str">
        <f>IF($M3443="PADD I","PADD 1",IF($M3443="PADD II","PADD 2",IF($M3443="PADD III","PADD 3",IF($M3443="PADD IV","PADD 4",IF($M3443="PADD V","PADD 5","")))))</f>
        <v>PADD 3</v>
      </c>
      <c r="G3443" s="6" t="str">
        <f>IF(AND($H3443="ATMOS DISTILLATION",ISNUMBER(SEARCH("VPS",$I3443))=FALSE,LEFT($I3443,6)&lt;&gt;"VACUUM"),"CDU",IF($H3443="FLUID CAT CRACKING","FCC",IF(OR($H3443="HYDROCRACKING",$H3443="RESID_HYDROCRACKING"),"Hydrocracker",IF($H3443="REFORMING","Reformer",""))))</f>
        <v>FCC</v>
      </c>
      <c r="H3443" s="6" t="s">
        <v>376</v>
      </c>
      <c r="I3443" s="6" t="s">
        <v>428</v>
      </c>
      <c r="J3443" s="6" t="s">
        <v>345</v>
      </c>
      <c r="K3443" s="10">
        <v>40.8</v>
      </c>
      <c r="L3443" s="10">
        <v>68</v>
      </c>
      <c r="M3443" s="6" t="s">
        <v>371</v>
      </c>
    </row>
    <row r="3444" spans="1:13">
      <c r="A3444" s="6">
        <v>2024</v>
      </c>
      <c r="B3444" s="6">
        <v>4</v>
      </c>
      <c r="C3444" s="6" t="s">
        <v>62</v>
      </c>
      <c r="D3444" s="6" t="s">
        <v>490</v>
      </c>
      <c r="E3444" s="6" t="s">
        <v>491</v>
      </c>
      <c r="F3444" s="6" t="str">
        <f>IF($M3444="PADD I","PADD 1",IF($M3444="PADD II","PADD 2",IF($M3444="PADD III","PADD 3",IF($M3444="PADD IV","PADD 4",IF($M3444="PADD V","PADD 5","")))))</f>
        <v>PADD 3</v>
      </c>
      <c r="G3444" s="6">
        <f>IF(AND($H3444="ATMOS DISTILLATION",ISNUMBER(SEARCH("VPS",$I3444))=FALSE,LEFT($I3444,6)&lt;&gt;"VACUUM"),"CDU",IF($H3444="FLUID CAT CRACKING","FCC",IF(OR($H3444="HYDROCRACKING",$H3444="RESID_HYDROCRACKING"),"Hydrocracker",IF($H3444="REFORMING","Reformer",""))))</f>
        <v/>
      </c>
      <c r="H3444" s="6" t="s">
        <v>38</v>
      </c>
      <c r="I3444" s="6" t="s">
        <v>492</v>
      </c>
      <c r="J3444" s="6" t="s">
        <v>345</v>
      </c>
      <c r="K3444" s="10">
        <v>40</v>
      </c>
      <c r="L3444" s="10">
        <v>200</v>
      </c>
      <c r="M3444" s="6" t="s">
        <v>371</v>
      </c>
    </row>
    <row r="3445" spans="1:13">
      <c r="A3445" s="6">
        <v>2024</v>
      </c>
      <c r="B3445" s="6">
        <v>4</v>
      </c>
      <c r="C3445" s="6" t="s">
        <v>62</v>
      </c>
      <c r="D3445" s="6" t="s">
        <v>799</v>
      </c>
      <c r="E3445" s="6" t="s">
        <v>391</v>
      </c>
      <c r="F3445" s="6" t="str">
        <f>IF($M3445="PADD I","PADD 1",IF($M3445="PADD II","PADD 2",IF($M3445="PADD III","PADD 3",IF($M3445="PADD IV","PADD 4",IF($M3445="PADD V","PADD 5","")))))</f>
        <v>PADD 4</v>
      </c>
      <c r="G3445" s="6" t="str">
        <f>IF(AND($H3445="ATMOS DISTILLATION",ISNUMBER(SEARCH("VPS",$I3445))=FALSE,LEFT($I3445,6)&lt;&gt;"VACUUM"),"CDU",IF($H3445="FLUID CAT CRACKING","FCC",IF(OR($H3445="HYDROCRACKING",$H3445="RESID_HYDROCRACKING"),"Hydrocracker",IF($H3445="REFORMING","Reformer",""))))</f>
        <v>CDU</v>
      </c>
      <c r="H3445" s="6" t="s">
        <v>38</v>
      </c>
      <c r="I3445" s="6" t="s">
        <v>1104</v>
      </c>
      <c r="J3445" s="6" t="s">
        <v>349</v>
      </c>
      <c r="K3445" s="10">
        <v>36.515</v>
      </c>
      <c r="L3445" s="10">
        <v>54.5</v>
      </c>
      <c r="M3445" s="6" t="s">
        <v>430</v>
      </c>
    </row>
    <row r="3446" spans="1:13">
      <c r="A3446" s="6">
        <v>2024</v>
      </c>
      <c r="B3446" s="6">
        <v>4</v>
      </c>
      <c r="C3446" s="6" t="s">
        <v>62</v>
      </c>
      <c r="D3446" s="6" t="s">
        <v>484</v>
      </c>
      <c r="E3446" s="6" t="s">
        <v>409</v>
      </c>
      <c r="F3446" s="6" t="str">
        <f>IF($M3446="PADD I","PADD 1",IF($M3446="PADD II","PADD 2",IF($M3446="PADD III","PADD 3",IF($M3446="PADD IV","PADD 4",IF($M3446="PADD V","PADD 5","")))))</f>
        <v>PADD 3</v>
      </c>
      <c r="G3446" s="6">
        <f>IF(AND($H3446="ATMOS DISTILLATION",ISNUMBER(SEARCH("VPS",$I3446))=FALSE,LEFT($I3446,6)&lt;&gt;"VACUUM"),"CDU",IF($H3446="FLUID CAT CRACKING","FCC",IF(OR($H3446="HYDROCRACKING",$H3446="RESID_HYDROCRACKING"),"Hydrocracker",IF($H3446="REFORMING","Reformer",""))))</f>
        <v/>
      </c>
      <c r="H3446" s="6" t="s">
        <v>43</v>
      </c>
      <c r="I3446" s="6" t="s">
        <v>501</v>
      </c>
      <c r="J3446" s="6" t="s">
        <v>345</v>
      </c>
      <c r="K3446" s="10">
        <v>35.035</v>
      </c>
      <c r="L3446" s="10">
        <v>45.5</v>
      </c>
      <c r="M3446" s="6" t="s">
        <v>371</v>
      </c>
    </row>
    <row r="3447" spans="1:13">
      <c r="A3447" s="6">
        <v>2024</v>
      </c>
      <c r="B3447" s="6">
        <v>4</v>
      </c>
      <c r="C3447" s="6" t="s">
        <v>62</v>
      </c>
      <c r="D3447" s="6" t="s">
        <v>51</v>
      </c>
      <c r="E3447" s="6" t="s">
        <v>391</v>
      </c>
      <c r="F3447" s="6" t="str">
        <f>IF($M3447="PADD I","PADD 1",IF($M3447="PADD II","PADD 2",IF($M3447="PADD III","PADD 3",IF($M3447="PADD IV","PADD 4",IF($M3447="PADD V","PADD 5","")))))</f>
        <v>PADD 5</v>
      </c>
      <c r="G3447" s="6">
        <f>IF(AND($H3447="ATMOS DISTILLATION",ISNUMBER(SEARCH("VPS",$I3447))=FALSE,LEFT($I3447,6)&lt;&gt;"VACUUM"),"CDU",IF($H3447="FLUID CAT CRACKING","FCC",IF(OR($H3447="HYDROCRACKING",$H3447="RESID_HYDROCRACKING"),"Hydrocracker",IF($H3447="REFORMING","Reformer",""))))</f>
        <v/>
      </c>
      <c r="H3447" s="6" t="s">
        <v>43</v>
      </c>
      <c r="I3447" s="6" t="s">
        <v>1167</v>
      </c>
      <c r="J3447" s="6" t="s">
        <v>349</v>
      </c>
      <c r="K3447" s="10">
        <v>35</v>
      </c>
      <c r="L3447" s="10">
        <v>70</v>
      </c>
      <c r="M3447" s="6" t="s">
        <v>386</v>
      </c>
    </row>
    <row r="3448" spans="1:13">
      <c r="A3448" s="6">
        <v>2024</v>
      </c>
      <c r="B3448" s="6">
        <v>4</v>
      </c>
      <c r="C3448" s="6" t="s">
        <v>62</v>
      </c>
      <c r="D3448" s="6" t="s">
        <v>446</v>
      </c>
      <c r="E3448" s="6" t="s">
        <v>391</v>
      </c>
      <c r="F3448" s="6" t="str">
        <f>IF($M3448="PADD I","PADD 1",IF($M3448="PADD II","PADD 2",IF($M3448="PADD III","PADD 3",IF($M3448="PADD IV","PADD 4",IF($M3448="PADD V","PADD 5","")))))</f>
        <v>PADD 3</v>
      </c>
      <c r="G3448" s="6">
        <f>IF(AND($H3448="ATMOS DISTILLATION",ISNUMBER(SEARCH("VPS",$I3448))=FALSE,LEFT($I3448,6)&lt;&gt;"VACUUM"),"CDU",IF($H3448="FLUID CAT CRACKING","FCC",IF(OR($H3448="HYDROCRACKING",$H3448="RESID_HYDROCRACKING"),"Hydrocracker",IF($H3448="REFORMING","Reformer",""))))</f>
        <v/>
      </c>
      <c r="H3448" s="6" t="s">
        <v>43</v>
      </c>
      <c r="I3448" s="6" t="s">
        <v>447</v>
      </c>
      <c r="J3448" s="6" t="s">
        <v>349</v>
      </c>
      <c r="K3448" s="10">
        <v>35</v>
      </c>
      <c r="L3448" s="10">
        <v>35</v>
      </c>
      <c r="M3448" s="6" t="s">
        <v>371</v>
      </c>
    </row>
    <row r="3449" spans="1:13">
      <c r="A3449" s="6">
        <v>2024</v>
      </c>
      <c r="B3449" s="6">
        <v>4</v>
      </c>
      <c r="C3449" s="6" t="s">
        <v>62</v>
      </c>
      <c r="D3449" s="6" t="s">
        <v>51</v>
      </c>
      <c r="E3449" s="6" t="s">
        <v>391</v>
      </c>
      <c r="F3449" s="6" t="str">
        <f>IF($M3449="PADD I","PADD 1",IF($M3449="PADD II","PADD 2",IF($M3449="PADD III","PADD 3",IF($M3449="PADD IV","PADD 4",IF($M3449="PADD V","PADD 5","")))))</f>
        <v>PADD 5</v>
      </c>
      <c r="G3449" s="6">
        <f>IF(AND($H3449="ATMOS DISTILLATION",ISNUMBER(SEARCH("VPS",$I3449))=FALSE,LEFT($I3449,6)&lt;&gt;"VACUUM"),"CDU",IF($H3449="FLUID CAT CRACKING","FCC",IF(OR($H3449="HYDROCRACKING",$H3449="RESID_HYDROCRACKING"),"Hydrocracker",IF($H3449="REFORMING","Reformer",""))))</f>
        <v/>
      </c>
      <c r="H3449" s="6" t="s">
        <v>43</v>
      </c>
      <c r="I3449" s="6" t="s">
        <v>859</v>
      </c>
      <c r="J3449" s="6" t="s">
        <v>345</v>
      </c>
      <c r="K3449" s="10">
        <v>35</v>
      </c>
      <c r="L3449" s="10">
        <v>70</v>
      </c>
      <c r="M3449" s="6" t="s">
        <v>386</v>
      </c>
    </row>
    <row r="3450" spans="1:13">
      <c r="A3450" s="6">
        <v>2024</v>
      </c>
      <c r="B3450" s="6">
        <v>4</v>
      </c>
      <c r="C3450" s="6" t="s">
        <v>62</v>
      </c>
      <c r="D3450" s="6" t="s">
        <v>448</v>
      </c>
      <c r="E3450" s="6" t="s">
        <v>391</v>
      </c>
      <c r="F3450" s="6" t="str">
        <f>IF($M3450="PADD I","PADD 1",IF($M3450="PADD II","PADD 2",IF($M3450="PADD III","PADD 3",IF($M3450="PADD IV","PADD 4",IF($M3450="PADD V","PADD 5","")))))</f>
        <v>PADD 3</v>
      </c>
      <c r="G3450" s="6">
        <f>IF(AND($H3450="ATMOS DISTILLATION",ISNUMBER(SEARCH("VPS",$I3450))=FALSE,LEFT($I3450,6)&lt;&gt;"VACUUM"),"CDU",IF($H3450="FLUID CAT CRACKING","FCC",IF(OR($H3450="HYDROCRACKING",$H3450="RESID_HYDROCRACKING"),"Hydrocracker",IF($H3450="REFORMING","Reformer",""))))</f>
        <v/>
      </c>
      <c r="H3450" s="6" t="s">
        <v>43</v>
      </c>
      <c r="I3450" s="6" t="s">
        <v>449</v>
      </c>
      <c r="J3450" s="6" t="s">
        <v>345</v>
      </c>
      <c r="K3450" s="10">
        <v>35</v>
      </c>
      <c r="L3450" s="10">
        <v>35</v>
      </c>
      <c r="M3450" s="6" t="s">
        <v>371</v>
      </c>
    </row>
    <row r="3451" spans="1:13">
      <c r="A3451" s="6">
        <v>2024</v>
      </c>
      <c r="B3451" s="6">
        <v>4</v>
      </c>
      <c r="C3451" s="6" t="s">
        <v>62</v>
      </c>
      <c r="D3451" s="6" t="s">
        <v>346</v>
      </c>
      <c r="E3451" s="6" t="s">
        <v>383</v>
      </c>
      <c r="F3451" s="6" t="str">
        <f>IF($M3451="PADD I","PADD 1",IF($M3451="PADD II","PADD 2",IF($M3451="PADD III","PADD 3",IF($M3451="PADD IV","PADD 4",IF($M3451="PADD V","PADD 5","")))))</f>
        <v>PADD 2</v>
      </c>
      <c r="G3451" s="6">
        <f>IF(AND($H3451="ATMOS DISTILLATION",ISNUMBER(SEARCH("VPS",$I3451))=FALSE,LEFT($I3451,6)&lt;&gt;"VACUUM"),"CDU",IF($H3451="FLUID CAT CRACKING","FCC",IF(OR($H3451="HYDROCRACKING",$H3451="RESID_HYDROCRACKING"),"Hydrocracker",IF($H3451="REFORMING","Reformer",""))))</f>
        <v/>
      </c>
      <c r="H3451" s="6" t="s">
        <v>43</v>
      </c>
      <c r="I3451" s="6" t="s">
        <v>394</v>
      </c>
      <c r="J3451" s="6" t="s">
        <v>349</v>
      </c>
      <c r="K3451" s="10">
        <v>34.45</v>
      </c>
      <c r="L3451" s="10">
        <v>65</v>
      </c>
      <c r="M3451" s="6" t="s">
        <v>375</v>
      </c>
    </row>
    <row r="3452" spans="1:13">
      <c r="A3452" s="6">
        <v>2024</v>
      </c>
      <c r="B3452" s="6">
        <v>4</v>
      </c>
      <c r="C3452" s="6" t="s">
        <v>62</v>
      </c>
      <c r="D3452" s="6" t="s">
        <v>331</v>
      </c>
      <c r="E3452" s="6" t="s">
        <v>373</v>
      </c>
      <c r="F3452" s="6" t="str">
        <f>IF($M3452="PADD I","PADD 1",IF($M3452="PADD II","PADD 2",IF($M3452="PADD III","PADD 3",IF($M3452="PADD IV","PADD 4",IF($M3452="PADD V","PADD 5","")))))</f>
        <v>PADD 2</v>
      </c>
      <c r="G3452" s="6" t="str">
        <f>IF(AND($H3452="ATMOS DISTILLATION",ISNUMBER(SEARCH("VPS",$I3452))=FALSE,LEFT($I3452,6)&lt;&gt;"VACUUM"),"CDU",IF($H3452="FLUID CAT CRACKING","FCC",IF(OR($H3452="HYDROCRACKING",$H3452="RESID_HYDROCRACKING"),"Hydrocracker",IF($H3452="REFORMING","Reformer",""))))</f>
        <v>CDU</v>
      </c>
      <c r="H3452" s="6" t="s">
        <v>38</v>
      </c>
      <c r="I3452" s="6" t="s">
        <v>332</v>
      </c>
      <c r="J3452" s="6" t="s">
        <v>345</v>
      </c>
      <c r="K3452" s="10">
        <v>34.4</v>
      </c>
      <c r="L3452" s="10">
        <v>172</v>
      </c>
      <c r="M3452" s="6" t="s">
        <v>375</v>
      </c>
    </row>
    <row r="3453" spans="1:13">
      <c r="A3453" s="6">
        <v>2024</v>
      </c>
      <c r="B3453" s="6">
        <v>4</v>
      </c>
      <c r="C3453" s="6" t="s">
        <v>62</v>
      </c>
      <c r="D3453" s="6" t="s">
        <v>408</v>
      </c>
      <c r="E3453" s="6" t="s">
        <v>409</v>
      </c>
      <c r="F3453" s="6" t="str">
        <f>IF($M3453="PADD I","PADD 1",IF($M3453="PADD II","PADD 2",IF($M3453="PADD III","PADD 3",IF($M3453="PADD IV","PADD 4",IF($M3453="PADD V","PADD 5","")))))</f>
        <v>PADD 3</v>
      </c>
      <c r="G3453" s="6">
        <f>IF(AND($H3453="ATMOS DISTILLATION",ISNUMBER(SEARCH("VPS",$I3453))=FALSE,LEFT($I3453,6)&lt;&gt;"VACUUM"),"CDU",IF($H3453="FLUID CAT CRACKING","FCC",IF(OR($H3453="HYDROCRACKING",$H3453="RESID_HYDROCRACKING"),"Hydrocracker",IF($H3453="REFORMING","Reformer",""))))</f>
        <v/>
      </c>
      <c r="H3453" s="6" t="s">
        <v>43</v>
      </c>
      <c r="I3453" s="6" t="s">
        <v>478</v>
      </c>
      <c r="J3453" s="6" t="s">
        <v>345</v>
      </c>
      <c r="K3453" s="10">
        <v>33.6</v>
      </c>
      <c r="L3453" s="10">
        <v>42</v>
      </c>
      <c r="M3453" s="6" t="s">
        <v>371</v>
      </c>
    </row>
    <row r="3454" spans="1:13">
      <c r="A3454" s="6">
        <v>2024</v>
      </c>
      <c r="B3454" s="6">
        <v>4</v>
      </c>
      <c r="C3454" s="6" t="s">
        <v>62</v>
      </c>
      <c r="D3454" s="6" t="s">
        <v>547</v>
      </c>
      <c r="E3454" s="6" t="s">
        <v>391</v>
      </c>
      <c r="F3454" s="6" t="str">
        <f>IF($M3454="PADD I","PADD 1",IF($M3454="PADD II","PADD 2",IF($M3454="PADD III","PADD 3",IF($M3454="PADD IV","PADD 4",IF($M3454="PADD V","PADD 5","")))))</f>
        <v>PADD 5</v>
      </c>
      <c r="G3454" s="6">
        <f>IF(AND($H3454="ATMOS DISTILLATION",ISNUMBER(SEARCH("VPS",$I3454))=FALSE,LEFT($I3454,6)&lt;&gt;"VACUUM"),"CDU",IF($H3454="FLUID CAT CRACKING","FCC",IF(OR($H3454="HYDROCRACKING",$H3454="RESID_HYDROCRACKING"),"Hydrocracker",IF($H3454="REFORMING","Reformer",""))))</f>
        <v/>
      </c>
      <c r="H3454" s="6" t="s">
        <v>378</v>
      </c>
      <c r="I3454" s="6" t="s">
        <v>431</v>
      </c>
      <c r="J3454" s="6" t="s">
        <v>345</v>
      </c>
      <c r="K3454" s="10">
        <v>33.21</v>
      </c>
      <c r="L3454" s="10">
        <v>123</v>
      </c>
      <c r="M3454" s="6" t="s">
        <v>386</v>
      </c>
    </row>
    <row r="3455" spans="1:13">
      <c r="A3455" s="6">
        <v>2024</v>
      </c>
      <c r="B3455" s="6">
        <v>4</v>
      </c>
      <c r="C3455" s="6" t="s">
        <v>62</v>
      </c>
      <c r="D3455" s="6" t="s">
        <v>48</v>
      </c>
      <c r="E3455" s="6" t="s">
        <v>388</v>
      </c>
      <c r="F3455" s="6" t="str">
        <f>IF($M3455="PADD I","PADD 1",IF($M3455="PADD II","PADD 2",IF($M3455="PADD III","PADD 3",IF($M3455="PADD IV","PADD 4",IF($M3455="PADD V","PADD 5","")))))</f>
        <v>PADD 2</v>
      </c>
      <c r="G3455" s="6" t="str">
        <f>IF(AND($H3455="ATMOS DISTILLATION",ISNUMBER(SEARCH("VPS",$I3455))=FALSE,LEFT($I3455,6)&lt;&gt;"VACUUM"),"CDU",IF($H3455="FLUID CAT CRACKING","FCC",IF(OR($H3455="HYDROCRACKING",$H3455="RESID_HYDROCRACKING"),"Hydrocracker",IF($H3455="REFORMING","Reformer",""))))</f>
        <v>CDU</v>
      </c>
      <c r="H3455" s="6" t="s">
        <v>38</v>
      </c>
      <c r="I3455" s="6" t="s">
        <v>720</v>
      </c>
      <c r="J3455" s="6" t="s">
        <v>349</v>
      </c>
      <c r="K3455" s="10">
        <v>33.15</v>
      </c>
      <c r="L3455" s="10">
        <v>255</v>
      </c>
      <c r="M3455" s="6" t="s">
        <v>375</v>
      </c>
    </row>
    <row r="3456" spans="1:13">
      <c r="A3456" s="6">
        <v>2024</v>
      </c>
      <c r="B3456" s="6">
        <v>4</v>
      </c>
      <c r="C3456" s="6" t="s">
        <v>62</v>
      </c>
      <c r="D3456" s="6" t="s">
        <v>395</v>
      </c>
      <c r="E3456" s="6" t="s">
        <v>396</v>
      </c>
      <c r="F3456" s="6" t="str">
        <f>IF($M3456="PADD I","PADD 1",IF($M3456="PADD II","PADD 2",IF($M3456="PADD III","PADD 3",IF($M3456="PADD IV","PADD 4",IF($M3456="PADD V","PADD 5","")))))</f>
        <v>PADD 3</v>
      </c>
      <c r="G3456" s="6" t="str">
        <f>IF(AND($H3456="ATMOS DISTILLATION",ISNUMBER(SEARCH("VPS",$I3456))=FALSE,LEFT($I3456,6)&lt;&gt;"VACUUM"),"CDU",IF($H3456="FLUID CAT CRACKING","FCC",IF(OR($H3456="HYDROCRACKING",$H3456="RESID_HYDROCRACKING"),"Hydrocracker",IF($H3456="REFORMING","Reformer",""))))</f>
        <v>Reformer</v>
      </c>
      <c r="H3456" s="6" t="s">
        <v>421</v>
      </c>
      <c r="I3456" s="6" t="s">
        <v>538</v>
      </c>
      <c r="J3456" s="6" t="s">
        <v>349</v>
      </c>
      <c r="K3456" s="10">
        <v>31.5</v>
      </c>
      <c r="L3456" s="10">
        <v>45</v>
      </c>
      <c r="M3456" s="6" t="s">
        <v>371</v>
      </c>
    </row>
    <row r="3457" spans="1:13">
      <c r="A3457" s="6">
        <v>2024</v>
      </c>
      <c r="B3457" s="6">
        <v>4</v>
      </c>
      <c r="C3457" s="6" t="s">
        <v>62</v>
      </c>
      <c r="D3457" s="6" t="s">
        <v>715</v>
      </c>
      <c r="E3457" s="6" t="s">
        <v>716</v>
      </c>
      <c r="F3457" s="6" t="str">
        <f>IF($M3457="PADD I","PADD 1",IF($M3457="PADD II","PADD 2",IF($M3457="PADD III","PADD 3",IF($M3457="PADD IV","PADD 4",IF($M3457="PADD V","PADD 5","")))))</f>
        <v>PADD 2</v>
      </c>
      <c r="G3457" s="6" t="str">
        <f>IF(AND($H3457="ATMOS DISTILLATION",ISNUMBER(SEARCH("VPS",$I3457))=FALSE,LEFT($I3457,6)&lt;&gt;"VACUUM"),"CDU",IF($H3457="FLUID CAT CRACKING","FCC",IF(OR($H3457="HYDROCRACKING",$H3457="RESID_HYDROCRACKING"),"Hydrocracker",IF($H3457="REFORMING","Reformer",""))))</f>
        <v>CDU</v>
      </c>
      <c r="H3457" s="6" t="s">
        <v>38</v>
      </c>
      <c r="I3457" s="6" t="s">
        <v>1168</v>
      </c>
      <c r="J3457" s="6" t="s">
        <v>349</v>
      </c>
      <c r="K3457" s="10">
        <v>31.5</v>
      </c>
      <c r="L3457" s="10">
        <v>35</v>
      </c>
      <c r="M3457" s="6" t="s">
        <v>375</v>
      </c>
    </row>
    <row r="3458" spans="1:13">
      <c r="A3458" s="6">
        <v>2024</v>
      </c>
      <c r="B3458" s="6">
        <v>4</v>
      </c>
      <c r="C3458" s="6" t="s">
        <v>62</v>
      </c>
      <c r="D3458" s="6" t="s">
        <v>395</v>
      </c>
      <c r="E3458" s="6" t="s">
        <v>396</v>
      </c>
      <c r="F3458" s="6" t="str">
        <f>IF($M3458="PADD I","PADD 1",IF($M3458="PADD II","PADD 2",IF($M3458="PADD III","PADD 3",IF($M3458="PADD IV","PADD 4",IF($M3458="PADD V","PADD 5","")))))</f>
        <v>PADD 3</v>
      </c>
      <c r="G3458" s="6">
        <f>IF(AND($H3458="ATMOS DISTILLATION",ISNUMBER(SEARCH("VPS",$I3458))=FALSE,LEFT($I3458,6)&lt;&gt;"VACUUM"),"CDU",IF($H3458="FLUID CAT CRACKING","FCC",IF(OR($H3458="HYDROCRACKING",$H3458="RESID_HYDROCRACKING"),"Hydrocracker",IF($H3458="REFORMING","Reformer",""))))</f>
        <v/>
      </c>
      <c r="H3458" s="6" t="s">
        <v>378</v>
      </c>
      <c r="I3458" s="6" t="s">
        <v>575</v>
      </c>
      <c r="J3458" s="6" t="s">
        <v>349</v>
      </c>
      <c r="K3458" s="10">
        <v>30</v>
      </c>
      <c r="L3458" s="10">
        <v>30</v>
      </c>
      <c r="M3458" s="6" t="s">
        <v>371</v>
      </c>
    </row>
    <row r="3459" spans="1:13">
      <c r="A3459" s="6">
        <v>2024</v>
      </c>
      <c r="B3459" s="6">
        <v>4</v>
      </c>
      <c r="C3459" s="6" t="s">
        <v>62</v>
      </c>
      <c r="D3459" s="6" t="s">
        <v>446</v>
      </c>
      <c r="E3459" s="6" t="s">
        <v>391</v>
      </c>
      <c r="F3459" s="6" t="str">
        <f>IF($M3459="PADD I","PADD 1",IF($M3459="PADD II","PADD 2",IF($M3459="PADD III","PADD 3",IF($M3459="PADD IV","PADD 4",IF($M3459="PADD V","PADD 5","")))))</f>
        <v>PADD 3</v>
      </c>
      <c r="G3459" s="6" t="str">
        <f>IF(AND($H3459="ATMOS DISTILLATION",ISNUMBER(SEARCH("VPS",$I3459))=FALSE,LEFT($I3459,6)&lt;&gt;"VACUUM"),"CDU",IF($H3459="FLUID CAT CRACKING","FCC",IF(OR($H3459="HYDROCRACKING",$H3459="RESID_HYDROCRACKING"),"Hydrocracker",IF($H3459="REFORMING","Reformer",""))))</f>
        <v>CDU</v>
      </c>
      <c r="H3459" s="6" t="s">
        <v>38</v>
      </c>
      <c r="I3459" s="6" t="s">
        <v>81</v>
      </c>
      <c r="J3459" s="6" t="s">
        <v>345</v>
      </c>
      <c r="K3459" s="10">
        <v>30</v>
      </c>
      <c r="L3459" s="10">
        <v>100</v>
      </c>
      <c r="M3459" s="6" t="s">
        <v>371</v>
      </c>
    </row>
    <row r="3460" spans="1:13">
      <c r="A3460" s="6">
        <v>2024</v>
      </c>
      <c r="B3460" s="6">
        <v>4</v>
      </c>
      <c r="C3460" s="6" t="s">
        <v>62</v>
      </c>
      <c r="D3460" s="6" t="s">
        <v>468</v>
      </c>
      <c r="E3460" s="6" t="s">
        <v>369</v>
      </c>
      <c r="F3460" s="6" t="str">
        <f>IF($M3460="PADD I","PADD 1",IF($M3460="PADD II","PADD 2",IF($M3460="PADD III","PADD 3",IF($M3460="PADD IV","PADD 4",IF($M3460="PADD V","PADD 5","")))))</f>
        <v>PADD 3</v>
      </c>
      <c r="G3460" s="6" t="str">
        <f>IF(AND($H3460="ATMOS DISTILLATION",ISNUMBER(SEARCH("VPS",$I3460))=FALSE,LEFT($I3460,6)&lt;&gt;"VACUUM"),"CDU",IF($H3460="FLUID CAT CRACKING","FCC",IF(OR($H3460="HYDROCRACKING",$H3460="RESID_HYDROCRACKING"),"Hydrocracker",IF($H3460="REFORMING","Reformer",""))))</f>
        <v>FCC</v>
      </c>
      <c r="H3460" s="6" t="s">
        <v>376</v>
      </c>
      <c r="I3460" s="6" t="s">
        <v>469</v>
      </c>
      <c r="J3460" s="6" t="s">
        <v>345</v>
      </c>
      <c r="K3460" s="10">
        <v>30</v>
      </c>
      <c r="L3460" s="10">
        <v>30</v>
      </c>
      <c r="M3460" s="6" t="s">
        <v>371</v>
      </c>
    </row>
    <row r="3461" spans="1:13">
      <c r="A3461" s="6">
        <v>2024</v>
      </c>
      <c r="B3461" s="6">
        <v>4</v>
      </c>
      <c r="C3461" s="6" t="s">
        <v>62</v>
      </c>
      <c r="D3461" s="6" t="s">
        <v>468</v>
      </c>
      <c r="E3461" s="6" t="s">
        <v>369</v>
      </c>
      <c r="F3461" s="6" t="str">
        <f>IF($M3461="PADD I","PADD 1",IF($M3461="PADD II","PADD 2",IF($M3461="PADD III","PADD 3",IF($M3461="PADD IV","PADD 4",IF($M3461="PADD V","PADD 5","")))))</f>
        <v>PADD 3</v>
      </c>
      <c r="G3461" s="6" t="str">
        <f>IF(AND($H3461="ATMOS DISTILLATION",ISNUMBER(SEARCH("VPS",$I3461))=FALSE,LEFT($I3461,6)&lt;&gt;"VACUUM"),"CDU",IF($H3461="FLUID CAT CRACKING","FCC",IF(OR($H3461="HYDROCRACKING",$H3461="RESID_HYDROCRACKING"),"Hydrocracker",IF($H3461="REFORMING","Reformer",""))))</f>
        <v>FCC</v>
      </c>
      <c r="H3461" s="6" t="s">
        <v>376</v>
      </c>
      <c r="I3461" s="6" t="s">
        <v>473</v>
      </c>
      <c r="J3461" s="6" t="s">
        <v>345</v>
      </c>
      <c r="K3461" s="10">
        <v>30</v>
      </c>
      <c r="L3461" s="10">
        <v>30</v>
      </c>
      <c r="M3461" s="6" t="s">
        <v>371</v>
      </c>
    </row>
    <row r="3462" spans="1:13">
      <c r="A3462" s="6">
        <v>2024</v>
      </c>
      <c r="B3462" s="6">
        <v>4</v>
      </c>
      <c r="C3462" s="6" t="s">
        <v>62</v>
      </c>
      <c r="D3462" s="6" t="s">
        <v>446</v>
      </c>
      <c r="E3462" s="6" t="s">
        <v>391</v>
      </c>
      <c r="F3462" s="6" t="str">
        <f>IF($M3462="PADD I","PADD 1",IF($M3462="PADD II","PADD 2",IF($M3462="PADD III","PADD 3",IF($M3462="PADD IV","PADD 4",IF($M3462="PADD V","PADD 5","")))))</f>
        <v>PADD 3</v>
      </c>
      <c r="G3462" s="6">
        <f>IF(AND($H3462="ATMOS DISTILLATION",ISNUMBER(SEARCH("VPS",$I3462))=FALSE,LEFT($I3462,6)&lt;&gt;"VACUUM"),"CDU",IF($H3462="FLUID CAT CRACKING","FCC",IF(OR($H3462="HYDROCRACKING",$H3462="RESID_HYDROCRACKING"),"Hydrocracker",IF($H3462="REFORMING","Reformer",""))))</f>
        <v/>
      </c>
      <c r="H3462" s="6" t="s">
        <v>43</v>
      </c>
      <c r="I3462" s="6" t="s">
        <v>1143</v>
      </c>
      <c r="J3462" s="6" t="s">
        <v>349</v>
      </c>
      <c r="K3462" s="10">
        <v>29.76</v>
      </c>
      <c r="L3462" s="10">
        <v>32</v>
      </c>
      <c r="M3462" s="6" t="s">
        <v>371</v>
      </c>
    </row>
    <row r="3463" spans="1:13">
      <c r="A3463" s="6">
        <v>2024</v>
      </c>
      <c r="B3463" s="6">
        <v>4</v>
      </c>
      <c r="C3463" s="6" t="s">
        <v>62</v>
      </c>
      <c r="D3463" s="6" t="s">
        <v>380</v>
      </c>
      <c r="E3463" s="6" t="s">
        <v>381</v>
      </c>
      <c r="F3463" s="6" t="str">
        <f>IF($M3463="PADD I","PADD 1",IF($M3463="PADD II","PADD 2",IF($M3463="PADD III","PADD 3",IF($M3463="PADD IV","PADD 4",IF($M3463="PADD V","PADD 5","")))))</f>
        <v>PADD 3</v>
      </c>
      <c r="G3463" s="6" t="str">
        <f>IF(AND($H3463="ATMOS DISTILLATION",ISNUMBER(SEARCH("VPS",$I3463))=FALSE,LEFT($I3463,6)&lt;&gt;"VACUUM"),"CDU",IF($H3463="FLUID CAT CRACKING","FCC",IF(OR($H3463="HYDROCRACKING",$H3463="RESID_HYDROCRACKING"),"Hydrocracker",IF($H3463="REFORMING","Reformer",""))))</f>
        <v>CDU</v>
      </c>
      <c r="H3463" s="6" t="s">
        <v>38</v>
      </c>
      <c r="I3463" s="6" t="s">
        <v>846</v>
      </c>
      <c r="J3463" s="6" t="s">
        <v>349</v>
      </c>
      <c r="K3463" s="10">
        <v>29.7</v>
      </c>
      <c r="L3463" s="10">
        <v>90</v>
      </c>
      <c r="M3463" s="6" t="s">
        <v>371</v>
      </c>
    </row>
    <row r="3464" spans="1:13">
      <c r="A3464" s="6">
        <v>2024</v>
      </c>
      <c r="B3464" s="6">
        <v>4</v>
      </c>
      <c r="C3464" s="6" t="s">
        <v>62</v>
      </c>
      <c r="D3464" s="6" t="s">
        <v>333</v>
      </c>
      <c r="E3464" s="6" t="s">
        <v>381</v>
      </c>
      <c r="F3464" s="6" t="str">
        <f>IF($M3464="PADD I","PADD 1",IF($M3464="PADD II","PADD 2",IF($M3464="PADD III","PADD 3",IF($M3464="PADD IV","PADD 4",IF($M3464="PADD V","PADD 5","")))))</f>
        <v>PADD 3</v>
      </c>
      <c r="G3464" s="6" t="str">
        <f>IF(AND($H3464="ATMOS DISTILLATION",ISNUMBER(SEARCH("VPS",$I3464))=FALSE,LEFT($I3464,6)&lt;&gt;"VACUUM"),"CDU",IF($H3464="FLUID CAT CRACKING","FCC",IF(OR($H3464="HYDROCRACKING",$H3464="RESID_HYDROCRACKING"),"Hydrocracker",IF($H3464="REFORMING","Reformer",""))))</f>
        <v>Reformer</v>
      </c>
      <c r="H3464" s="6" t="s">
        <v>421</v>
      </c>
      <c r="I3464" s="6" t="s">
        <v>941</v>
      </c>
      <c r="J3464" s="6" t="s">
        <v>345</v>
      </c>
      <c r="K3464" s="10">
        <v>29.6</v>
      </c>
      <c r="L3464" s="10">
        <v>80</v>
      </c>
      <c r="M3464" s="6" t="s">
        <v>371</v>
      </c>
    </row>
    <row r="3465" spans="1:13">
      <c r="A3465" s="6">
        <v>2024</v>
      </c>
      <c r="B3465" s="6">
        <v>4</v>
      </c>
      <c r="C3465" s="6" t="s">
        <v>62</v>
      </c>
      <c r="D3465" s="6" t="s">
        <v>415</v>
      </c>
      <c r="E3465" s="6" t="s">
        <v>416</v>
      </c>
      <c r="F3465" s="6" t="str">
        <f>IF($M3465="PADD I","PADD 1",IF($M3465="PADD II","PADD 2",IF($M3465="PADD III","PADD 3",IF($M3465="PADD IV","PADD 4",IF($M3465="PADD V","PADD 5","")))))</f>
        <v>PADD 3</v>
      </c>
      <c r="G3465" s="6">
        <f>IF(AND($H3465="ATMOS DISTILLATION",ISNUMBER(SEARCH("VPS",$I3465))=FALSE,LEFT($I3465,6)&lt;&gt;"VACUUM"),"CDU",IF($H3465="FLUID CAT CRACKING","FCC",IF(OR($H3465="HYDROCRACKING",$H3465="RESID_HYDROCRACKING"),"Hydrocracker",IF($H3465="REFORMING","Reformer",""))))</f>
        <v/>
      </c>
      <c r="H3465" s="6" t="s">
        <v>435</v>
      </c>
      <c r="I3465" s="6" t="s">
        <v>1169</v>
      </c>
      <c r="J3465" s="6" t="s">
        <v>349</v>
      </c>
      <c r="K3465" s="10">
        <v>28.2</v>
      </c>
      <c r="L3465" s="10">
        <v>60</v>
      </c>
      <c r="M3465" s="6" t="s">
        <v>371</v>
      </c>
    </row>
    <row r="3466" spans="1:13">
      <c r="A3466" s="6">
        <v>2024</v>
      </c>
      <c r="B3466" s="6">
        <v>4</v>
      </c>
      <c r="C3466" s="6" t="s">
        <v>62</v>
      </c>
      <c r="D3466" s="6" t="s">
        <v>395</v>
      </c>
      <c r="E3466" s="6" t="s">
        <v>396</v>
      </c>
      <c r="F3466" s="6" t="str">
        <f>IF($M3466="PADD I","PADD 1",IF($M3466="PADD II","PADD 2",IF($M3466="PADD III","PADD 3",IF($M3466="PADD IV","PADD 4",IF($M3466="PADD V","PADD 5","")))))</f>
        <v>PADD 3</v>
      </c>
      <c r="G3466" s="6" t="str">
        <f>IF(AND($H3466="ATMOS DISTILLATION",ISNUMBER(SEARCH("VPS",$I3466))=FALSE,LEFT($I3466,6)&lt;&gt;"VACUUM"),"CDU",IF($H3466="FLUID CAT CRACKING","FCC",IF(OR($H3466="HYDROCRACKING",$H3466="RESID_HYDROCRACKING"),"Hydrocracker",IF($H3466="REFORMING","Reformer",""))))</f>
        <v>Reformer</v>
      </c>
      <c r="H3466" s="6" t="s">
        <v>421</v>
      </c>
      <c r="I3466" s="6" t="s">
        <v>540</v>
      </c>
      <c r="J3466" s="6" t="s">
        <v>345</v>
      </c>
      <c r="K3466" s="10">
        <v>27</v>
      </c>
      <c r="L3466" s="10">
        <v>45</v>
      </c>
      <c r="M3466" s="6" t="s">
        <v>371</v>
      </c>
    </row>
    <row r="3467" spans="1:13">
      <c r="A3467" s="6">
        <v>2024</v>
      </c>
      <c r="B3467" s="6">
        <v>4</v>
      </c>
      <c r="C3467" s="6" t="s">
        <v>62</v>
      </c>
      <c r="D3467" s="6" t="s">
        <v>408</v>
      </c>
      <c r="E3467" s="6" t="s">
        <v>409</v>
      </c>
      <c r="F3467" s="6" t="str">
        <f>IF($M3467="PADD I","PADD 1",IF($M3467="PADD II","PADD 2",IF($M3467="PADD III","PADD 3",IF($M3467="PADD IV","PADD 4",IF($M3467="PADD V","PADD 5","")))))</f>
        <v>PADD 3</v>
      </c>
      <c r="G3467" s="6" t="str">
        <f>IF(AND($H3467="ATMOS DISTILLATION",ISNUMBER(SEARCH("VPS",$I3467))=FALSE,LEFT($I3467,6)&lt;&gt;"VACUUM"),"CDU",IF($H3467="FLUID CAT CRACKING","FCC",IF(OR($H3467="HYDROCRACKING",$H3467="RESID_HYDROCRACKING"),"Hydrocracker",IF($H3467="REFORMING","Reformer",""))))</f>
        <v>Reformer</v>
      </c>
      <c r="H3467" s="6" t="s">
        <v>421</v>
      </c>
      <c r="I3467" s="6" t="s">
        <v>533</v>
      </c>
      <c r="J3467" s="6" t="s">
        <v>345</v>
      </c>
      <c r="K3467" s="10">
        <v>26.95</v>
      </c>
      <c r="L3467" s="10">
        <v>35</v>
      </c>
      <c r="M3467" s="6" t="s">
        <v>371</v>
      </c>
    </row>
    <row r="3468" spans="1:13">
      <c r="A3468" s="6">
        <v>2024</v>
      </c>
      <c r="B3468" s="6">
        <v>4</v>
      </c>
      <c r="C3468" s="6" t="s">
        <v>62</v>
      </c>
      <c r="D3468" s="6" t="s">
        <v>321</v>
      </c>
      <c r="E3468" s="6" t="s">
        <v>381</v>
      </c>
      <c r="F3468" s="6" t="str">
        <f>IF($M3468="PADD I","PADD 1",IF($M3468="PADD II","PADD 2",IF($M3468="PADD III","PADD 3",IF($M3468="PADD IV","PADD 4",IF($M3468="PADD V","PADD 5","")))))</f>
        <v>PADD 2</v>
      </c>
      <c r="G3468" s="6">
        <f>IF(AND($H3468="ATMOS DISTILLATION",ISNUMBER(SEARCH("VPS",$I3468))=FALSE,LEFT($I3468,6)&lt;&gt;"VACUUM"),"CDU",IF($H3468="FLUID CAT CRACKING","FCC",IF(OR($H3468="HYDROCRACKING",$H3468="RESID_HYDROCRACKING"),"Hydrocracker",IF($H3468="REFORMING","Reformer",""))))</f>
        <v/>
      </c>
      <c r="H3468" s="6" t="s">
        <v>43</v>
      </c>
      <c r="I3468" s="6" t="s">
        <v>1170</v>
      </c>
      <c r="J3468" s="6" t="s">
        <v>349</v>
      </c>
      <c r="K3468" s="10">
        <v>25</v>
      </c>
      <c r="L3468" s="10">
        <v>25</v>
      </c>
      <c r="M3468" s="6" t="s">
        <v>375</v>
      </c>
    </row>
    <row r="3469" spans="1:13">
      <c r="A3469" s="6">
        <v>2024</v>
      </c>
      <c r="B3469" s="6">
        <v>4</v>
      </c>
      <c r="C3469" s="6" t="s">
        <v>62</v>
      </c>
      <c r="D3469" s="6" t="s">
        <v>415</v>
      </c>
      <c r="E3469" s="6" t="s">
        <v>416</v>
      </c>
      <c r="F3469" s="6" t="str">
        <f>IF($M3469="PADD I","PADD 1",IF($M3469="PADD II","PADD 2",IF($M3469="PADD III","PADD 3",IF($M3469="PADD IV","PADD 4",IF($M3469="PADD V","PADD 5","")))))</f>
        <v>PADD 3</v>
      </c>
      <c r="G3469" s="6">
        <f>IF(AND($H3469="ATMOS DISTILLATION",ISNUMBER(SEARCH("VPS",$I3469))=FALSE,LEFT($I3469,6)&lt;&gt;"VACUUM"),"CDU",IF($H3469="FLUID CAT CRACKING","FCC",IF(OR($H3469="HYDROCRACKING",$H3469="RESID_HYDROCRACKING"),"Hydrocracker",IF($H3469="REFORMING","Reformer",""))))</f>
        <v/>
      </c>
      <c r="H3469" s="6" t="s">
        <v>435</v>
      </c>
      <c r="I3469" s="6" t="s">
        <v>453</v>
      </c>
      <c r="J3469" s="6" t="s">
        <v>345</v>
      </c>
      <c r="K3469" s="10">
        <v>24.82</v>
      </c>
      <c r="L3469" s="10">
        <v>34</v>
      </c>
      <c r="M3469" s="6" t="s">
        <v>371</v>
      </c>
    </row>
    <row r="3470" spans="1:13">
      <c r="A3470" s="6">
        <v>2024</v>
      </c>
      <c r="B3470" s="6">
        <v>4</v>
      </c>
      <c r="C3470" s="6" t="s">
        <v>62</v>
      </c>
      <c r="D3470" s="6" t="s">
        <v>1171</v>
      </c>
      <c r="E3470" s="6" t="s">
        <v>1172</v>
      </c>
      <c r="F3470" s="6" t="str">
        <f>IF($M3470="PADD I","PADD 1",IF($M3470="PADD II","PADD 2",IF($M3470="PADD III","PADD 3",IF($M3470="PADD IV","PADD 4",IF($M3470="PADD V","PADD 5","")))))</f>
        <v>PADD 3</v>
      </c>
      <c r="G3470" s="6" t="str">
        <f>IF(AND($H3470="ATMOS DISTILLATION",ISNUMBER(SEARCH("VPS",$I3470))=FALSE,LEFT($I3470,6)&lt;&gt;"VACUUM"),"CDU",IF($H3470="FLUID CAT CRACKING","FCC",IF(OR($H3470="HYDROCRACKING",$H3470="RESID_HYDROCRACKING"),"Hydrocracker",IF($H3470="REFORMING","Reformer",""))))</f>
        <v>CDU</v>
      </c>
      <c r="H3470" s="6" t="s">
        <v>38</v>
      </c>
      <c r="I3470" s="6" t="s">
        <v>1173</v>
      </c>
      <c r="J3470" s="6" t="s">
        <v>349</v>
      </c>
      <c r="K3470" s="10">
        <v>23.5</v>
      </c>
      <c r="L3470" s="10">
        <v>50</v>
      </c>
      <c r="M3470" s="6" t="s">
        <v>371</v>
      </c>
    </row>
    <row r="3471" spans="1:13">
      <c r="A3471" s="6">
        <v>2024</v>
      </c>
      <c r="B3471" s="6">
        <v>4</v>
      </c>
      <c r="C3471" s="6" t="s">
        <v>62</v>
      </c>
      <c r="D3471" s="6" t="s">
        <v>639</v>
      </c>
      <c r="E3471" s="6" t="s">
        <v>452</v>
      </c>
      <c r="F3471" s="6" t="str">
        <f>IF($M3471="PADD I","PADD 1",IF($M3471="PADD II","PADD 2",IF($M3471="PADD III","PADD 3",IF($M3471="PADD IV","PADD 4",IF($M3471="PADD V","PADD 5","")))))</f>
        <v>PADD 5</v>
      </c>
      <c r="G3471" s="6" t="str">
        <f>IF(AND($H3471="ATMOS DISTILLATION",ISNUMBER(SEARCH("VPS",$I3471))=FALSE,LEFT($I3471,6)&lt;&gt;"VACUUM"),"CDU",IF($H3471="FLUID CAT CRACKING","FCC",IF(OR($H3471="HYDROCRACKING",$H3471="RESID_HYDROCRACKING"),"Hydrocracker",IF($H3471="REFORMING","Reformer",""))))</f>
        <v>FCC</v>
      </c>
      <c r="H3471" s="6" t="s">
        <v>376</v>
      </c>
      <c r="I3471" s="6" t="s">
        <v>105</v>
      </c>
      <c r="J3471" s="6" t="s">
        <v>349</v>
      </c>
      <c r="K3471" s="10">
        <v>23.5</v>
      </c>
      <c r="L3471" s="10">
        <v>50</v>
      </c>
      <c r="M3471" s="6" t="s">
        <v>386</v>
      </c>
    </row>
    <row r="3472" spans="1:13">
      <c r="A3472" s="6">
        <v>2024</v>
      </c>
      <c r="B3472" s="6">
        <v>4</v>
      </c>
      <c r="C3472" s="6" t="s">
        <v>62</v>
      </c>
      <c r="D3472" s="6" t="s">
        <v>446</v>
      </c>
      <c r="E3472" s="6" t="s">
        <v>391</v>
      </c>
      <c r="F3472" s="6" t="str">
        <f>IF($M3472="PADD I","PADD 1",IF($M3472="PADD II","PADD 2",IF($M3472="PADD III","PADD 3",IF($M3472="PADD IV","PADD 4",IF($M3472="PADD V","PADD 5","")))))</f>
        <v>PADD 3</v>
      </c>
      <c r="G3472" s="6" t="str">
        <f>IF(AND($H3472="ATMOS DISTILLATION",ISNUMBER(SEARCH("VPS",$I3472))=FALSE,LEFT($I3472,6)&lt;&gt;"VACUUM"),"CDU",IF($H3472="FLUID CAT CRACKING","FCC",IF(OR($H3472="HYDROCRACKING",$H3472="RESID_HYDROCRACKING"),"Hydrocracker",IF($H3472="REFORMING","Reformer",""))))</f>
        <v>Reformer</v>
      </c>
      <c r="H3472" s="6" t="s">
        <v>421</v>
      </c>
      <c r="I3472" s="6" t="s">
        <v>483</v>
      </c>
      <c r="J3472" s="6" t="s">
        <v>349</v>
      </c>
      <c r="K3472" s="10">
        <v>22.32</v>
      </c>
      <c r="L3472" s="10">
        <v>24</v>
      </c>
      <c r="M3472" s="6" t="s">
        <v>371</v>
      </c>
    </row>
    <row r="3473" spans="1:13">
      <c r="A3473" s="6">
        <v>2024</v>
      </c>
      <c r="B3473" s="6">
        <v>4</v>
      </c>
      <c r="C3473" s="6" t="s">
        <v>62</v>
      </c>
      <c r="D3473" s="6" t="s">
        <v>346</v>
      </c>
      <c r="E3473" s="6" t="s">
        <v>383</v>
      </c>
      <c r="F3473" s="6" t="str">
        <f>IF($M3473="PADD I","PADD 1",IF($M3473="PADD II","PADD 2",IF($M3473="PADD III","PADD 3",IF($M3473="PADD IV","PADD 4",IF($M3473="PADD V","PADD 5","")))))</f>
        <v>PADD 2</v>
      </c>
      <c r="G3473" s="6">
        <f>IF(AND($H3473="ATMOS DISTILLATION",ISNUMBER(SEARCH("VPS",$I3473))=FALSE,LEFT($I3473,6)&lt;&gt;"VACUUM"),"CDU",IF($H3473="FLUID CAT CRACKING","FCC",IF(OR($H3473="HYDROCRACKING",$H3473="RESID_HYDROCRACKING"),"Hydrocracker",IF($H3473="REFORMING","Reformer",""))))</f>
        <v/>
      </c>
      <c r="H3473" s="6" t="s">
        <v>43</v>
      </c>
      <c r="I3473" s="6" t="s">
        <v>424</v>
      </c>
      <c r="J3473" s="6" t="s">
        <v>349</v>
      </c>
      <c r="K3473" s="10">
        <v>22.26</v>
      </c>
      <c r="L3473" s="10">
        <v>42</v>
      </c>
      <c r="M3473" s="6" t="s">
        <v>375</v>
      </c>
    </row>
    <row r="3474" spans="1:13">
      <c r="A3474" s="6">
        <v>2024</v>
      </c>
      <c r="B3474" s="6">
        <v>4</v>
      </c>
      <c r="C3474" s="6" t="s">
        <v>62</v>
      </c>
      <c r="D3474" s="6" t="s">
        <v>457</v>
      </c>
      <c r="E3474" s="6" t="s">
        <v>388</v>
      </c>
      <c r="F3474" s="6" t="str">
        <f>IF($M3474="PADD I","PADD 1",IF($M3474="PADD II","PADD 2",IF($M3474="PADD III","PADD 3",IF($M3474="PADD IV","PADD 4",IF($M3474="PADD V","PADD 5","")))))</f>
        <v>PADD 5</v>
      </c>
      <c r="G3474" s="6" t="str">
        <f>IF(AND($H3474="ATMOS DISTILLATION",ISNUMBER(SEARCH("VPS",$I3474))=FALSE,LEFT($I3474,6)&lt;&gt;"VACUUM"),"CDU",IF($H3474="FLUID CAT CRACKING","FCC",IF(OR($H3474="HYDROCRACKING",$H3474="RESID_HYDROCRACKING"),"Hydrocracker",IF($H3474="REFORMING","Reformer",""))))</f>
        <v>FCC</v>
      </c>
      <c r="H3474" s="6" t="s">
        <v>376</v>
      </c>
      <c r="I3474" s="6" t="s">
        <v>105</v>
      </c>
      <c r="J3474" s="6" t="s">
        <v>345</v>
      </c>
      <c r="K3474" s="10">
        <v>22</v>
      </c>
      <c r="L3474" s="10">
        <v>55</v>
      </c>
      <c r="M3474" s="6" t="s">
        <v>386</v>
      </c>
    </row>
    <row r="3475" spans="1:13">
      <c r="A3475" s="6">
        <v>2024</v>
      </c>
      <c r="B3475" s="6">
        <v>4</v>
      </c>
      <c r="C3475" s="6" t="s">
        <v>62</v>
      </c>
      <c r="D3475" s="6" t="s">
        <v>547</v>
      </c>
      <c r="E3475" s="6" t="s">
        <v>391</v>
      </c>
      <c r="F3475" s="6" t="str">
        <f>IF($M3475="PADD I","PADD 1",IF($M3475="PADD II","PADD 2",IF($M3475="PADD III","PADD 3",IF($M3475="PADD IV","PADD 4",IF($M3475="PADD V","PADD 5","")))))</f>
        <v>PADD 5</v>
      </c>
      <c r="G3475" s="6" t="str">
        <f>IF(AND($H3475="ATMOS DISTILLATION",ISNUMBER(SEARCH("VPS",$I3475))=FALSE,LEFT($I3475,6)&lt;&gt;"VACUUM"),"CDU",IF($H3475="FLUID CAT CRACKING","FCC",IF(OR($H3475="HYDROCRACKING",$H3475="RESID_HYDROCRACKING"),"Hydrocracker",IF($H3475="REFORMING","Reformer",""))))</f>
        <v>FCC</v>
      </c>
      <c r="H3475" s="6" t="s">
        <v>376</v>
      </c>
      <c r="I3475" s="6" t="s">
        <v>105</v>
      </c>
      <c r="J3475" s="6" t="s">
        <v>345</v>
      </c>
      <c r="K3475" s="10">
        <v>21.6</v>
      </c>
      <c r="L3475" s="10">
        <v>80</v>
      </c>
      <c r="M3475" s="6" t="s">
        <v>386</v>
      </c>
    </row>
    <row r="3476" spans="1:13">
      <c r="A3476" s="6">
        <v>2024</v>
      </c>
      <c r="B3476" s="6">
        <v>4</v>
      </c>
      <c r="C3476" s="6" t="s">
        <v>62</v>
      </c>
      <c r="D3476" s="6" t="s">
        <v>547</v>
      </c>
      <c r="E3476" s="6" t="s">
        <v>391</v>
      </c>
      <c r="F3476" s="6" t="str">
        <f>IF($M3476="PADD I","PADD 1",IF($M3476="PADD II","PADD 2",IF($M3476="PADD III","PADD 3",IF($M3476="PADD IV","PADD 4",IF($M3476="PADD V","PADD 5","")))))</f>
        <v>PADD 5</v>
      </c>
      <c r="G3476" s="6">
        <f>IF(AND($H3476="ATMOS DISTILLATION",ISNUMBER(SEARCH("VPS",$I3476))=FALSE,LEFT($I3476,6)&lt;&gt;"VACUUM"),"CDU",IF($H3476="FLUID CAT CRACKING","FCC",IF(OR($H3476="HYDROCRACKING",$H3476="RESID_HYDROCRACKING"),"Hydrocracker",IF($H3476="REFORMING","Reformer",""))))</f>
        <v/>
      </c>
      <c r="H3476" s="6" t="s">
        <v>43</v>
      </c>
      <c r="I3476" s="6" t="s">
        <v>926</v>
      </c>
      <c r="J3476" s="6" t="s">
        <v>345</v>
      </c>
      <c r="K3476" s="10">
        <v>21.6</v>
      </c>
      <c r="L3476" s="10">
        <v>80</v>
      </c>
      <c r="M3476" s="6" t="s">
        <v>386</v>
      </c>
    </row>
    <row r="3477" spans="1:13">
      <c r="A3477" s="6">
        <v>2024</v>
      </c>
      <c r="B3477" s="6">
        <v>4</v>
      </c>
      <c r="C3477" s="6" t="s">
        <v>62</v>
      </c>
      <c r="D3477" s="6" t="s">
        <v>333</v>
      </c>
      <c r="E3477" s="6" t="s">
        <v>381</v>
      </c>
      <c r="F3477" s="6" t="str">
        <f>IF($M3477="PADD I","PADD 1",IF($M3477="PADD II","PADD 2",IF($M3477="PADD III","PADD 3",IF($M3477="PADD IV","PADD 4",IF($M3477="PADD V","PADD 5","")))))</f>
        <v>PADD 3</v>
      </c>
      <c r="G3477" s="6" t="str">
        <f>IF(AND($H3477="ATMOS DISTILLATION",ISNUMBER(SEARCH("VPS",$I3477))=FALSE,LEFT($I3477,6)&lt;&gt;"VACUUM"),"CDU",IF($H3477="FLUID CAT CRACKING","FCC",IF(OR($H3477="HYDROCRACKING",$H3477="RESID_HYDROCRACKING"),"Hydrocracker",IF($H3477="REFORMING","Reformer",""))))</f>
        <v>Reformer</v>
      </c>
      <c r="H3477" s="6" t="s">
        <v>421</v>
      </c>
      <c r="I3477" s="6" t="s">
        <v>548</v>
      </c>
      <c r="J3477" s="6" t="s">
        <v>345</v>
      </c>
      <c r="K3477" s="10">
        <v>21.6</v>
      </c>
      <c r="L3477" s="10">
        <v>80</v>
      </c>
      <c r="M3477" s="6" t="s">
        <v>371</v>
      </c>
    </row>
    <row r="3478" spans="1:13">
      <c r="A3478" s="6">
        <v>2024</v>
      </c>
      <c r="B3478" s="6">
        <v>4</v>
      </c>
      <c r="C3478" s="6" t="s">
        <v>62</v>
      </c>
      <c r="D3478" s="6" t="s">
        <v>1060</v>
      </c>
      <c r="E3478" s="6" t="s">
        <v>1039</v>
      </c>
      <c r="F3478" s="6" t="str">
        <f>IF($M3478="PADD I","PADD 1",IF($M3478="PADD II","PADD 2",IF($M3478="PADD III","PADD 3",IF($M3478="PADD IV","PADD 4",IF($M3478="PADD V","PADD 5","")))))</f>
        <v>PADD 2</v>
      </c>
      <c r="G3478" s="6" t="str">
        <f>IF(AND($H3478="ATMOS DISTILLATION",ISNUMBER(SEARCH("VPS",$I3478))=FALSE,LEFT($I3478,6)&lt;&gt;"VACUUM"),"CDU",IF($H3478="FLUID CAT CRACKING","FCC",IF(OR($H3478="HYDROCRACKING",$H3478="RESID_HYDROCRACKING"),"Hydrocracker",IF($H3478="REFORMING","Reformer",""))))</f>
        <v>CDU</v>
      </c>
      <c r="H3478" s="6" t="s">
        <v>38</v>
      </c>
      <c r="I3478" s="6" t="s">
        <v>406</v>
      </c>
      <c r="J3478" s="6" t="s">
        <v>345</v>
      </c>
      <c r="K3478" s="10">
        <v>21.2</v>
      </c>
      <c r="L3478" s="10">
        <v>40</v>
      </c>
      <c r="M3478" s="6" t="s">
        <v>375</v>
      </c>
    </row>
    <row r="3479" spans="1:13">
      <c r="A3479" s="6">
        <v>2024</v>
      </c>
      <c r="B3479" s="6">
        <v>4</v>
      </c>
      <c r="C3479" s="6" t="s">
        <v>62</v>
      </c>
      <c r="D3479" s="6" t="s">
        <v>490</v>
      </c>
      <c r="E3479" s="6" t="s">
        <v>491</v>
      </c>
      <c r="F3479" s="6" t="str">
        <f>IF($M3479="PADD I","PADD 1",IF($M3479="PADD II","PADD 2",IF($M3479="PADD III","PADD 3",IF($M3479="PADD IV","PADD 4",IF($M3479="PADD V","PADD 5","")))))</f>
        <v>PADD 3</v>
      </c>
      <c r="G3479" s="6">
        <f>IF(AND($H3479="ATMOS DISTILLATION",ISNUMBER(SEARCH("VPS",$I3479))=FALSE,LEFT($I3479,6)&lt;&gt;"VACUUM"),"CDU",IF($H3479="FLUID CAT CRACKING","FCC",IF(OR($H3479="HYDROCRACKING",$H3479="RESID_HYDROCRACKING"),"Hydrocracker",IF($H3479="REFORMING","Reformer",""))))</f>
        <v/>
      </c>
      <c r="H3479" s="6" t="s">
        <v>378</v>
      </c>
      <c r="I3479" s="6" t="s">
        <v>560</v>
      </c>
      <c r="J3479" s="6" t="s">
        <v>345</v>
      </c>
      <c r="K3479" s="10">
        <v>20.8</v>
      </c>
      <c r="L3479" s="10">
        <v>104</v>
      </c>
      <c r="M3479" s="6" t="s">
        <v>371</v>
      </c>
    </row>
    <row r="3480" spans="1:13">
      <c r="A3480" s="6">
        <v>2024</v>
      </c>
      <c r="B3480" s="6">
        <v>4</v>
      </c>
      <c r="C3480" s="6" t="s">
        <v>62</v>
      </c>
      <c r="D3480" s="6" t="s">
        <v>333</v>
      </c>
      <c r="E3480" s="6" t="s">
        <v>381</v>
      </c>
      <c r="F3480" s="6" t="str">
        <f>IF($M3480="PADD I","PADD 1",IF($M3480="PADD II","PADD 2",IF($M3480="PADD III","PADD 3",IF($M3480="PADD IV","PADD 4",IF($M3480="PADD V","PADD 5","")))))</f>
        <v>PADD 3</v>
      </c>
      <c r="G3480" s="6">
        <f>IF(AND($H3480="ATMOS DISTILLATION",ISNUMBER(SEARCH("VPS",$I3480))=FALSE,LEFT($I3480,6)&lt;&gt;"VACUUM"),"CDU",IF($H3480="FLUID CAT CRACKING","FCC",IF(OR($H3480="HYDROCRACKING",$H3480="RESID_HYDROCRACKING"),"Hydrocracker",IF($H3480="REFORMING","Reformer",""))))</f>
        <v/>
      </c>
      <c r="H3480" s="6" t="s">
        <v>43</v>
      </c>
      <c r="I3480" s="6" t="s">
        <v>943</v>
      </c>
      <c r="J3480" s="6" t="s">
        <v>349</v>
      </c>
      <c r="K3480" s="10">
        <v>20</v>
      </c>
      <c r="L3480" s="10">
        <v>40</v>
      </c>
      <c r="M3480" s="6" t="s">
        <v>371</v>
      </c>
    </row>
    <row r="3481" spans="1:13">
      <c r="A3481" s="6">
        <v>2024</v>
      </c>
      <c r="B3481" s="6">
        <v>4</v>
      </c>
      <c r="C3481" s="6" t="s">
        <v>62</v>
      </c>
      <c r="D3481" s="6" t="s">
        <v>676</v>
      </c>
      <c r="E3481" s="6" t="s">
        <v>677</v>
      </c>
      <c r="F3481" s="6" t="str">
        <f>IF($M3481="PADD I","PADD 1",IF($M3481="PADD II","PADD 2",IF($M3481="PADD III","PADD 3",IF($M3481="PADD IV","PADD 4",IF($M3481="PADD V","PADD 5","")))))</f>
        <v>PADD 1</v>
      </c>
      <c r="G3481" s="6">
        <f>IF(AND($H3481="ATMOS DISTILLATION",ISNUMBER(SEARCH("VPS",$I3481))=FALSE,LEFT($I3481,6)&lt;&gt;"VACUUM"),"CDU",IF($H3481="FLUID CAT CRACKING","FCC",IF(OR($H3481="HYDROCRACKING",$H3481="RESID_HYDROCRACKING"),"Hydrocracker",IF($H3481="REFORMING","Reformer",""))))</f>
        <v/>
      </c>
      <c r="H3481" s="6" t="s">
        <v>43</v>
      </c>
      <c r="I3481" s="6" t="s">
        <v>1017</v>
      </c>
      <c r="J3481" s="6" t="s">
        <v>349</v>
      </c>
      <c r="K3481" s="10">
        <v>18</v>
      </c>
      <c r="L3481" s="10">
        <v>45</v>
      </c>
      <c r="M3481" s="6" t="s">
        <v>413</v>
      </c>
    </row>
    <row r="3482" spans="1:13">
      <c r="A3482" s="6">
        <v>2024</v>
      </c>
      <c r="B3482" s="6">
        <v>4</v>
      </c>
      <c r="C3482" s="6" t="s">
        <v>62</v>
      </c>
      <c r="D3482" s="6" t="s">
        <v>490</v>
      </c>
      <c r="E3482" s="6" t="s">
        <v>491</v>
      </c>
      <c r="F3482" s="6" t="str">
        <f>IF($M3482="PADD I","PADD 1",IF($M3482="PADD II","PADD 2",IF($M3482="PADD III","PADD 3",IF($M3482="PADD IV","PADD 4",IF($M3482="PADD V","PADD 5","")))))</f>
        <v>PADD 3</v>
      </c>
      <c r="G3482" s="6">
        <f>IF(AND($H3482="ATMOS DISTILLATION",ISNUMBER(SEARCH("VPS",$I3482))=FALSE,LEFT($I3482,6)&lt;&gt;"VACUUM"),"CDU",IF($H3482="FLUID CAT CRACKING","FCC",IF(OR($H3482="HYDROCRACKING",$H3482="RESID_HYDROCRACKING"),"Hydrocracker",IF($H3482="REFORMING","Reformer",""))))</f>
        <v/>
      </c>
      <c r="H3482" s="6" t="s">
        <v>38</v>
      </c>
      <c r="I3482" s="6" t="s">
        <v>1008</v>
      </c>
      <c r="J3482" s="6" t="s">
        <v>345</v>
      </c>
      <c r="K3482" s="10">
        <v>18</v>
      </c>
      <c r="L3482" s="10">
        <v>90</v>
      </c>
      <c r="M3482" s="6" t="s">
        <v>371</v>
      </c>
    </row>
    <row r="3483" spans="1:13">
      <c r="A3483" s="6">
        <v>2024</v>
      </c>
      <c r="B3483" s="6">
        <v>4</v>
      </c>
      <c r="C3483" s="6" t="s">
        <v>62</v>
      </c>
      <c r="D3483" s="6" t="s">
        <v>1139</v>
      </c>
      <c r="E3483" s="6" t="s">
        <v>452</v>
      </c>
      <c r="F3483" s="6" t="str">
        <f>IF($M3483="PADD I","PADD 1",IF($M3483="PADD II","PADD 2",IF($M3483="PADD III","PADD 3",IF($M3483="PADD IV","PADD 4",IF($M3483="PADD V","PADD 5","")))))</f>
        <v>PADD 5</v>
      </c>
      <c r="G3483" s="6">
        <f>IF(AND($H3483="ATMOS DISTILLATION",ISNUMBER(SEARCH("VPS",$I3483))=FALSE,LEFT($I3483,6)&lt;&gt;"VACUUM"),"CDU",IF($H3483="FLUID CAT CRACKING","FCC",IF(OR($H3483="HYDROCRACKING",$H3483="RESID_HYDROCRACKING"),"Hydrocracker",IF($H3483="REFORMING","Reformer",""))))</f>
        <v/>
      </c>
      <c r="H3483" s="6" t="s">
        <v>43</v>
      </c>
      <c r="I3483" s="6" t="s">
        <v>464</v>
      </c>
      <c r="J3483" s="6" t="s">
        <v>345</v>
      </c>
      <c r="K3483" s="10">
        <v>18</v>
      </c>
      <c r="L3483" s="10">
        <v>36</v>
      </c>
      <c r="M3483" s="6" t="s">
        <v>386</v>
      </c>
    </row>
    <row r="3484" spans="1:13">
      <c r="A3484" s="6">
        <v>2024</v>
      </c>
      <c r="B3484" s="6">
        <v>4</v>
      </c>
      <c r="C3484" s="6" t="s">
        <v>62</v>
      </c>
      <c r="D3484" s="6" t="s">
        <v>799</v>
      </c>
      <c r="E3484" s="6" t="s">
        <v>391</v>
      </c>
      <c r="F3484" s="6" t="str">
        <f>IF($M3484="PADD I","PADD 1",IF($M3484="PADD II","PADD 2",IF($M3484="PADD III","PADD 3",IF($M3484="PADD IV","PADD 4",IF($M3484="PADD V","PADD 5","")))))</f>
        <v>PADD 4</v>
      </c>
      <c r="G3484" s="6">
        <f>IF(AND($H3484="ATMOS DISTILLATION",ISNUMBER(SEARCH("VPS",$I3484))=FALSE,LEFT($I3484,6)&lt;&gt;"VACUUM"),"CDU",IF($H3484="FLUID CAT CRACKING","FCC",IF(OR($H3484="HYDROCRACKING",$H3484="RESID_HYDROCRACKING"),"Hydrocracker",IF($H3484="REFORMING","Reformer",""))))</f>
        <v/>
      </c>
      <c r="H3484" s="6" t="s">
        <v>378</v>
      </c>
      <c r="I3484" s="6" t="s">
        <v>379</v>
      </c>
      <c r="J3484" s="6" t="s">
        <v>349</v>
      </c>
      <c r="K3484" s="10">
        <v>17.152</v>
      </c>
      <c r="L3484" s="10">
        <v>25.6</v>
      </c>
      <c r="M3484" s="6" t="s">
        <v>430</v>
      </c>
    </row>
    <row r="3485" spans="1:13">
      <c r="A3485" s="6">
        <v>2024</v>
      </c>
      <c r="B3485" s="6">
        <v>4</v>
      </c>
      <c r="C3485" s="6" t="s">
        <v>62</v>
      </c>
      <c r="D3485" s="6" t="s">
        <v>490</v>
      </c>
      <c r="E3485" s="6" t="s">
        <v>491</v>
      </c>
      <c r="F3485" s="6" t="str">
        <f>IF($M3485="PADD I","PADD 1",IF($M3485="PADD II","PADD 2",IF($M3485="PADD III","PADD 3",IF($M3485="PADD IV","PADD 4",IF($M3485="PADD V","PADD 5","")))))</f>
        <v>PADD 3</v>
      </c>
      <c r="G3485" s="6" t="str">
        <f>IF(AND($H3485="ATMOS DISTILLATION",ISNUMBER(SEARCH("VPS",$I3485))=FALSE,LEFT($I3485,6)&lt;&gt;"VACUUM"),"CDU",IF($H3485="FLUID CAT CRACKING","FCC",IF(OR($H3485="HYDROCRACKING",$H3485="RESID_HYDROCRACKING"),"Hydrocracker",IF($H3485="REFORMING","Reformer",""))))</f>
        <v>Reformer</v>
      </c>
      <c r="H3485" s="6" t="s">
        <v>421</v>
      </c>
      <c r="I3485" s="6" t="s">
        <v>1082</v>
      </c>
      <c r="J3485" s="6" t="s">
        <v>345</v>
      </c>
      <c r="K3485" s="10">
        <v>17</v>
      </c>
      <c r="L3485" s="10">
        <v>85</v>
      </c>
      <c r="M3485" s="6" t="s">
        <v>371</v>
      </c>
    </row>
    <row r="3486" spans="1:13">
      <c r="A3486" s="6">
        <v>2024</v>
      </c>
      <c r="B3486" s="6">
        <v>4</v>
      </c>
      <c r="C3486" s="6" t="s">
        <v>62</v>
      </c>
      <c r="D3486" s="6" t="s">
        <v>346</v>
      </c>
      <c r="E3486" s="6" t="s">
        <v>383</v>
      </c>
      <c r="F3486" s="6" t="str">
        <f>IF($M3486="PADD I","PADD 1",IF($M3486="PADD II","PADD 2",IF($M3486="PADD III","PADD 3",IF($M3486="PADD IV","PADD 4",IF($M3486="PADD V","PADD 5","")))))</f>
        <v>PADD 2</v>
      </c>
      <c r="G3486" s="6" t="str">
        <f>IF(AND($H3486="ATMOS DISTILLATION",ISNUMBER(SEARCH("VPS",$I3486))=FALSE,LEFT($I3486,6)&lt;&gt;"VACUUM"),"CDU",IF($H3486="FLUID CAT CRACKING","FCC",IF(OR($H3486="HYDROCRACKING",$H3486="RESID_HYDROCRACKING"),"Hydrocracker",IF($H3486="REFORMING","Reformer",""))))</f>
        <v>Hydrocracker</v>
      </c>
      <c r="H3486" s="6" t="s">
        <v>444</v>
      </c>
      <c r="I3486" s="6" t="s">
        <v>463</v>
      </c>
      <c r="J3486" s="6" t="s">
        <v>349</v>
      </c>
      <c r="K3486" s="10">
        <v>16.96</v>
      </c>
      <c r="L3486" s="10">
        <v>32</v>
      </c>
      <c r="M3486" s="6" t="s">
        <v>375</v>
      </c>
    </row>
    <row r="3487" spans="1:13">
      <c r="A3487" s="6">
        <v>2024</v>
      </c>
      <c r="B3487" s="6">
        <v>4</v>
      </c>
      <c r="C3487" s="6" t="s">
        <v>62</v>
      </c>
      <c r="D3487" s="6" t="s">
        <v>333</v>
      </c>
      <c r="E3487" s="6" t="s">
        <v>381</v>
      </c>
      <c r="F3487" s="6" t="str">
        <f>IF($M3487="PADD I","PADD 1",IF($M3487="PADD II","PADD 2",IF($M3487="PADD III","PADD 3",IF($M3487="PADD IV","PADD 4",IF($M3487="PADD V","PADD 5","")))))</f>
        <v>PADD 3</v>
      </c>
      <c r="G3487" s="6">
        <f>IF(AND($H3487="ATMOS DISTILLATION",ISNUMBER(SEARCH("VPS",$I3487))=FALSE,LEFT($I3487,6)&lt;&gt;"VACUUM"),"CDU",IF($H3487="FLUID CAT CRACKING","FCC",IF(OR($H3487="HYDROCRACKING",$H3487="RESID_HYDROCRACKING"),"Hydrocracker",IF($H3487="REFORMING","Reformer",""))))</f>
        <v/>
      </c>
      <c r="H3487" s="6" t="s">
        <v>378</v>
      </c>
      <c r="I3487" s="6" t="s">
        <v>596</v>
      </c>
      <c r="J3487" s="6" t="s">
        <v>345</v>
      </c>
      <c r="K3487" s="10">
        <v>16.45</v>
      </c>
      <c r="L3487" s="10">
        <v>35</v>
      </c>
      <c r="M3487" s="6" t="s">
        <v>371</v>
      </c>
    </row>
    <row r="3488" spans="1:13">
      <c r="A3488" s="6">
        <v>2024</v>
      </c>
      <c r="B3488" s="6">
        <v>4</v>
      </c>
      <c r="C3488" s="6" t="s">
        <v>62</v>
      </c>
      <c r="D3488" s="6" t="s">
        <v>329</v>
      </c>
      <c r="E3488" s="6" t="s">
        <v>427</v>
      </c>
      <c r="F3488" s="6" t="str">
        <f>IF($M3488="PADD I","PADD 1",IF($M3488="PADD II","PADD 2",IF($M3488="PADD III","PADD 3",IF($M3488="PADD IV","PADD 4",IF($M3488="PADD V","PADD 5","")))))</f>
        <v>PADD 3</v>
      </c>
      <c r="G3488" s="6" t="str">
        <f>IF(AND($H3488="ATMOS DISTILLATION",ISNUMBER(SEARCH("VPS",$I3488))=FALSE,LEFT($I3488,6)&lt;&gt;"VACUUM"),"CDU",IF($H3488="FLUID CAT CRACKING","FCC",IF(OR($H3488="HYDROCRACKING",$H3488="RESID_HYDROCRACKING"),"Hydrocracker",IF($H3488="REFORMING","Reformer",""))))</f>
        <v>Reformer</v>
      </c>
      <c r="H3488" s="6" t="s">
        <v>421</v>
      </c>
      <c r="I3488" s="6" t="s">
        <v>1162</v>
      </c>
      <c r="J3488" s="6" t="s">
        <v>349</v>
      </c>
      <c r="K3488" s="10">
        <v>16.275</v>
      </c>
      <c r="L3488" s="10">
        <v>17.5</v>
      </c>
      <c r="M3488" s="6" t="s">
        <v>371</v>
      </c>
    </row>
    <row r="3489" spans="1:13">
      <c r="A3489" s="6">
        <v>2024</v>
      </c>
      <c r="B3489" s="6">
        <v>4</v>
      </c>
      <c r="C3489" s="6" t="s">
        <v>62</v>
      </c>
      <c r="D3489" s="6" t="s">
        <v>803</v>
      </c>
      <c r="E3489" s="6" t="s">
        <v>388</v>
      </c>
      <c r="F3489" s="6" t="str">
        <f>IF($M3489="PADD I","PADD 1",IF($M3489="PADD II","PADD 2",IF($M3489="PADD III","PADD 3",IF($M3489="PADD IV","PADD 4",IF($M3489="PADD V","PADD 5","")))))</f>
        <v>PADD 2</v>
      </c>
      <c r="G3489" s="6">
        <f>IF(AND($H3489="ATMOS DISTILLATION",ISNUMBER(SEARCH("VPS",$I3489))=FALSE,LEFT($I3489,6)&lt;&gt;"VACUUM"),"CDU",IF($H3489="FLUID CAT CRACKING","FCC",IF(OR($H3489="HYDROCRACKING",$H3489="RESID_HYDROCRACKING"),"Hydrocracker",IF($H3489="REFORMING","Reformer",""))))</f>
        <v/>
      </c>
      <c r="H3489" s="6" t="s">
        <v>43</v>
      </c>
      <c r="I3489" s="6" t="s">
        <v>520</v>
      </c>
      <c r="J3489" s="6" t="s">
        <v>349</v>
      </c>
      <c r="K3489" s="10">
        <v>15.96</v>
      </c>
      <c r="L3489" s="10">
        <v>28</v>
      </c>
      <c r="M3489" s="6" t="s">
        <v>375</v>
      </c>
    </row>
    <row r="3490" spans="1:13">
      <c r="A3490" s="6">
        <v>2024</v>
      </c>
      <c r="B3490" s="6">
        <v>4</v>
      </c>
      <c r="C3490" s="6" t="s">
        <v>62</v>
      </c>
      <c r="D3490" s="6" t="s">
        <v>346</v>
      </c>
      <c r="E3490" s="6" t="s">
        <v>383</v>
      </c>
      <c r="F3490" s="6" t="str">
        <f>IF($M3490="PADD I","PADD 1",IF($M3490="PADD II","PADD 2",IF($M3490="PADD III","PADD 3",IF($M3490="PADD IV","PADD 4",IF($M3490="PADD V","PADD 5","")))))</f>
        <v>PADD 2</v>
      </c>
      <c r="G3490" s="6" t="str">
        <f>IF(AND($H3490="ATMOS DISTILLATION",ISNUMBER(SEARCH("VPS",$I3490))=FALSE,LEFT($I3490,6)&lt;&gt;"VACUUM"),"CDU",IF($H3490="FLUID CAT CRACKING","FCC",IF(OR($H3490="HYDROCRACKING",$H3490="RESID_HYDROCRACKING"),"Hydrocracker",IF($H3490="REFORMING","Reformer",""))))</f>
        <v>Reformer</v>
      </c>
      <c r="H3490" s="6" t="s">
        <v>421</v>
      </c>
      <c r="I3490" s="6" t="s">
        <v>471</v>
      </c>
      <c r="J3490" s="6" t="s">
        <v>349</v>
      </c>
      <c r="K3490" s="10">
        <v>15.9</v>
      </c>
      <c r="L3490" s="10">
        <v>30</v>
      </c>
      <c r="M3490" s="6" t="s">
        <v>375</v>
      </c>
    </row>
    <row r="3491" spans="1:13">
      <c r="A3491" s="6">
        <v>2024</v>
      </c>
      <c r="B3491" s="6">
        <v>4</v>
      </c>
      <c r="C3491" s="6" t="s">
        <v>62</v>
      </c>
      <c r="D3491" s="6" t="s">
        <v>326</v>
      </c>
      <c r="E3491" s="6" t="s">
        <v>385</v>
      </c>
      <c r="F3491" s="6" t="str">
        <f>IF($M3491="PADD I","PADD 1",IF($M3491="PADD II","PADD 2",IF($M3491="PADD III","PADD 3",IF($M3491="PADD IV","PADD 4",IF($M3491="PADD V","PADD 5","")))))</f>
        <v>PADD 5</v>
      </c>
      <c r="G3491" s="6" t="str">
        <f>IF(AND($H3491="ATMOS DISTILLATION",ISNUMBER(SEARCH("VPS",$I3491))=FALSE,LEFT($I3491,6)&lt;&gt;"VACUUM"),"CDU",IF($H3491="FLUID CAT CRACKING","FCC",IF(OR($H3491="HYDROCRACKING",$H3491="RESID_HYDROCRACKING"),"Hydrocracker",IF($H3491="REFORMING","Reformer",""))))</f>
        <v>CDU</v>
      </c>
      <c r="H3491" s="6" t="s">
        <v>38</v>
      </c>
      <c r="I3491" s="6" t="s">
        <v>93</v>
      </c>
      <c r="J3491" s="6" t="s">
        <v>345</v>
      </c>
      <c r="K3491" s="10">
        <v>15.8</v>
      </c>
      <c r="L3491" s="10">
        <v>158</v>
      </c>
      <c r="M3491" s="6" t="s">
        <v>386</v>
      </c>
    </row>
    <row r="3492" spans="1:13">
      <c r="A3492" s="6">
        <v>2024</v>
      </c>
      <c r="B3492" s="6">
        <v>4</v>
      </c>
      <c r="C3492" s="6" t="s">
        <v>62</v>
      </c>
      <c r="D3492" s="6" t="s">
        <v>326</v>
      </c>
      <c r="E3492" s="6" t="s">
        <v>385</v>
      </c>
      <c r="F3492" s="6" t="str">
        <f>IF($M3492="PADD I","PADD 1",IF($M3492="PADD II","PADD 2",IF($M3492="PADD III","PADD 3",IF($M3492="PADD IV","PADD 4",IF($M3492="PADD V","PADD 5","")))))</f>
        <v>PADD 5</v>
      </c>
      <c r="G3492" s="6" t="str">
        <f>IF(AND($H3492="ATMOS DISTILLATION",ISNUMBER(SEARCH("VPS",$I3492))=FALSE,LEFT($I3492,6)&lt;&gt;"VACUUM"),"CDU",IF($H3492="FLUID CAT CRACKING","FCC",IF(OR($H3492="HYDROCRACKING",$H3492="RESID_HYDROCRACKING"),"Hydrocracker",IF($H3492="REFORMING","Reformer",""))))</f>
        <v>CDU</v>
      </c>
      <c r="H3492" s="6" t="s">
        <v>38</v>
      </c>
      <c r="I3492" s="6" t="s">
        <v>93</v>
      </c>
      <c r="J3492" s="6" t="s">
        <v>349</v>
      </c>
      <c r="K3492" s="10">
        <v>15.5</v>
      </c>
      <c r="L3492" s="10">
        <v>155</v>
      </c>
      <c r="M3492" s="6" t="s">
        <v>386</v>
      </c>
    </row>
    <row r="3493" spans="1:13">
      <c r="A3493" s="6">
        <v>2024</v>
      </c>
      <c r="B3493" s="6">
        <v>4</v>
      </c>
      <c r="C3493" s="6" t="s">
        <v>62</v>
      </c>
      <c r="D3493" s="6" t="s">
        <v>457</v>
      </c>
      <c r="E3493" s="6" t="s">
        <v>388</v>
      </c>
      <c r="F3493" s="6" t="str">
        <f>IF($M3493="PADD I","PADD 1",IF($M3493="PADD II","PADD 2",IF($M3493="PADD III","PADD 3",IF($M3493="PADD IV","PADD 4",IF($M3493="PADD V","PADD 5","")))))</f>
        <v>PADD 5</v>
      </c>
      <c r="G3493" s="6" t="str">
        <f>IF(AND($H3493="ATMOS DISTILLATION",ISNUMBER(SEARCH("VPS",$I3493))=FALSE,LEFT($I3493,6)&lt;&gt;"VACUUM"),"CDU",IF($H3493="FLUID CAT CRACKING","FCC",IF(OR($H3493="HYDROCRACKING",$H3493="RESID_HYDROCRACKING"),"Hydrocracker",IF($H3493="REFORMING","Reformer",""))))</f>
        <v>Reformer</v>
      </c>
      <c r="H3493" s="6" t="s">
        <v>421</v>
      </c>
      <c r="I3493" s="6" t="s">
        <v>559</v>
      </c>
      <c r="J3493" s="6" t="s">
        <v>345</v>
      </c>
      <c r="K3493" s="10">
        <v>15.4</v>
      </c>
      <c r="L3493" s="10">
        <v>20</v>
      </c>
      <c r="M3493" s="6" t="s">
        <v>386</v>
      </c>
    </row>
    <row r="3494" spans="1:13">
      <c r="A3494" s="6">
        <v>2024</v>
      </c>
      <c r="B3494" s="6">
        <v>4</v>
      </c>
      <c r="C3494" s="6" t="s">
        <v>62</v>
      </c>
      <c r="D3494" s="6" t="s">
        <v>326</v>
      </c>
      <c r="E3494" s="6" t="s">
        <v>385</v>
      </c>
      <c r="F3494" s="6" t="str">
        <f>IF($M3494="PADD I","PADD 1",IF($M3494="PADD II","PADD 2",IF($M3494="PADD III","PADD 3",IF($M3494="PADD IV","PADD 4",IF($M3494="PADD V","PADD 5","")))))</f>
        <v>PADD 5</v>
      </c>
      <c r="G3494" s="6">
        <f>IF(AND($H3494="ATMOS DISTILLATION",ISNUMBER(SEARCH("VPS",$I3494))=FALSE,LEFT($I3494,6)&lt;&gt;"VACUUM"),"CDU",IF($H3494="FLUID CAT CRACKING","FCC",IF(OR($H3494="HYDROCRACKING",$H3494="RESID_HYDROCRACKING"),"Hydrocracker",IF($H3494="REFORMING","Reformer",""))))</f>
        <v/>
      </c>
      <c r="H3494" s="6" t="s">
        <v>43</v>
      </c>
      <c r="I3494" s="6" t="s">
        <v>1174</v>
      </c>
      <c r="J3494" s="6" t="s">
        <v>349</v>
      </c>
      <c r="K3494" s="10">
        <v>15.06</v>
      </c>
      <c r="L3494" s="10">
        <v>50.2</v>
      </c>
      <c r="M3494" s="6" t="s">
        <v>386</v>
      </c>
    </row>
    <row r="3495" spans="1:13">
      <c r="A3495" s="6">
        <v>2024</v>
      </c>
      <c r="B3495" s="6">
        <v>4</v>
      </c>
      <c r="C3495" s="6" t="s">
        <v>62</v>
      </c>
      <c r="D3495" s="6" t="s">
        <v>1171</v>
      </c>
      <c r="E3495" s="6" t="s">
        <v>1172</v>
      </c>
      <c r="F3495" s="6" t="str">
        <f>IF($M3495="PADD I","PADD 1",IF($M3495="PADD II","PADD 2",IF($M3495="PADD III","PADD 3",IF($M3495="PADD IV","PADD 4",IF($M3495="PADD V","PADD 5","")))))</f>
        <v>PADD 3</v>
      </c>
      <c r="G3495" s="6" t="str">
        <f>IF(AND($H3495="ATMOS DISTILLATION",ISNUMBER(SEARCH("VPS",$I3495))=FALSE,LEFT($I3495,6)&lt;&gt;"VACUUM"),"CDU",IF($H3495="FLUID CAT CRACKING","FCC",IF(OR($H3495="HYDROCRACKING",$H3495="RESID_HYDROCRACKING"),"Hydrocracker",IF($H3495="REFORMING","Reformer",""))))</f>
        <v>CDU</v>
      </c>
      <c r="H3495" s="6" t="s">
        <v>38</v>
      </c>
      <c r="I3495" s="6" t="s">
        <v>1175</v>
      </c>
      <c r="J3495" s="6" t="s">
        <v>349</v>
      </c>
      <c r="K3495" s="10">
        <v>15</v>
      </c>
      <c r="L3495" s="10">
        <v>50</v>
      </c>
      <c r="M3495" s="6" t="s">
        <v>371</v>
      </c>
    </row>
    <row r="3496" spans="1:13">
      <c r="A3496" s="6">
        <v>2024</v>
      </c>
      <c r="B3496" s="6">
        <v>4</v>
      </c>
      <c r="C3496" s="6" t="s">
        <v>62</v>
      </c>
      <c r="D3496" s="6" t="s">
        <v>639</v>
      </c>
      <c r="E3496" s="6" t="s">
        <v>452</v>
      </c>
      <c r="F3496" s="6" t="str">
        <f>IF($M3496="PADD I","PADD 1",IF($M3496="PADD II","PADD 2",IF($M3496="PADD III","PADD 3",IF($M3496="PADD IV","PADD 4",IF($M3496="PADD V","PADD 5","")))))</f>
        <v>PADD 5</v>
      </c>
      <c r="G3496" s="6">
        <f>IF(AND($H3496="ATMOS DISTILLATION",ISNUMBER(SEARCH("VPS",$I3496))=FALSE,LEFT($I3496,6)&lt;&gt;"VACUUM"),"CDU",IF($H3496="FLUID CAT CRACKING","FCC",IF(OR($H3496="HYDROCRACKING",$H3496="RESID_HYDROCRACKING"),"Hydrocracker",IF($H3496="REFORMING","Reformer",""))))</f>
        <v/>
      </c>
      <c r="H3496" s="6" t="s">
        <v>43</v>
      </c>
      <c r="I3496" s="6" t="s">
        <v>1140</v>
      </c>
      <c r="J3496" s="6" t="s">
        <v>349</v>
      </c>
      <c r="K3496" s="10">
        <v>14.84</v>
      </c>
      <c r="L3496" s="10">
        <v>28</v>
      </c>
      <c r="M3496" s="6" t="s">
        <v>386</v>
      </c>
    </row>
    <row r="3497" spans="1:13">
      <c r="A3497" s="6">
        <v>2024</v>
      </c>
      <c r="B3497" s="6">
        <v>4</v>
      </c>
      <c r="C3497" s="6" t="s">
        <v>62</v>
      </c>
      <c r="D3497" s="6" t="s">
        <v>803</v>
      </c>
      <c r="E3497" s="6" t="s">
        <v>388</v>
      </c>
      <c r="F3497" s="6" t="str">
        <f>IF($M3497="PADD I","PADD 1",IF($M3497="PADD II","PADD 2",IF($M3497="PADD III","PADD 3",IF($M3497="PADD IV","PADD 4",IF($M3497="PADD V","PADD 5","")))))</f>
        <v>PADD 2</v>
      </c>
      <c r="G3497" s="6">
        <f>IF(AND($H3497="ATMOS DISTILLATION",ISNUMBER(SEARCH("VPS",$I3497))=FALSE,LEFT($I3497,6)&lt;&gt;"VACUUM"),"CDU",IF($H3497="FLUID CAT CRACKING","FCC",IF(OR($H3497="HYDROCRACKING",$H3497="RESID_HYDROCRACKING"),"Hydrocracker",IF($H3497="REFORMING","Reformer",""))))</f>
        <v/>
      </c>
      <c r="H3497" s="6" t="s">
        <v>43</v>
      </c>
      <c r="I3497" s="6" t="s">
        <v>520</v>
      </c>
      <c r="J3497" s="6" t="s">
        <v>345</v>
      </c>
      <c r="K3497" s="10">
        <v>14.84</v>
      </c>
      <c r="L3497" s="10">
        <v>28</v>
      </c>
      <c r="M3497" s="6" t="s">
        <v>375</v>
      </c>
    </row>
    <row r="3498" spans="1:13">
      <c r="A3498" s="6">
        <v>2024</v>
      </c>
      <c r="B3498" s="6">
        <v>4</v>
      </c>
      <c r="C3498" s="6" t="s">
        <v>62</v>
      </c>
      <c r="D3498" s="6" t="s">
        <v>670</v>
      </c>
      <c r="E3498" s="6" t="s">
        <v>405</v>
      </c>
      <c r="F3498" s="6" t="str">
        <f>IF($M3498="PADD I","PADD 1",IF($M3498="PADD II","PADD 2",IF($M3498="PADD III","PADD 3",IF($M3498="PADD IV","PADD 4",IF($M3498="PADD V","PADD 5","")))))</f>
        <v>PADD 2</v>
      </c>
      <c r="G3498" s="6" t="str">
        <f>IF(AND($H3498="ATMOS DISTILLATION",ISNUMBER(SEARCH("VPS",$I3498))=FALSE,LEFT($I3498,6)&lt;&gt;"VACUUM"),"CDU",IF($H3498="FLUID CAT CRACKING","FCC",IF(OR($H3498="HYDROCRACKING",$H3498="RESID_HYDROCRACKING"),"Hydrocracker",IF($H3498="REFORMING","Reformer",""))))</f>
        <v>Reformer</v>
      </c>
      <c r="H3498" s="6" t="s">
        <v>421</v>
      </c>
      <c r="I3498" s="6" t="s">
        <v>228</v>
      </c>
      <c r="J3498" s="6" t="s">
        <v>345</v>
      </c>
      <c r="K3498" s="10">
        <v>14.4</v>
      </c>
      <c r="L3498" s="10">
        <v>36</v>
      </c>
      <c r="M3498" s="6" t="s">
        <v>375</v>
      </c>
    </row>
    <row r="3499" spans="1:13">
      <c r="A3499" s="6">
        <v>2024</v>
      </c>
      <c r="B3499" s="6">
        <v>4</v>
      </c>
      <c r="C3499" s="6" t="s">
        <v>62</v>
      </c>
      <c r="D3499" s="6" t="s">
        <v>468</v>
      </c>
      <c r="E3499" s="6" t="s">
        <v>369</v>
      </c>
      <c r="F3499" s="6" t="str">
        <f>IF($M3499="PADD I","PADD 1",IF($M3499="PADD II","PADD 2",IF($M3499="PADD III","PADD 3",IF($M3499="PADD IV","PADD 4",IF($M3499="PADD V","PADD 5","")))))</f>
        <v>PADD 3</v>
      </c>
      <c r="G3499" s="6">
        <f>IF(AND($H3499="ATMOS DISTILLATION",ISNUMBER(SEARCH("VPS",$I3499))=FALSE,LEFT($I3499,6)&lt;&gt;"VACUUM"),"CDU",IF($H3499="FLUID CAT CRACKING","FCC",IF(OR($H3499="HYDROCRACKING",$H3499="RESID_HYDROCRACKING"),"Hydrocracker",IF($H3499="REFORMING","Reformer",""))))</f>
        <v/>
      </c>
      <c r="H3499" s="6" t="s">
        <v>43</v>
      </c>
      <c r="I3499" s="6" t="s">
        <v>1176</v>
      </c>
      <c r="J3499" s="6" t="s">
        <v>349</v>
      </c>
      <c r="K3499" s="10">
        <v>14</v>
      </c>
      <c r="L3499" s="10">
        <v>35</v>
      </c>
      <c r="M3499" s="6" t="s">
        <v>371</v>
      </c>
    </row>
    <row r="3500" spans="1:13">
      <c r="A3500" s="6">
        <v>2024</v>
      </c>
      <c r="B3500" s="6">
        <v>4</v>
      </c>
      <c r="C3500" s="6" t="s">
        <v>62</v>
      </c>
      <c r="D3500" s="6" t="s">
        <v>490</v>
      </c>
      <c r="E3500" s="6" t="s">
        <v>491</v>
      </c>
      <c r="F3500" s="6" t="str">
        <f>IF($M3500="PADD I","PADD 1",IF($M3500="PADD II","PADD 2",IF($M3500="PADD III","PADD 3",IF($M3500="PADD IV","PADD 4",IF($M3500="PADD V","PADD 5","")))))</f>
        <v>PADD 3</v>
      </c>
      <c r="G3500" s="6" t="str">
        <f>IF(AND($H3500="ATMOS DISTILLATION",ISNUMBER(SEARCH("VPS",$I3500))=FALSE,LEFT($I3500,6)&lt;&gt;"VACUUM"),"CDU",IF($H3500="FLUID CAT CRACKING","FCC",IF(OR($H3500="HYDROCRACKING",$H3500="RESID_HYDROCRACKING"),"Hydrocracker",IF($H3500="REFORMING","Reformer",""))))</f>
        <v>FCC</v>
      </c>
      <c r="H3500" s="6" t="s">
        <v>376</v>
      </c>
      <c r="I3500" s="6" t="s">
        <v>472</v>
      </c>
      <c r="J3500" s="6" t="s">
        <v>345</v>
      </c>
      <c r="K3500" s="10">
        <v>13.77</v>
      </c>
      <c r="L3500" s="10">
        <v>81</v>
      </c>
      <c r="M3500" s="6" t="s">
        <v>371</v>
      </c>
    </row>
    <row r="3501" spans="1:13">
      <c r="A3501" s="6">
        <v>2024</v>
      </c>
      <c r="B3501" s="6">
        <v>4</v>
      </c>
      <c r="C3501" s="6" t="s">
        <v>62</v>
      </c>
      <c r="D3501" s="6" t="s">
        <v>468</v>
      </c>
      <c r="E3501" s="6" t="s">
        <v>369</v>
      </c>
      <c r="F3501" s="6" t="str">
        <f>IF($M3501="PADD I","PADD 1",IF($M3501="PADD II","PADD 2",IF($M3501="PADD III","PADD 3",IF($M3501="PADD IV","PADD 4",IF($M3501="PADD V","PADD 5","")))))</f>
        <v>PADD 3</v>
      </c>
      <c r="G3501" s="6">
        <f>IF(AND($H3501="ATMOS DISTILLATION",ISNUMBER(SEARCH("VPS",$I3501))=FALSE,LEFT($I3501,6)&lt;&gt;"VACUUM"),"CDU",IF($H3501="FLUID CAT CRACKING","FCC",IF(OR($H3501="HYDROCRACKING",$H3501="RESID_HYDROCRACKING"),"Hydrocracker",IF($H3501="REFORMING","Reformer",""))))</f>
        <v/>
      </c>
      <c r="H3501" s="6" t="s">
        <v>43</v>
      </c>
      <c r="I3501" s="6" t="s">
        <v>1028</v>
      </c>
      <c r="J3501" s="6" t="s">
        <v>349</v>
      </c>
      <c r="K3501" s="10">
        <v>13.6</v>
      </c>
      <c r="L3501" s="10">
        <v>34</v>
      </c>
      <c r="M3501" s="6" t="s">
        <v>371</v>
      </c>
    </row>
    <row r="3502" spans="1:13">
      <c r="A3502" s="6">
        <v>2024</v>
      </c>
      <c r="B3502" s="6">
        <v>4</v>
      </c>
      <c r="C3502" s="6" t="s">
        <v>62</v>
      </c>
      <c r="D3502" s="6" t="s">
        <v>415</v>
      </c>
      <c r="E3502" s="6" t="s">
        <v>416</v>
      </c>
      <c r="F3502" s="6" t="str">
        <f>IF($M3502="PADD I","PADD 1",IF($M3502="PADD II","PADD 2",IF($M3502="PADD III","PADD 3",IF($M3502="PADD IV","PADD 4",IF($M3502="PADD V","PADD 5","")))))</f>
        <v>PADD 3</v>
      </c>
      <c r="G3502" s="6">
        <f>IF(AND($H3502="ATMOS DISTILLATION",ISNUMBER(SEARCH("VPS",$I3502))=FALSE,LEFT($I3502,6)&lt;&gt;"VACUUM"),"CDU",IF($H3502="FLUID CAT CRACKING","FCC",IF(OR($H3502="HYDROCRACKING",$H3502="RESID_HYDROCRACKING"),"Hydrocracker",IF($H3502="REFORMING","Reformer",""))))</f>
        <v/>
      </c>
      <c r="H3502" s="6" t="s">
        <v>435</v>
      </c>
      <c r="I3502" s="6" t="s">
        <v>453</v>
      </c>
      <c r="J3502" s="6" t="s">
        <v>345</v>
      </c>
      <c r="K3502" s="10">
        <v>13.6</v>
      </c>
      <c r="L3502" s="10">
        <v>34</v>
      </c>
      <c r="M3502" s="6" t="s">
        <v>371</v>
      </c>
    </row>
    <row r="3503" spans="1:13">
      <c r="A3503" s="6">
        <v>2024</v>
      </c>
      <c r="B3503" s="6">
        <v>4</v>
      </c>
      <c r="C3503" s="6" t="s">
        <v>62</v>
      </c>
      <c r="D3503" s="6" t="s">
        <v>788</v>
      </c>
      <c r="E3503" s="6" t="s">
        <v>405</v>
      </c>
      <c r="F3503" s="6" t="str">
        <f>IF($M3503="PADD I","PADD 1",IF($M3503="PADD II","PADD 2",IF($M3503="PADD III","PADD 3",IF($M3503="PADD IV","PADD 4",IF($M3503="PADD V","PADD 5","")))))</f>
        <v>PADD 3</v>
      </c>
      <c r="G3503" s="6" t="str">
        <f>IF(AND($H3503="ATMOS DISTILLATION",ISNUMBER(SEARCH("VPS",$I3503))=FALSE,LEFT($I3503,6)&lt;&gt;"VACUUM"),"CDU",IF($H3503="FLUID CAT CRACKING","FCC",IF(OR($H3503="HYDROCRACKING",$H3503="RESID_HYDROCRACKING"),"Hydrocracker",IF($H3503="REFORMING","Reformer",""))))</f>
        <v>CDU</v>
      </c>
      <c r="H3503" s="6" t="s">
        <v>38</v>
      </c>
      <c r="I3503" s="6" t="s">
        <v>135</v>
      </c>
      <c r="J3503" s="6" t="s">
        <v>345</v>
      </c>
      <c r="K3503" s="10">
        <v>13.5</v>
      </c>
      <c r="L3503" s="10">
        <v>135</v>
      </c>
      <c r="M3503" s="6" t="s">
        <v>371</v>
      </c>
    </row>
    <row r="3504" spans="1:13">
      <c r="A3504" s="6">
        <v>2024</v>
      </c>
      <c r="B3504" s="6">
        <v>4</v>
      </c>
      <c r="C3504" s="6" t="s">
        <v>62</v>
      </c>
      <c r="D3504" s="6" t="s">
        <v>715</v>
      </c>
      <c r="E3504" s="6" t="s">
        <v>716</v>
      </c>
      <c r="F3504" s="6" t="str">
        <f>IF($M3504="PADD I","PADD 1",IF($M3504="PADD II","PADD 2",IF($M3504="PADD III","PADD 3",IF($M3504="PADD IV","PADD 4",IF($M3504="PADD V","PADD 5","")))))</f>
        <v>PADD 2</v>
      </c>
      <c r="G3504" s="6">
        <f>IF(AND($H3504="ATMOS DISTILLATION",ISNUMBER(SEARCH("VPS",$I3504))=FALSE,LEFT($I3504,6)&lt;&gt;"VACUUM"),"CDU",IF($H3504="FLUID CAT CRACKING","FCC",IF(OR($H3504="HYDROCRACKING",$H3504="RESID_HYDROCRACKING"),"Hydrocracker",IF($H3504="REFORMING","Reformer",""))))</f>
        <v/>
      </c>
      <c r="H3504" s="6" t="s">
        <v>43</v>
      </c>
      <c r="I3504" s="6" t="s">
        <v>717</v>
      </c>
      <c r="J3504" s="6" t="s">
        <v>349</v>
      </c>
      <c r="K3504" s="10">
        <v>13.5</v>
      </c>
      <c r="L3504" s="10">
        <v>15</v>
      </c>
      <c r="M3504" s="6" t="s">
        <v>375</v>
      </c>
    </row>
    <row r="3505" spans="1:13">
      <c r="A3505" s="6">
        <v>2024</v>
      </c>
      <c r="B3505" s="6">
        <v>4</v>
      </c>
      <c r="C3505" s="6" t="s">
        <v>62</v>
      </c>
      <c r="D3505" s="6" t="s">
        <v>1060</v>
      </c>
      <c r="E3505" s="6" t="s">
        <v>1039</v>
      </c>
      <c r="F3505" s="6" t="str">
        <f>IF($M3505="PADD I","PADD 1",IF($M3505="PADD II","PADD 2",IF($M3505="PADD III","PADD 3",IF($M3505="PADD IV","PADD 4",IF($M3505="PADD V","PADD 5","")))))</f>
        <v>PADD 2</v>
      </c>
      <c r="G3505" s="6" t="str">
        <f>IF(AND($H3505="ATMOS DISTILLATION",ISNUMBER(SEARCH("VPS",$I3505))=FALSE,LEFT($I3505,6)&lt;&gt;"VACUUM"),"CDU",IF($H3505="FLUID CAT CRACKING","FCC",IF(OR($H3505="HYDROCRACKING",$H3505="RESID_HYDROCRACKING"),"Hydrocracker",IF($H3505="REFORMING","Reformer",""))))</f>
        <v>FCC</v>
      </c>
      <c r="H3505" s="6" t="s">
        <v>376</v>
      </c>
      <c r="I3505" s="6" t="s">
        <v>105</v>
      </c>
      <c r="J3505" s="6" t="s">
        <v>345</v>
      </c>
      <c r="K3505" s="10">
        <v>12.985</v>
      </c>
      <c r="L3505" s="10">
        <v>24.5</v>
      </c>
      <c r="M3505" s="6" t="s">
        <v>375</v>
      </c>
    </row>
    <row r="3506" spans="1:13">
      <c r="A3506" s="6">
        <v>2024</v>
      </c>
      <c r="B3506" s="6">
        <v>4</v>
      </c>
      <c r="C3506" s="6" t="s">
        <v>62</v>
      </c>
      <c r="D3506" s="6" t="s">
        <v>547</v>
      </c>
      <c r="E3506" s="6" t="s">
        <v>391</v>
      </c>
      <c r="F3506" s="6" t="str">
        <f>IF($M3506="PADD I","PADD 1",IF($M3506="PADD II","PADD 2",IF($M3506="PADD III","PADD 3",IF($M3506="PADD IV","PADD 4",IF($M3506="PADD V","PADD 5","")))))</f>
        <v>PADD 5</v>
      </c>
      <c r="G3506" s="6" t="str">
        <f>IF(AND($H3506="ATMOS DISTILLATION",ISNUMBER(SEARCH("VPS",$I3506))=FALSE,LEFT($I3506,6)&lt;&gt;"VACUUM"),"CDU",IF($H3506="FLUID CAT CRACKING","FCC",IF(OR($H3506="HYDROCRACKING",$H3506="RESID_HYDROCRACKING"),"Hydrocracker",IF($H3506="REFORMING","Reformer",""))))</f>
        <v>CDU</v>
      </c>
      <c r="H3506" s="6" t="s">
        <v>38</v>
      </c>
      <c r="I3506" s="6" t="s">
        <v>81</v>
      </c>
      <c r="J3506" s="6" t="s">
        <v>345</v>
      </c>
      <c r="K3506" s="10">
        <v>12.96</v>
      </c>
      <c r="L3506" s="10">
        <v>48</v>
      </c>
      <c r="M3506" s="6" t="s">
        <v>386</v>
      </c>
    </row>
    <row r="3507" spans="1:13">
      <c r="A3507" s="6">
        <v>2024</v>
      </c>
      <c r="B3507" s="6">
        <v>4</v>
      </c>
      <c r="C3507" s="6" t="s">
        <v>62</v>
      </c>
      <c r="D3507" s="6" t="s">
        <v>547</v>
      </c>
      <c r="E3507" s="6" t="s">
        <v>391</v>
      </c>
      <c r="F3507" s="6" t="str">
        <f>IF($M3507="PADD I","PADD 1",IF($M3507="PADD II","PADD 2",IF($M3507="PADD III","PADD 3",IF($M3507="PADD IV","PADD 4",IF($M3507="PADD V","PADD 5","")))))</f>
        <v>PADD 5</v>
      </c>
      <c r="G3507" s="6">
        <f>IF(AND($H3507="ATMOS DISTILLATION",ISNUMBER(SEARCH("VPS",$I3507))=FALSE,LEFT($I3507,6)&lt;&gt;"VACUUM"),"CDU",IF($H3507="FLUID CAT CRACKING","FCC",IF(OR($H3507="HYDROCRACKING",$H3507="RESID_HYDROCRACKING"),"Hydrocracker",IF($H3507="REFORMING","Reformer",""))))</f>
        <v/>
      </c>
      <c r="H3507" s="6" t="s">
        <v>43</v>
      </c>
      <c r="I3507" s="6" t="s">
        <v>929</v>
      </c>
      <c r="J3507" s="6" t="s">
        <v>345</v>
      </c>
      <c r="K3507" s="10">
        <v>12.96</v>
      </c>
      <c r="L3507" s="10">
        <v>64.8</v>
      </c>
      <c r="M3507" s="6" t="s">
        <v>386</v>
      </c>
    </row>
    <row r="3508" spans="1:13">
      <c r="A3508" s="6">
        <v>2024</v>
      </c>
      <c r="B3508" s="6">
        <v>4</v>
      </c>
      <c r="C3508" s="6" t="s">
        <v>62</v>
      </c>
      <c r="D3508" s="6" t="s">
        <v>774</v>
      </c>
      <c r="E3508" s="6" t="s">
        <v>775</v>
      </c>
      <c r="F3508" s="6" t="str">
        <f>IF($M3508="PADD I","PADD 1",IF($M3508="PADD II","PADD 2",IF($M3508="PADD III","PADD 3",IF($M3508="PADD IV","PADD 4",IF($M3508="PADD V","PADD 5","")))))</f>
        <v>PADD 1</v>
      </c>
      <c r="G3508" s="6">
        <f>IF(AND($H3508="ATMOS DISTILLATION",ISNUMBER(SEARCH("VPS",$I3508))=FALSE,LEFT($I3508,6)&lt;&gt;"VACUUM"),"CDU",IF($H3508="FLUID CAT CRACKING","FCC",IF(OR($H3508="HYDROCRACKING",$H3508="RESID_HYDROCRACKING"),"Hydrocracker",IF($H3508="REFORMING","Reformer",""))))</f>
        <v/>
      </c>
      <c r="H3508" s="6" t="s">
        <v>435</v>
      </c>
      <c r="I3508" s="6" t="s">
        <v>776</v>
      </c>
      <c r="J3508" s="6" t="s">
        <v>349</v>
      </c>
      <c r="K3508" s="10">
        <v>12.789</v>
      </c>
      <c r="L3508" s="10">
        <v>14.7</v>
      </c>
      <c r="M3508" s="6" t="s">
        <v>413</v>
      </c>
    </row>
    <row r="3509" spans="1:13">
      <c r="A3509" s="6">
        <v>2024</v>
      </c>
      <c r="B3509" s="6">
        <v>4</v>
      </c>
      <c r="C3509" s="6" t="s">
        <v>62</v>
      </c>
      <c r="D3509" s="6" t="s">
        <v>1060</v>
      </c>
      <c r="E3509" s="6" t="s">
        <v>1039</v>
      </c>
      <c r="F3509" s="6" t="str">
        <f>IF($M3509="PADD I","PADD 1",IF($M3509="PADD II","PADD 2",IF($M3509="PADD III","PADD 3",IF($M3509="PADD IV","PADD 4",IF($M3509="PADD V","PADD 5","")))))</f>
        <v>PADD 2</v>
      </c>
      <c r="G3509" s="6">
        <f>IF(AND($H3509="ATMOS DISTILLATION",ISNUMBER(SEARCH("VPS",$I3509))=FALSE,LEFT($I3509,6)&lt;&gt;"VACUUM"),"CDU",IF($H3509="FLUID CAT CRACKING","FCC",IF(OR($H3509="HYDROCRACKING",$H3509="RESID_HYDROCRACKING"),"Hydrocracker",IF($H3509="REFORMING","Reformer",""))))</f>
        <v/>
      </c>
      <c r="H3509" s="6" t="s">
        <v>378</v>
      </c>
      <c r="I3509" s="6" t="s">
        <v>431</v>
      </c>
      <c r="J3509" s="6" t="s">
        <v>345</v>
      </c>
      <c r="K3509" s="10">
        <v>12.5875</v>
      </c>
      <c r="L3509" s="10">
        <v>23.75</v>
      </c>
      <c r="M3509" s="6" t="s">
        <v>375</v>
      </c>
    </row>
    <row r="3510" spans="1:13">
      <c r="A3510" s="6">
        <v>2024</v>
      </c>
      <c r="B3510" s="6">
        <v>4</v>
      </c>
      <c r="C3510" s="6" t="s">
        <v>62</v>
      </c>
      <c r="D3510" s="6" t="s">
        <v>774</v>
      </c>
      <c r="E3510" s="6" t="s">
        <v>775</v>
      </c>
      <c r="F3510" s="6" t="str">
        <f>IF($M3510="PADD I","PADD 1",IF($M3510="PADD II","PADD 2",IF($M3510="PADD III","PADD 3",IF($M3510="PADD IV","PADD 4",IF($M3510="PADD V","PADD 5","")))))</f>
        <v>PADD 1</v>
      </c>
      <c r="G3510" s="6">
        <f>IF(AND($H3510="ATMOS DISTILLATION",ISNUMBER(SEARCH("VPS",$I3510))=FALSE,LEFT($I3510,6)&lt;&gt;"VACUUM"),"CDU",IF($H3510="FLUID CAT CRACKING","FCC",IF(OR($H3510="HYDROCRACKING",$H3510="RESID_HYDROCRACKING"),"Hydrocracker",IF($H3510="REFORMING","Reformer",""))))</f>
        <v/>
      </c>
      <c r="H3510" s="6" t="s">
        <v>43</v>
      </c>
      <c r="I3510" s="6" t="s">
        <v>1144</v>
      </c>
      <c r="J3510" s="6" t="s">
        <v>349</v>
      </c>
      <c r="K3510" s="10">
        <v>12.528</v>
      </c>
      <c r="L3510" s="10">
        <v>14.4</v>
      </c>
      <c r="M3510" s="6" t="s">
        <v>413</v>
      </c>
    </row>
    <row r="3511" spans="1:13">
      <c r="A3511" s="6">
        <v>2024</v>
      </c>
      <c r="B3511" s="6">
        <v>4</v>
      </c>
      <c r="C3511" s="6" t="s">
        <v>62</v>
      </c>
      <c r="D3511" s="6" t="s">
        <v>1038</v>
      </c>
      <c r="E3511" s="6" t="s">
        <v>1039</v>
      </c>
      <c r="F3511" s="6" t="str">
        <f>IF($M3511="PADD I","PADD 1",IF($M3511="PADD II","PADD 2",IF($M3511="PADD III","PADD 3",IF($M3511="PADD IV","PADD 4",IF($M3511="PADD V","PADD 5","")))))</f>
        <v>PADD 2</v>
      </c>
      <c r="G3511" s="6" t="str">
        <f>IF(AND($H3511="ATMOS DISTILLATION",ISNUMBER(SEARCH("VPS",$I3511))=FALSE,LEFT($I3511,6)&lt;&gt;"VACUUM"),"CDU",IF($H3511="FLUID CAT CRACKING","FCC",IF(OR($H3511="HYDROCRACKING",$H3511="RESID_HYDROCRACKING"),"Hydrocracker",IF($H3511="REFORMING","Reformer",""))))</f>
        <v>CDU</v>
      </c>
      <c r="H3511" s="6" t="s">
        <v>38</v>
      </c>
      <c r="I3511" s="6" t="s">
        <v>1040</v>
      </c>
      <c r="J3511" s="6" t="s">
        <v>349</v>
      </c>
      <c r="K3511" s="10">
        <v>12.35</v>
      </c>
      <c r="L3511" s="10">
        <v>95</v>
      </c>
      <c r="M3511" s="6" t="s">
        <v>375</v>
      </c>
    </row>
    <row r="3512" spans="1:13">
      <c r="A3512" s="6">
        <v>2024</v>
      </c>
      <c r="B3512" s="6">
        <v>4</v>
      </c>
      <c r="C3512" s="6" t="s">
        <v>62</v>
      </c>
      <c r="D3512" s="6" t="s">
        <v>774</v>
      </c>
      <c r="E3512" s="6" t="s">
        <v>775</v>
      </c>
      <c r="F3512" s="6" t="str">
        <f>IF($M3512="PADD I","PADD 1",IF($M3512="PADD II","PADD 2",IF($M3512="PADD III","PADD 3",IF($M3512="PADD IV","PADD 4",IF($M3512="PADD V","PADD 5","")))))</f>
        <v>PADD 1</v>
      </c>
      <c r="G3512" s="6">
        <f>IF(AND($H3512="ATMOS DISTILLATION",ISNUMBER(SEARCH("VPS",$I3512))=FALSE,LEFT($I3512,6)&lt;&gt;"VACUUM"),"CDU",IF($H3512="FLUID CAT CRACKING","FCC",IF(OR($H3512="HYDROCRACKING",$H3512="RESID_HYDROCRACKING"),"Hydrocracker",IF($H3512="REFORMING","Reformer",""))))</f>
        <v/>
      </c>
      <c r="H3512" s="6" t="s">
        <v>43</v>
      </c>
      <c r="I3512" s="6" t="s">
        <v>1145</v>
      </c>
      <c r="J3512" s="6" t="s">
        <v>349</v>
      </c>
      <c r="K3512" s="10">
        <v>12.18</v>
      </c>
      <c r="L3512" s="10">
        <v>14</v>
      </c>
      <c r="M3512" s="6" t="s">
        <v>413</v>
      </c>
    </row>
    <row r="3513" spans="1:13">
      <c r="A3513" s="6">
        <v>2024</v>
      </c>
      <c r="B3513" s="6">
        <v>4</v>
      </c>
      <c r="C3513" s="6" t="s">
        <v>62</v>
      </c>
      <c r="D3513" s="6" t="s">
        <v>803</v>
      </c>
      <c r="E3513" s="6" t="s">
        <v>388</v>
      </c>
      <c r="F3513" s="6" t="str">
        <f>IF($M3513="PADD I","PADD 1",IF($M3513="PADD II","PADD 2",IF($M3513="PADD III","PADD 3",IF($M3513="PADD IV","PADD 4",IF($M3513="PADD V","PADD 5","")))))</f>
        <v>PADD 2</v>
      </c>
      <c r="G3513" s="6">
        <f>IF(AND($H3513="ATMOS DISTILLATION",ISNUMBER(SEARCH("VPS",$I3513))=FALSE,LEFT($I3513,6)&lt;&gt;"VACUUM"),"CDU",IF($H3513="FLUID CAT CRACKING","FCC",IF(OR($H3513="HYDROCRACKING",$H3513="RESID_HYDROCRACKING"),"Hydrocracker",IF($H3513="REFORMING","Reformer",""))))</f>
        <v/>
      </c>
      <c r="H3513" s="6" t="s">
        <v>43</v>
      </c>
      <c r="I3513" s="6" t="s">
        <v>1177</v>
      </c>
      <c r="J3513" s="6" t="s">
        <v>349</v>
      </c>
      <c r="K3513" s="10">
        <v>12</v>
      </c>
      <c r="L3513" s="10">
        <v>20</v>
      </c>
      <c r="M3513" s="6" t="s">
        <v>375</v>
      </c>
    </row>
    <row r="3514" spans="1:13">
      <c r="A3514" s="6">
        <v>2024</v>
      </c>
      <c r="B3514" s="6">
        <v>4</v>
      </c>
      <c r="C3514" s="6" t="s">
        <v>62</v>
      </c>
      <c r="D3514" s="6" t="s">
        <v>542</v>
      </c>
      <c r="E3514" s="6" t="s">
        <v>543</v>
      </c>
      <c r="F3514" s="6" t="str">
        <f>IF($M3514="PADD I","PADD 1",IF($M3514="PADD II","PADD 2",IF($M3514="PADD III","PADD 3",IF($M3514="PADD IV","PADD 4",IF($M3514="PADD V","PADD 5","")))))</f>
        <v>PADD 2</v>
      </c>
      <c r="G3514" s="6">
        <f>IF(AND($H3514="ATMOS DISTILLATION",ISNUMBER(SEARCH("VPS",$I3514))=FALSE,LEFT($I3514,6)&lt;&gt;"VACUUM"),"CDU",IF($H3514="FLUID CAT CRACKING","FCC",IF(OR($H3514="HYDROCRACKING",$H3514="RESID_HYDROCRACKING"),"Hydrocracker",IF($H3514="REFORMING","Reformer",""))))</f>
        <v/>
      </c>
      <c r="H3514" s="6" t="s">
        <v>43</v>
      </c>
      <c r="I3514" s="6" t="s">
        <v>759</v>
      </c>
      <c r="J3514" s="6" t="s">
        <v>349</v>
      </c>
      <c r="K3514" s="10">
        <v>11.9</v>
      </c>
      <c r="L3514" s="10">
        <v>70</v>
      </c>
      <c r="M3514" s="6" t="s">
        <v>375</v>
      </c>
    </row>
    <row r="3515" spans="1:13">
      <c r="A3515" s="6">
        <v>2024</v>
      </c>
      <c r="B3515" s="6">
        <v>4</v>
      </c>
      <c r="C3515" s="6" t="s">
        <v>62</v>
      </c>
      <c r="D3515" s="6" t="s">
        <v>380</v>
      </c>
      <c r="E3515" s="6" t="s">
        <v>381</v>
      </c>
      <c r="F3515" s="6" t="str">
        <f>IF($M3515="PADD I","PADD 1",IF($M3515="PADD II","PADD 2",IF($M3515="PADD III","PADD 3",IF($M3515="PADD IV","PADD 4",IF($M3515="PADD V","PADD 5","")))))</f>
        <v>PADD 3</v>
      </c>
      <c r="G3515" s="6">
        <f>IF(AND($H3515="ATMOS DISTILLATION",ISNUMBER(SEARCH("VPS",$I3515))=FALSE,LEFT($I3515,6)&lt;&gt;"VACUUM"),"CDU",IF($H3515="FLUID CAT CRACKING","FCC",IF(OR($H3515="HYDROCRACKING",$H3515="RESID_HYDROCRACKING"),"Hydrocracker",IF($H3515="REFORMING","Reformer",""))))</f>
        <v/>
      </c>
      <c r="H3515" s="6" t="s">
        <v>378</v>
      </c>
      <c r="I3515" s="6" t="s">
        <v>850</v>
      </c>
      <c r="J3515" s="6" t="s">
        <v>345</v>
      </c>
      <c r="K3515" s="10">
        <v>11.88</v>
      </c>
      <c r="L3515" s="10">
        <v>44</v>
      </c>
      <c r="M3515" s="6" t="s">
        <v>371</v>
      </c>
    </row>
    <row r="3516" spans="1:13">
      <c r="A3516" s="6">
        <v>2024</v>
      </c>
      <c r="B3516" s="6">
        <v>4</v>
      </c>
      <c r="C3516" s="6" t="s">
        <v>62</v>
      </c>
      <c r="D3516" s="6" t="s">
        <v>628</v>
      </c>
      <c r="E3516" s="6" t="s">
        <v>388</v>
      </c>
      <c r="F3516" s="6" t="str">
        <f>IF($M3516="PADD I","PADD 1",IF($M3516="PADD II","PADD 2",IF($M3516="PADD III","PADD 3",IF($M3516="PADD IV","PADD 4",IF($M3516="PADD V","PADD 5","")))))</f>
        <v>PADD 3</v>
      </c>
      <c r="G3516" s="6" t="str">
        <f>IF(AND($H3516="ATMOS DISTILLATION",ISNUMBER(SEARCH("VPS",$I3516))=FALSE,LEFT($I3516,6)&lt;&gt;"VACUUM"),"CDU",IF($H3516="FLUID CAT CRACKING","FCC",IF(OR($H3516="HYDROCRACKING",$H3516="RESID_HYDROCRACKING"),"Hydrocracker",IF($H3516="REFORMING","Reformer",""))))</f>
        <v>CDU</v>
      </c>
      <c r="H3516" s="6" t="s">
        <v>38</v>
      </c>
      <c r="I3516" s="6" t="s">
        <v>1048</v>
      </c>
      <c r="J3516" s="6" t="s">
        <v>345</v>
      </c>
      <c r="K3516" s="10">
        <v>11.5</v>
      </c>
      <c r="L3516" s="10">
        <v>50</v>
      </c>
      <c r="M3516" s="6" t="s">
        <v>371</v>
      </c>
    </row>
    <row r="3517" spans="1:13">
      <c r="A3517" s="6">
        <v>2024</v>
      </c>
      <c r="B3517" s="6">
        <v>4</v>
      </c>
      <c r="C3517" s="6" t="s">
        <v>62</v>
      </c>
      <c r="D3517" s="6" t="s">
        <v>446</v>
      </c>
      <c r="E3517" s="6" t="s">
        <v>391</v>
      </c>
      <c r="F3517" s="6" t="str">
        <f>IF($M3517="PADD I","PADD 1",IF($M3517="PADD II","PADD 2",IF($M3517="PADD III","PADD 3",IF($M3517="PADD IV","PADD 4",IF($M3517="PADD V","PADD 5","")))))</f>
        <v>PADD 3</v>
      </c>
      <c r="G3517" s="6">
        <f>IF(AND($H3517="ATMOS DISTILLATION",ISNUMBER(SEARCH("VPS",$I3517))=FALSE,LEFT($I3517,6)&lt;&gt;"VACUUM"),"CDU",IF($H3517="FLUID CAT CRACKING","FCC",IF(OR($H3517="HYDROCRACKING",$H3517="RESID_HYDROCRACKING"),"Hydrocracker",IF($H3517="REFORMING","Reformer",""))))</f>
        <v/>
      </c>
      <c r="H3517" s="6" t="s">
        <v>378</v>
      </c>
      <c r="I3517" s="6" t="s">
        <v>1041</v>
      </c>
      <c r="J3517" s="6" t="s">
        <v>345</v>
      </c>
      <c r="K3517" s="10">
        <v>11.4</v>
      </c>
      <c r="L3517" s="10">
        <v>38</v>
      </c>
      <c r="M3517" s="6" t="s">
        <v>371</v>
      </c>
    </row>
    <row r="3518" spans="1:13">
      <c r="A3518" s="6">
        <v>2024</v>
      </c>
      <c r="B3518" s="6">
        <v>4</v>
      </c>
      <c r="C3518" s="6" t="s">
        <v>62</v>
      </c>
      <c r="D3518" s="6" t="s">
        <v>803</v>
      </c>
      <c r="E3518" s="6" t="s">
        <v>388</v>
      </c>
      <c r="F3518" s="6" t="str">
        <f>IF($M3518="PADD I","PADD 1",IF($M3518="PADD II","PADD 2",IF($M3518="PADD III","PADD 3",IF($M3518="PADD IV","PADD 4",IF($M3518="PADD V","PADD 5","")))))</f>
        <v>PADD 2</v>
      </c>
      <c r="G3518" s="6">
        <f>IF(AND($H3518="ATMOS DISTILLATION",ISNUMBER(SEARCH("VPS",$I3518))=FALSE,LEFT($I3518,6)&lt;&gt;"VACUUM"),"CDU",IF($H3518="FLUID CAT CRACKING","FCC",IF(OR($H3518="HYDROCRACKING",$H3518="RESID_HYDROCRACKING"),"Hydrocracker",IF($H3518="REFORMING","Reformer",""))))</f>
        <v/>
      </c>
      <c r="H3518" s="6" t="s">
        <v>43</v>
      </c>
      <c r="I3518" s="6" t="s">
        <v>1177</v>
      </c>
      <c r="J3518" s="6" t="s">
        <v>345</v>
      </c>
      <c r="K3518" s="10">
        <v>11.4</v>
      </c>
      <c r="L3518" s="10">
        <v>20</v>
      </c>
      <c r="M3518" s="6" t="s">
        <v>375</v>
      </c>
    </row>
    <row r="3519" spans="1:13">
      <c r="A3519" s="6">
        <v>2024</v>
      </c>
      <c r="B3519" s="6">
        <v>4</v>
      </c>
      <c r="C3519" s="6" t="s">
        <v>62</v>
      </c>
      <c r="D3519" s="6" t="s">
        <v>576</v>
      </c>
      <c r="E3519" s="6" t="s">
        <v>369</v>
      </c>
      <c r="F3519" s="6" t="str">
        <f>IF($M3519="PADD I","PADD 1",IF($M3519="PADD II","PADD 2",IF($M3519="PADD III","PADD 3",IF($M3519="PADD IV","PADD 4",IF($M3519="PADD V","PADD 5","")))))</f>
        <v>PADD 3</v>
      </c>
      <c r="G3519" s="6">
        <f>IF(AND($H3519="ATMOS DISTILLATION",ISNUMBER(SEARCH("VPS",$I3519))=FALSE,LEFT($I3519,6)&lt;&gt;"VACUUM"),"CDU",IF($H3519="FLUID CAT CRACKING","FCC",IF(OR($H3519="HYDROCRACKING",$H3519="RESID_HYDROCRACKING"),"Hydrocracker",IF($H3519="REFORMING","Reformer",""))))</f>
        <v/>
      </c>
      <c r="H3519" s="6" t="s">
        <v>43</v>
      </c>
      <c r="I3519" s="6" t="s">
        <v>1178</v>
      </c>
      <c r="J3519" s="6" t="s">
        <v>349</v>
      </c>
      <c r="K3519" s="10">
        <v>11.28</v>
      </c>
      <c r="L3519" s="10">
        <v>24</v>
      </c>
      <c r="M3519" s="6" t="s">
        <v>371</v>
      </c>
    </row>
    <row r="3520" spans="1:13">
      <c r="A3520" s="6">
        <v>2024</v>
      </c>
      <c r="B3520" s="6">
        <v>4</v>
      </c>
      <c r="C3520" s="6" t="s">
        <v>62</v>
      </c>
      <c r="D3520" s="6" t="s">
        <v>387</v>
      </c>
      <c r="E3520" s="6" t="s">
        <v>388</v>
      </c>
      <c r="F3520" s="6" t="str">
        <f>IF($M3520="PADD I","PADD 1",IF($M3520="PADD II","PADD 2",IF($M3520="PADD III","PADD 3",IF($M3520="PADD IV","PADD 4",IF($M3520="PADD V","PADD 5","")))))</f>
        <v>PADD 3</v>
      </c>
      <c r="G3520" s="6" t="str">
        <f>IF(AND($H3520="ATMOS DISTILLATION",ISNUMBER(SEARCH("VPS",$I3520))=FALSE,LEFT($I3520,6)&lt;&gt;"VACUUM"),"CDU",IF($H3520="FLUID CAT CRACKING","FCC",IF(OR($H3520="HYDROCRACKING",$H3520="RESID_HYDROCRACKING"),"Hydrocracker",IF($H3520="REFORMING","Reformer",""))))</f>
        <v>Reformer</v>
      </c>
      <c r="H3520" s="6" t="s">
        <v>421</v>
      </c>
      <c r="I3520" s="6" t="s">
        <v>583</v>
      </c>
      <c r="J3520" s="6" t="s">
        <v>345</v>
      </c>
      <c r="K3520" s="10">
        <v>11.135</v>
      </c>
      <c r="L3520" s="10">
        <v>65.5</v>
      </c>
      <c r="M3520" s="6" t="s">
        <v>371</v>
      </c>
    </row>
    <row r="3521" spans="1:13">
      <c r="A3521" s="6">
        <v>2024</v>
      </c>
      <c r="B3521" s="6">
        <v>4</v>
      </c>
      <c r="C3521" s="6" t="s">
        <v>62</v>
      </c>
      <c r="D3521" s="6" t="s">
        <v>321</v>
      </c>
      <c r="E3521" s="6" t="s">
        <v>381</v>
      </c>
      <c r="F3521" s="6" t="str">
        <f>IF($M3521="PADD I","PADD 1",IF($M3521="PADD II","PADD 2",IF($M3521="PADD III","PADD 3",IF($M3521="PADD IV","PADD 4",IF($M3521="PADD V","PADD 5","")))))</f>
        <v>PADD 2</v>
      </c>
      <c r="G3521" s="6">
        <f>IF(AND($H3521="ATMOS DISTILLATION",ISNUMBER(SEARCH("VPS",$I3521))=FALSE,LEFT($I3521,6)&lt;&gt;"VACUUM"),"CDU",IF($H3521="FLUID CAT CRACKING","FCC",IF(OR($H3521="HYDROCRACKING",$H3521="RESID_HYDROCRACKING"),"Hydrocracker",IF($H3521="REFORMING","Reformer",""))))</f>
        <v/>
      </c>
      <c r="H3521" s="6" t="s">
        <v>460</v>
      </c>
      <c r="I3521" s="6" t="s">
        <v>616</v>
      </c>
      <c r="J3521" s="6" t="s">
        <v>345</v>
      </c>
      <c r="K3521" s="10">
        <v>11.067</v>
      </c>
      <c r="L3521" s="10">
        <v>11.9</v>
      </c>
      <c r="M3521" s="6" t="s">
        <v>375</v>
      </c>
    </row>
    <row r="3522" spans="1:13">
      <c r="A3522" s="6">
        <v>2024</v>
      </c>
      <c r="B3522" s="6">
        <v>4</v>
      </c>
      <c r="C3522" s="6" t="s">
        <v>62</v>
      </c>
      <c r="D3522" s="6" t="s">
        <v>440</v>
      </c>
      <c r="E3522" s="6" t="s">
        <v>369</v>
      </c>
      <c r="F3522" s="6" t="str">
        <f>IF($M3522="PADD I","PADD 1",IF($M3522="PADD II","PADD 2",IF($M3522="PADD III","PADD 3",IF($M3522="PADD IV","PADD 4",IF($M3522="PADD V","PADD 5","")))))</f>
        <v>PADD 5</v>
      </c>
      <c r="G3522" s="6">
        <f>IF(AND($H3522="ATMOS DISTILLATION",ISNUMBER(SEARCH("VPS",$I3522))=FALSE,LEFT($I3522,6)&lt;&gt;"VACUUM"),"CDU",IF($H3522="FLUID CAT CRACKING","FCC",IF(OR($H3522="HYDROCRACKING",$H3522="RESID_HYDROCRACKING"),"Hydrocracker",IF($H3522="REFORMING","Reformer",""))))</f>
        <v/>
      </c>
      <c r="H3522" s="6" t="s">
        <v>435</v>
      </c>
      <c r="I3522" s="6" t="s">
        <v>441</v>
      </c>
      <c r="J3522" s="6" t="s">
        <v>345</v>
      </c>
      <c r="K3522" s="10">
        <v>10.6</v>
      </c>
      <c r="L3522" s="10">
        <v>53</v>
      </c>
      <c r="M3522" s="6" t="s">
        <v>386</v>
      </c>
    </row>
    <row r="3523" spans="1:13">
      <c r="A3523" s="6">
        <v>2024</v>
      </c>
      <c r="B3523" s="6">
        <v>4</v>
      </c>
      <c r="C3523" s="6" t="s">
        <v>62</v>
      </c>
      <c r="D3523" s="6" t="s">
        <v>331</v>
      </c>
      <c r="E3523" s="6" t="s">
        <v>373</v>
      </c>
      <c r="F3523" s="6" t="str">
        <f>IF($M3523="PADD I","PADD 1",IF($M3523="PADD II","PADD 2",IF($M3523="PADD III","PADD 3",IF($M3523="PADD IV","PADD 4",IF($M3523="PADD V","PADD 5","")))))</f>
        <v>PADD 2</v>
      </c>
      <c r="G3523" s="6">
        <f>IF(AND($H3523="ATMOS DISTILLATION",ISNUMBER(SEARCH("VPS",$I3523))=FALSE,LEFT($I3523,6)&lt;&gt;"VACUUM"),"CDU",IF($H3523="FLUID CAT CRACKING","FCC",IF(OR($H3523="HYDROCRACKING",$H3523="RESID_HYDROCRACKING"),"Hydrocracker",IF($H3523="REFORMING","Reformer",""))))</f>
        <v/>
      </c>
      <c r="H3523" s="6" t="s">
        <v>378</v>
      </c>
      <c r="I3523" s="6" t="s">
        <v>431</v>
      </c>
      <c r="J3523" s="6" t="s">
        <v>345</v>
      </c>
      <c r="K3523" s="10">
        <v>10.4</v>
      </c>
      <c r="L3523" s="10">
        <v>52</v>
      </c>
      <c r="M3523" s="6" t="s">
        <v>375</v>
      </c>
    </row>
    <row r="3524" spans="1:13">
      <c r="A3524" s="6">
        <v>2024</v>
      </c>
      <c r="B3524" s="6">
        <v>4</v>
      </c>
      <c r="C3524" s="6" t="s">
        <v>62</v>
      </c>
      <c r="D3524" s="6" t="s">
        <v>1038</v>
      </c>
      <c r="E3524" s="6" t="s">
        <v>1039</v>
      </c>
      <c r="F3524" s="6" t="str">
        <f>IF($M3524="PADD I","PADD 1",IF($M3524="PADD II","PADD 2",IF($M3524="PADD III","PADD 3",IF($M3524="PADD IV","PADD 4",IF($M3524="PADD V","PADD 5","")))))</f>
        <v>PADD 2</v>
      </c>
      <c r="G3524" s="6" t="str">
        <f>IF(AND($H3524="ATMOS DISTILLATION",ISNUMBER(SEARCH("VPS",$I3524))=FALSE,LEFT($I3524,6)&lt;&gt;"VACUUM"),"CDU",IF($H3524="FLUID CAT CRACKING","FCC",IF(OR($H3524="HYDROCRACKING",$H3524="RESID_HYDROCRACKING"),"Hydrocracker",IF($H3524="REFORMING","Reformer",""))))</f>
        <v>CDU</v>
      </c>
      <c r="H3524" s="6" t="s">
        <v>38</v>
      </c>
      <c r="I3524" s="6" t="s">
        <v>1040</v>
      </c>
      <c r="J3524" s="6" t="s">
        <v>345</v>
      </c>
      <c r="K3524" s="10">
        <v>10.2125</v>
      </c>
      <c r="L3524" s="10">
        <v>23.75</v>
      </c>
      <c r="M3524" s="6" t="s">
        <v>375</v>
      </c>
    </row>
    <row r="3525" spans="1:13">
      <c r="A3525" s="6">
        <v>2024</v>
      </c>
      <c r="B3525" s="6">
        <v>4</v>
      </c>
      <c r="C3525" s="6" t="s">
        <v>62</v>
      </c>
      <c r="D3525" s="6" t="s">
        <v>490</v>
      </c>
      <c r="E3525" s="6" t="s">
        <v>491</v>
      </c>
      <c r="F3525" s="6" t="str">
        <f>IF($M3525="PADD I","PADD 1",IF($M3525="PADD II","PADD 2",IF($M3525="PADD III","PADD 3",IF($M3525="PADD IV","PADD 4",IF($M3525="PADD V","PADD 5","")))))</f>
        <v>PADD 3</v>
      </c>
      <c r="G3525" s="6">
        <f>IF(AND($H3525="ATMOS DISTILLATION",ISNUMBER(SEARCH("VPS",$I3525))=FALSE,LEFT($I3525,6)&lt;&gt;"VACUUM"),"CDU",IF($H3525="FLUID CAT CRACKING","FCC",IF(OR($H3525="HYDROCRACKING",$H3525="RESID_HYDROCRACKING"),"Hydrocracker",IF($H3525="REFORMING","Reformer",""))))</f>
        <v/>
      </c>
      <c r="H3525" s="6" t="s">
        <v>43</v>
      </c>
      <c r="I3525" s="6" t="s">
        <v>847</v>
      </c>
      <c r="J3525" s="6" t="s">
        <v>345</v>
      </c>
      <c r="K3525" s="10">
        <v>10</v>
      </c>
      <c r="L3525" s="10">
        <v>50</v>
      </c>
      <c r="M3525" s="6" t="s">
        <v>371</v>
      </c>
    </row>
    <row r="3526" spans="1:13">
      <c r="A3526" s="6">
        <v>2024</v>
      </c>
      <c r="B3526" s="6">
        <v>4</v>
      </c>
      <c r="C3526" s="6" t="s">
        <v>62</v>
      </c>
      <c r="D3526" s="6" t="s">
        <v>542</v>
      </c>
      <c r="E3526" s="6" t="s">
        <v>543</v>
      </c>
      <c r="F3526" s="6" t="str">
        <f>IF($M3526="PADD I","PADD 1",IF($M3526="PADD II","PADD 2",IF($M3526="PADD III","PADD 3",IF($M3526="PADD IV","PADD 4",IF($M3526="PADD V","PADD 5","")))))</f>
        <v>PADD 2</v>
      </c>
      <c r="G3526" s="6">
        <f>IF(AND($H3526="ATMOS DISTILLATION",ISNUMBER(SEARCH("VPS",$I3526))=FALSE,LEFT($I3526,6)&lt;&gt;"VACUUM"),"CDU",IF($H3526="FLUID CAT CRACKING","FCC",IF(OR($H3526="HYDROCRACKING",$H3526="RESID_HYDROCRACKING"),"Hydrocracker",IF($H3526="REFORMING","Reformer",""))))</f>
        <v/>
      </c>
      <c r="H3526" s="6" t="s">
        <v>43</v>
      </c>
      <c r="I3526" s="6" t="s">
        <v>551</v>
      </c>
      <c r="J3526" s="6" t="s">
        <v>349</v>
      </c>
      <c r="K3526" s="10">
        <v>10</v>
      </c>
      <c r="L3526" s="10">
        <v>10</v>
      </c>
      <c r="M3526" s="6" t="s">
        <v>375</v>
      </c>
    </row>
    <row r="3527" spans="1:13">
      <c r="A3527" s="6">
        <v>2024</v>
      </c>
      <c r="B3527" s="6">
        <v>4</v>
      </c>
      <c r="C3527" s="6" t="s">
        <v>62</v>
      </c>
      <c r="D3527" s="6" t="s">
        <v>490</v>
      </c>
      <c r="E3527" s="6" t="s">
        <v>491</v>
      </c>
      <c r="F3527" s="6" t="str">
        <f>IF($M3527="PADD I","PADD 1",IF($M3527="PADD II","PADD 2",IF($M3527="PADD III","PADD 3",IF($M3527="PADD IV","PADD 4",IF($M3527="PADD V","PADD 5","")))))</f>
        <v>PADD 3</v>
      </c>
      <c r="G3527" s="6" t="str">
        <f>IF(AND($H3527="ATMOS DISTILLATION",ISNUMBER(SEARCH("VPS",$I3527))=FALSE,LEFT($I3527,6)&lt;&gt;"VACUUM"),"CDU",IF($H3527="FLUID CAT CRACKING","FCC",IF(OR($H3527="HYDROCRACKING",$H3527="RESID_HYDROCRACKING"),"Hydrocracker",IF($H3527="REFORMING","Reformer",""))))</f>
        <v>Reformer</v>
      </c>
      <c r="H3527" s="6" t="s">
        <v>421</v>
      </c>
      <c r="I3527" s="6" t="s">
        <v>950</v>
      </c>
      <c r="J3527" s="6" t="s">
        <v>345</v>
      </c>
      <c r="K3527" s="10">
        <v>9.800000000000001</v>
      </c>
      <c r="L3527" s="10">
        <v>49</v>
      </c>
      <c r="M3527" s="6" t="s">
        <v>371</v>
      </c>
    </row>
    <row r="3528" spans="1:13">
      <c r="A3528" s="6">
        <v>2024</v>
      </c>
      <c r="B3528" s="6">
        <v>4</v>
      </c>
      <c r="C3528" s="6" t="s">
        <v>62</v>
      </c>
      <c r="D3528" s="6" t="s">
        <v>801</v>
      </c>
      <c r="E3528" s="6" t="s">
        <v>779</v>
      </c>
      <c r="F3528" s="6" t="str">
        <f>IF($M3528="PADD I","PADD 1",IF($M3528="PADD II","PADD 2",IF($M3528="PADD III","PADD 3",IF($M3528="PADD IV","PADD 4",IF($M3528="PADD V","PADD 5","")))))</f>
        <v>PADD 2</v>
      </c>
      <c r="G3528" s="6">
        <f>IF(AND($H3528="ATMOS DISTILLATION",ISNUMBER(SEARCH("VPS",$I3528))=FALSE,LEFT($I3528,6)&lt;&gt;"VACUUM"),"CDU",IF($H3528="FLUID CAT CRACKING","FCC",IF(OR($H3528="HYDROCRACKING",$H3528="RESID_HYDROCRACKING"),"Hydrocracker",IF($H3528="REFORMING","Reformer",""))))</f>
        <v/>
      </c>
      <c r="H3528" s="6" t="s">
        <v>435</v>
      </c>
      <c r="I3528" s="6" t="s">
        <v>1179</v>
      </c>
      <c r="J3528" s="6" t="s">
        <v>349</v>
      </c>
      <c r="K3528" s="10">
        <v>9.720000000000001</v>
      </c>
      <c r="L3528" s="10">
        <v>36</v>
      </c>
      <c r="M3528" s="6" t="s">
        <v>375</v>
      </c>
    </row>
    <row r="3529" spans="1:13">
      <c r="A3529" s="6">
        <v>2024</v>
      </c>
      <c r="B3529" s="6">
        <v>4</v>
      </c>
      <c r="C3529" s="6" t="s">
        <v>62</v>
      </c>
      <c r="D3529" s="6" t="s">
        <v>799</v>
      </c>
      <c r="E3529" s="6" t="s">
        <v>391</v>
      </c>
      <c r="F3529" s="6" t="str">
        <f>IF($M3529="PADD I","PADD 1",IF($M3529="PADD II","PADD 2",IF($M3529="PADD III","PADD 3",IF($M3529="PADD IV","PADD 4",IF($M3529="PADD V","PADD 5","")))))</f>
        <v>PADD 4</v>
      </c>
      <c r="G3529" s="6">
        <f>IF(AND($H3529="ATMOS DISTILLATION",ISNUMBER(SEARCH("VPS",$I3529))=FALSE,LEFT($I3529,6)&lt;&gt;"VACUUM"),"CDU",IF($H3529="FLUID CAT CRACKING","FCC",IF(OR($H3529="HYDROCRACKING",$H3529="RESID_HYDROCRACKING"),"Hydrocracker",IF($H3529="REFORMING","Reformer",""))))</f>
        <v/>
      </c>
      <c r="H3529" s="6" t="s">
        <v>43</v>
      </c>
      <c r="I3529" s="6" t="s">
        <v>1064</v>
      </c>
      <c r="J3529" s="6" t="s">
        <v>345</v>
      </c>
      <c r="K3529" s="10">
        <v>9.709</v>
      </c>
      <c r="L3529" s="10">
        <v>13.3</v>
      </c>
      <c r="M3529" s="6" t="s">
        <v>430</v>
      </c>
    </row>
    <row r="3530" spans="1:13">
      <c r="A3530" s="6">
        <v>2024</v>
      </c>
      <c r="B3530" s="6">
        <v>4</v>
      </c>
      <c r="C3530" s="6" t="s">
        <v>62</v>
      </c>
      <c r="D3530" s="6" t="s">
        <v>455</v>
      </c>
      <c r="E3530" s="6" t="s">
        <v>405</v>
      </c>
      <c r="F3530" s="6" t="str">
        <f>IF($M3530="PADD I","PADD 1",IF($M3530="PADD II","PADD 2",IF($M3530="PADD III","PADD 3",IF($M3530="PADD IV","PADD 4",IF($M3530="PADD V","PADD 5","")))))</f>
        <v>PADD 3</v>
      </c>
      <c r="G3530" s="6" t="str">
        <f>IF(AND($H3530="ATMOS DISTILLATION",ISNUMBER(SEARCH("VPS",$I3530))=FALSE,LEFT($I3530,6)&lt;&gt;"VACUUM"),"CDU",IF($H3530="FLUID CAT CRACKING","FCC",IF(OR($H3530="HYDROCRACKING",$H3530="RESID_HYDROCRACKING"),"Hydrocracker",IF($H3530="REFORMING","Reformer",""))))</f>
        <v>Hydrocracker</v>
      </c>
      <c r="H3530" s="6" t="s">
        <v>444</v>
      </c>
      <c r="I3530" s="6" t="s">
        <v>1013</v>
      </c>
      <c r="J3530" s="6" t="s">
        <v>349</v>
      </c>
      <c r="K3530" s="10">
        <v>9.69</v>
      </c>
      <c r="L3530" s="10">
        <v>57</v>
      </c>
      <c r="M3530" s="6" t="s">
        <v>371</v>
      </c>
    </row>
    <row r="3531" spans="1:13">
      <c r="A3531" s="6">
        <v>2024</v>
      </c>
      <c r="B3531" s="6">
        <v>4</v>
      </c>
      <c r="C3531" s="6" t="s">
        <v>62</v>
      </c>
      <c r="D3531" s="6" t="s">
        <v>774</v>
      </c>
      <c r="E3531" s="6" t="s">
        <v>775</v>
      </c>
      <c r="F3531" s="6" t="str">
        <f>IF($M3531="PADD I","PADD 1",IF($M3531="PADD II","PADD 2",IF($M3531="PADD III","PADD 3",IF($M3531="PADD IV","PADD 4",IF($M3531="PADD V","PADD 5","")))))</f>
        <v>PADD 1</v>
      </c>
      <c r="G3531" s="6" t="str">
        <f>IF(AND($H3531="ATMOS DISTILLATION",ISNUMBER(SEARCH("VPS",$I3531))=FALSE,LEFT($I3531,6)&lt;&gt;"VACUUM"),"CDU",IF($H3531="FLUID CAT CRACKING","FCC",IF(OR($H3531="HYDROCRACKING",$H3531="RESID_HYDROCRACKING"),"Hydrocracker",IF($H3531="REFORMING","Reformer",""))))</f>
        <v>Reformer</v>
      </c>
      <c r="H3531" s="6" t="s">
        <v>421</v>
      </c>
      <c r="I3531" s="6" t="s">
        <v>1070</v>
      </c>
      <c r="J3531" s="6" t="s">
        <v>349</v>
      </c>
      <c r="K3531" s="10">
        <v>9.6309</v>
      </c>
      <c r="L3531" s="10">
        <v>11.07</v>
      </c>
      <c r="M3531" s="6" t="s">
        <v>413</v>
      </c>
    </row>
    <row r="3532" spans="1:13">
      <c r="A3532" s="6">
        <v>2024</v>
      </c>
      <c r="B3532" s="6">
        <v>4</v>
      </c>
      <c r="C3532" s="6" t="s">
        <v>62</v>
      </c>
      <c r="D3532" s="6" t="s">
        <v>446</v>
      </c>
      <c r="E3532" s="6" t="s">
        <v>391</v>
      </c>
      <c r="F3532" s="6" t="str">
        <f>IF($M3532="PADD I","PADD 1",IF($M3532="PADD II","PADD 2",IF($M3532="PADD III","PADD 3",IF($M3532="PADD IV","PADD 4",IF($M3532="PADD V","PADD 5","")))))</f>
        <v>PADD 3</v>
      </c>
      <c r="G3532" s="6">
        <f>IF(AND($H3532="ATMOS DISTILLATION",ISNUMBER(SEARCH("VPS",$I3532))=FALSE,LEFT($I3532,6)&lt;&gt;"VACUUM"),"CDU",IF($H3532="FLUID CAT CRACKING","FCC",IF(OR($H3532="HYDROCRACKING",$H3532="RESID_HYDROCRACKING"),"Hydrocracker",IF($H3532="REFORMING","Reformer",""))))</f>
        <v/>
      </c>
      <c r="H3532" s="6" t="s">
        <v>378</v>
      </c>
      <c r="I3532" s="6" t="s">
        <v>1041</v>
      </c>
      <c r="J3532" s="6" t="s">
        <v>345</v>
      </c>
      <c r="K3532" s="10">
        <v>9.43</v>
      </c>
      <c r="L3532" s="10">
        <v>41</v>
      </c>
      <c r="M3532" s="6" t="s">
        <v>371</v>
      </c>
    </row>
    <row r="3533" spans="1:13">
      <c r="A3533" s="6">
        <v>2024</v>
      </c>
      <c r="B3533" s="6">
        <v>4</v>
      </c>
      <c r="C3533" s="6" t="s">
        <v>62</v>
      </c>
      <c r="D3533" s="6" t="s">
        <v>51</v>
      </c>
      <c r="E3533" s="6" t="s">
        <v>391</v>
      </c>
      <c r="F3533" s="6" t="str">
        <f>IF($M3533="PADD I","PADD 1",IF($M3533="PADD II","PADD 2",IF($M3533="PADD III","PADD 3",IF($M3533="PADD IV","PADD 4",IF($M3533="PADD V","PADD 5","")))))</f>
        <v>PADD 5</v>
      </c>
      <c r="G3533" s="6" t="str">
        <f>IF(AND($H3533="ATMOS DISTILLATION",ISNUMBER(SEARCH("VPS",$I3533))=FALSE,LEFT($I3533,6)&lt;&gt;"VACUUM"),"CDU",IF($H3533="FLUID CAT CRACKING","FCC",IF(OR($H3533="HYDROCRACKING",$H3533="RESID_HYDROCRACKING"),"Hydrocracker",IF($H3533="REFORMING","Reformer",""))))</f>
        <v>FCC</v>
      </c>
      <c r="H3533" s="6" t="s">
        <v>376</v>
      </c>
      <c r="I3533" s="6" t="s">
        <v>105</v>
      </c>
      <c r="J3533" s="6" t="s">
        <v>345</v>
      </c>
      <c r="K3533" s="10">
        <v>9.425000000000001</v>
      </c>
      <c r="L3533" s="10">
        <v>72.5</v>
      </c>
      <c r="M3533" s="6" t="s">
        <v>386</v>
      </c>
    </row>
    <row r="3534" spans="1:13">
      <c r="A3534" s="6">
        <v>2024</v>
      </c>
      <c r="B3534" s="6">
        <v>4</v>
      </c>
      <c r="C3534" s="6" t="s">
        <v>62</v>
      </c>
      <c r="D3534" s="6" t="s">
        <v>1060</v>
      </c>
      <c r="E3534" s="6" t="s">
        <v>1039</v>
      </c>
      <c r="F3534" s="6" t="str">
        <f>IF($M3534="PADD I","PADD 1",IF($M3534="PADD II","PADD 2",IF($M3534="PADD III","PADD 3",IF($M3534="PADD IV","PADD 4",IF($M3534="PADD V","PADD 5","")))))</f>
        <v>PADD 2</v>
      </c>
      <c r="G3534" s="6">
        <f>IF(AND($H3534="ATMOS DISTILLATION",ISNUMBER(SEARCH("VPS",$I3534))=FALSE,LEFT($I3534,6)&lt;&gt;"VACUUM"),"CDU",IF($H3534="FLUID CAT CRACKING","FCC",IF(OR($H3534="HYDROCRACKING",$H3534="RESID_HYDROCRACKING"),"Hydrocracker",IF($H3534="REFORMING","Reformer",""))))</f>
        <v/>
      </c>
      <c r="H3534" s="6" t="s">
        <v>43</v>
      </c>
      <c r="I3534" s="6" t="s">
        <v>1180</v>
      </c>
      <c r="J3534" s="6" t="s">
        <v>345</v>
      </c>
      <c r="K3534" s="10">
        <v>9.407500000000001</v>
      </c>
      <c r="L3534" s="10">
        <v>17.75</v>
      </c>
      <c r="M3534" s="6" t="s">
        <v>375</v>
      </c>
    </row>
    <row r="3535" spans="1:13">
      <c r="A3535" s="6">
        <v>2024</v>
      </c>
      <c r="B3535" s="6">
        <v>4</v>
      </c>
      <c r="C3535" s="6" t="s">
        <v>62</v>
      </c>
      <c r="D3535" s="6" t="s">
        <v>333</v>
      </c>
      <c r="E3535" s="6" t="s">
        <v>381</v>
      </c>
      <c r="F3535" s="6" t="str">
        <f>IF($M3535="PADD I","PADD 1",IF($M3535="PADD II","PADD 2",IF($M3535="PADD III","PADD 3",IF($M3535="PADD IV","PADD 4",IF($M3535="PADD V","PADD 5","")))))</f>
        <v>PADD 3</v>
      </c>
      <c r="G3535" s="6">
        <f>IF(AND($H3535="ATMOS DISTILLATION",ISNUMBER(SEARCH("VPS",$I3535))=FALSE,LEFT($I3535,6)&lt;&gt;"VACUUM"),"CDU",IF($H3535="FLUID CAT CRACKING","FCC",IF(OR($H3535="HYDROCRACKING",$H3535="RESID_HYDROCRACKING"),"Hydrocracker",IF($H3535="REFORMING","Reformer",""))))</f>
        <v/>
      </c>
      <c r="H3535" s="6" t="s">
        <v>43</v>
      </c>
      <c r="I3535" s="6" t="s">
        <v>943</v>
      </c>
      <c r="J3535" s="6" t="s">
        <v>345</v>
      </c>
      <c r="K3535" s="10">
        <v>9.199999999999999</v>
      </c>
      <c r="L3535" s="10">
        <v>40</v>
      </c>
      <c r="M3535" s="6" t="s">
        <v>371</v>
      </c>
    </row>
    <row r="3536" spans="1:13">
      <c r="A3536" s="6">
        <v>2024</v>
      </c>
      <c r="B3536" s="6">
        <v>4</v>
      </c>
      <c r="C3536" s="6" t="s">
        <v>62</v>
      </c>
      <c r="D3536" s="6" t="s">
        <v>739</v>
      </c>
      <c r="E3536" s="6" t="s">
        <v>405</v>
      </c>
      <c r="F3536" s="6" t="str">
        <f>IF($M3536="PADD I","PADD 1",IF($M3536="PADD II","PADD 2",IF($M3536="PADD III","PADD 3",IF($M3536="PADD IV","PADD 4",IF($M3536="PADD V","PADD 5","")))))</f>
        <v>PADD 2</v>
      </c>
      <c r="G3536" s="6" t="str">
        <f>IF(AND($H3536="ATMOS DISTILLATION",ISNUMBER(SEARCH("VPS",$I3536))=FALSE,LEFT($I3536,6)&lt;&gt;"VACUUM"),"CDU",IF($H3536="FLUID CAT CRACKING","FCC",IF(OR($H3536="HYDROCRACKING",$H3536="RESID_HYDROCRACKING"),"Hydrocracker",IF($H3536="REFORMING","Reformer",""))))</f>
        <v>CDU</v>
      </c>
      <c r="H3536" s="6" t="s">
        <v>38</v>
      </c>
      <c r="I3536" s="6" t="s">
        <v>133</v>
      </c>
      <c r="J3536" s="6" t="s">
        <v>345</v>
      </c>
      <c r="K3536" s="10">
        <v>9.15</v>
      </c>
      <c r="L3536" s="10">
        <v>91.5</v>
      </c>
      <c r="M3536" s="6" t="s">
        <v>375</v>
      </c>
    </row>
    <row r="3537" spans="1:13">
      <c r="A3537" s="6">
        <v>2024</v>
      </c>
      <c r="B3537" s="6">
        <v>4</v>
      </c>
      <c r="C3537" s="6" t="s">
        <v>62</v>
      </c>
      <c r="D3537" s="6" t="s">
        <v>542</v>
      </c>
      <c r="E3537" s="6" t="s">
        <v>543</v>
      </c>
      <c r="F3537" s="6" t="str">
        <f>IF($M3537="PADD I","PADD 1",IF($M3537="PADD II","PADD 2",IF($M3537="PADD III","PADD 3",IF($M3537="PADD IV","PADD 4",IF($M3537="PADD V","PADD 5","")))))</f>
        <v>PADD 2</v>
      </c>
      <c r="G3537" s="6" t="str">
        <f>IF(AND($H3537="ATMOS DISTILLATION",ISNUMBER(SEARCH("VPS",$I3537))=FALSE,LEFT($I3537,6)&lt;&gt;"VACUUM"),"CDU",IF($H3537="FLUID CAT CRACKING","FCC",IF(OR($H3537="HYDROCRACKING",$H3537="RESID_HYDROCRACKING"),"Hydrocracker",IF($H3537="REFORMING","Reformer",""))))</f>
        <v>Reformer</v>
      </c>
      <c r="H3537" s="6" t="s">
        <v>421</v>
      </c>
      <c r="I3537" s="6" t="s">
        <v>1112</v>
      </c>
      <c r="J3537" s="6" t="s">
        <v>345</v>
      </c>
      <c r="K3537" s="10">
        <v>9.1</v>
      </c>
      <c r="L3537" s="10">
        <v>70</v>
      </c>
      <c r="M3537" s="6" t="s">
        <v>375</v>
      </c>
    </row>
    <row r="3538" spans="1:13">
      <c r="A3538" s="6">
        <v>2024</v>
      </c>
      <c r="B3538" s="6">
        <v>4</v>
      </c>
      <c r="C3538" s="6" t="s">
        <v>62</v>
      </c>
      <c r="D3538" s="6" t="s">
        <v>715</v>
      </c>
      <c r="E3538" s="6" t="s">
        <v>716</v>
      </c>
      <c r="F3538" s="6" t="str">
        <f>IF($M3538="PADD I","PADD 1",IF($M3538="PADD II","PADD 2",IF($M3538="PADD III","PADD 3",IF($M3538="PADD IV","PADD 4",IF($M3538="PADD V","PADD 5","")))))</f>
        <v>PADD 2</v>
      </c>
      <c r="G3538" s="6">
        <f>IF(AND($H3538="ATMOS DISTILLATION",ISNUMBER(SEARCH("VPS",$I3538))=FALSE,LEFT($I3538,6)&lt;&gt;"VACUUM"),"CDU",IF($H3538="FLUID CAT CRACKING","FCC",IF(OR($H3538="HYDROCRACKING",$H3538="RESID_HYDROCRACKING"),"Hydrocracker",IF($H3538="REFORMING","Reformer",""))))</f>
        <v/>
      </c>
      <c r="H3538" s="6" t="s">
        <v>43</v>
      </c>
      <c r="I3538" s="6" t="s">
        <v>1181</v>
      </c>
      <c r="J3538" s="6" t="s">
        <v>349</v>
      </c>
      <c r="K3538" s="10">
        <v>9</v>
      </c>
      <c r="L3538" s="10">
        <v>10</v>
      </c>
      <c r="M3538" s="6" t="s">
        <v>375</v>
      </c>
    </row>
    <row r="3539" spans="1:13">
      <c r="A3539" s="6">
        <v>2024</v>
      </c>
      <c r="B3539" s="6">
        <v>4</v>
      </c>
      <c r="C3539" s="6" t="s">
        <v>62</v>
      </c>
      <c r="D3539" s="6" t="s">
        <v>326</v>
      </c>
      <c r="E3539" s="6" t="s">
        <v>385</v>
      </c>
      <c r="F3539" s="6" t="str">
        <f>IF($M3539="PADD I","PADD 1",IF($M3539="PADD II","PADD 2",IF($M3539="PADD III","PADD 3",IF($M3539="PADD IV","PADD 4",IF($M3539="PADD V","PADD 5","")))))</f>
        <v>PADD 5</v>
      </c>
      <c r="G3539" s="6" t="str">
        <f>IF(AND($H3539="ATMOS DISTILLATION",ISNUMBER(SEARCH("VPS",$I3539))=FALSE,LEFT($I3539,6)&lt;&gt;"VACUUM"),"CDU",IF($H3539="FLUID CAT CRACKING","FCC",IF(OR($H3539="HYDROCRACKING",$H3539="RESID_HYDROCRACKING"),"Hydrocracker",IF($H3539="REFORMING","Reformer",""))))</f>
        <v>Reformer</v>
      </c>
      <c r="H3539" s="6" t="s">
        <v>421</v>
      </c>
      <c r="I3539" s="6" t="s">
        <v>15</v>
      </c>
      <c r="J3539" s="6" t="s">
        <v>349</v>
      </c>
      <c r="K3539" s="10">
        <v>8.85</v>
      </c>
      <c r="L3539" s="10">
        <v>29.5</v>
      </c>
      <c r="M3539" s="6" t="s">
        <v>386</v>
      </c>
    </row>
    <row r="3540" spans="1:13">
      <c r="A3540" s="6">
        <v>2024</v>
      </c>
      <c r="B3540" s="6">
        <v>4</v>
      </c>
      <c r="C3540" s="6" t="s">
        <v>62</v>
      </c>
      <c r="D3540" s="6" t="s">
        <v>446</v>
      </c>
      <c r="E3540" s="6" t="s">
        <v>391</v>
      </c>
      <c r="F3540" s="6" t="str">
        <f>IF($M3540="PADD I","PADD 1",IF($M3540="PADD II","PADD 2",IF($M3540="PADD III","PADD 3",IF($M3540="PADD IV","PADD 4",IF($M3540="PADD V","PADD 5","")))))</f>
        <v>PADD 3</v>
      </c>
      <c r="G3540" s="6">
        <f>IF(AND($H3540="ATMOS DISTILLATION",ISNUMBER(SEARCH("VPS",$I3540))=FALSE,LEFT($I3540,6)&lt;&gt;"VACUUM"),"CDU",IF($H3540="FLUID CAT CRACKING","FCC",IF(OR($H3540="HYDROCRACKING",$H3540="RESID_HYDROCRACKING"),"Hydrocracker",IF($H3540="REFORMING","Reformer",""))))</f>
        <v/>
      </c>
      <c r="H3540" s="6" t="s">
        <v>378</v>
      </c>
      <c r="I3540" s="6" t="s">
        <v>1041</v>
      </c>
      <c r="J3540" s="6" t="s">
        <v>349</v>
      </c>
      <c r="K3540" s="10">
        <v>8.74</v>
      </c>
      <c r="L3540" s="10">
        <v>38</v>
      </c>
      <c r="M3540" s="6" t="s">
        <v>371</v>
      </c>
    </row>
    <row r="3541" spans="1:13">
      <c r="A3541" s="6">
        <v>2024</v>
      </c>
      <c r="B3541" s="6">
        <v>4</v>
      </c>
      <c r="C3541" s="6" t="s">
        <v>62</v>
      </c>
      <c r="D3541" s="6" t="s">
        <v>484</v>
      </c>
      <c r="E3541" s="6" t="s">
        <v>409</v>
      </c>
      <c r="F3541" s="6" t="str">
        <f>IF($M3541="PADD I","PADD 1",IF($M3541="PADD II","PADD 2",IF($M3541="PADD III","PADD 3",IF($M3541="PADD IV","PADD 4",IF($M3541="PADD V","PADD 5","")))))</f>
        <v>PADD 3</v>
      </c>
      <c r="G3541" s="6">
        <f>IF(AND($H3541="ATMOS DISTILLATION",ISNUMBER(SEARCH("VPS",$I3541))=FALSE,LEFT($I3541,6)&lt;&gt;"VACUUM"),"CDU",IF($H3541="FLUID CAT CRACKING","FCC",IF(OR($H3541="HYDROCRACKING",$H3541="RESID_HYDROCRACKING"),"Hydrocracker",IF($H3541="REFORMING","Reformer",""))))</f>
        <v/>
      </c>
      <c r="H3541" s="6" t="s">
        <v>43</v>
      </c>
      <c r="I3541" s="6" t="s">
        <v>485</v>
      </c>
      <c r="J3541" s="6" t="s">
        <v>345</v>
      </c>
      <c r="K3541" s="10">
        <v>8.58</v>
      </c>
      <c r="L3541" s="10">
        <v>66</v>
      </c>
      <c r="M3541" s="6" t="s">
        <v>371</v>
      </c>
    </row>
    <row r="3542" spans="1:13">
      <c r="A3542" s="6">
        <v>2024</v>
      </c>
      <c r="B3542" s="6">
        <v>4</v>
      </c>
      <c r="C3542" s="6" t="s">
        <v>62</v>
      </c>
      <c r="D3542" s="6" t="s">
        <v>576</v>
      </c>
      <c r="E3542" s="6" t="s">
        <v>369</v>
      </c>
      <c r="F3542" s="6" t="str">
        <f>IF($M3542="PADD I","PADD 1",IF($M3542="PADD II","PADD 2",IF($M3542="PADD III","PADD 3",IF($M3542="PADD IV","PADD 4",IF($M3542="PADD V","PADD 5","")))))</f>
        <v>PADD 3</v>
      </c>
      <c r="G3542" s="6">
        <f>IF(AND($H3542="ATMOS DISTILLATION",ISNUMBER(SEARCH("VPS",$I3542))=FALSE,LEFT($I3542,6)&lt;&gt;"VACUUM"),"CDU",IF($H3542="FLUID CAT CRACKING","FCC",IF(OR($H3542="HYDROCRACKING",$H3542="RESID_HYDROCRACKING"),"Hydrocracker",IF($H3542="REFORMING","Reformer",""))))</f>
        <v/>
      </c>
      <c r="H3542" s="6" t="s">
        <v>43</v>
      </c>
      <c r="I3542" s="6" t="s">
        <v>1182</v>
      </c>
      <c r="J3542" s="6" t="s">
        <v>349</v>
      </c>
      <c r="K3542" s="10">
        <v>8.460000000000001</v>
      </c>
      <c r="L3542" s="10">
        <v>18</v>
      </c>
      <c r="M3542" s="6" t="s">
        <v>371</v>
      </c>
    </row>
    <row r="3543" spans="1:13">
      <c r="A3543" s="6">
        <v>2024</v>
      </c>
      <c r="B3543" s="6">
        <v>4</v>
      </c>
      <c r="C3543" s="6" t="s">
        <v>62</v>
      </c>
      <c r="D3543" s="6" t="s">
        <v>48</v>
      </c>
      <c r="E3543" s="6" t="s">
        <v>388</v>
      </c>
      <c r="F3543" s="6" t="str">
        <f>IF($M3543="PADD I","PADD 1",IF($M3543="PADD II","PADD 2",IF($M3543="PADD III","PADD 3",IF($M3543="PADD IV","PADD 4",IF($M3543="PADD V","PADD 5","")))))</f>
        <v>PADD 2</v>
      </c>
      <c r="G3543" s="6">
        <f>IF(AND($H3543="ATMOS DISTILLATION",ISNUMBER(SEARCH("VPS",$I3543))=FALSE,LEFT($I3543,6)&lt;&gt;"VACUUM"),"CDU",IF($H3543="FLUID CAT CRACKING","FCC",IF(OR($H3543="HYDROCRACKING",$H3543="RESID_HYDROCRACKING"),"Hydrocracker",IF($H3543="REFORMING","Reformer",""))))</f>
        <v/>
      </c>
      <c r="H3543" s="6" t="s">
        <v>378</v>
      </c>
      <c r="I3543" s="6" t="s">
        <v>431</v>
      </c>
      <c r="J3543" s="6" t="s">
        <v>349</v>
      </c>
      <c r="K3543" s="10">
        <v>8.449999999999999</v>
      </c>
      <c r="L3543" s="10">
        <v>65</v>
      </c>
      <c r="M3543" s="6" t="s">
        <v>375</v>
      </c>
    </row>
    <row r="3544" spans="1:13">
      <c r="A3544" s="6">
        <v>2024</v>
      </c>
      <c r="B3544" s="6">
        <v>4</v>
      </c>
      <c r="C3544" s="6" t="s">
        <v>62</v>
      </c>
      <c r="D3544" s="6" t="s">
        <v>326</v>
      </c>
      <c r="E3544" s="6" t="s">
        <v>385</v>
      </c>
      <c r="F3544" s="6" t="str">
        <f>IF($M3544="PADD I","PADD 1",IF($M3544="PADD II","PADD 2",IF($M3544="PADD III","PADD 3",IF($M3544="PADD IV","PADD 4",IF($M3544="PADD V","PADD 5","")))))</f>
        <v>PADD 5</v>
      </c>
      <c r="G3544" s="6" t="str">
        <f>IF(AND($H3544="ATMOS DISTILLATION",ISNUMBER(SEARCH("VPS",$I3544))=FALSE,LEFT($I3544,6)&lt;&gt;"VACUUM"),"CDU",IF($H3544="FLUID CAT CRACKING","FCC",IF(OR($H3544="HYDROCRACKING",$H3544="RESID_HYDROCRACKING"),"Hydrocracker",IF($H3544="REFORMING","Reformer",""))))</f>
        <v>Hydrocracker</v>
      </c>
      <c r="H3544" s="6" t="s">
        <v>444</v>
      </c>
      <c r="I3544" s="6" t="s">
        <v>498</v>
      </c>
      <c r="J3544" s="6" t="s">
        <v>349</v>
      </c>
      <c r="K3544" s="10">
        <v>8.4</v>
      </c>
      <c r="L3544" s="10">
        <v>42</v>
      </c>
      <c r="M3544" s="6" t="s">
        <v>386</v>
      </c>
    </row>
    <row r="3545" spans="1:13">
      <c r="A3545" s="6">
        <v>2024</v>
      </c>
      <c r="B3545" s="6">
        <v>4</v>
      </c>
      <c r="C3545" s="6" t="s">
        <v>62</v>
      </c>
      <c r="D3545" s="6" t="s">
        <v>490</v>
      </c>
      <c r="E3545" s="6" t="s">
        <v>491</v>
      </c>
      <c r="F3545" s="6" t="str">
        <f>IF($M3545="PADD I","PADD 1",IF($M3545="PADD II","PADD 2",IF($M3545="PADD III","PADD 3",IF($M3545="PADD IV","PADD 4",IF($M3545="PADD V","PADD 5","")))))</f>
        <v>PADD 3</v>
      </c>
      <c r="G3545" s="6">
        <f>IF(AND($H3545="ATMOS DISTILLATION",ISNUMBER(SEARCH("VPS",$I3545))=FALSE,LEFT($I3545,6)&lt;&gt;"VACUUM"),"CDU",IF($H3545="FLUID CAT CRACKING","FCC",IF(OR($H3545="HYDROCRACKING",$H3545="RESID_HYDROCRACKING"),"Hydrocracker",IF($H3545="REFORMING","Reformer",""))))</f>
        <v/>
      </c>
      <c r="H3545" s="6" t="s">
        <v>378</v>
      </c>
      <c r="I3545" s="6" t="s">
        <v>1020</v>
      </c>
      <c r="J3545" s="6" t="s">
        <v>345</v>
      </c>
      <c r="K3545" s="10">
        <v>8</v>
      </c>
      <c r="L3545" s="10">
        <v>40</v>
      </c>
      <c r="M3545" s="6" t="s">
        <v>371</v>
      </c>
    </row>
    <row r="3546" spans="1:13">
      <c r="A3546" s="6">
        <v>2024</v>
      </c>
      <c r="B3546" s="6">
        <v>4</v>
      </c>
      <c r="C3546" s="6" t="s">
        <v>62</v>
      </c>
      <c r="D3546" s="6" t="s">
        <v>468</v>
      </c>
      <c r="E3546" s="6" t="s">
        <v>369</v>
      </c>
      <c r="F3546" s="6" t="str">
        <f>IF($M3546="PADD I","PADD 1",IF($M3546="PADD II","PADD 2",IF($M3546="PADD III","PADD 3",IF($M3546="PADD IV","PADD 4",IF($M3546="PADD V","PADD 5","")))))</f>
        <v>PADD 3</v>
      </c>
      <c r="G3546" s="6" t="str">
        <f>IF(AND($H3546="ATMOS DISTILLATION",ISNUMBER(SEARCH("VPS",$I3546))=FALSE,LEFT($I3546,6)&lt;&gt;"VACUUM"),"CDU",IF($H3546="FLUID CAT CRACKING","FCC",IF(OR($H3546="HYDROCRACKING",$H3546="RESID_HYDROCRACKING"),"Hydrocracker",IF($H3546="REFORMING","Reformer",""))))</f>
        <v>Reformer</v>
      </c>
      <c r="H3546" s="6" t="s">
        <v>421</v>
      </c>
      <c r="I3546" s="6" t="s">
        <v>858</v>
      </c>
      <c r="J3546" s="6" t="s">
        <v>349</v>
      </c>
      <c r="K3546" s="10">
        <v>8</v>
      </c>
      <c r="L3546" s="10">
        <v>20</v>
      </c>
      <c r="M3546" s="6" t="s">
        <v>371</v>
      </c>
    </row>
    <row r="3547" spans="1:13">
      <c r="A3547" s="6">
        <v>2024</v>
      </c>
      <c r="B3547" s="6">
        <v>4</v>
      </c>
      <c r="C3547" s="6" t="s">
        <v>62</v>
      </c>
      <c r="D3547" s="6" t="s">
        <v>468</v>
      </c>
      <c r="E3547" s="6" t="s">
        <v>369</v>
      </c>
      <c r="F3547" s="6" t="str">
        <f>IF($M3547="PADD I","PADD 1",IF($M3547="PADD II","PADD 2",IF($M3547="PADD III","PADD 3",IF($M3547="PADD IV","PADD 4",IF($M3547="PADD V","PADD 5","")))))</f>
        <v>PADD 3</v>
      </c>
      <c r="G3547" s="6">
        <f>IF(AND($H3547="ATMOS DISTILLATION",ISNUMBER(SEARCH("VPS",$I3547))=FALSE,LEFT($I3547,6)&lt;&gt;"VACUUM"),"CDU",IF($H3547="FLUID CAT CRACKING","FCC",IF(OR($H3547="HYDROCRACKING",$H3547="RESID_HYDROCRACKING"),"Hydrocracker",IF($H3547="REFORMING","Reformer",""))))</f>
        <v/>
      </c>
      <c r="H3547" s="6" t="s">
        <v>43</v>
      </c>
      <c r="I3547" s="6" t="s">
        <v>1030</v>
      </c>
      <c r="J3547" s="6" t="s">
        <v>349</v>
      </c>
      <c r="K3547" s="10">
        <v>8</v>
      </c>
      <c r="L3547" s="10">
        <v>20</v>
      </c>
      <c r="M3547" s="6" t="s">
        <v>371</v>
      </c>
    </row>
    <row r="3548" spans="1:13">
      <c r="A3548" s="6">
        <v>2024</v>
      </c>
      <c r="B3548" s="6">
        <v>4</v>
      </c>
      <c r="C3548" s="6" t="s">
        <v>62</v>
      </c>
      <c r="D3548" s="6" t="s">
        <v>639</v>
      </c>
      <c r="E3548" s="6" t="s">
        <v>452</v>
      </c>
      <c r="F3548" s="6" t="str">
        <f>IF($M3548="PADD I","PADD 1",IF($M3548="PADD II","PADD 2",IF($M3548="PADD III","PADD 3",IF($M3548="PADD IV","PADD 4",IF($M3548="PADD V","PADD 5","")))))</f>
        <v>PADD 5</v>
      </c>
      <c r="G3548" s="6">
        <f>IF(AND($H3548="ATMOS DISTILLATION",ISNUMBER(SEARCH("VPS",$I3548))=FALSE,LEFT($I3548,6)&lt;&gt;"VACUUM"),"CDU",IF($H3548="FLUID CAT CRACKING","FCC",IF(OR($H3548="HYDROCRACKING",$H3548="RESID_HYDROCRACKING"),"Hydrocracker",IF($H3548="REFORMING","Reformer",""))))</f>
        <v/>
      </c>
      <c r="H3548" s="6" t="s">
        <v>435</v>
      </c>
      <c r="I3548" s="6" t="s">
        <v>1096</v>
      </c>
      <c r="J3548" s="6" t="s">
        <v>345</v>
      </c>
      <c r="K3548" s="10">
        <v>7.92</v>
      </c>
      <c r="L3548" s="10">
        <v>24</v>
      </c>
      <c r="M3548" s="6" t="s">
        <v>386</v>
      </c>
    </row>
    <row r="3549" spans="1:13">
      <c r="A3549" s="6">
        <v>2024</v>
      </c>
      <c r="B3549" s="6">
        <v>4</v>
      </c>
      <c r="C3549" s="6" t="s">
        <v>62</v>
      </c>
      <c r="D3549" s="6" t="s">
        <v>803</v>
      </c>
      <c r="E3549" s="6" t="s">
        <v>388</v>
      </c>
      <c r="F3549" s="6" t="str">
        <f>IF($M3549="PADD I","PADD 1",IF($M3549="PADD II","PADD 2",IF($M3549="PADD III","PADD 3",IF($M3549="PADD IV","PADD 4",IF($M3549="PADD V","PADD 5","")))))</f>
        <v>PADD 2</v>
      </c>
      <c r="G3549" s="6" t="str">
        <f>IF(AND($H3549="ATMOS DISTILLATION",ISNUMBER(SEARCH("VPS",$I3549))=FALSE,LEFT($I3549,6)&lt;&gt;"VACUUM"),"CDU",IF($H3549="FLUID CAT CRACKING","FCC",IF(OR($H3549="HYDROCRACKING",$H3549="RESID_HYDROCRACKING"),"Hydrocracker",IF($H3549="REFORMING","Reformer",""))))</f>
        <v>Reformer</v>
      </c>
      <c r="H3549" s="6" t="s">
        <v>421</v>
      </c>
      <c r="I3549" s="6" t="s">
        <v>559</v>
      </c>
      <c r="J3549" s="6" t="s">
        <v>345</v>
      </c>
      <c r="K3549" s="10">
        <v>7.875</v>
      </c>
      <c r="L3549" s="10">
        <v>11.25</v>
      </c>
      <c r="M3549" s="6" t="s">
        <v>375</v>
      </c>
    </row>
    <row r="3550" spans="1:13">
      <c r="A3550" s="6">
        <v>2024</v>
      </c>
      <c r="B3550" s="6">
        <v>4</v>
      </c>
      <c r="C3550" s="6" t="s">
        <v>62</v>
      </c>
      <c r="D3550" s="6" t="s">
        <v>326</v>
      </c>
      <c r="E3550" s="6" t="s">
        <v>385</v>
      </c>
      <c r="F3550" s="6" t="str">
        <f>IF($M3550="PADD I","PADD 1",IF($M3550="PADD II","PADD 2",IF($M3550="PADD III","PADD 3",IF($M3550="PADD IV","PADD 4",IF($M3550="PADD V","PADD 5","")))))</f>
        <v>PADD 5</v>
      </c>
      <c r="G3550" s="6">
        <f>IF(AND($H3550="ATMOS DISTILLATION",ISNUMBER(SEARCH("VPS",$I3550))=FALSE,LEFT($I3550,6)&lt;&gt;"VACUUM"),"CDU",IF($H3550="FLUID CAT CRACKING","FCC",IF(OR($H3550="HYDROCRACKING",$H3550="RESID_HYDROCRACKING"),"Hydrocracker",IF($H3550="REFORMING","Reformer",""))))</f>
        <v/>
      </c>
      <c r="H3550" s="6" t="s">
        <v>43</v>
      </c>
      <c r="I3550" s="6" t="s">
        <v>1183</v>
      </c>
      <c r="J3550" s="6" t="s">
        <v>349</v>
      </c>
      <c r="K3550" s="10">
        <v>7.8</v>
      </c>
      <c r="L3550" s="10">
        <v>26</v>
      </c>
      <c r="M3550" s="6" t="s">
        <v>386</v>
      </c>
    </row>
    <row r="3551" spans="1:13">
      <c r="A3551" s="6">
        <v>2024</v>
      </c>
      <c r="B3551" s="6">
        <v>4</v>
      </c>
      <c r="C3551" s="6" t="s">
        <v>62</v>
      </c>
      <c r="D3551" s="6" t="s">
        <v>437</v>
      </c>
      <c r="E3551" s="6" t="s">
        <v>438</v>
      </c>
      <c r="F3551" s="6" t="str">
        <f>IF($M3551="PADD I","PADD 1",IF($M3551="PADD II","PADD 2",IF($M3551="PADD III","PADD 3",IF($M3551="PADD IV","PADD 4",IF($M3551="PADD V","PADD 5","")))))</f>
        <v>PADD 4</v>
      </c>
      <c r="G3551" s="6" t="str">
        <f>IF(AND($H3551="ATMOS DISTILLATION",ISNUMBER(SEARCH("VPS",$I3551))=FALSE,LEFT($I3551,6)&lt;&gt;"VACUUM"),"CDU",IF($H3551="FLUID CAT CRACKING","FCC",IF(OR($H3551="HYDROCRACKING",$H3551="RESID_HYDROCRACKING"),"Hydrocracker",IF($H3551="REFORMING","Reformer",""))))</f>
        <v>CDU</v>
      </c>
      <c r="H3551" s="6" t="s">
        <v>38</v>
      </c>
      <c r="I3551" s="6" t="s">
        <v>439</v>
      </c>
      <c r="J3551" s="6" t="s">
        <v>349</v>
      </c>
      <c r="K3551" s="10">
        <v>7.6</v>
      </c>
      <c r="L3551" s="10">
        <v>38</v>
      </c>
      <c r="M3551" s="6" t="s">
        <v>430</v>
      </c>
    </row>
    <row r="3552" spans="1:13">
      <c r="A3552" s="6">
        <v>2024</v>
      </c>
      <c r="B3552" s="6">
        <v>4</v>
      </c>
      <c r="C3552" s="6" t="s">
        <v>62</v>
      </c>
      <c r="D3552" s="6" t="s">
        <v>789</v>
      </c>
      <c r="E3552" s="6" t="s">
        <v>790</v>
      </c>
      <c r="F3552" s="6" t="str">
        <f>IF($M3552="PADD I","PADD 1",IF($M3552="PADD II","PADD 2",IF($M3552="PADD III","PADD 3",IF($M3552="PADD IV","PADD 4",IF($M3552="PADD V","PADD 5","")))))</f>
        <v>PADD 3</v>
      </c>
      <c r="G3552" s="6" t="str">
        <f>IF(AND($H3552="ATMOS DISTILLATION",ISNUMBER(SEARCH("VPS",$I3552))=FALSE,LEFT($I3552,6)&lt;&gt;"VACUUM"),"CDU",IF($H3552="FLUID CAT CRACKING","FCC",IF(OR($H3552="HYDROCRACKING",$H3552="RESID_HYDROCRACKING"),"Hydrocracker",IF($H3552="REFORMING","Reformer",""))))</f>
        <v>CDU</v>
      </c>
      <c r="H3552" s="6" t="s">
        <v>38</v>
      </c>
      <c r="I3552" s="6" t="s">
        <v>1184</v>
      </c>
      <c r="J3552" s="6" t="s">
        <v>349</v>
      </c>
      <c r="K3552" s="10">
        <v>7.5</v>
      </c>
      <c r="L3552" s="10">
        <v>25</v>
      </c>
      <c r="M3552" s="6" t="s">
        <v>371</v>
      </c>
    </row>
    <row r="3553" spans="1:13">
      <c r="A3553" s="6">
        <v>2024</v>
      </c>
      <c r="B3553" s="6">
        <v>4</v>
      </c>
      <c r="C3553" s="6" t="s">
        <v>62</v>
      </c>
      <c r="D3553" s="6" t="s">
        <v>465</v>
      </c>
      <c r="E3553" s="6" t="s">
        <v>369</v>
      </c>
      <c r="F3553" s="6" t="str">
        <f>IF($M3553="PADD I","PADD 1",IF($M3553="PADD II","PADD 2",IF($M3553="PADD III","PADD 3",IF($M3553="PADD IV","PADD 4",IF($M3553="PADD V","PADD 5","")))))</f>
        <v>PADD 5</v>
      </c>
      <c r="G3553" s="6" t="str">
        <f>IF(AND($H3553="ATMOS DISTILLATION",ISNUMBER(SEARCH("VPS",$I3553))=FALSE,LEFT($I3553,6)&lt;&gt;"VACUUM"),"CDU",IF($H3553="FLUID CAT CRACKING","FCC",IF(OR($H3553="HYDROCRACKING",$H3553="RESID_HYDROCRACKING"),"Hydrocracker",IF($H3553="REFORMING","Reformer",""))))</f>
        <v>Reformer</v>
      </c>
      <c r="H3553" s="6" t="s">
        <v>421</v>
      </c>
      <c r="I3553" s="6" t="s">
        <v>673</v>
      </c>
      <c r="J3553" s="6" t="s">
        <v>349</v>
      </c>
      <c r="K3553" s="10">
        <v>7.4</v>
      </c>
      <c r="L3553" s="10">
        <v>20</v>
      </c>
      <c r="M3553" s="6" t="s">
        <v>386</v>
      </c>
    </row>
    <row r="3554" spans="1:13">
      <c r="A3554" s="6">
        <v>2024</v>
      </c>
      <c r="B3554" s="6">
        <v>4</v>
      </c>
      <c r="C3554" s="6" t="s">
        <v>62</v>
      </c>
      <c r="D3554" s="6" t="s">
        <v>446</v>
      </c>
      <c r="E3554" s="6" t="s">
        <v>391</v>
      </c>
      <c r="F3554" s="6" t="str">
        <f>IF($M3554="PADD I","PADD 1",IF($M3554="PADD II","PADD 2",IF($M3554="PADD III","PADD 3",IF($M3554="PADD IV","PADD 4",IF($M3554="PADD V","PADD 5","")))))</f>
        <v>PADD 3</v>
      </c>
      <c r="G3554" s="6">
        <f>IF(AND($H3554="ATMOS DISTILLATION",ISNUMBER(SEARCH("VPS",$I3554))=FALSE,LEFT($I3554,6)&lt;&gt;"VACUUM"),"CDU",IF($H3554="FLUID CAT CRACKING","FCC",IF(OR($H3554="HYDROCRACKING",$H3554="RESID_HYDROCRACKING"),"Hydrocracker",IF($H3554="REFORMING","Reformer",""))))</f>
        <v/>
      </c>
      <c r="H3554" s="6" t="s">
        <v>460</v>
      </c>
      <c r="I3554" s="6" t="s">
        <v>1075</v>
      </c>
      <c r="J3554" s="6" t="s">
        <v>345</v>
      </c>
      <c r="K3554" s="10">
        <v>7.2</v>
      </c>
      <c r="L3554" s="10">
        <v>7.2</v>
      </c>
      <c r="M3554" s="6" t="s">
        <v>371</v>
      </c>
    </row>
    <row r="3555" spans="1:13">
      <c r="A3555" s="6">
        <v>2024</v>
      </c>
      <c r="B3555" s="6">
        <v>4</v>
      </c>
      <c r="C3555" s="6" t="s">
        <v>62</v>
      </c>
      <c r="D3555" s="6" t="s">
        <v>778</v>
      </c>
      <c r="E3555" s="6" t="s">
        <v>779</v>
      </c>
      <c r="F3555" s="6" t="str">
        <f>IF($M3555="PADD I","PADD 1",IF($M3555="PADD II","PADD 2",IF($M3555="PADD III","PADD 3",IF($M3555="PADD IV","PADD 4",IF($M3555="PADD V","PADD 5","")))))</f>
        <v>PADD 3</v>
      </c>
      <c r="G3555" s="6" t="str">
        <f>IF(AND($H3555="ATMOS DISTILLATION",ISNUMBER(SEARCH("VPS",$I3555))=FALSE,LEFT($I3555,6)&lt;&gt;"VACUUM"),"CDU",IF($H3555="FLUID CAT CRACKING","FCC",IF(OR($H3555="HYDROCRACKING",$H3555="RESID_HYDROCRACKING"),"Hydrocracker",IF($H3555="REFORMING","Reformer",""))))</f>
        <v>FCC</v>
      </c>
      <c r="H3555" s="6" t="s">
        <v>376</v>
      </c>
      <c r="I3555" s="6" t="s">
        <v>806</v>
      </c>
      <c r="J3555" s="6" t="s">
        <v>345</v>
      </c>
      <c r="K3555" s="10">
        <v>7.15</v>
      </c>
      <c r="L3555" s="10">
        <v>55</v>
      </c>
      <c r="M3555" s="6" t="s">
        <v>371</v>
      </c>
    </row>
    <row r="3556" spans="1:13">
      <c r="A3556" s="6">
        <v>2024</v>
      </c>
      <c r="B3556" s="6">
        <v>4</v>
      </c>
      <c r="C3556" s="6" t="s">
        <v>62</v>
      </c>
      <c r="D3556" s="6" t="s">
        <v>632</v>
      </c>
      <c r="E3556" s="6" t="s">
        <v>633</v>
      </c>
      <c r="F3556" s="6" t="str">
        <f>IF($M3556="PADD I","PADD 1",IF($M3556="PADD II","PADD 2",IF($M3556="PADD III","PADD 3",IF($M3556="PADD IV","PADD 4",IF($M3556="PADD V","PADD 5","")))))</f>
        <v>PADD 4</v>
      </c>
      <c r="G3556" s="6" t="str">
        <f>IF(AND($H3556="ATMOS DISTILLATION",ISNUMBER(SEARCH("VPS",$I3556))=FALSE,LEFT($I3556,6)&lt;&gt;"VACUUM"),"CDU",IF($H3556="FLUID CAT CRACKING","FCC",IF(OR($H3556="HYDROCRACKING",$H3556="RESID_HYDROCRACKING"),"Hydrocracker",IF($H3556="REFORMING","Reformer",""))))</f>
        <v>Reformer</v>
      </c>
      <c r="H3556" s="6" t="s">
        <v>421</v>
      </c>
      <c r="I3556" s="6" t="s">
        <v>1070</v>
      </c>
      <c r="J3556" s="6" t="s">
        <v>345</v>
      </c>
      <c r="K3556" s="10">
        <v>7.055</v>
      </c>
      <c r="L3556" s="10">
        <v>8.5</v>
      </c>
      <c r="M3556" s="6" t="s">
        <v>430</v>
      </c>
    </row>
    <row r="3557" spans="1:13">
      <c r="A3557" s="6">
        <v>2024</v>
      </c>
      <c r="B3557" s="6">
        <v>4</v>
      </c>
      <c r="C3557" s="6" t="s">
        <v>62</v>
      </c>
      <c r="D3557" s="6" t="s">
        <v>887</v>
      </c>
      <c r="E3557" s="6" t="s">
        <v>405</v>
      </c>
      <c r="F3557" s="6" t="str">
        <f>IF($M3557="PADD I","PADD 1",IF($M3557="PADD II","PADD 2",IF($M3557="PADD III","PADD 3",IF($M3557="PADD IV","PADD 4",IF($M3557="PADD V","PADD 5","")))))</f>
        <v>PADD 3</v>
      </c>
      <c r="G3557" s="6" t="str">
        <f>IF(AND($H3557="ATMOS DISTILLATION",ISNUMBER(SEARCH("VPS",$I3557))=FALSE,LEFT($I3557,6)&lt;&gt;"VACUUM"),"CDU",IF($H3557="FLUID CAT CRACKING","FCC",IF(OR($H3557="HYDROCRACKING",$H3557="RESID_HYDROCRACKING"),"Hydrocracker",IF($H3557="REFORMING","Reformer",""))))</f>
        <v>Reformer</v>
      </c>
      <c r="H3557" s="6" t="s">
        <v>421</v>
      </c>
      <c r="I3557" s="6" t="s">
        <v>539</v>
      </c>
      <c r="J3557" s="6" t="s">
        <v>345</v>
      </c>
      <c r="K3557" s="10">
        <v>6.9</v>
      </c>
      <c r="L3557" s="10">
        <v>23</v>
      </c>
      <c r="M3557" s="6" t="s">
        <v>371</v>
      </c>
    </row>
    <row r="3558" spans="1:13">
      <c r="A3558" s="6">
        <v>2024</v>
      </c>
      <c r="B3558" s="6">
        <v>4</v>
      </c>
      <c r="C3558" s="6" t="s">
        <v>62</v>
      </c>
      <c r="D3558" s="6" t="s">
        <v>803</v>
      </c>
      <c r="E3558" s="6" t="s">
        <v>388</v>
      </c>
      <c r="F3558" s="6" t="str">
        <f>IF($M3558="PADD I","PADD 1",IF($M3558="PADD II","PADD 2",IF($M3558="PADD III","PADD 3",IF($M3558="PADD IV","PADD 4",IF($M3558="PADD V","PADD 5","")))))</f>
        <v>PADD 2</v>
      </c>
      <c r="G3558" s="6">
        <f>IF(AND($H3558="ATMOS DISTILLATION",ISNUMBER(SEARCH("VPS",$I3558))=FALSE,LEFT($I3558,6)&lt;&gt;"VACUUM"),"CDU",IF($H3558="FLUID CAT CRACKING","FCC",IF(OR($H3558="HYDROCRACKING",$H3558="RESID_HYDROCRACKING"),"Hydrocracker",IF($H3558="REFORMING","Reformer",""))))</f>
        <v/>
      </c>
      <c r="H3558" s="6" t="s">
        <v>43</v>
      </c>
      <c r="I3558" s="6" t="s">
        <v>869</v>
      </c>
      <c r="J3558" s="6" t="s">
        <v>349</v>
      </c>
      <c r="K3558" s="10">
        <v>6.7</v>
      </c>
      <c r="L3558" s="10">
        <v>10</v>
      </c>
      <c r="M3558" s="6" t="s">
        <v>375</v>
      </c>
    </row>
    <row r="3559" spans="1:13">
      <c r="A3559" s="6">
        <v>2024</v>
      </c>
      <c r="B3559" s="6">
        <v>4</v>
      </c>
      <c r="C3559" s="6" t="s">
        <v>62</v>
      </c>
      <c r="D3559" s="6" t="s">
        <v>465</v>
      </c>
      <c r="E3559" s="6" t="s">
        <v>369</v>
      </c>
      <c r="F3559" s="6" t="str">
        <f>IF($M3559="PADD I","PADD 1",IF($M3559="PADD II","PADD 2",IF($M3559="PADD III","PADD 3",IF($M3559="PADD IV","PADD 4",IF($M3559="PADD V","PADD 5","")))))</f>
        <v>PADD 5</v>
      </c>
      <c r="G3559" s="6">
        <f>IF(AND($H3559="ATMOS DISTILLATION",ISNUMBER(SEARCH("VPS",$I3559))=FALSE,LEFT($I3559,6)&lt;&gt;"VACUUM"),"CDU",IF($H3559="FLUID CAT CRACKING","FCC",IF(OR($H3559="HYDROCRACKING",$H3559="RESID_HYDROCRACKING"),"Hydrocracker",IF($H3559="REFORMING","Reformer",""))))</f>
        <v/>
      </c>
      <c r="H3559" s="6" t="s">
        <v>43</v>
      </c>
      <c r="I3559" s="6" t="s">
        <v>466</v>
      </c>
      <c r="J3559" s="6" t="s">
        <v>349</v>
      </c>
      <c r="K3559" s="10">
        <v>6.642</v>
      </c>
      <c r="L3559" s="10">
        <v>66.42</v>
      </c>
      <c r="M3559" s="6" t="s">
        <v>386</v>
      </c>
    </row>
    <row r="3560" spans="1:13">
      <c r="A3560" s="6">
        <v>2024</v>
      </c>
      <c r="B3560" s="6">
        <v>4</v>
      </c>
      <c r="C3560" s="6" t="s">
        <v>62</v>
      </c>
      <c r="D3560" s="6" t="s">
        <v>774</v>
      </c>
      <c r="E3560" s="6" t="s">
        <v>775</v>
      </c>
      <c r="F3560" s="6" t="str">
        <f>IF($M3560="PADD I","PADD 1",IF($M3560="PADD II","PADD 2",IF($M3560="PADD III","PADD 3",IF($M3560="PADD IV","PADD 4",IF($M3560="PADD V","PADD 5","")))))</f>
        <v>PADD 1</v>
      </c>
      <c r="G3560" s="6">
        <f>IF(AND($H3560="ATMOS DISTILLATION",ISNUMBER(SEARCH("VPS",$I3560))=FALSE,LEFT($I3560,6)&lt;&gt;"VACUUM"),"CDU",IF($H3560="FLUID CAT CRACKING","FCC",IF(OR($H3560="HYDROCRACKING",$H3560="RESID_HYDROCRACKING"),"Hydrocracker",IF($H3560="REFORMING","Reformer",""))))</f>
        <v/>
      </c>
      <c r="H3560" s="6" t="s">
        <v>43</v>
      </c>
      <c r="I3560" s="6" t="s">
        <v>1146</v>
      </c>
      <c r="J3560" s="6" t="s">
        <v>349</v>
      </c>
      <c r="K3560" s="10">
        <v>6.6033</v>
      </c>
      <c r="L3560" s="10">
        <v>7.59</v>
      </c>
      <c r="M3560" s="6" t="s">
        <v>413</v>
      </c>
    </row>
    <row r="3561" spans="1:13">
      <c r="A3561" s="6">
        <v>2024</v>
      </c>
      <c r="B3561" s="6">
        <v>4</v>
      </c>
      <c r="C3561" s="6" t="s">
        <v>62</v>
      </c>
      <c r="D3561" s="6" t="s">
        <v>326</v>
      </c>
      <c r="E3561" s="6" t="s">
        <v>385</v>
      </c>
      <c r="F3561" s="6" t="str">
        <f>IF($M3561="PADD I","PADD 1",IF($M3561="PADD II","PADD 2",IF($M3561="PADD III","PADD 3",IF($M3561="PADD IV","PADD 4",IF($M3561="PADD V","PADD 5","")))))</f>
        <v>PADD 5</v>
      </c>
      <c r="G3561" s="6">
        <f>IF(AND($H3561="ATMOS DISTILLATION",ISNUMBER(SEARCH("VPS",$I3561))=FALSE,LEFT($I3561,6)&lt;&gt;"VACUUM"),"CDU",IF($H3561="FLUID CAT CRACKING","FCC",IF(OR($H3561="HYDROCRACKING",$H3561="RESID_HYDROCRACKING"),"Hydrocracker",IF($H3561="REFORMING","Reformer",""))))</f>
        <v/>
      </c>
      <c r="H3561" s="6" t="s">
        <v>435</v>
      </c>
      <c r="I3561" s="6" t="s">
        <v>441</v>
      </c>
      <c r="J3561" s="6" t="s">
        <v>349</v>
      </c>
      <c r="K3561" s="10">
        <v>6.6</v>
      </c>
      <c r="L3561" s="10">
        <v>22</v>
      </c>
      <c r="M3561" s="6" t="s">
        <v>386</v>
      </c>
    </row>
    <row r="3562" spans="1:13">
      <c r="A3562" s="6">
        <v>2024</v>
      </c>
      <c r="B3562" s="6">
        <v>4</v>
      </c>
      <c r="C3562" s="6" t="s">
        <v>62</v>
      </c>
      <c r="D3562" s="6" t="s">
        <v>446</v>
      </c>
      <c r="E3562" s="6" t="s">
        <v>391</v>
      </c>
      <c r="F3562" s="6" t="str">
        <f>IF($M3562="PADD I","PADD 1",IF($M3562="PADD II","PADD 2",IF($M3562="PADD III","PADD 3",IF($M3562="PADD IV","PADD 4",IF($M3562="PADD V","PADD 5","")))))</f>
        <v>PADD 3</v>
      </c>
      <c r="G3562" s="6">
        <f>IF(AND($H3562="ATMOS DISTILLATION",ISNUMBER(SEARCH("VPS",$I3562))=FALSE,LEFT($I3562,6)&lt;&gt;"VACUUM"),"CDU",IF($H3562="FLUID CAT CRACKING","FCC",IF(OR($H3562="HYDROCRACKING",$H3562="RESID_HYDROCRACKING"),"Hydrocracker",IF($H3562="REFORMING","Reformer",""))))</f>
        <v/>
      </c>
      <c r="H3562" s="6" t="s">
        <v>378</v>
      </c>
      <c r="I3562" s="6" t="s">
        <v>1041</v>
      </c>
      <c r="J3562" s="6" t="s">
        <v>349</v>
      </c>
      <c r="K3562" s="10">
        <v>6.46</v>
      </c>
      <c r="L3562" s="10">
        <v>38</v>
      </c>
      <c r="M3562" s="6" t="s">
        <v>371</v>
      </c>
    </row>
    <row r="3563" spans="1:13">
      <c r="A3563" s="6">
        <v>2024</v>
      </c>
      <c r="B3563" s="6">
        <v>4</v>
      </c>
      <c r="C3563" s="6" t="s">
        <v>62</v>
      </c>
      <c r="D3563" s="6" t="s">
        <v>576</v>
      </c>
      <c r="E3563" s="6" t="s">
        <v>369</v>
      </c>
      <c r="F3563" s="6" t="str">
        <f>IF($M3563="PADD I","PADD 1",IF($M3563="PADD II","PADD 2",IF($M3563="PADD III","PADD 3",IF($M3563="PADD IV","PADD 4",IF($M3563="PADD V","PADD 5","")))))</f>
        <v>PADD 3</v>
      </c>
      <c r="G3563" s="6" t="str">
        <f>IF(AND($H3563="ATMOS DISTILLATION",ISNUMBER(SEARCH("VPS",$I3563))=FALSE,LEFT($I3563,6)&lt;&gt;"VACUUM"),"CDU",IF($H3563="FLUID CAT CRACKING","FCC",IF(OR($H3563="HYDROCRACKING",$H3563="RESID_HYDROCRACKING"),"Hydrocracker",IF($H3563="REFORMING","Reformer",""))))</f>
        <v>FCC</v>
      </c>
      <c r="H3563" s="6" t="s">
        <v>376</v>
      </c>
      <c r="I3563" s="6" t="s">
        <v>105</v>
      </c>
      <c r="J3563" s="6" t="s">
        <v>345</v>
      </c>
      <c r="K3563" s="10">
        <v>6.032</v>
      </c>
      <c r="L3563" s="10">
        <v>46.4</v>
      </c>
      <c r="M3563" s="6" t="s">
        <v>371</v>
      </c>
    </row>
    <row r="3564" spans="1:13">
      <c r="A3564" s="6">
        <v>2024</v>
      </c>
      <c r="B3564" s="6">
        <v>4</v>
      </c>
      <c r="C3564" s="6" t="s">
        <v>62</v>
      </c>
      <c r="D3564" s="6" t="s">
        <v>615</v>
      </c>
      <c r="E3564" s="6" t="s">
        <v>405</v>
      </c>
      <c r="F3564" s="6" t="str">
        <f>IF($M3564="PADD I","PADD 1",IF($M3564="PADD II","PADD 2",IF($M3564="PADD III","PADD 3",IF($M3564="PADD IV","PADD 4",IF($M3564="PADD V","PADD 5","")))))</f>
        <v>PADD 5</v>
      </c>
      <c r="G3564" s="6">
        <f>IF(AND($H3564="ATMOS DISTILLATION",ISNUMBER(SEARCH("VPS",$I3564))=FALSE,LEFT($I3564,6)&lt;&gt;"VACUUM"),"CDU",IF($H3564="FLUID CAT CRACKING","FCC",IF(OR($H3564="HYDROCRACKING",$H3564="RESID_HYDROCRACKING"),"Hydrocracker",IF($H3564="REFORMING","Reformer",""))))</f>
        <v/>
      </c>
      <c r="H3564" s="6" t="s">
        <v>43</v>
      </c>
      <c r="I3564" s="6" t="s">
        <v>1185</v>
      </c>
      <c r="J3564" s="6" t="s">
        <v>349</v>
      </c>
      <c r="K3564" s="10">
        <v>6</v>
      </c>
      <c r="L3564" s="10">
        <v>12</v>
      </c>
      <c r="M3564" s="6" t="s">
        <v>386</v>
      </c>
    </row>
    <row r="3565" spans="1:13">
      <c r="A3565" s="6">
        <v>2024</v>
      </c>
      <c r="B3565" s="6">
        <v>4</v>
      </c>
      <c r="C3565" s="6" t="s">
        <v>62</v>
      </c>
      <c r="D3565" s="6" t="s">
        <v>465</v>
      </c>
      <c r="E3565" s="6" t="s">
        <v>369</v>
      </c>
      <c r="F3565" s="6" t="str">
        <f>IF($M3565="PADD I","PADD 1",IF($M3565="PADD II","PADD 2",IF($M3565="PADD III","PADD 3",IF($M3565="PADD IV","PADD 4",IF($M3565="PADD V","PADD 5","")))))</f>
        <v>PADD 5</v>
      </c>
      <c r="G3565" s="6" t="str">
        <f>IF(AND($H3565="ATMOS DISTILLATION",ISNUMBER(SEARCH("VPS",$I3565))=FALSE,LEFT($I3565,6)&lt;&gt;"VACUUM"),"CDU",IF($H3565="FLUID CAT CRACKING","FCC",IF(OR($H3565="HYDROCRACKING",$H3565="RESID_HYDROCRACKING"),"Hydrocracker",IF($H3565="REFORMING","Reformer",""))))</f>
        <v>Reformer</v>
      </c>
      <c r="H3565" s="6" t="s">
        <v>421</v>
      </c>
      <c r="I3565" s="6" t="s">
        <v>673</v>
      </c>
      <c r="J3565" s="6" t="s">
        <v>349</v>
      </c>
      <c r="K3565" s="10">
        <v>6</v>
      </c>
      <c r="L3565" s="10">
        <v>20</v>
      </c>
      <c r="M3565" s="6" t="s">
        <v>386</v>
      </c>
    </row>
    <row r="3566" spans="1:13">
      <c r="A3566" s="6">
        <v>2024</v>
      </c>
      <c r="B3566" s="6">
        <v>4</v>
      </c>
      <c r="C3566" s="6" t="s">
        <v>62</v>
      </c>
      <c r="D3566" s="6" t="s">
        <v>715</v>
      </c>
      <c r="E3566" s="6" t="s">
        <v>716</v>
      </c>
      <c r="F3566" s="6" t="str">
        <f>IF($M3566="PADD I","PADD 1",IF($M3566="PADD II","PADD 2",IF($M3566="PADD III","PADD 3",IF($M3566="PADD IV","PADD 4",IF($M3566="PADD V","PADD 5","")))))</f>
        <v>PADD 2</v>
      </c>
      <c r="G3566" s="6" t="str">
        <f>IF(AND($H3566="ATMOS DISTILLATION",ISNUMBER(SEARCH("VPS",$I3566))=FALSE,LEFT($I3566,6)&lt;&gt;"VACUUM"),"CDU",IF($H3566="FLUID CAT CRACKING","FCC",IF(OR($H3566="HYDROCRACKING",$H3566="RESID_HYDROCRACKING"),"Hydrocracker",IF($H3566="REFORMING","Reformer",""))))</f>
        <v>Reformer</v>
      </c>
      <c r="H3566" s="6" t="s">
        <v>421</v>
      </c>
      <c r="I3566" s="6" t="s">
        <v>539</v>
      </c>
      <c r="J3566" s="6" t="s">
        <v>349</v>
      </c>
      <c r="K3566" s="10">
        <v>5.85</v>
      </c>
      <c r="L3566" s="10">
        <v>6.5</v>
      </c>
      <c r="M3566" s="6" t="s">
        <v>375</v>
      </c>
    </row>
    <row r="3567" spans="1:13">
      <c r="A3567" s="6">
        <v>2024</v>
      </c>
      <c r="B3567" s="6">
        <v>4</v>
      </c>
      <c r="C3567" s="6" t="s">
        <v>62</v>
      </c>
      <c r="D3567" s="6" t="s">
        <v>715</v>
      </c>
      <c r="E3567" s="6" t="s">
        <v>716</v>
      </c>
      <c r="F3567" s="6" t="str">
        <f>IF($M3567="PADD I","PADD 1",IF($M3567="PADD II","PADD 2",IF($M3567="PADD III","PADD 3",IF($M3567="PADD IV","PADD 4",IF($M3567="PADD V","PADD 5","")))))</f>
        <v>PADD 2</v>
      </c>
      <c r="G3567" s="6">
        <f>IF(AND($H3567="ATMOS DISTILLATION",ISNUMBER(SEARCH("VPS",$I3567))=FALSE,LEFT($I3567,6)&lt;&gt;"VACUUM"),"CDU",IF($H3567="FLUID CAT CRACKING","FCC",IF(OR($H3567="HYDROCRACKING",$H3567="RESID_HYDROCRACKING"),"Hydrocracker",IF($H3567="REFORMING","Reformer",""))))</f>
        <v/>
      </c>
      <c r="H3567" s="6" t="s">
        <v>43</v>
      </c>
      <c r="I3567" s="6" t="s">
        <v>458</v>
      </c>
      <c r="J3567" s="6" t="s">
        <v>349</v>
      </c>
      <c r="K3567" s="10">
        <v>5.85</v>
      </c>
      <c r="L3567" s="10">
        <v>6.5</v>
      </c>
      <c r="M3567" s="6" t="s">
        <v>375</v>
      </c>
    </row>
    <row r="3568" spans="1:13">
      <c r="A3568" s="6">
        <v>2024</v>
      </c>
      <c r="B3568" s="6">
        <v>4</v>
      </c>
      <c r="C3568" s="6" t="s">
        <v>62</v>
      </c>
      <c r="D3568" s="6" t="s">
        <v>372</v>
      </c>
      <c r="E3568" s="6" t="s">
        <v>373</v>
      </c>
      <c r="F3568" s="6" t="str">
        <f>IF($M3568="PADD I","PADD 1",IF($M3568="PADD II","PADD 2",IF($M3568="PADD III","PADD 3",IF($M3568="PADD IV","PADD 4",IF($M3568="PADD V","PADD 5","")))))</f>
        <v>PADD 2</v>
      </c>
      <c r="G3568" s="6">
        <f>IF(AND($H3568="ATMOS DISTILLATION",ISNUMBER(SEARCH("VPS",$I3568))=FALSE,LEFT($I3568,6)&lt;&gt;"VACUUM"),"CDU",IF($H3568="FLUID CAT CRACKING","FCC",IF(OR($H3568="HYDROCRACKING",$H3568="RESID_HYDROCRACKING"),"Hydrocracker",IF($H3568="REFORMING","Reformer",""))))</f>
        <v/>
      </c>
      <c r="H3568" s="6" t="s">
        <v>435</v>
      </c>
      <c r="I3568" s="6" t="s">
        <v>467</v>
      </c>
      <c r="J3568" s="6" t="s">
        <v>345</v>
      </c>
      <c r="K3568" s="10">
        <v>5.75</v>
      </c>
      <c r="L3568" s="10">
        <v>25</v>
      </c>
      <c r="M3568" s="6" t="s">
        <v>375</v>
      </c>
    </row>
    <row r="3569" spans="1:13">
      <c r="A3569" s="6">
        <v>2024</v>
      </c>
      <c r="B3569" s="6">
        <v>4</v>
      </c>
      <c r="C3569" s="6" t="s">
        <v>62</v>
      </c>
      <c r="D3569" s="6" t="s">
        <v>1060</v>
      </c>
      <c r="E3569" s="6" t="s">
        <v>1039</v>
      </c>
      <c r="F3569" s="6" t="str">
        <f>IF($M3569="PADD I","PADD 1",IF($M3569="PADD II","PADD 2",IF($M3569="PADD III","PADD 3",IF($M3569="PADD IV","PADD 4",IF($M3569="PADD V","PADD 5","")))))</f>
        <v>PADD 2</v>
      </c>
      <c r="G3569" s="6">
        <f>IF(AND($H3569="ATMOS DISTILLATION",ISNUMBER(SEARCH("VPS",$I3569))=FALSE,LEFT($I3569,6)&lt;&gt;"VACUUM"),"CDU",IF($H3569="FLUID CAT CRACKING","FCC",IF(OR($H3569="HYDROCRACKING",$H3569="RESID_HYDROCRACKING"),"Hydrocracker",IF($H3569="REFORMING","Reformer",""))))</f>
        <v/>
      </c>
      <c r="H3569" s="6" t="s">
        <v>43</v>
      </c>
      <c r="I3569" s="6" t="s">
        <v>1186</v>
      </c>
      <c r="J3569" s="6" t="s">
        <v>345</v>
      </c>
      <c r="K3569" s="10">
        <v>5.565</v>
      </c>
      <c r="L3569" s="10">
        <v>10.5</v>
      </c>
      <c r="M3569" s="6" t="s">
        <v>375</v>
      </c>
    </row>
    <row r="3570" spans="1:13">
      <c r="A3570" s="6">
        <v>2024</v>
      </c>
      <c r="B3570" s="6">
        <v>4</v>
      </c>
      <c r="C3570" s="6" t="s">
        <v>62</v>
      </c>
      <c r="D3570" s="6" t="s">
        <v>788</v>
      </c>
      <c r="E3570" s="6" t="s">
        <v>405</v>
      </c>
      <c r="F3570" s="6" t="str">
        <f>IF($M3570="PADD I","PADD 1",IF($M3570="PADD II","PADD 2",IF($M3570="PADD III","PADD 3",IF($M3570="PADD IV","PADD 4",IF($M3570="PADD V","PADD 5","")))))</f>
        <v>PADD 3</v>
      </c>
      <c r="G3570" s="6" t="str">
        <f>IF(AND($H3570="ATMOS DISTILLATION",ISNUMBER(SEARCH("VPS",$I3570))=FALSE,LEFT($I3570,6)&lt;&gt;"VACUUM"),"CDU",IF($H3570="FLUID CAT CRACKING","FCC",IF(OR($H3570="HYDROCRACKING",$H3570="RESID_HYDROCRACKING"),"Hydrocracker",IF($H3570="REFORMING","Reformer",""))))</f>
        <v>Hydrocracker</v>
      </c>
      <c r="H3570" s="6" t="s">
        <v>444</v>
      </c>
      <c r="I3570" s="6" t="s">
        <v>831</v>
      </c>
      <c r="J3570" s="6" t="s">
        <v>345</v>
      </c>
      <c r="K3570" s="10">
        <v>5.5</v>
      </c>
      <c r="L3570" s="10">
        <v>55</v>
      </c>
      <c r="M3570" s="6" t="s">
        <v>371</v>
      </c>
    </row>
    <row r="3571" spans="1:13">
      <c r="A3571" s="6">
        <v>2024</v>
      </c>
      <c r="B3571" s="6">
        <v>4</v>
      </c>
      <c r="C3571" s="6" t="s">
        <v>62</v>
      </c>
      <c r="D3571" s="6" t="s">
        <v>878</v>
      </c>
      <c r="E3571" s="6" t="s">
        <v>452</v>
      </c>
      <c r="F3571" s="6" t="str">
        <f>IF($M3571="PADD I","PADD 1",IF($M3571="PADD II","PADD 2",IF($M3571="PADD III","PADD 3",IF($M3571="PADD IV","PADD 4",IF($M3571="PADD V","PADD 5","")))))</f>
        <v>PADD 2</v>
      </c>
      <c r="G3571" s="6">
        <f>IF(AND($H3571="ATMOS DISTILLATION",ISNUMBER(SEARCH("VPS",$I3571))=FALSE,LEFT($I3571,6)&lt;&gt;"VACUUM"),"CDU",IF($H3571="FLUID CAT CRACKING","FCC",IF(OR($H3571="HYDROCRACKING",$H3571="RESID_HYDROCRACKING"),"Hydrocracker",IF($H3571="REFORMING","Reformer",""))))</f>
        <v/>
      </c>
      <c r="H3571" s="6" t="s">
        <v>435</v>
      </c>
      <c r="I3571" s="6" t="s">
        <v>441</v>
      </c>
      <c r="J3571" s="6" t="s">
        <v>345</v>
      </c>
      <c r="K3571" s="10">
        <v>5.355</v>
      </c>
      <c r="L3571" s="10">
        <v>8.5</v>
      </c>
      <c r="M3571" s="6" t="s">
        <v>375</v>
      </c>
    </row>
    <row r="3572" spans="1:13">
      <c r="A3572" s="6">
        <v>2024</v>
      </c>
      <c r="B3572" s="6">
        <v>4</v>
      </c>
      <c r="C3572" s="6" t="s">
        <v>62</v>
      </c>
      <c r="D3572" s="6" t="s">
        <v>446</v>
      </c>
      <c r="E3572" s="6" t="s">
        <v>391</v>
      </c>
      <c r="F3572" s="6" t="str">
        <f>IF($M3572="PADD I","PADD 1",IF($M3572="PADD II","PADD 2",IF($M3572="PADD III","PADD 3",IF($M3572="PADD IV","PADD 4",IF($M3572="PADD V","PADD 5","")))))</f>
        <v>PADD 3</v>
      </c>
      <c r="G3572" s="6">
        <f>IF(AND($H3572="ATMOS DISTILLATION",ISNUMBER(SEARCH("VPS",$I3572))=FALSE,LEFT($I3572,6)&lt;&gt;"VACUUM"),"CDU",IF($H3572="FLUID CAT CRACKING","FCC",IF(OR($H3572="HYDROCRACKING",$H3572="RESID_HYDROCRACKING"),"Hydrocracker",IF($H3572="REFORMING","Reformer",""))))</f>
        <v/>
      </c>
      <c r="H3572" s="6" t="s">
        <v>378</v>
      </c>
      <c r="I3572" s="6" t="s">
        <v>1041</v>
      </c>
      <c r="J3572" s="6" t="s">
        <v>345</v>
      </c>
      <c r="K3572" s="10">
        <v>5.33</v>
      </c>
      <c r="L3572" s="10">
        <v>41</v>
      </c>
      <c r="M3572" s="6" t="s">
        <v>371</v>
      </c>
    </row>
    <row r="3573" spans="1:13">
      <c r="A3573" s="6">
        <v>2024</v>
      </c>
      <c r="B3573" s="6">
        <v>4</v>
      </c>
      <c r="C3573" s="6" t="s">
        <v>62</v>
      </c>
      <c r="D3573" s="6" t="s">
        <v>331</v>
      </c>
      <c r="E3573" s="6" t="s">
        <v>373</v>
      </c>
      <c r="F3573" s="6" t="str">
        <f>IF($M3573="PADD I","PADD 1",IF($M3573="PADD II","PADD 2",IF($M3573="PADD III","PADD 3",IF($M3573="PADD IV","PADD 4",IF($M3573="PADD V","PADD 5","")))))</f>
        <v>PADD 2</v>
      </c>
      <c r="G3573" s="6">
        <f>IF(AND($H3573="ATMOS DISTILLATION",ISNUMBER(SEARCH("VPS",$I3573))=FALSE,LEFT($I3573,6)&lt;&gt;"VACUUM"),"CDU",IF($H3573="FLUID CAT CRACKING","FCC",IF(OR($H3573="HYDROCRACKING",$H3573="RESID_HYDROCRACKING"),"Hydrocracker",IF($H3573="REFORMING","Reformer",""))))</f>
        <v/>
      </c>
      <c r="H3573" s="6" t="s">
        <v>435</v>
      </c>
      <c r="I3573" s="6" t="s">
        <v>441</v>
      </c>
      <c r="J3573" s="6" t="s">
        <v>345</v>
      </c>
      <c r="K3573" s="10">
        <v>5.29</v>
      </c>
      <c r="L3573" s="10">
        <v>23</v>
      </c>
      <c r="M3573" s="6" t="s">
        <v>375</v>
      </c>
    </row>
    <row r="3574" spans="1:13">
      <c r="A3574" s="6">
        <v>2024</v>
      </c>
      <c r="B3574" s="6">
        <v>4</v>
      </c>
      <c r="C3574" s="6" t="s">
        <v>62</v>
      </c>
      <c r="D3574" s="6" t="s">
        <v>465</v>
      </c>
      <c r="E3574" s="6" t="s">
        <v>369</v>
      </c>
      <c r="F3574" s="6" t="str">
        <f>IF($M3574="PADD I","PADD 1",IF($M3574="PADD II","PADD 2",IF($M3574="PADD III","PADD 3",IF($M3574="PADD IV","PADD 4",IF($M3574="PADD V","PADD 5","")))))</f>
        <v>PADD 5</v>
      </c>
      <c r="G3574" s="6">
        <f>IF(AND($H3574="ATMOS DISTILLATION",ISNUMBER(SEARCH("VPS",$I3574))=FALSE,LEFT($I3574,6)&lt;&gt;"VACUUM"),"CDU",IF($H3574="FLUID CAT CRACKING","FCC",IF(OR($H3574="HYDROCRACKING",$H3574="RESID_HYDROCRACKING"),"Hydrocracker",IF($H3574="REFORMING","Reformer",""))))</f>
        <v/>
      </c>
      <c r="H3574" s="6" t="s">
        <v>43</v>
      </c>
      <c r="I3574" s="6" t="s">
        <v>1116</v>
      </c>
      <c r="J3574" s="6" t="s">
        <v>349</v>
      </c>
      <c r="K3574" s="10">
        <v>5.2</v>
      </c>
      <c r="L3574" s="10">
        <v>52</v>
      </c>
      <c r="M3574" s="6" t="s">
        <v>386</v>
      </c>
    </row>
    <row r="3575" spans="1:13">
      <c r="A3575" s="6">
        <v>2024</v>
      </c>
      <c r="B3575" s="6">
        <v>4</v>
      </c>
      <c r="C3575" s="6" t="s">
        <v>62</v>
      </c>
      <c r="D3575" s="6" t="s">
        <v>408</v>
      </c>
      <c r="E3575" s="6" t="s">
        <v>409</v>
      </c>
      <c r="F3575" s="6" t="str">
        <f>IF($M3575="PADD I","PADD 1",IF($M3575="PADD II","PADD 2",IF($M3575="PADD III","PADD 3",IF($M3575="PADD IV","PADD 4",IF($M3575="PADD V","PADD 5","")))))</f>
        <v>PADD 3</v>
      </c>
      <c r="G3575" s="6">
        <f>IF(AND($H3575="ATMOS DISTILLATION",ISNUMBER(SEARCH("VPS",$I3575))=FALSE,LEFT($I3575,6)&lt;&gt;"VACUUM"),"CDU",IF($H3575="FLUID CAT CRACKING","FCC",IF(OR($H3575="HYDROCRACKING",$H3575="RESID_HYDROCRACKING"),"Hydrocracker",IF($H3575="REFORMING","Reformer",""))))</f>
        <v/>
      </c>
      <c r="H3575" s="6" t="s">
        <v>43</v>
      </c>
      <c r="I3575" s="6" t="s">
        <v>502</v>
      </c>
      <c r="J3575" s="6" t="s">
        <v>349</v>
      </c>
      <c r="K3575" s="10">
        <v>5.1</v>
      </c>
      <c r="L3575" s="10">
        <v>30</v>
      </c>
      <c r="M3575" s="6" t="s">
        <v>371</v>
      </c>
    </row>
    <row r="3576" spans="1:13">
      <c r="A3576" s="6">
        <v>2024</v>
      </c>
      <c r="B3576" s="6">
        <v>4</v>
      </c>
      <c r="C3576" s="6" t="s">
        <v>62</v>
      </c>
      <c r="D3576" s="6" t="s">
        <v>408</v>
      </c>
      <c r="E3576" s="6" t="s">
        <v>409</v>
      </c>
      <c r="F3576" s="6" t="str">
        <f>IF($M3576="PADD I","PADD 1",IF($M3576="PADD II","PADD 2",IF($M3576="PADD III","PADD 3",IF($M3576="PADD IV","PADD 4",IF($M3576="PADD V","PADD 5","")))))</f>
        <v>PADD 3</v>
      </c>
      <c r="G3576" s="6">
        <f>IF(AND($H3576="ATMOS DISTILLATION",ISNUMBER(SEARCH("VPS",$I3576))=FALSE,LEFT($I3576,6)&lt;&gt;"VACUUM"),"CDU",IF($H3576="FLUID CAT CRACKING","FCC",IF(OR($H3576="HYDROCRACKING",$H3576="RESID_HYDROCRACKING"),"Hydrocracker",IF($H3576="REFORMING","Reformer",""))))</f>
        <v/>
      </c>
      <c r="H3576" s="6" t="s">
        <v>43</v>
      </c>
      <c r="I3576" s="6" t="s">
        <v>503</v>
      </c>
      <c r="J3576" s="6" t="s">
        <v>349</v>
      </c>
      <c r="K3576" s="10">
        <v>5.1</v>
      </c>
      <c r="L3576" s="10">
        <v>30</v>
      </c>
      <c r="M3576" s="6" t="s">
        <v>371</v>
      </c>
    </row>
    <row r="3577" spans="1:13">
      <c r="A3577" s="6">
        <v>2024</v>
      </c>
      <c r="B3577" s="6">
        <v>4</v>
      </c>
      <c r="C3577" s="6" t="s">
        <v>62</v>
      </c>
      <c r="D3577" s="6" t="s">
        <v>490</v>
      </c>
      <c r="E3577" s="6" t="s">
        <v>491</v>
      </c>
      <c r="F3577" s="6" t="str">
        <f>IF($M3577="PADD I","PADD 1",IF($M3577="PADD II","PADD 2",IF($M3577="PADD III","PADD 3",IF($M3577="PADD IV","PADD 4",IF($M3577="PADD V","PADD 5","")))))</f>
        <v>PADD 3</v>
      </c>
      <c r="G3577" s="6">
        <f>IF(AND($H3577="ATMOS DISTILLATION",ISNUMBER(SEARCH("VPS",$I3577))=FALSE,LEFT($I3577,6)&lt;&gt;"VACUUM"),"CDU",IF($H3577="FLUID CAT CRACKING","FCC",IF(OR($H3577="HYDROCRACKING",$H3577="RESID_HYDROCRACKING"),"Hydrocracker",IF($H3577="REFORMING","Reformer",""))))</f>
        <v/>
      </c>
      <c r="H3577" s="6" t="s">
        <v>43</v>
      </c>
      <c r="I3577" s="6" t="s">
        <v>957</v>
      </c>
      <c r="J3577" s="6" t="s">
        <v>345</v>
      </c>
      <c r="K3577" s="10">
        <v>5.04</v>
      </c>
      <c r="L3577" s="10">
        <v>25.2</v>
      </c>
      <c r="M3577" s="6" t="s">
        <v>371</v>
      </c>
    </row>
    <row r="3578" spans="1:13">
      <c r="A3578" s="6">
        <v>2024</v>
      </c>
      <c r="B3578" s="6">
        <v>4</v>
      </c>
      <c r="C3578" s="6" t="s">
        <v>62</v>
      </c>
      <c r="D3578" s="6" t="s">
        <v>788</v>
      </c>
      <c r="E3578" s="6" t="s">
        <v>405</v>
      </c>
      <c r="F3578" s="6" t="str">
        <f>IF($M3578="PADD I","PADD 1",IF($M3578="PADD II","PADD 2",IF($M3578="PADD III","PADD 3",IF($M3578="PADD IV","PADD 4",IF($M3578="PADD V","PADD 5","")))))</f>
        <v>PADD 3</v>
      </c>
      <c r="G3578" s="6">
        <f>IF(AND($H3578="ATMOS DISTILLATION",ISNUMBER(SEARCH("VPS",$I3578))=FALSE,LEFT($I3578,6)&lt;&gt;"VACUUM"),"CDU",IF($H3578="FLUID CAT CRACKING","FCC",IF(OR($H3578="HYDROCRACKING",$H3578="RESID_HYDROCRACKING"),"Hydrocracker",IF($H3578="REFORMING","Reformer",""))))</f>
        <v/>
      </c>
      <c r="H3578" s="6" t="s">
        <v>378</v>
      </c>
      <c r="I3578" s="6" t="s">
        <v>812</v>
      </c>
      <c r="J3578" s="6" t="s">
        <v>345</v>
      </c>
      <c r="K3578" s="10">
        <v>5</v>
      </c>
      <c r="L3578" s="10">
        <v>50</v>
      </c>
      <c r="M3578" s="6" t="s">
        <v>371</v>
      </c>
    </row>
    <row r="3579" spans="1:13">
      <c r="A3579" s="6">
        <v>2024</v>
      </c>
      <c r="B3579" s="6">
        <v>4</v>
      </c>
      <c r="C3579" s="6" t="s">
        <v>62</v>
      </c>
      <c r="D3579" s="6" t="s">
        <v>602</v>
      </c>
      <c r="E3579" s="6" t="s">
        <v>369</v>
      </c>
      <c r="F3579" s="6" t="str">
        <f>IF($M3579="PADD I","PADD 1",IF($M3579="PADD II","PADD 2",IF($M3579="PADD III","PADD 3",IF($M3579="PADD IV","PADD 4",IF($M3579="PADD V","PADD 5","")))))</f>
        <v>PADD 2</v>
      </c>
      <c r="G3579" s="6">
        <f>IF(AND($H3579="ATMOS DISTILLATION",ISNUMBER(SEARCH("VPS",$I3579))=FALSE,LEFT($I3579,6)&lt;&gt;"VACUUM"),"CDU",IF($H3579="FLUID CAT CRACKING","FCC",IF(OR($H3579="HYDROCRACKING",$H3579="RESID_HYDROCRACKING"),"Hydrocracker",IF($H3579="REFORMING","Reformer",""))))</f>
        <v/>
      </c>
      <c r="H3579" s="6" t="s">
        <v>460</v>
      </c>
      <c r="I3579" s="6" t="s">
        <v>616</v>
      </c>
      <c r="J3579" s="6" t="s">
        <v>345</v>
      </c>
      <c r="K3579" s="10">
        <v>4.8</v>
      </c>
      <c r="L3579" s="10">
        <v>12</v>
      </c>
      <c r="M3579" s="6" t="s">
        <v>375</v>
      </c>
    </row>
    <row r="3580" spans="1:13">
      <c r="A3580" s="6">
        <v>2024</v>
      </c>
      <c r="B3580" s="6">
        <v>4</v>
      </c>
      <c r="C3580" s="6" t="s">
        <v>62</v>
      </c>
      <c r="D3580" s="6" t="s">
        <v>346</v>
      </c>
      <c r="E3580" s="6" t="s">
        <v>383</v>
      </c>
      <c r="F3580" s="6" t="str">
        <f>IF($M3580="PADD I","PADD 1",IF($M3580="PADD II","PADD 2",IF($M3580="PADD III","PADD 3",IF($M3580="PADD IV","PADD 4",IF($M3580="PADD V","PADD 5","")))))</f>
        <v>PADD 2</v>
      </c>
      <c r="G3580" s="6">
        <f>IF(AND($H3580="ATMOS DISTILLATION",ISNUMBER(SEARCH("VPS",$I3580))=FALSE,LEFT($I3580,6)&lt;&gt;"VACUUM"),"CDU",IF($H3580="FLUID CAT CRACKING","FCC",IF(OR($H3580="HYDROCRACKING",$H3580="RESID_HYDROCRACKING"),"Hydrocracker",IF($H3580="REFORMING","Reformer",""))))</f>
        <v/>
      </c>
      <c r="H3580" s="6" t="s">
        <v>460</v>
      </c>
      <c r="I3580" s="6" t="s">
        <v>461</v>
      </c>
      <c r="J3580" s="6" t="s">
        <v>349</v>
      </c>
      <c r="K3580" s="10">
        <v>4.77</v>
      </c>
      <c r="L3580" s="10">
        <v>9</v>
      </c>
      <c r="M3580" s="6" t="s">
        <v>375</v>
      </c>
    </row>
    <row r="3581" spans="1:13">
      <c r="A3581" s="6">
        <v>2024</v>
      </c>
      <c r="B3581" s="6">
        <v>4</v>
      </c>
      <c r="C3581" s="6" t="s">
        <v>62</v>
      </c>
      <c r="D3581" s="6" t="s">
        <v>526</v>
      </c>
      <c r="E3581" s="6" t="s">
        <v>405</v>
      </c>
      <c r="F3581" s="6" t="str">
        <f>IF($M3581="PADD I","PADD 1",IF($M3581="PADD II","PADD 2",IF($M3581="PADD III","PADD 3",IF($M3581="PADD IV","PADD 4",IF($M3581="PADD V","PADD 5","")))))</f>
        <v>PADD 3</v>
      </c>
      <c r="G3581" s="6">
        <f>IF(AND($H3581="ATMOS DISTILLATION",ISNUMBER(SEARCH("VPS",$I3581))=FALSE,LEFT($I3581,6)&lt;&gt;"VACUUM"),"CDU",IF($H3581="FLUID CAT CRACKING","FCC",IF(OR($H3581="HYDROCRACKING",$H3581="RESID_HYDROCRACKING"),"Hydrocracker",IF($H3581="REFORMING","Reformer",""))))</f>
        <v/>
      </c>
      <c r="H3581" s="6" t="s">
        <v>43</v>
      </c>
      <c r="I3581" s="6" t="s">
        <v>1076</v>
      </c>
      <c r="J3581" s="6" t="s">
        <v>349</v>
      </c>
      <c r="K3581" s="10">
        <v>4.7</v>
      </c>
      <c r="L3581" s="10">
        <v>47</v>
      </c>
      <c r="M3581" s="6" t="s">
        <v>371</v>
      </c>
    </row>
    <row r="3582" spans="1:13">
      <c r="A3582" s="6">
        <v>2024</v>
      </c>
      <c r="B3582" s="6">
        <v>4</v>
      </c>
      <c r="C3582" s="6" t="s">
        <v>62</v>
      </c>
      <c r="D3582" s="6" t="s">
        <v>774</v>
      </c>
      <c r="E3582" s="6" t="s">
        <v>775</v>
      </c>
      <c r="F3582" s="6" t="str">
        <f>IF($M3582="PADD I","PADD 1",IF($M3582="PADD II","PADD 2",IF($M3582="PADD III","PADD 3",IF($M3582="PADD IV","PADD 4",IF($M3582="PADD V","PADD 5","")))))</f>
        <v>PADD 1</v>
      </c>
      <c r="G3582" s="6" t="str">
        <f>IF(AND($H3582="ATMOS DISTILLATION",ISNUMBER(SEARCH("VPS",$I3582))=FALSE,LEFT($I3582,6)&lt;&gt;"VACUUM"),"CDU",IF($H3582="FLUID CAT CRACKING","FCC",IF(OR($H3582="HYDROCRACKING",$H3582="RESID_HYDROCRACKING"),"Hydrocracker",IF($H3582="REFORMING","Reformer",""))))</f>
        <v>Hydrocracker</v>
      </c>
      <c r="H3582" s="6" t="s">
        <v>444</v>
      </c>
      <c r="I3582" s="6" t="s">
        <v>14</v>
      </c>
      <c r="J3582" s="6" t="s">
        <v>349</v>
      </c>
      <c r="K3582" s="10">
        <v>4.698</v>
      </c>
      <c r="L3582" s="10">
        <v>5.4</v>
      </c>
      <c r="M3582" s="6" t="s">
        <v>413</v>
      </c>
    </row>
    <row r="3583" spans="1:13">
      <c r="A3583" s="6">
        <v>2024</v>
      </c>
      <c r="B3583" s="6">
        <v>4</v>
      </c>
      <c r="C3583" s="6" t="s">
        <v>62</v>
      </c>
      <c r="D3583" s="6" t="s">
        <v>1060</v>
      </c>
      <c r="E3583" s="6" t="s">
        <v>1039</v>
      </c>
      <c r="F3583" s="6" t="str">
        <f>IF($M3583="PADD I","PADD 1",IF($M3583="PADD II","PADD 2",IF($M3583="PADD III","PADD 3",IF($M3583="PADD IV","PADD 4",IF($M3583="PADD V","PADD 5","")))))</f>
        <v>PADD 2</v>
      </c>
      <c r="G3583" s="6">
        <f>IF(AND($H3583="ATMOS DISTILLATION",ISNUMBER(SEARCH("VPS",$I3583))=FALSE,LEFT($I3583,6)&lt;&gt;"VACUUM"),"CDU",IF($H3583="FLUID CAT CRACKING","FCC",IF(OR($H3583="HYDROCRACKING",$H3583="RESID_HYDROCRACKING"),"Hydrocracker",IF($H3583="REFORMING","Reformer",""))))</f>
        <v/>
      </c>
      <c r="H3583" s="6" t="s">
        <v>43</v>
      </c>
      <c r="I3583" s="6" t="s">
        <v>1187</v>
      </c>
      <c r="J3583" s="6" t="s">
        <v>345</v>
      </c>
      <c r="K3583" s="10">
        <v>4.6375</v>
      </c>
      <c r="L3583" s="10">
        <v>8.75</v>
      </c>
      <c r="M3583" s="6" t="s">
        <v>375</v>
      </c>
    </row>
    <row r="3584" spans="1:13">
      <c r="A3584" s="6">
        <v>2024</v>
      </c>
      <c r="B3584" s="6">
        <v>4</v>
      </c>
      <c r="C3584" s="6" t="s">
        <v>62</v>
      </c>
      <c r="D3584" s="6" t="s">
        <v>51</v>
      </c>
      <c r="E3584" s="6" t="s">
        <v>391</v>
      </c>
      <c r="F3584" s="6" t="str">
        <f>IF($M3584="PADD I","PADD 1",IF($M3584="PADD II","PADD 2",IF($M3584="PADD III","PADD 3",IF($M3584="PADD IV","PADD 4",IF($M3584="PADD V","PADD 5","")))))</f>
        <v>PADD 5</v>
      </c>
      <c r="G3584" s="6" t="str">
        <f>IF(AND($H3584="ATMOS DISTILLATION",ISNUMBER(SEARCH("VPS",$I3584))=FALSE,LEFT($I3584,6)&lt;&gt;"VACUUM"),"CDU",IF($H3584="FLUID CAT CRACKING","FCC",IF(OR($H3584="HYDROCRACKING",$H3584="RESID_HYDROCRACKING"),"Hydrocracker",IF($H3584="REFORMING","Reformer",""))))</f>
        <v>Hydrocracker</v>
      </c>
      <c r="H3584" s="6" t="s">
        <v>444</v>
      </c>
      <c r="I3584" s="6" t="s">
        <v>1074</v>
      </c>
      <c r="J3584" s="6" t="s">
        <v>345</v>
      </c>
      <c r="K3584" s="10">
        <v>4.5</v>
      </c>
      <c r="L3584" s="10">
        <v>45</v>
      </c>
      <c r="M3584" s="6" t="s">
        <v>386</v>
      </c>
    </row>
    <row r="3585" spans="1:13">
      <c r="A3585" s="6">
        <v>2024</v>
      </c>
      <c r="B3585" s="6">
        <v>4</v>
      </c>
      <c r="C3585" s="6" t="s">
        <v>62</v>
      </c>
      <c r="D3585" s="6" t="s">
        <v>801</v>
      </c>
      <c r="E3585" s="6" t="s">
        <v>779</v>
      </c>
      <c r="F3585" s="6" t="str">
        <f>IF($M3585="PADD I","PADD 1",IF($M3585="PADD II","PADD 2",IF($M3585="PADD III","PADD 3",IF($M3585="PADD IV","PADD 4",IF($M3585="PADD V","PADD 5","")))))</f>
        <v>PADD 2</v>
      </c>
      <c r="G3585" s="6">
        <f>IF(AND($H3585="ATMOS DISTILLATION",ISNUMBER(SEARCH("VPS",$I3585))=FALSE,LEFT($I3585,6)&lt;&gt;"VACUUM"),"CDU",IF($H3585="FLUID CAT CRACKING","FCC",IF(OR($H3585="HYDROCRACKING",$H3585="RESID_HYDROCRACKING"),"Hydrocracker",IF($H3585="REFORMING","Reformer",""))))</f>
        <v/>
      </c>
      <c r="H3585" s="6" t="s">
        <v>435</v>
      </c>
      <c r="I3585" s="6" t="s">
        <v>802</v>
      </c>
      <c r="J3585" s="6" t="s">
        <v>349</v>
      </c>
      <c r="K3585" s="10">
        <v>4.455</v>
      </c>
      <c r="L3585" s="10">
        <v>16.5</v>
      </c>
      <c r="M3585" s="6" t="s">
        <v>375</v>
      </c>
    </row>
    <row r="3586" spans="1:13">
      <c r="A3586" s="6">
        <v>2024</v>
      </c>
      <c r="B3586" s="6">
        <v>4</v>
      </c>
      <c r="C3586" s="6" t="s">
        <v>62</v>
      </c>
      <c r="D3586" s="6" t="s">
        <v>801</v>
      </c>
      <c r="E3586" s="6" t="s">
        <v>779</v>
      </c>
      <c r="F3586" s="6" t="str">
        <f>IF($M3586="PADD I","PADD 1",IF($M3586="PADD II","PADD 2",IF($M3586="PADD III","PADD 3",IF($M3586="PADD IV","PADD 4",IF($M3586="PADD V","PADD 5","")))))</f>
        <v>PADD 2</v>
      </c>
      <c r="G3586" s="6">
        <f>IF(AND($H3586="ATMOS DISTILLATION",ISNUMBER(SEARCH("VPS",$I3586))=FALSE,LEFT($I3586,6)&lt;&gt;"VACUUM"),"CDU",IF($H3586="FLUID CAT CRACKING","FCC",IF(OR($H3586="HYDROCRACKING",$H3586="RESID_HYDROCRACKING"),"Hydrocracker",IF($H3586="REFORMING","Reformer",""))))</f>
        <v/>
      </c>
      <c r="H3586" s="6" t="s">
        <v>435</v>
      </c>
      <c r="I3586" s="6" t="s">
        <v>894</v>
      </c>
      <c r="J3586" s="6" t="s">
        <v>349</v>
      </c>
      <c r="K3586" s="10">
        <v>4.455</v>
      </c>
      <c r="L3586" s="10">
        <v>16.5</v>
      </c>
      <c r="M3586" s="6" t="s">
        <v>375</v>
      </c>
    </row>
    <row r="3587" spans="1:13">
      <c r="A3587" s="6">
        <v>2024</v>
      </c>
      <c r="B3587" s="6">
        <v>4</v>
      </c>
      <c r="C3587" s="6" t="s">
        <v>62</v>
      </c>
      <c r="D3587" s="6" t="s">
        <v>799</v>
      </c>
      <c r="E3587" s="6" t="s">
        <v>391</v>
      </c>
      <c r="F3587" s="6" t="str">
        <f>IF($M3587="PADD I","PADD 1",IF($M3587="PADD II","PADD 2",IF($M3587="PADD III","PADD 3",IF($M3587="PADD IV","PADD 4",IF($M3587="PADD V","PADD 5","")))))</f>
        <v>PADD 4</v>
      </c>
      <c r="G3587" s="6">
        <f>IF(AND($H3587="ATMOS DISTILLATION",ISNUMBER(SEARCH("VPS",$I3587))=FALSE,LEFT($I3587,6)&lt;&gt;"VACUUM"),"CDU",IF($H3587="FLUID CAT CRACKING","FCC",IF(OR($H3587="HYDROCRACKING",$H3587="RESID_HYDROCRACKING"),"Hydrocracker",IF($H3587="REFORMING","Reformer",""))))</f>
        <v/>
      </c>
      <c r="H3587" s="6" t="s">
        <v>435</v>
      </c>
      <c r="I3587" s="6" t="s">
        <v>1188</v>
      </c>
      <c r="J3587" s="6" t="s">
        <v>345</v>
      </c>
      <c r="K3587" s="10">
        <v>4.3</v>
      </c>
      <c r="L3587" s="10">
        <v>10</v>
      </c>
      <c r="M3587" s="6" t="s">
        <v>430</v>
      </c>
    </row>
    <row r="3588" spans="1:13">
      <c r="A3588" s="6">
        <v>2024</v>
      </c>
      <c r="B3588" s="6">
        <v>4</v>
      </c>
      <c r="C3588" s="6" t="s">
        <v>62</v>
      </c>
      <c r="D3588" s="6" t="s">
        <v>1141</v>
      </c>
      <c r="E3588" s="6" t="s">
        <v>1079</v>
      </c>
      <c r="F3588" s="6" t="str">
        <f>IF($M3588="PADD I","PADD 1",IF($M3588="PADD II","PADD 2",IF($M3588="PADD III","PADD 3",IF($M3588="PADD IV","PADD 4",IF($M3588="PADD V","PADD 5","")))))</f>
        <v>PADD 3</v>
      </c>
      <c r="G3588" s="6">
        <f>IF(AND($H3588="ATMOS DISTILLATION",ISNUMBER(SEARCH("VPS",$I3588))=FALSE,LEFT($I3588,6)&lt;&gt;"VACUUM"),"CDU",IF($H3588="FLUID CAT CRACKING","FCC",IF(OR($H3588="HYDROCRACKING",$H3588="RESID_HYDROCRACKING"),"Hydrocracker",IF($H3588="REFORMING","Reformer",""))))</f>
        <v/>
      </c>
      <c r="H3588" s="6" t="s">
        <v>43</v>
      </c>
      <c r="I3588" s="6" t="s">
        <v>927</v>
      </c>
      <c r="J3588" s="6" t="s">
        <v>349</v>
      </c>
      <c r="K3588" s="10">
        <v>4.25</v>
      </c>
      <c r="L3588" s="10">
        <v>25</v>
      </c>
      <c r="M3588" s="6" t="s">
        <v>371</v>
      </c>
    </row>
    <row r="3589" spans="1:13">
      <c r="A3589" s="6">
        <v>2024</v>
      </c>
      <c r="B3589" s="6">
        <v>4</v>
      </c>
      <c r="C3589" s="6" t="s">
        <v>62</v>
      </c>
      <c r="D3589" s="6" t="s">
        <v>1060</v>
      </c>
      <c r="E3589" s="6" t="s">
        <v>1039</v>
      </c>
      <c r="F3589" s="6" t="str">
        <f>IF($M3589="PADD I","PADD 1",IF($M3589="PADD II","PADD 2",IF($M3589="PADD III","PADD 3",IF($M3589="PADD IV","PADD 4",IF($M3589="PADD V","PADD 5","")))))</f>
        <v>PADD 2</v>
      </c>
      <c r="G3589" s="6">
        <f>IF(AND($H3589="ATMOS DISTILLATION",ISNUMBER(SEARCH("VPS",$I3589))=FALSE,LEFT($I3589,6)&lt;&gt;"VACUUM"),"CDU",IF($H3589="FLUID CAT CRACKING","FCC",IF(OR($H3589="HYDROCRACKING",$H3589="RESID_HYDROCRACKING"),"Hydrocracker",IF($H3589="REFORMING","Reformer",""))))</f>
        <v/>
      </c>
      <c r="H3589" s="6" t="s">
        <v>43</v>
      </c>
      <c r="I3589" s="6" t="s">
        <v>1189</v>
      </c>
      <c r="J3589" s="6" t="s">
        <v>345</v>
      </c>
      <c r="K3589" s="10">
        <v>4.24</v>
      </c>
      <c r="L3589" s="10">
        <v>8</v>
      </c>
      <c r="M3589" s="6" t="s">
        <v>375</v>
      </c>
    </row>
    <row r="3590" spans="1:13">
      <c r="A3590" s="6">
        <v>2024</v>
      </c>
      <c r="B3590" s="6">
        <v>4</v>
      </c>
      <c r="C3590" s="6" t="s">
        <v>62</v>
      </c>
      <c r="D3590" s="6" t="s">
        <v>51</v>
      </c>
      <c r="E3590" s="6" t="s">
        <v>391</v>
      </c>
      <c r="F3590" s="6" t="str">
        <f>IF($M3590="PADD I","PADD 1",IF($M3590="PADD II","PADD 2",IF($M3590="PADD III","PADD 3",IF($M3590="PADD IV","PADD 4",IF($M3590="PADD V","PADD 5","")))))</f>
        <v>PADD 5</v>
      </c>
      <c r="G3590" s="6">
        <f>IF(AND($H3590="ATMOS DISTILLATION",ISNUMBER(SEARCH("VPS",$I3590))=FALSE,LEFT($I3590,6)&lt;&gt;"VACUUM"),"CDU",IF($H3590="FLUID CAT CRACKING","FCC",IF(OR($H3590="HYDROCRACKING",$H3590="RESID_HYDROCRACKING"),"Hydrocracker",IF($H3590="REFORMING","Reformer",""))))</f>
        <v/>
      </c>
      <c r="H3590" s="6" t="s">
        <v>460</v>
      </c>
      <c r="I3590" s="6" t="s">
        <v>461</v>
      </c>
      <c r="J3590" s="6" t="s">
        <v>345</v>
      </c>
      <c r="K3590" s="10">
        <v>4.16</v>
      </c>
      <c r="L3590" s="10">
        <v>32</v>
      </c>
      <c r="M3590" s="6" t="s">
        <v>386</v>
      </c>
    </row>
    <row r="3591" spans="1:13">
      <c r="A3591" s="6">
        <v>2024</v>
      </c>
      <c r="B3591" s="6">
        <v>4</v>
      </c>
      <c r="C3591" s="6" t="s">
        <v>62</v>
      </c>
      <c r="D3591" s="6" t="s">
        <v>788</v>
      </c>
      <c r="E3591" s="6" t="s">
        <v>405</v>
      </c>
      <c r="F3591" s="6" t="str">
        <f>IF($M3591="PADD I","PADD 1",IF($M3591="PADD II","PADD 2",IF($M3591="PADD III","PADD 3",IF($M3591="PADD IV","PADD 4",IF($M3591="PADD V","PADD 5","")))))</f>
        <v>PADD 3</v>
      </c>
      <c r="G3591" s="6" t="str">
        <f>IF(AND($H3591="ATMOS DISTILLATION",ISNUMBER(SEARCH("VPS",$I3591))=FALSE,LEFT($I3591,6)&lt;&gt;"VACUUM"),"CDU",IF($H3591="FLUID CAT CRACKING","FCC",IF(OR($H3591="HYDROCRACKING",$H3591="RESID_HYDROCRACKING"),"Hydrocracker",IF($H3591="REFORMING","Reformer",""))))</f>
        <v>Reformer</v>
      </c>
      <c r="H3591" s="6" t="s">
        <v>421</v>
      </c>
      <c r="I3591" s="6" t="s">
        <v>782</v>
      </c>
      <c r="J3591" s="6" t="s">
        <v>345</v>
      </c>
      <c r="K3591" s="10">
        <v>4.16</v>
      </c>
      <c r="L3591" s="10">
        <v>32</v>
      </c>
      <c r="M3591" s="6" t="s">
        <v>371</v>
      </c>
    </row>
    <row r="3592" spans="1:13">
      <c r="A3592" s="6">
        <v>2024</v>
      </c>
      <c r="B3592" s="6">
        <v>4</v>
      </c>
      <c r="C3592" s="6" t="s">
        <v>62</v>
      </c>
      <c r="D3592" s="6" t="s">
        <v>1060</v>
      </c>
      <c r="E3592" s="6" t="s">
        <v>1039</v>
      </c>
      <c r="F3592" s="6" t="str">
        <f>IF($M3592="PADD I","PADD 1",IF($M3592="PADD II","PADD 2",IF($M3592="PADD III","PADD 3",IF($M3592="PADD IV","PADD 4",IF($M3592="PADD V","PADD 5","")))))</f>
        <v>PADD 2</v>
      </c>
      <c r="G3592" s="6" t="str">
        <f>IF(AND($H3592="ATMOS DISTILLATION",ISNUMBER(SEARCH("VPS",$I3592))=FALSE,LEFT($I3592,6)&lt;&gt;"VACUUM"),"CDU",IF($H3592="FLUID CAT CRACKING","FCC",IF(OR($H3592="HYDROCRACKING",$H3592="RESID_HYDROCRACKING"),"Hydrocracker",IF($H3592="REFORMING","Reformer",""))))</f>
        <v>Reformer</v>
      </c>
      <c r="H3592" s="6" t="s">
        <v>421</v>
      </c>
      <c r="I3592" s="6" t="s">
        <v>1190</v>
      </c>
      <c r="J3592" s="6" t="s">
        <v>345</v>
      </c>
      <c r="K3592" s="10">
        <v>4.1075</v>
      </c>
      <c r="L3592" s="10">
        <v>7.75</v>
      </c>
      <c r="M3592" s="6" t="s">
        <v>375</v>
      </c>
    </row>
    <row r="3593" spans="1:13">
      <c r="A3593" s="6">
        <v>2024</v>
      </c>
      <c r="B3593" s="6">
        <v>4</v>
      </c>
      <c r="C3593" s="6" t="s">
        <v>62</v>
      </c>
      <c r="D3593" s="6" t="s">
        <v>615</v>
      </c>
      <c r="E3593" s="6" t="s">
        <v>405</v>
      </c>
      <c r="F3593" s="6" t="str">
        <f>IF($M3593="PADD I","PADD 1",IF($M3593="PADD II","PADD 2",IF($M3593="PADD III","PADD 3",IF($M3593="PADD IV","PADD 4",IF($M3593="PADD V","PADD 5","")))))</f>
        <v>PADD 5</v>
      </c>
      <c r="G3593" s="6">
        <f>IF(AND($H3593="ATMOS DISTILLATION",ISNUMBER(SEARCH("VPS",$I3593))=FALSE,LEFT($I3593,6)&lt;&gt;"VACUUM"),"CDU",IF($H3593="FLUID CAT CRACKING","FCC",IF(OR($H3593="HYDROCRACKING",$H3593="RESID_HYDROCRACKING"),"Hydrocracker",IF($H3593="REFORMING","Reformer",""))))</f>
        <v/>
      </c>
      <c r="H3593" s="6" t="s">
        <v>43</v>
      </c>
      <c r="I3593" s="6" t="s">
        <v>1185</v>
      </c>
      <c r="J3593" s="6" t="s">
        <v>349</v>
      </c>
      <c r="K3593" s="10">
        <v>3.96</v>
      </c>
      <c r="L3593" s="10">
        <v>12</v>
      </c>
      <c r="M3593" s="6" t="s">
        <v>386</v>
      </c>
    </row>
    <row r="3594" spans="1:13">
      <c r="A3594" s="6">
        <v>2024</v>
      </c>
      <c r="B3594" s="6">
        <v>4</v>
      </c>
      <c r="C3594" s="6" t="s">
        <v>62</v>
      </c>
      <c r="D3594" s="6" t="s">
        <v>774</v>
      </c>
      <c r="E3594" s="6" t="s">
        <v>775</v>
      </c>
      <c r="F3594" s="6" t="str">
        <f>IF($M3594="PADD I","PADD 1",IF($M3594="PADD II","PADD 2",IF($M3594="PADD III","PADD 3",IF($M3594="PADD IV","PADD 4",IF($M3594="PADD V","PADD 5","")))))</f>
        <v>PADD 1</v>
      </c>
      <c r="G3594" s="6">
        <f>IF(AND($H3594="ATMOS DISTILLATION",ISNUMBER(SEARCH("VPS",$I3594))=FALSE,LEFT($I3594,6)&lt;&gt;"VACUUM"),"CDU",IF($H3594="FLUID CAT CRACKING","FCC",IF(OR($H3594="HYDROCRACKING",$H3594="RESID_HYDROCRACKING"),"Hydrocracker",IF($H3594="REFORMING","Reformer",""))))</f>
        <v/>
      </c>
      <c r="H3594" s="6" t="s">
        <v>43</v>
      </c>
      <c r="I3594" s="6" t="s">
        <v>1151</v>
      </c>
      <c r="J3594" s="6" t="s">
        <v>349</v>
      </c>
      <c r="K3594" s="10">
        <v>3.915</v>
      </c>
      <c r="L3594" s="10">
        <v>4.5</v>
      </c>
      <c r="M3594" s="6" t="s">
        <v>413</v>
      </c>
    </row>
    <row r="3595" spans="1:13">
      <c r="A3595" s="6">
        <v>2024</v>
      </c>
      <c r="B3595" s="6">
        <v>4</v>
      </c>
      <c r="C3595" s="6" t="s">
        <v>62</v>
      </c>
      <c r="D3595" s="6" t="s">
        <v>48</v>
      </c>
      <c r="E3595" s="6" t="s">
        <v>388</v>
      </c>
      <c r="F3595" s="6" t="str">
        <f>IF($M3595="PADD I","PADD 1",IF($M3595="PADD II","PADD 2",IF($M3595="PADD III","PADD 3",IF($M3595="PADD IV","PADD 4",IF($M3595="PADD V","PADD 5","")))))</f>
        <v>PADD 2</v>
      </c>
      <c r="G3595" s="6" t="str">
        <f>IF(AND($H3595="ATMOS DISTILLATION",ISNUMBER(SEARCH("VPS",$I3595))=FALSE,LEFT($I3595,6)&lt;&gt;"VACUUM"),"CDU",IF($H3595="FLUID CAT CRACKING","FCC",IF(OR($H3595="HYDROCRACKING",$H3595="RESID_HYDROCRACKING"),"Hydrocracker",IF($H3595="REFORMING","Reformer",""))))</f>
        <v>Reformer</v>
      </c>
      <c r="H3595" s="6" t="s">
        <v>421</v>
      </c>
      <c r="I3595" s="6" t="s">
        <v>721</v>
      </c>
      <c r="J3595" s="6" t="s">
        <v>345</v>
      </c>
      <c r="K3595" s="10">
        <v>3.9</v>
      </c>
      <c r="L3595" s="10">
        <v>39</v>
      </c>
      <c r="M3595" s="6" t="s">
        <v>375</v>
      </c>
    </row>
    <row r="3596" spans="1:13">
      <c r="A3596" s="6">
        <v>2024</v>
      </c>
      <c r="B3596" s="6">
        <v>4</v>
      </c>
      <c r="C3596" s="6" t="s">
        <v>62</v>
      </c>
      <c r="D3596" s="6" t="s">
        <v>526</v>
      </c>
      <c r="E3596" s="6" t="s">
        <v>405</v>
      </c>
      <c r="F3596" s="6" t="str">
        <f>IF($M3596="PADD I","PADD 1",IF($M3596="PADD II","PADD 2",IF($M3596="PADD III","PADD 3",IF($M3596="PADD IV","PADD 4",IF($M3596="PADD V","PADD 5","")))))</f>
        <v>PADD 3</v>
      </c>
      <c r="G3596" s="6">
        <f>IF(AND($H3596="ATMOS DISTILLATION",ISNUMBER(SEARCH("VPS",$I3596))=FALSE,LEFT($I3596,6)&lt;&gt;"VACUUM"),"CDU",IF($H3596="FLUID CAT CRACKING","FCC",IF(OR($H3596="HYDROCRACKING",$H3596="RESID_HYDROCRACKING"),"Hydrocracker",IF($H3596="REFORMING","Reformer",""))))</f>
        <v/>
      </c>
      <c r="H3596" s="6" t="s">
        <v>43</v>
      </c>
      <c r="I3596" s="6" t="s">
        <v>1076</v>
      </c>
      <c r="J3596" s="6" t="s">
        <v>345</v>
      </c>
      <c r="K3596" s="10">
        <v>3.85</v>
      </c>
      <c r="L3596" s="10">
        <v>55</v>
      </c>
      <c r="M3596" s="6" t="s">
        <v>371</v>
      </c>
    </row>
    <row r="3597" spans="1:13">
      <c r="A3597" s="6">
        <v>2024</v>
      </c>
      <c r="B3597" s="6">
        <v>4</v>
      </c>
      <c r="C3597" s="6" t="s">
        <v>62</v>
      </c>
      <c r="D3597" s="6" t="s">
        <v>490</v>
      </c>
      <c r="E3597" s="6" t="s">
        <v>491</v>
      </c>
      <c r="F3597" s="6" t="str">
        <f>IF($M3597="PADD I","PADD 1",IF($M3597="PADD II","PADD 2",IF($M3597="PADD III","PADD 3",IF($M3597="PADD IV","PADD 4",IF($M3597="PADD V","PADD 5","")))))</f>
        <v>PADD 3</v>
      </c>
      <c r="G3597" s="6" t="str">
        <f>IF(AND($H3597="ATMOS DISTILLATION",ISNUMBER(SEARCH("VPS",$I3597))=FALSE,LEFT($I3597,6)&lt;&gt;"VACUUM"),"CDU",IF($H3597="FLUID CAT CRACKING","FCC",IF(OR($H3597="HYDROCRACKING",$H3597="RESID_HYDROCRACKING"),"Hydrocracker",IF($H3597="REFORMING","Reformer",""))))</f>
        <v>Hydrocracker</v>
      </c>
      <c r="H3597" s="6" t="s">
        <v>444</v>
      </c>
      <c r="I3597" s="6" t="s">
        <v>1191</v>
      </c>
      <c r="J3597" s="6" t="s">
        <v>345</v>
      </c>
      <c r="K3597" s="10">
        <v>3.84</v>
      </c>
      <c r="L3597" s="10">
        <v>19.2</v>
      </c>
      <c r="M3597" s="6" t="s">
        <v>371</v>
      </c>
    </row>
    <row r="3598" spans="1:13">
      <c r="A3598" s="6">
        <v>2024</v>
      </c>
      <c r="B3598" s="6">
        <v>4</v>
      </c>
      <c r="C3598" s="6" t="s">
        <v>62</v>
      </c>
      <c r="D3598" s="6" t="s">
        <v>40</v>
      </c>
      <c r="E3598" s="6" t="s">
        <v>736</v>
      </c>
      <c r="F3598" s="6" t="str">
        <f>IF($M3598="PADD I","PADD 1",IF($M3598="PADD II","PADD 2",IF($M3598="PADD III","PADD 3",IF($M3598="PADD IV","PADD 4",IF($M3598="PADD V","PADD 5","")))))</f>
        <v>PADD 1</v>
      </c>
      <c r="G3598" s="6" t="str">
        <f>IF(AND($H3598="ATMOS DISTILLATION",ISNUMBER(SEARCH("VPS",$I3598))=FALSE,LEFT($I3598,6)&lt;&gt;"VACUUM"),"CDU",IF($H3598="FLUID CAT CRACKING","FCC",IF(OR($H3598="HYDROCRACKING",$H3598="RESID_HYDROCRACKING"),"Hydrocracker",IF($H3598="REFORMING","Reformer",""))))</f>
        <v>FCC</v>
      </c>
      <c r="H3598" s="6" t="s">
        <v>376</v>
      </c>
      <c r="I3598" s="6" t="s">
        <v>737</v>
      </c>
      <c r="J3598" s="6" t="s">
        <v>345</v>
      </c>
      <c r="K3598" s="10">
        <v>3.71</v>
      </c>
      <c r="L3598" s="10">
        <v>53</v>
      </c>
      <c r="M3598" s="6" t="s">
        <v>413</v>
      </c>
    </row>
    <row r="3599" spans="1:13">
      <c r="A3599" s="6">
        <v>2024</v>
      </c>
      <c r="B3599" s="6">
        <v>4</v>
      </c>
      <c r="C3599" s="6" t="s">
        <v>62</v>
      </c>
      <c r="D3599" s="6" t="s">
        <v>774</v>
      </c>
      <c r="E3599" s="6" t="s">
        <v>775</v>
      </c>
      <c r="F3599" s="6" t="str">
        <f>IF($M3599="PADD I","PADD 1",IF($M3599="PADD II","PADD 2",IF($M3599="PADD III","PADD 3",IF($M3599="PADD IV","PADD 4",IF($M3599="PADD V","PADD 5","")))))</f>
        <v>PADD 1</v>
      </c>
      <c r="G3599" s="6">
        <f>IF(AND($H3599="ATMOS DISTILLATION",ISNUMBER(SEARCH("VPS",$I3599))=FALSE,LEFT($I3599,6)&lt;&gt;"VACUUM"),"CDU",IF($H3599="FLUID CAT CRACKING","FCC",IF(OR($H3599="HYDROCRACKING",$H3599="RESID_HYDROCRACKING"),"Hydrocracker",IF($H3599="REFORMING","Reformer",""))))</f>
        <v/>
      </c>
      <c r="H3599" s="6" t="s">
        <v>43</v>
      </c>
      <c r="I3599" s="6" t="s">
        <v>1153</v>
      </c>
      <c r="J3599" s="6" t="s">
        <v>349</v>
      </c>
      <c r="K3599" s="10">
        <v>3.654</v>
      </c>
      <c r="L3599" s="10">
        <v>4.2</v>
      </c>
      <c r="M3599" s="6" t="s">
        <v>413</v>
      </c>
    </row>
    <row r="3600" spans="1:13">
      <c r="A3600" s="6">
        <v>2024</v>
      </c>
      <c r="B3600" s="6">
        <v>4</v>
      </c>
      <c r="C3600" s="6" t="s">
        <v>62</v>
      </c>
      <c r="D3600" s="6" t="s">
        <v>468</v>
      </c>
      <c r="E3600" s="6" t="s">
        <v>369</v>
      </c>
      <c r="F3600" s="6" t="str">
        <f>IF($M3600="PADD I","PADD 1",IF($M3600="PADD II","PADD 2",IF($M3600="PADD III","PADD 3",IF($M3600="PADD IV","PADD 4",IF($M3600="PADD V","PADD 5","")))))</f>
        <v>PADD 3</v>
      </c>
      <c r="G3600" s="6">
        <f>IF(AND($H3600="ATMOS DISTILLATION",ISNUMBER(SEARCH("VPS",$I3600))=FALSE,LEFT($I3600,6)&lt;&gt;"VACUUM"),"CDU",IF($H3600="FLUID CAT CRACKING","FCC",IF(OR($H3600="HYDROCRACKING",$H3600="RESID_HYDROCRACKING"),"Hydrocracker",IF($H3600="REFORMING","Reformer",""))))</f>
        <v/>
      </c>
      <c r="H3600" s="6" t="s">
        <v>568</v>
      </c>
      <c r="I3600" s="6" t="s">
        <v>1192</v>
      </c>
      <c r="J3600" s="6" t="s">
        <v>349</v>
      </c>
      <c r="K3600" s="10">
        <v>3.6</v>
      </c>
      <c r="L3600" s="10">
        <v>9</v>
      </c>
      <c r="M3600" s="6" t="s">
        <v>371</v>
      </c>
    </row>
    <row r="3601" spans="1:13">
      <c r="A3601" s="6">
        <v>2024</v>
      </c>
      <c r="B3601" s="6">
        <v>4</v>
      </c>
      <c r="C3601" s="6" t="s">
        <v>62</v>
      </c>
      <c r="D3601" s="6" t="s">
        <v>490</v>
      </c>
      <c r="E3601" s="6" t="s">
        <v>491</v>
      </c>
      <c r="F3601" s="6" t="str">
        <f>IF($M3601="PADD I","PADD 1",IF($M3601="PADD II","PADD 2",IF($M3601="PADD III","PADD 3",IF($M3601="PADD IV","PADD 4",IF($M3601="PADD V","PADD 5","")))))</f>
        <v>PADD 3</v>
      </c>
      <c r="G3601" s="6">
        <f>IF(AND($H3601="ATMOS DISTILLATION",ISNUMBER(SEARCH("VPS",$I3601))=FALSE,LEFT($I3601,6)&lt;&gt;"VACUUM"),"CDU",IF($H3601="FLUID CAT CRACKING","FCC",IF(OR($H3601="HYDROCRACKING",$H3601="RESID_HYDROCRACKING"),"Hydrocracker",IF($H3601="REFORMING","Reformer",""))))</f>
        <v/>
      </c>
      <c r="H3601" s="6" t="s">
        <v>460</v>
      </c>
      <c r="I3601" s="6" t="s">
        <v>1193</v>
      </c>
      <c r="J3601" s="6" t="s">
        <v>345</v>
      </c>
      <c r="K3601" s="10">
        <v>3.6</v>
      </c>
      <c r="L3601" s="10">
        <v>18</v>
      </c>
      <c r="M3601" s="6" t="s">
        <v>371</v>
      </c>
    </row>
    <row r="3602" spans="1:13">
      <c r="A3602" s="6">
        <v>2024</v>
      </c>
      <c r="B3602" s="6">
        <v>4</v>
      </c>
      <c r="C3602" s="6" t="s">
        <v>62</v>
      </c>
      <c r="D3602" s="6" t="s">
        <v>762</v>
      </c>
      <c r="E3602" s="6" t="s">
        <v>763</v>
      </c>
      <c r="F3602" s="6" t="str">
        <f>IF($M3602="PADD I","PADD 1",IF($M3602="PADD II","PADD 2",IF($M3602="PADD III","PADD 3",IF($M3602="PADD IV","PADD 4",IF($M3602="PADD V","PADD 5","")))))</f>
        <v>PADD 2</v>
      </c>
      <c r="G3602" s="6" t="str">
        <f>IF(AND($H3602="ATMOS DISTILLATION",ISNUMBER(SEARCH("VPS",$I3602))=FALSE,LEFT($I3602,6)&lt;&gt;"VACUUM"),"CDU",IF($H3602="FLUID CAT CRACKING","FCC",IF(OR($H3602="HYDROCRACKING",$H3602="RESID_HYDROCRACKING"),"Hydrocracker",IF($H3602="REFORMING","Reformer",""))))</f>
        <v>CDU</v>
      </c>
      <c r="H3602" s="6" t="s">
        <v>38</v>
      </c>
      <c r="I3602" s="6" t="s">
        <v>131</v>
      </c>
      <c r="J3602" s="6" t="s">
        <v>345</v>
      </c>
      <c r="K3602" s="10">
        <v>3.5</v>
      </c>
      <c r="L3602" s="10">
        <v>35</v>
      </c>
      <c r="M3602" s="6" t="s">
        <v>375</v>
      </c>
    </row>
    <row r="3603" spans="1:13">
      <c r="A3603" s="6">
        <v>2024</v>
      </c>
      <c r="B3603" s="6">
        <v>4</v>
      </c>
      <c r="C3603" s="6" t="s">
        <v>62</v>
      </c>
      <c r="D3603" s="6" t="s">
        <v>762</v>
      </c>
      <c r="E3603" s="6" t="s">
        <v>763</v>
      </c>
      <c r="F3603" s="6" t="str">
        <f>IF($M3603="PADD I","PADD 1",IF($M3603="PADD II","PADD 2",IF($M3603="PADD III","PADD 3",IF($M3603="PADD IV","PADD 4",IF($M3603="PADD V","PADD 5","")))))</f>
        <v>PADD 2</v>
      </c>
      <c r="G3603" s="6" t="str">
        <f>IF(AND($H3603="ATMOS DISTILLATION",ISNUMBER(SEARCH("VPS",$I3603))=FALSE,LEFT($I3603,6)&lt;&gt;"VACUUM"),"CDU",IF($H3603="FLUID CAT CRACKING","FCC",IF(OR($H3603="HYDROCRACKING",$H3603="RESID_HYDROCRACKING"),"Hydrocracker",IF($H3603="REFORMING","Reformer",""))))</f>
        <v>CDU</v>
      </c>
      <c r="H3603" s="6" t="s">
        <v>38</v>
      </c>
      <c r="I3603" s="6" t="s">
        <v>330</v>
      </c>
      <c r="J3603" s="6" t="s">
        <v>345</v>
      </c>
      <c r="K3603" s="10">
        <v>3.5</v>
      </c>
      <c r="L3603" s="10">
        <v>35</v>
      </c>
      <c r="M3603" s="6" t="s">
        <v>375</v>
      </c>
    </row>
    <row r="3604" spans="1:13">
      <c r="A3604" s="6">
        <v>2024</v>
      </c>
      <c r="B3604" s="6">
        <v>4</v>
      </c>
      <c r="C3604" s="6" t="s">
        <v>62</v>
      </c>
      <c r="D3604" s="6" t="s">
        <v>547</v>
      </c>
      <c r="E3604" s="6" t="s">
        <v>391</v>
      </c>
      <c r="F3604" s="6" t="str">
        <f>IF($M3604="PADD I","PADD 1",IF($M3604="PADD II","PADD 2",IF($M3604="PADD III","PADD 3",IF($M3604="PADD IV","PADD 4",IF($M3604="PADD V","PADD 5","")))))</f>
        <v>PADD 5</v>
      </c>
      <c r="G3604" s="6">
        <f>IF(AND($H3604="ATMOS DISTILLATION",ISNUMBER(SEARCH("VPS",$I3604))=FALSE,LEFT($I3604,6)&lt;&gt;"VACUUM"),"CDU",IF($H3604="FLUID CAT CRACKING","FCC",IF(OR($H3604="HYDROCRACKING",$H3604="RESID_HYDROCRACKING"),"Hydrocracker",IF($H3604="REFORMING","Reformer",""))))</f>
        <v/>
      </c>
      <c r="H3604" s="6" t="s">
        <v>43</v>
      </c>
      <c r="I3604" s="6" t="s">
        <v>929</v>
      </c>
      <c r="J3604" s="6" t="s">
        <v>345</v>
      </c>
      <c r="K3604" s="10">
        <v>3.4992</v>
      </c>
      <c r="L3604" s="10">
        <v>12.96</v>
      </c>
      <c r="M3604" s="6" t="s">
        <v>386</v>
      </c>
    </row>
    <row r="3605" spans="1:13">
      <c r="A3605" s="6">
        <v>2024</v>
      </c>
      <c r="B3605" s="6">
        <v>4</v>
      </c>
      <c r="C3605" s="6" t="s">
        <v>62</v>
      </c>
      <c r="D3605" s="6" t="s">
        <v>1060</v>
      </c>
      <c r="E3605" s="6" t="s">
        <v>1039</v>
      </c>
      <c r="F3605" s="6" t="str">
        <f>IF($M3605="PADD I","PADD 1",IF($M3605="PADD II","PADD 2",IF($M3605="PADD III","PADD 3",IF($M3605="PADD IV","PADD 4",IF($M3605="PADD V","PADD 5","")))))</f>
        <v>PADD 2</v>
      </c>
      <c r="G3605" s="6">
        <f>IF(AND($H3605="ATMOS DISTILLATION",ISNUMBER(SEARCH("VPS",$I3605))=FALSE,LEFT($I3605,6)&lt;&gt;"VACUUM"),"CDU",IF($H3605="FLUID CAT CRACKING","FCC",IF(OR($H3605="HYDROCRACKING",$H3605="RESID_HYDROCRACKING"),"Hydrocracker",IF($H3605="REFORMING","Reformer",""))))</f>
        <v/>
      </c>
      <c r="H3605" s="6" t="s">
        <v>43</v>
      </c>
      <c r="I3605" s="6" t="s">
        <v>1194</v>
      </c>
      <c r="J3605" s="6" t="s">
        <v>345</v>
      </c>
      <c r="K3605" s="10">
        <v>3.3125</v>
      </c>
      <c r="L3605" s="10">
        <v>6.25</v>
      </c>
      <c r="M3605" s="6" t="s">
        <v>375</v>
      </c>
    </row>
    <row r="3606" spans="1:13">
      <c r="A3606" s="6">
        <v>2024</v>
      </c>
      <c r="B3606" s="6">
        <v>4</v>
      </c>
      <c r="C3606" s="6" t="s">
        <v>62</v>
      </c>
      <c r="D3606" s="6" t="s">
        <v>639</v>
      </c>
      <c r="E3606" s="6" t="s">
        <v>452</v>
      </c>
      <c r="F3606" s="6" t="str">
        <f>IF($M3606="PADD I","PADD 1",IF($M3606="PADD II","PADD 2",IF($M3606="PADD III","PADD 3",IF($M3606="PADD IV","PADD 4",IF($M3606="PADD V","PADD 5","")))))</f>
        <v>PADD 5</v>
      </c>
      <c r="G3606" s="6">
        <f>IF(AND($H3606="ATMOS DISTILLATION",ISNUMBER(SEARCH("VPS",$I3606))=FALSE,LEFT($I3606,6)&lt;&gt;"VACUUM"),"CDU",IF($H3606="FLUID CAT CRACKING","FCC",IF(OR($H3606="HYDROCRACKING",$H3606="RESID_HYDROCRACKING"),"Hydrocracker",IF($H3606="REFORMING","Reformer",""))))</f>
        <v/>
      </c>
      <c r="H3606" s="6" t="s">
        <v>460</v>
      </c>
      <c r="I3606" s="6" t="s">
        <v>541</v>
      </c>
      <c r="J3606" s="6" t="s">
        <v>349</v>
      </c>
      <c r="K3606" s="10">
        <v>3.29</v>
      </c>
      <c r="L3606" s="10">
        <v>7</v>
      </c>
      <c r="M3606" s="6" t="s">
        <v>386</v>
      </c>
    </row>
    <row r="3607" spans="1:13">
      <c r="A3607" s="6">
        <v>2024</v>
      </c>
      <c r="B3607" s="6">
        <v>4</v>
      </c>
      <c r="C3607" s="6" t="s">
        <v>62</v>
      </c>
      <c r="D3607" s="6" t="s">
        <v>547</v>
      </c>
      <c r="E3607" s="6" t="s">
        <v>391</v>
      </c>
      <c r="F3607" s="6" t="str">
        <f>IF($M3607="PADD I","PADD 1",IF($M3607="PADD II","PADD 2",IF($M3607="PADD III","PADD 3",IF($M3607="PADD IV","PADD 4",IF($M3607="PADD V","PADD 5","")))))</f>
        <v>PADD 5</v>
      </c>
      <c r="G3607" s="6" t="str">
        <f>IF(AND($H3607="ATMOS DISTILLATION",ISNUMBER(SEARCH("VPS",$I3607))=FALSE,LEFT($I3607,6)&lt;&gt;"VACUUM"),"CDU",IF($H3607="FLUID CAT CRACKING","FCC",IF(OR($H3607="HYDROCRACKING",$H3607="RESID_HYDROCRACKING"),"Hydrocracker",IF($H3607="REFORMING","Reformer",""))))</f>
        <v>Hydrocracker</v>
      </c>
      <c r="H3607" s="6" t="s">
        <v>444</v>
      </c>
      <c r="I3607" s="6" t="s">
        <v>734</v>
      </c>
      <c r="J3607" s="6" t="s">
        <v>345</v>
      </c>
      <c r="K3607" s="10">
        <v>3.24</v>
      </c>
      <c r="L3607" s="10">
        <v>12</v>
      </c>
      <c r="M3607" s="6" t="s">
        <v>386</v>
      </c>
    </row>
    <row r="3608" spans="1:13">
      <c r="A3608" s="6">
        <v>2024</v>
      </c>
      <c r="B3608" s="6">
        <v>4</v>
      </c>
      <c r="C3608" s="6" t="s">
        <v>62</v>
      </c>
      <c r="D3608" s="6" t="s">
        <v>788</v>
      </c>
      <c r="E3608" s="6" t="s">
        <v>405</v>
      </c>
      <c r="F3608" s="6" t="str">
        <f>IF($M3608="PADD I","PADD 1",IF($M3608="PADD II","PADD 2",IF($M3608="PADD III","PADD 3",IF($M3608="PADD IV","PADD 4",IF($M3608="PADD V","PADD 5","")))))</f>
        <v>PADD 3</v>
      </c>
      <c r="G3608" s="6" t="str">
        <f>IF(AND($H3608="ATMOS DISTILLATION",ISNUMBER(SEARCH("VPS",$I3608))=FALSE,LEFT($I3608,6)&lt;&gt;"VACUUM"),"CDU",IF($H3608="FLUID CAT CRACKING","FCC",IF(OR($H3608="HYDROCRACKING",$H3608="RESID_HYDROCRACKING"),"Hydrocracker",IF($H3608="REFORMING","Reformer",""))))</f>
        <v>Reformer</v>
      </c>
      <c r="H3608" s="6" t="s">
        <v>421</v>
      </c>
      <c r="I3608" s="6" t="s">
        <v>782</v>
      </c>
      <c r="J3608" s="6" t="s">
        <v>345</v>
      </c>
      <c r="K3608" s="10">
        <v>3.2</v>
      </c>
      <c r="L3608" s="10">
        <v>32</v>
      </c>
      <c r="M3608" s="6" t="s">
        <v>371</v>
      </c>
    </row>
    <row r="3609" spans="1:13">
      <c r="A3609" s="6">
        <v>2024</v>
      </c>
      <c r="B3609" s="6">
        <v>4</v>
      </c>
      <c r="C3609" s="6" t="s">
        <v>62</v>
      </c>
      <c r="D3609" s="6" t="s">
        <v>739</v>
      </c>
      <c r="E3609" s="6" t="s">
        <v>405</v>
      </c>
      <c r="F3609" s="6" t="str">
        <f>IF($M3609="PADD I","PADD 1",IF($M3609="PADD II","PADD 2",IF($M3609="PADD III","PADD 3",IF($M3609="PADD IV","PADD 4",IF($M3609="PADD V","PADD 5","")))))</f>
        <v>PADD 2</v>
      </c>
      <c r="G3609" s="6">
        <f>IF(AND($H3609="ATMOS DISTILLATION",ISNUMBER(SEARCH("VPS",$I3609))=FALSE,LEFT($I3609,6)&lt;&gt;"VACUUM"),"CDU",IF($H3609="FLUID CAT CRACKING","FCC",IF(OR($H3609="HYDROCRACKING",$H3609="RESID_HYDROCRACKING"),"Hydrocracker",IF($H3609="REFORMING","Reformer",""))))</f>
        <v/>
      </c>
      <c r="H3609" s="6" t="s">
        <v>43</v>
      </c>
      <c r="I3609" s="6" t="s">
        <v>689</v>
      </c>
      <c r="J3609" s="6" t="s">
        <v>345</v>
      </c>
      <c r="K3609" s="10">
        <v>3.2</v>
      </c>
      <c r="L3609" s="10">
        <v>32</v>
      </c>
      <c r="M3609" s="6" t="s">
        <v>375</v>
      </c>
    </row>
    <row r="3610" spans="1:13">
      <c r="A3610" s="6">
        <v>2024</v>
      </c>
      <c r="B3610" s="6">
        <v>4</v>
      </c>
      <c r="C3610" s="6" t="s">
        <v>62</v>
      </c>
      <c r="D3610" s="6" t="s">
        <v>739</v>
      </c>
      <c r="E3610" s="6" t="s">
        <v>405</v>
      </c>
      <c r="F3610" s="6" t="str">
        <f>IF($M3610="PADD I","PADD 1",IF($M3610="PADD II","PADD 2",IF($M3610="PADD III","PADD 3",IF($M3610="PADD IV","PADD 4",IF($M3610="PADD V","PADD 5","")))))</f>
        <v>PADD 2</v>
      </c>
      <c r="G3610" s="6">
        <f>IF(AND($H3610="ATMOS DISTILLATION",ISNUMBER(SEARCH("VPS",$I3610))=FALSE,LEFT($I3610,6)&lt;&gt;"VACUUM"),"CDU",IF($H3610="FLUID CAT CRACKING","FCC",IF(OR($H3610="HYDROCRACKING",$H3610="RESID_HYDROCRACKING"),"Hydrocracker",IF($H3610="REFORMING","Reformer",""))))</f>
        <v/>
      </c>
      <c r="H3610" s="6" t="s">
        <v>378</v>
      </c>
      <c r="I3610" s="6" t="s">
        <v>431</v>
      </c>
      <c r="J3610" s="6" t="s">
        <v>345</v>
      </c>
      <c r="K3610" s="10">
        <v>3.2</v>
      </c>
      <c r="L3610" s="10">
        <v>32</v>
      </c>
      <c r="M3610" s="6" t="s">
        <v>375</v>
      </c>
    </row>
    <row r="3611" spans="1:13">
      <c r="A3611" s="6">
        <v>2024</v>
      </c>
      <c r="B3611" s="6">
        <v>4</v>
      </c>
      <c r="C3611" s="6" t="s">
        <v>62</v>
      </c>
      <c r="D3611" s="6" t="s">
        <v>739</v>
      </c>
      <c r="E3611" s="6" t="s">
        <v>405</v>
      </c>
      <c r="F3611" s="6" t="str">
        <f>IF($M3611="PADD I","PADD 1",IF($M3611="PADD II","PADD 2",IF($M3611="PADD III","PADD 3",IF($M3611="PADD IV","PADD 4",IF($M3611="PADD V","PADD 5","")))))</f>
        <v>PADD 2</v>
      </c>
      <c r="G3611" s="6">
        <f>IF(AND($H3611="ATMOS DISTILLATION",ISNUMBER(SEARCH("VPS",$I3611))=FALSE,LEFT($I3611,6)&lt;&gt;"VACUUM"),"CDU",IF($H3611="FLUID CAT CRACKING","FCC",IF(OR($H3611="HYDROCRACKING",$H3611="RESID_HYDROCRACKING"),"Hydrocracker",IF($H3611="REFORMING","Reformer",""))))</f>
        <v/>
      </c>
      <c r="H3611" s="6" t="s">
        <v>43</v>
      </c>
      <c r="I3611" s="6" t="s">
        <v>740</v>
      </c>
      <c r="J3611" s="6" t="s">
        <v>345</v>
      </c>
      <c r="K3611" s="10">
        <v>3.2</v>
      </c>
      <c r="L3611" s="10">
        <v>32</v>
      </c>
      <c r="M3611" s="6" t="s">
        <v>375</v>
      </c>
    </row>
    <row r="3612" spans="1:13">
      <c r="A3612" s="6">
        <v>2024</v>
      </c>
      <c r="B3612" s="6">
        <v>4</v>
      </c>
      <c r="C3612" s="6" t="s">
        <v>62</v>
      </c>
      <c r="D3612" s="6" t="s">
        <v>547</v>
      </c>
      <c r="E3612" s="6" t="s">
        <v>391</v>
      </c>
      <c r="F3612" s="6" t="str">
        <f>IF($M3612="PADD I","PADD 1",IF($M3612="PADD II","PADD 2",IF($M3612="PADD III","PADD 3",IF($M3612="PADD IV","PADD 4",IF($M3612="PADD V","PADD 5","")))))</f>
        <v>PADD 5</v>
      </c>
      <c r="G3612" s="6">
        <f>IF(AND($H3612="ATMOS DISTILLATION",ISNUMBER(SEARCH("VPS",$I3612))=FALSE,LEFT($I3612,6)&lt;&gt;"VACUUM"),"CDU",IF($H3612="FLUID CAT CRACKING","FCC",IF(OR($H3612="HYDROCRACKING",$H3612="RESID_HYDROCRACKING"),"Hydrocracker",IF($H3612="REFORMING","Reformer",""))))</f>
        <v/>
      </c>
      <c r="H3612" s="6" t="s">
        <v>43</v>
      </c>
      <c r="I3612" s="6" t="s">
        <v>930</v>
      </c>
      <c r="J3612" s="6" t="s">
        <v>345</v>
      </c>
      <c r="K3612" s="10">
        <v>3.186</v>
      </c>
      <c r="L3612" s="10">
        <v>11.8</v>
      </c>
      <c r="M3612" s="6" t="s">
        <v>386</v>
      </c>
    </row>
    <row r="3613" spans="1:13">
      <c r="A3613" s="6">
        <v>2024</v>
      </c>
      <c r="B3613" s="6">
        <v>4</v>
      </c>
      <c r="C3613" s="6" t="s">
        <v>62</v>
      </c>
      <c r="D3613" s="6" t="s">
        <v>526</v>
      </c>
      <c r="E3613" s="6" t="s">
        <v>405</v>
      </c>
      <c r="F3613" s="6" t="str">
        <f>IF($M3613="PADD I","PADD 1",IF($M3613="PADD II","PADD 2",IF($M3613="PADD III","PADD 3",IF($M3613="PADD IV","PADD 4",IF($M3613="PADD V","PADD 5","")))))</f>
        <v>PADD 3</v>
      </c>
      <c r="G3613" s="6" t="str">
        <f>IF(AND($H3613="ATMOS DISTILLATION",ISNUMBER(SEARCH("VPS",$I3613))=FALSE,LEFT($I3613,6)&lt;&gt;"VACUUM"),"CDU",IF($H3613="FLUID CAT CRACKING","FCC",IF(OR($H3613="HYDROCRACKING",$H3613="RESID_HYDROCRACKING"),"Hydrocracker",IF($H3613="REFORMING","Reformer",""))))</f>
        <v>Hydrocracker</v>
      </c>
      <c r="H3613" s="6" t="s">
        <v>444</v>
      </c>
      <c r="I3613" s="6" t="s">
        <v>527</v>
      </c>
      <c r="J3613" s="6" t="s">
        <v>345</v>
      </c>
      <c r="K3613" s="10">
        <v>3.15</v>
      </c>
      <c r="L3613" s="10">
        <v>45</v>
      </c>
      <c r="M3613" s="6" t="s">
        <v>371</v>
      </c>
    </row>
    <row r="3614" spans="1:13">
      <c r="A3614" s="6">
        <v>2024</v>
      </c>
      <c r="B3614" s="6">
        <v>4</v>
      </c>
      <c r="C3614" s="6" t="s">
        <v>62</v>
      </c>
      <c r="D3614" s="6" t="s">
        <v>547</v>
      </c>
      <c r="E3614" s="6" t="s">
        <v>391</v>
      </c>
      <c r="F3614" s="6" t="str">
        <f>IF($M3614="PADD I","PADD 1",IF($M3614="PADD II","PADD 2",IF($M3614="PADD III","PADD 3",IF($M3614="PADD IV","PADD 4",IF($M3614="PADD V","PADD 5","")))))</f>
        <v>PADD 5</v>
      </c>
      <c r="G3614" s="6">
        <f>IF(AND($H3614="ATMOS DISTILLATION",ISNUMBER(SEARCH("VPS",$I3614))=FALSE,LEFT($I3614,6)&lt;&gt;"VACUUM"),"CDU",IF($H3614="FLUID CAT CRACKING","FCC",IF(OR($H3614="HYDROCRACKING",$H3614="RESID_HYDROCRACKING"),"Hydrocracker",IF($H3614="REFORMING","Reformer",""))))</f>
        <v/>
      </c>
      <c r="H3614" s="6" t="s">
        <v>43</v>
      </c>
      <c r="I3614" s="6" t="s">
        <v>931</v>
      </c>
      <c r="J3614" s="6" t="s">
        <v>345</v>
      </c>
      <c r="K3614" s="10">
        <v>3.1104</v>
      </c>
      <c r="L3614" s="10">
        <v>11.52</v>
      </c>
      <c r="M3614" s="6" t="s">
        <v>386</v>
      </c>
    </row>
    <row r="3615" spans="1:13">
      <c r="A3615" s="6">
        <v>2024</v>
      </c>
      <c r="B3615" s="6">
        <v>4</v>
      </c>
      <c r="C3615" s="6" t="s">
        <v>62</v>
      </c>
      <c r="D3615" s="6" t="s">
        <v>48</v>
      </c>
      <c r="E3615" s="6" t="s">
        <v>388</v>
      </c>
      <c r="F3615" s="6" t="str">
        <f>IF($M3615="PADD I","PADD 1",IF($M3615="PADD II","PADD 2",IF($M3615="PADD III","PADD 3",IF($M3615="PADD IV","PADD 4",IF($M3615="PADD V","PADD 5","")))))</f>
        <v>PADD 2</v>
      </c>
      <c r="G3615" s="6" t="str">
        <f>IF(AND($H3615="ATMOS DISTILLATION",ISNUMBER(SEARCH("VPS",$I3615))=FALSE,LEFT($I3615,6)&lt;&gt;"VACUUM"),"CDU",IF($H3615="FLUID CAT CRACKING","FCC",IF(OR($H3615="HYDROCRACKING",$H3615="RESID_HYDROCRACKING"),"Hydrocracker",IF($H3615="REFORMING","Reformer",""))))</f>
        <v>Hydrocracker</v>
      </c>
      <c r="H3615" s="6" t="s">
        <v>444</v>
      </c>
      <c r="I3615" s="6" t="s">
        <v>758</v>
      </c>
      <c r="J3615" s="6" t="s">
        <v>345</v>
      </c>
      <c r="K3615" s="10">
        <v>3.08</v>
      </c>
      <c r="L3615" s="10">
        <v>44</v>
      </c>
      <c r="M3615" s="6" t="s">
        <v>375</v>
      </c>
    </row>
    <row r="3616" spans="1:13">
      <c r="A3616" s="6">
        <v>2024</v>
      </c>
      <c r="B3616" s="6">
        <v>4</v>
      </c>
      <c r="C3616" s="6" t="s">
        <v>62</v>
      </c>
      <c r="D3616" s="6" t="s">
        <v>739</v>
      </c>
      <c r="E3616" s="6" t="s">
        <v>405</v>
      </c>
      <c r="F3616" s="6" t="str">
        <f>IF($M3616="PADD I","PADD 1",IF($M3616="PADD II","PADD 2",IF($M3616="PADD III","PADD 3",IF($M3616="PADD IV","PADD 4",IF($M3616="PADD V","PADD 5","")))))</f>
        <v>PADD 2</v>
      </c>
      <c r="G3616" s="6" t="str">
        <f>IF(AND($H3616="ATMOS DISTILLATION",ISNUMBER(SEARCH("VPS",$I3616))=FALSE,LEFT($I3616,6)&lt;&gt;"VACUUM"),"CDU",IF($H3616="FLUID CAT CRACKING","FCC",IF(OR($H3616="HYDROCRACKING",$H3616="RESID_HYDROCRACKING"),"Hydrocracker",IF($H3616="REFORMING","Reformer",""))))</f>
        <v>FCC</v>
      </c>
      <c r="H3616" s="6" t="s">
        <v>376</v>
      </c>
      <c r="I3616" s="6" t="s">
        <v>105</v>
      </c>
      <c r="J3616" s="6" t="s">
        <v>345</v>
      </c>
      <c r="K3616" s="10">
        <v>3</v>
      </c>
      <c r="L3616" s="10">
        <v>30</v>
      </c>
      <c r="M3616" s="6" t="s">
        <v>375</v>
      </c>
    </row>
    <row r="3617" spans="1:13">
      <c r="A3617" s="6">
        <v>2024</v>
      </c>
      <c r="B3617" s="6">
        <v>4</v>
      </c>
      <c r="C3617" s="6" t="s">
        <v>62</v>
      </c>
      <c r="D3617" s="6" t="s">
        <v>739</v>
      </c>
      <c r="E3617" s="6" t="s">
        <v>405</v>
      </c>
      <c r="F3617" s="6" t="str">
        <f>IF($M3617="PADD I","PADD 1",IF($M3617="PADD II","PADD 2",IF($M3617="PADD III","PADD 3",IF($M3617="PADD IV","PADD 4",IF($M3617="PADD V","PADD 5","")))))</f>
        <v>PADD 2</v>
      </c>
      <c r="G3617" s="6" t="str">
        <f>IF(AND($H3617="ATMOS DISTILLATION",ISNUMBER(SEARCH("VPS",$I3617))=FALSE,LEFT($I3617,6)&lt;&gt;"VACUUM"),"CDU",IF($H3617="FLUID CAT CRACKING","FCC",IF(OR($H3617="HYDROCRACKING",$H3617="RESID_HYDROCRACKING"),"Hydrocracker",IF($H3617="REFORMING","Reformer",""))))</f>
        <v>Reformer</v>
      </c>
      <c r="H3617" s="6" t="s">
        <v>421</v>
      </c>
      <c r="I3617" s="6" t="s">
        <v>782</v>
      </c>
      <c r="J3617" s="6" t="s">
        <v>345</v>
      </c>
      <c r="K3617" s="10">
        <v>3</v>
      </c>
      <c r="L3617" s="10">
        <v>30</v>
      </c>
      <c r="M3617" s="6" t="s">
        <v>375</v>
      </c>
    </row>
    <row r="3618" spans="1:13">
      <c r="A3618" s="6">
        <v>2024</v>
      </c>
      <c r="B3618" s="6">
        <v>4</v>
      </c>
      <c r="C3618" s="6" t="s">
        <v>62</v>
      </c>
      <c r="D3618" s="6" t="s">
        <v>328</v>
      </c>
      <c r="E3618" s="6" t="s">
        <v>416</v>
      </c>
      <c r="F3618" s="6" t="str">
        <f>IF($M3618="PADD I","PADD 1",IF($M3618="PADD II","PADD 2",IF($M3618="PADD III","PADD 3",IF($M3618="PADD IV","PADD 4",IF($M3618="PADD V","PADD 5","")))))</f>
        <v>PADD 2</v>
      </c>
      <c r="G3618" s="6">
        <f>IF(AND($H3618="ATMOS DISTILLATION",ISNUMBER(SEARCH("VPS",$I3618))=FALSE,LEFT($I3618,6)&lt;&gt;"VACUUM"),"CDU",IF($H3618="FLUID CAT CRACKING","FCC",IF(OR($H3618="HYDROCRACKING",$H3618="RESID_HYDROCRACKING"),"Hydrocracker",IF($H3618="REFORMING","Reformer",""))))</f>
        <v/>
      </c>
      <c r="H3618" s="6" t="s">
        <v>435</v>
      </c>
      <c r="I3618" s="6" t="s">
        <v>1059</v>
      </c>
      <c r="J3618" s="6" t="s">
        <v>349</v>
      </c>
      <c r="K3618" s="10">
        <v>2.8842</v>
      </c>
      <c r="L3618" s="10">
        <v>12.54</v>
      </c>
      <c r="M3618" s="6" t="s">
        <v>375</v>
      </c>
    </row>
    <row r="3619" spans="1:13">
      <c r="A3619" s="6">
        <v>2024</v>
      </c>
      <c r="B3619" s="6">
        <v>4</v>
      </c>
      <c r="C3619" s="6" t="s">
        <v>62</v>
      </c>
      <c r="D3619" s="6" t="s">
        <v>468</v>
      </c>
      <c r="E3619" s="6" t="s">
        <v>369</v>
      </c>
      <c r="F3619" s="6" t="str">
        <f>IF($M3619="PADD I","PADD 1",IF($M3619="PADD II","PADD 2",IF($M3619="PADD III","PADD 3",IF($M3619="PADD IV","PADD 4",IF($M3619="PADD V","PADD 5","")))))</f>
        <v>PADD 3</v>
      </c>
      <c r="G3619" s="6" t="str">
        <f>IF(AND($H3619="ATMOS DISTILLATION",ISNUMBER(SEARCH("VPS",$I3619))=FALSE,LEFT($I3619,6)&lt;&gt;"VACUUM"),"CDU",IF($H3619="FLUID CAT CRACKING","FCC",IF(OR($H3619="HYDROCRACKING",$H3619="RESID_HYDROCRACKING"),"Hydrocracker",IF($H3619="REFORMING","Reformer",""))))</f>
        <v>Reformer</v>
      </c>
      <c r="H3619" s="6" t="s">
        <v>421</v>
      </c>
      <c r="I3619" s="6" t="s">
        <v>635</v>
      </c>
      <c r="J3619" s="6" t="s">
        <v>345</v>
      </c>
      <c r="K3619" s="10">
        <v>2.8</v>
      </c>
      <c r="L3619" s="10">
        <v>7</v>
      </c>
      <c r="M3619" s="6" t="s">
        <v>371</v>
      </c>
    </row>
    <row r="3620" spans="1:13">
      <c r="A3620" s="6">
        <v>2024</v>
      </c>
      <c r="B3620" s="6">
        <v>4</v>
      </c>
      <c r="C3620" s="6" t="s">
        <v>62</v>
      </c>
      <c r="D3620" s="6" t="s">
        <v>465</v>
      </c>
      <c r="E3620" s="6" t="s">
        <v>369</v>
      </c>
      <c r="F3620" s="6" t="str">
        <f>IF($M3620="PADD I","PADD 1",IF($M3620="PADD II","PADD 2",IF($M3620="PADD III","PADD 3",IF($M3620="PADD IV","PADD 4",IF($M3620="PADD V","PADD 5","")))))</f>
        <v>PADD 5</v>
      </c>
      <c r="G3620" s="6" t="str">
        <f>IF(AND($H3620="ATMOS DISTILLATION",ISNUMBER(SEARCH("VPS",$I3620))=FALSE,LEFT($I3620,6)&lt;&gt;"VACUUM"),"CDU",IF($H3620="FLUID CAT CRACKING","FCC",IF(OR($H3620="HYDROCRACKING",$H3620="RESID_HYDROCRACKING"),"Hydrocracker",IF($H3620="REFORMING","Reformer",""))))</f>
        <v>Hydrocracker</v>
      </c>
      <c r="H3620" s="6" t="s">
        <v>444</v>
      </c>
      <c r="I3620" s="6" t="s">
        <v>668</v>
      </c>
      <c r="J3620" s="6" t="s">
        <v>349</v>
      </c>
      <c r="K3620" s="10">
        <v>2.75</v>
      </c>
      <c r="L3620" s="10">
        <v>27.5</v>
      </c>
      <c r="M3620" s="6" t="s">
        <v>386</v>
      </c>
    </row>
    <row r="3621" spans="1:13">
      <c r="A3621" s="6">
        <v>2024</v>
      </c>
      <c r="B3621" s="6">
        <v>4</v>
      </c>
      <c r="C3621" s="6" t="s">
        <v>62</v>
      </c>
      <c r="D3621" s="6" t="s">
        <v>774</v>
      </c>
      <c r="E3621" s="6" t="s">
        <v>775</v>
      </c>
      <c r="F3621" s="6" t="str">
        <f>IF($M3621="PADD I","PADD 1",IF($M3621="PADD II","PADD 2",IF($M3621="PADD III","PADD 3",IF($M3621="PADD IV","PADD 4",IF($M3621="PADD V","PADD 5","")))))</f>
        <v>PADD 1</v>
      </c>
      <c r="G3621" s="6">
        <f>IF(AND($H3621="ATMOS DISTILLATION",ISNUMBER(SEARCH("VPS",$I3621))=FALSE,LEFT($I3621,6)&lt;&gt;"VACUUM"),"CDU",IF($H3621="FLUID CAT CRACKING","FCC",IF(OR($H3621="HYDROCRACKING",$H3621="RESID_HYDROCRACKING"),"Hydrocracker",IF($H3621="REFORMING","Reformer",""))))</f>
        <v/>
      </c>
      <c r="H3621" s="6" t="s">
        <v>460</v>
      </c>
      <c r="I3621" s="6" t="s">
        <v>461</v>
      </c>
      <c r="J3621" s="6" t="s">
        <v>349</v>
      </c>
      <c r="K3621" s="10">
        <v>2.7405</v>
      </c>
      <c r="L3621" s="10">
        <v>3.15</v>
      </c>
      <c r="M3621" s="6" t="s">
        <v>413</v>
      </c>
    </row>
    <row r="3622" spans="1:13">
      <c r="A3622" s="6">
        <v>2024</v>
      </c>
      <c r="B3622" s="6">
        <v>4</v>
      </c>
      <c r="C3622" s="6" t="s">
        <v>62</v>
      </c>
      <c r="D3622" s="6" t="s">
        <v>762</v>
      </c>
      <c r="E3622" s="6" t="s">
        <v>763</v>
      </c>
      <c r="F3622" s="6" t="str">
        <f>IF($M3622="PADD I","PADD 1",IF($M3622="PADD II","PADD 2",IF($M3622="PADD III","PADD 3",IF($M3622="PADD IV","PADD 4",IF($M3622="PADD V","PADD 5","")))))</f>
        <v>PADD 2</v>
      </c>
      <c r="G3622" s="6">
        <f>IF(AND($H3622="ATMOS DISTILLATION",ISNUMBER(SEARCH("VPS",$I3622))=FALSE,LEFT($I3622,6)&lt;&gt;"VACUUM"),"CDU",IF($H3622="FLUID CAT CRACKING","FCC",IF(OR($H3622="HYDROCRACKING",$H3622="RESID_HYDROCRACKING"),"Hydrocracker",IF($H3622="REFORMING","Reformer",""))))</f>
        <v/>
      </c>
      <c r="H3622" s="6" t="s">
        <v>378</v>
      </c>
      <c r="I3622" s="6" t="s">
        <v>812</v>
      </c>
      <c r="J3622" s="6" t="s">
        <v>345</v>
      </c>
      <c r="K3622" s="10">
        <v>2.7</v>
      </c>
      <c r="L3622" s="10">
        <v>27</v>
      </c>
      <c r="M3622" s="6" t="s">
        <v>375</v>
      </c>
    </row>
    <row r="3623" spans="1:13">
      <c r="A3623" s="6">
        <v>2024</v>
      </c>
      <c r="B3623" s="6">
        <v>4</v>
      </c>
      <c r="C3623" s="6" t="s">
        <v>62</v>
      </c>
      <c r="D3623" s="6" t="s">
        <v>739</v>
      </c>
      <c r="E3623" s="6" t="s">
        <v>405</v>
      </c>
      <c r="F3623" s="6" t="str">
        <f>IF($M3623="PADD I","PADD 1",IF($M3623="PADD II","PADD 2",IF($M3623="PADD III","PADD 3",IF($M3623="PADD IV","PADD 4",IF($M3623="PADD V","PADD 5","")))))</f>
        <v>PADD 2</v>
      </c>
      <c r="G3623" s="6">
        <f>IF(AND($H3623="ATMOS DISTILLATION",ISNUMBER(SEARCH("VPS",$I3623))=FALSE,LEFT($I3623,6)&lt;&gt;"VACUUM"),"CDU",IF($H3623="FLUID CAT CRACKING","FCC",IF(OR($H3623="HYDROCRACKING",$H3623="RESID_HYDROCRACKING"),"Hydrocracker",IF($H3623="REFORMING","Reformer",""))))</f>
        <v/>
      </c>
      <c r="H3623" s="6" t="s">
        <v>43</v>
      </c>
      <c r="I3623" s="6" t="s">
        <v>493</v>
      </c>
      <c r="J3623" s="6" t="s">
        <v>345</v>
      </c>
      <c r="K3623" s="10">
        <v>2.65</v>
      </c>
      <c r="L3623" s="10">
        <v>26.5</v>
      </c>
      <c r="M3623" s="6" t="s">
        <v>375</v>
      </c>
    </row>
    <row r="3624" spans="1:13">
      <c r="A3624" s="6">
        <v>2024</v>
      </c>
      <c r="B3624" s="6">
        <v>4</v>
      </c>
      <c r="C3624" s="6" t="s">
        <v>62</v>
      </c>
      <c r="D3624" s="6" t="s">
        <v>334</v>
      </c>
      <c r="E3624" s="6" t="s">
        <v>552</v>
      </c>
      <c r="F3624" s="6" t="str">
        <f>IF($M3624="PADD I","PADD 1",IF($M3624="PADD II","PADD 2",IF($M3624="PADD III","PADD 3",IF($M3624="PADD IV","PADD 4",IF($M3624="PADD V","PADD 5","")))))</f>
        <v>PADD 3</v>
      </c>
      <c r="G3624" s="6" t="str">
        <f>IF(AND($H3624="ATMOS DISTILLATION",ISNUMBER(SEARCH("VPS",$I3624))=FALSE,LEFT($I3624,6)&lt;&gt;"VACUUM"),"CDU",IF($H3624="FLUID CAT CRACKING","FCC",IF(OR($H3624="HYDROCRACKING",$H3624="RESID_HYDROCRACKING"),"Hydrocracker",IF($H3624="REFORMING","Reformer",""))))</f>
        <v>CDU</v>
      </c>
      <c r="H3624" s="6" t="s">
        <v>38</v>
      </c>
      <c r="I3624" s="6" t="s">
        <v>137</v>
      </c>
      <c r="J3624" s="6" t="s">
        <v>345</v>
      </c>
      <c r="K3624" s="10">
        <v>2.55</v>
      </c>
      <c r="L3624" s="10">
        <v>85</v>
      </c>
      <c r="M3624" s="6" t="s">
        <v>371</v>
      </c>
    </row>
    <row r="3625" spans="1:13">
      <c r="A3625" s="6">
        <v>2024</v>
      </c>
      <c r="B3625" s="6">
        <v>4</v>
      </c>
      <c r="C3625" s="6" t="s">
        <v>62</v>
      </c>
      <c r="D3625" s="6" t="s">
        <v>1060</v>
      </c>
      <c r="E3625" s="6" t="s">
        <v>1039</v>
      </c>
      <c r="F3625" s="6" t="str">
        <f>IF($M3625="PADD I","PADD 1",IF($M3625="PADD II","PADD 2",IF($M3625="PADD III","PADD 3",IF($M3625="PADD IV","PADD 4",IF($M3625="PADD V","PADD 5","")))))</f>
        <v>PADD 2</v>
      </c>
      <c r="G3625" s="6">
        <f>IF(AND($H3625="ATMOS DISTILLATION",ISNUMBER(SEARCH("VPS",$I3625))=FALSE,LEFT($I3625,6)&lt;&gt;"VACUUM"),"CDU",IF($H3625="FLUID CAT CRACKING","FCC",IF(OR($H3625="HYDROCRACKING",$H3625="RESID_HYDROCRACKING"),"Hydrocracker",IF($H3625="REFORMING","Reformer",""))))</f>
        <v/>
      </c>
      <c r="H3625" s="6" t="s">
        <v>460</v>
      </c>
      <c r="I3625" s="6" t="s">
        <v>616</v>
      </c>
      <c r="J3625" s="6" t="s">
        <v>345</v>
      </c>
      <c r="K3625" s="10">
        <v>2.5175</v>
      </c>
      <c r="L3625" s="10">
        <v>4.75</v>
      </c>
      <c r="M3625" s="6" t="s">
        <v>375</v>
      </c>
    </row>
    <row r="3626" spans="1:13">
      <c r="A3626" s="6">
        <v>2024</v>
      </c>
      <c r="B3626" s="6">
        <v>4</v>
      </c>
      <c r="C3626" s="6" t="s">
        <v>62</v>
      </c>
      <c r="D3626" s="6" t="s">
        <v>50</v>
      </c>
      <c r="E3626" s="6" t="s">
        <v>381</v>
      </c>
      <c r="F3626" s="6" t="str">
        <f>IF($M3626="PADD I","PADD 1",IF($M3626="PADD II","PADD 2",IF($M3626="PADD III","PADD 3",IF($M3626="PADD IV","PADD 4",IF($M3626="PADD V","PADD 5","")))))</f>
        <v>PADD 3</v>
      </c>
      <c r="G3626" s="6" t="str">
        <f>IF(AND($H3626="ATMOS DISTILLATION",ISNUMBER(SEARCH("VPS",$I3626))=FALSE,LEFT($I3626,6)&lt;&gt;"VACUUM"),"CDU",IF($H3626="FLUID CAT CRACKING","FCC",IF(OR($H3626="HYDROCRACKING",$H3626="RESID_HYDROCRACKING"),"Hydrocracker",IF($H3626="REFORMING","Reformer",""))))</f>
        <v>Hydrocracker</v>
      </c>
      <c r="H3626" s="6" t="s">
        <v>444</v>
      </c>
      <c r="I3626" s="6" t="s">
        <v>1195</v>
      </c>
      <c r="J3626" s="6" t="s">
        <v>345</v>
      </c>
      <c r="K3626" s="10">
        <v>2.5</v>
      </c>
      <c r="L3626" s="10">
        <v>25</v>
      </c>
      <c r="M3626" s="6" t="s">
        <v>371</v>
      </c>
    </row>
    <row r="3627" spans="1:13">
      <c r="A3627" s="6">
        <v>2024</v>
      </c>
      <c r="B3627" s="6">
        <v>4</v>
      </c>
      <c r="C3627" s="6" t="s">
        <v>62</v>
      </c>
      <c r="D3627" s="6" t="s">
        <v>372</v>
      </c>
      <c r="E3627" s="6" t="s">
        <v>373</v>
      </c>
      <c r="F3627" s="6" t="str">
        <f>IF($M3627="PADD I","PADD 1",IF($M3627="PADD II","PADD 2",IF($M3627="PADD III","PADD 3",IF($M3627="PADD IV","PADD 4",IF($M3627="PADD V","PADD 5","")))))</f>
        <v>PADD 2</v>
      </c>
      <c r="G3627" s="6">
        <f>IF(AND($H3627="ATMOS DISTILLATION",ISNUMBER(SEARCH("VPS",$I3627))=FALSE,LEFT($I3627,6)&lt;&gt;"VACUUM"),"CDU",IF($H3627="FLUID CAT CRACKING","FCC",IF(OR($H3627="HYDROCRACKING",$H3627="RESID_HYDROCRACKING"),"Hydrocracker",IF($H3627="REFORMING","Reformer",""))))</f>
        <v/>
      </c>
      <c r="H3627" s="6" t="s">
        <v>435</v>
      </c>
      <c r="I3627" s="6" t="s">
        <v>584</v>
      </c>
      <c r="J3627" s="6" t="s">
        <v>345</v>
      </c>
      <c r="K3627" s="10">
        <v>2.475</v>
      </c>
      <c r="L3627" s="10">
        <v>7.5</v>
      </c>
      <c r="M3627" s="6" t="s">
        <v>375</v>
      </c>
    </row>
    <row r="3628" spans="1:13">
      <c r="A3628" s="6">
        <v>2024</v>
      </c>
      <c r="B3628" s="6">
        <v>4</v>
      </c>
      <c r="C3628" s="6" t="s">
        <v>62</v>
      </c>
      <c r="D3628" s="6" t="s">
        <v>465</v>
      </c>
      <c r="E3628" s="6" t="s">
        <v>369</v>
      </c>
      <c r="F3628" s="6" t="str">
        <f>IF($M3628="PADD I","PADD 1",IF($M3628="PADD II","PADD 2",IF($M3628="PADD III","PADD 3",IF($M3628="PADD IV","PADD 4",IF($M3628="PADD V","PADD 5","")))))</f>
        <v>PADD 5</v>
      </c>
      <c r="G3628" s="6">
        <f>IF(AND($H3628="ATMOS DISTILLATION",ISNUMBER(SEARCH("VPS",$I3628))=FALSE,LEFT($I3628,6)&lt;&gt;"VACUUM"),"CDU",IF($H3628="FLUID CAT CRACKING","FCC",IF(OR($H3628="HYDROCRACKING",$H3628="RESID_HYDROCRACKING"),"Hydrocracker",IF($H3628="REFORMING","Reformer",""))))</f>
        <v/>
      </c>
      <c r="H3628" s="6" t="s">
        <v>43</v>
      </c>
      <c r="I3628" s="6" t="s">
        <v>664</v>
      </c>
      <c r="J3628" s="6" t="s">
        <v>349</v>
      </c>
      <c r="K3628" s="10">
        <v>2.45</v>
      </c>
      <c r="L3628" s="10">
        <v>35</v>
      </c>
      <c r="M3628" s="6" t="s">
        <v>386</v>
      </c>
    </row>
    <row r="3629" spans="1:13">
      <c r="A3629" s="6">
        <v>2024</v>
      </c>
      <c r="B3629" s="6">
        <v>4</v>
      </c>
      <c r="C3629" s="6" t="s">
        <v>62</v>
      </c>
      <c r="D3629" s="6" t="s">
        <v>48</v>
      </c>
      <c r="E3629" s="6" t="s">
        <v>388</v>
      </c>
      <c r="F3629" s="6" t="str">
        <f>IF($M3629="PADD I","PADD 1",IF($M3629="PADD II","PADD 2",IF($M3629="PADD III","PADD 3",IF($M3629="PADD IV","PADD 4",IF($M3629="PADD V","PADD 5","")))))</f>
        <v>PADD 2</v>
      </c>
      <c r="G3629" s="6">
        <f>IF(AND($H3629="ATMOS DISTILLATION",ISNUMBER(SEARCH("VPS",$I3629))=FALSE,LEFT($I3629,6)&lt;&gt;"VACUUM"),"CDU",IF($H3629="FLUID CAT CRACKING","FCC",IF(OR($H3629="HYDROCRACKING",$H3629="RESID_HYDROCRACKING"),"Hydrocracker",IF($H3629="REFORMING","Reformer",""))))</f>
        <v/>
      </c>
      <c r="H3629" s="6" t="s">
        <v>43</v>
      </c>
      <c r="I3629" s="6" t="s">
        <v>761</v>
      </c>
      <c r="J3629" s="6" t="s">
        <v>345</v>
      </c>
      <c r="K3629" s="10">
        <v>2.4</v>
      </c>
      <c r="L3629" s="10">
        <v>24</v>
      </c>
      <c r="M3629" s="6" t="s">
        <v>375</v>
      </c>
    </row>
    <row r="3630" spans="1:13">
      <c r="A3630" s="6">
        <v>2024</v>
      </c>
      <c r="B3630" s="6">
        <v>4</v>
      </c>
      <c r="C3630" s="6" t="s">
        <v>62</v>
      </c>
      <c r="D3630" s="6" t="s">
        <v>434</v>
      </c>
      <c r="E3630" s="6" t="s">
        <v>388</v>
      </c>
      <c r="F3630" s="6" t="str">
        <f>IF($M3630="PADD I","PADD 1",IF($M3630="PADD II","PADD 2",IF($M3630="PADD III","PADD 3",IF($M3630="PADD IV","PADD 4",IF($M3630="PADD V","PADD 5","")))))</f>
        <v>PADD 5</v>
      </c>
      <c r="G3630" s="6" t="str">
        <f>IF(AND($H3630="ATMOS DISTILLATION",ISNUMBER(SEARCH("VPS",$I3630))=FALSE,LEFT($I3630,6)&lt;&gt;"VACUUM"),"CDU",IF($H3630="FLUID CAT CRACKING","FCC",IF(OR($H3630="HYDROCRACKING",$H3630="RESID_HYDROCRACKING"),"Hydrocracker",IF($H3630="REFORMING","Reformer",""))))</f>
        <v>Hydrocracker</v>
      </c>
      <c r="H3630" s="6" t="s">
        <v>444</v>
      </c>
      <c r="I3630" s="6" t="s">
        <v>14</v>
      </c>
      <c r="J3630" s="6" t="s">
        <v>345</v>
      </c>
      <c r="K3630" s="10">
        <v>2.31</v>
      </c>
      <c r="L3630" s="10">
        <v>33</v>
      </c>
      <c r="M3630" s="6" t="s">
        <v>386</v>
      </c>
    </row>
    <row r="3631" spans="1:13">
      <c r="A3631" s="6">
        <v>2024</v>
      </c>
      <c r="B3631" s="6">
        <v>4</v>
      </c>
      <c r="C3631" s="6" t="s">
        <v>62</v>
      </c>
      <c r="D3631" s="6" t="s">
        <v>1141</v>
      </c>
      <c r="E3631" s="6" t="s">
        <v>1079</v>
      </c>
      <c r="F3631" s="6" t="str">
        <f>IF($M3631="PADD I","PADD 1",IF($M3631="PADD II","PADD 2",IF($M3631="PADD III","PADD 3",IF($M3631="PADD IV","PADD 4",IF($M3631="PADD V","PADD 5","")))))</f>
        <v>PADD 3</v>
      </c>
      <c r="G3631" s="6" t="str">
        <f>IF(AND($H3631="ATMOS DISTILLATION",ISNUMBER(SEARCH("VPS",$I3631))=FALSE,LEFT($I3631,6)&lt;&gt;"VACUUM"),"CDU",IF($H3631="FLUID CAT CRACKING","FCC",IF(OR($H3631="HYDROCRACKING",$H3631="RESID_HYDROCRACKING"),"Hydrocracker",IF($H3631="REFORMING","Reformer",""))))</f>
        <v>Reformer</v>
      </c>
      <c r="H3631" s="6" t="s">
        <v>421</v>
      </c>
      <c r="I3631" s="6" t="s">
        <v>559</v>
      </c>
      <c r="J3631" s="6" t="s">
        <v>349</v>
      </c>
      <c r="K3631" s="10">
        <v>2.295</v>
      </c>
      <c r="L3631" s="10">
        <v>13.5</v>
      </c>
      <c r="M3631" s="6" t="s">
        <v>371</v>
      </c>
    </row>
    <row r="3632" spans="1:13">
      <c r="A3632" s="6">
        <v>2024</v>
      </c>
      <c r="B3632" s="6">
        <v>4</v>
      </c>
      <c r="C3632" s="6" t="s">
        <v>62</v>
      </c>
      <c r="D3632" s="6" t="s">
        <v>839</v>
      </c>
      <c r="E3632" s="6" t="s">
        <v>840</v>
      </c>
      <c r="F3632" s="6" t="str">
        <f>IF($M3632="PADD I","PADD 1",IF($M3632="PADD II","PADD 2",IF($M3632="PADD III","PADD 3",IF($M3632="PADD IV","PADD 4",IF($M3632="PADD V","PADD 5","")))))</f>
        <v>PADD 1</v>
      </c>
      <c r="G3632" s="6">
        <f>IF(AND($H3632="ATMOS DISTILLATION",ISNUMBER(SEARCH("VPS",$I3632))=FALSE,LEFT($I3632,6)&lt;&gt;"VACUUM"),"CDU",IF($H3632="FLUID CAT CRACKING","FCC",IF(OR($H3632="HYDROCRACKING",$H3632="RESID_HYDROCRACKING"),"Hydrocracker",IF($H3632="REFORMING","Reformer",""))))</f>
        <v/>
      </c>
      <c r="H3632" s="6" t="s">
        <v>43</v>
      </c>
      <c r="I3632" s="6" t="s">
        <v>841</v>
      </c>
      <c r="J3632" s="6" t="s">
        <v>345</v>
      </c>
      <c r="K3632" s="10">
        <v>2.21</v>
      </c>
      <c r="L3632" s="10">
        <v>17</v>
      </c>
      <c r="M3632" s="6" t="s">
        <v>413</v>
      </c>
    </row>
    <row r="3633" spans="1:13">
      <c r="A3633" s="6">
        <v>2024</v>
      </c>
      <c r="B3633" s="6">
        <v>4</v>
      </c>
      <c r="C3633" s="6" t="s">
        <v>62</v>
      </c>
      <c r="D3633" s="6" t="s">
        <v>547</v>
      </c>
      <c r="E3633" s="6" t="s">
        <v>391</v>
      </c>
      <c r="F3633" s="6" t="str">
        <f>IF($M3633="PADD I","PADD 1",IF($M3633="PADD II","PADD 2",IF($M3633="PADD III","PADD 3",IF($M3633="PADD IV","PADD 4",IF($M3633="PADD V","PADD 5","")))))</f>
        <v>PADD 5</v>
      </c>
      <c r="G3633" s="6" t="str">
        <f>IF(AND($H3633="ATMOS DISTILLATION",ISNUMBER(SEARCH("VPS",$I3633))=FALSE,LEFT($I3633,6)&lt;&gt;"VACUUM"),"CDU",IF($H3633="FLUID CAT CRACKING","FCC",IF(OR($H3633="HYDROCRACKING",$H3633="RESID_HYDROCRACKING"),"Hydrocracker",IF($H3633="REFORMING","Reformer",""))))</f>
        <v>Reformer</v>
      </c>
      <c r="H3633" s="6" t="s">
        <v>421</v>
      </c>
      <c r="I3633" s="6" t="s">
        <v>932</v>
      </c>
      <c r="J3633" s="6" t="s">
        <v>345</v>
      </c>
      <c r="K3633" s="10">
        <v>2.16</v>
      </c>
      <c r="L3633" s="10">
        <v>8</v>
      </c>
      <c r="M3633" s="6" t="s">
        <v>386</v>
      </c>
    </row>
    <row r="3634" spans="1:13">
      <c r="A3634" s="6">
        <v>2024</v>
      </c>
      <c r="B3634" s="6">
        <v>4</v>
      </c>
      <c r="C3634" s="6" t="s">
        <v>62</v>
      </c>
      <c r="D3634" s="6" t="s">
        <v>1038</v>
      </c>
      <c r="E3634" s="6" t="s">
        <v>1039</v>
      </c>
      <c r="F3634" s="6" t="str">
        <f>IF($M3634="PADD I","PADD 1",IF($M3634="PADD II","PADD 2",IF($M3634="PADD III","PADD 3",IF($M3634="PADD IV","PADD 4",IF($M3634="PADD V","PADD 5","")))))</f>
        <v>PADD 2</v>
      </c>
      <c r="G3634" s="6" t="str">
        <f>IF(AND($H3634="ATMOS DISTILLATION",ISNUMBER(SEARCH("VPS",$I3634))=FALSE,LEFT($I3634,6)&lt;&gt;"VACUUM"),"CDU",IF($H3634="FLUID CAT CRACKING","FCC",IF(OR($H3634="HYDROCRACKING",$H3634="RESID_HYDROCRACKING"),"Hydrocracker",IF($H3634="REFORMING","Reformer",""))))</f>
        <v>Reformer</v>
      </c>
      <c r="H3634" s="6" t="s">
        <v>421</v>
      </c>
      <c r="I3634" s="6" t="s">
        <v>1046</v>
      </c>
      <c r="J3634" s="6" t="s">
        <v>345</v>
      </c>
      <c r="K3634" s="10">
        <v>2.15</v>
      </c>
      <c r="L3634" s="10">
        <v>5</v>
      </c>
      <c r="M3634" s="6" t="s">
        <v>375</v>
      </c>
    </row>
    <row r="3635" spans="1:13">
      <c r="A3635" s="6">
        <v>2024</v>
      </c>
      <c r="B3635" s="6">
        <v>4</v>
      </c>
      <c r="C3635" s="6" t="s">
        <v>62</v>
      </c>
      <c r="D3635" s="6" t="s">
        <v>762</v>
      </c>
      <c r="E3635" s="6" t="s">
        <v>763</v>
      </c>
      <c r="F3635" s="6" t="str">
        <f>IF($M3635="PADD I","PADD 1",IF($M3635="PADD II","PADD 2",IF($M3635="PADD III","PADD 3",IF($M3635="PADD IV","PADD 4",IF($M3635="PADD V","PADD 5","")))))</f>
        <v>PADD 2</v>
      </c>
      <c r="G3635" s="6" t="str">
        <f>IF(AND($H3635="ATMOS DISTILLATION",ISNUMBER(SEARCH("VPS",$I3635))=FALSE,LEFT($I3635,6)&lt;&gt;"VACUUM"),"CDU",IF($H3635="FLUID CAT CRACKING","FCC",IF(OR($H3635="HYDROCRACKING",$H3635="RESID_HYDROCRACKING"),"Hydrocracker",IF($H3635="REFORMING","Reformer",""))))</f>
        <v>FCC</v>
      </c>
      <c r="H3635" s="6" t="s">
        <v>376</v>
      </c>
      <c r="I3635" s="6" t="s">
        <v>105</v>
      </c>
      <c r="J3635" s="6" t="s">
        <v>345</v>
      </c>
      <c r="K3635" s="10">
        <v>2.1</v>
      </c>
      <c r="L3635" s="10">
        <v>21</v>
      </c>
      <c r="M3635" s="6" t="s">
        <v>375</v>
      </c>
    </row>
    <row r="3636" spans="1:13">
      <c r="A3636" s="6">
        <v>2024</v>
      </c>
      <c r="B3636" s="6">
        <v>4</v>
      </c>
      <c r="C3636" s="6" t="s">
        <v>62</v>
      </c>
      <c r="D3636" s="6" t="s">
        <v>408</v>
      </c>
      <c r="E3636" s="6" t="s">
        <v>409</v>
      </c>
      <c r="F3636" s="6" t="str">
        <f>IF($M3636="PADD I","PADD 1",IF($M3636="PADD II","PADD 2",IF($M3636="PADD III","PADD 3",IF($M3636="PADD IV","PADD 4",IF($M3636="PADD V","PADD 5","")))))</f>
        <v>PADD 3</v>
      </c>
      <c r="G3636" s="6">
        <f>IF(AND($H3636="ATMOS DISTILLATION",ISNUMBER(SEARCH("VPS",$I3636))=FALSE,LEFT($I3636,6)&lt;&gt;"VACUUM"),"CDU",IF($H3636="FLUID CAT CRACKING","FCC",IF(OR($H3636="HYDROCRACKING",$H3636="RESID_HYDROCRACKING"),"Hydrocracker",IF($H3636="REFORMING","Reformer",""))))</f>
        <v/>
      </c>
      <c r="H3636" s="6" t="s">
        <v>43</v>
      </c>
      <c r="I3636" s="6" t="s">
        <v>502</v>
      </c>
      <c r="J3636" s="6" t="s">
        <v>345</v>
      </c>
      <c r="K3636" s="10">
        <v>2.1</v>
      </c>
      <c r="L3636" s="10">
        <v>30</v>
      </c>
      <c r="M3636" s="6" t="s">
        <v>371</v>
      </c>
    </row>
    <row r="3637" spans="1:13">
      <c r="A3637" s="6">
        <v>2024</v>
      </c>
      <c r="B3637" s="6">
        <v>4</v>
      </c>
      <c r="C3637" s="6" t="s">
        <v>62</v>
      </c>
      <c r="D3637" s="6" t="s">
        <v>408</v>
      </c>
      <c r="E3637" s="6" t="s">
        <v>409</v>
      </c>
      <c r="F3637" s="6" t="str">
        <f>IF($M3637="PADD I","PADD 1",IF($M3637="PADD II","PADD 2",IF($M3637="PADD III","PADD 3",IF($M3637="PADD IV","PADD 4",IF($M3637="PADD V","PADD 5","")))))</f>
        <v>PADD 3</v>
      </c>
      <c r="G3637" s="6">
        <f>IF(AND($H3637="ATMOS DISTILLATION",ISNUMBER(SEARCH("VPS",$I3637))=FALSE,LEFT($I3637,6)&lt;&gt;"VACUUM"),"CDU",IF($H3637="FLUID CAT CRACKING","FCC",IF(OR($H3637="HYDROCRACKING",$H3637="RESID_HYDROCRACKING"),"Hydrocracker",IF($H3637="REFORMING","Reformer",""))))</f>
        <v/>
      </c>
      <c r="H3637" s="6" t="s">
        <v>43</v>
      </c>
      <c r="I3637" s="6" t="s">
        <v>503</v>
      </c>
      <c r="J3637" s="6" t="s">
        <v>345</v>
      </c>
      <c r="K3637" s="10">
        <v>2.1</v>
      </c>
      <c r="L3637" s="10">
        <v>30</v>
      </c>
      <c r="M3637" s="6" t="s">
        <v>371</v>
      </c>
    </row>
    <row r="3638" spans="1:13">
      <c r="A3638" s="6">
        <v>2024</v>
      </c>
      <c r="B3638" s="6">
        <v>4</v>
      </c>
      <c r="C3638" s="6" t="s">
        <v>62</v>
      </c>
      <c r="D3638" s="6" t="s">
        <v>839</v>
      </c>
      <c r="E3638" s="6" t="s">
        <v>840</v>
      </c>
      <c r="F3638" s="6" t="str">
        <f>IF($M3638="PADD I","PADD 1",IF($M3638="PADD II","PADD 2",IF($M3638="PADD III","PADD 3",IF($M3638="PADD IV","PADD 4",IF($M3638="PADD V","PADD 5","")))))</f>
        <v>PADD 1</v>
      </c>
      <c r="G3638" s="6" t="str">
        <f>IF(AND($H3638="ATMOS DISTILLATION",ISNUMBER(SEARCH("VPS",$I3638))=FALSE,LEFT($I3638,6)&lt;&gt;"VACUUM"),"CDU",IF($H3638="FLUID CAT CRACKING","FCC",IF(OR($H3638="HYDROCRACKING",$H3638="RESID_HYDROCRACKING"),"Hydrocracker",IF($H3638="REFORMING","Reformer",""))))</f>
        <v>CDU</v>
      </c>
      <c r="H3638" s="6" t="s">
        <v>38</v>
      </c>
      <c r="I3638" s="6" t="s">
        <v>133</v>
      </c>
      <c r="J3638" s="6" t="s">
        <v>345</v>
      </c>
      <c r="K3638" s="10">
        <v>2.1</v>
      </c>
      <c r="L3638" s="10">
        <v>70</v>
      </c>
      <c r="M3638" s="6" t="s">
        <v>413</v>
      </c>
    </row>
    <row r="3639" spans="1:13">
      <c r="A3639" s="6">
        <v>2024</v>
      </c>
      <c r="B3639" s="6">
        <v>4</v>
      </c>
      <c r="C3639" s="6" t="s">
        <v>62</v>
      </c>
      <c r="D3639" s="6" t="s">
        <v>762</v>
      </c>
      <c r="E3639" s="6" t="s">
        <v>763</v>
      </c>
      <c r="F3639" s="6" t="str">
        <f>IF($M3639="PADD I","PADD 1",IF($M3639="PADD II","PADD 2",IF($M3639="PADD III","PADD 3",IF($M3639="PADD IV","PADD 4",IF($M3639="PADD V","PADD 5","")))))</f>
        <v>PADD 2</v>
      </c>
      <c r="G3639" s="6">
        <f>IF(AND($H3639="ATMOS DISTILLATION",ISNUMBER(SEARCH("VPS",$I3639))=FALSE,LEFT($I3639,6)&lt;&gt;"VACUUM"),"CDU",IF($H3639="FLUID CAT CRACKING","FCC",IF(OR($H3639="HYDROCRACKING",$H3639="RESID_HYDROCRACKING"),"Hydrocracker",IF($H3639="REFORMING","Reformer",""))))</f>
        <v/>
      </c>
      <c r="H3639" s="6" t="s">
        <v>378</v>
      </c>
      <c r="I3639" s="6" t="s">
        <v>964</v>
      </c>
      <c r="J3639" s="6" t="s">
        <v>349</v>
      </c>
      <c r="K3639" s="10">
        <v>2.04</v>
      </c>
      <c r="L3639" s="10">
        <v>12</v>
      </c>
      <c r="M3639" s="6" t="s">
        <v>375</v>
      </c>
    </row>
    <row r="3640" spans="1:13">
      <c r="A3640" s="6">
        <v>2024</v>
      </c>
      <c r="B3640" s="6">
        <v>4</v>
      </c>
      <c r="C3640" s="6" t="s">
        <v>62</v>
      </c>
      <c r="D3640" s="6" t="s">
        <v>630</v>
      </c>
      <c r="E3640" s="6" t="s">
        <v>491</v>
      </c>
      <c r="F3640" s="6" t="str">
        <f>IF($M3640="PADD I","PADD 1",IF($M3640="PADD II","PADD 2",IF($M3640="PADD III","PADD 3",IF($M3640="PADD IV","PADD 4",IF($M3640="PADD V","PADD 5","")))))</f>
        <v>PADD 3</v>
      </c>
      <c r="G3640" s="6">
        <f>IF(AND($H3640="ATMOS DISTILLATION",ISNUMBER(SEARCH("VPS",$I3640))=FALSE,LEFT($I3640,6)&lt;&gt;"VACUUM"),"CDU",IF($H3640="FLUID CAT CRACKING","FCC",IF(OR($H3640="HYDROCRACKING",$H3640="RESID_HYDROCRACKING"),"Hydrocracker",IF($H3640="REFORMING","Reformer",""))))</f>
        <v/>
      </c>
      <c r="H3640" s="6" t="s">
        <v>43</v>
      </c>
      <c r="I3640" s="6" t="s">
        <v>464</v>
      </c>
      <c r="J3640" s="6" t="s">
        <v>345</v>
      </c>
      <c r="K3640" s="10">
        <v>2.04</v>
      </c>
      <c r="L3640" s="10">
        <v>12</v>
      </c>
      <c r="M3640" s="6" t="s">
        <v>371</v>
      </c>
    </row>
    <row r="3641" spans="1:13">
      <c r="A3641" s="6">
        <v>2024</v>
      </c>
      <c r="B3641" s="6">
        <v>4</v>
      </c>
      <c r="C3641" s="6" t="s">
        <v>62</v>
      </c>
      <c r="D3641" s="6" t="s">
        <v>465</v>
      </c>
      <c r="E3641" s="6" t="s">
        <v>369</v>
      </c>
      <c r="F3641" s="6" t="str">
        <f>IF($M3641="PADD I","PADD 1",IF($M3641="PADD II","PADD 2",IF($M3641="PADD III","PADD 3",IF($M3641="PADD IV","PADD 4",IF($M3641="PADD V","PADD 5","")))))</f>
        <v>PADD 5</v>
      </c>
      <c r="G3641" s="6" t="str">
        <f>IF(AND($H3641="ATMOS DISTILLATION",ISNUMBER(SEARCH("VPS",$I3641))=FALSE,LEFT($I3641,6)&lt;&gt;"VACUUM"),"CDU",IF($H3641="FLUID CAT CRACKING","FCC",IF(OR($H3641="HYDROCRACKING",$H3641="RESID_HYDROCRACKING"),"Hydrocracker",IF($H3641="REFORMING","Reformer",""))))</f>
        <v>Reformer</v>
      </c>
      <c r="H3641" s="6" t="s">
        <v>421</v>
      </c>
      <c r="I3641" s="6" t="s">
        <v>673</v>
      </c>
      <c r="J3641" s="6" t="s">
        <v>349</v>
      </c>
      <c r="K3641" s="10">
        <v>2</v>
      </c>
      <c r="L3641" s="10">
        <v>20</v>
      </c>
      <c r="M3641" s="6" t="s">
        <v>386</v>
      </c>
    </row>
    <row r="3642" spans="1:13">
      <c r="A3642" s="6">
        <v>2024</v>
      </c>
      <c r="B3642" s="6">
        <v>4</v>
      </c>
      <c r="C3642" s="6" t="s">
        <v>62</v>
      </c>
      <c r="D3642" s="6" t="s">
        <v>739</v>
      </c>
      <c r="E3642" s="6" t="s">
        <v>405</v>
      </c>
      <c r="F3642" s="6" t="str">
        <f>IF($M3642="PADD I","PADD 1",IF($M3642="PADD II","PADD 2",IF($M3642="PADD III","PADD 3",IF($M3642="PADD IV","PADD 4",IF($M3642="PADD V","PADD 5","")))))</f>
        <v>PADD 2</v>
      </c>
      <c r="G3642" s="6">
        <f>IF(AND($H3642="ATMOS DISTILLATION",ISNUMBER(SEARCH("VPS",$I3642))=FALSE,LEFT($I3642,6)&lt;&gt;"VACUUM"),"CDU",IF($H3642="FLUID CAT CRACKING","FCC",IF(OR($H3642="HYDROCRACKING",$H3642="RESID_HYDROCRACKING"),"Hydrocracker",IF($H3642="REFORMING","Reformer",""))))</f>
        <v/>
      </c>
      <c r="H3642" s="6" t="s">
        <v>43</v>
      </c>
      <c r="I3642" s="6" t="s">
        <v>1196</v>
      </c>
      <c r="J3642" s="6" t="s">
        <v>345</v>
      </c>
      <c r="K3642" s="10">
        <v>2</v>
      </c>
      <c r="L3642" s="10">
        <v>20</v>
      </c>
      <c r="M3642" s="6" t="s">
        <v>375</v>
      </c>
    </row>
    <row r="3643" spans="1:13">
      <c r="A3643" s="6">
        <v>2024</v>
      </c>
      <c r="B3643" s="6">
        <v>4</v>
      </c>
      <c r="C3643" s="6" t="s">
        <v>62</v>
      </c>
      <c r="D3643" s="6" t="s">
        <v>762</v>
      </c>
      <c r="E3643" s="6" t="s">
        <v>763</v>
      </c>
      <c r="F3643" s="6" t="str">
        <f>IF($M3643="PADD I","PADD 1",IF($M3643="PADD II","PADD 2",IF($M3643="PADD III","PADD 3",IF($M3643="PADD IV","PADD 4",IF($M3643="PADD V","PADD 5","")))))</f>
        <v>PADD 2</v>
      </c>
      <c r="G3643" s="6">
        <f>IF(AND($H3643="ATMOS DISTILLATION",ISNUMBER(SEARCH("VPS",$I3643))=FALSE,LEFT($I3643,6)&lt;&gt;"VACUUM"),"CDU",IF($H3643="FLUID CAT CRACKING","FCC",IF(OR($H3643="HYDROCRACKING",$H3643="RESID_HYDROCRACKING"),"Hydrocracker",IF($H3643="REFORMING","Reformer",""))))</f>
        <v/>
      </c>
      <c r="H3643" s="6" t="s">
        <v>43</v>
      </c>
      <c r="I3643" s="6" t="s">
        <v>863</v>
      </c>
      <c r="J3643" s="6" t="s">
        <v>345</v>
      </c>
      <c r="K3643" s="10">
        <v>2</v>
      </c>
      <c r="L3643" s="10">
        <v>20</v>
      </c>
      <c r="M3643" s="6" t="s">
        <v>375</v>
      </c>
    </row>
    <row r="3644" spans="1:13">
      <c r="A3644" s="6">
        <v>2024</v>
      </c>
      <c r="B3644" s="6">
        <v>4</v>
      </c>
      <c r="C3644" s="6" t="s">
        <v>62</v>
      </c>
      <c r="D3644" s="6" t="s">
        <v>496</v>
      </c>
      <c r="E3644" s="6" t="s">
        <v>388</v>
      </c>
      <c r="F3644" s="6" t="str">
        <f>IF($M3644="PADD I","PADD 1",IF($M3644="PADD II","PADD 2",IF($M3644="PADD III","PADD 3",IF($M3644="PADD IV","PADD 4",IF($M3644="PADD V","PADD 5","")))))</f>
        <v>PADD 2</v>
      </c>
      <c r="G3644" s="6">
        <f>IF(AND($H3644="ATMOS DISTILLATION",ISNUMBER(SEARCH("VPS",$I3644))=FALSE,LEFT($I3644,6)&lt;&gt;"VACUUM"),"CDU",IF($H3644="FLUID CAT CRACKING","FCC",IF(OR($H3644="HYDROCRACKING",$H3644="RESID_HYDROCRACKING"),"Hydrocracker",IF($H3644="REFORMING","Reformer",""))))</f>
        <v/>
      </c>
      <c r="H3644" s="6" t="s">
        <v>43</v>
      </c>
      <c r="I3644" s="6" t="s">
        <v>955</v>
      </c>
      <c r="J3644" s="6" t="s">
        <v>349</v>
      </c>
      <c r="K3644" s="10">
        <v>1.98</v>
      </c>
      <c r="L3644" s="10">
        <v>6</v>
      </c>
      <c r="M3644" s="6" t="s">
        <v>375</v>
      </c>
    </row>
    <row r="3645" spans="1:13">
      <c r="A3645" s="6">
        <v>2024</v>
      </c>
      <c r="B3645" s="6">
        <v>4</v>
      </c>
      <c r="C3645" s="6" t="s">
        <v>62</v>
      </c>
      <c r="D3645" s="6" t="s">
        <v>1038</v>
      </c>
      <c r="E3645" s="6" t="s">
        <v>1039</v>
      </c>
      <c r="F3645" s="6" t="str">
        <f>IF($M3645="PADD I","PADD 1",IF($M3645="PADD II","PADD 2",IF($M3645="PADD III","PADD 3",IF($M3645="PADD IV","PADD 4",IF($M3645="PADD V","PADD 5","")))))</f>
        <v>PADD 2</v>
      </c>
      <c r="G3645" s="6">
        <f>IF(AND($H3645="ATMOS DISTILLATION",ISNUMBER(SEARCH("VPS",$I3645))=FALSE,LEFT($I3645,6)&lt;&gt;"VACUUM"),"CDU",IF($H3645="FLUID CAT CRACKING","FCC",IF(OR($H3645="HYDROCRACKING",$H3645="RESID_HYDROCRACKING"),"Hydrocracker",IF($H3645="REFORMING","Reformer",""))))</f>
        <v/>
      </c>
      <c r="H3645" s="6" t="s">
        <v>43</v>
      </c>
      <c r="I3645" s="6" t="s">
        <v>1197</v>
      </c>
      <c r="J3645" s="6" t="s">
        <v>345</v>
      </c>
      <c r="K3645" s="10">
        <v>1.935</v>
      </c>
      <c r="L3645" s="10">
        <v>4.5</v>
      </c>
      <c r="M3645" s="6" t="s">
        <v>375</v>
      </c>
    </row>
    <row r="3646" spans="1:13">
      <c r="A3646" s="6">
        <v>2024</v>
      </c>
      <c r="B3646" s="6">
        <v>4</v>
      </c>
      <c r="C3646" s="6" t="s">
        <v>62</v>
      </c>
      <c r="D3646" s="6" t="s">
        <v>465</v>
      </c>
      <c r="E3646" s="6" t="s">
        <v>369</v>
      </c>
      <c r="F3646" s="6" t="str">
        <f>IF($M3646="PADD I","PADD 1",IF($M3646="PADD II","PADD 2",IF($M3646="PADD III","PADD 3",IF($M3646="PADD IV","PADD 4",IF($M3646="PADD V","PADD 5","")))))</f>
        <v>PADD 5</v>
      </c>
      <c r="G3646" s="6" t="str">
        <f>IF(AND($H3646="ATMOS DISTILLATION",ISNUMBER(SEARCH("VPS",$I3646))=FALSE,LEFT($I3646,6)&lt;&gt;"VACUUM"),"CDU",IF($H3646="FLUID CAT CRACKING","FCC",IF(OR($H3646="HYDROCRACKING",$H3646="RESID_HYDROCRACKING"),"Hydrocracker",IF($H3646="REFORMING","Reformer",""))))</f>
        <v>Hydrocracker</v>
      </c>
      <c r="H3646" s="6" t="s">
        <v>444</v>
      </c>
      <c r="I3646" s="6" t="s">
        <v>668</v>
      </c>
      <c r="J3646" s="6" t="s">
        <v>349</v>
      </c>
      <c r="K3646" s="10">
        <v>1.925</v>
      </c>
      <c r="L3646" s="10">
        <v>27.5</v>
      </c>
      <c r="M3646" s="6" t="s">
        <v>386</v>
      </c>
    </row>
    <row r="3647" spans="1:13">
      <c r="A3647" s="6">
        <v>2024</v>
      </c>
      <c r="B3647" s="6">
        <v>4</v>
      </c>
      <c r="C3647" s="6" t="s">
        <v>62</v>
      </c>
      <c r="D3647" s="6" t="s">
        <v>1065</v>
      </c>
      <c r="E3647" s="6" t="s">
        <v>416</v>
      </c>
      <c r="F3647" s="6" t="str">
        <f>IF($M3647="PADD I","PADD 1",IF($M3647="PADD II","PADD 2",IF($M3647="PADD III","PADD 3",IF($M3647="PADD IV","PADD 4",IF($M3647="PADD V","PADD 5","")))))</f>
        <v>PADD 2</v>
      </c>
      <c r="G3647" s="6">
        <f>IF(AND($H3647="ATMOS DISTILLATION",ISNUMBER(SEARCH("VPS",$I3647))=FALSE,LEFT($I3647,6)&lt;&gt;"VACUUM"),"CDU",IF($H3647="FLUID CAT CRACKING","FCC",IF(OR($H3647="HYDROCRACKING",$H3647="RESID_HYDROCRACKING"),"Hydrocracker",IF($H3647="REFORMING","Reformer",""))))</f>
        <v/>
      </c>
      <c r="H3647" s="6" t="s">
        <v>460</v>
      </c>
      <c r="I3647" s="6" t="s">
        <v>1066</v>
      </c>
      <c r="J3647" s="6" t="s">
        <v>345</v>
      </c>
      <c r="K3647" s="10">
        <v>1.89</v>
      </c>
      <c r="L3647" s="10">
        <v>18.9</v>
      </c>
      <c r="M3647" s="6" t="s">
        <v>375</v>
      </c>
    </row>
    <row r="3648" spans="1:13">
      <c r="A3648" s="6">
        <v>2024</v>
      </c>
      <c r="B3648" s="6">
        <v>4</v>
      </c>
      <c r="C3648" s="6" t="s">
        <v>62</v>
      </c>
      <c r="D3648" s="6" t="s">
        <v>602</v>
      </c>
      <c r="E3648" s="6" t="s">
        <v>369</v>
      </c>
      <c r="F3648" s="6" t="str">
        <f>IF($M3648="PADD I","PADD 1",IF($M3648="PADD II","PADD 2",IF($M3648="PADD III","PADD 3",IF($M3648="PADD IV","PADD 4",IF($M3648="PADD V","PADD 5","")))))</f>
        <v>PADD 2</v>
      </c>
      <c r="G3648" s="6" t="str">
        <f>IF(AND($H3648="ATMOS DISTILLATION",ISNUMBER(SEARCH("VPS",$I3648))=FALSE,LEFT($I3648,6)&lt;&gt;"VACUUM"),"CDU",IF($H3648="FLUID CAT CRACKING","FCC",IF(OR($H3648="HYDROCRACKING",$H3648="RESID_HYDROCRACKING"),"Hydrocracker",IF($H3648="REFORMING","Reformer",""))))</f>
        <v>Reformer</v>
      </c>
      <c r="H3648" s="6" t="s">
        <v>421</v>
      </c>
      <c r="I3648" s="6" t="s">
        <v>1123</v>
      </c>
      <c r="J3648" s="6" t="s">
        <v>345</v>
      </c>
      <c r="K3648" s="10">
        <v>1.89</v>
      </c>
      <c r="L3648" s="10">
        <v>27</v>
      </c>
      <c r="M3648" s="6" t="s">
        <v>375</v>
      </c>
    </row>
    <row r="3649" spans="1:13">
      <c r="A3649" s="6">
        <v>2024</v>
      </c>
      <c r="B3649" s="6">
        <v>4</v>
      </c>
      <c r="C3649" s="6" t="s">
        <v>62</v>
      </c>
      <c r="D3649" s="6" t="s">
        <v>639</v>
      </c>
      <c r="E3649" s="6" t="s">
        <v>452</v>
      </c>
      <c r="F3649" s="6" t="str">
        <f>IF($M3649="PADD I","PADD 1",IF($M3649="PADD II","PADD 2",IF($M3649="PADD III","PADD 3",IF($M3649="PADD IV","PADD 4",IF($M3649="PADD V","PADD 5","")))))</f>
        <v>PADD 5</v>
      </c>
      <c r="G3649" s="6">
        <f>IF(AND($H3649="ATMOS DISTILLATION",ISNUMBER(SEARCH("VPS",$I3649))=FALSE,LEFT($I3649,6)&lt;&gt;"VACUUM"),"CDU",IF($H3649="FLUID CAT CRACKING","FCC",IF(OR($H3649="HYDROCRACKING",$H3649="RESID_HYDROCRACKING"),"Hydrocracker",IF($H3649="REFORMING","Reformer",""))))</f>
        <v/>
      </c>
      <c r="H3649" s="6" t="s">
        <v>460</v>
      </c>
      <c r="I3649" s="6" t="s">
        <v>505</v>
      </c>
      <c r="J3649" s="6" t="s">
        <v>349</v>
      </c>
      <c r="K3649" s="10">
        <v>1.88</v>
      </c>
      <c r="L3649" s="10">
        <v>4</v>
      </c>
      <c r="M3649" s="6" t="s">
        <v>386</v>
      </c>
    </row>
    <row r="3650" spans="1:13">
      <c r="A3650" s="6">
        <v>2024</v>
      </c>
      <c r="B3650" s="6">
        <v>4</v>
      </c>
      <c r="C3650" s="6" t="s">
        <v>62</v>
      </c>
      <c r="D3650" s="6" t="s">
        <v>48</v>
      </c>
      <c r="E3650" s="6" t="s">
        <v>388</v>
      </c>
      <c r="F3650" s="6" t="str">
        <f>IF($M3650="PADD I","PADD 1",IF($M3650="PADD II","PADD 2",IF($M3650="PADD III","PADD 3",IF($M3650="PADD IV","PADD 4",IF($M3650="PADD V","PADD 5","")))))</f>
        <v>PADD 2</v>
      </c>
      <c r="G3650" s="6">
        <f>IF(AND($H3650="ATMOS DISTILLATION",ISNUMBER(SEARCH("VPS",$I3650))=FALSE,LEFT($I3650,6)&lt;&gt;"VACUUM"),"CDU",IF($H3650="FLUID CAT CRACKING","FCC",IF(OR($H3650="HYDROCRACKING",$H3650="RESID_HYDROCRACKING"),"Hydrocracker",IF($H3650="REFORMING","Reformer",""))))</f>
        <v/>
      </c>
      <c r="H3650" s="6" t="s">
        <v>435</v>
      </c>
      <c r="I3650" s="6" t="s">
        <v>754</v>
      </c>
      <c r="J3650" s="6" t="s">
        <v>345</v>
      </c>
      <c r="K3650" s="10">
        <v>1.85</v>
      </c>
      <c r="L3650" s="10">
        <v>18.5</v>
      </c>
      <c r="M3650" s="6" t="s">
        <v>375</v>
      </c>
    </row>
    <row r="3651" spans="1:13">
      <c r="A3651" s="6">
        <v>2024</v>
      </c>
      <c r="B3651" s="6">
        <v>4</v>
      </c>
      <c r="C3651" s="6" t="s">
        <v>62</v>
      </c>
      <c r="D3651" s="6" t="s">
        <v>54</v>
      </c>
      <c r="E3651" s="6" t="s">
        <v>856</v>
      </c>
      <c r="F3651" s="6" t="str">
        <f>IF($M3651="PADD I","PADD 1",IF($M3651="PADD II","PADD 2",IF($M3651="PADD III","PADD 3",IF($M3651="PADD IV","PADD 4",IF($M3651="PADD V","PADD 5","")))))</f>
        <v>PADD 5</v>
      </c>
      <c r="G3651" s="6" t="str">
        <f>IF(AND($H3651="ATMOS DISTILLATION",ISNUMBER(SEARCH("VPS",$I3651))=FALSE,LEFT($I3651,6)&lt;&gt;"VACUUM"),"CDU",IF($H3651="FLUID CAT CRACKING","FCC",IF(OR($H3651="HYDROCRACKING",$H3651="RESID_HYDROCRACKING"),"Hydrocracker",IF($H3651="REFORMING","Reformer",""))))</f>
        <v>CDU</v>
      </c>
      <c r="H3651" s="6" t="s">
        <v>38</v>
      </c>
      <c r="I3651" s="6" t="s">
        <v>857</v>
      </c>
      <c r="J3651" s="6" t="s">
        <v>349</v>
      </c>
      <c r="K3651" s="10">
        <v>1.8</v>
      </c>
      <c r="L3651" s="10">
        <v>60</v>
      </c>
      <c r="M3651" s="6" t="s">
        <v>386</v>
      </c>
    </row>
    <row r="3652" spans="1:13">
      <c r="A3652" s="6">
        <v>2024</v>
      </c>
      <c r="B3652" s="6">
        <v>4</v>
      </c>
      <c r="C3652" s="6" t="s">
        <v>62</v>
      </c>
      <c r="D3652" s="6" t="s">
        <v>484</v>
      </c>
      <c r="E3652" s="6" t="s">
        <v>409</v>
      </c>
      <c r="F3652" s="6" t="str">
        <f>IF($M3652="PADD I","PADD 1",IF($M3652="PADD II","PADD 2",IF($M3652="PADD III","PADD 3",IF($M3652="PADD IV","PADD 4",IF($M3652="PADD V","PADD 5","")))))</f>
        <v>PADD 3</v>
      </c>
      <c r="G3652" s="6">
        <f>IF(AND($H3652="ATMOS DISTILLATION",ISNUMBER(SEARCH("VPS",$I3652))=FALSE,LEFT($I3652,6)&lt;&gt;"VACUUM"),"CDU",IF($H3652="FLUID CAT CRACKING","FCC",IF(OR($H3652="HYDROCRACKING",$H3652="RESID_HYDROCRACKING"),"Hydrocracker",IF($H3652="REFORMING","Reformer",""))))</f>
        <v/>
      </c>
      <c r="H3652" s="6" t="s">
        <v>43</v>
      </c>
      <c r="I3652" s="6" t="s">
        <v>493</v>
      </c>
      <c r="J3652" s="6" t="s">
        <v>345</v>
      </c>
      <c r="K3652" s="10">
        <v>1.7</v>
      </c>
      <c r="L3652" s="10">
        <v>10</v>
      </c>
      <c r="M3652" s="6" t="s">
        <v>371</v>
      </c>
    </row>
    <row r="3653" spans="1:13">
      <c r="A3653" s="6">
        <v>2024</v>
      </c>
      <c r="B3653" s="6">
        <v>4</v>
      </c>
      <c r="C3653" s="6" t="s">
        <v>62</v>
      </c>
      <c r="D3653" s="6" t="s">
        <v>48</v>
      </c>
      <c r="E3653" s="6" t="s">
        <v>388</v>
      </c>
      <c r="F3653" s="6" t="str">
        <f>IF($M3653="PADD I","PADD 1",IF($M3653="PADD II","PADD 2",IF($M3653="PADD III","PADD 3",IF($M3653="PADD IV","PADD 4",IF($M3653="PADD V","PADD 5","")))))</f>
        <v>PADD 2</v>
      </c>
      <c r="G3653" s="6">
        <f>IF(AND($H3653="ATMOS DISTILLATION",ISNUMBER(SEARCH("VPS",$I3653))=FALSE,LEFT($I3653,6)&lt;&gt;"VACUUM"),"CDU",IF($H3653="FLUID CAT CRACKING","FCC",IF(OR($H3653="HYDROCRACKING",$H3653="RESID_HYDROCRACKING"),"Hydrocracker",IF($H3653="REFORMING","Reformer",""))))</f>
        <v/>
      </c>
      <c r="H3653" s="6" t="s">
        <v>568</v>
      </c>
      <c r="I3653" s="6" t="s">
        <v>1150</v>
      </c>
      <c r="J3653" s="6" t="s">
        <v>349</v>
      </c>
      <c r="K3653" s="10">
        <v>1.69</v>
      </c>
      <c r="L3653" s="10">
        <v>13</v>
      </c>
      <c r="M3653" s="6" t="s">
        <v>375</v>
      </c>
    </row>
    <row r="3654" spans="1:13">
      <c r="A3654" s="6">
        <v>2024</v>
      </c>
      <c r="B3654" s="6">
        <v>4</v>
      </c>
      <c r="C3654" s="6" t="s">
        <v>62</v>
      </c>
      <c r="D3654" s="6" t="s">
        <v>48</v>
      </c>
      <c r="E3654" s="6" t="s">
        <v>388</v>
      </c>
      <c r="F3654" s="6" t="str">
        <f>IF($M3654="PADD I","PADD 1",IF($M3654="PADD II","PADD 2",IF($M3654="PADD III","PADD 3",IF($M3654="PADD IV","PADD 4",IF($M3654="PADD V","PADD 5","")))))</f>
        <v>PADD 2</v>
      </c>
      <c r="G3654" s="6">
        <f>IF(AND($H3654="ATMOS DISTILLATION",ISNUMBER(SEARCH("VPS",$I3654))=FALSE,LEFT($I3654,6)&lt;&gt;"VACUUM"),"CDU",IF($H3654="FLUID CAT CRACKING","FCC",IF(OR($H3654="HYDROCRACKING",$H3654="RESID_HYDROCRACKING"),"Hydrocracker",IF($H3654="REFORMING","Reformer",""))))</f>
        <v/>
      </c>
      <c r="H3654" s="6" t="s">
        <v>637</v>
      </c>
      <c r="I3654" s="6" t="s">
        <v>604</v>
      </c>
      <c r="J3654" s="6" t="s">
        <v>345</v>
      </c>
      <c r="K3654" s="10">
        <v>1.6</v>
      </c>
      <c r="L3654" s="10">
        <v>16</v>
      </c>
      <c r="M3654" s="6" t="s">
        <v>375</v>
      </c>
    </row>
    <row r="3655" spans="1:13">
      <c r="A3655" s="6">
        <v>2024</v>
      </c>
      <c r="B3655" s="6">
        <v>4</v>
      </c>
      <c r="C3655" s="6" t="s">
        <v>62</v>
      </c>
      <c r="D3655" s="6" t="s">
        <v>1060</v>
      </c>
      <c r="E3655" s="6" t="s">
        <v>1039</v>
      </c>
      <c r="F3655" s="6" t="str">
        <f>IF($M3655="PADD I","PADD 1",IF($M3655="PADD II","PADD 2",IF($M3655="PADD III","PADD 3",IF($M3655="PADD IV","PADD 4",IF($M3655="PADD V","PADD 5","")))))</f>
        <v>PADD 2</v>
      </c>
      <c r="G3655" s="6">
        <f>IF(AND($H3655="ATMOS DISTILLATION",ISNUMBER(SEARCH("VPS",$I3655))=FALSE,LEFT($I3655,6)&lt;&gt;"VACUUM"),"CDU",IF($H3655="FLUID CAT CRACKING","FCC",IF(OR($H3655="HYDROCRACKING",$H3655="RESID_HYDROCRACKING"),"Hydrocracker",IF($H3655="REFORMING","Reformer",""))))</f>
        <v/>
      </c>
      <c r="H3655" s="6" t="s">
        <v>43</v>
      </c>
      <c r="I3655" s="6" t="s">
        <v>1198</v>
      </c>
      <c r="J3655" s="6" t="s">
        <v>345</v>
      </c>
      <c r="K3655" s="10">
        <v>1.59</v>
      </c>
      <c r="L3655" s="10">
        <v>3</v>
      </c>
      <c r="M3655" s="6" t="s">
        <v>375</v>
      </c>
    </row>
    <row r="3656" spans="1:13">
      <c r="A3656" s="6">
        <v>2024</v>
      </c>
      <c r="B3656" s="6">
        <v>4</v>
      </c>
      <c r="C3656" s="6" t="s">
        <v>62</v>
      </c>
      <c r="D3656" s="6" t="s">
        <v>547</v>
      </c>
      <c r="E3656" s="6" t="s">
        <v>391</v>
      </c>
      <c r="F3656" s="6" t="str">
        <f>IF($M3656="PADD I","PADD 1",IF($M3656="PADD II","PADD 2",IF($M3656="PADD III","PADD 3",IF($M3656="PADD IV","PADD 4",IF($M3656="PADD V","PADD 5","")))))</f>
        <v>PADD 5</v>
      </c>
      <c r="G3656" s="6" t="str">
        <f>IF(AND($H3656="ATMOS DISTILLATION",ISNUMBER(SEARCH("VPS",$I3656))=FALSE,LEFT($I3656,6)&lt;&gt;"VACUUM"),"CDU",IF($H3656="FLUID CAT CRACKING","FCC",IF(OR($H3656="HYDROCRACKING",$H3656="RESID_HYDROCRACKING"),"Hydrocracker",IF($H3656="REFORMING","Reformer",""))))</f>
        <v>Reformer</v>
      </c>
      <c r="H3656" s="6" t="s">
        <v>421</v>
      </c>
      <c r="I3656" s="6" t="s">
        <v>936</v>
      </c>
      <c r="J3656" s="6" t="s">
        <v>345</v>
      </c>
      <c r="K3656" s="10">
        <v>1.512</v>
      </c>
      <c r="L3656" s="10">
        <v>5.6</v>
      </c>
      <c r="M3656" s="6" t="s">
        <v>386</v>
      </c>
    </row>
    <row r="3657" spans="1:13">
      <c r="A3657" s="6">
        <v>2024</v>
      </c>
      <c r="B3657" s="6">
        <v>4</v>
      </c>
      <c r="C3657" s="6" t="s">
        <v>62</v>
      </c>
      <c r="D3657" s="6" t="s">
        <v>815</v>
      </c>
      <c r="E3657" s="6" t="s">
        <v>452</v>
      </c>
      <c r="F3657" s="6" t="str">
        <f>IF($M3657="PADD I","PADD 1",IF($M3657="PADD II","PADD 2",IF($M3657="PADD III","PADD 3",IF($M3657="PADD IV","PADD 4",IF($M3657="PADD V","PADD 5","")))))</f>
        <v>PADD 4</v>
      </c>
      <c r="G3657" s="6" t="str">
        <f>IF(AND($H3657="ATMOS DISTILLATION",ISNUMBER(SEARCH("VPS",$I3657))=FALSE,LEFT($I3657,6)&lt;&gt;"VACUUM"),"CDU",IF($H3657="FLUID CAT CRACKING","FCC",IF(OR($H3657="HYDROCRACKING",$H3657="RESID_HYDROCRACKING"),"Hydrocracker",IF($H3657="REFORMING","Reformer",""))))</f>
        <v>Hydrocracker</v>
      </c>
      <c r="H3657" s="6" t="s">
        <v>444</v>
      </c>
      <c r="I3657" s="6" t="s">
        <v>842</v>
      </c>
      <c r="J3657" s="6" t="s">
        <v>349</v>
      </c>
      <c r="K3657" s="10">
        <v>1.5</v>
      </c>
      <c r="L3657" s="10">
        <v>7.5</v>
      </c>
      <c r="M3657" s="6" t="s">
        <v>430</v>
      </c>
    </row>
    <row r="3658" spans="1:13">
      <c r="A3658" s="6">
        <v>2024</v>
      </c>
      <c r="B3658" s="6">
        <v>4</v>
      </c>
      <c r="C3658" s="6" t="s">
        <v>62</v>
      </c>
      <c r="D3658" s="6" t="s">
        <v>748</v>
      </c>
      <c r="E3658" s="6" t="s">
        <v>388</v>
      </c>
      <c r="F3658" s="6" t="str">
        <f>IF($M3658="PADD I","PADD 1",IF($M3658="PADD II","PADD 2",IF($M3658="PADD III","PADD 3",IF($M3658="PADD IV","PADD 4",IF($M3658="PADD V","PADD 5","")))))</f>
        <v>PADD 3</v>
      </c>
      <c r="G3658" s="6" t="str">
        <f>IF(AND($H3658="ATMOS DISTILLATION",ISNUMBER(SEARCH("VPS",$I3658))=FALSE,LEFT($I3658,6)&lt;&gt;"VACUUM"),"CDU",IF($H3658="FLUID CAT CRACKING","FCC",IF(OR($H3658="HYDROCRACKING",$H3658="RESID_HYDROCRACKING"),"Hydrocracker",IF($H3658="REFORMING","Reformer",""))))</f>
        <v>Reformer</v>
      </c>
      <c r="H3658" s="6" t="s">
        <v>421</v>
      </c>
      <c r="I3658" s="6" t="s">
        <v>764</v>
      </c>
      <c r="J3658" s="6" t="s">
        <v>349</v>
      </c>
      <c r="K3658" s="10">
        <v>1.5</v>
      </c>
      <c r="L3658" s="10">
        <v>15</v>
      </c>
      <c r="M3658" s="6" t="s">
        <v>371</v>
      </c>
    </row>
    <row r="3659" spans="1:13">
      <c r="A3659" s="6">
        <v>2024</v>
      </c>
      <c r="B3659" s="6">
        <v>4</v>
      </c>
      <c r="C3659" s="6" t="s">
        <v>62</v>
      </c>
      <c r="D3659" s="6" t="s">
        <v>762</v>
      </c>
      <c r="E3659" s="6" t="s">
        <v>763</v>
      </c>
      <c r="F3659" s="6" t="str">
        <f>IF($M3659="PADD I","PADD 1",IF($M3659="PADD II","PADD 2",IF($M3659="PADD III","PADD 3",IF($M3659="PADD IV","PADD 4",IF($M3659="PADD V","PADD 5","")))))</f>
        <v>PADD 2</v>
      </c>
      <c r="G3659" s="6" t="str">
        <f>IF(AND($H3659="ATMOS DISTILLATION",ISNUMBER(SEARCH("VPS",$I3659))=FALSE,LEFT($I3659,6)&lt;&gt;"VACUUM"),"CDU",IF($H3659="FLUID CAT CRACKING","FCC",IF(OR($H3659="HYDROCRACKING",$H3659="RESID_HYDROCRACKING"),"Hydrocracker",IF($H3659="REFORMING","Reformer",""))))</f>
        <v>Reformer</v>
      </c>
      <c r="H3659" s="6" t="s">
        <v>421</v>
      </c>
      <c r="I3659" s="6" t="s">
        <v>782</v>
      </c>
      <c r="J3659" s="6" t="s">
        <v>345</v>
      </c>
      <c r="K3659" s="10">
        <v>1.5</v>
      </c>
      <c r="L3659" s="10">
        <v>15</v>
      </c>
      <c r="M3659" s="6" t="s">
        <v>375</v>
      </c>
    </row>
    <row r="3660" spans="1:13">
      <c r="A3660" s="6">
        <v>2024</v>
      </c>
      <c r="B3660" s="6">
        <v>4</v>
      </c>
      <c r="C3660" s="6" t="s">
        <v>62</v>
      </c>
      <c r="D3660" s="6" t="s">
        <v>762</v>
      </c>
      <c r="E3660" s="6" t="s">
        <v>763</v>
      </c>
      <c r="F3660" s="6" t="str">
        <f>IF($M3660="PADD I","PADD 1",IF($M3660="PADD II","PADD 2",IF($M3660="PADD III","PADD 3",IF($M3660="PADD IV","PADD 4",IF($M3660="PADD V","PADD 5","")))))</f>
        <v>PADD 2</v>
      </c>
      <c r="G3660" s="6">
        <f>IF(AND($H3660="ATMOS DISTILLATION",ISNUMBER(SEARCH("VPS",$I3660))=FALSE,LEFT($I3660,6)&lt;&gt;"VACUUM"),"CDU",IF($H3660="FLUID CAT CRACKING","FCC",IF(OR($H3660="HYDROCRACKING",$H3660="RESID_HYDROCRACKING"),"Hydrocracker",IF($H3660="REFORMING","Reformer",""))))</f>
        <v/>
      </c>
      <c r="H3660" s="6" t="s">
        <v>378</v>
      </c>
      <c r="I3660" s="6" t="s">
        <v>812</v>
      </c>
      <c r="J3660" s="6" t="s">
        <v>345</v>
      </c>
      <c r="K3660" s="10">
        <v>1.5</v>
      </c>
      <c r="L3660" s="10">
        <v>15</v>
      </c>
      <c r="M3660" s="6" t="s">
        <v>375</v>
      </c>
    </row>
    <row r="3661" spans="1:13">
      <c r="A3661" s="6">
        <v>2024</v>
      </c>
      <c r="B3661" s="6">
        <v>4</v>
      </c>
      <c r="C3661" s="6" t="s">
        <v>62</v>
      </c>
      <c r="D3661" s="6" t="s">
        <v>839</v>
      </c>
      <c r="E3661" s="6" t="s">
        <v>840</v>
      </c>
      <c r="F3661" s="6" t="str">
        <f>IF($M3661="PADD I","PADD 1",IF($M3661="PADD II","PADD 2",IF($M3661="PADD III","PADD 3",IF($M3661="PADD IV","PADD 4",IF($M3661="PADD V","PADD 5","")))))</f>
        <v>PADD 1</v>
      </c>
      <c r="G3661" s="6" t="str">
        <f>IF(AND($H3661="ATMOS DISTILLATION",ISNUMBER(SEARCH("VPS",$I3661))=FALSE,LEFT($I3661,6)&lt;&gt;"VACUUM"),"CDU",IF($H3661="FLUID CAT CRACKING","FCC",IF(OR($H3661="HYDROCRACKING",$H3661="RESID_HYDROCRACKING"),"Hydrocracker",IF($H3661="REFORMING","Reformer",""))))</f>
        <v>FCC</v>
      </c>
      <c r="H3661" s="6" t="s">
        <v>376</v>
      </c>
      <c r="I3661" s="6" t="s">
        <v>105</v>
      </c>
      <c r="J3661" s="6" t="s">
        <v>349</v>
      </c>
      <c r="K3661" s="10">
        <v>1.47</v>
      </c>
      <c r="L3661" s="10">
        <v>21</v>
      </c>
      <c r="M3661" s="6" t="s">
        <v>413</v>
      </c>
    </row>
    <row r="3662" spans="1:13">
      <c r="A3662" s="6">
        <v>2024</v>
      </c>
      <c r="B3662" s="6">
        <v>4</v>
      </c>
      <c r="C3662" s="6" t="s">
        <v>62</v>
      </c>
      <c r="D3662" s="6" t="s">
        <v>547</v>
      </c>
      <c r="E3662" s="6" t="s">
        <v>391</v>
      </c>
      <c r="F3662" s="6" t="str">
        <f>IF($M3662="PADD I","PADD 1",IF($M3662="PADD II","PADD 2",IF($M3662="PADD III","PADD 3",IF($M3662="PADD IV","PADD 4",IF($M3662="PADD V","PADD 5","")))))</f>
        <v>PADD 5</v>
      </c>
      <c r="G3662" s="6">
        <f>IF(AND($H3662="ATMOS DISTILLATION",ISNUMBER(SEARCH("VPS",$I3662))=FALSE,LEFT($I3662,6)&lt;&gt;"VACUUM"),"CDU",IF($H3662="FLUID CAT CRACKING","FCC",IF(OR($H3662="HYDROCRACKING",$H3662="RESID_HYDROCRACKING"),"Hydrocracker",IF($H3662="REFORMING","Reformer",""))))</f>
        <v/>
      </c>
      <c r="H3662" s="6" t="s">
        <v>43</v>
      </c>
      <c r="I3662" s="6" t="s">
        <v>904</v>
      </c>
      <c r="J3662" s="6" t="s">
        <v>345</v>
      </c>
      <c r="K3662" s="10">
        <v>1.458</v>
      </c>
      <c r="L3662" s="10">
        <v>5.4</v>
      </c>
      <c r="M3662" s="6" t="s">
        <v>386</v>
      </c>
    </row>
    <row r="3663" spans="1:13">
      <c r="A3663" s="6">
        <v>2024</v>
      </c>
      <c r="B3663" s="6">
        <v>4</v>
      </c>
      <c r="C3663" s="6" t="s">
        <v>62</v>
      </c>
      <c r="D3663" s="6" t="s">
        <v>839</v>
      </c>
      <c r="E3663" s="6" t="s">
        <v>840</v>
      </c>
      <c r="F3663" s="6" t="str">
        <f>IF($M3663="PADD I","PADD 1",IF($M3663="PADD II","PADD 2",IF($M3663="PADD III","PADD 3",IF($M3663="PADD IV","PADD 4",IF($M3663="PADD V","PADD 5","")))))</f>
        <v>PADD 1</v>
      </c>
      <c r="G3663" s="6">
        <f>IF(AND($H3663="ATMOS DISTILLATION",ISNUMBER(SEARCH("VPS",$I3663))=FALSE,LEFT($I3663,6)&lt;&gt;"VACUUM"),"CDU",IF($H3663="FLUID CAT CRACKING","FCC",IF(OR($H3663="HYDROCRACKING",$H3663="RESID_HYDROCRACKING"),"Hydrocracker",IF($H3663="REFORMING","Reformer",""))))</f>
        <v/>
      </c>
      <c r="H3663" s="6" t="s">
        <v>378</v>
      </c>
      <c r="I3663" s="6" t="s">
        <v>431</v>
      </c>
      <c r="J3663" s="6" t="s">
        <v>349</v>
      </c>
      <c r="K3663" s="10">
        <v>1.4</v>
      </c>
      <c r="L3663" s="10">
        <v>20</v>
      </c>
      <c r="M3663" s="6" t="s">
        <v>413</v>
      </c>
    </row>
    <row r="3664" spans="1:13">
      <c r="A3664" s="6">
        <v>2024</v>
      </c>
      <c r="B3664" s="6">
        <v>4</v>
      </c>
      <c r="C3664" s="6" t="s">
        <v>62</v>
      </c>
      <c r="D3664" s="6" t="s">
        <v>739</v>
      </c>
      <c r="E3664" s="6" t="s">
        <v>405</v>
      </c>
      <c r="F3664" s="6" t="str">
        <f>IF($M3664="PADD I","PADD 1",IF($M3664="PADD II","PADD 2",IF($M3664="PADD III","PADD 3",IF($M3664="PADD IV","PADD 4",IF($M3664="PADD V","PADD 5","")))))</f>
        <v>PADD 2</v>
      </c>
      <c r="G3664" s="6" t="str">
        <f>IF(AND($H3664="ATMOS DISTILLATION",ISNUMBER(SEARCH("VPS",$I3664))=FALSE,LEFT($I3664,6)&lt;&gt;"VACUUM"),"CDU",IF($H3664="FLUID CAT CRACKING","FCC",IF(OR($H3664="HYDROCRACKING",$H3664="RESID_HYDROCRACKING"),"Hydrocracker",IF($H3664="REFORMING","Reformer",""))))</f>
        <v>Hydrocracker</v>
      </c>
      <c r="H3664" s="6" t="s">
        <v>444</v>
      </c>
      <c r="I3664" s="6" t="s">
        <v>795</v>
      </c>
      <c r="J3664" s="6" t="s">
        <v>345</v>
      </c>
      <c r="K3664" s="10">
        <v>1.4</v>
      </c>
      <c r="L3664" s="10">
        <v>14</v>
      </c>
      <c r="M3664" s="6" t="s">
        <v>375</v>
      </c>
    </row>
    <row r="3665" spans="1:13">
      <c r="A3665" s="6">
        <v>2024</v>
      </c>
      <c r="B3665" s="6">
        <v>4</v>
      </c>
      <c r="C3665" s="6" t="s">
        <v>62</v>
      </c>
      <c r="D3665" s="6" t="s">
        <v>762</v>
      </c>
      <c r="E3665" s="6" t="s">
        <v>763</v>
      </c>
      <c r="F3665" s="6" t="str">
        <f>IF($M3665="PADD I","PADD 1",IF($M3665="PADD II","PADD 2",IF($M3665="PADD III","PADD 3",IF($M3665="PADD IV","PADD 4",IF($M3665="PADD V","PADD 5","")))))</f>
        <v>PADD 2</v>
      </c>
      <c r="G3665" s="6">
        <f>IF(AND($H3665="ATMOS DISTILLATION",ISNUMBER(SEARCH("VPS",$I3665))=FALSE,LEFT($I3665,6)&lt;&gt;"VACUUM"),"CDU",IF($H3665="FLUID CAT CRACKING","FCC",IF(OR($H3665="HYDROCRACKING",$H3665="RESID_HYDROCRACKING"),"Hydrocracker",IF($H3665="REFORMING","Reformer",""))))</f>
        <v/>
      </c>
      <c r="H3665" s="6" t="s">
        <v>43</v>
      </c>
      <c r="I3665" s="6" t="s">
        <v>1055</v>
      </c>
      <c r="J3665" s="6" t="s">
        <v>345</v>
      </c>
      <c r="K3665" s="10">
        <v>1.3</v>
      </c>
      <c r="L3665" s="10">
        <v>13</v>
      </c>
      <c r="M3665" s="6" t="s">
        <v>375</v>
      </c>
    </row>
    <row r="3666" spans="1:13">
      <c r="A3666" s="6">
        <v>2024</v>
      </c>
      <c r="B3666" s="6">
        <v>4</v>
      </c>
      <c r="C3666" s="6" t="s">
        <v>62</v>
      </c>
      <c r="D3666" s="6" t="s">
        <v>762</v>
      </c>
      <c r="E3666" s="6" t="s">
        <v>763</v>
      </c>
      <c r="F3666" s="6" t="str">
        <f>IF($M3666="PADD I","PADD 1",IF($M3666="PADD II","PADD 2",IF($M3666="PADD III","PADD 3",IF($M3666="PADD IV","PADD 4",IF($M3666="PADD V","PADD 5","")))))</f>
        <v>PADD 2</v>
      </c>
      <c r="G3666" s="6">
        <f>IF(AND($H3666="ATMOS DISTILLATION",ISNUMBER(SEARCH("VPS",$I3666))=FALSE,LEFT($I3666,6)&lt;&gt;"VACUUM"),"CDU",IF($H3666="FLUID CAT CRACKING","FCC",IF(OR($H3666="HYDROCRACKING",$H3666="RESID_HYDROCRACKING"),"Hydrocracker",IF($H3666="REFORMING","Reformer",""))))</f>
        <v/>
      </c>
      <c r="H3666" s="6" t="s">
        <v>43</v>
      </c>
      <c r="I3666" s="6" t="s">
        <v>458</v>
      </c>
      <c r="J3666" s="6" t="s">
        <v>345</v>
      </c>
      <c r="K3666" s="10">
        <v>1.3</v>
      </c>
      <c r="L3666" s="10">
        <v>13</v>
      </c>
      <c r="M3666" s="6" t="s">
        <v>375</v>
      </c>
    </row>
    <row r="3667" spans="1:13">
      <c r="A3667" s="6">
        <v>2024</v>
      </c>
      <c r="B3667" s="6">
        <v>4</v>
      </c>
      <c r="C3667" s="6" t="s">
        <v>62</v>
      </c>
      <c r="D3667" s="6" t="s">
        <v>1038</v>
      </c>
      <c r="E3667" s="6" t="s">
        <v>1039</v>
      </c>
      <c r="F3667" s="6" t="str">
        <f>IF($M3667="PADD I","PADD 1",IF($M3667="PADD II","PADD 2",IF($M3667="PADD III","PADD 3",IF($M3667="PADD IV","PADD 4",IF($M3667="PADD V","PADD 5","")))))</f>
        <v>PADD 2</v>
      </c>
      <c r="G3667" s="6">
        <f>IF(AND($H3667="ATMOS DISTILLATION",ISNUMBER(SEARCH("VPS",$I3667))=FALSE,LEFT($I3667,6)&lt;&gt;"VACUUM"),"CDU",IF($H3667="FLUID CAT CRACKING","FCC",IF(OR($H3667="HYDROCRACKING",$H3667="RESID_HYDROCRACKING"),"Hydrocracker",IF($H3667="REFORMING","Reformer",""))))</f>
        <v/>
      </c>
      <c r="H3667" s="6" t="s">
        <v>43</v>
      </c>
      <c r="I3667" s="6" t="s">
        <v>1199</v>
      </c>
      <c r="J3667" s="6" t="s">
        <v>345</v>
      </c>
      <c r="K3667" s="10">
        <v>1.29</v>
      </c>
      <c r="L3667" s="10">
        <v>3</v>
      </c>
      <c r="M3667" s="6" t="s">
        <v>375</v>
      </c>
    </row>
    <row r="3668" spans="1:13">
      <c r="A3668" s="6">
        <v>2024</v>
      </c>
      <c r="B3668" s="6">
        <v>4</v>
      </c>
      <c r="C3668" s="6" t="s">
        <v>62</v>
      </c>
      <c r="D3668" s="6" t="s">
        <v>434</v>
      </c>
      <c r="E3668" s="6" t="s">
        <v>388</v>
      </c>
      <c r="F3668" s="6" t="str">
        <f>IF($M3668="PADD I","PADD 1",IF($M3668="PADD II","PADD 2",IF($M3668="PADD III","PADD 3",IF($M3668="PADD IV","PADD 4",IF($M3668="PADD V","PADD 5","")))))</f>
        <v>PADD 5</v>
      </c>
      <c r="G3668" s="6">
        <f>IF(AND($H3668="ATMOS DISTILLATION",ISNUMBER(SEARCH("VPS",$I3668))=FALSE,LEFT($I3668,6)&lt;&gt;"VACUUM"),"CDU",IF($H3668="FLUID CAT CRACKING","FCC",IF(OR($H3668="HYDROCRACKING",$H3668="RESID_HYDROCRACKING"),"Hydrocracker",IF($H3668="REFORMING","Reformer",""))))</f>
        <v/>
      </c>
      <c r="H3668" s="6" t="s">
        <v>435</v>
      </c>
      <c r="I3668" s="6" t="s">
        <v>436</v>
      </c>
      <c r="J3668" s="6" t="s">
        <v>345</v>
      </c>
      <c r="K3668" s="10">
        <v>1.26</v>
      </c>
      <c r="L3668" s="10">
        <v>42</v>
      </c>
      <c r="M3668" s="6" t="s">
        <v>386</v>
      </c>
    </row>
    <row r="3669" spans="1:13">
      <c r="A3669" s="6">
        <v>2024</v>
      </c>
      <c r="B3669" s="6">
        <v>4</v>
      </c>
      <c r="C3669" s="6" t="s">
        <v>62</v>
      </c>
      <c r="D3669" s="6" t="s">
        <v>434</v>
      </c>
      <c r="E3669" s="6" t="s">
        <v>388</v>
      </c>
      <c r="F3669" s="6" t="str">
        <f>IF($M3669="PADD I","PADD 1",IF($M3669="PADD II","PADD 2",IF($M3669="PADD III","PADD 3",IF($M3669="PADD IV","PADD 4",IF($M3669="PADD V","PADD 5","")))))</f>
        <v>PADD 5</v>
      </c>
      <c r="G3669" s="6">
        <f>IF(AND($H3669="ATMOS DISTILLATION",ISNUMBER(SEARCH("VPS",$I3669))=FALSE,LEFT($I3669,6)&lt;&gt;"VACUUM"),"CDU",IF($H3669="FLUID CAT CRACKING","FCC",IF(OR($H3669="HYDROCRACKING",$H3669="RESID_HYDROCRACKING"),"Hydrocracker",IF($H3669="REFORMING","Reformer",""))))</f>
        <v/>
      </c>
      <c r="H3669" s="6" t="s">
        <v>435</v>
      </c>
      <c r="I3669" s="6" t="s">
        <v>436</v>
      </c>
      <c r="J3669" s="6" t="s">
        <v>349</v>
      </c>
      <c r="K3669" s="10">
        <v>1.23</v>
      </c>
      <c r="L3669" s="10">
        <v>41</v>
      </c>
      <c r="M3669" s="6" t="s">
        <v>386</v>
      </c>
    </row>
    <row r="3670" spans="1:13">
      <c r="A3670" s="6">
        <v>2024</v>
      </c>
      <c r="B3670" s="6">
        <v>4</v>
      </c>
      <c r="C3670" s="6" t="s">
        <v>62</v>
      </c>
      <c r="D3670" s="6" t="s">
        <v>839</v>
      </c>
      <c r="E3670" s="6" t="s">
        <v>840</v>
      </c>
      <c r="F3670" s="6" t="str">
        <f>IF($M3670="PADD I","PADD 1",IF($M3670="PADD II","PADD 2",IF($M3670="PADD III","PADD 3",IF($M3670="PADD IV","PADD 4",IF($M3670="PADD V","PADD 5","")))))</f>
        <v>PADD 1</v>
      </c>
      <c r="G3670" s="6">
        <f>IF(AND($H3670="ATMOS DISTILLATION",ISNUMBER(SEARCH("VPS",$I3670))=FALSE,LEFT($I3670,6)&lt;&gt;"VACUUM"),"CDU",IF($H3670="FLUID CAT CRACKING","FCC",IF(OR($H3670="HYDROCRACKING",$H3670="RESID_HYDROCRACKING"),"Hydrocracker",IF($H3670="REFORMING","Reformer",""))))</f>
        <v/>
      </c>
      <c r="H3670" s="6" t="s">
        <v>378</v>
      </c>
      <c r="I3670" s="6" t="s">
        <v>431</v>
      </c>
      <c r="J3670" s="6" t="s">
        <v>345</v>
      </c>
      <c r="K3670" s="10">
        <v>1.2</v>
      </c>
      <c r="L3670" s="10">
        <v>40</v>
      </c>
      <c r="M3670" s="6" t="s">
        <v>413</v>
      </c>
    </row>
    <row r="3671" spans="1:13">
      <c r="A3671" s="6">
        <v>2024</v>
      </c>
      <c r="B3671" s="6">
        <v>4</v>
      </c>
      <c r="C3671" s="6" t="s">
        <v>62</v>
      </c>
      <c r="D3671" s="6" t="s">
        <v>1038</v>
      </c>
      <c r="E3671" s="6" t="s">
        <v>1039</v>
      </c>
      <c r="F3671" s="6" t="str">
        <f>IF($M3671="PADD I","PADD 1",IF($M3671="PADD II","PADD 2",IF($M3671="PADD III","PADD 3",IF($M3671="PADD IV","PADD 4",IF($M3671="PADD V","PADD 5","")))))</f>
        <v>PADD 2</v>
      </c>
      <c r="G3671" s="6">
        <f>IF(AND($H3671="ATMOS DISTILLATION",ISNUMBER(SEARCH("VPS",$I3671))=FALSE,LEFT($I3671,6)&lt;&gt;"VACUUM"),"CDU",IF($H3671="FLUID CAT CRACKING","FCC",IF(OR($H3671="HYDROCRACKING",$H3671="RESID_HYDROCRACKING"),"Hydrocracker",IF($H3671="REFORMING","Reformer",""))))</f>
        <v/>
      </c>
      <c r="H3671" s="6" t="s">
        <v>43</v>
      </c>
      <c r="I3671" s="6" t="s">
        <v>1200</v>
      </c>
      <c r="J3671" s="6" t="s">
        <v>345</v>
      </c>
      <c r="K3671" s="10">
        <v>1.0449</v>
      </c>
      <c r="L3671" s="10">
        <v>2.43</v>
      </c>
      <c r="M3671" s="6" t="s">
        <v>375</v>
      </c>
    </row>
    <row r="3672" spans="1:13">
      <c r="A3672" s="6">
        <v>2024</v>
      </c>
      <c r="B3672" s="6">
        <v>4</v>
      </c>
      <c r="C3672" s="6" t="s">
        <v>62</v>
      </c>
      <c r="D3672" s="6" t="s">
        <v>646</v>
      </c>
      <c r="E3672" s="6" t="s">
        <v>405</v>
      </c>
      <c r="F3672" s="6" t="str">
        <f>IF($M3672="PADD I","PADD 1",IF($M3672="PADD II","PADD 2",IF($M3672="PADD III","PADD 3",IF($M3672="PADD IV","PADD 4",IF($M3672="PADD V","PADD 5","")))))</f>
        <v>PADD 3</v>
      </c>
      <c r="G3672" s="6">
        <f>IF(AND($H3672="ATMOS DISTILLATION",ISNUMBER(SEARCH("VPS",$I3672))=FALSE,LEFT($I3672,6)&lt;&gt;"VACUUM"),"CDU",IF($H3672="FLUID CAT CRACKING","FCC",IF(OR($H3672="HYDROCRACKING",$H3672="RESID_HYDROCRACKING"),"Hydrocracker",IF($H3672="REFORMING","Reformer",""))))</f>
        <v/>
      </c>
      <c r="H3672" s="6" t="s">
        <v>43</v>
      </c>
      <c r="I3672" s="6" t="s">
        <v>843</v>
      </c>
      <c r="J3672" s="6" t="s">
        <v>345</v>
      </c>
      <c r="K3672" s="10">
        <v>0.9</v>
      </c>
      <c r="L3672" s="10">
        <v>30</v>
      </c>
      <c r="M3672" s="6" t="s">
        <v>371</v>
      </c>
    </row>
    <row r="3673" spans="1:13">
      <c r="A3673" s="6">
        <v>2024</v>
      </c>
      <c r="B3673" s="6">
        <v>4</v>
      </c>
      <c r="C3673" s="6" t="s">
        <v>62</v>
      </c>
      <c r="D3673" s="6" t="s">
        <v>48</v>
      </c>
      <c r="E3673" s="6" t="s">
        <v>388</v>
      </c>
      <c r="F3673" s="6" t="str">
        <f>IF($M3673="PADD I","PADD 1",IF($M3673="PADD II","PADD 2",IF($M3673="PADD III","PADD 3",IF($M3673="PADD IV","PADD 4",IF($M3673="PADD V","PADD 5","")))))</f>
        <v>PADD 2</v>
      </c>
      <c r="G3673" s="6">
        <f>IF(AND($H3673="ATMOS DISTILLATION",ISNUMBER(SEARCH("VPS",$I3673))=FALSE,LEFT($I3673,6)&lt;&gt;"VACUUM"),"CDU",IF($H3673="FLUID CAT CRACKING","FCC",IF(OR($H3673="HYDROCRACKING",$H3673="RESID_HYDROCRACKING"),"Hydrocracker",IF($H3673="REFORMING","Reformer",""))))</f>
        <v/>
      </c>
      <c r="H3673" s="6" t="s">
        <v>435</v>
      </c>
      <c r="I3673" s="6" t="s">
        <v>631</v>
      </c>
      <c r="J3673" s="6" t="s">
        <v>345</v>
      </c>
      <c r="K3673" s="10">
        <v>0.84</v>
      </c>
      <c r="L3673" s="10">
        <v>12</v>
      </c>
      <c r="M3673" s="6" t="s">
        <v>375</v>
      </c>
    </row>
    <row r="3674" spans="1:13">
      <c r="A3674" s="6">
        <v>2024</v>
      </c>
      <c r="B3674" s="6">
        <v>4</v>
      </c>
      <c r="C3674" s="6" t="s">
        <v>62</v>
      </c>
      <c r="D3674" s="6" t="s">
        <v>662</v>
      </c>
      <c r="E3674" s="6" t="s">
        <v>552</v>
      </c>
      <c r="F3674" s="6" t="str">
        <f>IF($M3674="PADD I","PADD 1",IF($M3674="PADD II","PADD 2",IF($M3674="PADD III","PADD 3",IF($M3674="PADD IV","PADD 4",IF($M3674="PADD V","PADD 5","")))))</f>
        <v>PADD 3</v>
      </c>
      <c r="G3674" s="6" t="str">
        <f>IF(AND($H3674="ATMOS DISTILLATION",ISNUMBER(SEARCH("VPS",$I3674))=FALSE,LEFT($I3674,6)&lt;&gt;"VACUUM"),"CDU",IF($H3674="FLUID CAT CRACKING","FCC",IF(OR($H3674="HYDROCRACKING",$H3674="RESID_HYDROCRACKING"),"Hydrocracker",IF($H3674="REFORMING","Reformer",""))))</f>
        <v>FCC</v>
      </c>
      <c r="H3674" s="6" t="s">
        <v>376</v>
      </c>
      <c r="I3674" s="6" t="s">
        <v>105</v>
      </c>
      <c r="J3674" s="6" t="s">
        <v>345</v>
      </c>
      <c r="K3674" s="10">
        <v>0.75</v>
      </c>
      <c r="L3674" s="10">
        <v>25</v>
      </c>
      <c r="M3674" s="6" t="s">
        <v>371</v>
      </c>
    </row>
    <row r="3675" spans="1:13">
      <c r="A3675" s="6">
        <v>2024</v>
      </c>
      <c r="B3675" s="6">
        <v>4</v>
      </c>
      <c r="C3675" s="6" t="s">
        <v>62</v>
      </c>
      <c r="D3675" s="6" t="s">
        <v>839</v>
      </c>
      <c r="E3675" s="6" t="s">
        <v>840</v>
      </c>
      <c r="F3675" s="6" t="str">
        <f>IF($M3675="PADD I","PADD 1",IF($M3675="PADD II","PADD 2",IF($M3675="PADD III","PADD 3",IF($M3675="PADD IV","PADD 4",IF($M3675="PADD V","PADD 5","")))))</f>
        <v>PADD 1</v>
      </c>
      <c r="G3675" s="6" t="str">
        <f>IF(AND($H3675="ATMOS DISTILLATION",ISNUMBER(SEARCH("VPS",$I3675))=FALSE,LEFT($I3675,6)&lt;&gt;"VACUUM"),"CDU",IF($H3675="FLUID CAT CRACKING","FCC",IF(OR($H3675="HYDROCRACKING",$H3675="RESID_HYDROCRACKING"),"Hydrocracker",IF($H3675="REFORMING","Reformer",""))))</f>
        <v>FCC</v>
      </c>
      <c r="H3675" s="6" t="s">
        <v>376</v>
      </c>
      <c r="I3675" s="6" t="s">
        <v>105</v>
      </c>
      <c r="J3675" s="6" t="s">
        <v>345</v>
      </c>
      <c r="K3675" s="10">
        <v>0.75</v>
      </c>
      <c r="L3675" s="10">
        <v>25</v>
      </c>
      <c r="M3675" s="6" t="s">
        <v>413</v>
      </c>
    </row>
    <row r="3676" spans="1:13">
      <c r="A3676" s="6">
        <v>2024</v>
      </c>
      <c r="B3676" s="6">
        <v>4</v>
      </c>
      <c r="C3676" s="6" t="s">
        <v>62</v>
      </c>
      <c r="D3676" s="6" t="s">
        <v>739</v>
      </c>
      <c r="E3676" s="6" t="s">
        <v>405</v>
      </c>
      <c r="F3676" s="6" t="str">
        <f>IF($M3676="PADD I","PADD 1",IF($M3676="PADD II","PADD 2",IF($M3676="PADD III","PADD 3",IF($M3676="PADD IV","PADD 4",IF($M3676="PADD V","PADD 5","")))))</f>
        <v>PADD 2</v>
      </c>
      <c r="G3676" s="6">
        <f>IF(AND($H3676="ATMOS DISTILLATION",ISNUMBER(SEARCH("VPS",$I3676))=FALSE,LEFT($I3676,6)&lt;&gt;"VACUUM"),"CDU",IF($H3676="FLUID CAT CRACKING","FCC",IF(OR($H3676="HYDROCRACKING",$H3676="RESID_HYDROCRACKING"),"Hydrocracker",IF($H3676="REFORMING","Reformer",""))))</f>
        <v/>
      </c>
      <c r="H3676" s="6" t="s">
        <v>568</v>
      </c>
      <c r="I3676" s="6" t="s">
        <v>604</v>
      </c>
      <c r="J3676" s="6" t="s">
        <v>345</v>
      </c>
      <c r="K3676" s="10">
        <v>0.7</v>
      </c>
      <c r="L3676" s="10">
        <v>7</v>
      </c>
      <c r="M3676" s="6" t="s">
        <v>375</v>
      </c>
    </row>
    <row r="3677" spans="1:13">
      <c r="A3677" s="6">
        <v>2024</v>
      </c>
      <c r="B3677" s="6">
        <v>4</v>
      </c>
      <c r="C3677" s="6" t="s">
        <v>62</v>
      </c>
      <c r="D3677" s="6" t="s">
        <v>372</v>
      </c>
      <c r="E3677" s="6" t="s">
        <v>373</v>
      </c>
      <c r="F3677" s="6" t="str">
        <f>IF($M3677="PADD I","PADD 1",IF($M3677="PADD II","PADD 2",IF($M3677="PADD III","PADD 3",IF($M3677="PADD IV","PADD 4",IF($M3677="PADD V","PADD 5","")))))</f>
        <v>PADD 2</v>
      </c>
      <c r="G3677" s="6">
        <f>IF(AND($H3677="ATMOS DISTILLATION",ISNUMBER(SEARCH("VPS",$I3677))=FALSE,LEFT($I3677,6)&lt;&gt;"VACUUM"),"CDU",IF($H3677="FLUID CAT CRACKING","FCC",IF(OR($H3677="HYDROCRACKING",$H3677="RESID_HYDROCRACKING"),"Hydrocracker",IF($H3677="REFORMING","Reformer",""))))</f>
        <v/>
      </c>
      <c r="H3677" s="6" t="s">
        <v>43</v>
      </c>
      <c r="I3677" s="6" t="s">
        <v>480</v>
      </c>
      <c r="J3677" s="6" t="s">
        <v>349</v>
      </c>
      <c r="K3677" s="10">
        <v>0.675</v>
      </c>
      <c r="L3677" s="10">
        <v>22.5</v>
      </c>
      <c r="M3677" s="6" t="s">
        <v>375</v>
      </c>
    </row>
    <row r="3678" spans="1:13">
      <c r="A3678" s="6">
        <v>2024</v>
      </c>
      <c r="B3678" s="6">
        <v>4</v>
      </c>
      <c r="C3678" s="6" t="s">
        <v>62</v>
      </c>
      <c r="D3678" s="6" t="s">
        <v>739</v>
      </c>
      <c r="E3678" s="6" t="s">
        <v>405</v>
      </c>
      <c r="F3678" s="6" t="str">
        <f>IF($M3678="PADD I","PADD 1",IF($M3678="PADD II","PADD 2",IF($M3678="PADD III","PADD 3",IF($M3678="PADD IV","PADD 4",IF($M3678="PADD V","PADD 5","")))))</f>
        <v>PADD 2</v>
      </c>
      <c r="G3678" s="6">
        <f>IF(AND($H3678="ATMOS DISTILLATION",ISNUMBER(SEARCH("VPS",$I3678))=FALSE,LEFT($I3678,6)&lt;&gt;"VACUUM"),"CDU",IF($H3678="FLUID CAT CRACKING","FCC",IF(OR($H3678="HYDROCRACKING",$H3678="RESID_HYDROCRACKING"),"Hydrocracker",IF($H3678="REFORMING","Reformer",""))))</f>
        <v/>
      </c>
      <c r="H3678" s="6" t="s">
        <v>460</v>
      </c>
      <c r="I3678" s="6" t="s">
        <v>616</v>
      </c>
      <c r="J3678" s="6" t="s">
        <v>345</v>
      </c>
      <c r="K3678" s="10">
        <v>0.62</v>
      </c>
      <c r="L3678" s="10">
        <v>6.2</v>
      </c>
      <c r="M3678" s="6" t="s">
        <v>375</v>
      </c>
    </row>
    <row r="3679" spans="1:13">
      <c r="A3679" s="6">
        <v>2024</v>
      </c>
      <c r="B3679" s="6">
        <v>4</v>
      </c>
      <c r="C3679" s="6" t="s">
        <v>62</v>
      </c>
      <c r="D3679" s="6" t="s">
        <v>612</v>
      </c>
      <c r="E3679" s="6" t="s">
        <v>416</v>
      </c>
      <c r="F3679" s="6" t="str">
        <f>IF($M3679="PADD I","PADD 1",IF($M3679="PADD II","PADD 2",IF($M3679="PADD III","PADD 3",IF($M3679="PADD IV","PADD 4",IF($M3679="PADD V","PADD 5","")))))</f>
        <v>PADD 3</v>
      </c>
      <c r="G3679" s="6">
        <f>IF(AND($H3679="ATMOS DISTILLATION",ISNUMBER(SEARCH("VPS",$I3679))=FALSE,LEFT($I3679,6)&lt;&gt;"VACUUM"),"CDU",IF($H3679="FLUID CAT CRACKING","FCC",IF(OR($H3679="HYDROCRACKING",$H3679="RESID_HYDROCRACKING"),"Hydrocracker",IF($H3679="REFORMING","Reformer",""))))</f>
        <v/>
      </c>
      <c r="H3679" s="6" t="s">
        <v>43</v>
      </c>
      <c r="I3679" s="6" t="s">
        <v>837</v>
      </c>
      <c r="J3679" s="6" t="s">
        <v>349</v>
      </c>
      <c r="K3679" s="10">
        <v>0.6</v>
      </c>
      <c r="L3679" s="10">
        <v>20</v>
      </c>
      <c r="M3679" s="6" t="s">
        <v>371</v>
      </c>
    </row>
    <row r="3680" spans="1:13">
      <c r="A3680" s="6">
        <v>2024</v>
      </c>
      <c r="B3680" s="6">
        <v>4</v>
      </c>
      <c r="C3680" s="6" t="s">
        <v>62</v>
      </c>
      <c r="D3680" s="6" t="s">
        <v>334</v>
      </c>
      <c r="E3680" s="6" t="s">
        <v>552</v>
      </c>
      <c r="F3680" s="6" t="str">
        <f>IF($M3680="PADD I","PADD 1",IF($M3680="PADD II","PADD 2",IF($M3680="PADD III","PADD 3",IF($M3680="PADD IV","PADD 4",IF($M3680="PADD V","PADD 5","")))))</f>
        <v>PADD 3</v>
      </c>
      <c r="G3680" s="6" t="str">
        <f>IF(AND($H3680="ATMOS DISTILLATION",ISNUMBER(SEARCH("VPS",$I3680))=FALSE,LEFT($I3680,6)&lt;&gt;"VACUUM"),"CDU",IF($H3680="FLUID CAT CRACKING","FCC",IF(OR($H3680="HYDROCRACKING",$H3680="RESID_HYDROCRACKING"),"Hydrocracker",IF($H3680="REFORMING","Reformer",""))))</f>
        <v>FCC</v>
      </c>
      <c r="H3680" s="6" t="s">
        <v>376</v>
      </c>
      <c r="I3680" s="6" t="s">
        <v>613</v>
      </c>
      <c r="J3680" s="6" t="s">
        <v>345</v>
      </c>
      <c r="K3680" s="10">
        <v>0.6</v>
      </c>
      <c r="L3680" s="10">
        <v>20</v>
      </c>
      <c r="M3680" s="6" t="s">
        <v>371</v>
      </c>
    </row>
    <row r="3681" spans="1:13">
      <c r="A3681" s="6">
        <v>2024</v>
      </c>
      <c r="B3681" s="6">
        <v>4</v>
      </c>
      <c r="C3681" s="6" t="s">
        <v>62</v>
      </c>
      <c r="D3681" s="6" t="s">
        <v>1158</v>
      </c>
      <c r="E3681" s="6" t="s">
        <v>724</v>
      </c>
      <c r="F3681" s="6" t="str">
        <f>IF($M3681="PADD I","PADD 1",IF($M3681="PADD II","PADD 2",IF($M3681="PADD III","PADD 3",IF($M3681="PADD IV","PADD 4",IF($M3681="PADD V","PADD 5","")))))</f>
        <v>PADD 5</v>
      </c>
      <c r="G3681" s="6">
        <f>IF(AND($H3681="ATMOS DISTILLATION",ISNUMBER(SEARCH("VPS",$I3681))=FALSE,LEFT($I3681,6)&lt;&gt;"VACUUM"),"CDU",IF($H3681="FLUID CAT CRACKING","FCC",IF(OR($H3681="HYDROCRACKING",$H3681="RESID_HYDROCRACKING"),"Hydrocracker",IF($H3681="REFORMING","Reformer",""))))</f>
        <v/>
      </c>
      <c r="H3681" s="6" t="s">
        <v>43</v>
      </c>
      <c r="I3681" s="6" t="s">
        <v>1159</v>
      </c>
      <c r="J3681" s="6" t="s">
        <v>349</v>
      </c>
      <c r="K3681" s="10">
        <v>0.595</v>
      </c>
      <c r="L3681" s="10">
        <v>8.5</v>
      </c>
      <c r="M3681" s="6" t="s">
        <v>386</v>
      </c>
    </row>
    <row r="3682" spans="1:13">
      <c r="A3682" s="6">
        <v>2024</v>
      </c>
      <c r="B3682" s="6">
        <v>4</v>
      </c>
      <c r="C3682" s="6" t="s">
        <v>62</v>
      </c>
      <c r="D3682" s="6" t="s">
        <v>329</v>
      </c>
      <c r="E3682" s="6" t="s">
        <v>427</v>
      </c>
      <c r="F3682" s="6" t="str">
        <f>IF($M3682="PADD I","PADD 1",IF($M3682="PADD II","PADD 2",IF($M3682="PADD III","PADD 3",IF($M3682="PADD IV","PADD 4",IF($M3682="PADD V","PADD 5","")))))</f>
        <v>PADD 3</v>
      </c>
      <c r="G3682" s="6" t="str">
        <f>IF(AND($H3682="ATMOS DISTILLATION",ISNUMBER(SEARCH("VPS",$I3682))=FALSE,LEFT($I3682,6)&lt;&gt;"VACUUM"),"CDU",IF($H3682="FLUID CAT CRACKING","FCC",IF(OR($H3682="HYDROCRACKING",$H3682="RESID_HYDROCRACKING"),"Hydrocracker",IF($H3682="REFORMING","Reformer",""))))</f>
        <v>Reformer</v>
      </c>
      <c r="H3682" s="6" t="s">
        <v>421</v>
      </c>
      <c r="I3682" s="6" t="s">
        <v>1162</v>
      </c>
      <c r="J3682" s="6" t="s">
        <v>345</v>
      </c>
      <c r="K3682" s="10">
        <v>0.57</v>
      </c>
      <c r="L3682" s="10">
        <v>19</v>
      </c>
      <c r="M3682" s="6" t="s">
        <v>371</v>
      </c>
    </row>
    <row r="3683" spans="1:13">
      <c r="A3683" s="6">
        <v>2024</v>
      </c>
      <c r="B3683" s="6">
        <v>4</v>
      </c>
      <c r="C3683" s="6" t="s">
        <v>62</v>
      </c>
      <c r="D3683" s="6" t="s">
        <v>334</v>
      </c>
      <c r="E3683" s="6" t="s">
        <v>552</v>
      </c>
      <c r="F3683" s="6" t="str">
        <f>IF($M3683="PADD I","PADD 1",IF($M3683="PADD II","PADD 2",IF($M3683="PADD III","PADD 3",IF($M3683="PADD IV","PADD 4",IF($M3683="PADD V","PADD 5","")))))</f>
        <v>PADD 3</v>
      </c>
      <c r="G3683" s="6">
        <f>IF(AND($H3683="ATMOS DISTILLATION",ISNUMBER(SEARCH("VPS",$I3683))=FALSE,LEFT($I3683,6)&lt;&gt;"VACUUM"),"CDU",IF($H3683="FLUID CAT CRACKING","FCC",IF(OR($H3683="HYDROCRACKING",$H3683="RESID_HYDROCRACKING"),"Hydrocracker",IF($H3683="REFORMING","Reformer",""))))</f>
        <v/>
      </c>
      <c r="H3683" s="6" t="s">
        <v>378</v>
      </c>
      <c r="I3683" s="6" t="s">
        <v>555</v>
      </c>
      <c r="J3683" s="6" t="s">
        <v>345</v>
      </c>
      <c r="K3683" s="10">
        <v>0.57</v>
      </c>
      <c r="L3683" s="10">
        <v>19</v>
      </c>
      <c r="M3683" s="6" t="s">
        <v>371</v>
      </c>
    </row>
    <row r="3684" spans="1:13">
      <c r="A3684" s="6">
        <v>2024</v>
      </c>
      <c r="B3684" s="6">
        <v>4</v>
      </c>
      <c r="C3684" s="6" t="s">
        <v>62</v>
      </c>
      <c r="D3684" s="6" t="s">
        <v>762</v>
      </c>
      <c r="E3684" s="6" t="s">
        <v>763</v>
      </c>
      <c r="F3684" s="6" t="str">
        <f>IF($M3684="PADD I","PADD 1",IF($M3684="PADD II","PADD 2",IF($M3684="PADD III","PADD 3",IF($M3684="PADD IV","PADD 4",IF($M3684="PADD V","PADD 5","")))))</f>
        <v>PADD 2</v>
      </c>
      <c r="G3684" s="6">
        <f>IF(AND($H3684="ATMOS DISTILLATION",ISNUMBER(SEARCH("VPS",$I3684))=FALSE,LEFT($I3684,6)&lt;&gt;"VACUUM"),"CDU",IF($H3684="FLUID CAT CRACKING","FCC",IF(OR($H3684="HYDROCRACKING",$H3684="RESID_HYDROCRACKING"),"Hydrocracker",IF($H3684="REFORMING","Reformer",""))))</f>
        <v/>
      </c>
      <c r="H3684" s="6" t="s">
        <v>460</v>
      </c>
      <c r="I3684" s="6" t="s">
        <v>616</v>
      </c>
      <c r="J3684" s="6" t="s">
        <v>345</v>
      </c>
      <c r="K3684" s="10">
        <v>0.55</v>
      </c>
      <c r="L3684" s="10">
        <v>5.5</v>
      </c>
      <c r="M3684" s="6" t="s">
        <v>375</v>
      </c>
    </row>
    <row r="3685" spans="1:13">
      <c r="A3685" s="6">
        <v>2024</v>
      </c>
      <c r="B3685" s="6">
        <v>4</v>
      </c>
      <c r="C3685" s="6" t="s">
        <v>62</v>
      </c>
      <c r="D3685" s="6" t="s">
        <v>788</v>
      </c>
      <c r="E3685" s="6" t="s">
        <v>405</v>
      </c>
      <c r="F3685" s="6" t="str">
        <f>IF($M3685="PADD I","PADD 1",IF($M3685="PADD II","PADD 2",IF($M3685="PADD III","PADD 3",IF($M3685="PADD IV","PADD 4",IF($M3685="PADD V","PADD 5","")))))</f>
        <v>PADD 3</v>
      </c>
      <c r="G3685" s="6">
        <f>IF(AND($H3685="ATMOS DISTILLATION",ISNUMBER(SEARCH("VPS",$I3685))=FALSE,LEFT($I3685,6)&lt;&gt;"VACUUM"),"CDU",IF($H3685="FLUID CAT CRACKING","FCC",IF(OR($H3685="HYDROCRACKING",$H3685="RESID_HYDROCRACKING"),"Hydrocracker",IF($H3685="REFORMING","Reformer",""))))</f>
        <v/>
      </c>
      <c r="H3685" s="6" t="s">
        <v>43</v>
      </c>
      <c r="I3685" s="6" t="s">
        <v>829</v>
      </c>
      <c r="J3685" s="6" t="s">
        <v>345</v>
      </c>
      <c r="K3685" s="10">
        <v>0.54</v>
      </c>
      <c r="L3685" s="10">
        <v>18</v>
      </c>
      <c r="M3685" s="6" t="s">
        <v>371</v>
      </c>
    </row>
    <row r="3686" spans="1:13">
      <c r="A3686" s="6">
        <v>2024</v>
      </c>
      <c r="B3686" s="6">
        <v>4</v>
      </c>
      <c r="C3686" s="6" t="s">
        <v>62</v>
      </c>
      <c r="D3686" s="6" t="s">
        <v>547</v>
      </c>
      <c r="E3686" s="6" t="s">
        <v>391</v>
      </c>
      <c r="F3686" s="6" t="str">
        <f>IF($M3686="PADD I","PADD 1",IF($M3686="PADD II","PADD 2",IF($M3686="PADD III","PADD 3",IF($M3686="PADD IV","PADD 4",IF($M3686="PADD V","PADD 5","")))))</f>
        <v>PADD 5</v>
      </c>
      <c r="G3686" s="6">
        <f>IF(AND($H3686="ATMOS DISTILLATION",ISNUMBER(SEARCH("VPS",$I3686))=FALSE,LEFT($I3686,6)&lt;&gt;"VACUUM"),"CDU",IF($H3686="FLUID CAT CRACKING","FCC",IF(OR($H3686="HYDROCRACKING",$H3686="RESID_HYDROCRACKING"),"Hydrocracker",IF($H3686="REFORMING","Reformer",""))))</f>
        <v/>
      </c>
      <c r="H3686" s="6" t="s">
        <v>568</v>
      </c>
      <c r="I3686" s="6" t="s">
        <v>938</v>
      </c>
      <c r="J3686" s="6" t="s">
        <v>345</v>
      </c>
      <c r="K3686" s="10">
        <v>0.4644</v>
      </c>
      <c r="L3686" s="10">
        <v>1.72</v>
      </c>
      <c r="M3686" s="6" t="s">
        <v>386</v>
      </c>
    </row>
    <row r="3687" spans="1:13">
      <c r="A3687" s="6">
        <v>2024</v>
      </c>
      <c r="B3687" s="6">
        <v>4</v>
      </c>
      <c r="C3687" s="6" t="s">
        <v>62</v>
      </c>
      <c r="D3687" s="6" t="s">
        <v>326</v>
      </c>
      <c r="E3687" s="6" t="s">
        <v>385</v>
      </c>
      <c r="F3687" s="6" t="str">
        <f>IF($M3687="PADD I","PADD 1",IF($M3687="PADD II","PADD 2",IF($M3687="PADD III","PADD 3",IF($M3687="PADD IV","PADD 4",IF($M3687="PADD V","PADD 5","")))))</f>
        <v>PADD 5</v>
      </c>
      <c r="G3687" s="6">
        <f>IF(AND($H3687="ATMOS DISTILLATION",ISNUMBER(SEARCH("VPS",$I3687))=FALSE,LEFT($I3687,6)&lt;&gt;"VACUUM"),"CDU",IF($H3687="FLUID CAT CRACKING","FCC",IF(OR($H3687="HYDROCRACKING",$H3687="RESID_HYDROCRACKING"),"Hydrocracker",IF($H3687="REFORMING","Reformer",""))))</f>
        <v/>
      </c>
      <c r="H3687" s="6" t="s">
        <v>568</v>
      </c>
      <c r="I3687" s="6" t="s">
        <v>604</v>
      </c>
      <c r="J3687" s="6" t="s">
        <v>349</v>
      </c>
      <c r="K3687" s="10">
        <v>0.45</v>
      </c>
      <c r="L3687" s="10">
        <v>1.5</v>
      </c>
      <c r="M3687" s="6" t="s">
        <v>386</v>
      </c>
    </row>
    <row r="3688" spans="1:13">
      <c r="A3688" s="6">
        <v>2024</v>
      </c>
      <c r="B3688" s="6">
        <v>4</v>
      </c>
      <c r="C3688" s="6" t="s">
        <v>62</v>
      </c>
      <c r="D3688" s="6" t="s">
        <v>662</v>
      </c>
      <c r="E3688" s="6" t="s">
        <v>552</v>
      </c>
      <c r="F3688" s="6" t="str">
        <f>IF($M3688="PADD I","PADD 1",IF($M3688="PADD II","PADD 2",IF($M3688="PADD III","PADD 3",IF($M3688="PADD IV","PADD 4",IF($M3688="PADD V","PADD 5","")))))</f>
        <v>PADD 3</v>
      </c>
      <c r="G3688" s="6" t="str">
        <f>IF(AND($H3688="ATMOS DISTILLATION",ISNUMBER(SEARCH("VPS",$I3688))=FALSE,LEFT($I3688,6)&lt;&gt;"VACUUM"),"CDU",IF($H3688="FLUID CAT CRACKING","FCC",IF(OR($H3688="HYDROCRACKING",$H3688="RESID_HYDROCRACKING"),"Hydrocracker",IF($H3688="REFORMING","Reformer",""))))</f>
        <v>FCC</v>
      </c>
      <c r="H3688" s="6" t="s">
        <v>376</v>
      </c>
      <c r="I3688" s="6" t="s">
        <v>105</v>
      </c>
      <c r="J3688" s="6" t="s">
        <v>349</v>
      </c>
      <c r="K3688" s="10">
        <v>0.425</v>
      </c>
      <c r="L3688" s="10">
        <v>2.5</v>
      </c>
      <c r="M3688" s="6" t="s">
        <v>371</v>
      </c>
    </row>
    <row r="3689" spans="1:13">
      <c r="A3689" s="6">
        <v>2024</v>
      </c>
      <c r="B3689" s="6">
        <v>4</v>
      </c>
      <c r="C3689" s="6" t="s">
        <v>62</v>
      </c>
      <c r="D3689" s="6" t="s">
        <v>329</v>
      </c>
      <c r="E3689" s="6" t="s">
        <v>427</v>
      </c>
      <c r="F3689" s="6" t="str">
        <f>IF($M3689="PADD I","PADD 1",IF($M3689="PADD II","PADD 2",IF($M3689="PADD III","PADD 3",IF($M3689="PADD IV","PADD 4",IF($M3689="PADD V","PADD 5","")))))</f>
        <v>PADD 3</v>
      </c>
      <c r="G3689" s="6">
        <f>IF(AND($H3689="ATMOS DISTILLATION",ISNUMBER(SEARCH("VPS",$I3689))=FALSE,LEFT($I3689,6)&lt;&gt;"VACUUM"),"CDU",IF($H3689="FLUID CAT CRACKING","FCC",IF(OR($H3689="HYDROCRACKING",$H3689="RESID_HYDROCRACKING"),"Hydrocracker",IF($H3689="REFORMING","Reformer",""))))</f>
        <v/>
      </c>
      <c r="H3689" s="6" t="s">
        <v>460</v>
      </c>
      <c r="I3689" s="6" t="s">
        <v>1075</v>
      </c>
      <c r="J3689" s="6" t="s">
        <v>345</v>
      </c>
      <c r="K3689" s="10">
        <v>0.375</v>
      </c>
      <c r="L3689" s="10">
        <v>12.5</v>
      </c>
      <c r="M3689" s="6" t="s">
        <v>371</v>
      </c>
    </row>
    <row r="3690" spans="1:13">
      <c r="A3690" s="6">
        <v>2024</v>
      </c>
      <c r="B3690" s="6">
        <v>4</v>
      </c>
      <c r="C3690" s="6" t="s">
        <v>62</v>
      </c>
      <c r="D3690" s="6" t="s">
        <v>762</v>
      </c>
      <c r="E3690" s="6" t="s">
        <v>763</v>
      </c>
      <c r="F3690" s="6" t="str">
        <f>IF($M3690="PADD I","PADD 1",IF($M3690="PADD II","PADD 2",IF($M3690="PADD III","PADD 3",IF($M3690="PADD IV","PADD 4",IF($M3690="PADD V","PADD 5","")))))</f>
        <v>PADD 2</v>
      </c>
      <c r="G3690" s="6">
        <f>IF(AND($H3690="ATMOS DISTILLATION",ISNUMBER(SEARCH("VPS",$I3690))=FALSE,LEFT($I3690,6)&lt;&gt;"VACUUM"),"CDU",IF($H3690="FLUID CAT CRACKING","FCC",IF(OR($H3690="HYDROCRACKING",$H3690="RESID_HYDROCRACKING"),"Hydrocracker",IF($H3690="REFORMING","Reformer",""))))</f>
        <v/>
      </c>
      <c r="H3690" s="6" t="s">
        <v>568</v>
      </c>
      <c r="I3690" s="6" t="s">
        <v>1201</v>
      </c>
      <c r="J3690" s="6" t="s">
        <v>345</v>
      </c>
      <c r="K3690" s="10">
        <v>0.35</v>
      </c>
      <c r="L3690" s="10">
        <v>3.5</v>
      </c>
      <c r="M3690" s="6" t="s">
        <v>375</v>
      </c>
    </row>
    <row r="3691" spans="1:13">
      <c r="A3691" s="6">
        <v>2024</v>
      </c>
      <c r="B3691" s="6">
        <v>4</v>
      </c>
      <c r="C3691" s="6" t="s">
        <v>62</v>
      </c>
      <c r="D3691" s="6" t="s">
        <v>722</v>
      </c>
      <c r="E3691" s="6" t="s">
        <v>452</v>
      </c>
      <c r="F3691" s="6" t="str">
        <f>IF($M3691="PADD I","PADD 1",IF($M3691="PADD II","PADD 2",IF($M3691="PADD III","PADD 3",IF($M3691="PADD IV","PADD 4",IF($M3691="PADD V","PADD 5","")))))</f>
        <v>PADD 4</v>
      </c>
      <c r="G3691" s="6" t="str">
        <f>IF(AND($H3691="ATMOS DISTILLATION",ISNUMBER(SEARCH("VPS",$I3691))=FALSE,LEFT($I3691,6)&lt;&gt;"VACUUM"),"CDU",IF($H3691="FLUID CAT CRACKING","FCC",IF(OR($H3691="HYDROCRACKING",$H3691="RESID_HYDROCRACKING"),"Hydrocracker",IF($H3691="REFORMING","Reformer",""))))</f>
        <v>FCC</v>
      </c>
      <c r="H3691" s="6" t="s">
        <v>376</v>
      </c>
      <c r="I3691" s="6" t="s">
        <v>1106</v>
      </c>
      <c r="J3691" s="6" t="s">
        <v>349</v>
      </c>
      <c r="K3691" s="10">
        <v>0.27</v>
      </c>
      <c r="L3691" s="10">
        <v>9</v>
      </c>
      <c r="M3691" s="6" t="s">
        <v>430</v>
      </c>
    </row>
    <row r="3692" spans="1:13">
      <c r="A3692" s="6">
        <v>2024</v>
      </c>
      <c r="B3692" s="6">
        <v>4</v>
      </c>
      <c r="C3692" s="6" t="s">
        <v>62</v>
      </c>
      <c r="D3692" s="6" t="s">
        <v>871</v>
      </c>
      <c r="E3692" s="6" t="s">
        <v>872</v>
      </c>
      <c r="F3692" s="6" t="str">
        <f>IF($M3692="PADD I","PADD 1",IF($M3692="PADD II","PADD 2",IF($M3692="PADD III","PADD 3",IF($M3692="PADD IV","PADD 4",IF($M3692="PADD V","PADD 5","")))))</f>
        <v>PADD 4</v>
      </c>
      <c r="G3692" s="6" t="str">
        <f>IF(AND($H3692="ATMOS DISTILLATION",ISNUMBER(SEARCH("VPS",$I3692))=FALSE,LEFT($I3692,6)&lt;&gt;"VACUUM"),"CDU",IF($H3692="FLUID CAT CRACKING","FCC",IF(OR($H3692="HYDROCRACKING",$H3692="RESID_HYDROCRACKING"),"Hydrocracker",IF($H3692="REFORMING","Reformer",""))))</f>
        <v>CDU</v>
      </c>
      <c r="H3692" s="6" t="s">
        <v>38</v>
      </c>
      <c r="I3692" s="6" t="s">
        <v>81</v>
      </c>
      <c r="J3692" s="6" t="s">
        <v>349</v>
      </c>
      <c r="K3692" s="10">
        <v>0.238</v>
      </c>
      <c r="L3692" s="10">
        <v>3.4</v>
      </c>
      <c r="M3692" s="6" t="s">
        <v>430</v>
      </c>
    </row>
    <row r="3693" spans="1:13">
      <c r="A3693" s="6">
        <v>2024</v>
      </c>
      <c r="B3693" s="6">
        <v>4</v>
      </c>
      <c r="C3693" s="6" t="s">
        <v>62</v>
      </c>
      <c r="D3693" s="6" t="s">
        <v>446</v>
      </c>
      <c r="E3693" s="6" t="s">
        <v>391</v>
      </c>
      <c r="F3693" s="6" t="str">
        <f>IF($M3693="PADD I","PADD 1",IF($M3693="PADD II","PADD 2",IF($M3693="PADD III","PADD 3",IF($M3693="PADD IV","PADD 4",IF($M3693="PADD V","PADD 5","")))))</f>
        <v>PADD 3</v>
      </c>
      <c r="G3693" s="6">
        <f>IF(AND($H3693="ATMOS DISTILLATION",ISNUMBER(SEARCH("VPS",$I3693))=FALSE,LEFT($I3693,6)&lt;&gt;"VACUUM"),"CDU",IF($H3693="FLUID CAT CRACKING","FCC",IF(OR($H3693="HYDROCRACKING",$H3693="RESID_HYDROCRACKING"),"Hydrocracker",IF($H3693="REFORMING","Reformer",""))))</f>
        <v/>
      </c>
      <c r="H3693" s="6" t="s">
        <v>460</v>
      </c>
      <c r="I3693" s="6" t="s">
        <v>580</v>
      </c>
      <c r="J3693" s="6" t="s">
        <v>345</v>
      </c>
      <c r="K3693" s="10">
        <v>0.216</v>
      </c>
      <c r="L3693" s="10">
        <v>7.2</v>
      </c>
      <c r="M3693" s="6" t="s">
        <v>371</v>
      </c>
    </row>
    <row r="3694" spans="1:13">
      <c r="A3694" s="6">
        <v>2024</v>
      </c>
      <c r="B3694" s="6">
        <v>4</v>
      </c>
      <c r="C3694" s="6" t="s">
        <v>62</v>
      </c>
      <c r="D3694" s="6" t="s">
        <v>871</v>
      </c>
      <c r="E3694" s="6" t="s">
        <v>872</v>
      </c>
      <c r="F3694" s="6" t="str">
        <f>IF($M3694="PADD I","PADD 1",IF($M3694="PADD II","PADD 2",IF($M3694="PADD III","PADD 3",IF($M3694="PADD IV","PADD 4",IF($M3694="PADD V","PADD 5","")))))</f>
        <v>PADD 4</v>
      </c>
      <c r="G3694" s="6">
        <f>IF(AND($H3694="ATMOS DISTILLATION",ISNUMBER(SEARCH("VPS",$I3694))=FALSE,LEFT($I3694,6)&lt;&gt;"VACUUM"),"CDU",IF($H3694="FLUID CAT CRACKING","FCC",IF(OR($H3694="HYDROCRACKING",$H3694="RESID_HYDROCRACKING"),"Hydrocracker",IF($H3694="REFORMING","Reformer",""))))</f>
        <v/>
      </c>
      <c r="H3694" s="6" t="s">
        <v>43</v>
      </c>
      <c r="I3694" s="6" t="s">
        <v>873</v>
      </c>
      <c r="J3694" s="6" t="s">
        <v>349</v>
      </c>
      <c r="K3694" s="10">
        <v>0.21</v>
      </c>
      <c r="L3694" s="10">
        <v>3</v>
      </c>
      <c r="M3694" s="6" t="s">
        <v>430</v>
      </c>
    </row>
    <row r="3695" spans="1:13">
      <c r="A3695" s="6">
        <v>2024</v>
      </c>
      <c r="B3695" s="6">
        <v>4</v>
      </c>
      <c r="C3695" s="6" t="s">
        <v>62</v>
      </c>
      <c r="D3695" s="6" t="s">
        <v>871</v>
      </c>
      <c r="E3695" s="6" t="s">
        <v>872</v>
      </c>
      <c r="F3695" s="6" t="str">
        <f>IF($M3695="PADD I","PADD 1",IF($M3695="PADD II","PADD 2",IF($M3695="PADD III","PADD 3",IF($M3695="PADD IV","PADD 4",IF($M3695="PADD V","PADD 5","")))))</f>
        <v>PADD 4</v>
      </c>
      <c r="G3695" s="6" t="str">
        <f>IF(AND($H3695="ATMOS DISTILLATION",ISNUMBER(SEARCH("VPS",$I3695))=FALSE,LEFT($I3695,6)&lt;&gt;"VACUUM"),"CDU",IF($H3695="FLUID CAT CRACKING","FCC",IF(OR($H3695="HYDROCRACKING",$H3695="RESID_HYDROCRACKING"),"Hydrocracker",IF($H3695="REFORMING","Reformer",""))))</f>
        <v>Reformer</v>
      </c>
      <c r="H3695" s="6" t="s">
        <v>421</v>
      </c>
      <c r="I3695" s="6" t="s">
        <v>15</v>
      </c>
      <c r="J3695" s="6" t="s">
        <v>349</v>
      </c>
      <c r="K3695" s="10">
        <v>0.21</v>
      </c>
      <c r="L3695" s="10">
        <v>3</v>
      </c>
      <c r="M3695" s="6" t="s">
        <v>430</v>
      </c>
    </row>
    <row r="3696" spans="1:13">
      <c r="A3696" s="6">
        <v>2024</v>
      </c>
      <c r="B3696" s="6">
        <v>4</v>
      </c>
      <c r="C3696" s="6" t="s">
        <v>62</v>
      </c>
      <c r="D3696" s="6" t="s">
        <v>871</v>
      </c>
      <c r="E3696" s="6" t="s">
        <v>872</v>
      </c>
      <c r="F3696" s="6" t="str">
        <f>IF($M3696="PADD I","PADD 1",IF($M3696="PADD II","PADD 2",IF($M3696="PADD III","PADD 3",IF($M3696="PADD IV","PADD 4",IF($M3696="PADD V","PADD 5","")))))</f>
        <v>PADD 4</v>
      </c>
      <c r="G3696" s="6">
        <f>IF(AND($H3696="ATMOS DISTILLATION",ISNUMBER(SEARCH("VPS",$I3696))=FALSE,LEFT($I3696,6)&lt;&gt;"VACUUM"),"CDU",IF($H3696="FLUID CAT CRACKING","FCC",IF(OR($H3696="HYDROCRACKING",$H3696="RESID_HYDROCRACKING"),"Hydrocracker",IF($H3696="REFORMING","Reformer",""))))</f>
        <v/>
      </c>
      <c r="H3696" s="6" t="s">
        <v>568</v>
      </c>
      <c r="I3696" s="6" t="s">
        <v>1202</v>
      </c>
      <c r="J3696" s="6" t="s">
        <v>349</v>
      </c>
      <c r="K3696" s="10">
        <v>0.07000000000000001</v>
      </c>
      <c r="L3696" s="10">
        <v>1</v>
      </c>
      <c r="M3696" s="6" t="s">
        <v>430</v>
      </c>
    </row>
    <row r="3697" spans="1:13">
      <c r="A3697" s="6">
        <v>2024</v>
      </c>
      <c r="B3697" s="6">
        <v>5</v>
      </c>
      <c r="C3697" s="6" t="s">
        <v>63</v>
      </c>
      <c r="D3697" s="6" t="s">
        <v>321</v>
      </c>
      <c r="E3697" s="6" t="s">
        <v>381</v>
      </c>
      <c r="F3697" s="6" t="str">
        <f>IF($M3697="PADD I","PADD 1",IF($M3697="PADD II","PADD 2",IF($M3697="PADD III","PADD 3",IF($M3697="PADD IV","PADD 4",IF($M3697="PADD V","PADD 5","")))))</f>
        <v>PADD 2</v>
      </c>
      <c r="G3697" s="6" t="str">
        <f>IF(AND($H3697="ATMOS DISTILLATION",ISNUMBER(SEARCH("VPS",$I3697))=FALSE,LEFT($I3697,6)&lt;&gt;"VACUUM"),"CDU",IF($H3697="FLUID CAT CRACKING","FCC",IF(OR($H3697="HYDROCRACKING",$H3697="RESID_HYDROCRACKING"),"Hydrocracker",IF($H3697="REFORMING","Reformer",""))))</f>
        <v>CDU</v>
      </c>
      <c r="H3697" s="6" t="s">
        <v>38</v>
      </c>
      <c r="I3697" s="6" t="s">
        <v>81</v>
      </c>
      <c r="J3697" s="6" t="s">
        <v>349</v>
      </c>
      <c r="K3697" s="10">
        <v>112.5</v>
      </c>
      <c r="L3697" s="10">
        <v>250</v>
      </c>
      <c r="M3697" s="6" t="s">
        <v>375</v>
      </c>
    </row>
    <row r="3698" spans="1:13">
      <c r="A3698" s="6">
        <v>2024</v>
      </c>
      <c r="B3698" s="6">
        <v>5</v>
      </c>
      <c r="C3698" s="6" t="s">
        <v>63</v>
      </c>
      <c r="D3698" s="6" t="s">
        <v>51</v>
      </c>
      <c r="E3698" s="6" t="s">
        <v>391</v>
      </c>
      <c r="F3698" s="6" t="str">
        <f>IF($M3698="PADD I","PADD 1",IF($M3698="PADD II","PADD 2",IF($M3698="PADD III","PADD 3",IF($M3698="PADD IV","PADD 4",IF($M3698="PADD V","PADD 5","")))))</f>
        <v>PADD 5</v>
      </c>
      <c r="G3698" s="6" t="str">
        <f>IF(AND($H3698="ATMOS DISTILLATION",ISNUMBER(SEARCH("VPS",$I3698))=FALSE,LEFT($I3698,6)&lt;&gt;"VACUUM"),"CDU",IF($H3698="FLUID CAT CRACKING","FCC",IF(OR($H3698="HYDROCRACKING",$H3698="RESID_HYDROCRACKING"),"Hydrocracker",IF($H3698="REFORMING","Reformer",""))))</f>
        <v>CDU</v>
      </c>
      <c r="H3698" s="6" t="s">
        <v>38</v>
      </c>
      <c r="I3698" s="6" t="s">
        <v>1163</v>
      </c>
      <c r="J3698" s="6" t="s">
        <v>349</v>
      </c>
      <c r="K3698" s="10">
        <v>93.5</v>
      </c>
      <c r="L3698" s="10">
        <v>170</v>
      </c>
      <c r="M3698" s="6" t="s">
        <v>386</v>
      </c>
    </row>
    <row r="3699" spans="1:13">
      <c r="A3699" s="6">
        <v>2024</v>
      </c>
      <c r="B3699" s="6">
        <v>5</v>
      </c>
      <c r="C3699" s="6" t="s">
        <v>63</v>
      </c>
      <c r="D3699" s="6" t="s">
        <v>547</v>
      </c>
      <c r="E3699" s="6" t="s">
        <v>391</v>
      </c>
      <c r="F3699" s="6" t="str">
        <f>IF($M3699="PADD I","PADD 1",IF($M3699="PADD II","PADD 2",IF($M3699="PADD III","PADD 3",IF($M3699="PADD IV","PADD 4",IF($M3699="PADD V","PADD 5","")))))</f>
        <v>PADD 5</v>
      </c>
      <c r="G3699" s="6" t="str">
        <f>IF(AND($H3699="ATMOS DISTILLATION",ISNUMBER(SEARCH("VPS",$I3699))=FALSE,LEFT($I3699,6)&lt;&gt;"VACUUM"),"CDU",IF($H3699="FLUID CAT CRACKING","FCC",IF(OR($H3699="HYDROCRACKING",$H3699="RESID_HYDROCRACKING"),"Hydrocracker",IF($H3699="REFORMING","Reformer",""))))</f>
        <v>FCC</v>
      </c>
      <c r="H3699" s="6" t="s">
        <v>376</v>
      </c>
      <c r="I3699" s="6" t="s">
        <v>105</v>
      </c>
      <c r="J3699" s="6" t="s">
        <v>349</v>
      </c>
      <c r="K3699" s="10">
        <v>77.59999999999999</v>
      </c>
      <c r="L3699" s="10">
        <v>80</v>
      </c>
      <c r="M3699" s="6" t="s">
        <v>386</v>
      </c>
    </row>
    <row r="3700" spans="1:13">
      <c r="A3700" s="6">
        <v>2024</v>
      </c>
      <c r="B3700" s="6">
        <v>5</v>
      </c>
      <c r="C3700" s="6" t="s">
        <v>63</v>
      </c>
      <c r="D3700" s="6" t="s">
        <v>321</v>
      </c>
      <c r="E3700" s="6" t="s">
        <v>381</v>
      </c>
      <c r="F3700" s="6" t="str">
        <f>IF($M3700="PADD I","PADD 1",IF($M3700="PADD II","PADD 2",IF($M3700="PADD III","PADD 3",IF($M3700="PADD IV","PADD 4",IF($M3700="PADD V","PADD 5","")))))</f>
        <v>PADD 2</v>
      </c>
      <c r="G3700" s="6" t="str">
        <f>IF(AND($H3700="ATMOS DISTILLATION",ISNUMBER(SEARCH("VPS",$I3700))=FALSE,LEFT($I3700,6)&lt;&gt;"VACUUM"),"CDU",IF($H3700="FLUID CAT CRACKING","FCC",IF(OR($H3700="HYDROCRACKING",$H3700="RESID_HYDROCRACKING"),"Hydrocracker",IF($H3700="REFORMING","Reformer",""))))</f>
        <v>FCC</v>
      </c>
      <c r="H3700" s="6" t="s">
        <v>376</v>
      </c>
      <c r="I3700" s="6" t="s">
        <v>105</v>
      </c>
      <c r="J3700" s="6" t="s">
        <v>349</v>
      </c>
      <c r="K3700" s="10">
        <v>66.64</v>
      </c>
      <c r="L3700" s="10">
        <v>98</v>
      </c>
      <c r="M3700" s="6" t="s">
        <v>375</v>
      </c>
    </row>
    <row r="3701" spans="1:13">
      <c r="A3701" s="6">
        <v>2024</v>
      </c>
      <c r="B3701" s="6">
        <v>5</v>
      </c>
      <c r="C3701" s="6" t="s">
        <v>63</v>
      </c>
      <c r="D3701" s="6" t="s">
        <v>547</v>
      </c>
      <c r="E3701" s="6" t="s">
        <v>391</v>
      </c>
      <c r="F3701" s="6" t="str">
        <f>IF($M3701="PADD I","PADD 1",IF($M3701="PADD II","PADD 2",IF($M3701="PADD III","PADD 3",IF($M3701="PADD IV","PADD 4",IF($M3701="PADD V","PADD 5","")))))</f>
        <v>PADD 5</v>
      </c>
      <c r="G3701" s="6">
        <f>IF(AND($H3701="ATMOS DISTILLATION",ISNUMBER(SEARCH("VPS",$I3701))=FALSE,LEFT($I3701,6)&lt;&gt;"VACUUM"),"CDU",IF($H3701="FLUID CAT CRACKING","FCC",IF(OR($H3701="HYDROCRACKING",$H3701="RESID_HYDROCRACKING"),"Hydrocracker",IF($H3701="REFORMING","Reformer",""))))</f>
        <v/>
      </c>
      <c r="H3701" s="6" t="s">
        <v>43</v>
      </c>
      <c r="I3701" s="6" t="s">
        <v>929</v>
      </c>
      <c r="J3701" s="6" t="s">
        <v>349</v>
      </c>
      <c r="K3701" s="10">
        <v>62.856</v>
      </c>
      <c r="L3701" s="10">
        <v>64.8</v>
      </c>
      <c r="M3701" s="6" t="s">
        <v>386</v>
      </c>
    </row>
    <row r="3702" spans="1:13">
      <c r="A3702" s="6">
        <v>2024</v>
      </c>
      <c r="B3702" s="6">
        <v>5</v>
      </c>
      <c r="C3702" s="6" t="s">
        <v>63</v>
      </c>
      <c r="D3702" s="6" t="s">
        <v>321</v>
      </c>
      <c r="E3702" s="6" t="s">
        <v>381</v>
      </c>
      <c r="F3702" s="6" t="str">
        <f>IF($M3702="PADD I","PADD 1",IF($M3702="PADD II","PADD 2",IF($M3702="PADD III","PADD 3",IF($M3702="PADD IV","PADD 4",IF($M3702="PADD V","PADD 5","")))))</f>
        <v>PADD 2</v>
      </c>
      <c r="G3702" s="6">
        <f>IF(AND($H3702="ATMOS DISTILLATION",ISNUMBER(SEARCH("VPS",$I3702))=FALSE,LEFT($I3702,6)&lt;&gt;"VACUUM"),"CDU",IF($H3702="FLUID CAT CRACKING","FCC",IF(OR($H3702="HYDROCRACKING",$H3702="RESID_HYDROCRACKING"),"Hydrocracker",IF($H3702="REFORMING","Reformer",""))))</f>
        <v/>
      </c>
      <c r="H3702" s="6" t="s">
        <v>43</v>
      </c>
      <c r="I3702" s="6" t="s">
        <v>1164</v>
      </c>
      <c r="J3702" s="6" t="s">
        <v>349</v>
      </c>
      <c r="K3702" s="10">
        <v>61.2</v>
      </c>
      <c r="L3702" s="10">
        <v>90</v>
      </c>
      <c r="M3702" s="6" t="s">
        <v>375</v>
      </c>
    </row>
    <row r="3703" spans="1:13">
      <c r="A3703" s="6">
        <v>2024</v>
      </c>
      <c r="B3703" s="6">
        <v>5</v>
      </c>
      <c r="C3703" s="6" t="s">
        <v>63</v>
      </c>
      <c r="D3703" s="6" t="s">
        <v>54</v>
      </c>
      <c r="E3703" s="6" t="s">
        <v>856</v>
      </c>
      <c r="F3703" s="6" t="str">
        <f>IF($M3703="PADD I","PADD 1",IF($M3703="PADD II","PADD 2",IF($M3703="PADD III","PADD 3",IF($M3703="PADD IV","PADD 4",IF($M3703="PADD V","PADD 5","")))))</f>
        <v>PADD 5</v>
      </c>
      <c r="G3703" s="6" t="str">
        <f>IF(AND($H3703="ATMOS DISTILLATION",ISNUMBER(SEARCH("VPS",$I3703))=FALSE,LEFT($I3703,6)&lt;&gt;"VACUUM"),"CDU",IF($H3703="FLUID CAT CRACKING","FCC",IF(OR($H3703="HYDROCRACKING",$H3703="RESID_HYDROCRACKING"),"Hydrocracker",IF($H3703="REFORMING","Reformer",""))))</f>
        <v>CDU</v>
      </c>
      <c r="H3703" s="6" t="s">
        <v>38</v>
      </c>
      <c r="I3703" s="6" t="s">
        <v>857</v>
      </c>
      <c r="J3703" s="6" t="s">
        <v>349</v>
      </c>
      <c r="K3703" s="10">
        <v>60</v>
      </c>
      <c r="L3703" s="10">
        <v>60</v>
      </c>
      <c r="M3703" s="6" t="s">
        <v>386</v>
      </c>
    </row>
    <row r="3704" spans="1:13">
      <c r="A3704" s="6">
        <v>2024</v>
      </c>
      <c r="B3704" s="6">
        <v>5</v>
      </c>
      <c r="C3704" s="6" t="s">
        <v>63</v>
      </c>
      <c r="D3704" s="6" t="s">
        <v>321</v>
      </c>
      <c r="E3704" s="6" t="s">
        <v>381</v>
      </c>
      <c r="F3704" s="6" t="str">
        <f>IF($M3704="PADD I","PADD 1",IF($M3704="PADD II","PADD 2",IF($M3704="PADD III","PADD 3",IF($M3704="PADD IV","PADD 4",IF($M3704="PADD V","PADD 5","")))))</f>
        <v>PADD 2</v>
      </c>
      <c r="G3704" s="6">
        <f>IF(AND($H3704="ATMOS DISTILLATION",ISNUMBER(SEARCH("VPS",$I3704))=FALSE,LEFT($I3704,6)&lt;&gt;"VACUUM"),"CDU",IF($H3704="FLUID CAT CRACKING","FCC",IF(OR($H3704="HYDROCRACKING",$H3704="RESID_HYDROCRACKING"),"Hydrocracker",IF($H3704="REFORMING","Reformer",""))))</f>
        <v/>
      </c>
      <c r="H3704" s="6" t="s">
        <v>378</v>
      </c>
      <c r="I3704" s="6" t="s">
        <v>431</v>
      </c>
      <c r="J3704" s="6" t="s">
        <v>349</v>
      </c>
      <c r="K3704" s="10">
        <v>57.15</v>
      </c>
      <c r="L3704" s="10">
        <v>127</v>
      </c>
      <c r="M3704" s="6" t="s">
        <v>375</v>
      </c>
    </row>
    <row r="3705" spans="1:13">
      <c r="A3705" s="6">
        <v>2024</v>
      </c>
      <c r="B3705" s="6">
        <v>5</v>
      </c>
      <c r="C3705" s="6" t="s">
        <v>63</v>
      </c>
      <c r="D3705" s="6" t="s">
        <v>50</v>
      </c>
      <c r="E3705" s="6" t="s">
        <v>381</v>
      </c>
      <c r="F3705" s="6" t="str">
        <f>IF($M3705="PADD I","PADD 1",IF($M3705="PADD II","PADD 2",IF($M3705="PADD III","PADD 3",IF($M3705="PADD IV","PADD 4",IF($M3705="PADD V","PADD 5","")))))</f>
        <v>PADD 3</v>
      </c>
      <c r="G3705" s="6" t="str">
        <f>IF(AND($H3705="ATMOS DISTILLATION",ISNUMBER(SEARCH("VPS",$I3705))=FALSE,LEFT($I3705,6)&lt;&gt;"VACUUM"),"CDU",IF($H3705="FLUID CAT CRACKING","FCC",IF(OR($H3705="HYDROCRACKING",$H3705="RESID_HYDROCRACKING"),"Hydrocracker",IF($H3705="REFORMING","Reformer",""))))</f>
        <v>Reformer</v>
      </c>
      <c r="H3705" s="6" t="s">
        <v>421</v>
      </c>
      <c r="I3705" s="6" t="s">
        <v>1086</v>
      </c>
      <c r="J3705" s="6" t="s">
        <v>345</v>
      </c>
      <c r="K3705" s="10">
        <v>57</v>
      </c>
      <c r="L3705" s="10">
        <v>57</v>
      </c>
      <c r="M3705" s="6" t="s">
        <v>371</v>
      </c>
    </row>
    <row r="3706" spans="1:13">
      <c r="A3706" s="6">
        <v>2024</v>
      </c>
      <c r="B3706" s="6">
        <v>5</v>
      </c>
      <c r="C3706" s="6" t="s">
        <v>63</v>
      </c>
      <c r="D3706" s="6" t="s">
        <v>455</v>
      </c>
      <c r="E3706" s="6" t="s">
        <v>405</v>
      </c>
      <c r="F3706" s="6" t="str">
        <f>IF($M3706="PADD I","PADD 1",IF($M3706="PADD II","PADD 2",IF($M3706="PADD III","PADD 3",IF($M3706="PADD IV","PADD 4",IF($M3706="PADD V","PADD 5","")))))</f>
        <v>PADD 3</v>
      </c>
      <c r="G3706" s="6" t="str">
        <f>IF(AND($H3706="ATMOS DISTILLATION",ISNUMBER(SEARCH("VPS",$I3706))=FALSE,LEFT($I3706,6)&lt;&gt;"VACUUM"),"CDU",IF($H3706="FLUID CAT CRACKING","FCC",IF(OR($H3706="HYDROCRACKING",$H3706="RESID_HYDROCRACKING"),"Hydrocracker",IF($H3706="REFORMING","Reformer",""))))</f>
        <v>Hydrocracker</v>
      </c>
      <c r="H3706" s="6" t="s">
        <v>444</v>
      </c>
      <c r="I3706" s="6" t="s">
        <v>1013</v>
      </c>
      <c r="J3706" s="6" t="s">
        <v>349</v>
      </c>
      <c r="K3706" s="10">
        <v>55.29</v>
      </c>
      <c r="L3706" s="10">
        <v>57</v>
      </c>
      <c r="M3706" s="6" t="s">
        <v>371</v>
      </c>
    </row>
    <row r="3707" spans="1:13">
      <c r="A3707" s="6">
        <v>2024</v>
      </c>
      <c r="B3707" s="6">
        <v>5</v>
      </c>
      <c r="C3707" s="6" t="s">
        <v>63</v>
      </c>
      <c r="D3707" s="6" t="s">
        <v>321</v>
      </c>
      <c r="E3707" s="6" t="s">
        <v>381</v>
      </c>
      <c r="F3707" s="6" t="str">
        <f>IF($M3707="PADD I","PADD 1",IF($M3707="PADD II","PADD 2",IF($M3707="PADD III","PADD 3",IF($M3707="PADD IV","PADD 4",IF($M3707="PADD V","PADD 5","")))))</f>
        <v>PADD 2</v>
      </c>
      <c r="G3707" s="6">
        <f>IF(AND($H3707="ATMOS DISTILLATION",ISNUMBER(SEARCH("VPS",$I3707))=FALSE,LEFT($I3707,6)&lt;&gt;"VACUUM"),"CDU",IF($H3707="FLUID CAT CRACKING","FCC",IF(OR($H3707="HYDROCRACKING",$H3707="RESID_HYDROCRACKING"),"Hydrocracker",IF($H3707="REFORMING","Reformer",""))))</f>
        <v/>
      </c>
      <c r="H3707" s="6" t="s">
        <v>43</v>
      </c>
      <c r="I3707" s="6" t="s">
        <v>1165</v>
      </c>
      <c r="J3707" s="6" t="s">
        <v>349</v>
      </c>
      <c r="K3707" s="10">
        <v>54.4</v>
      </c>
      <c r="L3707" s="10">
        <v>80</v>
      </c>
      <c r="M3707" s="6" t="s">
        <v>375</v>
      </c>
    </row>
    <row r="3708" spans="1:13">
      <c r="A3708" s="6">
        <v>2024</v>
      </c>
      <c r="B3708" s="6">
        <v>5</v>
      </c>
      <c r="C3708" s="6" t="s">
        <v>63</v>
      </c>
      <c r="D3708" s="6" t="s">
        <v>380</v>
      </c>
      <c r="E3708" s="6" t="s">
        <v>381</v>
      </c>
      <c r="F3708" s="6" t="str">
        <f>IF($M3708="PADD I","PADD 1",IF($M3708="PADD II","PADD 2",IF($M3708="PADD III","PADD 3",IF($M3708="PADD IV","PADD 4",IF($M3708="PADD V","PADD 5","")))))</f>
        <v>PADD 3</v>
      </c>
      <c r="G3708" s="6" t="str">
        <f>IF(AND($H3708="ATMOS DISTILLATION",ISNUMBER(SEARCH("VPS",$I3708))=FALSE,LEFT($I3708,6)&lt;&gt;"VACUUM"),"CDU",IF($H3708="FLUID CAT CRACKING","FCC",IF(OR($H3708="HYDROCRACKING",$H3708="RESID_HYDROCRACKING"),"Hydrocracker",IF($H3708="REFORMING","Reformer",""))))</f>
        <v>CDU</v>
      </c>
      <c r="H3708" s="6" t="s">
        <v>38</v>
      </c>
      <c r="I3708" s="6" t="s">
        <v>114</v>
      </c>
      <c r="J3708" s="6" t="s">
        <v>349</v>
      </c>
      <c r="K3708" s="10">
        <v>52.8</v>
      </c>
      <c r="L3708" s="10">
        <v>110</v>
      </c>
      <c r="M3708" s="6" t="s">
        <v>371</v>
      </c>
    </row>
    <row r="3709" spans="1:13">
      <c r="A3709" s="6">
        <v>2024</v>
      </c>
      <c r="B3709" s="6">
        <v>5</v>
      </c>
      <c r="C3709" s="6" t="s">
        <v>63</v>
      </c>
      <c r="D3709" s="6" t="s">
        <v>324</v>
      </c>
      <c r="E3709" s="6" t="s">
        <v>388</v>
      </c>
      <c r="F3709" s="6" t="str">
        <f>IF($M3709="PADD I","PADD 1",IF($M3709="PADD II","PADD 2",IF($M3709="PADD III","PADD 3",IF($M3709="PADD IV","PADD 4",IF($M3709="PADD V","PADD 5","")))))</f>
        <v>PADD 3</v>
      </c>
      <c r="G3709" s="6">
        <f>IF(AND($H3709="ATMOS DISTILLATION",ISNUMBER(SEARCH("VPS",$I3709))=FALSE,LEFT($I3709,6)&lt;&gt;"VACUUM"),"CDU",IF($H3709="FLUID CAT CRACKING","FCC",IF(OR($H3709="HYDROCRACKING",$H3709="RESID_HYDROCRACKING"),"Hydrocracker",IF($H3709="REFORMING","Reformer",""))))</f>
        <v/>
      </c>
      <c r="H3709" s="6" t="s">
        <v>43</v>
      </c>
      <c r="I3709" s="6" t="s">
        <v>682</v>
      </c>
      <c r="J3709" s="6" t="s">
        <v>345</v>
      </c>
      <c r="K3709" s="10">
        <v>50.88</v>
      </c>
      <c r="L3709" s="10">
        <v>106</v>
      </c>
      <c r="M3709" s="6" t="s">
        <v>371</v>
      </c>
    </row>
    <row r="3710" spans="1:13">
      <c r="A3710" s="6">
        <v>2024</v>
      </c>
      <c r="B3710" s="6">
        <v>5</v>
      </c>
      <c r="C3710" s="6" t="s">
        <v>63</v>
      </c>
      <c r="D3710" s="6" t="s">
        <v>51</v>
      </c>
      <c r="E3710" s="6" t="s">
        <v>391</v>
      </c>
      <c r="F3710" s="6" t="str">
        <f>IF($M3710="PADD I","PADD 1",IF($M3710="PADD II","PADD 2",IF($M3710="PADD III","PADD 3",IF($M3710="PADD IV","PADD 4",IF($M3710="PADD V","PADD 5","")))))</f>
        <v>PADD 5</v>
      </c>
      <c r="G3710" s="6">
        <f>IF(AND($H3710="ATMOS DISTILLATION",ISNUMBER(SEARCH("VPS",$I3710))=FALSE,LEFT($I3710,6)&lt;&gt;"VACUUM"),"CDU",IF($H3710="FLUID CAT CRACKING","FCC",IF(OR($H3710="HYDROCRACKING",$H3710="RESID_HYDROCRACKING"),"Hydrocracker",IF($H3710="REFORMING","Reformer",""))))</f>
        <v/>
      </c>
      <c r="H3710" s="6" t="s">
        <v>378</v>
      </c>
      <c r="I3710" s="6" t="s">
        <v>1035</v>
      </c>
      <c r="J3710" s="6" t="s">
        <v>345</v>
      </c>
      <c r="K3710" s="10">
        <v>50.4</v>
      </c>
      <c r="L3710" s="10">
        <v>105</v>
      </c>
      <c r="M3710" s="6" t="s">
        <v>386</v>
      </c>
    </row>
    <row r="3711" spans="1:13">
      <c r="A3711" s="6">
        <v>2024</v>
      </c>
      <c r="B3711" s="6">
        <v>5</v>
      </c>
      <c r="C3711" s="6" t="s">
        <v>63</v>
      </c>
      <c r="D3711" s="6" t="s">
        <v>50</v>
      </c>
      <c r="E3711" s="6" t="s">
        <v>381</v>
      </c>
      <c r="F3711" s="6" t="str">
        <f>IF($M3711="PADD I","PADD 1",IF($M3711="PADD II","PADD 2",IF($M3711="PADD III","PADD 3",IF($M3711="PADD IV","PADD 4",IF($M3711="PADD V","PADD 5","")))))</f>
        <v>PADD 3</v>
      </c>
      <c r="G3711" s="6" t="str">
        <f>IF(AND($H3711="ATMOS DISTILLATION",ISNUMBER(SEARCH("VPS",$I3711))=FALSE,LEFT($I3711,6)&lt;&gt;"VACUUM"),"CDU",IF($H3711="FLUID CAT CRACKING","FCC",IF(OR($H3711="HYDROCRACKING",$H3711="RESID_HYDROCRACKING"),"Hydrocracker",IF($H3711="REFORMING","Reformer",""))))</f>
        <v>Reformer</v>
      </c>
      <c r="H3711" s="6" t="s">
        <v>421</v>
      </c>
      <c r="I3711" s="6" t="s">
        <v>892</v>
      </c>
      <c r="J3711" s="6" t="s">
        <v>349</v>
      </c>
      <c r="K3711" s="10">
        <v>48.1</v>
      </c>
      <c r="L3711" s="10">
        <v>65</v>
      </c>
      <c r="M3711" s="6" t="s">
        <v>371</v>
      </c>
    </row>
    <row r="3712" spans="1:13">
      <c r="A3712" s="6">
        <v>2024</v>
      </c>
      <c r="B3712" s="6">
        <v>5</v>
      </c>
      <c r="C3712" s="6" t="s">
        <v>63</v>
      </c>
      <c r="D3712" s="6" t="s">
        <v>51</v>
      </c>
      <c r="E3712" s="6" t="s">
        <v>391</v>
      </c>
      <c r="F3712" s="6" t="str">
        <f>IF($M3712="PADD I","PADD 1",IF($M3712="PADD II","PADD 2",IF($M3712="PADD III","PADD 3",IF($M3712="PADD IV","PADD 4",IF($M3712="PADD V","PADD 5","")))))</f>
        <v>PADD 5</v>
      </c>
      <c r="G3712" s="6">
        <f>IF(AND($H3712="ATMOS DISTILLATION",ISNUMBER(SEARCH("VPS",$I3712))=FALSE,LEFT($I3712,6)&lt;&gt;"VACUUM"),"CDU",IF($H3712="FLUID CAT CRACKING","FCC",IF(OR($H3712="HYDROCRACKING",$H3712="RESID_HYDROCRACKING"),"Hydrocracker",IF($H3712="REFORMING","Reformer",""))))</f>
        <v/>
      </c>
      <c r="H3712" s="6" t="s">
        <v>43</v>
      </c>
      <c r="I3712" s="6" t="s">
        <v>1167</v>
      </c>
      <c r="J3712" s="6" t="s">
        <v>349</v>
      </c>
      <c r="K3712" s="10">
        <v>45.5</v>
      </c>
      <c r="L3712" s="10">
        <v>70</v>
      </c>
      <c r="M3712" s="6" t="s">
        <v>386</v>
      </c>
    </row>
    <row r="3713" spans="1:13">
      <c r="A3713" s="6">
        <v>2024</v>
      </c>
      <c r="B3713" s="6">
        <v>5</v>
      </c>
      <c r="C3713" s="6" t="s">
        <v>63</v>
      </c>
      <c r="D3713" s="6" t="s">
        <v>395</v>
      </c>
      <c r="E3713" s="6" t="s">
        <v>396</v>
      </c>
      <c r="F3713" s="6" t="str">
        <f>IF($M3713="PADD I","PADD 1",IF($M3713="PADD II","PADD 2",IF($M3713="PADD III","PADD 3",IF($M3713="PADD IV","PADD 4",IF($M3713="PADD V","PADD 5","")))))</f>
        <v>PADD 3</v>
      </c>
      <c r="G3713" s="6" t="str">
        <f>IF(AND($H3713="ATMOS DISTILLATION",ISNUMBER(SEARCH("VPS",$I3713))=FALSE,LEFT($I3713,6)&lt;&gt;"VACUUM"),"CDU",IF($H3713="FLUID CAT CRACKING","FCC",IF(OR($H3713="HYDROCRACKING",$H3713="RESID_HYDROCRACKING"),"Hydrocracker",IF($H3713="REFORMING","Reformer",""))))</f>
        <v>Hydrocracker</v>
      </c>
      <c r="H3713" s="6" t="s">
        <v>444</v>
      </c>
      <c r="I3713" s="6" t="s">
        <v>512</v>
      </c>
      <c r="J3713" s="6" t="s">
        <v>345</v>
      </c>
      <c r="K3713" s="10">
        <v>43.55</v>
      </c>
      <c r="L3713" s="10">
        <v>67</v>
      </c>
      <c r="M3713" s="6" t="s">
        <v>371</v>
      </c>
    </row>
    <row r="3714" spans="1:13">
      <c r="A3714" s="6">
        <v>2024</v>
      </c>
      <c r="B3714" s="6">
        <v>5</v>
      </c>
      <c r="C3714" s="6" t="s">
        <v>63</v>
      </c>
      <c r="D3714" s="6" t="s">
        <v>51</v>
      </c>
      <c r="E3714" s="6" t="s">
        <v>391</v>
      </c>
      <c r="F3714" s="6" t="str">
        <f>IF($M3714="PADD I","PADD 1",IF($M3714="PADD II","PADD 2",IF($M3714="PADD III","PADD 3",IF($M3714="PADD IV","PADD 4",IF($M3714="PADD V","PADD 5","")))))</f>
        <v>PADD 5</v>
      </c>
      <c r="G3714" s="6">
        <f>IF(AND($H3714="ATMOS DISTILLATION",ISNUMBER(SEARCH("VPS",$I3714))=FALSE,LEFT($I3714,6)&lt;&gt;"VACUUM"),"CDU",IF($H3714="FLUID CAT CRACKING","FCC",IF(OR($H3714="HYDROCRACKING",$H3714="RESID_HYDROCRACKING"),"Hydrocracker",IF($H3714="REFORMING","Reformer",""))))</f>
        <v/>
      </c>
      <c r="H3714" s="6" t="s">
        <v>43</v>
      </c>
      <c r="I3714" s="6" t="s">
        <v>859</v>
      </c>
      <c r="J3714" s="6" t="s">
        <v>345</v>
      </c>
      <c r="K3714" s="10">
        <v>42.7</v>
      </c>
      <c r="L3714" s="10">
        <v>70</v>
      </c>
      <c r="M3714" s="6" t="s">
        <v>386</v>
      </c>
    </row>
    <row r="3715" spans="1:13">
      <c r="A3715" s="6">
        <v>2024</v>
      </c>
      <c r="B3715" s="6">
        <v>5</v>
      </c>
      <c r="C3715" s="6" t="s">
        <v>63</v>
      </c>
      <c r="D3715" s="6" t="s">
        <v>822</v>
      </c>
      <c r="E3715" s="6" t="s">
        <v>416</v>
      </c>
      <c r="F3715" s="6" t="str">
        <f>IF($M3715="PADD I","PADD 1",IF($M3715="PADD II","PADD 2",IF($M3715="PADD III","PADD 3",IF($M3715="PADD IV","PADD 4",IF($M3715="PADD V","PADD 5","")))))</f>
        <v>PADD 3</v>
      </c>
      <c r="G3715" s="6">
        <f>IF(AND($H3715="ATMOS DISTILLATION",ISNUMBER(SEARCH("VPS",$I3715))=FALSE,LEFT($I3715,6)&lt;&gt;"VACUUM"),"CDU",IF($H3715="FLUID CAT CRACKING","FCC",IF(OR($H3715="HYDROCRACKING",$H3715="RESID_HYDROCRACKING"),"Hydrocracker",IF($H3715="REFORMING","Reformer",""))))</f>
        <v/>
      </c>
      <c r="H3715" s="6" t="s">
        <v>43</v>
      </c>
      <c r="I3715" s="6" t="s">
        <v>823</v>
      </c>
      <c r="J3715" s="6" t="s">
        <v>349</v>
      </c>
      <c r="K3715" s="10">
        <v>42</v>
      </c>
      <c r="L3715" s="10">
        <v>50</v>
      </c>
      <c r="M3715" s="6" t="s">
        <v>371</v>
      </c>
    </row>
    <row r="3716" spans="1:13">
      <c r="A3716" s="6">
        <v>2024</v>
      </c>
      <c r="B3716" s="6">
        <v>5</v>
      </c>
      <c r="C3716" s="6" t="s">
        <v>63</v>
      </c>
      <c r="D3716" s="6" t="s">
        <v>646</v>
      </c>
      <c r="E3716" s="6" t="s">
        <v>405</v>
      </c>
      <c r="F3716" s="6" t="str">
        <f>IF($M3716="PADD I","PADD 1",IF($M3716="PADD II","PADD 2",IF($M3716="PADD III","PADD 3",IF($M3716="PADD IV","PADD 4",IF($M3716="PADD V","PADD 5","")))))</f>
        <v>PADD 3</v>
      </c>
      <c r="G3716" s="6">
        <f>IF(AND($H3716="ATMOS DISTILLATION",ISNUMBER(SEARCH("VPS",$I3716))=FALSE,LEFT($I3716,6)&lt;&gt;"VACUUM"),"CDU",IF($H3716="FLUID CAT CRACKING","FCC",IF(OR($H3716="HYDROCRACKING",$H3716="RESID_HYDROCRACKING"),"Hydrocracker",IF($H3716="REFORMING","Reformer",""))))</f>
        <v/>
      </c>
      <c r="H3716" s="6" t="s">
        <v>43</v>
      </c>
      <c r="I3716" s="6" t="s">
        <v>647</v>
      </c>
      <c r="J3716" s="6" t="s">
        <v>345</v>
      </c>
      <c r="K3716" s="10">
        <v>39.15</v>
      </c>
      <c r="L3716" s="10">
        <v>45</v>
      </c>
      <c r="M3716" s="6" t="s">
        <v>371</v>
      </c>
    </row>
    <row r="3717" spans="1:13">
      <c r="A3717" s="6">
        <v>2024</v>
      </c>
      <c r="B3717" s="6">
        <v>5</v>
      </c>
      <c r="C3717" s="6" t="s">
        <v>63</v>
      </c>
      <c r="D3717" s="6" t="s">
        <v>822</v>
      </c>
      <c r="E3717" s="6" t="s">
        <v>416</v>
      </c>
      <c r="F3717" s="6" t="str">
        <f>IF($M3717="PADD I","PADD 1",IF($M3717="PADD II","PADD 2",IF($M3717="PADD III","PADD 3",IF($M3717="PADD IV","PADD 4",IF($M3717="PADD V","PADD 5","")))))</f>
        <v>PADD 3</v>
      </c>
      <c r="G3717" s="6">
        <f>IF(AND($H3717="ATMOS DISTILLATION",ISNUMBER(SEARCH("VPS",$I3717))=FALSE,LEFT($I3717,6)&lt;&gt;"VACUUM"),"CDU",IF($H3717="FLUID CAT CRACKING","FCC",IF(OR($H3717="HYDROCRACKING",$H3717="RESID_HYDROCRACKING"),"Hydrocracker",IF($H3717="REFORMING","Reformer",""))))</f>
        <v/>
      </c>
      <c r="H3717" s="6" t="s">
        <v>43</v>
      </c>
      <c r="I3717" s="6" t="s">
        <v>520</v>
      </c>
      <c r="J3717" s="6" t="s">
        <v>349</v>
      </c>
      <c r="K3717" s="10">
        <v>37.8</v>
      </c>
      <c r="L3717" s="10">
        <v>45</v>
      </c>
      <c r="M3717" s="6" t="s">
        <v>371</v>
      </c>
    </row>
    <row r="3718" spans="1:13">
      <c r="A3718" s="6">
        <v>2024</v>
      </c>
      <c r="B3718" s="6">
        <v>5</v>
      </c>
      <c r="C3718" s="6" t="s">
        <v>63</v>
      </c>
      <c r="D3718" s="6" t="s">
        <v>612</v>
      </c>
      <c r="E3718" s="6" t="s">
        <v>416</v>
      </c>
      <c r="F3718" s="6" t="str">
        <f>IF($M3718="PADD I","PADD 1",IF($M3718="PADD II","PADD 2",IF($M3718="PADD III","PADD 3",IF($M3718="PADD IV","PADD 4",IF($M3718="PADD V","PADD 5","")))))</f>
        <v>PADD 3</v>
      </c>
      <c r="G3718" s="6">
        <f>IF(AND($H3718="ATMOS DISTILLATION",ISNUMBER(SEARCH("VPS",$I3718))=FALSE,LEFT($I3718,6)&lt;&gt;"VACUUM"),"CDU",IF($H3718="FLUID CAT CRACKING","FCC",IF(OR($H3718="HYDROCRACKING",$H3718="RESID_HYDROCRACKING"),"Hydrocracker",IF($H3718="REFORMING","Reformer",""))))</f>
        <v/>
      </c>
      <c r="H3718" s="6" t="s">
        <v>435</v>
      </c>
      <c r="I3718" s="6" t="s">
        <v>441</v>
      </c>
      <c r="J3718" s="6" t="s">
        <v>345</v>
      </c>
      <c r="K3718" s="10">
        <v>36.96</v>
      </c>
      <c r="L3718" s="10">
        <v>44</v>
      </c>
      <c r="M3718" s="6" t="s">
        <v>371</v>
      </c>
    </row>
    <row r="3719" spans="1:13">
      <c r="A3719" s="6">
        <v>2024</v>
      </c>
      <c r="B3719" s="6">
        <v>5</v>
      </c>
      <c r="C3719" s="6" t="s">
        <v>63</v>
      </c>
      <c r="D3719" s="6" t="s">
        <v>822</v>
      </c>
      <c r="E3719" s="6" t="s">
        <v>416</v>
      </c>
      <c r="F3719" s="6" t="str">
        <f>IF($M3719="PADD I","PADD 1",IF($M3719="PADD II","PADD 2",IF($M3719="PADD III","PADD 3",IF($M3719="PADD IV","PADD 4",IF($M3719="PADD V","PADD 5","")))))</f>
        <v>PADD 3</v>
      </c>
      <c r="G3719" s="6">
        <f>IF(AND($H3719="ATMOS DISTILLATION",ISNUMBER(SEARCH("VPS",$I3719))=FALSE,LEFT($I3719,6)&lt;&gt;"VACUUM"),"CDU",IF($H3719="FLUID CAT CRACKING","FCC",IF(OR($H3719="HYDROCRACKING",$H3719="RESID_HYDROCRACKING"),"Hydrocracker",IF($H3719="REFORMING","Reformer",""))))</f>
        <v/>
      </c>
      <c r="H3719" s="6" t="s">
        <v>435</v>
      </c>
      <c r="I3719" s="6" t="s">
        <v>441</v>
      </c>
      <c r="J3719" s="6" t="s">
        <v>349</v>
      </c>
      <c r="K3719" s="10">
        <v>36.96</v>
      </c>
      <c r="L3719" s="10">
        <v>44</v>
      </c>
      <c r="M3719" s="6" t="s">
        <v>371</v>
      </c>
    </row>
    <row r="3720" spans="1:13">
      <c r="A3720" s="6">
        <v>2024</v>
      </c>
      <c r="B3720" s="6">
        <v>5</v>
      </c>
      <c r="C3720" s="6" t="s">
        <v>63</v>
      </c>
      <c r="D3720" s="6" t="s">
        <v>762</v>
      </c>
      <c r="E3720" s="6" t="s">
        <v>763</v>
      </c>
      <c r="F3720" s="6" t="str">
        <f>IF($M3720="PADD I","PADD 1",IF($M3720="PADD II","PADD 2",IF($M3720="PADD III","PADD 3",IF($M3720="PADD IV","PADD 4",IF($M3720="PADD V","PADD 5","")))))</f>
        <v>PADD 2</v>
      </c>
      <c r="G3720" s="6" t="str">
        <f>IF(AND($H3720="ATMOS DISTILLATION",ISNUMBER(SEARCH("VPS",$I3720))=FALSE,LEFT($I3720,6)&lt;&gt;"VACUUM"),"CDU",IF($H3720="FLUID CAT CRACKING","FCC",IF(OR($H3720="HYDROCRACKING",$H3720="RESID_HYDROCRACKING"),"Hydrocracker",IF($H3720="REFORMING","Reformer",""))))</f>
        <v>CDU</v>
      </c>
      <c r="H3720" s="6" t="s">
        <v>38</v>
      </c>
      <c r="I3720" s="6" t="s">
        <v>330</v>
      </c>
      <c r="J3720" s="6" t="s">
        <v>345</v>
      </c>
      <c r="K3720" s="10">
        <v>35</v>
      </c>
      <c r="L3720" s="10">
        <v>35</v>
      </c>
      <c r="M3720" s="6" t="s">
        <v>375</v>
      </c>
    </row>
    <row r="3721" spans="1:13">
      <c r="A3721" s="6">
        <v>2024</v>
      </c>
      <c r="B3721" s="6">
        <v>5</v>
      </c>
      <c r="C3721" s="6" t="s">
        <v>63</v>
      </c>
      <c r="D3721" s="6" t="s">
        <v>446</v>
      </c>
      <c r="E3721" s="6" t="s">
        <v>391</v>
      </c>
      <c r="F3721" s="6" t="str">
        <f>IF($M3721="PADD I","PADD 1",IF($M3721="PADD II","PADD 2",IF($M3721="PADD III","PADD 3",IF($M3721="PADD IV","PADD 4",IF($M3721="PADD V","PADD 5","")))))</f>
        <v>PADD 3</v>
      </c>
      <c r="G3721" s="6">
        <f>IF(AND($H3721="ATMOS DISTILLATION",ISNUMBER(SEARCH("VPS",$I3721))=FALSE,LEFT($I3721,6)&lt;&gt;"VACUUM"),"CDU",IF($H3721="FLUID CAT CRACKING","FCC",IF(OR($H3721="HYDROCRACKING",$H3721="RESID_HYDROCRACKING"),"Hydrocracker",IF($H3721="REFORMING","Reformer",""))))</f>
        <v/>
      </c>
      <c r="H3721" s="6" t="s">
        <v>43</v>
      </c>
      <c r="I3721" s="6" t="s">
        <v>447</v>
      </c>
      <c r="J3721" s="6" t="s">
        <v>349</v>
      </c>
      <c r="K3721" s="10">
        <v>35</v>
      </c>
      <c r="L3721" s="10">
        <v>35</v>
      </c>
      <c r="M3721" s="6" t="s">
        <v>371</v>
      </c>
    </row>
    <row r="3722" spans="1:13">
      <c r="A3722" s="6">
        <v>2024</v>
      </c>
      <c r="B3722" s="6">
        <v>5</v>
      </c>
      <c r="C3722" s="6" t="s">
        <v>63</v>
      </c>
      <c r="D3722" s="6" t="s">
        <v>448</v>
      </c>
      <c r="E3722" s="6" t="s">
        <v>391</v>
      </c>
      <c r="F3722" s="6" t="str">
        <f>IF($M3722="PADD I","PADD 1",IF($M3722="PADD II","PADD 2",IF($M3722="PADD III","PADD 3",IF($M3722="PADD IV","PADD 4",IF($M3722="PADD V","PADD 5","")))))</f>
        <v>PADD 3</v>
      </c>
      <c r="G3722" s="6">
        <f>IF(AND($H3722="ATMOS DISTILLATION",ISNUMBER(SEARCH("VPS",$I3722))=FALSE,LEFT($I3722,6)&lt;&gt;"VACUUM"),"CDU",IF($H3722="FLUID CAT CRACKING","FCC",IF(OR($H3722="HYDROCRACKING",$H3722="RESID_HYDROCRACKING"),"Hydrocracker",IF($H3722="REFORMING","Reformer",""))))</f>
        <v/>
      </c>
      <c r="H3722" s="6" t="s">
        <v>43</v>
      </c>
      <c r="I3722" s="6" t="s">
        <v>449</v>
      </c>
      <c r="J3722" s="6" t="s">
        <v>345</v>
      </c>
      <c r="K3722" s="10">
        <v>35</v>
      </c>
      <c r="L3722" s="10">
        <v>35</v>
      </c>
      <c r="M3722" s="6" t="s">
        <v>371</v>
      </c>
    </row>
    <row r="3723" spans="1:13">
      <c r="A3723" s="6">
        <v>2024</v>
      </c>
      <c r="B3723" s="6">
        <v>5</v>
      </c>
      <c r="C3723" s="6" t="s">
        <v>63</v>
      </c>
      <c r="D3723" s="6" t="s">
        <v>321</v>
      </c>
      <c r="E3723" s="6" t="s">
        <v>381</v>
      </c>
      <c r="F3723" s="6" t="str">
        <f>IF($M3723="PADD I","PADD 1",IF($M3723="PADD II","PADD 2",IF($M3723="PADD III","PADD 3",IF($M3723="PADD IV","PADD 4",IF($M3723="PADD V","PADD 5","")))))</f>
        <v>PADD 2</v>
      </c>
      <c r="G3723" s="6">
        <f>IF(AND($H3723="ATMOS DISTILLATION",ISNUMBER(SEARCH("VPS",$I3723))=FALSE,LEFT($I3723,6)&lt;&gt;"VACUUM"),"CDU",IF($H3723="FLUID CAT CRACKING","FCC",IF(OR($H3723="HYDROCRACKING",$H3723="RESID_HYDROCRACKING"),"Hydrocracker",IF($H3723="REFORMING","Reformer",""))))</f>
        <v/>
      </c>
      <c r="H3723" s="6" t="s">
        <v>43</v>
      </c>
      <c r="I3723" s="6" t="s">
        <v>744</v>
      </c>
      <c r="J3723" s="6" t="s">
        <v>349</v>
      </c>
      <c r="K3723" s="10">
        <v>34</v>
      </c>
      <c r="L3723" s="10">
        <v>50</v>
      </c>
      <c r="M3723" s="6" t="s">
        <v>375</v>
      </c>
    </row>
    <row r="3724" spans="1:13">
      <c r="A3724" s="6">
        <v>2024</v>
      </c>
      <c r="B3724" s="6">
        <v>5</v>
      </c>
      <c r="C3724" s="6" t="s">
        <v>63</v>
      </c>
      <c r="D3724" s="6" t="s">
        <v>321</v>
      </c>
      <c r="E3724" s="6" t="s">
        <v>381</v>
      </c>
      <c r="F3724" s="6" t="str">
        <f>IF($M3724="PADD I","PADD 1",IF($M3724="PADD II","PADD 2",IF($M3724="PADD III","PADD 3",IF($M3724="PADD IV","PADD 4",IF($M3724="PADD V","PADD 5","")))))</f>
        <v>PADD 2</v>
      </c>
      <c r="G3724" s="6">
        <f>IF(AND($H3724="ATMOS DISTILLATION",ISNUMBER(SEARCH("VPS",$I3724))=FALSE,LEFT($I3724,6)&lt;&gt;"VACUUM"),"CDU",IF($H3724="FLUID CAT CRACKING","FCC",IF(OR($H3724="HYDROCRACKING",$H3724="RESID_HYDROCRACKING"),"Hydrocracker",IF($H3724="REFORMING","Reformer",""))))</f>
        <v/>
      </c>
      <c r="H3724" s="6" t="s">
        <v>435</v>
      </c>
      <c r="I3724" s="6" t="s">
        <v>441</v>
      </c>
      <c r="J3724" s="6" t="s">
        <v>345</v>
      </c>
      <c r="K3724" s="10">
        <v>32.48</v>
      </c>
      <c r="L3724" s="10">
        <v>56</v>
      </c>
      <c r="M3724" s="6" t="s">
        <v>375</v>
      </c>
    </row>
    <row r="3725" spans="1:13">
      <c r="A3725" s="6">
        <v>2024</v>
      </c>
      <c r="B3725" s="6">
        <v>5</v>
      </c>
      <c r="C3725" s="6" t="s">
        <v>63</v>
      </c>
      <c r="D3725" s="6" t="s">
        <v>380</v>
      </c>
      <c r="E3725" s="6" t="s">
        <v>381</v>
      </c>
      <c r="F3725" s="6" t="str">
        <f>IF($M3725="PADD I","PADD 1",IF($M3725="PADD II","PADD 2",IF($M3725="PADD III","PADD 3",IF($M3725="PADD IV","PADD 4",IF($M3725="PADD V","PADD 5","")))))</f>
        <v>PADD 3</v>
      </c>
      <c r="G3725" s="6">
        <f>IF(AND($H3725="ATMOS DISTILLATION",ISNUMBER(SEARCH("VPS",$I3725))=FALSE,LEFT($I3725,6)&lt;&gt;"VACUUM"),"CDU",IF($H3725="FLUID CAT CRACKING","FCC",IF(OR($H3725="HYDROCRACKING",$H3725="RESID_HYDROCRACKING"),"Hydrocracker",IF($H3725="REFORMING","Reformer",""))))</f>
        <v/>
      </c>
      <c r="H3725" s="6" t="s">
        <v>43</v>
      </c>
      <c r="I3725" s="6" t="s">
        <v>1203</v>
      </c>
      <c r="J3725" s="6" t="s">
        <v>349</v>
      </c>
      <c r="K3725" s="10">
        <v>30.6</v>
      </c>
      <c r="L3725" s="10">
        <v>45</v>
      </c>
      <c r="M3725" s="6" t="s">
        <v>371</v>
      </c>
    </row>
    <row r="3726" spans="1:13">
      <c r="A3726" s="6">
        <v>2024</v>
      </c>
      <c r="B3726" s="6">
        <v>5</v>
      </c>
      <c r="C3726" s="6" t="s">
        <v>63</v>
      </c>
      <c r="D3726" s="6" t="s">
        <v>468</v>
      </c>
      <c r="E3726" s="6" t="s">
        <v>369</v>
      </c>
      <c r="F3726" s="6" t="str">
        <f>IF($M3726="PADD I","PADD 1",IF($M3726="PADD II","PADD 2",IF($M3726="PADD III","PADD 3",IF($M3726="PADD IV","PADD 4",IF($M3726="PADD V","PADD 5","")))))</f>
        <v>PADD 3</v>
      </c>
      <c r="G3726" s="6" t="str">
        <f>IF(AND($H3726="ATMOS DISTILLATION",ISNUMBER(SEARCH("VPS",$I3726))=FALSE,LEFT($I3726,6)&lt;&gt;"VACUUM"),"CDU",IF($H3726="FLUID CAT CRACKING","FCC",IF(OR($H3726="HYDROCRACKING",$H3726="RESID_HYDROCRACKING"),"Hydrocracker",IF($H3726="REFORMING","Reformer",""))))</f>
        <v>FCC</v>
      </c>
      <c r="H3726" s="6" t="s">
        <v>376</v>
      </c>
      <c r="I3726" s="6" t="s">
        <v>473</v>
      </c>
      <c r="J3726" s="6" t="s">
        <v>345</v>
      </c>
      <c r="K3726" s="10">
        <v>30</v>
      </c>
      <c r="L3726" s="10">
        <v>30</v>
      </c>
      <c r="M3726" s="6" t="s">
        <v>371</v>
      </c>
    </row>
    <row r="3727" spans="1:13">
      <c r="A3727" s="6">
        <v>2024</v>
      </c>
      <c r="B3727" s="6">
        <v>5</v>
      </c>
      <c r="C3727" s="6" t="s">
        <v>63</v>
      </c>
      <c r="D3727" s="6" t="s">
        <v>646</v>
      </c>
      <c r="E3727" s="6" t="s">
        <v>405</v>
      </c>
      <c r="F3727" s="6" t="str">
        <f>IF($M3727="PADD I","PADD 1",IF($M3727="PADD II","PADD 2",IF($M3727="PADD III","PADD 3",IF($M3727="PADD IV","PADD 4",IF($M3727="PADD V","PADD 5","")))))</f>
        <v>PADD 3</v>
      </c>
      <c r="G3727" s="6">
        <f>IF(AND($H3727="ATMOS DISTILLATION",ISNUMBER(SEARCH("VPS",$I3727))=FALSE,LEFT($I3727,6)&lt;&gt;"VACUUM"),"CDU",IF($H3727="FLUID CAT CRACKING","FCC",IF(OR($H3727="HYDROCRACKING",$H3727="RESID_HYDROCRACKING"),"Hydrocracker",IF($H3727="REFORMING","Reformer",""))))</f>
        <v/>
      </c>
      <c r="H3727" s="6" t="s">
        <v>43</v>
      </c>
      <c r="I3727" s="6" t="s">
        <v>843</v>
      </c>
      <c r="J3727" s="6" t="s">
        <v>345</v>
      </c>
      <c r="K3727" s="10">
        <v>30</v>
      </c>
      <c r="L3727" s="10">
        <v>30</v>
      </c>
      <c r="M3727" s="6" t="s">
        <v>371</v>
      </c>
    </row>
    <row r="3728" spans="1:13">
      <c r="A3728" s="6">
        <v>2024</v>
      </c>
      <c r="B3728" s="6">
        <v>5</v>
      </c>
      <c r="C3728" s="6" t="s">
        <v>63</v>
      </c>
      <c r="D3728" s="6" t="s">
        <v>326</v>
      </c>
      <c r="E3728" s="6" t="s">
        <v>385</v>
      </c>
      <c r="F3728" s="6" t="str">
        <f>IF($M3728="PADD I","PADD 1",IF($M3728="PADD II","PADD 2",IF($M3728="PADD III","PADD 3",IF($M3728="PADD IV","PADD 4",IF($M3728="PADD V","PADD 5","")))))</f>
        <v>PADD 5</v>
      </c>
      <c r="G3728" s="6">
        <f>IF(AND($H3728="ATMOS DISTILLATION",ISNUMBER(SEARCH("VPS",$I3728))=FALSE,LEFT($I3728,6)&lt;&gt;"VACUUM"),"CDU",IF($H3728="FLUID CAT CRACKING","FCC",IF(OR($H3728="HYDROCRACKING",$H3728="RESID_HYDROCRACKING"),"Hydrocracker",IF($H3728="REFORMING","Reformer",""))))</f>
        <v/>
      </c>
      <c r="H3728" s="6" t="s">
        <v>43</v>
      </c>
      <c r="I3728" s="6" t="s">
        <v>1174</v>
      </c>
      <c r="J3728" s="6" t="s">
        <v>349</v>
      </c>
      <c r="K3728" s="10">
        <v>27.61</v>
      </c>
      <c r="L3728" s="10">
        <v>50.2</v>
      </c>
      <c r="M3728" s="6" t="s">
        <v>386</v>
      </c>
    </row>
    <row r="3729" spans="1:13">
      <c r="A3729" s="6">
        <v>2024</v>
      </c>
      <c r="B3729" s="6">
        <v>5</v>
      </c>
      <c r="C3729" s="6" t="s">
        <v>63</v>
      </c>
      <c r="D3729" s="6" t="s">
        <v>468</v>
      </c>
      <c r="E3729" s="6" t="s">
        <v>369</v>
      </c>
      <c r="F3729" s="6" t="str">
        <f>IF($M3729="PADD I","PADD 1",IF($M3729="PADD II","PADD 2",IF($M3729="PADD III","PADD 3",IF($M3729="PADD IV","PADD 4",IF($M3729="PADD V","PADD 5","")))))</f>
        <v>PADD 3</v>
      </c>
      <c r="G3729" s="6" t="str">
        <f>IF(AND($H3729="ATMOS DISTILLATION",ISNUMBER(SEARCH("VPS",$I3729))=FALSE,LEFT($I3729,6)&lt;&gt;"VACUUM"),"CDU",IF($H3729="FLUID CAT CRACKING","FCC",IF(OR($H3729="HYDROCRACKING",$H3729="RESID_HYDROCRACKING"),"Hydrocracker",IF($H3729="REFORMING","Reformer",""))))</f>
        <v>FCC</v>
      </c>
      <c r="H3729" s="6" t="s">
        <v>376</v>
      </c>
      <c r="I3729" s="6" t="s">
        <v>469</v>
      </c>
      <c r="J3729" s="6" t="s">
        <v>345</v>
      </c>
      <c r="K3729" s="10">
        <v>27</v>
      </c>
      <c r="L3729" s="10">
        <v>30</v>
      </c>
      <c r="M3729" s="6" t="s">
        <v>371</v>
      </c>
    </row>
    <row r="3730" spans="1:13">
      <c r="A3730" s="6">
        <v>2024</v>
      </c>
      <c r="B3730" s="6">
        <v>5</v>
      </c>
      <c r="C3730" s="6" t="s">
        <v>63</v>
      </c>
      <c r="D3730" s="6" t="s">
        <v>333</v>
      </c>
      <c r="E3730" s="6" t="s">
        <v>381</v>
      </c>
      <c r="F3730" s="6" t="str">
        <f>IF($M3730="PADD I","PADD 1",IF($M3730="PADD II","PADD 2",IF($M3730="PADD III","PADD 3",IF($M3730="PADD IV","PADD 4",IF($M3730="PADD V","PADD 5","")))))</f>
        <v>PADD 3</v>
      </c>
      <c r="G3730" s="6" t="str">
        <f>IF(AND($H3730="ATMOS DISTILLATION",ISNUMBER(SEARCH("VPS",$I3730))=FALSE,LEFT($I3730,6)&lt;&gt;"VACUUM"),"CDU",IF($H3730="FLUID CAT CRACKING","FCC",IF(OR($H3730="HYDROCRACKING",$H3730="RESID_HYDROCRACKING"),"Hydrocracker",IF($H3730="REFORMING","Reformer",""))))</f>
        <v>Reformer</v>
      </c>
      <c r="H3730" s="6" t="s">
        <v>421</v>
      </c>
      <c r="I3730" s="6" t="s">
        <v>941</v>
      </c>
      <c r="J3730" s="6" t="s">
        <v>345</v>
      </c>
      <c r="K3730" s="10">
        <v>25.6</v>
      </c>
      <c r="L3730" s="10">
        <v>80</v>
      </c>
      <c r="M3730" s="6" t="s">
        <v>371</v>
      </c>
    </row>
    <row r="3731" spans="1:13">
      <c r="A3731" s="6">
        <v>2024</v>
      </c>
      <c r="B3731" s="6">
        <v>5</v>
      </c>
      <c r="C3731" s="6" t="s">
        <v>63</v>
      </c>
      <c r="D3731" s="6" t="s">
        <v>612</v>
      </c>
      <c r="E3731" s="6" t="s">
        <v>416</v>
      </c>
      <c r="F3731" s="6" t="str">
        <f>IF($M3731="PADD I","PADD 1",IF($M3731="PADD II","PADD 2",IF($M3731="PADD III","PADD 3",IF($M3731="PADD IV","PADD 4",IF($M3731="PADD V","PADD 5","")))))</f>
        <v>PADD 3</v>
      </c>
      <c r="G3731" s="6" t="str">
        <f>IF(AND($H3731="ATMOS DISTILLATION",ISNUMBER(SEARCH("VPS",$I3731))=FALSE,LEFT($I3731,6)&lt;&gt;"VACUUM"),"CDU",IF($H3731="FLUID CAT CRACKING","FCC",IF(OR($H3731="HYDROCRACKING",$H3731="RESID_HYDROCRACKING"),"Hydrocracker",IF($H3731="REFORMING","Reformer",""))))</f>
        <v>Reformer</v>
      </c>
      <c r="H3731" s="6" t="s">
        <v>421</v>
      </c>
      <c r="I3731" s="6" t="s">
        <v>755</v>
      </c>
      <c r="J3731" s="6" t="s">
        <v>345</v>
      </c>
      <c r="K3731" s="10">
        <v>25.2</v>
      </c>
      <c r="L3731" s="10">
        <v>30</v>
      </c>
      <c r="M3731" s="6" t="s">
        <v>371</v>
      </c>
    </row>
    <row r="3732" spans="1:13">
      <c r="A3732" s="6">
        <v>2024</v>
      </c>
      <c r="B3732" s="6">
        <v>5</v>
      </c>
      <c r="C3732" s="6" t="s">
        <v>63</v>
      </c>
      <c r="D3732" s="6" t="s">
        <v>822</v>
      </c>
      <c r="E3732" s="6" t="s">
        <v>416</v>
      </c>
      <c r="F3732" s="6" t="str">
        <f>IF($M3732="PADD I","PADD 1",IF($M3732="PADD II","PADD 2",IF($M3732="PADD III","PADD 3",IF($M3732="PADD IV","PADD 4",IF($M3732="PADD V","PADD 5","")))))</f>
        <v>PADD 3</v>
      </c>
      <c r="G3732" s="6" t="str">
        <f>IF(AND($H3732="ATMOS DISTILLATION",ISNUMBER(SEARCH("VPS",$I3732))=FALSE,LEFT($I3732,6)&lt;&gt;"VACUUM"),"CDU",IF($H3732="FLUID CAT CRACKING","FCC",IF(OR($H3732="HYDROCRACKING",$H3732="RESID_HYDROCRACKING"),"Hydrocracker",IF($H3732="REFORMING","Reformer",""))))</f>
        <v>Reformer</v>
      </c>
      <c r="H3732" s="6" t="s">
        <v>421</v>
      </c>
      <c r="I3732" s="6" t="s">
        <v>826</v>
      </c>
      <c r="J3732" s="6" t="s">
        <v>349</v>
      </c>
      <c r="K3732" s="10">
        <v>25.2</v>
      </c>
      <c r="L3732" s="10">
        <v>30</v>
      </c>
      <c r="M3732" s="6" t="s">
        <v>371</v>
      </c>
    </row>
    <row r="3733" spans="1:13">
      <c r="A3733" s="6">
        <v>2024</v>
      </c>
      <c r="B3733" s="6">
        <v>5</v>
      </c>
      <c r="C3733" s="6" t="s">
        <v>63</v>
      </c>
      <c r="D3733" s="6" t="s">
        <v>822</v>
      </c>
      <c r="E3733" s="6" t="s">
        <v>416</v>
      </c>
      <c r="F3733" s="6" t="str">
        <f>IF($M3733="PADD I","PADD 1",IF($M3733="PADD II","PADD 2",IF($M3733="PADD III","PADD 3",IF($M3733="PADD IV","PADD 4",IF($M3733="PADD V","PADD 5","")))))</f>
        <v>PADD 3</v>
      </c>
      <c r="G3733" s="6">
        <f>IF(AND($H3733="ATMOS DISTILLATION",ISNUMBER(SEARCH("VPS",$I3733))=FALSE,LEFT($I3733,6)&lt;&gt;"VACUUM"),"CDU",IF($H3733="FLUID CAT CRACKING","FCC",IF(OR($H3733="HYDROCRACKING",$H3733="RESID_HYDROCRACKING"),"Hydrocracker",IF($H3733="REFORMING","Reformer",""))))</f>
        <v/>
      </c>
      <c r="H3733" s="6" t="s">
        <v>43</v>
      </c>
      <c r="I3733" s="6" t="s">
        <v>827</v>
      </c>
      <c r="J3733" s="6" t="s">
        <v>349</v>
      </c>
      <c r="K3733" s="10">
        <v>25.2</v>
      </c>
      <c r="L3733" s="10">
        <v>30</v>
      </c>
      <c r="M3733" s="6" t="s">
        <v>371</v>
      </c>
    </row>
    <row r="3734" spans="1:13">
      <c r="A3734" s="6">
        <v>2024</v>
      </c>
      <c r="B3734" s="6">
        <v>5</v>
      </c>
      <c r="C3734" s="6" t="s">
        <v>63</v>
      </c>
      <c r="D3734" s="6" t="s">
        <v>326</v>
      </c>
      <c r="E3734" s="6" t="s">
        <v>385</v>
      </c>
      <c r="F3734" s="6" t="str">
        <f>IF($M3734="PADD I","PADD 1",IF($M3734="PADD II","PADD 2",IF($M3734="PADD III","PADD 3",IF($M3734="PADD IV","PADD 4",IF($M3734="PADD V","PADD 5","")))))</f>
        <v>PADD 5</v>
      </c>
      <c r="G3734" s="6" t="str">
        <f>IF(AND($H3734="ATMOS DISTILLATION",ISNUMBER(SEARCH("VPS",$I3734))=FALSE,LEFT($I3734,6)&lt;&gt;"VACUUM"),"CDU",IF($H3734="FLUID CAT CRACKING","FCC",IF(OR($H3734="HYDROCRACKING",$H3734="RESID_HYDROCRACKING"),"Hydrocracker",IF($H3734="REFORMING","Reformer",""))))</f>
        <v>CDU</v>
      </c>
      <c r="H3734" s="6" t="s">
        <v>38</v>
      </c>
      <c r="I3734" s="6" t="s">
        <v>93</v>
      </c>
      <c r="J3734" s="6" t="s">
        <v>349</v>
      </c>
      <c r="K3734" s="10">
        <v>24.8</v>
      </c>
      <c r="L3734" s="10">
        <v>155</v>
      </c>
      <c r="M3734" s="6" t="s">
        <v>386</v>
      </c>
    </row>
    <row r="3735" spans="1:13">
      <c r="A3735" s="6">
        <v>2024</v>
      </c>
      <c r="B3735" s="6">
        <v>5</v>
      </c>
      <c r="C3735" s="6" t="s">
        <v>63</v>
      </c>
      <c r="D3735" s="6" t="s">
        <v>714</v>
      </c>
      <c r="E3735" s="6" t="s">
        <v>405</v>
      </c>
      <c r="F3735" s="6" t="str">
        <f>IF($M3735="PADD I","PADD 1",IF($M3735="PADD II","PADD 2",IF($M3735="PADD III","PADD 3",IF($M3735="PADD IV","PADD 4",IF($M3735="PADD V","PADD 5","")))))</f>
        <v>PADD 3</v>
      </c>
      <c r="G3735" s="6" t="str">
        <f>IF(AND($H3735="ATMOS DISTILLATION",ISNUMBER(SEARCH("VPS",$I3735))=FALSE,LEFT($I3735,6)&lt;&gt;"VACUUM"),"CDU",IF($H3735="FLUID CAT CRACKING","FCC",IF(OR($H3735="HYDROCRACKING",$H3735="RESID_HYDROCRACKING"),"Hydrocracker",IF($H3735="REFORMING","Reformer",""))))</f>
        <v>FCC</v>
      </c>
      <c r="H3735" s="6" t="s">
        <v>376</v>
      </c>
      <c r="I3735" s="6" t="s">
        <v>105</v>
      </c>
      <c r="J3735" s="6" t="s">
        <v>345</v>
      </c>
      <c r="K3735" s="10">
        <v>24.32</v>
      </c>
      <c r="L3735" s="10">
        <v>76</v>
      </c>
      <c r="M3735" s="6" t="s">
        <v>371</v>
      </c>
    </row>
    <row r="3736" spans="1:13">
      <c r="A3736" s="6">
        <v>2024</v>
      </c>
      <c r="B3736" s="6">
        <v>5</v>
      </c>
      <c r="C3736" s="6" t="s">
        <v>63</v>
      </c>
      <c r="D3736" s="6" t="s">
        <v>380</v>
      </c>
      <c r="E3736" s="6" t="s">
        <v>381</v>
      </c>
      <c r="F3736" s="6" t="str">
        <f>IF($M3736="PADD I","PADD 1",IF($M3736="PADD II","PADD 2",IF($M3736="PADD III","PADD 3",IF($M3736="PADD IV","PADD 4",IF($M3736="PADD V","PADD 5","")))))</f>
        <v>PADD 3</v>
      </c>
      <c r="G3736" s="6">
        <f>IF(AND($H3736="ATMOS DISTILLATION",ISNUMBER(SEARCH("VPS",$I3736))=FALSE,LEFT($I3736,6)&lt;&gt;"VACUUM"),"CDU",IF($H3736="FLUID CAT CRACKING","FCC",IF(OR($H3736="HYDROCRACKING",$H3736="RESID_HYDROCRACKING"),"Hydrocracker",IF($H3736="REFORMING","Reformer",""))))</f>
        <v/>
      </c>
      <c r="H3736" s="6" t="s">
        <v>378</v>
      </c>
      <c r="I3736" s="6" t="s">
        <v>1126</v>
      </c>
      <c r="J3736" s="6" t="s">
        <v>345</v>
      </c>
      <c r="K3736" s="10">
        <v>24.3</v>
      </c>
      <c r="L3736" s="10">
        <v>54</v>
      </c>
      <c r="M3736" s="6" t="s">
        <v>371</v>
      </c>
    </row>
    <row r="3737" spans="1:13">
      <c r="A3737" s="6">
        <v>2024</v>
      </c>
      <c r="B3737" s="6">
        <v>5</v>
      </c>
      <c r="C3737" s="6" t="s">
        <v>63</v>
      </c>
      <c r="D3737" s="6" t="s">
        <v>676</v>
      </c>
      <c r="E3737" s="6" t="s">
        <v>677</v>
      </c>
      <c r="F3737" s="6" t="str">
        <f>IF($M3737="PADD I","PADD 1",IF($M3737="PADD II","PADD 2",IF($M3737="PADD III","PADD 3",IF($M3737="PADD IV","PADD 4",IF($M3737="PADD V","PADD 5","")))))</f>
        <v>PADD 1</v>
      </c>
      <c r="G3737" s="6">
        <f>IF(AND($H3737="ATMOS DISTILLATION",ISNUMBER(SEARCH("VPS",$I3737))=FALSE,LEFT($I3737,6)&lt;&gt;"VACUUM"),"CDU",IF($H3737="FLUID CAT CRACKING","FCC",IF(OR($H3737="HYDROCRACKING",$H3737="RESID_HYDROCRACKING"),"Hydrocracker",IF($H3737="REFORMING","Reformer",""))))</f>
        <v/>
      </c>
      <c r="H3737" s="6" t="s">
        <v>43</v>
      </c>
      <c r="I3737" s="6" t="s">
        <v>1017</v>
      </c>
      <c r="J3737" s="6" t="s">
        <v>349</v>
      </c>
      <c r="K3737" s="10">
        <v>23.4</v>
      </c>
      <c r="L3737" s="10">
        <v>45</v>
      </c>
      <c r="M3737" s="6" t="s">
        <v>413</v>
      </c>
    </row>
    <row r="3738" spans="1:13">
      <c r="A3738" s="6">
        <v>2024</v>
      </c>
      <c r="B3738" s="6">
        <v>5</v>
      </c>
      <c r="C3738" s="6" t="s">
        <v>63</v>
      </c>
      <c r="D3738" s="6" t="s">
        <v>326</v>
      </c>
      <c r="E3738" s="6" t="s">
        <v>385</v>
      </c>
      <c r="F3738" s="6" t="str">
        <f>IF($M3738="PADD I","PADD 1",IF($M3738="PADD II","PADD 2",IF($M3738="PADD III","PADD 3",IF($M3738="PADD IV","PADD 4",IF($M3738="PADD V","PADD 5","")))))</f>
        <v>PADD 5</v>
      </c>
      <c r="G3738" s="6" t="str">
        <f>IF(AND($H3738="ATMOS DISTILLATION",ISNUMBER(SEARCH("VPS",$I3738))=FALSE,LEFT($I3738,6)&lt;&gt;"VACUUM"),"CDU",IF($H3738="FLUID CAT CRACKING","FCC",IF(OR($H3738="HYDROCRACKING",$H3738="RESID_HYDROCRACKING"),"Hydrocracker",IF($H3738="REFORMING","Reformer",""))))</f>
        <v>Hydrocracker</v>
      </c>
      <c r="H3738" s="6" t="s">
        <v>444</v>
      </c>
      <c r="I3738" s="6" t="s">
        <v>498</v>
      </c>
      <c r="J3738" s="6" t="s">
        <v>349</v>
      </c>
      <c r="K3738" s="10">
        <v>23.1</v>
      </c>
      <c r="L3738" s="10">
        <v>42</v>
      </c>
      <c r="M3738" s="6" t="s">
        <v>386</v>
      </c>
    </row>
    <row r="3739" spans="1:13">
      <c r="A3739" s="6">
        <v>2024</v>
      </c>
      <c r="B3739" s="6">
        <v>5</v>
      </c>
      <c r="C3739" s="6" t="s">
        <v>63</v>
      </c>
      <c r="D3739" s="6" t="s">
        <v>547</v>
      </c>
      <c r="E3739" s="6" t="s">
        <v>391</v>
      </c>
      <c r="F3739" s="6" t="str">
        <f>IF($M3739="PADD I","PADD 1",IF($M3739="PADD II","PADD 2",IF($M3739="PADD III","PADD 3",IF($M3739="PADD IV","PADD 4",IF($M3739="PADD V","PADD 5","")))))</f>
        <v>PADD 5</v>
      </c>
      <c r="G3739" s="6" t="str">
        <f>IF(AND($H3739="ATMOS DISTILLATION",ISNUMBER(SEARCH("VPS",$I3739))=FALSE,LEFT($I3739,6)&lt;&gt;"VACUUM"),"CDU",IF($H3739="FLUID CAT CRACKING","FCC",IF(OR($H3739="HYDROCRACKING",$H3739="RESID_HYDROCRACKING"),"Hydrocracker",IF($H3739="REFORMING","Reformer",""))))</f>
        <v>Hydrocracker</v>
      </c>
      <c r="H3739" s="6" t="s">
        <v>444</v>
      </c>
      <c r="I3739" s="6" t="s">
        <v>734</v>
      </c>
      <c r="J3739" s="6" t="s">
        <v>345</v>
      </c>
      <c r="K3739" s="10">
        <v>22.88</v>
      </c>
      <c r="L3739" s="10">
        <v>44</v>
      </c>
      <c r="M3739" s="6" t="s">
        <v>386</v>
      </c>
    </row>
    <row r="3740" spans="1:13">
      <c r="A3740" s="6">
        <v>2024</v>
      </c>
      <c r="B3740" s="6">
        <v>5</v>
      </c>
      <c r="C3740" s="6" t="s">
        <v>63</v>
      </c>
      <c r="D3740" s="6" t="s">
        <v>321</v>
      </c>
      <c r="E3740" s="6" t="s">
        <v>381</v>
      </c>
      <c r="F3740" s="6" t="str">
        <f>IF($M3740="PADD I","PADD 1",IF($M3740="PADD II","PADD 2",IF($M3740="PADD III","PADD 3",IF($M3740="PADD IV","PADD 4",IF($M3740="PADD V","PADD 5","")))))</f>
        <v>PADD 2</v>
      </c>
      <c r="G3740" s="6" t="str">
        <f>IF(AND($H3740="ATMOS DISTILLATION",ISNUMBER(SEARCH("VPS",$I3740))=FALSE,LEFT($I3740,6)&lt;&gt;"VACUUM"),"CDU",IF($H3740="FLUID CAT CRACKING","FCC",IF(OR($H3740="HYDROCRACKING",$H3740="RESID_HYDROCRACKING"),"Hydrocracker",IF($H3740="REFORMING","Reformer",""))))</f>
        <v>Reformer</v>
      </c>
      <c r="H3740" s="6" t="s">
        <v>421</v>
      </c>
      <c r="I3740" s="6" t="s">
        <v>228</v>
      </c>
      <c r="J3740" s="6" t="s">
        <v>345</v>
      </c>
      <c r="K3740" s="10">
        <v>21</v>
      </c>
      <c r="L3740" s="10">
        <v>50</v>
      </c>
      <c r="M3740" s="6" t="s">
        <v>375</v>
      </c>
    </row>
    <row r="3741" spans="1:13">
      <c r="A3741" s="6">
        <v>2024</v>
      </c>
      <c r="B3741" s="6">
        <v>5</v>
      </c>
      <c r="C3741" s="6" t="s">
        <v>63</v>
      </c>
      <c r="D3741" s="6" t="s">
        <v>415</v>
      </c>
      <c r="E3741" s="6" t="s">
        <v>416</v>
      </c>
      <c r="F3741" s="6" t="str">
        <f>IF($M3741="PADD I","PADD 1",IF($M3741="PADD II","PADD 2",IF($M3741="PADD III","PADD 3",IF($M3741="PADD IV","PADD 4",IF($M3741="PADD V","PADD 5","")))))</f>
        <v>PADD 3</v>
      </c>
      <c r="G3741" s="6">
        <f>IF(AND($H3741="ATMOS DISTILLATION",ISNUMBER(SEARCH("VPS",$I3741))=FALSE,LEFT($I3741,6)&lt;&gt;"VACUUM"),"CDU",IF($H3741="FLUID CAT CRACKING","FCC",IF(OR($H3741="HYDROCRACKING",$H3741="RESID_HYDROCRACKING"),"Hydrocracker",IF($H3741="REFORMING","Reformer",""))))</f>
        <v/>
      </c>
      <c r="H3741" s="6" t="s">
        <v>378</v>
      </c>
      <c r="I3741" s="6" t="s">
        <v>417</v>
      </c>
      <c r="J3741" s="6" t="s">
        <v>345</v>
      </c>
      <c r="K3741" s="10">
        <v>21</v>
      </c>
      <c r="L3741" s="10">
        <v>50</v>
      </c>
      <c r="M3741" s="6" t="s">
        <v>371</v>
      </c>
    </row>
    <row r="3742" spans="1:13">
      <c r="A3742" s="6">
        <v>2024</v>
      </c>
      <c r="B3742" s="6">
        <v>5</v>
      </c>
      <c r="C3742" s="6" t="s">
        <v>63</v>
      </c>
      <c r="D3742" s="6" t="s">
        <v>333</v>
      </c>
      <c r="E3742" s="6" t="s">
        <v>381</v>
      </c>
      <c r="F3742" s="6" t="str">
        <f>IF($M3742="PADD I","PADD 1",IF($M3742="PADD II","PADD 2",IF($M3742="PADD III","PADD 3",IF($M3742="PADD IV","PADD 4",IF($M3742="PADD V","PADD 5","")))))</f>
        <v>PADD 3</v>
      </c>
      <c r="G3742" s="6">
        <f>IF(AND($H3742="ATMOS DISTILLATION",ISNUMBER(SEARCH("VPS",$I3742))=FALSE,LEFT($I3742,6)&lt;&gt;"VACUUM"),"CDU",IF($H3742="FLUID CAT CRACKING","FCC",IF(OR($H3742="HYDROCRACKING",$H3742="RESID_HYDROCRACKING"),"Hydrocracker",IF($H3742="REFORMING","Reformer",""))))</f>
        <v/>
      </c>
      <c r="H3742" s="6" t="s">
        <v>43</v>
      </c>
      <c r="I3742" s="6" t="s">
        <v>943</v>
      </c>
      <c r="J3742" s="6" t="s">
        <v>349</v>
      </c>
      <c r="K3742" s="10">
        <v>20.8</v>
      </c>
      <c r="L3742" s="10">
        <v>40</v>
      </c>
      <c r="M3742" s="6" t="s">
        <v>371</v>
      </c>
    </row>
    <row r="3743" spans="1:13">
      <c r="A3743" s="6">
        <v>2024</v>
      </c>
      <c r="B3743" s="6">
        <v>5</v>
      </c>
      <c r="C3743" s="6" t="s">
        <v>63</v>
      </c>
      <c r="D3743" s="6" t="s">
        <v>612</v>
      </c>
      <c r="E3743" s="6" t="s">
        <v>416</v>
      </c>
      <c r="F3743" s="6" t="str">
        <f>IF($M3743="PADD I","PADD 1",IF($M3743="PADD II","PADD 2",IF($M3743="PADD III","PADD 3",IF($M3743="PADD IV","PADD 4",IF($M3743="PADD V","PADD 5","")))))</f>
        <v>PADD 3</v>
      </c>
      <c r="G3743" s="6">
        <f>IF(AND($H3743="ATMOS DISTILLATION",ISNUMBER(SEARCH("VPS",$I3743))=FALSE,LEFT($I3743,6)&lt;&gt;"VACUUM"),"CDU",IF($H3743="FLUID CAT CRACKING","FCC",IF(OR($H3743="HYDROCRACKING",$H3743="RESID_HYDROCRACKING"),"Hydrocracker",IF($H3743="REFORMING","Reformer",""))))</f>
        <v/>
      </c>
      <c r="H3743" s="6" t="s">
        <v>43</v>
      </c>
      <c r="I3743" s="6" t="s">
        <v>837</v>
      </c>
      <c r="J3743" s="6" t="s">
        <v>349</v>
      </c>
      <c r="K3743" s="10">
        <v>19.4</v>
      </c>
      <c r="L3743" s="10">
        <v>20</v>
      </c>
      <c r="M3743" s="6" t="s">
        <v>371</v>
      </c>
    </row>
    <row r="3744" spans="1:13">
      <c r="A3744" s="6">
        <v>2024</v>
      </c>
      <c r="B3744" s="6">
        <v>5</v>
      </c>
      <c r="C3744" s="6" t="s">
        <v>63</v>
      </c>
      <c r="D3744" s="6" t="s">
        <v>468</v>
      </c>
      <c r="E3744" s="6" t="s">
        <v>369</v>
      </c>
      <c r="F3744" s="6" t="str">
        <f>IF($M3744="PADD I","PADD 1",IF($M3744="PADD II","PADD 2",IF($M3744="PADD III","PADD 3",IF($M3744="PADD IV","PADD 4",IF($M3744="PADD V","PADD 5","")))))</f>
        <v>PADD 3</v>
      </c>
      <c r="G3744" s="6">
        <f>IF(AND($H3744="ATMOS DISTILLATION",ISNUMBER(SEARCH("VPS",$I3744))=FALSE,LEFT($I3744,6)&lt;&gt;"VACUUM"),"CDU",IF($H3744="FLUID CAT CRACKING","FCC",IF(OR($H3744="HYDROCRACKING",$H3744="RESID_HYDROCRACKING"),"Hydrocracker",IF($H3744="REFORMING","Reformer",""))))</f>
        <v/>
      </c>
      <c r="H3744" s="6" t="s">
        <v>43</v>
      </c>
      <c r="I3744" s="6" t="s">
        <v>1028</v>
      </c>
      <c r="J3744" s="6" t="s">
        <v>349</v>
      </c>
      <c r="K3744" s="10">
        <v>18.7</v>
      </c>
      <c r="L3744" s="10">
        <v>34</v>
      </c>
      <c r="M3744" s="6" t="s">
        <v>371</v>
      </c>
    </row>
    <row r="3745" spans="1:13">
      <c r="A3745" s="6">
        <v>2024</v>
      </c>
      <c r="B3745" s="6">
        <v>5</v>
      </c>
      <c r="C3745" s="6" t="s">
        <v>63</v>
      </c>
      <c r="D3745" s="6" t="s">
        <v>723</v>
      </c>
      <c r="E3745" s="6" t="s">
        <v>724</v>
      </c>
      <c r="F3745" s="6" t="str">
        <f>IF($M3745="PADD I","PADD 1",IF($M3745="PADD II","PADD 2",IF($M3745="PADD III","PADD 3",IF($M3745="PADD IV","PADD 4",IF($M3745="PADD V","PADD 5","")))))</f>
        <v>PADD 4</v>
      </c>
      <c r="G3745" s="6" t="str">
        <f>IF(AND($H3745="ATMOS DISTILLATION",ISNUMBER(SEARCH("VPS",$I3745))=FALSE,LEFT($I3745,6)&lt;&gt;"VACUUM"),"CDU",IF($H3745="FLUID CAT CRACKING","FCC",IF(OR($H3745="HYDROCRACKING",$H3745="RESID_HYDROCRACKING"),"Hydrocracker",IF($H3745="REFORMING","Reformer",""))))</f>
        <v>CDU</v>
      </c>
      <c r="H3745" s="6" t="s">
        <v>38</v>
      </c>
      <c r="I3745" s="6" t="s">
        <v>81</v>
      </c>
      <c r="J3745" s="6" t="s">
        <v>349</v>
      </c>
      <c r="K3745" s="10">
        <v>18.56</v>
      </c>
      <c r="L3745" s="10">
        <v>58</v>
      </c>
      <c r="M3745" s="6" t="s">
        <v>430</v>
      </c>
    </row>
    <row r="3746" spans="1:13">
      <c r="A3746" s="6">
        <v>2024</v>
      </c>
      <c r="B3746" s="6">
        <v>5</v>
      </c>
      <c r="C3746" s="6" t="s">
        <v>63</v>
      </c>
      <c r="D3746" s="6" t="s">
        <v>321</v>
      </c>
      <c r="E3746" s="6" t="s">
        <v>381</v>
      </c>
      <c r="F3746" s="6" t="str">
        <f>IF($M3746="PADD I","PADD 1",IF($M3746="PADD II","PADD 2",IF($M3746="PADD III","PADD 3",IF($M3746="PADD IV","PADD 4",IF($M3746="PADD V","PADD 5","")))))</f>
        <v>PADD 2</v>
      </c>
      <c r="G3746" s="6">
        <f>IF(AND($H3746="ATMOS DISTILLATION",ISNUMBER(SEARCH("VPS",$I3746))=FALSE,LEFT($I3746,6)&lt;&gt;"VACUUM"),"CDU",IF($H3746="FLUID CAT CRACKING","FCC",IF(OR($H3746="HYDROCRACKING",$H3746="RESID_HYDROCRACKING"),"Hydrocracker",IF($H3746="REFORMING","Reformer",""))))</f>
        <v/>
      </c>
      <c r="H3746" s="6" t="s">
        <v>43</v>
      </c>
      <c r="I3746" s="6" t="s">
        <v>1170</v>
      </c>
      <c r="J3746" s="6" t="s">
        <v>349</v>
      </c>
      <c r="K3746" s="10">
        <v>17</v>
      </c>
      <c r="L3746" s="10">
        <v>25</v>
      </c>
      <c r="M3746" s="6" t="s">
        <v>375</v>
      </c>
    </row>
    <row r="3747" spans="1:13">
      <c r="A3747" s="6">
        <v>2024</v>
      </c>
      <c r="B3747" s="6">
        <v>5</v>
      </c>
      <c r="C3747" s="6" t="s">
        <v>63</v>
      </c>
      <c r="D3747" s="6" t="s">
        <v>326</v>
      </c>
      <c r="E3747" s="6" t="s">
        <v>385</v>
      </c>
      <c r="F3747" s="6" t="str">
        <f>IF($M3747="PADD I","PADD 1",IF($M3747="PADD II","PADD 2",IF($M3747="PADD III","PADD 3",IF($M3747="PADD IV","PADD 4",IF($M3747="PADD V","PADD 5","")))))</f>
        <v>PADD 5</v>
      </c>
      <c r="G3747" s="6" t="str">
        <f>IF(AND($H3747="ATMOS DISTILLATION",ISNUMBER(SEARCH("VPS",$I3747))=FALSE,LEFT($I3747,6)&lt;&gt;"VACUUM"),"CDU",IF($H3747="FLUID CAT CRACKING","FCC",IF(OR($H3747="HYDROCRACKING",$H3747="RESID_HYDROCRACKING"),"Hydrocracker",IF($H3747="REFORMING","Reformer",""))))</f>
        <v>Reformer</v>
      </c>
      <c r="H3747" s="6" t="s">
        <v>421</v>
      </c>
      <c r="I3747" s="6" t="s">
        <v>15</v>
      </c>
      <c r="J3747" s="6" t="s">
        <v>349</v>
      </c>
      <c r="K3747" s="10">
        <v>16.225</v>
      </c>
      <c r="L3747" s="10">
        <v>29.5</v>
      </c>
      <c r="M3747" s="6" t="s">
        <v>386</v>
      </c>
    </row>
    <row r="3748" spans="1:13">
      <c r="A3748" s="6">
        <v>2024</v>
      </c>
      <c r="B3748" s="6">
        <v>5</v>
      </c>
      <c r="C3748" s="6" t="s">
        <v>63</v>
      </c>
      <c r="D3748" s="6" t="s">
        <v>834</v>
      </c>
      <c r="E3748" s="6" t="s">
        <v>405</v>
      </c>
      <c r="F3748" s="6" t="str">
        <f>IF($M3748="PADD I","PADD 1",IF($M3748="PADD II","PADD 2",IF($M3748="PADD III","PADD 3",IF($M3748="PADD IV","PADD 4",IF($M3748="PADD V","PADD 5","")))))</f>
        <v>PADD 3</v>
      </c>
      <c r="G3748" s="6">
        <f>IF(AND($H3748="ATMOS DISTILLATION",ISNUMBER(SEARCH("VPS",$I3748))=FALSE,LEFT($I3748,6)&lt;&gt;"VACUUM"),"CDU",IF($H3748="FLUID CAT CRACKING","FCC",IF(OR($H3748="HYDROCRACKING",$H3748="RESID_HYDROCRACKING"),"Hydrocracker",IF($H3748="REFORMING","Reformer",""))))</f>
        <v/>
      </c>
      <c r="H3748" s="6" t="s">
        <v>43</v>
      </c>
      <c r="I3748" s="6" t="s">
        <v>449</v>
      </c>
      <c r="J3748" s="6" t="s">
        <v>345</v>
      </c>
      <c r="K3748" s="10">
        <v>16</v>
      </c>
      <c r="L3748" s="10">
        <v>50</v>
      </c>
      <c r="M3748" s="6" t="s">
        <v>371</v>
      </c>
    </row>
    <row r="3749" spans="1:13">
      <c r="A3749" s="6">
        <v>2024</v>
      </c>
      <c r="B3749" s="6">
        <v>5</v>
      </c>
      <c r="C3749" s="6" t="s">
        <v>63</v>
      </c>
      <c r="D3749" s="6" t="s">
        <v>772</v>
      </c>
      <c r="E3749" s="6" t="s">
        <v>405</v>
      </c>
      <c r="F3749" s="6" t="str">
        <f>IF($M3749="PADD I","PADD 1",IF($M3749="PADD II","PADD 2",IF($M3749="PADD III","PADD 3",IF($M3749="PADD IV","PADD 4",IF($M3749="PADD V","PADD 5","")))))</f>
        <v>PADD 3</v>
      </c>
      <c r="G3749" s="6" t="str">
        <f>IF(AND($H3749="ATMOS DISTILLATION",ISNUMBER(SEARCH("VPS",$I3749))=FALSE,LEFT($I3749,6)&lt;&gt;"VACUUM"),"CDU",IF($H3749="FLUID CAT CRACKING","FCC",IF(OR($H3749="HYDROCRACKING",$H3749="RESID_HYDROCRACKING"),"Hydrocracker",IF($H3749="REFORMING","Reformer",""))))</f>
        <v>FCC</v>
      </c>
      <c r="H3749" s="6" t="s">
        <v>376</v>
      </c>
      <c r="I3749" s="6" t="s">
        <v>773</v>
      </c>
      <c r="J3749" s="6" t="s">
        <v>345</v>
      </c>
      <c r="K3749" s="10">
        <v>15.36</v>
      </c>
      <c r="L3749" s="10">
        <v>96</v>
      </c>
      <c r="M3749" s="6" t="s">
        <v>371</v>
      </c>
    </row>
    <row r="3750" spans="1:13">
      <c r="A3750" s="6">
        <v>2024</v>
      </c>
      <c r="B3750" s="6">
        <v>5</v>
      </c>
      <c r="C3750" s="6" t="s">
        <v>63</v>
      </c>
      <c r="D3750" s="6" t="s">
        <v>670</v>
      </c>
      <c r="E3750" s="6" t="s">
        <v>405</v>
      </c>
      <c r="F3750" s="6" t="str">
        <f>IF($M3750="PADD I","PADD 1",IF($M3750="PADD II","PADD 2",IF($M3750="PADD III","PADD 3",IF($M3750="PADD IV","PADD 4",IF($M3750="PADD V","PADD 5","")))))</f>
        <v>PADD 2</v>
      </c>
      <c r="G3750" s="6" t="str">
        <f>IF(AND($H3750="ATMOS DISTILLATION",ISNUMBER(SEARCH("VPS",$I3750))=FALSE,LEFT($I3750,6)&lt;&gt;"VACUUM"),"CDU",IF($H3750="FLUID CAT CRACKING","FCC",IF(OR($H3750="HYDROCRACKING",$H3750="RESID_HYDROCRACKING"),"Hydrocracker",IF($H3750="REFORMING","Reformer",""))))</f>
        <v>CDU</v>
      </c>
      <c r="H3750" s="6" t="s">
        <v>38</v>
      </c>
      <c r="I3750" s="6" t="s">
        <v>138</v>
      </c>
      <c r="J3750" s="6" t="s">
        <v>349</v>
      </c>
      <c r="K3750" s="10">
        <v>15.2</v>
      </c>
      <c r="L3750" s="10">
        <v>80</v>
      </c>
      <c r="M3750" s="6" t="s">
        <v>375</v>
      </c>
    </row>
    <row r="3751" spans="1:13">
      <c r="A3751" s="6">
        <v>2024</v>
      </c>
      <c r="B3751" s="6">
        <v>5</v>
      </c>
      <c r="C3751" s="6" t="s">
        <v>63</v>
      </c>
      <c r="D3751" s="6" t="s">
        <v>333</v>
      </c>
      <c r="E3751" s="6" t="s">
        <v>381</v>
      </c>
      <c r="F3751" s="6" t="str">
        <f>IF($M3751="PADD I","PADD 1",IF($M3751="PADD II","PADD 2",IF($M3751="PADD III","PADD 3",IF($M3751="PADD IV","PADD 4",IF($M3751="PADD V","PADD 5","")))))</f>
        <v>PADD 3</v>
      </c>
      <c r="G3751" s="6" t="str">
        <f>IF(AND($H3751="ATMOS DISTILLATION",ISNUMBER(SEARCH("VPS",$I3751))=FALSE,LEFT($I3751,6)&lt;&gt;"VACUUM"),"CDU",IF($H3751="FLUID CAT CRACKING","FCC",IF(OR($H3751="HYDROCRACKING",$H3751="RESID_HYDROCRACKING"),"Hydrocracker",IF($H3751="REFORMING","Reformer",""))))</f>
        <v>Reformer</v>
      </c>
      <c r="H3751" s="6" t="s">
        <v>421</v>
      </c>
      <c r="I3751" s="6" t="s">
        <v>548</v>
      </c>
      <c r="J3751" s="6" t="s">
        <v>345</v>
      </c>
      <c r="K3751" s="10">
        <v>15.2</v>
      </c>
      <c r="L3751" s="10">
        <v>80</v>
      </c>
      <c r="M3751" s="6" t="s">
        <v>371</v>
      </c>
    </row>
    <row r="3752" spans="1:13">
      <c r="A3752" s="6">
        <v>2024</v>
      </c>
      <c r="B3752" s="6">
        <v>5</v>
      </c>
      <c r="C3752" s="6" t="s">
        <v>63</v>
      </c>
      <c r="D3752" s="6" t="s">
        <v>762</v>
      </c>
      <c r="E3752" s="6" t="s">
        <v>763</v>
      </c>
      <c r="F3752" s="6" t="str">
        <f>IF($M3752="PADD I","PADD 1",IF($M3752="PADD II","PADD 2",IF($M3752="PADD III","PADD 3",IF($M3752="PADD IV","PADD 4",IF($M3752="PADD V","PADD 5","")))))</f>
        <v>PADD 2</v>
      </c>
      <c r="G3752" s="6">
        <f>IF(AND($H3752="ATMOS DISTILLATION",ISNUMBER(SEARCH("VPS",$I3752))=FALSE,LEFT($I3752,6)&lt;&gt;"VACUUM"),"CDU",IF($H3752="FLUID CAT CRACKING","FCC",IF(OR($H3752="HYDROCRACKING",$H3752="RESID_HYDROCRACKING"),"Hydrocracker",IF($H3752="REFORMING","Reformer",""))))</f>
        <v/>
      </c>
      <c r="H3752" s="6" t="s">
        <v>378</v>
      </c>
      <c r="I3752" s="6" t="s">
        <v>812</v>
      </c>
      <c r="J3752" s="6" t="s">
        <v>345</v>
      </c>
      <c r="K3752" s="10">
        <v>15</v>
      </c>
      <c r="L3752" s="10">
        <v>15</v>
      </c>
      <c r="M3752" s="6" t="s">
        <v>375</v>
      </c>
    </row>
    <row r="3753" spans="1:13">
      <c r="A3753" s="6">
        <v>2024</v>
      </c>
      <c r="B3753" s="6">
        <v>5</v>
      </c>
      <c r="C3753" s="6" t="s">
        <v>63</v>
      </c>
      <c r="D3753" s="6" t="s">
        <v>326</v>
      </c>
      <c r="E3753" s="6" t="s">
        <v>385</v>
      </c>
      <c r="F3753" s="6" t="str">
        <f>IF($M3753="PADD I","PADD 1",IF($M3753="PADD II","PADD 2",IF($M3753="PADD III","PADD 3",IF($M3753="PADD IV","PADD 4",IF($M3753="PADD V","PADD 5","")))))</f>
        <v>PADD 5</v>
      </c>
      <c r="G3753" s="6">
        <f>IF(AND($H3753="ATMOS DISTILLATION",ISNUMBER(SEARCH("VPS",$I3753))=FALSE,LEFT($I3753,6)&lt;&gt;"VACUUM"),"CDU",IF($H3753="FLUID CAT CRACKING","FCC",IF(OR($H3753="HYDROCRACKING",$H3753="RESID_HYDROCRACKING"),"Hydrocracker",IF($H3753="REFORMING","Reformer",""))))</f>
        <v/>
      </c>
      <c r="H3753" s="6" t="s">
        <v>43</v>
      </c>
      <c r="I3753" s="6" t="s">
        <v>1183</v>
      </c>
      <c r="J3753" s="6" t="s">
        <v>349</v>
      </c>
      <c r="K3753" s="10">
        <v>14.3</v>
      </c>
      <c r="L3753" s="10">
        <v>26</v>
      </c>
      <c r="M3753" s="6" t="s">
        <v>386</v>
      </c>
    </row>
    <row r="3754" spans="1:13">
      <c r="A3754" s="6">
        <v>2024</v>
      </c>
      <c r="B3754" s="6">
        <v>5</v>
      </c>
      <c r="C3754" s="6" t="s">
        <v>63</v>
      </c>
      <c r="D3754" s="6" t="s">
        <v>468</v>
      </c>
      <c r="E3754" s="6" t="s">
        <v>369</v>
      </c>
      <c r="F3754" s="6" t="str">
        <f>IF($M3754="PADD I","PADD 1",IF($M3754="PADD II","PADD 2",IF($M3754="PADD III","PADD 3",IF($M3754="PADD IV","PADD 4",IF($M3754="PADD V","PADD 5","")))))</f>
        <v>PADD 3</v>
      </c>
      <c r="G3754" s="6">
        <f>IF(AND($H3754="ATMOS DISTILLATION",ISNUMBER(SEARCH("VPS",$I3754))=FALSE,LEFT($I3754,6)&lt;&gt;"VACUUM"),"CDU",IF($H3754="FLUID CAT CRACKING","FCC",IF(OR($H3754="HYDROCRACKING",$H3754="RESID_HYDROCRACKING"),"Hydrocracker",IF($H3754="REFORMING","Reformer",""))))</f>
        <v/>
      </c>
      <c r="H3754" s="6" t="s">
        <v>43</v>
      </c>
      <c r="I3754" s="6" t="s">
        <v>1176</v>
      </c>
      <c r="J3754" s="6" t="s">
        <v>349</v>
      </c>
      <c r="K3754" s="10">
        <v>13.65</v>
      </c>
      <c r="L3754" s="10">
        <v>35</v>
      </c>
      <c r="M3754" s="6" t="s">
        <v>371</v>
      </c>
    </row>
    <row r="3755" spans="1:13">
      <c r="A3755" s="6">
        <v>2024</v>
      </c>
      <c r="B3755" s="6">
        <v>5</v>
      </c>
      <c r="C3755" s="6" t="s">
        <v>63</v>
      </c>
      <c r="D3755" s="6" t="s">
        <v>762</v>
      </c>
      <c r="E3755" s="6" t="s">
        <v>763</v>
      </c>
      <c r="F3755" s="6" t="str">
        <f>IF($M3755="PADD I","PADD 1",IF($M3755="PADD II","PADD 2",IF($M3755="PADD III","PADD 3",IF($M3755="PADD IV","PADD 4",IF($M3755="PADD V","PADD 5","")))))</f>
        <v>PADD 2</v>
      </c>
      <c r="G3755" s="6">
        <f>IF(AND($H3755="ATMOS DISTILLATION",ISNUMBER(SEARCH("VPS",$I3755))=FALSE,LEFT($I3755,6)&lt;&gt;"VACUUM"),"CDU",IF($H3755="FLUID CAT CRACKING","FCC",IF(OR($H3755="HYDROCRACKING",$H3755="RESID_HYDROCRACKING"),"Hydrocracker",IF($H3755="REFORMING","Reformer",""))))</f>
        <v/>
      </c>
      <c r="H3755" s="6" t="s">
        <v>43</v>
      </c>
      <c r="I3755" s="6" t="s">
        <v>1055</v>
      </c>
      <c r="J3755" s="6" t="s">
        <v>345</v>
      </c>
      <c r="K3755" s="10">
        <v>13</v>
      </c>
      <c r="L3755" s="10">
        <v>13</v>
      </c>
      <c r="M3755" s="6" t="s">
        <v>375</v>
      </c>
    </row>
    <row r="3756" spans="1:13">
      <c r="A3756" s="6">
        <v>2024</v>
      </c>
      <c r="B3756" s="6">
        <v>5</v>
      </c>
      <c r="C3756" s="6" t="s">
        <v>63</v>
      </c>
      <c r="D3756" s="6" t="s">
        <v>326</v>
      </c>
      <c r="E3756" s="6" t="s">
        <v>385</v>
      </c>
      <c r="F3756" s="6" t="str">
        <f>IF($M3756="PADD I","PADD 1",IF($M3756="PADD II","PADD 2",IF($M3756="PADD III","PADD 3",IF($M3756="PADD IV","PADD 4",IF($M3756="PADD V","PADD 5","")))))</f>
        <v>PADD 5</v>
      </c>
      <c r="G3756" s="6">
        <f>IF(AND($H3756="ATMOS DISTILLATION",ISNUMBER(SEARCH("VPS",$I3756))=FALSE,LEFT($I3756,6)&lt;&gt;"VACUUM"),"CDU",IF($H3756="FLUID CAT CRACKING","FCC",IF(OR($H3756="HYDROCRACKING",$H3756="RESID_HYDROCRACKING"),"Hydrocracker",IF($H3756="REFORMING","Reformer",""))))</f>
        <v/>
      </c>
      <c r="H3756" s="6" t="s">
        <v>435</v>
      </c>
      <c r="I3756" s="6" t="s">
        <v>441</v>
      </c>
      <c r="J3756" s="6" t="s">
        <v>349</v>
      </c>
      <c r="K3756" s="10">
        <v>12.1</v>
      </c>
      <c r="L3756" s="10">
        <v>22</v>
      </c>
      <c r="M3756" s="6" t="s">
        <v>386</v>
      </c>
    </row>
    <row r="3757" spans="1:13">
      <c r="A3757" s="6">
        <v>2024</v>
      </c>
      <c r="B3757" s="6">
        <v>5</v>
      </c>
      <c r="C3757" s="6" t="s">
        <v>63</v>
      </c>
      <c r="D3757" s="6" t="s">
        <v>395</v>
      </c>
      <c r="E3757" s="6" t="s">
        <v>396</v>
      </c>
      <c r="F3757" s="6" t="str">
        <f>IF($M3757="PADD I","PADD 1",IF($M3757="PADD II","PADD 2",IF($M3757="PADD III","PADD 3",IF($M3757="PADD IV","PADD 4",IF($M3757="PADD V","PADD 5","")))))</f>
        <v>PADD 3</v>
      </c>
      <c r="G3757" s="6" t="str">
        <f>IF(AND($H3757="ATMOS DISTILLATION",ISNUMBER(SEARCH("VPS",$I3757))=FALSE,LEFT($I3757,6)&lt;&gt;"VACUUM"),"CDU",IF($H3757="FLUID CAT CRACKING","FCC",IF(OR($H3757="HYDROCRACKING",$H3757="RESID_HYDROCRACKING"),"Hydrocracker",IF($H3757="REFORMING","Reformer",""))))</f>
        <v>CDU</v>
      </c>
      <c r="H3757" s="6" t="s">
        <v>38</v>
      </c>
      <c r="I3757" s="6" t="s">
        <v>510</v>
      </c>
      <c r="J3757" s="6" t="s">
        <v>349</v>
      </c>
      <c r="K3757" s="10">
        <v>11.2</v>
      </c>
      <c r="L3757" s="10">
        <v>70</v>
      </c>
      <c r="M3757" s="6" t="s">
        <v>371</v>
      </c>
    </row>
    <row r="3758" spans="1:13">
      <c r="A3758" s="6">
        <v>2024</v>
      </c>
      <c r="B3758" s="6">
        <v>5</v>
      </c>
      <c r="C3758" s="6" t="s">
        <v>63</v>
      </c>
      <c r="D3758" s="6" t="s">
        <v>468</v>
      </c>
      <c r="E3758" s="6" t="s">
        <v>369</v>
      </c>
      <c r="F3758" s="6" t="str">
        <f>IF($M3758="PADD I","PADD 1",IF($M3758="PADD II","PADD 2",IF($M3758="PADD III","PADD 3",IF($M3758="PADD IV","PADD 4",IF($M3758="PADD V","PADD 5","")))))</f>
        <v>PADD 3</v>
      </c>
      <c r="G3758" s="6" t="str">
        <f>IF(AND($H3758="ATMOS DISTILLATION",ISNUMBER(SEARCH("VPS",$I3758))=FALSE,LEFT($I3758,6)&lt;&gt;"VACUUM"),"CDU",IF($H3758="FLUID CAT CRACKING","FCC",IF(OR($H3758="HYDROCRACKING",$H3758="RESID_HYDROCRACKING"),"Hydrocracker",IF($H3758="REFORMING","Reformer",""))))</f>
        <v>Reformer</v>
      </c>
      <c r="H3758" s="6" t="s">
        <v>421</v>
      </c>
      <c r="I3758" s="6" t="s">
        <v>858</v>
      </c>
      <c r="J3758" s="6" t="s">
        <v>349</v>
      </c>
      <c r="K3758" s="10">
        <v>11</v>
      </c>
      <c r="L3758" s="10">
        <v>20</v>
      </c>
      <c r="M3758" s="6" t="s">
        <v>371</v>
      </c>
    </row>
    <row r="3759" spans="1:13">
      <c r="A3759" s="6">
        <v>2024</v>
      </c>
      <c r="B3759" s="6">
        <v>5</v>
      </c>
      <c r="C3759" s="6" t="s">
        <v>63</v>
      </c>
      <c r="D3759" s="6" t="s">
        <v>468</v>
      </c>
      <c r="E3759" s="6" t="s">
        <v>369</v>
      </c>
      <c r="F3759" s="6" t="str">
        <f>IF($M3759="PADD I","PADD 1",IF($M3759="PADD II","PADD 2",IF($M3759="PADD III","PADD 3",IF($M3759="PADD IV","PADD 4",IF($M3759="PADD V","PADD 5","")))))</f>
        <v>PADD 3</v>
      </c>
      <c r="G3759" s="6">
        <f>IF(AND($H3759="ATMOS DISTILLATION",ISNUMBER(SEARCH("VPS",$I3759))=FALSE,LEFT($I3759,6)&lt;&gt;"VACUUM"),"CDU",IF($H3759="FLUID CAT CRACKING","FCC",IF(OR($H3759="HYDROCRACKING",$H3759="RESID_HYDROCRACKING"),"Hydrocracker",IF($H3759="REFORMING","Reformer",""))))</f>
        <v/>
      </c>
      <c r="H3759" s="6" t="s">
        <v>43</v>
      </c>
      <c r="I3759" s="6" t="s">
        <v>1030</v>
      </c>
      <c r="J3759" s="6" t="s">
        <v>349</v>
      </c>
      <c r="K3759" s="10">
        <v>11</v>
      </c>
      <c r="L3759" s="10">
        <v>20</v>
      </c>
      <c r="M3759" s="6" t="s">
        <v>371</v>
      </c>
    </row>
    <row r="3760" spans="1:13">
      <c r="A3760" s="6">
        <v>2024</v>
      </c>
      <c r="B3760" s="6">
        <v>5</v>
      </c>
      <c r="C3760" s="6" t="s">
        <v>63</v>
      </c>
      <c r="D3760" s="6" t="s">
        <v>762</v>
      </c>
      <c r="E3760" s="6" t="s">
        <v>763</v>
      </c>
      <c r="F3760" s="6" t="str">
        <f>IF($M3760="PADD I","PADD 1",IF($M3760="PADD II","PADD 2",IF($M3760="PADD III","PADD 3",IF($M3760="PADD IV","PADD 4",IF($M3760="PADD V","PADD 5","")))))</f>
        <v>PADD 2</v>
      </c>
      <c r="G3760" s="6" t="str">
        <f>IF(AND($H3760="ATMOS DISTILLATION",ISNUMBER(SEARCH("VPS",$I3760))=FALSE,LEFT($I3760,6)&lt;&gt;"VACUUM"),"CDU",IF($H3760="FLUID CAT CRACKING","FCC",IF(OR($H3760="HYDROCRACKING",$H3760="RESID_HYDROCRACKING"),"Hydrocracker",IF($H3760="REFORMING","Reformer",""))))</f>
        <v>CDU</v>
      </c>
      <c r="H3760" s="6" t="s">
        <v>38</v>
      </c>
      <c r="I3760" s="6" t="s">
        <v>131</v>
      </c>
      <c r="J3760" s="6" t="s">
        <v>345</v>
      </c>
      <c r="K3760" s="10">
        <v>10.15</v>
      </c>
      <c r="L3760" s="10">
        <v>35</v>
      </c>
      <c r="M3760" s="6" t="s">
        <v>375</v>
      </c>
    </row>
    <row r="3761" spans="1:13">
      <c r="A3761" s="6">
        <v>2024</v>
      </c>
      <c r="B3761" s="6">
        <v>5</v>
      </c>
      <c r="C3761" s="6" t="s">
        <v>63</v>
      </c>
      <c r="D3761" s="6" t="s">
        <v>329</v>
      </c>
      <c r="E3761" s="6" t="s">
        <v>427</v>
      </c>
      <c r="F3761" s="6" t="str">
        <f>IF($M3761="PADD I","PADD 1",IF($M3761="PADD II","PADD 2",IF($M3761="PADD III","PADD 3",IF($M3761="PADD IV","PADD 4",IF($M3761="PADD V","PADD 5","")))))</f>
        <v>PADD 3</v>
      </c>
      <c r="G3761" s="6" t="str">
        <f>IF(AND($H3761="ATMOS DISTILLATION",ISNUMBER(SEARCH("VPS",$I3761))=FALSE,LEFT($I3761,6)&lt;&gt;"VACUUM"),"CDU",IF($H3761="FLUID CAT CRACKING","FCC",IF(OR($H3761="HYDROCRACKING",$H3761="RESID_HYDROCRACKING"),"Hydrocracker",IF($H3761="REFORMING","Reformer",""))))</f>
        <v>FCC</v>
      </c>
      <c r="H3761" s="6" t="s">
        <v>376</v>
      </c>
      <c r="I3761" s="6" t="s">
        <v>428</v>
      </c>
      <c r="J3761" s="6" t="s">
        <v>345</v>
      </c>
      <c r="K3761" s="10">
        <v>8.84</v>
      </c>
      <c r="L3761" s="10">
        <v>68</v>
      </c>
      <c r="M3761" s="6" t="s">
        <v>371</v>
      </c>
    </row>
    <row r="3762" spans="1:13">
      <c r="A3762" s="6">
        <v>2024</v>
      </c>
      <c r="B3762" s="6">
        <v>5</v>
      </c>
      <c r="C3762" s="6" t="s">
        <v>63</v>
      </c>
      <c r="D3762" s="6" t="s">
        <v>762</v>
      </c>
      <c r="E3762" s="6" t="s">
        <v>763</v>
      </c>
      <c r="F3762" s="6" t="str">
        <f>IF($M3762="PADD I","PADD 1",IF($M3762="PADD II","PADD 2",IF($M3762="PADD III","PADD 3",IF($M3762="PADD IV","PADD 4",IF($M3762="PADD V","PADD 5","")))))</f>
        <v>PADD 2</v>
      </c>
      <c r="G3762" s="6" t="str">
        <f>IF(AND($H3762="ATMOS DISTILLATION",ISNUMBER(SEARCH("VPS",$I3762))=FALSE,LEFT($I3762,6)&lt;&gt;"VACUUM"),"CDU",IF($H3762="FLUID CAT CRACKING","FCC",IF(OR($H3762="HYDROCRACKING",$H3762="RESID_HYDROCRACKING"),"Hydrocracker",IF($H3762="REFORMING","Reformer",""))))</f>
        <v>Reformer</v>
      </c>
      <c r="H3762" s="6" t="s">
        <v>421</v>
      </c>
      <c r="I3762" s="6" t="s">
        <v>782</v>
      </c>
      <c r="J3762" s="6" t="s">
        <v>345</v>
      </c>
      <c r="K3762" s="10">
        <v>8.699999999999999</v>
      </c>
      <c r="L3762" s="10">
        <v>15</v>
      </c>
      <c r="M3762" s="6" t="s">
        <v>375</v>
      </c>
    </row>
    <row r="3763" spans="1:13">
      <c r="A3763" s="6">
        <v>2024</v>
      </c>
      <c r="B3763" s="6">
        <v>5</v>
      </c>
      <c r="C3763" s="6" t="s">
        <v>63</v>
      </c>
      <c r="D3763" s="6" t="s">
        <v>321</v>
      </c>
      <c r="E3763" s="6" t="s">
        <v>381</v>
      </c>
      <c r="F3763" s="6" t="str">
        <f>IF($M3763="PADD I","PADD 1",IF($M3763="PADD II","PADD 2",IF($M3763="PADD III","PADD 3",IF($M3763="PADD IV","PADD 4",IF($M3763="PADD V","PADD 5","")))))</f>
        <v>PADD 2</v>
      </c>
      <c r="G3763" s="6">
        <f>IF(AND($H3763="ATMOS DISTILLATION",ISNUMBER(SEARCH("VPS",$I3763))=FALSE,LEFT($I3763,6)&lt;&gt;"VACUUM"),"CDU",IF($H3763="FLUID CAT CRACKING","FCC",IF(OR($H3763="HYDROCRACKING",$H3763="RESID_HYDROCRACKING"),"Hydrocracker",IF($H3763="REFORMING","Reformer",""))))</f>
        <v/>
      </c>
      <c r="H3763" s="6" t="s">
        <v>460</v>
      </c>
      <c r="I3763" s="6" t="s">
        <v>616</v>
      </c>
      <c r="J3763" s="6" t="s">
        <v>345</v>
      </c>
      <c r="K3763" s="10">
        <v>8.092000000000001</v>
      </c>
      <c r="L3763" s="10">
        <v>11.9</v>
      </c>
      <c r="M3763" s="6" t="s">
        <v>375</v>
      </c>
    </row>
    <row r="3764" spans="1:13">
      <c r="A3764" s="6">
        <v>2024</v>
      </c>
      <c r="B3764" s="6">
        <v>5</v>
      </c>
      <c r="C3764" s="6" t="s">
        <v>63</v>
      </c>
      <c r="D3764" s="6" t="s">
        <v>1171</v>
      </c>
      <c r="E3764" s="6" t="s">
        <v>1172</v>
      </c>
      <c r="F3764" s="6" t="str">
        <f>IF($M3764="PADD I","PADD 1",IF($M3764="PADD II","PADD 2",IF($M3764="PADD III","PADD 3",IF($M3764="PADD IV","PADD 4",IF($M3764="PADD V","PADD 5","")))))</f>
        <v>PADD 3</v>
      </c>
      <c r="G3764" s="6" t="str">
        <f>IF(AND($H3764="ATMOS DISTILLATION",ISNUMBER(SEARCH("VPS",$I3764))=FALSE,LEFT($I3764,6)&lt;&gt;"VACUUM"),"CDU",IF($H3764="FLUID CAT CRACKING","FCC",IF(OR($H3764="HYDROCRACKING",$H3764="RESID_HYDROCRACKING"),"Hydrocracker",IF($H3764="REFORMING","Reformer",""))))</f>
        <v>CDU</v>
      </c>
      <c r="H3764" s="6" t="s">
        <v>38</v>
      </c>
      <c r="I3764" s="6" t="s">
        <v>1175</v>
      </c>
      <c r="J3764" s="6" t="s">
        <v>349</v>
      </c>
      <c r="K3764" s="10">
        <v>8</v>
      </c>
      <c r="L3764" s="10">
        <v>50</v>
      </c>
      <c r="M3764" s="6" t="s">
        <v>371</v>
      </c>
    </row>
    <row r="3765" spans="1:13">
      <c r="A3765" s="6">
        <v>2024</v>
      </c>
      <c r="B3765" s="6">
        <v>5</v>
      </c>
      <c r="C3765" s="6" t="s">
        <v>63</v>
      </c>
      <c r="D3765" s="6" t="s">
        <v>380</v>
      </c>
      <c r="E3765" s="6" t="s">
        <v>381</v>
      </c>
      <c r="F3765" s="6" t="str">
        <f>IF($M3765="PADD I","PADD 1",IF($M3765="PADD II","PADD 2",IF($M3765="PADD III","PADD 3",IF($M3765="PADD IV","PADD 4",IF($M3765="PADD V","PADD 5","")))))</f>
        <v>PADD 3</v>
      </c>
      <c r="G3765" s="6">
        <f>IF(AND($H3765="ATMOS DISTILLATION",ISNUMBER(SEARCH("VPS",$I3765))=FALSE,LEFT($I3765,6)&lt;&gt;"VACUUM"),"CDU",IF($H3765="FLUID CAT CRACKING","FCC",IF(OR($H3765="HYDROCRACKING",$H3765="RESID_HYDROCRACKING"),"Hydrocracker",IF($H3765="REFORMING","Reformer",""))))</f>
        <v/>
      </c>
      <c r="H3765" s="6" t="s">
        <v>435</v>
      </c>
      <c r="I3765" s="6" t="s">
        <v>515</v>
      </c>
      <c r="J3765" s="6" t="s">
        <v>349</v>
      </c>
      <c r="K3765" s="10">
        <v>8</v>
      </c>
      <c r="L3765" s="10">
        <v>25</v>
      </c>
      <c r="M3765" s="6" t="s">
        <v>371</v>
      </c>
    </row>
    <row r="3766" spans="1:13">
      <c r="A3766" s="6">
        <v>2024</v>
      </c>
      <c r="B3766" s="6">
        <v>5</v>
      </c>
      <c r="C3766" s="6" t="s">
        <v>63</v>
      </c>
      <c r="D3766" s="6" t="s">
        <v>762</v>
      </c>
      <c r="E3766" s="6" t="s">
        <v>763</v>
      </c>
      <c r="F3766" s="6" t="str">
        <f>IF($M3766="PADD I","PADD 1",IF($M3766="PADD II","PADD 2",IF($M3766="PADD III","PADD 3",IF($M3766="PADD IV","PADD 4",IF($M3766="PADD V","PADD 5","")))))</f>
        <v>PADD 2</v>
      </c>
      <c r="G3766" s="6">
        <f>IF(AND($H3766="ATMOS DISTILLATION",ISNUMBER(SEARCH("VPS",$I3766))=FALSE,LEFT($I3766,6)&lt;&gt;"VACUUM"),"CDU",IF($H3766="FLUID CAT CRACKING","FCC",IF(OR($H3766="HYDROCRACKING",$H3766="RESID_HYDROCRACKING"),"Hydrocracker",IF($H3766="REFORMING","Reformer",""))))</f>
        <v/>
      </c>
      <c r="H3766" s="6" t="s">
        <v>378</v>
      </c>
      <c r="I3766" s="6" t="s">
        <v>812</v>
      </c>
      <c r="J3766" s="6" t="s">
        <v>345</v>
      </c>
      <c r="K3766" s="10">
        <v>7.83</v>
      </c>
      <c r="L3766" s="10">
        <v>27</v>
      </c>
      <c r="M3766" s="6" t="s">
        <v>375</v>
      </c>
    </row>
    <row r="3767" spans="1:13">
      <c r="A3767" s="6">
        <v>2024</v>
      </c>
      <c r="B3767" s="6">
        <v>5</v>
      </c>
      <c r="C3767" s="6" t="s">
        <v>63</v>
      </c>
      <c r="D3767" s="6" t="s">
        <v>762</v>
      </c>
      <c r="E3767" s="6" t="s">
        <v>763</v>
      </c>
      <c r="F3767" s="6" t="str">
        <f>IF($M3767="PADD I","PADD 1",IF($M3767="PADD II","PADD 2",IF($M3767="PADD III","PADD 3",IF($M3767="PADD IV","PADD 4",IF($M3767="PADD V","PADD 5","")))))</f>
        <v>PADD 2</v>
      </c>
      <c r="G3767" s="6" t="str">
        <f>IF(AND($H3767="ATMOS DISTILLATION",ISNUMBER(SEARCH("VPS",$I3767))=FALSE,LEFT($I3767,6)&lt;&gt;"VACUUM"),"CDU",IF($H3767="FLUID CAT CRACKING","FCC",IF(OR($H3767="HYDROCRACKING",$H3767="RESID_HYDROCRACKING"),"Hydrocracker",IF($H3767="REFORMING","Reformer",""))))</f>
        <v>FCC</v>
      </c>
      <c r="H3767" s="6" t="s">
        <v>376</v>
      </c>
      <c r="I3767" s="6" t="s">
        <v>105</v>
      </c>
      <c r="J3767" s="6" t="s">
        <v>345</v>
      </c>
      <c r="K3767" s="10">
        <v>7.35</v>
      </c>
      <c r="L3767" s="10">
        <v>21</v>
      </c>
      <c r="M3767" s="6" t="s">
        <v>375</v>
      </c>
    </row>
    <row r="3768" spans="1:13">
      <c r="A3768" s="6">
        <v>2024</v>
      </c>
      <c r="B3768" s="6">
        <v>5</v>
      </c>
      <c r="C3768" s="6" t="s">
        <v>63</v>
      </c>
      <c r="D3768" s="6" t="s">
        <v>446</v>
      </c>
      <c r="E3768" s="6" t="s">
        <v>391</v>
      </c>
      <c r="F3768" s="6" t="str">
        <f>IF($M3768="PADD I","PADD 1",IF($M3768="PADD II","PADD 2",IF($M3768="PADD III","PADD 3",IF($M3768="PADD IV","PADD 4",IF($M3768="PADD V","PADD 5","")))))</f>
        <v>PADD 3</v>
      </c>
      <c r="G3768" s="6">
        <f>IF(AND($H3768="ATMOS DISTILLATION",ISNUMBER(SEARCH("VPS",$I3768))=FALSE,LEFT($I3768,6)&lt;&gt;"VACUUM"),"CDU",IF($H3768="FLUID CAT CRACKING","FCC",IF(OR($H3768="HYDROCRACKING",$H3768="RESID_HYDROCRACKING"),"Hydrocracker",IF($H3768="REFORMING","Reformer",""))))</f>
        <v/>
      </c>
      <c r="H3768" s="6" t="s">
        <v>460</v>
      </c>
      <c r="I3768" s="6" t="s">
        <v>1075</v>
      </c>
      <c r="J3768" s="6" t="s">
        <v>345</v>
      </c>
      <c r="K3768" s="10">
        <v>7.2</v>
      </c>
      <c r="L3768" s="10">
        <v>7.2</v>
      </c>
      <c r="M3768" s="6" t="s">
        <v>371</v>
      </c>
    </row>
    <row r="3769" spans="1:13">
      <c r="A3769" s="6">
        <v>2024</v>
      </c>
      <c r="B3769" s="6">
        <v>5</v>
      </c>
      <c r="C3769" s="6" t="s">
        <v>63</v>
      </c>
      <c r="D3769" s="6" t="s">
        <v>762</v>
      </c>
      <c r="E3769" s="6" t="s">
        <v>763</v>
      </c>
      <c r="F3769" s="6" t="str">
        <f>IF($M3769="PADD I","PADD 1",IF($M3769="PADD II","PADD 2",IF($M3769="PADD III","PADD 3",IF($M3769="PADD IV","PADD 4",IF($M3769="PADD V","PADD 5","")))))</f>
        <v>PADD 2</v>
      </c>
      <c r="G3769" s="6">
        <f>IF(AND($H3769="ATMOS DISTILLATION",ISNUMBER(SEARCH("VPS",$I3769))=FALSE,LEFT($I3769,6)&lt;&gt;"VACUUM"),"CDU",IF($H3769="FLUID CAT CRACKING","FCC",IF(OR($H3769="HYDROCRACKING",$H3769="RESID_HYDROCRACKING"),"Hydrocracker",IF($H3769="REFORMING","Reformer",""))))</f>
        <v/>
      </c>
      <c r="H3769" s="6" t="s">
        <v>43</v>
      </c>
      <c r="I3769" s="6" t="s">
        <v>863</v>
      </c>
      <c r="J3769" s="6" t="s">
        <v>345</v>
      </c>
      <c r="K3769" s="10">
        <v>7</v>
      </c>
      <c r="L3769" s="10">
        <v>20</v>
      </c>
      <c r="M3769" s="6" t="s">
        <v>375</v>
      </c>
    </row>
    <row r="3770" spans="1:13">
      <c r="A3770" s="6">
        <v>2024</v>
      </c>
      <c r="B3770" s="6">
        <v>5</v>
      </c>
      <c r="C3770" s="6" t="s">
        <v>63</v>
      </c>
      <c r="D3770" s="6" t="s">
        <v>572</v>
      </c>
      <c r="E3770" s="6" t="s">
        <v>573</v>
      </c>
      <c r="F3770" s="6" t="str">
        <f>IF($M3770="PADD I","PADD 1",IF($M3770="PADD II","PADD 2",IF($M3770="PADD III","PADD 3",IF($M3770="PADD IV","PADD 4",IF($M3770="PADD V","PADD 5","")))))</f>
        <v>PADD 3</v>
      </c>
      <c r="G3770" s="6" t="str">
        <f>IF(AND($H3770="ATMOS DISTILLATION",ISNUMBER(SEARCH("VPS",$I3770))=FALSE,LEFT($I3770,6)&lt;&gt;"VACUUM"),"CDU",IF($H3770="FLUID CAT CRACKING","FCC",IF(OR($H3770="HYDROCRACKING",$H3770="RESID_HYDROCRACKING"),"Hydrocracker",IF($H3770="REFORMING","Reformer",""))))</f>
        <v>CDU</v>
      </c>
      <c r="H3770" s="6" t="s">
        <v>38</v>
      </c>
      <c r="I3770" s="6" t="s">
        <v>574</v>
      </c>
      <c r="J3770" s="6" t="s">
        <v>345</v>
      </c>
      <c r="K3770" s="10">
        <v>6.5</v>
      </c>
      <c r="L3770" s="10">
        <v>50</v>
      </c>
      <c r="M3770" s="6" t="s">
        <v>371</v>
      </c>
    </row>
    <row r="3771" spans="1:13">
      <c r="A3771" s="6">
        <v>2024</v>
      </c>
      <c r="B3771" s="6">
        <v>5</v>
      </c>
      <c r="C3771" s="6" t="s">
        <v>63</v>
      </c>
      <c r="D3771" s="6" t="s">
        <v>380</v>
      </c>
      <c r="E3771" s="6" t="s">
        <v>381</v>
      </c>
      <c r="F3771" s="6" t="str">
        <f>IF($M3771="PADD I","PADD 1",IF($M3771="PADD II","PADD 2",IF($M3771="PADD III","PADD 3",IF($M3771="PADD IV","PADD 4",IF($M3771="PADD V","PADD 5","")))))</f>
        <v>PADD 3</v>
      </c>
      <c r="G3771" s="6" t="str">
        <f>IF(AND($H3771="ATMOS DISTILLATION",ISNUMBER(SEARCH("VPS",$I3771))=FALSE,LEFT($I3771,6)&lt;&gt;"VACUUM"),"CDU",IF($H3771="FLUID CAT CRACKING","FCC",IF(OR($H3771="HYDROCRACKING",$H3771="RESID_HYDROCRACKING"),"Hydrocracker",IF($H3771="REFORMING","Reformer",""))))</f>
        <v>FCC</v>
      </c>
      <c r="H3771" s="6" t="s">
        <v>376</v>
      </c>
      <c r="I3771" s="6" t="s">
        <v>652</v>
      </c>
      <c r="J3771" s="6" t="s">
        <v>345</v>
      </c>
      <c r="K3771" s="10">
        <v>6.4</v>
      </c>
      <c r="L3771" s="10">
        <v>20</v>
      </c>
      <c r="M3771" s="6" t="s">
        <v>371</v>
      </c>
    </row>
    <row r="3772" spans="1:13">
      <c r="A3772" s="6">
        <v>2024</v>
      </c>
      <c r="B3772" s="6">
        <v>5</v>
      </c>
      <c r="C3772" s="6" t="s">
        <v>63</v>
      </c>
      <c r="D3772" s="6" t="s">
        <v>862</v>
      </c>
      <c r="E3772" s="6" t="s">
        <v>856</v>
      </c>
      <c r="F3772" s="6" t="str">
        <f>IF($M3772="PADD I","PADD 1",IF($M3772="PADD II","PADD 2",IF($M3772="PADD III","PADD 3",IF($M3772="PADD IV","PADD 4",IF($M3772="PADD V","PADD 5","")))))</f>
        <v>PADD 5</v>
      </c>
      <c r="G3772" s="6" t="str">
        <f>IF(AND($H3772="ATMOS DISTILLATION",ISNUMBER(SEARCH("VPS",$I3772))=FALSE,LEFT($I3772,6)&lt;&gt;"VACUUM"),"CDU",IF($H3772="FLUID CAT CRACKING","FCC",IF(OR($H3772="HYDROCRACKING",$H3772="RESID_HYDROCRACKING"),"Hydrocracker",IF($H3772="REFORMING","Reformer",""))))</f>
        <v>CDU</v>
      </c>
      <c r="H3772" s="6" t="s">
        <v>38</v>
      </c>
      <c r="I3772" s="6" t="s">
        <v>857</v>
      </c>
      <c r="J3772" s="6" t="s">
        <v>349</v>
      </c>
      <c r="K3772" s="10">
        <v>6.38</v>
      </c>
      <c r="L3772" s="10">
        <v>22</v>
      </c>
      <c r="M3772" s="6" t="s">
        <v>386</v>
      </c>
    </row>
    <row r="3773" spans="1:13">
      <c r="A3773" s="6">
        <v>2024</v>
      </c>
      <c r="B3773" s="6">
        <v>5</v>
      </c>
      <c r="C3773" s="6" t="s">
        <v>63</v>
      </c>
      <c r="D3773" s="6" t="s">
        <v>615</v>
      </c>
      <c r="E3773" s="6" t="s">
        <v>405</v>
      </c>
      <c r="F3773" s="6" t="str">
        <f>IF($M3773="PADD I","PADD 1",IF($M3773="PADD II","PADD 2",IF($M3773="PADD III","PADD 3",IF($M3773="PADD IV","PADD 4",IF($M3773="PADD V","PADD 5","")))))</f>
        <v>PADD 5</v>
      </c>
      <c r="G3773" s="6">
        <f>IF(AND($H3773="ATMOS DISTILLATION",ISNUMBER(SEARCH("VPS",$I3773))=FALSE,LEFT($I3773,6)&lt;&gt;"VACUUM"),"CDU",IF($H3773="FLUID CAT CRACKING","FCC",IF(OR($H3773="HYDROCRACKING",$H3773="RESID_HYDROCRACKING"),"Hydrocracker",IF($H3773="REFORMING","Reformer",""))))</f>
        <v/>
      </c>
      <c r="H3773" s="6" t="s">
        <v>43</v>
      </c>
      <c r="I3773" s="6" t="s">
        <v>1185</v>
      </c>
      <c r="J3773" s="6" t="s">
        <v>349</v>
      </c>
      <c r="K3773" s="10">
        <v>6.24</v>
      </c>
      <c r="L3773" s="10">
        <v>12</v>
      </c>
      <c r="M3773" s="6" t="s">
        <v>386</v>
      </c>
    </row>
    <row r="3774" spans="1:13">
      <c r="A3774" s="6">
        <v>2024</v>
      </c>
      <c r="B3774" s="6">
        <v>5</v>
      </c>
      <c r="C3774" s="6" t="s">
        <v>63</v>
      </c>
      <c r="D3774" s="6" t="s">
        <v>446</v>
      </c>
      <c r="E3774" s="6" t="s">
        <v>391</v>
      </c>
      <c r="F3774" s="6" t="str">
        <f>IF($M3774="PADD I","PADD 1",IF($M3774="PADD II","PADD 2",IF($M3774="PADD III","PADD 3",IF($M3774="PADD IV","PADD 4",IF($M3774="PADD V","PADD 5","")))))</f>
        <v>PADD 3</v>
      </c>
      <c r="G3774" s="6">
        <f>IF(AND($H3774="ATMOS DISTILLATION",ISNUMBER(SEARCH("VPS",$I3774))=FALSE,LEFT($I3774,6)&lt;&gt;"VACUUM"),"CDU",IF($H3774="FLUID CAT CRACKING","FCC",IF(OR($H3774="HYDROCRACKING",$H3774="RESID_HYDROCRACKING"),"Hydrocracker",IF($H3774="REFORMING","Reformer",""))))</f>
        <v/>
      </c>
      <c r="H3774" s="6" t="s">
        <v>378</v>
      </c>
      <c r="I3774" s="6" t="s">
        <v>1041</v>
      </c>
      <c r="J3774" s="6" t="s">
        <v>349</v>
      </c>
      <c r="K3774" s="10">
        <v>6.08</v>
      </c>
      <c r="L3774" s="10">
        <v>38</v>
      </c>
      <c r="M3774" s="6" t="s">
        <v>371</v>
      </c>
    </row>
    <row r="3775" spans="1:13">
      <c r="A3775" s="6">
        <v>2024</v>
      </c>
      <c r="B3775" s="6">
        <v>5</v>
      </c>
      <c r="C3775" s="6" t="s">
        <v>63</v>
      </c>
      <c r="D3775" s="6" t="s">
        <v>500</v>
      </c>
      <c r="E3775" s="6" t="s">
        <v>388</v>
      </c>
      <c r="F3775" s="6" t="str">
        <f>IF($M3775="PADD I","PADD 1",IF($M3775="PADD II","PADD 2",IF($M3775="PADD III","PADD 3",IF($M3775="PADD IV","PADD 4",IF($M3775="PADD V","PADD 5","")))))</f>
        <v>PADD 2</v>
      </c>
      <c r="G3775" s="6">
        <f>IF(AND($H3775="ATMOS DISTILLATION",ISNUMBER(SEARCH("VPS",$I3775))=FALSE,LEFT($I3775,6)&lt;&gt;"VACUUM"),"CDU",IF($H3775="FLUID CAT CRACKING","FCC",IF(OR($H3775="HYDROCRACKING",$H3775="RESID_HYDROCRACKING"),"Hydrocracker",IF($H3775="REFORMING","Reformer",""))))</f>
        <v/>
      </c>
      <c r="H3775" s="6" t="s">
        <v>43</v>
      </c>
      <c r="I3775" s="6" t="s">
        <v>501</v>
      </c>
      <c r="J3775" s="6" t="s">
        <v>345</v>
      </c>
      <c r="K3775" s="10">
        <v>5.795</v>
      </c>
      <c r="L3775" s="10">
        <v>30.5</v>
      </c>
      <c r="M3775" s="6" t="s">
        <v>375</v>
      </c>
    </row>
    <row r="3776" spans="1:13">
      <c r="A3776" s="6">
        <v>2024</v>
      </c>
      <c r="B3776" s="6">
        <v>5</v>
      </c>
      <c r="C3776" s="6" t="s">
        <v>63</v>
      </c>
      <c r="D3776" s="6" t="s">
        <v>815</v>
      </c>
      <c r="E3776" s="6" t="s">
        <v>452</v>
      </c>
      <c r="F3776" s="6" t="str">
        <f>IF($M3776="PADD I","PADD 1",IF($M3776="PADD II","PADD 2",IF($M3776="PADD III","PADD 3",IF($M3776="PADD IV","PADD 4",IF($M3776="PADD V","PADD 5","")))))</f>
        <v>PADD 4</v>
      </c>
      <c r="G3776" s="6" t="str">
        <f>IF(AND($H3776="ATMOS DISTILLATION",ISNUMBER(SEARCH("VPS",$I3776))=FALSE,LEFT($I3776,6)&lt;&gt;"VACUUM"),"CDU",IF($H3776="FLUID CAT CRACKING","FCC",IF(OR($H3776="HYDROCRACKING",$H3776="RESID_HYDROCRACKING"),"Hydrocracker",IF($H3776="REFORMING","Reformer",""))))</f>
        <v>Hydrocracker</v>
      </c>
      <c r="H3776" s="6" t="s">
        <v>444</v>
      </c>
      <c r="I3776" s="6" t="s">
        <v>842</v>
      </c>
      <c r="J3776" s="6" t="s">
        <v>349</v>
      </c>
      <c r="K3776" s="10">
        <v>5.55</v>
      </c>
      <c r="L3776" s="10">
        <v>7.5</v>
      </c>
      <c r="M3776" s="6" t="s">
        <v>430</v>
      </c>
    </row>
    <row r="3777" spans="1:13">
      <c r="A3777" s="6">
        <v>2024</v>
      </c>
      <c r="B3777" s="6">
        <v>5</v>
      </c>
      <c r="C3777" s="6" t="s">
        <v>63</v>
      </c>
      <c r="D3777" s="6" t="s">
        <v>335</v>
      </c>
      <c r="E3777" s="6" t="s">
        <v>369</v>
      </c>
      <c r="F3777" s="6" t="str">
        <f>IF($M3777="PADD I","PADD 1",IF($M3777="PADD II","PADD 2",IF($M3777="PADD III","PADD 3",IF($M3777="PADD IV","PADD 4",IF($M3777="PADD V","PADD 5","")))))</f>
        <v>PADD 3</v>
      </c>
      <c r="G3777" s="6" t="str">
        <f>IF(AND($H3777="ATMOS DISTILLATION",ISNUMBER(SEARCH("VPS",$I3777))=FALSE,LEFT($I3777,6)&lt;&gt;"VACUUM"),"CDU",IF($H3777="FLUID CAT CRACKING","FCC",IF(OR($H3777="HYDROCRACKING",$H3777="RESID_HYDROCRACKING"),"Hydrocracker",IF($H3777="REFORMING","Reformer",""))))</f>
        <v>CDU</v>
      </c>
      <c r="H3777" s="6" t="s">
        <v>38</v>
      </c>
      <c r="I3777" s="6" t="s">
        <v>729</v>
      </c>
      <c r="J3777" s="6" t="s">
        <v>349</v>
      </c>
      <c r="K3777" s="10">
        <v>5.55</v>
      </c>
      <c r="L3777" s="10">
        <v>185</v>
      </c>
      <c r="M3777" s="6" t="s">
        <v>371</v>
      </c>
    </row>
    <row r="3778" spans="1:13">
      <c r="A3778" s="6">
        <v>2024</v>
      </c>
      <c r="B3778" s="6">
        <v>5</v>
      </c>
      <c r="C3778" s="6" t="s">
        <v>63</v>
      </c>
      <c r="D3778" s="6" t="s">
        <v>762</v>
      </c>
      <c r="E3778" s="6" t="s">
        <v>763</v>
      </c>
      <c r="F3778" s="6" t="str">
        <f>IF($M3778="PADD I","PADD 1",IF($M3778="PADD II","PADD 2",IF($M3778="PADD III","PADD 3",IF($M3778="PADD IV","PADD 4",IF($M3778="PADD V","PADD 5","")))))</f>
        <v>PADD 2</v>
      </c>
      <c r="G3778" s="6">
        <f>IF(AND($H3778="ATMOS DISTILLATION",ISNUMBER(SEARCH("VPS",$I3778))=FALSE,LEFT($I3778,6)&lt;&gt;"VACUUM"),"CDU",IF($H3778="FLUID CAT CRACKING","FCC",IF(OR($H3778="HYDROCRACKING",$H3778="RESID_HYDROCRACKING"),"Hydrocracker",IF($H3778="REFORMING","Reformer",""))))</f>
        <v/>
      </c>
      <c r="H3778" s="6" t="s">
        <v>43</v>
      </c>
      <c r="I3778" s="6" t="s">
        <v>458</v>
      </c>
      <c r="J3778" s="6" t="s">
        <v>345</v>
      </c>
      <c r="K3778" s="10">
        <v>5.46</v>
      </c>
      <c r="L3778" s="10">
        <v>13</v>
      </c>
      <c r="M3778" s="6" t="s">
        <v>375</v>
      </c>
    </row>
    <row r="3779" spans="1:13">
      <c r="A3779" s="6">
        <v>2024</v>
      </c>
      <c r="B3779" s="6">
        <v>5</v>
      </c>
      <c r="C3779" s="6" t="s">
        <v>63</v>
      </c>
      <c r="D3779" s="6" t="s">
        <v>531</v>
      </c>
      <c r="E3779" s="6" t="s">
        <v>532</v>
      </c>
      <c r="F3779" s="6" t="str">
        <f>IF($M3779="PADD I","PADD 1",IF($M3779="PADD II","PADD 2",IF($M3779="PADD III","PADD 3",IF($M3779="PADD IV","PADD 4",IF($M3779="PADD V","PADD 5","")))))</f>
        <v>PADD 5</v>
      </c>
      <c r="G3779" s="6" t="str">
        <f>IF(AND($H3779="ATMOS DISTILLATION",ISNUMBER(SEARCH("VPS",$I3779))=FALSE,LEFT($I3779,6)&lt;&gt;"VACUUM"),"CDU",IF($H3779="FLUID CAT CRACKING","FCC",IF(OR($H3779="HYDROCRACKING",$H3779="RESID_HYDROCRACKING"),"Hydrocracker",IF($H3779="REFORMING","Reformer",""))))</f>
        <v>FCC</v>
      </c>
      <c r="H3779" s="6" t="s">
        <v>376</v>
      </c>
      <c r="I3779" s="6" t="s">
        <v>105</v>
      </c>
      <c r="J3779" s="6" t="s">
        <v>345</v>
      </c>
      <c r="K3779" s="10">
        <v>5.4</v>
      </c>
      <c r="L3779" s="10">
        <v>90</v>
      </c>
      <c r="M3779" s="6" t="s">
        <v>386</v>
      </c>
    </row>
    <row r="3780" spans="1:13">
      <c r="A3780" s="6">
        <v>2024</v>
      </c>
      <c r="B3780" s="6">
        <v>5</v>
      </c>
      <c r="C3780" s="6" t="s">
        <v>63</v>
      </c>
      <c r="D3780" s="6" t="s">
        <v>446</v>
      </c>
      <c r="E3780" s="6" t="s">
        <v>391</v>
      </c>
      <c r="F3780" s="6" t="str">
        <f>IF($M3780="PADD I","PADD 1",IF($M3780="PADD II","PADD 2",IF($M3780="PADD III","PADD 3",IF($M3780="PADD IV","PADD 4",IF($M3780="PADD V","PADD 5","")))))</f>
        <v>PADD 3</v>
      </c>
      <c r="G3780" s="6">
        <f>IF(AND($H3780="ATMOS DISTILLATION",ISNUMBER(SEARCH("VPS",$I3780))=FALSE,LEFT($I3780,6)&lt;&gt;"VACUUM"),"CDU",IF($H3780="FLUID CAT CRACKING","FCC",IF(OR($H3780="HYDROCRACKING",$H3780="RESID_HYDROCRACKING"),"Hydrocracker",IF($H3780="REFORMING","Reformer",""))))</f>
        <v/>
      </c>
      <c r="H3780" s="6" t="s">
        <v>378</v>
      </c>
      <c r="I3780" s="6" t="s">
        <v>1041</v>
      </c>
      <c r="J3780" s="6" t="s">
        <v>345</v>
      </c>
      <c r="K3780" s="10">
        <v>5.33</v>
      </c>
      <c r="L3780" s="10">
        <v>41</v>
      </c>
      <c r="M3780" s="6" t="s">
        <v>371</v>
      </c>
    </row>
    <row r="3781" spans="1:13">
      <c r="A3781" s="6">
        <v>2024</v>
      </c>
      <c r="B3781" s="6">
        <v>5</v>
      </c>
      <c r="C3781" s="6" t="s">
        <v>63</v>
      </c>
      <c r="D3781" s="6" t="s">
        <v>756</v>
      </c>
      <c r="E3781" s="6" t="s">
        <v>757</v>
      </c>
      <c r="F3781" s="6" t="str">
        <f>IF($M3781="PADD I","PADD 1",IF($M3781="PADD II","PADD 2",IF($M3781="PADD III","PADD 3",IF($M3781="PADD IV","PADD 4",IF($M3781="PADD V","PADD 5","")))))</f>
        <v>PADD 3</v>
      </c>
      <c r="G3781" s="6" t="str">
        <f>IF(AND($H3781="ATMOS DISTILLATION",ISNUMBER(SEARCH("VPS",$I3781))=FALSE,LEFT($I3781,6)&lt;&gt;"VACUUM"),"CDU",IF($H3781="FLUID CAT CRACKING","FCC",IF(OR($H3781="HYDROCRACKING",$H3781="RESID_HYDROCRACKING"),"Hydrocracker",IF($H3781="REFORMING","Reformer",""))))</f>
        <v>CDU</v>
      </c>
      <c r="H3781" s="6" t="s">
        <v>38</v>
      </c>
      <c r="I3781" s="6" t="s">
        <v>81</v>
      </c>
      <c r="J3781" s="6" t="s">
        <v>349</v>
      </c>
      <c r="K3781" s="10">
        <v>5.25</v>
      </c>
      <c r="L3781" s="10">
        <v>15</v>
      </c>
      <c r="M3781" s="6" t="s">
        <v>371</v>
      </c>
    </row>
    <row r="3782" spans="1:13">
      <c r="A3782" s="6">
        <v>2024</v>
      </c>
      <c r="B3782" s="6">
        <v>5</v>
      </c>
      <c r="C3782" s="6" t="s">
        <v>63</v>
      </c>
      <c r="D3782" s="6" t="s">
        <v>457</v>
      </c>
      <c r="E3782" s="6" t="s">
        <v>388</v>
      </c>
      <c r="F3782" s="6" t="str">
        <f>IF($M3782="PADD I","PADD 1",IF($M3782="PADD II","PADD 2",IF($M3782="PADD III","PADD 3",IF($M3782="PADD IV","PADD 4",IF($M3782="PADD V","PADD 5","")))))</f>
        <v>PADD 5</v>
      </c>
      <c r="G3782" s="6" t="str">
        <f>IF(AND($H3782="ATMOS DISTILLATION",ISNUMBER(SEARCH("VPS",$I3782))=FALSE,LEFT($I3782,6)&lt;&gt;"VACUUM"),"CDU",IF($H3782="FLUID CAT CRACKING","FCC",IF(OR($H3782="HYDROCRACKING",$H3782="RESID_HYDROCRACKING"),"Hydrocracker",IF($H3782="REFORMING","Reformer",""))))</f>
        <v>Reformer</v>
      </c>
      <c r="H3782" s="6" t="s">
        <v>421</v>
      </c>
      <c r="I3782" s="6" t="s">
        <v>559</v>
      </c>
      <c r="J3782" s="6" t="s">
        <v>345</v>
      </c>
      <c r="K3782" s="10">
        <v>5.2</v>
      </c>
      <c r="L3782" s="10">
        <v>20</v>
      </c>
      <c r="M3782" s="6" t="s">
        <v>386</v>
      </c>
    </row>
    <row r="3783" spans="1:13">
      <c r="A3783" s="6">
        <v>2024</v>
      </c>
      <c r="B3783" s="6">
        <v>5</v>
      </c>
      <c r="C3783" s="6" t="s">
        <v>63</v>
      </c>
      <c r="D3783" s="6" t="s">
        <v>739</v>
      </c>
      <c r="E3783" s="6" t="s">
        <v>405</v>
      </c>
      <c r="F3783" s="6" t="str">
        <f>IF($M3783="PADD I","PADD 1",IF($M3783="PADD II","PADD 2",IF($M3783="PADD III","PADD 3",IF($M3783="PADD IV","PADD 4",IF($M3783="PADD V","PADD 5","")))))</f>
        <v>PADD 2</v>
      </c>
      <c r="G3783" s="6">
        <f>IF(AND($H3783="ATMOS DISTILLATION",ISNUMBER(SEARCH("VPS",$I3783))=FALSE,LEFT($I3783,6)&lt;&gt;"VACUUM"),"CDU",IF($H3783="FLUID CAT CRACKING","FCC",IF(OR($H3783="HYDROCRACKING",$H3783="RESID_HYDROCRACKING"),"Hydrocracker",IF($H3783="REFORMING","Reformer",""))))</f>
        <v/>
      </c>
      <c r="H3783" s="6" t="s">
        <v>43</v>
      </c>
      <c r="I3783" s="6" t="s">
        <v>689</v>
      </c>
      <c r="J3783" s="6" t="s">
        <v>345</v>
      </c>
      <c r="K3783" s="10">
        <v>5.12</v>
      </c>
      <c r="L3783" s="10">
        <v>32</v>
      </c>
      <c r="M3783" s="6" t="s">
        <v>375</v>
      </c>
    </row>
    <row r="3784" spans="1:13">
      <c r="A3784" s="6">
        <v>2024</v>
      </c>
      <c r="B3784" s="6">
        <v>5</v>
      </c>
      <c r="C3784" s="6" t="s">
        <v>63</v>
      </c>
      <c r="D3784" s="6" t="s">
        <v>739</v>
      </c>
      <c r="E3784" s="6" t="s">
        <v>405</v>
      </c>
      <c r="F3784" s="6" t="str">
        <f>IF($M3784="PADD I","PADD 1",IF($M3784="PADD II","PADD 2",IF($M3784="PADD III","PADD 3",IF($M3784="PADD IV","PADD 4",IF($M3784="PADD V","PADD 5","")))))</f>
        <v>PADD 2</v>
      </c>
      <c r="G3784" s="6">
        <f>IF(AND($H3784="ATMOS DISTILLATION",ISNUMBER(SEARCH("VPS",$I3784))=FALSE,LEFT($I3784,6)&lt;&gt;"VACUUM"),"CDU",IF($H3784="FLUID CAT CRACKING","FCC",IF(OR($H3784="HYDROCRACKING",$H3784="RESID_HYDROCRACKING"),"Hydrocracker",IF($H3784="REFORMING","Reformer",""))))</f>
        <v/>
      </c>
      <c r="H3784" s="6" t="s">
        <v>378</v>
      </c>
      <c r="I3784" s="6" t="s">
        <v>431</v>
      </c>
      <c r="J3784" s="6" t="s">
        <v>345</v>
      </c>
      <c r="K3784" s="10">
        <v>5.12</v>
      </c>
      <c r="L3784" s="10">
        <v>32</v>
      </c>
      <c r="M3784" s="6" t="s">
        <v>375</v>
      </c>
    </row>
    <row r="3785" spans="1:13">
      <c r="A3785" s="6">
        <v>2024</v>
      </c>
      <c r="B3785" s="6">
        <v>5</v>
      </c>
      <c r="C3785" s="6" t="s">
        <v>63</v>
      </c>
      <c r="D3785" s="6" t="s">
        <v>415</v>
      </c>
      <c r="E3785" s="6" t="s">
        <v>416</v>
      </c>
      <c r="F3785" s="6" t="str">
        <f>IF($M3785="PADD I","PADD 1",IF($M3785="PADD II","PADD 2",IF($M3785="PADD III","PADD 3",IF($M3785="PADD IV","PADD 4",IF($M3785="PADD V","PADD 5","")))))</f>
        <v>PADD 3</v>
      </c>
      <c r="G3785" s="6" t="str">
        <f>IF(AND($H3785="ATMOS DISTILLATION",ISNUMBER(SEARCH("VPS",$I3785))=FALSE,LEFT($I3785,6)&lt;&gt;"VACUUM"),"CDU",IF($H3785="FLUID CAT CRACKING","FCC",IF(OR($H3785="HYDROCRACKING",$H3785="RESID_HYDROCRACKING"),"Hydrocracker",IF($H3785="REFORMING","Reformer",""))))</f>
        <v>FCC</v>
      </c>
      <c r="H3785" s="6" t="s">
        <v>376</v>
      </c>
      <c r="I3785" s="6" t="s">
        <v>995</v>
      </c>
      <c r="J3785" s="6" t="s">
        <v>349</v>
      </c>
      <c r="K3785" s="10">
        <v>5</v>
      </c>
      <c r="L3785" s="10">
        <v>50</v>
      </c>
      <c r="M3785" s="6" t="s">
        <v>371</v>
      </c>
    </row>
    <row r="3786" spans="1:13">
      <c r="A3786" s="6">
        <v>2024</v>
      </c>
      <c r="B3786" s="6">
        <v>5</v>
      </c>
      <c r="C3786" s="6" t="s">
        <v>63</v>
      </c>
      <c r="D3786" s="6" t="s">
        <v>395</v>
      </c>
      <c r="E3786" s="6" t="s">
        <v>396</v>
      </c>
      <c r="F3786" s="6" t="str">
        <f>IF($M3786="PADD I","PADD 1",IF($M3786="PADD II","PADD 2",IF($M3786="PADD III","PADD 3",IF($M3786="PADD IV","PADD 4",IF($M3786="PADD V","PADD 5","")))))</f>
        <v>PADD 3</v>
      </c>
      <c r="G3786" s="6">
        <f>IF(AND($H3786="ATMOS DISTILLATION",ISNUMBER(SEARCH("VPS",$I3786))=FALSE,LEFT($I3786,6)&lt;&gt;"VACUUM"),"CDU",IF($H3786="FLUID CAT CRACKING","FCC",IF(OR($H3786="HYDROCRACKING",$H3786="RESID_HYDROCRACKING"),"Hydrocracker",IF($H3786="REFORMING","Reformer",""))))</f>
        <v/>
      </c>
      <c r="H3786" s="6" t="s">
        <v>378</v>
      </c>
      <c r="I3786" s="6" t="s">
        <v>575</v>
      </c>
      <c r="J3786" s="6" t="s">
        <v>349</v>
      </c>
      <c r="K3786" s="10">
        <v>4.8</v>
      </c>
      <c r="L3786" s="10">
        <v>30</v>
      </c>
      <c r="M3786" s="6" t="s">
        <v>371</v>
      </c>
    </row>
    <row r="3787" spans="1:13">
      <c r="A3787" s="6">
        <v>2024</v>
      </c>
      <c r="B3787" s="6">
        <v>5</v>
      </c>
      <c r="C3787" s="6" t="s">
        <v>63</v>
      </c>
      <c r="D3787" s="6" t="s">
        <v>542</v>
      </c>
      <c r="E3787" s="6" t="s">
        <v>543</v>
      </c>
      <c r="F3787" s="6" t="str">
        <f>IF($M3787="PADD I","PADD 1",IF($M3787="PADD II","PADD 2",IF($M3787="PADD III","PADD 3",IF($M3787="PADD IV","PADD 4",IF($M3787="PADD V","PADD 5","")))))</f>
        <v>PADD 2</v>
      </c>
      <c r="G3787" s="6">
        <f>IF(AND($H3787="ATMOS DISTILLATION",ISNUMBER(SEARCH("VPS",$I3787))=FALSE,LEFT($I3787,6)&lt;&gt;"VACUUM"),"CDU",IF($H3787="FLUID CAT CRACKING","FCC",IF(OR($H3787="HYDROCRACKING",$H3787="RESID_HYDROCRACKING"),"Hydrocracker",IF($H3787="REFORMING","Reformer",""))))</f>
        <v/>
      </c>
      <c r="H3787" s="6" t="s">
        <v>43</v>
      </c>
      <c r="I3787" s="6" t="s">
        <v>551</v>
      </c>
      <c r="J3787" s="6" t="s">
        <v>349</v>
      </c>
      <c r="K3787" s="10">
        <v>4.8</v>
      </c>
      <c r="L3787" s="10">
        <v>10</v>
      </c>
      <c r="M3787" s="6" t="s">
        <v>375</v>
      </c>
    </row>
    <row r="3788" spans="1:13">
      <c r="A3788" s="6">
        <v>2024</v>
      </c>
      <c r="B3788" s="6">
        <v>5</v>
      </c>
      <c r="C3788" s="6" t="s">
        <v>63</v>
      </c>
      <c r="D3788" s="6" t="s">
        <v>789</v>
      </c>
      <c r="E3788" s="6" t="s">
        <v>790</v>
      </c>
      <c r="F3788" s="6" t="str">
        <f>IF($M3788="PADD I","PADD 1",IF($M3788="PADD II","PADD 2",IF($M3788="PADD III","PADD 3",IF($M3788="PADD IV","PADD 4",IF($M3788="PADD V","PADD 5","")))))</f>
        <v>PADD 3</v>
      </c>
      <c r="G3788" s="6" t="str">
        <f>IF(AND($H3788="ATMOS DISTILLATION",ISNUMBER(SEARCH("VPS",$I3788))=FALSE,LEFT($I3788,6)&lt;&gt;"VACUUM"),"CDU",IF($H3788="FLUID CAT CRACKING","FCC",IF(OR($H3788="HYDROCRACKING",$H3788="RESID_HYDROCRACKING"),"Hydrocracker",IF($H3788="REFORMING","Reformer",""))))</f>
        <v>CDU</v>
      </c>
      <c r="H3788" s="6" t="s">
        <v>38</v>
      </c>
      <c r="I3788" s="6" t="s">
        <v>1184</v>
      </c>
      <c r="J3788" s="6" t="s">
        <v>349</v>
      </c>
      <c r="K3788" s="10">
        <v>4.75</v>
      </c>
      <c r="L3788" s="10">
        <v>25</v>
      </c>
      <c r="M3788" s="6" t="s">
        <v>371</v>
      </c>
    </row>
    <row r="3789" spans="1:13">
      <c r="A3789" s="6">
        <v>2024</v>
      </c>
      <c r="B3789" s="6">
        <v>5</v>
      </c>
      <c r="C3789" s="6" t="s">
        <v>63</v>
      </c>
      <c r="D3789" s="6" t="s">
        <v>372</v>
      </c>
      <c r="E3789" s="6" t="s">
        <v>373</v>
      </c>
      <c r="F3789" s="6" t="str">
        <f>IF($M3789="PADD I","PADD 1",IF($M3789="PADD II","PADD 2",IF($M3789="PADD III","PADD 3",IF($M3789="PADD IV","PADD 4",IF($M3789="PADD V","PADD 5","")))))</f>
        <v>PADD 2</v>
      </c>
      <c r="G3789" s="6">
        <f>IF(AND($H3789="ATMOS DISTILLATION",ISNUMBER(SEARCH("VPS",$I3789))=FALSE,LEFT($I3789,6)&lt;&gt;"VACUUM"),"CDU",IF($H3789="FLUID CAT CRACKING","FCC",IF(OR($H3789="HYDROCRACKING",$H3789="RESID_HYDROCRACKING"),"Hydrocracker",IF($H3789="REFORMING","Reformer",""))))</f>
        <v/>
      </c>
      <c r="H3789" s="6" t="s">
        <v>435</v>
      </c>
      <c r="I3789" s="6" t="s">
        <v>467</v>
      </c>
      <c r="J3789" s="6" t="s">
        <v>345</v>
      </c>
      <c r="K3789" s="10">
        <v>4.75</v>
      </c>
      <c r="L3789" s="10">
        <v>25</v>
      </c>
      <c r="M3789" s="6" t="s">
        <v>375</v>
      </c>
    </row>
    <row r="3790" spans="1:13">
      <c r="A3790" s="6">
        <v>2024</v>
      </c>
      <c r="B3790" s="6">
        <v>5</v>
      </c>
      <c r="C3790" s="6" t="s">
        <v>63</v>
      </c>
      <c r="D3790" s="6" t="s">
        <v>500</v>
      </c>
      <c r="E3790" s="6" t="s">
        <v>388</v>
      </c>
      <c r="F3790" s="6" t="str">
        <f>IF($M3790="PADD I","PADD 1",IF($M3790="PADD II","PADD 2",IF($M3790="PADD III","PADD 3",IF($M3790="PADD IV","PADD 4",IF($M3790="PADD V","PADD 5","")))))</f>
        <v>PADD 2</v>
      </c>
      <c r="G3790" s="6">
        <f>IF(AND($H3790="ATMOS DISTILLATION",ISNUMBER(SEARCH("VPS",$I3790))=FALSE,LEFT($I3790,6)&lt;&gt;"VACUUM"),"CDU",IF($H3790="FLUID CAT CRACKING","FCC",IF(OR($H3790="HYDROCRACKING",$H3790="RESID_HYDROCRACKING"),"Hydrocracker",IF($H3790="REFORMING","Reformer",""))))</f>
        <v/>
      </c>
      <c r="H3790" s="6" t="s">
        <v>43</v>
      </c>
      <c r="I3790" s="6" t="s">
        <v>918</v>
      </c>
      <c r="J3790" s="6" t="s">
        <v>349</v>
      </c>
      <c r="K3790" s="10">
        <v>4.75</v>
      </c>
      <c r="L3790" s="10">
        <v>25</v>
      </c>
      <c r="M3790" s="6" t="s">
        <v>375</v>
      </c>
    </row>
    <row r="3791" spans="1:13">
      <c r="A3791" s="6">
        <v>2024</v>
      </c>
      <c r="B3791" s="6">
        <v>5</v>
      </c>
      <c r="C3791" s="6" t="s">
        <v>63</v>
      </c>
      <c r="D3791" s="6" t="s">
        <v>326</v>
      </c>
      <c r="E3791" s="6" t="s">
        <v>385</v>
      </c>
      <c r="F3791" s="6" t="str">
        <f>IF($M3791="PADD I","PADD 1",IF($M3791="PADD II","PADD 2",IF($M3791="PADD III","PADD 3",IF($M3791="PADD IV","PADD 4",IF($M3791="PADD V","PADD 5","")))))</f>
        <v>PADD 5</v>
      </c>
      <c r="G3791" s="6" t="str">
        <f>IF(AND($H3791="ATMOS DISTILLATION",ISNUMBER(SEARCH("VPS",$I3791))=FALSE,LEFT($I3791,6)&lt;&gt;"VACUUM"),"CDU",IF($H3791="FLUID CAT CRACKING","FCC",IF(OR($H3791="HYDROCRACKING",$H3791="RESID_HYDROCRACKING"),"Hydrocracker",IF($H3791="REFORMING","Reformer",""))))</f>
        <v>CDU</v>
      </c>
      <c r="H3791" s="6" t="s">
        <v>38</v>
      </c>
      <c r="I3791" s="6" t="s">
        <v>93</v>
      </c>
      <c r="J3791" s="6" t="s">
        <v>345</v>
      </c>
      <c r="K3791" s="10">
        <v>4.74</v>
      </c>
      <c r="L3791" s="10">
        <v>158</v>
      </c>
      <c r="M3791" s="6" t="s">
        <v>386</v>
      </c>
    </row>
    <row r="3792" spans="1:13">
      <c r="A3792" s="6">
        <v>2024</v>
      </c>
      <c r="B3792" s="6">
        <v>5</v>
      </c>
      <c r="C3792" s="6" t="s">
        <v>63</v>
      </c>
      <c r="D3792" s="6" t="s">
        <v>50</v>
      </c>
      <c r="E3792" s="6" t="s">
        <v>381</v>
      </c>
      <c r="F3792" s="6" t="str">
        <f>IF($M3792="PADD I","PADD 1",IF($M3792="PADD II","PADD 2",IF($M3792="PADD III","PADD 3",IF($M3792="PADD IV","PADD 4",IF($M3792="PADD V","PADD 5","")))))</f>
        <v>PADD 3</v>
      </c>
      <c r="G3792" s="6" t="str">
        <f>IF(AND($H3792="ATMOS DISTILLATION",ISNUMBER(SEARCH("VPS",$I3792))=FALSE,LEFT($I3792,6)&lt;&gt;"VACUUM"),"CDU",IF($H3792="FLUID CAT CRACKING","FCC",IF(OR($H3792="HYDROCRACKING",$H3792="RESID_HYDROCRACKING"),"Hydrocracker",IF($H3792="REFORMING","Reformer",""))))</f>
        <v>CDU</v>
      </c>
      <c r="H3792" s="6" t="s">
        <v>38</v>
      </c>
      <c r="I3792" s="6" t="s">
        <v>769</v>
      </c>
      <c r="J3792" s="6" t="s">
        <v>349</v>
      </c>
      <c r="K3792" s="10">
        <v>4.71</v>
      </c>
      <c r="L3792" s="10">
        <v>157</v>
      </c>
      <c r="M3792" s="6" t="s">
        <v>371</v>
      </c>
    </row>
    <row r="3793" spans="1:13">
      <c r="A3793" s="6">
        <v>2024</v>
      </c>
      <c r="B3793" s="6">
        <v>5</v>
      </c>
      <c r="C3793" s="6" t="s">
        <v>63</v>
      </c>
      <c r="D3793" s="6" t="s">
        <v>602</v>
      </c>
      <c r="E3793" s="6" t="s">
        <v>369</v>
      </c>
      <c r="F3793" s="6" t="str">
        <f>IF($M3793="PADD I","PADD 1",IF($M3793="PADD II","PADD 2",IF($M3793="PADD III","PADD 3",IF($M3793="PADD IV","PADD 4",IF($M3793="PADD V","PADD 5","")))))</f>
        <v>PADD 2</v>
      </c>
      <c r="G3793" s="6" t="str">
        <f>IF(AND($H3793="ATMOS DISTILLATION",ISNUMBER(SEARCH("VPS",$I3793))=FALSE,LEFT($I3793,6)&lt;&gt;"VACUUM"),"CDU",IF($H3793="FLUID CAT CRACKING","FCC",IF(OR($H3793="HYDROCRACKING",$H3793="RESID_HYDROCRACKING"),"Hydrocracker",IF($H3793="REFORMING","Reformer",""))))</f>
        <v>Reformer</v>
      </c>
      <c r="H3793" s="6" t="s">
        <v>421</v>
      </c>
      <c r="I3793" s="6" t="s">
        <v>1123</v>
      </c>
      <c r="J3793" s="6" t="s">
        <v>349</v>
      </c>
      <c r="K3793" s="10">
        <v>4.6</v>
      </c>
      <c r="L3793" s="10">
        <v>20</v>
      </c>
      <c r="M3793" s="6" t="s">
        <v>375</v>
      </c>
    </row>
    <row r="3794" spans="1:13">
      <c r="A3794" s="6">
        <v>2024</v>
      </c>
      <c r="B3794" s="6">
        <v>5</v>
      </c>
      <c r="C3794" s="6" t="s">
        <v>63</v>
      </c>
      <c r="D3794" s="6" t="s">
        <v>715</v>
      </c>
      <c r="E3794" s="6" t="s">
        <v>716</v>
      </c>
      <c r="F3794" s="6" t="str">
        <f>IF($M3794="PADD I","PADD 1",IF($M3794="PADD II","PADD 2",IF($M3794="PADD III","PADD 3",IF($M3794="PADD IV","PADD 4",IF($M3794="PADD V","PADD 5","")))))</f>
        <v>PADD 2</v>
      </c>
      <c r="G3794" s="6" t="str">
        <f>IF(AND($H3794="ATMOS DISTILLATION",ISNUMBER(SEARCH("VPS",$I3794))=FALSE,LEFT($I3794,6)&lt;&gt;"VACUUM"),"CDU",IF($H3794="FLUID CAT CRACKING","FCC",IF(OR($H3794="HYDROCRACKING",$H3794="RESID_HYDROCRACKING"),"Hydrocracker",IF($H3794="REFORMING","Reformer",""))))</f>
        <v>CDU</v>
      </c>
      <c r="H3794" s="6" t="s">
        <v>38</v>
      </c>
      <c r="I3794" s="6" t="s">
        <v>1168</v>
      </c>
      <c r="J3794" s="6" t="s">
        <v>349</v>
      </c>
      <c r="K3794" s="10">
        <v>4.55</v>
      </c>
      <c r="L3794" s="10">
        <v>35</v>
      </c>
      <c r="M3794" s="6" t="s">
        <v>375</v>
      </c>
    </row>
    <row r="3795" spans="1:13">
      <c r="A3795" s="6">
        <v>2024</v>
      </c>
      <c r="B3795" s="6">
        <v>5</v>
      </c>
      <c r="C3795" s="6" t="s">
        <v>63</v>
      </c>
      <c r="D3795" s="6" t="s">
        <v>739</v>
      </c>
      <c r="E3795" s="6" t="s">
        <v>405</v>
      </c>
      <c r="F3795" s="6" t="str">
        <f>IF($M3795="PADD I","PADD 1",IF($M3795="PADD II","PADD 2",IF($M3795="PADD III","PADD 3",IF($M3795="PADD IV","PADD 4",IF($M3795="PADD V","PADD 5","")))))</f>
        <v>PADD 2</v>
      </c>
      <c r="G3795" s="6">
        <f>IF(AND($H3795="ATMOS DISTILLATION",ISNUMBER(SEARCH("VPS",$I3795))=FALSE,LEFT($I3795,6)&lt;&gt;"VACUUM"),"CDU",IF($H3795="FLUID CAT CRACKING","FCC",IF(OR($H3795="HYDROCRACKING",$H3795="RESID_HYDROCRACKING"),"Hydrocracker",IF($H3795="REFORMING","Reformer",""))))</f>
        <v/>
      </c>
      <c r="H3795" s="6" t="s">
        <v>43</v>
      </c>
      <c r="I3795" s="6" t="s">
        <v>493</v>
      </c>
      <c r="J3795" s="6" t="s">
        <v>345</v>
      </c>
      <c r="K3795" s="10">
        <v>4.24</v>
      </c>
      <c r="L3795" s="10">
        <v>26.5</v>
      </c>
      <c r="M3795" s="6" t="s">
        <v>375</v>
      </c>
    </row>
    <row r="3796" spans="1:13">
      <c r="A3796" s="6">
        <v>2024</v>
      </c>
      <c r="B3796" s="6">
        <v>5</v>
      </c>
      <c r="C3796" s="6" t="s">
        <v>63</v>
      </c>
      <c r="D3796" s="6" t="s">
        <v>333</v>
      </c>
      <c r="E3796" s="6" t="s">
        <v>381</v>
      </c>
      <c r="F3796" s="6" t="str">
        <f>IF($M3796="PADD I","PADD 1",IF($M3796="PADD II","PADD 2",IF($M3796="PADD III","PADD 3",IF($M3796="PADD IV","PADD 4",IF($M3796="PADD V","PADD 5","")))))</f>
        <v>PADD 3</v>
      </c>
      <c r="G3796" s="6" t="str">
        <f>IF(AND($H3796="ATMOS DISTILLATION",ISNUMBER(SEARCH("VPS",$I3796))=FALSE,LEFT($I3796,6)&lt;&gt;"VACUUM"),"CDU",IF($H3796="FLUID CAT CRACKING","FCC",IF(OR($H3796="HYDROCRACKING",$H3796="RESID_HYDROCRACKING"),"Hydrocracker",IF($H3796="REFORMING","Reformer",""))))</f>
        <v>CDU</v>
      </c>
      <c r="H3796" s="6" t="s">
        <v>38</v>
      </c>
      <c r="I3796" s="6" t="s">
        <v>537</v>
      </c>
      <c r="J3796" s="6" t="s">
        <v>345</v>
      </c>
      <c r="K3796" s="10">
        <v>4.2</v>
      </c>
      <c r="L3796" s="10">
        <v>70</v>
      </c>
      <c r="M3796" s="6" t="s">
        <v>371</v>
      </c>
    </row>
    <row r="3797" spans="1:13">
      <c r="A3797" s="6">
        <v>2024</v>
      </c>
      <c r="B3797" s="6">
        <v>5</v>
      </c>
      <c r="C3797" s="6" t="s">
        <v>63</v>
      </c>
      <c r="D3797" s="6" t="s">
        <v>739</v>
      </c>
      <c r="E3797" s="6" t="s">
        <v>405</v>
      </c>
      <c r="F3797" s="6" t="str">
        <f>IF($M3797="PADD I","PADD 1",IF($M3797="PADD II","PADD 2",IF($M3797="PADD III","PADD 3",IF($M3797="PADD IV","PADD 4",IF($M3797="PADD V","PADD 5","")))))</f>
        <v>PADD 2</v>
      </c>
      <c r="G3797" s="6">
        <f>IF(AND($H3797="ATMOS DISTILLATION",ISNUMBER(SEARCH("VPS",$I3797))=FALSE,LEFT($I3797,6)&lt;&gt;"VACUUM"),"CDU",IF($H3797="FLUID CAT CRACKING","FCC",IF(OR($H3797="HYDROCRACKING",$H3797="RESID_HYDROCRACKING"),"Hydrocracker",IF($H3797="REFORMING","Reformer",""))))</f>
        <v/>
      </c>
      <c r="H3797" s="6" t="s">
        <v>43</v>
      </c>
      <c r="I3797" s="6" t="s">
        <v>740</v>
      </c>
      <c r="J3797" s="6" t="s">
        <v>345</v>
      </c>
      <c r="K3797" s="10">
        <v>4.16</v>
      </c>
      <c r="L3797" s="10">
        <v>32</v>
      </c>
      <c r="M3797" s="6" t="s">
        <v>375</v>
      </c>
    </row>
    <row r="3798" spans="1:13">
      <c r="A3798" s="6">
        <v>2024</v>
      </c>
      <c r="B3798" s="6">
        <v>5</v>
      </c>
      <c r="C3798" s="6" t="s">
        <v>63</v>
      </c>
      <c r="D3798" s="6" t="s">
        <v>446</v>
      </c>
      <c r="E3798" s="6" t="s">
        <v>391</v>
      </c>
      <c r="F3798" s="6" t="str">
        <f>IF($M3798="PADD I","PADD 1",IF($M3798="PADD II","PADD 2",IF($M3798="PADD III","PADD 3",IF($M3798="PADD IV","PADD 4",IF($M3798="PADD V","PADD 5","")))))</f>
        <v>PADD 3</v>
      </c>
      <c r="G3798" s="6" t="str">
        <f>IF(AND($H3798="ATMOS DISTILLATION",ISNUMBER(SEARCH("VPS",$I3798))=FALSE,LEFT($I3798,6)&lt;&gt;"VACUUM"),"CDU",IF($H3798="FLUID CAT CRACKING","FCC",IF(OR($H3798="HYDROCRACKING",$H3798="RESID_HYDROCRACKING"),"Hydrocracker",IF($H3798="REFORMING","Reformer",""))))</f>
        <v>Reformer</v>
      </c>
      <c r="H3798" s="6" t="s">
        <v>421</v>
      </c>
      <c r="I3798" s="6" t="s">
        <v>483</v>
      </c>
      <c r="J3798" s="6" t="s">
        <v>345</v>
      </c>
      <c r="K3798" s="10">
        <v>3.84</v>
      </c>
      <c r="L3798" s="10">
        <v>24</v>
      </c>
      <c r="M3798" s="6" t="s">
        <v>371</v>
      </c>
    </row>
    <row r="3799" spans="1:13">
      <c r="A3799" s="6">
        <v>2024</v>
      </c>
      <c r="B3799" s="6">
        <v>5</v>
      </c>
      <c r="C3799" s="6" t="s">
        <v>63</v>
      </c>
      <c r="D3799" s="6" t="s">
        <v>457</v>
      </c>
      <c r="E3799" s="6" t="s">
        <v>388</v>
      </c>
      <c r="F3799" s="6" t="str">
        <f>IF($M3799="PADD I","PADD 1",IF($M3799="PADD II","PADD 2",IF($M3799="PADD III","PADD 3",IF($M3799="PADD IV","PADD 4",IF($M3799="PADD V","PADD 5","")))))</f>
        <v>PADD 5</v>
      </c>
      <c r="G3799" s="6" t="str">
        <f>IF(AND($H3799="ATMOS DISTILLATION",ISNUMBER(SEARCH("VPS",$I3799))=FALSE,LEFT($I3799,6)&lt;&gt;"VACUUM"),"CDU",IF($H3799="FLUID CAT CRACKING","FCC",IF(OR($H3799="HYDROCRACKING",$H3799="RESID_HYDROCRACKING"),"Hydrocracker",IF($H3799="REFORMING","Reformer",""))))</f>
        <v>Reformer</v>
      </c>
      <c r="H3799" s="6" t="s">
        <v>421</v>
      </c>
      <c r="I3799" s="6" t="s">
        <v>557</v>
      </c>
      <c r="J3799" s="6" t="s">
        <v>345</v>
      </c>
      <c r="K3799" s="10">
        <v>3.8</v>
      </c>
      <c r="L3799" s="10">
        <v>20</v>
      </c>
      <c r="M3799" s="6" t="s">
        <v>386</v>
      </c>
    </row>
    <row r="3800" spans="1:13">
      <c r="A3800" s="6">
        <v>2024</v>
      </c>
      <c r="B3800" s="6">
        <v>5</v>
      </c>
      <c r="C3800" s="6" t="s">
        <v>63</v>
      </c>
      <c r="D3800" s="6" t="s">
        <v>602</v>
      </c>
      <c r="E3800" s="6" t="s">
        <v>369</v>
      </c>
      <c r="F3800" s="6" t="str">
        <f>IF($M3800="PADD I","PADD 1",IF($M3800="PADD II","PADD 2",IF($M3800="PADD III","PADD 3",IF($M3800="PADD IV","PADD 4",IF($M3800="PADD V","PADD 5","")))))</f>
        <v>PADD 2</v>
      </c>
      <c r="G3800" s="6">
        <f>IF(AND($H3800="ATMOS DISTILLATION",ISNUMBER(SEARCH("VPS",$I3800))=FALSE,LEFT($I3800,6)&lt;&gt;"VACUUM"),"CDU",IF($H3800="FLUID CAT CRACKING","FCC",IF(OR($H3800="HYDROCRACKING",$H3800="RESID_HYDROCRACKING"),"Hydrocracker",IF($H3800="REFORMING","Reformer",""))))</f>
        <v/>
      </c>
      <c r="H3800" s="6" t="s">
        <v>435</v>
      </c>
      <c r="I3800" s="6" t="s">
        <v>441</v>
      </c>
      <c r="J3800" s="6" t="s">
        <v>345</v>
      </c>
      <c r="K3800" s="10">
        <v>3.696</v>
      </c>
      <c r="L3800" s="10">
        <v>23.1</v>
      </c>
      <c r="M3800" s="6" t="s">
        <v>375</v>
      </c>
    </row>
    <row r="3801" spans="1:13">
      <c r="A3801" s="6">
        <v>2024</v>
      </c>
      <c r="B3801" s="6">
        <v>5</v>
      </c>
      <c r="C3801" s="6" t="s">
        <v>63</v>
      </c>
      <c r="D3801" s="6" t="s">
        <v>468</v>
      </c>
      <c r="E3801" s="6" t="s">
        <v>369</v>
      </c>
      <c r="F3801" s="6" t="str">
        <f>IF($M3801="PADD I","PADD 1",IF($M3801="PADD II","PADD 2",IF($M3801="PADD III","PADD 3",IF($M3801="PADD IV","PADD 4",IF($M3801="PADD V","PADD 5","")))))</f>
        <v>PADD 3</v>
      </c>
      <c r="G3801" s="6">
        <f>IF(AND($H3801="ATMOS DISTILLATION",ISNUMBER(SEARCH("VPS",$I3801))=FALSE,LEFT($I3801,6)&lt;&gt;"VACUUM"),"CDU",IF($H3801="FLUID CAT CRACKING","FCC",IF(OR($H3801="HYDROCRACKING",$H3801="RESID_HYDROCRACKING"),"Hydrocracker",IF($H3801="REFORMING","Reformer",""))))</f>
        <v/>
      </c>
      <c r="H3801" s="6" t="s">
        <v>568</v>
      </c>
      <c r="I3801" s="6" t="s">
        <v>1192</v>
      </c>
      <c r="J3801" s="6" t="s">
        <v>349</v>
      </c>
      <c r="K3801" s="10">
        <v>3.51</v>
      </c>
      <c r="L3801" s="10">
        <v>9</v>
      </c>
      <c r="M3801" s="6" t="s">
        <v>371</v>
      </c>
    </row>
    <row r="3802" spans="1:13">
      <c r="A3802" s="6">
        <v>2024</v>
      </c>
      <c r="B3802" s="6">
        <v>5</v>
      </c>
      <c r="C3802" s="6" t="s">
        <v>63</v>
      </c>
      <c r="D3802" s="6" t="s">
        <v>50</v>
      </c>
      <c r="E3802" s="6" t="s">
        <v>381</v>
      </c>
      <c r="F3802" s="6" t="str">
        <f>IF($M3802="PADD I","PADD 1",IF($M3802="PADD II","PADD 2",IF($M3802="PADD III","PADD 3",IF($M3802="PADD IV","PADD 4",IF($M3802="PADD V","PADD 5","")))))</f>
        <v>PADD 3</v>
      </c>
      <c r="G3802" s="6" t="str">
        <f>IF(AND($H3802="ATMOS DISTILLATION",ISNUMBER(SEARCH("VPS",$I3802))=FALSE,LEFT($I3802,6)&lt;&gt;"VACUUM"),"CDU",IF($H3802="FLUID CAT CRACKING","FCC",IF(OR($H3802="HYDROCRACKING",$H3802="RESID_HYDROCRACKING"),"Hydrocracker",IF($H3802="REFORMING","Reformer",""))))</f>
        <v>CDU</v>
      </c>
      <c r="H3802" s="6" t="s">
        <v>38</v>
      </c>
      <c r="I3802" s="6" t="s">
        <v>341</v>
      </c>
      <c r="J3802" s="6" t="s">
        <v>349</v>
      </c>
      <c r="K3802" s="10">
        <v>3.24</v>
      </c>
      <c r="L3802" s="10">
        <v>108</v>
      </c>
      <c r="M3802" s="6" t="s">
        <v>371</v>
      </c>
    </row>
    <row r="3803" spans="1:13">
      <c r="A3803" s="6">
        <v>2024</v>
      </c>
      <c r="B3803" s="6">
        <v>5</v>
      </c>
      <c r="C3803" s="6" t="s">
        <v>63</v>
      </c>
      <c r="D3803" s="6" t="s">
        <v>335</v>
      </c>
      <c r="E3803" s="6" t="s">
        <v>369</v>
      </c>
      <c r="F3803" s="6" t="str">
        <f>IF($M3803="PADD I","PADD 1",IF($M3803="PADD II","PADD 2",IF($M3803="PADD III","PADD 3",IF($M3803="PADD IV","PADD 4",IF($M3803="PADD V","PADD 5","")))))</f>
        <v>PADD 3</v>
      </c>
      <c r="G3803" s="6">
        <f>IF(AND($H3803="ATMOS DISTILLATION",ISNUMBER(SEARCH("VPS",$I3803))=FALSE,LEFT($I3803,6)&lt;&gt;"VACUUM"),"CDU",IF($H3803="FLUID CAT CRACKING","FCC",IF(OR($H3803="HYDROCRACKING",$H3803="RESID_HYDROCRACKING"),"Hydrocracker",IF($H3803="REFORMING","Reformer",""))))</f>
        <v/>
      </c>
      <c r="H3803" s="6" t="s">
        <v>43</v>
      </c>
      <c r="I3803" s="6" t="s">
        <v>1204</v>
      </c>
      <c r="J3803" s="6" t="s">
        <v>349</v>
      </c>
      <c r="K3803" s="10">
        <v>3.21</v>
      </c>
      <c r="L3803" s="10">
        <v>107</v>
      </c>
      <c r="M3803" s="6" t="s">
        <v>371</v>
      </c>
    </row>
    <row r="3804" spans="1:13">
      <c r="A3804" s="6">
        <v>2024</v>
      </c>
      <c r="B3804" s="6">
        <v>5</v>
      </c>
      <c r="C3804" s="6" t="s">
        <v>63</v>
      </c>
      <c r="D3804" s="6" t="s">
        <v>803</v>
      </c>
      <c r="E3804" s="6" t="s">
        <v>388</v>
      </c>
      <c r="F3804" s="6" t="str">
        <f>IF($M3804="PADD I","PADD 1",IF($M3804="PADD II","PADD 2",IF($M3804="PADD III","PADD 3",IF($M3804="PADD IV","PADD 4",IF($M3804="PADD V","PADD 5","")))))</f>
        <v>PADD 2</v>
      </c>
      <c r="G3804" s="6">
        <f>IF(AND($H3804="ATMOS DISTILLATION",ISNUMBER(SEARCH("VPS",$I3804))=FALSE,LEFT($I3804,6)&lt;&gt;"VACUUM"),"CDU",IF($H3804="FLUID CAT CRACKING","FCC",IF(OR($H3804="HYDROCRACKING",$H3804="RESID_HYDROCRACKING"),"Hydrocracker",IF($H3804="REFORMING","Reformer",""))))</f>
        <v/>
      </c>
      <c r="H3804" s="6" t="s">
        <v>43</v>
      </c>
      <c r="I3804" s="6" t="s">
        <v>869</v>
      </c>
      <c r="J3804" s="6" t="s">
        <v>349</v>
      </c>
      <c r="K3804" s="10">
        <v>3.2</v>
      </c>
      <c r="L3804" s="10">
        <v>10</v>
      </c>
      <c r="M3804" s="6" t="s">
        <v>375</v>
      </c>
    </row>
    <row r="3805" spans="1:13">
      <c r="A3805" s="6">
        <v>2024</v>
      </c>
      <c r="B3805" s="6">
        <v>5</v>
      </c>
      <c r="C3805" s="6" t="s">
        <v>63</v>
      </c>
      <c r="D3805" s="6" t="s">
        <v>739</v>
      </c>
      <c r="E3805" s="6" t="s">
        <v>405</v>
      </c>
      <c r="F3805" s="6" t="str">
        <f>IF($M3805="PADD I","PADD 1",IF($M3805="PADD II","PADD 2",IF($M3805="PADD III","PADD 3",IF($M3805="PADD IV","PADD 4",IF($M3805="PADD V","PADD 5","")))))</f>
        <v>PADD 2</v>
      </c>
      <c r="G3805" s="6">
        <f>IF(AND($H3805="ATMOS DISTILLATION",ISNUMBER(SEARCH("VPS",$I3805))=FALSE,LEFT($I3805,6)&lt;&gt;"VACUUM"),"CDU",IF($H3805="FLUID CAT CRACKING","FCC",IF(OR($H3805="HYDROCRACKING",$H3805="RESID_HYDROCRACKING"),"Hydrocracker",IF($H3805="REFORMING","Reformer",""))))</f>
        <v/>
      </c>
      <c r="H3805" s="6" t="s">
        <v>43</v>
      </c>
      <c r="I3805" s="6" t="s">
        <v>1196</v>
      </c>
      <c r="J3805" s="6" t="s">
        <v>345</v>
      </c>
      <c r="K3805" s="10">
        <v>3.2</v>
      </c>
      <c r="L3805" s="10">
        <v>20</v>
      </c>
      <c r="M3805" s="6" t="s">
        <v>375</v>
      </c>
    </row>
    <row r="3806" spans="1:13">
      <c r="A3806" s="6">
        <v>2024</v>
      </c>
      <c r="B3806" s="6">
        <v>5</v>
      </c>
      <c r="C3806" s="6" t="s">
        <v>63</v>
      </c>
      <c r="D3806" s="6" t="s">
        <v>788</v>
      </c>
      <c r="E3806" s="6" t="s">
        <v>405</v>
      </c>
      <c r="F3806" s="6" t="str">
        <f>IF($M3806="PADD I","PADD 1",IF($M3806="PADD II","PADD 2",IF($M3806="PADD III","PADD 3",IF($M3806="PADD IV","PADD 4",IF($M3806="PADD V","PADD 5","")))))</f>
        <v>PADD 3</v>
      </c>
      <c r="G3806" s="6" t="str">
        <f>IF(AND($H3806="ATMOS DISTILLATION",ISNUMBER(SEARCH("VPS",$I3806))=FALSE,LEFT($I3806,6)&lt;&gt;"VACUUM"),"CDU",IF($H3806="FLUID CAT CRACKING","FCC",IF(OR($H3806="HYDROCRACKING",$H3806="RESID_HYDROCRACKING"),"Hydrocracker",IF($H3806="REFORMING","Reformer",""))))</f>
        <v>Reformer</v>
      </c>
      <c r="H3806" s="6" t="s">
        <v>421</v>
      </c>
      <c r="I3806" s="6" t="s">
        <v>782</v>
      </c>
      <c r="J3806" s="6" t="s">
        <v>345</v>
      </c>
      <c r="K3806" s="10">
        <v>3.2</v>
      </c>
      <c r="L3806" s="10">
        <v>32</v>
      </c>
      <c r="M3806" s="6" t="s">
        <v>371</v>
      </c>
    </row>
    <row r="3807" spans="1:13">
      <c r="A3807" s="6">
        <v>2024</v>
      </c>
      <c r="B3807" s="6">
        <v>5</v>
      </c>
      <c r="C3807" s="6" t="s">
        <v>63</v>
      </c>
      <c r="D3807" s="6" t="s">
        <v>739</v>
      </c>
      <c r="E3807" s="6" t="s">
        <v>405</v>
      </c>
      <c r="F3807" s="6" t="str">
        <f>IF($M3807="PADD I","PADD 1",IF($M3807="PADD II","PADD 2",IF($M3807="PADD III","PADD 3",IF($M3807="PADD IV","PADD 4",IF($M3807="PADD V","PADD 5","")))))</f>
        <v>PADD 2</v>
      </c>
      <c r="G3807" s="6" t="str">
        <f>IF(AND($H3807="ATMOS DISTILLATION",ISNUMBER(SEARCH("VPS",$I3807))=FALSE,LEFT($I3807,6)&lt;&gt;"VACUUM"),"CDU",IF($H3807="FLUID CAT CRACKING","FCC",IF(OR($H3807="HYDROCRACKING",$H3807="RESID_HYDROCRACKING"),"Hydrocracker",IF($H3807="REFORMING","Reformer",""))))</f>
        <v>Reformer</v>
      </c>
      <c r="H3807" s="6" t="s">
        <v>421</v>
      </c>
      <c r="I3807" s="6" t="s">
        <v>782</v>
      </c>
      <c r="J3807" s="6" t="s">
        <v>345</v>
      </c>
      <c r="K3807" s="10">
        <v>3</v>
      </c>
      <c r="L3807" s="10">
        <v>30</v>
      </c>
      <c r="M3807" s="6" t="s">
        <v>375</v>
      </c>
    </row>
    <row r="3808" spans="1:13">
      <c r="A3808" s="6">
        <v>2024</v>
      </c>
      <c r="B3808" s="6">
        <v>5</v>
      </c>
      <c r="C3808" s="6" t="s">
        <v>63</v>
      </c>
      <c r="D3808" s="6" t="s">
        <v>739</v>
      </c>
      <c r="E3808" s="6" t="s">
        <v>405</v>
      </c>
      <c r="F3808" s="6" t="str">
        <f>IF($M3808="PADD I","PADD 1",IF($M3808="PADD II","PADD 2",IF($M3808="PADD III","PADD 3",IF($M3808="PADD IV","PADD 4",IF($M3808="PADD V","PADD 5","")))))</f>
        <v>PADD 2</v>
      </c>
      <c r="G3808" s="6" t="str">
        <f>IF(AND($H3808="ATMOS DISTILLATION",ISNUMBER(SEARCH("VPS",$I3808))=FALSE,LEFT($I3808,6)&lt;&gt;"VACUUM"),"CDU",IF($H3808="FLUID CAT CRACKING","FCC",IF(OR($H3808="HYDROCRACKING",$H3808="RESID_HYDROCRACKING"),"Hydrocracker",IF($H3808="REFORMING","Reformer",""))))</f>
        <v>CDU</v>
      </c>
      <c r="H3808" s="6" t="s">
        <v>38</v>
      </c>
      <c r="I3808" s="6" t="s">
        <v>133</v>
      </c>
      <c r="J3808" s="6" t="s">
        <v>345</v>
      </c>
      <c r="K3808" s="10">
        <v>2.745</v>
      </c>
      <c r="L3808" s="10">
        <v>91.5</v>
      </c>
      <c r="M3808" s="6" t="s">
        <v>375</v>
      </c>
    </row>
    <row r="3809" spans="1:13">
      <c r="A3809" s="6">
        <v>2024</v>
      </c>
      <c r="B3809" s="6">
        <v>5</v>
      </c>
      <c r="C3809" s="6" t="s">
        <v>63</v>
      </c>
      <c r="D3809" s="6" t="s">
        <v>326</v>
      </c>
      <c r="E3809" s="6" t="s">
        <v>385</v>
      </c>
      <c r="F3809" s="6" t="str">
        <f>IF($M3809="PADD I","PADD 1",IF($M3809="PADD II","PADD 2",IF($M3809="PADD III","PADD 3",IF($M3809="PADD IV","PADD 4",IF($M3809="PADD V","PADD 5","")))))</f>
        <v>PADD 5</v>
      </c>
      <c r="G3809" s="6">
        <f>IF(AND($H3809="ATMOS DISTILLATION",ISNUMBER(SEARCH("VPS",$I3809))=FALSE,LEFT($I3809,6)&lt;&gt;"VACUUM"),"CDU",IF($H3809="FLUID CAT CRACKING","FCC",IF(OR($H3809="HYDROCRACKING",$H3809="RESID_HYDROCRACKING"),"Hydrocracker",IF($H3809="REFORMING","Reformer",""))))</f>
        <v/>
      </c>
      <c r="H3809" s="6" t="s">
        <v>435</v>
      </c>
      <c r="I3809" s="6" t="s">
        <v>813</v>
      </c>
      <c r="J3809" s="6" t="s">
        <v>345</v>
      </c>
      <c r="K3809" s="10">
        <v>2.5</v>
      </c>
      <c r="L3809" s="10">
        <v>25</v>
      </c>
      <c r="M3809" s="6" t="s">
        <v>386</v>
      </c>
    </row>
    <row r="3810" spans="1:13">
      <c r="A3810" s="6">
        <v>2024</v>
      </c>
      <c r="B3810" s="6">
        <v>5</v>
      </c>
      <c r="C3810" s="6" t="s">
        <v>63</v>
      </c>
      <c r="D3810" s="6" t="s">
        <v>446</v>
      </c>
      <c r="E3810" s="6" t="s">
        <v>391</v>
      </c>
      <c r="F3810" s="6" t="str">
        <f>IF($M3810="PADD I","PADD 1",IF($M3810="PADD II","PADD 2",IF($M3810="PADD III","PADD 3",IF($M3810="PADD IV","PADD 4",IF($M3810="PADD V","PADD 5","")))))</f>
        <v>PADD 3</v>
      </c>
      <c r="G3810" s="6">
        <f>IF(AND($H3810="ATMOS DISTILLATION",ISNUMBER(SEARCH("VPS",$I3810))=FALSE,LEFT($I3810,6)&lt;&gt;"VACUUM"),"CDU",IF($H3810="FLUID CAT CRACKING","FCC",IF(OR($H3810="HYDROCRACKING",$H3810="RESID_HYDROCRACKING"),"Hydrocracker",IF($H3810="REFORMING","Reformer",""))))</f>
        <v/>
      </c>
      <c r="H3810" s="6" t="s">
        <v>378</v>
      </c>
      <c r="I3810" s="6" t="s">
        <v>1041</v>
      </c>
      <c r="J3810" s="6" t="s">
        <v>349</v>
      </c>
      <c r="K3810" s="10">
        <v>2.28</v>
      </c>
      <c r="L3810" s="10">
        <v>38</v>
      </c>
      <c r="M3810" s="6" t="s">
        <v>371</v>
      </c>
    </row>
    <row r="3811" spans="1:13">
      <c r="A3811" s="6">
        <v>2024</v>
      </c>
      <c r="B3811" s="6">
        <v>5</v>
      </c>
      <c r="C3811" s="6" t="s">
        <v>63</v>
      </c>
      <c r="D3811" s="6" t="s">
        <v>468</v>
      </c>
      <c r="E3811" s="6" t="s">
        <v>369</v>
      </c>
      <c r="F3811" s="6" t="str">
        <f>IF($M3811="PADD I","PADD 1",IF($M3811="PADD II","PADD 2",IF($M3811="PADD III","PADD 3",IF($M3811="PADD IV","PADD 4",IF($M3811="PADD V","PADD 5","")))))</f>
        <v>PADD 3</v>
      </c>
      <c r="G3811" s="6" t="str">
        <f>IF(AND($H3811="ATMOS DISTILLATION",ISNUMBER(SEARCH("VPS",$I3811))=FALSE,LEFT($I3811,6)&lt;&gt;"VACUUM"),"CDU",IF($H3811="FLUID CAT CRACKING","FCC",IF(OR($H3811="HYDROCRACKING",$H3811="RESID_HYDROCRACKING"),"Hydrocracker",IF($H3811="REFORMING","Reformer",""))))</f>
        <v>Reformer</v>
      </c>
      <c r="H3811" s="6" t="s">
        <v>421</v>
      </c>
      <c r="I3811" s="6" t="s">
        <v>635</v>
      </c>
      <c r="J3811" s="6" t="s">
        <v>345</v>
      </c>
      <c r="K3811" s="10">
        <v>2.24</v>
      </c>
      <c r="L3811" s="10">
        <v>7</v>
      </c>
      <c r="M3811" s="6" t="s">
        <v>371</v>
      </c>
    </row>
    <row r="3812" spans="1:13">
      <c r="A3812" s="6">
        <v>2024</v>
      </c>
      <c r="B3812" s="6">
        <v>5</v>
      </c>
      <c r="C3812" s="6" t="s">
        <v>63</v>
      </c>
      <c r="D3812" s="6" t="s">
        <v>326</v>
      </c>
      <c r="E3812" s="6" t="s">
        <v>385</v>
      </c>
      <c r="F3812" s="6" t="str">
        <f>IF($M3812="PADD I","PADD 1",IF($M3812="PADD II","PADD 2",IF($M3812="PADD III","PADD 3",IF($M3812="PADD IV","PADD 4",IF($M3812="PADD V","PADD 5","")))))</f>
        <v>PADD 5</v>
      </c>
      <c r="G3812" s="6">
        <f>IF(AND($H3812="ATMOS DISTILLATION",ISNUMBER(SEARCH("VPS",$I3812))=FALSE,LEFT($I3812,6)&lt;&gt;"VACUUM"),"CDU",IF($H3812="FLUID CAT CRACKING","FCC",IF(OR($H3812="HYDROCRACKING",$H3812="RESID_HYDROCRACKING"),"Hydrocracker",IF($H3812="REFORMING","Reformer",""))))</f>
        <v/>
      </c>
      <c r="H3812" s="6" t="s">
        <v>435</v>
      </c>
      <c r="I3812" s="6" t="s">
        <v>441</v>
      </c>
      <c r="J3812" s="6" t="s">
        <v>349</v>
      </c>
      <c r="K3812" s="10">
        <v>2.2</v>
      </c>
      <c r="L3812" s="10">
        <v>22</v>
      </c>
      <c r="M3812" s="6" t="s">
        <v>386</v>
      </c>
    </row>
    <row r="3813" spans="1:13">
      <c r="A3813" s="6">
        <v>2024</v>
      </c>
      <c r="B3813" s="6">
        <v>5</v>
      </c>
      <c r="C3813" s="6" t="s">
        <v>63</v>
      </c>
      <c r="D3813" s="6" t="s">
        <v>851</v>
      </c>
      <c r="E3813" s="6" t="s">
        <v>852</v>
      </c>
      <c r="F3813" s="6" t="str">
        <f>IF($M3813="PADD I","PADD 1",IF($M3813="PADD II","PADD 2",IF($M3813="PADD III","PADD 3",IF($M3813="PADD IV","PADD 4",IF($M3813="PADD V","PADD 5","")))))</f>
        <v>PADD 3</v>
      </c>
      <c r="G3813" s="6" t="str">
        <f>IF(AND($H3813="ATMOS DISTILLATION",ISNUMBER(SEARCH("VPS",$I3813))=FALSE,LEFT($I3813,6)&lt;&gt;"VACUUM"),"CDU",IF($H3813="FLUID CAT CRACKING","FCC",IF(OR($H3813="HYDROCRACKING",$H3813="RESID_HYDROCRACKING"),"Hydrocracker",IF($H3813="REFORMING","Reformer",""))))</f>
        <v>CDU</v>
      </c>
      <c r="H3813" s="6" t="s">
        <v>38</v>
      </c>
      <c r="I3813" s="6" t="s">
        <v>854</v>
      </c>
      <c r="J3813" s="6" t="s">
        <v>345</v>
      </c>
      <c r="K3813" s="10">
        <v>2.19</v>
      </c>
      <c r="L3813" s="10">
        <v>73</v>
      </c>
      <c r="M3813" s="6" t="s">
        <v>371</v>
      </c>
    </row>
    <row r="3814" spans="1:13">
      <c r="A3814" s="6">
        <v>2024</v>
      </c>
      <c r="B3814" s="6">
        <v>5</v>
      </c>
      <c r="C3814" s="6" t="s">
        <v>63</v>
      </c>
      <c r="D3814" s="6" t="s">
        <v>762</v>
      </c>
      <c r="E3814" s="6" t="s">
        <v>763</v>
      </c>
      <c r="F3814" s="6" t="str">
        <f>IF($M3814="PADD I","PADD 1",IF($M3814="PADD II","PADD 2",IF($M3814="PADD III","PADD 3",IF($M3814="PADD IV","PADD 4",IF($M3814="PADD V","PADD 5","")))))</f>
        <v>PADD 2</v>
      </c>
      <c r="G3814" s="6">
        <f>IF(AND($H3814="ATMOS DISTILLATION",ISNUMBER(SEARCH("VPS",$I3814))=FALSE,LEFT($I3814,6)&lt;&gt;"VACUUM"),"CDU",IF($H3814="FLUID CAT CRACKING","FCC",IF(OR($H3814="HYDROCRACKING",$H3814="RESID_HYDROCRACKING"),"Hydrocracker",IF($H3814="REFORMING","Reformer",""))))</f>
        <v/>
      </c>
      <c r="H3814" s="6" t="s">
        <v>568</v>
      </c>
      <c r="I3814" s="6" t="s">
        <v>1201</v>
      </c>
      <c r="J3814" s="6" t="s">
        <v>345</v>
      </c>
      <c r="K3814" s="10">
        <v>2.135</v>
      </c>
      <c r="L3814" s="10">
        <v>3.5</v>
      </c>
      <c r="M3814" s="6" t="s">
        <v>375</v>
      </c>
    </row>
    <row r="3815" spans="1:13">
      <c r="A3815" s="6">
        <v>2024</v>
      </c>
      <c r="B3815" s="6">
        <v>5</v>
      </c>
      <c r="C3815" s="6" t="s">
        <v>63</v>
      </c>
      <c r="D3815" s="6" t="s">
        <v>335</v>
      </c>
      <c r="E3815" s="6" t="s">
        <v>369</v>
      </c>
      <c r="F3815" s="6" t="str">
        <f>IF($M3815="PADD I","PADD 1",IF($M3815="PADD II","PADD 2",IF($M3815="PADD III","PADD 3",IF($M3815="PADD IV","PADD 4",IF($M3815="PADD V","PADD 5","")))))</f>
        <v>PADD 3</v>
      </c>
      <c r="G3815" s="6">
        <f>IF(AND($H3815="ATMOS DISTILLATION",ISNUMBER(SEARCH("VPS",$I3815))=FALSE,LEFT($I3815,6)&lt;&gt;"VACUUM"),"CDU",IF($H3815="FLUID CAT CRACKING","FCC",IF(OR($H3815="HYDROCRACKING",$H3815="RESID_HYDROCRACKING"),"Hydrocracker",IF($H3815="REFORMING","Reformer",""))))</f>
        <v/>
      </c>
      <c r="H3815" s="6" t="s">
        <v>435</v>
      </c>
      <c r="I3815" s="6" t="s">
        <v>1205</v>
      </c>
      <c r="J3815" s="6" t="s">
        <v>349</v>
      </c>
      <c r="K3815" s="10">
        <v>2.13</v>
      </c>
      <c r="L3815" s="10">
        <v>71</v>
      </c>
      <c r="M3815" s="6" t="s">
        <v>371</v>
      </c>
    </row>
    <row r="3816" spans="1:13">
      <c r="A3816" s="6">
        <v>2024</v>
      </c>
      <c r="B3816" s="6">
        <v>5</v>
      </c>
      <c r="C3816" s="6" t="s">
        <v>63</v>
      </c>
      <c r="D3816" s="6" t="s">
        <v>51</v>
      </c>
      <c r="E3816" s="6" t="s">
        <v>391</v>
      </c>
      <c r="F3816" s="6" t="str">
        <f>IF($M3816="PADD I","PADD 1",IF($M3816="PADD II","PADD 2",IF($M3816="PADD III","PADD 3",IF($M3816="PADD IV","PADD 4",IF($M3816="PADD V","PADD 5","")))))</f>
        <v>PADD 5</v>
      </c>
      <c r="G3816" s="6">
        <f>IF(AND($H3816="ATMOS DISTILLATION",ISNUMBER(SEARCH("VPS",$I3816))=FALSE,LEFT($I3816,6)&lt;&gt;"VACUUM"),"CDU",IF($H3816="FLUID CAT CRACKING","FCC",IF(OR($H3816="HYDROCRACKING",$H3816="RESID_HYDROCRACKING"),"Hydrocracker",IF($H3816="REFORMING","Reformer",""))))</f>
        <v/>
      </c>
      <c r="H3816" s="6" t="s">
        <v>460</v>
      </c>
      <c r="I3816" s="6" t="s">
        <v>461</v>
      </c>
      <c r="J3816" s="6" t="s">
        <v>349</v>
      </c>
      <c r="K3816" s="10">
        <v>1.98</v>
      </c>
      <c r="L3816" s="10">
        <v>33</v>
      </c>
      <c r="M3816" s="6" t="s">
        <v>386</v>
      </c>
    </row>
    <row r="3817" spans="1:13">
      <c r="A3817" s="6">
        <v>2024</v>
      </c>
      <c r="B3817" s="6">
        <v>5</v>
      </c>
      <c r="C3817" s="6" t="s">
        <v>63</v>
      </c>
      <c r="D3817" s="6" t="s">
        <v>878</v>
      </c>
      <c r="E3817" s="6" t="s">
        <v>452</v>
      </c>
      <c r="F3817" s="6" t="str">
        <f>IF($M3817="PADD I","PADD 1",IF($M3817="PADD II","PADD 2",IF($M3817="PADD III","PADD 3",IF($M3817="PADD IV","PADD 4",IF($M3817="PADD V","PADD 5","")))))</f>
        <v>PADD 2</v>
      </c>
      <c r="G3817" s="6">
        <f>IF(AND($H3817="ATMOS DISTILLATION",ISNUMBER(SEARCH("VPS",$I3817))=FALSE,LEFT($I3817,6)&lt;&gt;"VACUUM"),"CDU",IF($H3817="FLUID CAT CRACKING","FCC",IF(OR($H3817="HYDROCRACKING",$H3817="RESID_HYDROCRACKING"),"Hydrocracker",IF($H3817="REFORMING","Reformer",""))))</f>
        <v/>
      </c>
      <c r="H3817" s="6" t="s">
        <v>435</v>
      </c>
      <c r="I3817" s="6" t="s">
        <v>441</v>
      </c>
      <c r="J3817" s="6" t="s">
        <v>345</v>
      </c>
      <c r="K3817" s="10">
        <v>1.955</v>
      </c>
      <c r="L3817" s="10">
        <v>8.5</v>
      </c>
      <c r="M3817" s="6" t="s">
        <v>375</v>
      </c>
    </row>
    <row r="3818" spans="1:13">
      <c r="A3818" s="6">
        <v>2024</v>
      </c>
      <c r="B3818" s="6">
        <v>5</v>
      </c>
      <c r="C3818" s="6" t="s">
        <v>63</v>
      </c>
      <c r="D3818" s="6" t="s">
        <v>715</v>
      </c>
      <c r="E3818" s="6" t="s">
        <v>716</v>
      </c>
      <c r="F3818" s="6" t="str">
        <f>IF($M3818="PADD I","PADD 1",IF($M3818="PADD II","PADD 2",IF($M3818="PADD III","PADD 3",IF($M3818="PADD IV","PADD 4",IF($M3818="PADD V","PADD 5","")))))</f>
        <v>PADD 2</v>
      </c>
      <c r="G3818" s="6">
        <f>IF(AND($H3818="ATMOS DISTILLATION",ISNUMBER(SEARCH("VPS",$I3818))=FALSE,LEFT($I3818,6)&lt;&gt;"VACUUM"),"CDU",IF($H3818="FLUID CAT CRACKING","FCC",IF(OR($H3818="HYDROCRACKING",$H3818="RESID_HYDROCRACKING"),"Hydrocracker",IF($H3818="REFORMING","Reformer",""))))</f>
        <v/>
      </c>
      <c r="H3818" s="6" t="s">
        <v>43</v>
      </c>
      <c r="I3818" s="6" t="s">
        <v>717</v>
      </c>
      <c r="J3818" s="6" t="s">
        <v>349</v>
      </c>
      <c r="K3818" s="10">
        <v>1.95</v>
      </c>
      <c r="L3818" s="10">
        <v>15</v>
      </c>
      <c r="M3818" s="6" t="s">
        <v>375</v>
      </c>
    </row>
    <row r="3819" spans="1:13">
      <c r="A3819" s="6">
        <v>2024</v>
      </c>
      <c r="B3819" s="6">
        <v>5</v>
      </c>
      <c r="C3819" s="6" t="s">
        <v>63</v>
      </c>
      <c r="D3819" s="6" t="s">
        <v>851</v>
      </c>
      <c r="E3819" s="6" t="s">
        <v>852</v>
      </c>
      <c r="F3819" s="6" t="str">
        <f>IF($M3819="PADD I","PADD 1",IF($M3819="PADD II","PADD 2",IF($M3819="PADD III","PADD 3",IF($M3819="PADD IV","PADD 4",IF($M3819="PADD V","PADD 5","")))))</f>
        <v>PADD 3</v>
      </c>
      <c r="G3819" s="6" t="str">
        <f>IF(AND($H3819="ATMOS DISTILLATION",ISNUMBER(SEARCH("VPS",$I3819))=FALSE,LEFT($I3819,6)&lt;&gt;"VACUUM"),"CDU",IF($H3819="FLUID CAT CRACKING","FCC",IF(OR($H3819="HYDROCRACKING",$H3819="RESID_HYDROCRACKING"),"Hydrocracker",IF($H3819="REFORMING","Reformer",""))))</f>
        <v>CDU</v>
      </c>
      <c r="H3819" s="6" t="s">
        <v>38</v>
      </c>
      <c r="I3819" s="6" t="s">
        <v>854</v>
      </c>
      <c r="J3819" s="6" t="s">
        <v>349</v>
      </c>
      <c r="K3819" s="10">
        <v>1.95</v>
      </c>
      <c r="L3819" s="10">
        <v>65</v>
      </c>
      <c r="M3819" s="6" t="s">
        <v>371</v>
      </c>
    </row>
    <row r="3820" spans="1:13">
      <c r="A3820" s="6">
        <v>2024</v>
      </c>
      <c r="B3820" s="6">
        <v>5</v>
      </c>
      <c r="C3820" s="6" t="s">
        <v>63</v>
      </c>
      <c r="D3820" s="6" t="s">
        <v>762</v>
      </c>
      <c r="E3820" s="6" t="s">
        <v>763</v>
      </c>
      <c r="F3820" s="6" t="str">
        <f>IF($M3820="PADD I","PADD 1",IF($M3820="PADD II","PADD 2",IF($M3820="PADD III","PADD 3",IF($M3820="PADD IV","PADD 4",IF($M3820="PADD V","PADD 5","")))))</f>
        <v>PADD 2</v>
      </c>
      <c r="G3820" s="6">
        <f>IF(AND($H3820="ATMOS DISTILLATION",ISNUMBER(SEARCH("VPS",$I3820))=FALSE,LEFT($I3820,6)&lt;&gt;"VACUUM"),"CDU",IF($H3820="FLUID CAT CRACKING","FCC",IF(OR($H3820="HYDROCRACKING",$H3820="RESID_HYDROCRACKING"),"Hydrocracker",IF($H3820="REFORMING","Reformer",""))))</f>
        <v/>
      </c>
      <c r="H3820" s="6" t="s">
        <v>460</v>
      </c>
      <c r="I3820" s="6" t="s">
        <v>616</v>
      </c>
      <c r="J3820" s="6" t="s">
        <v>345</v>
      </c>
      <c r="K3820" s="10">
        <v>1.925</v>
      </c>
      <c r="L3820" s="10">
        <v>5.5</v>
      </c>
      <c r="M3820" s="6" t="s">
        <v>375</v>
      </c>
    </row>
    <row r="3821" spans="1:13">
      <c r="A3821" s="6">
        <v>2024</v>
      </c>
      <c r="B3821" s="6">
        <v>5</v>
      </c>
      <c r="C3821" s="6" t="s">
        <v>63</v>
      </c>
      <c r="D3821" s="6" t="s">
        <v>739</v>
      </c>
      <c r="E3821" s="6" t="s">
        <v>405</v>
      </c>
      <c r="F3821" s="6" t="str">
        <f>IF($M3821="PADD I","PADD 1",IF($M3821="PADD II","PADD 2",IF($M3821="PADD III","PADD 3",IF($M3821="PADD IV","PADD 4",IF($M3821="PADD V","PADD 5","")))))</f>
        <v>PADD 2</v>
      </c>
      <c r="G3821" s="6" t="str">
        <f>IF(AND($H3821="ATMOS DISTILLATION",ISNUMBER(SEARCH("VPS",$I3821))=FALSE,LEFT($I3821,6)&lt;&gt;"VACUUM"),"CDU",IF($H3821="FLUID CAT CRACKING","FCC",IF(OR($H3821="HYDROCRACKING",$H3821="RESID_HYDROCRACKING"),"Hydrocracker",IF($H3821="REFORMING","Reformer",""))))</f>
        <v>Hydrocracker</v>
      </c>
      <c r="H3821" s="6" t="s">
        <v>444</v>
      </c>
      <c r="I3821" s="6" t="s">
        <v>795</v>
      </c>
      <c r="J3821" s="6" t="s">
        <v>345</v>
      </c>
      <c r="K3821" s="10">
        <v>1.82</v>
      </c>
      <c r="L3821" s="10">
        <v>14</v>
      </c>
      <c r="M3821" s="6" t="s">
        <v>375</v>
      </c>
    </row>
    <row r="3822" spans="1:13">
      <c r="A3822" s="6">
        <v>2024</v>
      </c>
      <c r="B3822" s="6">
        <v>5</v>
      </c>
      <c r="C3822" s="6" t="s">
        <v>63</v>
      </c>
      <c r="D3822" s="6" t="s">
        <v>329</v>
      </c>
      <c r="E3822" s="6" t="s">
        <v>427</v>
      </c>
      <c r="F3822" s="6" t="str">
        <f>IF($M3822="PADD I","PADD 1",IF($M3822="PADD II","PADD 2",IF($M3822="PADD III","PADD 3",IF($M3822="PADD IV","PADD 4",IF($M3822="PADD V","PADD 5","")))))</f>
        <v>PADD 3</v>
      </c>
      <c r="G3822" s="6" t="str">
        <f>IF(AND($H3822="ATMOS DISTILLATION",ISNUMBER(SEARCH("VPS",$I3822))=FALSE,LEFT($I3822,6)&lt;&gt;"VACUUM"),"CDU",IF($H3822="FLUID CAT CRACKING","FCC",IF(OR($H3822="HYDROCRACKING",$H3822="RESID_HYDROCRACKING"),"Hydrocracker",IF($H3822="REFORMING","Reformer",""))))</f>
        <v>Reformer</v>
      </c>
      <c r="H3822" s="6" t="s">
        <v>421</v>
      </c>
      <c r="I3822" s="6" t="s">
        <v>1162</v>
      </c>
      <c r="J3822" s="6" t="s">
        <v>349</v>
      </c>
      <c r="K3822" s="10">
        <v>1.75</v>
      </c>
      <c r="L3822" s="10">
        <v>17.5</v>
      </c>
      <c r="M3822" s="6" t="s">
        <v>371</v>
      </c>
    </row>
    <row r="3823" spans="1:13">
      <c r="A3823" s="6">
        <v>2024</v>
      </c>
      <c r="B3823" s="6">
        <v>5</v>
      </c>
      <c r="C3823" s="6" t="s">
        <v>63</v>
      </c>
      <c r="D3823" s="6" t="s">
        <v>390</v>
      </c>
      <c r="E3823" s="6" t="s">
        <v>391</v>
      </c>
      <c r="F3823" s="6" t="str">
        <f>IF($M3823="PADD I","PADD 1",IF($M3823="PADD II","PADD 2",IF($M3823="PADD III","PADD 3",IF($M3823="PADD IV","PADD 4",IF($M3823="PADD V","PADD 5","")))))</f>
        <v>PADD 3</v>
      </c>
      <c r="G3823" s="6" t="str">
        <f>IF(AND($H3823="ATMOS DISTILLATION",ISNUMBER(SEARCH("VPS",$I3823))=FALSE,LEFT($I3823,6)&lt;&gt;"VACUUM"),"CDU",IF($H3823="FLUID CAT CRACKING","FCC",IF(OR($H3823="HYDROCRACKING",$H3823="RESID_HYDROCRACKING"),"Hydrocracker",IF($H3823="REFORMING","Reformer",""))))</f>
        <v>Reformer</v>
      </c>
      <c r="H3823" s="6" t="s">
        <v>421</v>
      </c>
      <c r="I3823" s="6" t="s">
        <v>1117</v>
      </c>
      <c r="J3823" s="6" t="s">
        <v>345</v>
      </c>
      <c r="K3823" s="10">
        <v>1.65</v>
      </c>
      <c r="L3823" s="10">
        <v>55</v>
      </c>
      <c r="M3823" s="6" t="s">
        <v>371</v>
      </c>
    </row>
    <row r="3824" spans="1:13">
      <c r="A3824" s="6">
        <v>2024</v>
      </c>
      <c r="B3824" s="6">
        <v>5</v>
      </c>
      <c r="C3824" s="6" t="s">
        <v>63</v>
      </c>
      <c r="D3824" s="6" t="s">
        <v>329</v>
      </c>
      <c r="E3824" s="6" t="s">
        <v>427</v>
      </c>
      <c r="F3824" s="6" t="str">
        <f>IF($M3824="PADD I","PADD 1",IF($M3824="PADD II","PADD 2",IF($M3824="PADD III","PADD 3",IF($M3824="PADD IV","PADD 4",IF($M3824="PADD V","PADD 5","")))))</f>
        <v>PADD 3</v>
      </c>
      <c r="G3824" s="6">
        <f>IF(AND($H3824="ATMOS DISTILLATION",ISNUMBER(SEARCH("VPS",$I3824))=FALSE,LEFT($I3824,6)&lt;&gt;"VACUUM"),"CDU",IF($H3824="FLUID CAT CRACKING","FCC",IF(OR($H3824="HYDROCRACKING",$H3824="RESID_HYDROCRACKING"),"Hydrocracker",IF($H3824="REFORMING","Reformer",""))))</f>
        <v/>
      </c>
      <c r="H3824" s="6" t="s">
        <v>460</v>
      </c>
      <c r="I3824" s="6" t="s">
        <v>1075</v>
      </c>
      <c r="J3824" s="6" t="s">
        <v>345</v>
      </c>
      <c r="K3824" s="10">
        <v>1.625</v>
      </c>
      <c r="L3824" s="10">
        <v>12.5</v>
      </c>
      <c r="M3824" s="6" t="s">
        <v>371</v>
      </c>
    </row>
    <row r="3825" spans="1:13">
      <c r="A3825" s="6">
        <v>2024</v>
      </c>
      <c r="B3825" s="6">
        <v>5</v>
      </c>
      <c r="C3825" s="6" t="s">
        <v>63</v>
      </c>
      <c r="D3825" s="6" t="s">
        <v>1032</v>
      </c>
      <c r="E3825" s="6" t="s">
        <v>1033</v>
      </c>
      <c r="F3825" s="6" t="str">
        <f>IF($M3825="PADD I","PADD 1",IF($M3825="PADD II","PADD 2",IF($M3825="PADD III","PADD 3",IF($M3825="PADD IV","PADD 4",IF($M3825="PADD V","PADD 5","")))))</f>
        <v>PADD 5</v>
      </c>
      <c r="G3825" s="6" t="str">
        <f>IF(AND($H3825="ATMOS DISTILLATION",ISNUMBER(SEARCH("VPS",$I3825))=FALSE,LEFT($I3825,6)&lt;&gt;"VACUUM"),"CDU",IF($H3825="FLUID CAT CRACKING","FCC",IF(OR($H3825="HYDROCRACKING",$H3825="RESID_HYDROCRACKING"),"Hydrocracker",IF($H3825="REFORMING","Reformer",""))))</f>
        <v>CDU</v>
      </c>
      <c r="H3825" s="6" t="s">
        <v>38</v>
      </c>
      <c r="I3825" s="6" t="s">
        <v>663</v>
      </c>
      <c r="J3825" s="6" t="s">
        <v>349</v>
      </c>
      <c r="K3825" s="10">
        <v>1.6</v>
      </c>
      <c r="L3825" s="10">
        <v>5</v>
      </c>
      <c r="M3825" s="6" t="s">
        <v>386</v>
      </c>
    </row>
    <row r="3826" spans="1:13">
      <c r="A3826" s="6">
        <v>2024</v>
      </c>
      <c r="B3826" s="6">
        <v>5</v>
      </c>
      <c r="C3826" s="6" t="s">
        <v>63</v>
      </c>
      <c r="D3826" s="6" t="s">
        <v>662</v>
      </c>
      <c r="E3826" s="6" t="s">
        <v>552</v>
      </c>
      <c r="F3826" s="6" t="str">
        <f>IF($M3826="PADD I","PADD 1",IF($M3826="PADD II","PADD 2",IF($M3826="PADD III","PADD 3",IF($M3826="PADD IV","PADD 4",IF($M3826="PADD V","PADD 5","")))))</f>
        <v>PADD 3</v>
      </c>
      <c r="G3826" s="6">
        <f>IF(AND($H3826="ATMOS DISTILLATION",ISNUMBER(SEARCH("VPS",$I3826))=FALSE,LEFT($I3826,6)&lt;&gt;"VACUUM"),"CDU",IF($H3826="FLUID CAT CRACKING","FCC",IF(OR($H3826="HYDROCRACKING",$H3826="RESID_HYDROCRACKING"),"Hydrocracker",IF($H3826="REFORMING","Reformer",""))))</f>
        <v/>
      </c>
      <c r="H3826" s="6" t="s">
        <v>43</v>
      </c>
      <c r="I3826" s="6" t="s">
        <v>828</v>
      </c>
      <c r="J3826" s="6" t="s">
        <v>345</v>
      </c>
      <c r="K3826" s="10">
        <v>1.56</v>
      </c>
      <c r="L3826" s="10">
        <v>12</v>
      </c>
      <c r="M3826" s="6" t="s">
        <v>371</v>
      </c>
    </row>
    <row r="3827" spans="1:13">
      <c r="A3827" s="6">
        <v>2024</v>
      </c>
      <c r="B3827" s="6">
        <v>5</v>
      </c>
      <c r="C3827" s="6" t="s">
        <v>63</v>
      </c>
      <c r="D3827" s="6" t="s">
        <v>48</v>
      </c>
      <c r="E3827" s="6" t="s">
        <v>388</v>
      </c>
      <c r="F3827" s="6" t="str">
        <f>IF($M3827="PADD I","PADD 1",IF($M3827="PADD II","PADD 2",IF($M3827="PADD III","PADD 3",IF($M3827="PADD IV","PADD 4",IF($M3827="PADD V","PADD 5","")))))</f>
        <v>PADD 2</v>
      </c>
      <c r="G3827" s="6">
        <f>IF(AND($H3827="ATMOS DISTILLATION",ISNUMBER(SEARCH("VPS",$I3827))=FALSE,LEFT($I3827,6)&lt;&gt;"VACUUM"),"CDU",IF($H3827="FLUID CAT CRACKING","FCC",IF(OR($H3827="HYDROCRACKING",$H3827="RESID_HYDROCRACKING"),"Hydrocracker",IF($H3827="REFORMING","Reformer",""))))</f>
        <v/>
      </c>
      <c r="H3827" s="6" t="s">
        <v>435</v>
      </c>
      <c r="I3827" s="6" t="s">
        <v>631</v>
      </c>
      <c r="J3827" s="6" t="s">
        <v>345</v>
      </c>
      <c r="K3827" s="10">
        <v>1.56</v>
      </c>
      <c r="L3827" s="10">
        <v>12</v>
      </c>
      <c r="M3827" s="6" t="s">
        <v>375</v>
      </c>
    </row>
    <row r="3828" spans="1:13">
      <c r="A3828" s="6">
        <v>2024</v>
      </c>
      <c r="B3828" s="6">
        <v>5</v>
      </c>
      <c r="C3828" s="6" t="s">
        <v>63</v>
      </c>
      <c r="D3828" s="6" t="s">
        <v>722</v>
      </c>
      <c r="E3828" s="6" t="s">
        <v>452</v>
      </c>
      <c r="F3828" s="6" t="str">
        <f>IF($M3828="PADD I","PADD 1",IF($M3828="PADD II","PADD 2",IF($M3828="PADD III","PADD 3",IF($M3828="PADD IV","PADD 4",IF($M3828="PADD V","PADD 5","")))))</f>
        <v>PADD 4</v>
      </c>
      <c r="G3828" s="6" t="str">
        <f>IF(AND($H3828="ATMOS DISTILLATION",ISNUMBER(SEARCH("VPS",$I3828))=FALSE,LEFT($I3828,6)&lt;&gt;"VACUUM"),"CDU",IF($H3828="FLUID CAT CRACKING","FCC",IF(OR($H3828="HYDROCRACKING",$H3828="RESID_HYDROCRACKING"),"Hydrocracker",IF($H3828="REFORMING","Reformer",""))))</f>
        <v>Hydrocracker</v>
      </c>
      <c r="H3828" s="6" t="s">
        <v>444</v>
      </c>
      <c r="I3828" s="6" t="s">
        <v>1147</v>
      </c>
      <c r="J3828" s="6" t="s">
        <v>345</v>
      </c>
      <c r="K3828" s="10">
        <v>1.5</v>
      </c>
      <c r="L3828" s="10">
        <v>15</v>
      </c>
      <c r="M3828" s="6" t="s">
        <v>430</v>
      </c>
    </row>
    <row r="3829" spans="1:13">
      <c r="A3829" s="6">
        <v>2024</v>
      </c>
      <c r="B3829" s="6">
        <v>5</v>
      </c>
      <c r="C3829" s="6" t="s">
        <v>63</v>
      </c>
      <c r="D3829" s="6" t="s">
        <v>871</v>
      </c>
      <c r="E3829" s="6" t="s">
        <v>872</v>
      </c>
      <c r="F3829" s="6" t="str">
        <f>IF($M3829="PADD I","PADD 1",IF($M3829="PADD II","PADD 2",IF($M3829="PADD III","PADD 3",IF($M3829="PADD IV","PADD 4",IF($M3829="PADD V","PADD 5","")))))</f>
        <v>PADD 4</v>
      </c>
      <c r="G3829" s="6" t="str">
        <f>IF(AND($H3829="ATMOS DISTILLATION",ISNUMBER(SEARCH("VPS",$I3829))=FALSE,LEFT($I3829,6)&lt;&gt;"VACUUM"),"CDU",IF($H3829="FLUID CAT CRACKING","FCC",IF(OR($H3829="HYDROCRACKING",$H3829="RESID_HYDROCRACKING"),"Hydrocracker",IF($H3829="REFORMING","Reformer",""))))</f>
        <v>CDU</v>
      </c>
      <c r="H3829" s="6" t="s">
        <v>38</v>
      </c>
      <c r="I3829" s="6" t="s">
        <v>81</v>
      </c>
      <c r="J3829" s="6" t="s">
        <v>349</v>
      </c>
      <c r="K3829" s="10">
        <v>1.326</v>
      </c>
      <c r="L3829" s="10">
        <v>3.4</v>
      </c>
      <c r="M3829" s="6" t="s">
        <v>430</v>
      </c>
    </row>
    <row r="3830" spans="1:13">
      <c r="A3830" s="6">
        <v>2024</v>
      </c>
      <c r="B3830" s="6">
        <v>5</v>
      </c>
      <c r="C3830" s="6" t="s">
        <v>63</v>
      </c>
      <c r="D3830" s="6" t="s">
        <v>715</v>
      </c>
      <c r="E3830" s="6" t="s">
        <v>716</v>
      </c>
      <c r="F3830" s="6" t="str">
        <f>IF($M3830="PADD I","PADD 1",IF($M3830="PADD II","PADD 2",IF($M3830="PADD III","PADD 3",IF($M3830="PADD IV","PADD 4",IF($M3830="PADD V","PADD 5","")))))</f>
        <v>PADD 2</v>
      </c>
      <c r="G3830" s="6">
        <f>IF(AND($H3830="ATMOS DISTILLATION",ISNUMBER(SEARCH("VPS",$I3830))=FALSE,LEFT($I3830,6)&lt;&gt;"VACUUM"),"CDU",IF($H3830="FLUID CAT CRACKING","FCC",IF(OR($H3830="HYDROCRACKING",$H3830="RESID_HYDROCRACKING"),"Hydrocracker",IF($H3830="REFORMING","Reformer",""))))</f>
        <v/>
      </c>
      <c r="H3830" s="6" t="s">
        <v>43</v>
      </c>
      <c r="I3830" s="6" t="s">
        <v>1181</v>
      </c>
      <c r="J3830" s="6" t="s">
        <v>349</v>
      </c>
      <c r="K3830" s="10">
        <v>1.3</v>
      </c>
      <c r="L3830" s="10">
        <v>10</v>
      </c>
      <c r="M3830" s="6" t="s">
        <v>375</v>
      </c>
    </row>
    <row r="3831" spans="1:13">
      <c r="A3831" s="6">
        <v>2024</v>
      </c>
      <c r="B3831" s="6">
        <v>5</v>
      </c>
      <c r="C3831" s="6" t="s">
        <v>63</v>
      </c>
      <c r="D3831" s="6" t="s">
        <v>415</v>
      </c>
      <c r="E3831" s="6" t="s">
        <v>416</v>
      </c>
      <c r="F3831" s="6" t="str">
        <f>IF($M3831="PADD I","PADD 1",IF($M3831="PADD II","PADD 2",IF($M3831="PADD III","PADD 3",IF($M3831="PADD IV","PADD 4",IF($M3831="PADD V","PADD 5","")))))</f>
        <v>PADD 3</v>
      </c>
      <c r="G3831" s="6" t="str">
        <f>IF(AND($H3831="ATMOS DISTILLATION",ISNUMBER(SEARCH("VPS",$I3831))=FALSE,LEFT($I3831,6)&lt;&gt;"VACUUM"),"CDU",IF($H3831="FLUID CAT CRACKING","FCC",IF(OR($H3831="HYDROCRACKING",$H3831="RESID_HYDROCRACKING"),"Hydrocracker",IF($H3831="REFORMING","Reformer",""))))</f>
        <v>FCC</v>
      </c>
      <c r="H3831" s="6" t="s">
        <v>376</v>
      </c>
      <c r="I3831" s="6" t="s">
        <v>1122</v>
      </c>
      <c r="J3831" s="6" t="s">
        <v>345</v>
      </c>
      <c r="K3831" s="10">
        <v>1.26</v>
      </c>
      <c r="L3831" s="10">
        <v>42</v>
      </c>
      <c r="M3831" s="6" t="s">
        <v>371</v>
      </c>
    </row>
    <row r="3832" spans="1:13">
      <c r="A3832" s="6">
        <v>2024</v>
      </c>
      <c r="B3832" s="6">
        <v>5</v>
      </c>
      <c r="C3832" s="6" t="s">
        <v>63</v>
      </c>
      <c r="D3832" s="6" t="s">
        <v>446</v>
      </c>
      <c r="E3832" s="6" t="s">
        <v>391</v>
      </c>
      <c r="F3832" s="6" t="str">
        <f>IF($M3832="PADD I","PADD 1",IF($M3832="PADD II","PADD 2",IF($M3832="PADD III","PADD 3",IF($M3832="PADD IV","PADD 4",IF($M3832="PADD V","PADD 5","")))))</f>
        <v>PADD 3</v>
      </c>
      <c r="G3832" s="6">
        <f>IF(AND($H3832="ATMOS DISTILLATION",ISNUMBER(SEARCH("VPS",$I3832))=FALSE,LEFT($I3832,6)&lt;&gt;"VACUUM"),"CDU",IF($H3832="FLUID CAT CRACKING","FCC",IF(OR($H3832="HYDROCRACKING",$H3832="RESID_HYDROCRACKING"),"Hydrocracker",IF($H3832="REFORMING","Reformer",""))))</f>
        <v/>
      </c>
      <c r="H3832" s="6" t="s">
        <v>378</v>
      </c>
      <c r="I3832" s="6" t="s">
        <v>1041</v>
      </c>
      <c r="J3832" s="6" t="s">
        <v>345</v>
      </c>
      <c r="K3832" s="10">
        <v>1.23</v>
      </c>
      <c r="L3832" s="10">
        <v>41</v>
      </c>
      <c r="M3832" s="6" t="s">
        <v>371</v>
      </c>
    </row>
    <row r="3833" spans="1:13">
      <c r="A3833" s="6">
        <v>2024</v>
      </c>
      <c r="B3833" s="6">
        <v>5</v>
      </c>
      <c r="C3833" s="6" t="s">
        <v>63</v>
      </c>
      <c r="D3833" s="6" t="s">
        <v>871</v>
      </c>
      <c r="E3833" s="6" t="s">
        <v>872</v>
      </c>
      <c r="F3833" s="6" t="str">
        <f>IF($M3833="PADD I","PADD 1",IF($M3833="PADD II","PADD 2",IF($M3833="PADD III","PADD 3",IF($M3833="PADD IV","PADD 4",IF($M3833="PADD V","PADD 5","")))))</f>
        <v>PADD 4</v>
      </c>
      <c r="G3833" s="6">
        <f>IF(AND($H3833="ATMOS DISTILLATION",ISNUMBER(SEARCH("VPS",$I3833))=FALSE,LEFT($I3833,6)&lt;&gt;"VACUUM"),"CDU",IF($H3833="FLUID CAT CRACKING","FCC",IF(OR($H3833="HYDROCRACKING",$H3833="RESID_HYDROCRACKING"),"Hydrocracker",IF($H3833="REFORMING","Reformer",""))))</f>
        <v/>
      </c>
      <c r="H3833" s="6" t="s">
        <v>43</v>
      </c>
      <c r="I3833" s="6" t="s">
        <v>873</v>
      </c>
      <c r="J3833" s="6" t="s">
        <v>349</v>
      </c>
      <c r="K3833" s="10">
        <v>1.17</v>
      </c>
      <c r="L3833" s="10">
        <v>3</v>
      </c>
      <c r="M3833" s="6" t="s">
        <v>430</v>
      </c>
    </row>
    <row r="3834" spans="1:13">
      <c r="A3834" s="6">
        <v>2024</v>
      </c>
      <c r="B3834" s="6">
        <v>5</v>
      </c>
      <c r="C3834" s="6" t="s">
        <v>63</v>
      </c>
      <c r="D3834" s="6" t="s">
        <v>871</v>
      </c>
      <c r="E3834" s="6" t="s">
        <v>872</v>
      </c>
      <c r="F3834" s="6" t="str">
        <f>IF($M3834="PADD I","PADD 1",IF($M3834="PADD II","PADD 2",IF($M3834="PADD III","PADD 3",IF($M3834="PADD IV","PADD 4",IF($M3834="PADD V","PADD 5","")))))</f>
        <v>PADD 4</v>
      </c>
      <c r="G3834" s="6" t="str">
        <f>IF(AND($H3834="ATMOS DISTILLATION",ISNUMBER(SEARCH("VPS",$I3834))=FALSE,LEFT($I3834,6)&lt;&gt;"VACUUM"),"CDU",IF($H3834="FLUID CAT CRACKING","FCC",IF(OR($H3834="HYDROCRACKING",$H3834="RESID_HYDROCRACKING"),"Hydrocracker",IF($H3834="REFORMING","Reformer",""))))</f>
        <v>Reformer</v>
      </c>
      <c r="H3834" s="6" t="s">
        <v>421</v>
      </c>
      <c r="I3834" s="6" t="s">
        <v>15</v>
      </c>
      <c r="J3834" s="6" t="s">
        <v>349</v>
      </c>
      <c r="K3834" s="10">
        <v>1.17</v>
      </c>
      <c r="L3834" s="10">
        <v>3</v>
      </c>
      <c r="M3834" s="6" t="s">
        <v>430</v>
      </c>
    </row>
    <row r="3835" spans="1:13">
      <c r="A3835" s="6">
        <v>2024</v>
      </c>
      <c r="B3835" s="6">
        <v>5</v>
      </c>
      <c r="C3835" s="6" t="s">
        <v>63</v>
      </c>
      <c r="D3835" s="6" t="s">
        <v>739</v>
      </c>
      <c r="E3835" s="6" t="s">
        <v>405</v>
      </c>
      <c r="F3835" s="6" t="str">
        <f>IF($M3835="PADD I","PADD 1",IF($M3835="PADD II","PADD 2",IF($M3835="PADD III","PADD 3",IF($M3835="PADD IV","PADD 4",IF($M3835="PADD V","PADD 5","")))))</f>
        <v>PADD 2</v>
      </c>
      <c r="G3835" s="6">
        <f>IF(AND($H3835="ATMOS DISTILLATION",ISNUMBER(SEARCH("VPS",$I3835))=FALSE,LEFT($I3835,6)&lt;&gt;"VACUUM"),"CDU",IF($H3835="FLUID CAT CRACKING","FCC",IF(OR($H3835="HYDROCRACKING",$H3835="RESID_HYDROCRACKING"),"Hydrocracker",IF($H3835="REFORMING","Reformer",""))))</f>
        <v/>
      </c>
      <c r="H3835" s="6" t="s">
        <v>568</v>
      </c>
      <c r="I3835" s="6" t="s">
        <v>604</v>
      </c>
      <c r="J3835" s="6" t="s">
        <v>345</v>
      </c>
      <c r="K3835" s="10">
        <v>1.12</v>
      </c>
      <c r="L3835" s="10">
        <v>7</v>
      </c>
      <c r="M3835" s="6" t="s">
        <v>375</v>
      </c>
    </row>
    <row r="3836" spans="1:13">
      <c r="A3836" s="6">
        <v>2024</v>
      </c>
      <c r="B3836" s="6">
        <v>5</v>
      </c>
      <c r="C3836" s="6" t="s">
        <v>63</v>
      </c>
      <c r="D3836" s="6" t="s">
        <v>335</v>
      </c>
      <c r="E3836" s="6" t="s">
        <v>369</v>
      </c>
      <c r="F3836" s="6" t="str">
        <f>IF($M3836="PADD I","PADD 1",IF($M3836="PADD II","PADD 2",IF($M3836="PADD III","PADD 3",IF($M3836="PADD IV","PADD 4",IF($M3836="PADD V","PADD 5","")))))</f>
        <v>PADD 3</v>
      </c>
      <c r="G3836" s="6" t="str">
        <f>IF(AND($H3836="ATMOS DISTILLATION",ISNUMBER(SEARCH("VPS",$I3836))=FALSE,LEFT($I3836,6)&lt;&gt;"VACUUM"),"CDU",IF($H3836="FLUID CAT CRACKING","FCC",IF(OR($H3836="HYDROCRACKING",$H3836="RESID_HYDROCRACKING"),"Hydrocracker",IF($H3836="REFORMING","Reformer",""))))</f>
        <v>Reformer</v>
      </c>
      <c r="H3836" s="6" t="s">
        <v>421</v>
      </c>
      <c r="I3836" s="6" t="s">
        <v>1099</v>
      </c>
      <c r="J3836" s="6" t="s">
        <v>349</v>
      </c>
      <c r="K3836" s="10">
        <v>1.02</v>
      </c>
      <c r="L3836" s="10">
        <v>34</v>
      </c>
      <c r="M3836" s="6" t="s">
        <v>371</v>
      </c>
    </row>
    <row r="3837" spans="1:13">
      <c r="A3837" s="6">
        <v>2024</v>
      </c>
      <c r="B3837" s="6">
        <v>5</v>
      </c>
      <c r="C3837" s="6" t="s">
        <v>63</v>
      </c>
      <c r="D3837" s="6" t="s">
        <v>739</v>
      </c>
      <c r="E3837" s="6" t="s">
        <v>405</v>
      </c>
      <c r="F3837" s="6" t="str">
        <f>IF($M3837="PADD I","PADD 1",IF($M3837="PADD II","PADD 2",IF($M3837="PADD III","PADD 3",IF($M3837="PADD IV","PADD 4",IF($M3837="PADD V","PADD 5","")))))</f>
        <v>PADD 2</v>
      </c>
      <c r="G3837" s="6">
        <f>IF(AND($H3837="ATMOS DISTILLATION",ISNUMBER(SEARCH("VPS",$I3837))=FALSE,LEFT($I3837,6)&lt;&gt;"VACUUM"),"CDU",IF($H3837="FLUID CAT CRACKING","FCC",IF(OR($H3837="HYDROCRACKING",$H3837="RESID_HYDROCRACKING"),"Hydrocracker",IF($H3837="REFORMING","Reformer",""))))</f>
        <v/>
      </c>
      <c r="H3837" s="6" t="s">
        <v>460</v>
      </c>
      <c r="I3837" s="6" t="s">
        <v>616</v>
      </c>
      <c r="J3837" s="6" t="s">
        <v>345</v>
      </c>
      <c r="K3837" s="10">
        <v>0.992</v>
      </c>
      <c r="L3837" s="10">
        <v>6.2</v>
      </c>
      <c r="M3837" s="6" t="s">
        <v>375</v>
      </c>
    </row>
    <row r="3838" spans="1:13">
      <c r="A3838" s="6">
        <v>2024</v>
      </c>
      <c r="B3838" s="6">
        <v>5</v>
      </c>
      <c r="C3838" s="6" t="s">
        <v>63</v>
      </c>
      <c r="D3838" s="6" t="s">
        <v>739</v>
      </c>
      <c r="E3838" s="6" t="s">
        <v>405</v>
      </c>
      <c r="F3838" s="6" t="str">
        <f>IF($M3838="PADD I","PADD 1",IF($M3838="PADD II","PADD 2",IF($M3838="PADD III","PADD 3",IF($M3838="PADD IV","PADD 4",IF($M3838="PADD V","PADD 5","")))))</f>
        <v>PADD 2</v>
      </c>
      <c r="G3838" s="6" t="str">
        <f>IF(AND($H3838="ATMOS DISTILLATION",ISNUMBER(SEARCH("VPS",$I3838))=FALSE,LEFT($I3838,6)&lt;&gt;"VACUUM"),"CDU",IF($H3838="FLUID CAT CRACKING","FCC",IF(OR($H3838="HYDROCRACKING",$H3838="RESID_HYDROCRACKING"),"Hydrocracker",IF($H3838="REFORMING","Reformer",""))))</f>
        <v>FCC</v>
      </c>
      <c r="H3838" s="6" t="s">
        <v>376</v>
      </c>
      <c r="I3838" s="6" t="s">
        <v>105</v>
      </c>
      <c r="J3838" s="6" t="s">
        <v>345</v>
      </c>
      <c r="K3838" s="10">
        <v>0.9</v>
      </c>
      <c r="L3838" s="10">
        <v>30</v>
      </c>
      <c r="M3838" s="6" t="s">
        <v>375</v>
      </c>
    </row>
    <row r="3839" spans="1:13">
      <c r="A3839" s="6">
        <v>2024</v>
      </c>
      <c r="B3839" s="6">
        <v>5</v>
      </c>
      <c r="C3839" s="6" t="s">
        <v>63</v>
      </c>
      <c r="D3839" s="6" t="s">
        <v>715</v>
      </c>
      <c r="E3839" s="6" t="s">
        <v>716</v>
      </c>
      <c r="F3839" s="6" t="str">
        <f>IF($M3839="PADD I","PADD 1",IF($M3839="PADD II","PADD 2",IF($M3839="PADD III","PADD 3",IF($M3839="PADD IV","PADD 4",IF($M3839="PADD V","PADD 5","")))))</f>
        <v>PADD 2</v>
      </c>
      <c r="G3839" s="6" t="str">
        <f>IF(AND($H3839="ATMOS DISTILLATION",ISNUMBER(SEARCH("VPS",$I3839))=FALSE,LEFT($I3839,6)&lt;&gt;"VACUUM"),"CDU",IF($H3839="FLUID CAT CRACKING","FCC",IF(OR($H3839="HYDROCRACKING",$H3839="RESID_HYDROCRACKING"),"Hydrocracker",IF($H3839="REFORMING","Reformer",""))))</f>
        <v>Reformer</v>
      </c>
      <c r="H3839" s="6" t="s">
        <v>421</v>
      </c>
      <c r="I3839" s="6" t="s">
        <v>539</v>
      </c>
      <c r="J3839" s="6" t="s">
        <v>349</v>
      </c>
      <c r="K3839" s="10">
        <v>0.845</v>
      </c>
      <c r="L3839" s="10">
        <v>6.5</v>
      </c>
      <c r="M3839" s="6" t="s">
        <v>375</v>
      </c>
    </row>
    <row r="3840" spans="1:13">
      <c r="A3840" s="6">
        <v>2024</v>
      </c>
      <c r="B3840" s="6">
        <v>5</v>
      </c>
      <c r="C3840" s="6" t="s">
        <v>63</v>
      </c>
      <c r="D3840" s="6" t="s">
        <v>715</v>
      </c>
      <c r="E3840" s="6" t="s">
        <v>716</v>
      </c>
      <c r="F3840" s="6" t="str">
        <f>IF($M3840="PADD I","PADD 1",IF($M3840="PADD II","PADD 2",IF($M3840="PADD III","PADD 3",IF($M3840="PADD IV","PADD 4",IF($M3840="PADD V","PADD 5","")))))</f>
        <v>PADD 2</v>
      </c>
      <c r="G3840" s="6">
        <f>IF(AND($H3840="ATMOS DISTILLATION",ISNUMBER(SEARCH("VPS",$I3840))=FALSE,LEFT($I3840,6)&lt;&gt;"VACUUM"),"CDU",IF($H3840="FLUID CAT CRACKING","FCC",IF(OR($H3840="HYDROCRACKING",$H3840="RESID_HYDROCRACKING"),"Hydrocracker",IF($H3840="REFORMING","Reformer",""))))</f>
        <v/>
      </c>
      <c r="H3840" s="6" t="s">
        <v>43</v>
      </c>
      <c r="I3840" s="6" t="s">
        <v>458</v>
      </c>
      <c r="J3840" s="6" t="s">
        <v>349</v>
      </c>
      <c r="K3840" s="10">
        <v>0.845</v>
      </c>
      <c r="L3840" s="10">
        <v>6.5</v>
      </c>
      <c r="M3840" s="6" t="s">
        <v>375</v>
      </c>
    </row>
    <row r="3841" spans="1:13">
      <c r="A3841" s="6">
        <v>2024</v>
      </c>
      <c r="B3841" s="6">
        <v>5</v>
      </c>
      <c r="C3841" s="6" t="s">
        <v>63</v>
      </c>
      <c r="D3841" s="6" t="s">
        <v>326</v>
      </c>
      <c r="E3841" s="6" t="s">
        <v>385</v>
      </c>
      <c r="F3841" s="6" t="str">
        <f>IF($M3841="PADD I","PADD 1",IF($M3841="PADD II","PADD 2",IF($M3841="PADD III","PADD 3",IF($M3841="PADD IV","PADD 4",IF($M3841="PADD V","PADD 5","")))))</f>
        <v>PADD 5</v>
      </c>
      <c r="G3841" s="6">
        <f>IF(AND($H3841="ATMOS DISTILLATION",ISNUMBER(SEARCH("VPS",$I3841))=FALSE,LEFT($I3841,6)&lt;&gt;"VACUUM"),"CDU",IF($H3841="FLUID CAT CRACKING","FCC",IF(OR($H3841="HYDROCRACKING",$H3841="RESID_HYDROCRACKING"),"Hydrocracker",IF($H3841="REFORMING","Reformer",""))))</f>
        <v/>
      </c>
      <c r="H3841" s="6" t="s">
        <v>568</v>
      </c>
      <c r="I3841" s="6" t="s">
        <v>604</v>
      </c>
      <c r="J3841" s="6" t="s">
        <v>349</v>
      </c>
      <c r="K3841" s="10">
        <v>0.825</v>
      </c>
      <c r="L3841" s="10">
        <v>1.5</v>
      </c>
      <c r="M3841" s="6" t="s">
        <v>386</v>
      </c>
    </row>
    <row r="3842" spans="1:13">
      <c r="A3842" s="6">
        <v>2024</v>
      </c>
      <c r="B3842" s="6">
        <v>5</v>
      </c>
      <c r="C3842" s="6" t="s">
        <v>63</v>
      </c>
      <c r="D3842" s="6" t="s">
        <v>799</v>
      </c>
      <c r="E3842" s="6" t="s">
        <v>391</v>
      </c>
      <c r="F3842" s="6" t="str">
        <f>IF($M3842="PADD I","PADD 1",IF($M3842="PADD II","PADD 2",IF($M3842="PADD III","PADD 3",IF($M3842="PADD IV","PADD 4",IF($M3842="PADD V","PADD 5","")))))</f>
        <v>PADD 4</v>
      </c>
      <c r="G3842" s="6">
        <f>IF(AND($H3842="ATMOS DISTILLATION",ISNUMBER(SEARCH("VPS",$I3842))=FALSE,LEFT($I3842,6)&lt;&gt;"VACUUM"),"CDU",IF($H3842="FLUID CAT CRACKING","FCC",IF(OR($H3842="HYDROCRACKING",$H3842="RESID_HYDROCRACKING"),"Hydrocracker",IF($H3842="REFORMING","Reformer",""))))</f>
        <v/>
      </c>
      <c r="H3842" s="6" t="s">
        <v>460</v>
      </c>
      <c r="I3842" s="6" t="s">
        <v>908</v>
      </c>
      <c r="J3842" s="6" t="s">
        <v>345</v>
      </c>
      <c r="K3842" s="10">
        <v>0.728</v>
      </c>
      <c r="L3842" s="10">
        <v>5.6</v>
      </c>
      <c r="M3842" s="6" t="s">
        <v>430</v>
      </c>
    </row>
    <row r="3843" spans="1:13">
      <c r="A3843" s="6">
        <v>2024</v>
      </c>
      <c r="B3843" s="6">
        <v>5</v>
      </c>
      <c r="C3843" s="6" t="s">
        <v>63</v>
      </c>
      <c r="D3843" s="6" t="s">
        <v>632</v>
      </c>
      <c r="E3843" s="6" t="s">
        <v>633</v>
      </c>
      <c r="F3843" s="6" t="str">
        <f>IF($M3843="PADD I","PADD 1",IF($M3843="PADD II","PADD 2",IF($M3843="PADD III","PADD 3",IF($M3843="PADD IV","PADD 4",IF($M3843="PADD V","PADD 5","")))))</f>
        <v>PADD 4</v>
      </c>
      <c r="G3843" s="6" t="str">
        <f>IF(AND($H3843="ATMOS DISTILLATION",ISNUMBER(SEARCH("VPS",$I3843))=FALSE,LEFT($I3843,6)&lt;&gt;"VACUUM"),"CDU",IF($H3843="FLUID CAT CRACKING","FCC",IF(OR($H3843="HYDROCRACKING",$H3843="RESID_HYDROCRACKING"),"Hydrocracker",IF($H3843="REFORMING","Reformer",""))))</f>
        <v>FCC</v>
      </c>
      <c r="H3843" s="6" t="s">
        <v>376</v>
      </c>
      <c r="I3843" s="6" t="s">
        <v>634</v>
      </c>
      <c r="J3843" s="6" t="s">
        <v>345</v>
      </c>
      <c r="K3843" s="10">
        <v>0.6899999999999999</v>
      </c>
      <c r="L3843" s="10">
        <v>11.5</v>
      </c>
      <c r="M3843" s="6" t="s">
        <v>430</v>
      </c>
    </row>
    <row r="3844" spans="1:13">
      <c r="A3844" s="6">
        <v>2024</v>
      </c>
      <c r="B3844" s="6">
        <v>5</v>
      </c>
      <c r="C3844" s="6" t="s">
        <v>63</v>
      </c>
      <c r="D3844" s="6" t="s">
        <v>662</v>
      </c>
      <c r="E3844" s="6" t="s">
        <v>552</v>
      </c>
      <c r="F3844" s="6" t="str">
        <f>IF($M3844="PADD I","PADD 1",IF($M3844="PADD II","PADD 2",IF($M3844="PADD III","PADD 3",IF($M3844="PADD IV","PADD 4",IF($M3844="PADD V","PADD 5","")))))</f>
        <v>PADD 3</v>
      </c>
      <c r="G3844" s="6">
        <f>IF(AND($H3844="ATMOS DISTILLATION",ISNUMBER(SEARCH("VPS",$I3844))=FALSE,LEFT($I3844,6)&lt;&gt;"VACUUM"),"CDU",IF($H3844="FLUID CAT CRACKING","FCC",IF(OR($H3844="HYDROCRACKING",$H3844="RESID_HYDROCRACKING"),"Hydrocracker",IF($H3844="REFORMING","Reformer",""))))</f>
        <v/>
      </c>
      <c r="H3844" s="6" t="s">
        <v>43</v>
      </c>
      <c r="I3844" s="6" t="s">
        <v>735</v>
      </c>
      <c r="J3844" s="6" t="s">
        <v>349</v>
      </c>
      <c r="K3844" s="10">
        <v>0.6899999999999999</v>
      </c>
      <c r="L3844" s="10">
        <v>23</v>
      </c>
      <c r="M3844" s="6" t="s">
        <v>371</v>
      </c>
    </row>
    <row r="3845" spans="1:13">
      <c r="A3845" s="6">
        <v>2024</v>
      </c>
      <c r="B3845" s="6">
        <v>5</v>
      </c>
      <c r="C3845" s="6" t="s">
        <v>63</v>
      </c>
      <c r="D3845" s="6" t="s">
        <v>1032</v>
      </c>
      <c r="E3845" s="6" t="s">
        <v>1033</v>
      </c>
      <c r="F3845" s="6" t="str">
        <f>IF($M3845="PADD I","PADD 1",IF($M3845="PADD II","PADD 2",IF($M3845="PADD III","PADD 3",IF($M3845="PADD IV","PADD 4",IF($M3845="PADD V","PADD 5","")))))</f>
        <v>PADD 5</v>
      </c>
      <c r="G3845" s="6">
        <f>IF(AND($H3845="ATMOS DISTILLATION",ISNUMBER(SEARCH("VPS",$I3845))=FALSE,LEFT($I3845,6)&lt;&gt;"VACUUM"),"CDU",IF($H3845="FLUID CAT CRACKING","FCC",IF(OR($H3845="HYDROCRACKING",$H3845="RESID_HYDROCRACKING"),"Hydrocracker",IF($H3845="REFORMING","Reformer",""))))</f>
        <v/>
      </c>
      <c r="H3845" s="6" t="s">
        <v>378</v>
      </c>
      <c r="I3845" s="6" t="s">
        <v>1034</v>
      </c>
      <c r="J3845" s="6" t="s">
        <v>349</v>
      </c>
      <c r="K3845" s="10">
        <v>0.64</v>
      </c>
      <c r="L3845" s="10">
        <v>2</v>
      </c>
      <c r="M3845" s="6" t="s">
        <v>386</v>
      </c>
    </row>
    <row r="3846" spans="1:13">
      <c r="A3846" s="6">
        <v>2024</v>
      </c>
      <c r="B3846" s="6">
        <v>5</v>
      </c>
      <c r="C3846" s="6" t="s">
        <v>63</v>
      </c>
      <c r="D3846" s="6" t="s">
        <v>335</v>
      </c>
      <c r="E3846" s="6" t="s">
        <v>369</v>
      </c>
      <c r="F3846" s="6" t="str">
        <f>IF($M3846="PADD I","PADD 1",IF($M3846="PADD II","PADD 2",IF($M3846="PADD III","PADD 3",IF($M3846="PADD IV","PADD 4",IF($M3846="PADD V","PADD 5","")))))</f>
        <v>PADD 3</v>
      </c>
      <c r="G3846" s="6">
        <f>IF(AND($H3846="ATMOS DISTILLATION",ISNUMBER(SEARCH("VPS",$I3846))=FALSE,LEFT($I3846,6)&lt;&gt;"VACUUM"),"CDU",IF($H3846="FLUID CAT CRACKING","FCC",IF(OR($H3846="HYDROCRACKING",$H3846="RESID_HYDROCRACKING"),"Hydrocracker",IF($H3846="REFORMING","Reformer",""))))</f>
        <v/>
      </c>
      <c r="H3846" s="6" t="s">
        <v>460</v>
      </c>
      <c r="I3846" s="6" t="s">
        <v>1206</v>
      </c>
      <c r="J3846" s="6" t="s">
        <v>349</v>
      </c>
      <c r="K3846" s="10">
        <v>0.6</v>
      </c>
      <c r="L3846" s="10">
        <v>20</v>
      </c>
      <c r="M3846" s="6" t="s">
        <v>371</v>
      </c>
    </row>
    <row r="3847" spans="1:13">
      <c r="A3847" s="6">
        <v>2024</v>
      </c>
      <c r="B3847" s="6">
        <v>5</v>
      </c>
      <c r="C3847" s="6" t="s">
        <v>63</v>
      </c>
      <c r="D3847" s="6" t="s">
        <v>871</v>
      </c>
      <c r="E3847" s="6" t="s">
        <v>872</v>
      </c>
      <c r="F3847" s="6" t="str">
        <f>IF($M3847="PADD I","PADD 1",IF($M3847="PADD II","PADD 2",IF($M3847="PADD III","PADD 3",IF($M3847="PADD IV","PADD 4",IF($M3847="PADD V","PADD 5","")))))</f>
        <v>PADD 4</v>
      </c>
      <c r="G3847" s="6">
        <f>IF(AND($H3847="ATMOS DISTILLATION",ISNUMBER(SEARCH("VPS",$I3847))=FALSE,LEFT($I3847,6)&lt;&gt;"VACUUM"),"CDU",IF($H3847="FLUID CAT CRACKING","FCC",IF(OR($H3847="HYDROCRACKING",$H3847="RESID_HYDROCRACKING"),"Hydrocracker",IF($H3847="REFORMING","Reformer",""))))</f>
        <v/>
      </c>
      <c r="H3847" s="6" t="s">
        <v>568</v>
      </c>
      <c r="I3847" s="6" t="s">
        <v>1202</v>
      </c>
      <c r="J3847" s="6" t="s">
        <v>349</v>
      </c>
      <c r="K3847" s="10">
        <v>0.39</v>
      </c>
      <c r="L3847" s="10">
        <v>1</v>
      </c>
      <c r="M3847" s="6" t="s">
        <v>430</v>
      </c>
    </row>
    <row r="3848" spans="1:13">
      <c r="A3848" s="6">
        <v>2024</v>
      </c>
      <c r="B3848" s="6">
        <v>5</v>
      </c>
      <c r="C3848" s="6" t="s">
        <v>63</v>
      </c>
      <c r="D3848" s="6" t="s">
        <v>632</v>
      </c>
      <c r="E3848" s="6" t="s">
        <v>633</v>
      </c>
      <c r="F3848" s="6" t="str">
        <f>IF($M3848="PADD I","PADD 1",IF($M3848="PADD II","PADD 2",IF($M3848="PADD III","PADD 3",IF($M3848="PADD IV","PADD 4",IF($M3848="PADD V","PADD 5","")))))</f>
        <v>PADD 4</v>
      </c>
      <c r="G3848" s="6" t="str">
        <f>IF(AND($H3848="ATMOS DISTILLATION",ISNUMBER(SEARCH("VPS",$I3848))=FALSE,LEFT($I3848,6)&lt;&gt;"VACUUM"),"CDU",IF($H3848="FLUID CAT CRACKING","FCC",IF(OR($H3848="HYDROCRACKING",$H3848="RESID_HYDROCRACKING"),"Hydrocracker",IF($H3848="REFORMING","Reformer",""))))</f>
        <v>FCC</v>
      </c>
      <c r="H3848" s="6" t="s">
        <v>376</v>
      </c>
      <c r="I3848" s="6" t="s">
        <v>634</v>
      </c>
      <c r="J3848" s="6" t="s">
        <v>345</v>
      </c>
      <c r="K3848" s="10">
        <v>0.375</v>
      </c>
      <c r="L3848" s="10">
        <v>12.5</v>
      </c>
      <c r="M3848" s="6" t="s">
        <v>430</v>
      </c>
    </row>
    <row r="3849" spans="1:13">
      <c r="A3849" s="6">
        <v>2024</v>
      </c>
      <c r="B3849" s="6">
        <v>5</v>
      </c>
      <c r="C3849" s="6" t="s">
        <v>63</v>
      </c>
      <c r="D3849" s="6" t="s">
        <v>662</v>
      </c>
      <c r="E3849" s="6" t="s">
        <v>552</v>
      </c>
      <c r="F3849" s="6" t="str">
        <f>IF($M3849="PADD I","PADD 1",IF($M3849="PADD II","PADD 2",IF($M3849="PADD III","PADD 3",IF($M3849="PADD IV","PADD 4",IF($M3849="PADD V","PADD 5","")))))</f>
        <v>PADD 3</v>
      </c>
      <c r="G3849" s="6">
        <f>IF(AND($H3849="ATMOS DISTILLATION",ISNUMBER(SEARCH("VPS",$I3849))=FALSE,LEFT($I3849,6)&lt;&gt;"VACUUM"),"CDU",IF($H3849="FLUID CAT CRACKING","FCC",IF(OR($H3849="HYDROCRACKING",$H3849="RESID_HYDROCRACKING"),"Hydrocracker",IF($H3849="REFORMING","Reformer",""))))</f>
        <v/>
      </c>
      <c r="H3849" s="6" t="s">
        <v>43</v>
      </c>
      <c r="I3849" s="6" t="s">
        <v>844</v>
      </c>
      <c r="J3849" s="6" t="s">
        <v>345</v>
      </c>
      <c r="K3849" s="10">
        <v>0.36</v>
      </c>
      <c r="L3849" s="10">
        <v>6</v>
      </c>
      <c r="M3849" s="6" t="s">
        <v>371</v>
      </c>
    </row>
    <row r="3850" spans="1:13">
      <c r="A3850" s="6">
        <v>2024</v>
      </c>
      <c r="B3850" s="6">
        <v>5</v>
      </c>
      <c r="C3850" s="6" t="s">
        <v>63</v>
      </c>
      <c r="D3850" s="6" t="s">
        <v>803</v>
      </c>
      <c r="E3850" s="6" t="s">
        <v>388</v>
      </c>
      <c r="F3850" s="6" t="str">
        <f>IF($M3850="PADD I","PADD 1",IF($M3850="PADD II","PADD 2",IF($M3850="PADD III","PADD 3",IF($M3850="PADD IV","PADD 4",IF($M3850="PADD V","PADD 5","")))))</f>
        <v>PADD 2</v>
      </c>
      <c r="G3850" s="6" t="str">
        <f>IF(AND($H3850="ATMOS DISTILLATION",ISNUMBER(SEARCH("VPS",$I3850))=FALSE,LEFT($I3850,6)&lt;&gt;"VACUUM"),"CDU",IF($H3850="FLUID CAT CRACKING","FCC",IF(OR($H3850="HYDROCRACKING",$H3850="RESID_HYDROCRACKING"),"Hydrocracker",IF($H3850="REFORMING","Reformer",""))))</f>
        <v>Reformer</v>
      </c>
      <c r="H3850" s="6" t="s">
        <v>421</v>
      </c>
      <c r="I3850" s="6" t="s">
        <v>559</v>
      </c>
      <c r="J3850" s="6" t="s">
        <v>345</v>
      </c>
      <c r="K3850" s="10">
        <v>0.3375</v>
      </c>
      <c r="L3850" s="10">
        <v>11.25</v>
      </c>
      <c r="M3850" s="6" t="s">
        <v>375</v>
      </c>
    </row>
    <row r="3851" spans="1:13">
      <c r="A3851" s="6">
        <v>2024</v>
      </c>
      <c r="B3851" s="6">
        <v>6</v>
      </c>
      <c r="C3851" s="6" t="s">
        <v>64</v>
      </c>
      <c r="D3851" s="6" t="s">
        <v>333</v>
      </c>
      <c r="E3851" s="6" t="s">
        <v>381</v>
      </c>
      <c r="F3851" s="6" t="str">
        <f>IF($M3851="PADD I","PADD 1",IF($M3851="PADD II","PADD 2",IF($M3851="PADD III","PADD 3",IF($M3851="PADD IV","PADD 4",IF($M3851="PADD V","PADD 5","")))))</f>
        <v>PADD 3</v>
      </c>
      <c r="G3851" s="6" t="str">
        <f>IF(AND($H3851="ATMOS DISTILLATION",ISNUMBER(SEARCH("VPS",$I3851))=FALSE,LEFT($I3851,6)&lt;&gt;"VACUUM"),"CDU",IF($H3851="FLUID CAT CRACKING","FCC",IF(OR($H3851="HYDROCRACKING",$H3851="RESID_HYDROCRACKING"),"Hydrocracker",IF($H3851="REFORMING","Reformer",""))))</f>
        <v>CDU</v>
      </c>
      <c r="H3851" s="6" t="s">
        <v>38</v>
      </c>
      <c r="I3851" s="6" t="s">
        <v>537</v>
      </c>
      <c r="J3851" s="6" t="s">
        <v>349</v>
      </c>
      <c r="K3851" s="10">
        <v>100</v>
      </c>
      <c r="L3851" s="10">
        <v>100</v>
      </c>
      <c r="M3851" s="6" t="s">
        <v>371</v>
      </c>
    </row>
    <row r="3852" spans="1:13">
      <c r="A3852" s="6">
        <v>2024</v>
      </c>
      <c r="B3852" s="6">
        <v>6</v>
      </c>
      <c r="C3852" s="6" t="s">
        <v>64</v>
      </c>
      <c r="D3852" s="6" t="s">
        <v>547</v>
      </c>
      <c r="E3852" s="6" t="s">
        <v>391</v>
      </c>
      <c r="F3852" s="6" t="str">
        <f>IF($M3852="PADD I","PADD 1",IF($M3852="PADD II","PADD 2",IF($M3852="PADD III","PADD 3",IF($M3852="PADD IV","PADD 4",IF($M3852="PADD V","PADD 5","")))))</f>
        <v>PADD 5</v>
      </c>
      <c r="G3852" s="6" t="str">
        <f>IF(AND($H3852="ATMOS DISTILLATION",ISNUMBER(SEARCH("VPS",$I3852))=FALSE,LEFT($I3852,6)&lt;&gt;"VACUUM"),"CDU",IF($H3852="FLUID CAT CRACKING","FCC",IF(OR($H3852="HYDROCRACKING",$H3852="RESID_HYDROCRACKING"),"Hydrocracker",IF($H3852="REFORMING","Reformer",""))))</f>
        <v>FCC</v>
      </c>
      <c r="H3852" s="6" t="s">
        <v>376</v>
      </c>
      <c r="I3852" s="6" t="s">
        <v>105</v>
      </c>
      <c r="J3852" s="6" t="s">
        <v>349</v>
      </c>
      <c r="K3852" s="10">
        <v>80</v>
      </c>
      <c r="L3852" s="10">
        <v>80</v>
      </c>
      <c r="M3852" s="6" t="s">
        <v>386</v>
      </c>
    </row>
    <row r="3853" spans="1:13">
      <c r="A3853" s="6">
        <v>2024</v>
      </c>
      <c r="B3853" s="6">
        <v>6</v>
      </c>
      <c r="C3853" s="6" t="s">
        <v>64</v>
      </c>
      <c r="D3853" s="6" t="s">
        <v>547</v>
      </c>
      <c r="E3853" s="6" t="s">
        <v>391</v>
      </c>
      <c r="F3853" s="6" t="str">
        <f>IF($M3853="PADD I","PADD 1",IF($M3853="PADD II","PADD 2",IF($M3853="PADD III","PADD 3",IF($M3853="PADD IV","PADD 4",IF($M3853="PADD V","PADD 5","")))))</f>
        <v>PADD 5</v>
      </c>
      <c r="G3853" s="6">
        <f>IF(AND($H3853="ATMOS DISTILLATION",ISNUMBER(SEARCH("VPS",$I3853))=FALSE,LEFT($I3853,6)&lt;&gt;"VACUUM"),"CDU",IF($H3853="FLUID CAT CRACKING","FCC",IF(OR($H3853="HYDROCRACKING",$H3853="RESID_HYDROCRACKING"),"Hydrocracker",IF($H3853="REFORMING","Reformer",""))))</f>
        <v/>
      </c>
      <c r="H3853" s="6" t="s">
        <v>43</v>
      </c>
      <c r="I3853" s="6" t="s">
        <v>929</v>
      </c>
      <c r="J3853" s="6" t="s">
        <v>349</v>
      </c>
      <c r="K3853" s="10">
        <v>64.8</v>
      </c>
      <c r="L3853" s="10">
        <v>64.8</v>
      </c>
      <c r="M3853" s="6" t="s">
        <v>386</v>
      </c>
    </row>
    <row r="3854" spans="1:13">
      <c r="A3854" s="6">
        <v>2024</v>
      </c>
      <c r="B3854" s="6">
        <v>6</v>
      </c>
      <c r="C3854" s="6" t="s">
        <v>64</v>
      </c>
      <c r="D3854" s="6" t="s">
        <v>333</v>
      </c>
      <c r="E3854" s="6" t="s">
        <v>381</v>
      </c>
      <c r="F3854" s="6" t="str">
        <f>IF($M3854="PADD I","PADD 1",IF($M3854="PADD II","PADD 2",IF($M3854="PADD III","PADD 3",IF($M3854="PADD IV","PADD 4",IF($M3854="PADD V","PADD 5","")))))</f>
        <v>PADD 3</v>
      </c>
      <c r="G3854" s="6" t="str">
        <f>IF(AND($H3854="ATMOS DISTILLATION",ISNUMBER(SEARCH("VPS",$I3854))=FALSE,LEFT($I3854,6)&lt;&gt;"VACUUM"),"CDU",IF($H3854="FLUID CAT CRACKING","FCC",IF(OR($H3854="HYDROCRACKING",$H3854="RESID_HYDROCRACKING"),"Hydrocracker",IF($H3854="REFORMING","Reformer",""))))</f>
        <v>FCC</v>
      </c>
      <c r="H3854" s="6" t="s">
        <v>376</v>
      </c>
      <c r="I3854" s="6" t="s">
        <v>105</v>
      </c>
      <c r="J3854" s="6" t="s">
        <v>349</v>
      </c>
      <c r="K3854" s="10">
        <v>60</v>
      </c>
      <c r="L3854" s="10">
        <v>60</v>
      </c>
      <c r="M3854" s="6" t="s">
        <v>371</v>
      </c>
    </row>
    <row r="3855" spans="1:13">
      <c r="A3855" s="6">
        <v>2024</v>
      </c>
      <c r="B3855" s="6">
        <v>6</v>
      </c>
      <c r="C3855" s="6" t="s">
        <v>64</v>
      </c>
      <c r="D3855" s="6" t="s">
        <v>1043</v>
      </c>
      <c r="E3855" s="6" t="s">
        <v>388</v>
      </c>
      <c r="F3855" s="6" t="str">
        <f>IF($M3855="PADD I","PADD 1",IF($M3855="PADD II","PADD 2",IF($M3855="PADD III","PADD 3",IF($M3855="PADD IV","PADD 4",IF($M3855="PADD V","PADD 5","")))))</f>
        <v>PADD 2</v>
      </c>
      <c r="G3855" s="6" t="str">
        <f>IF(AND($H3855="ATMOS DISTILLATION",ISNUMBER(SEARCH("VPS",$I3855))=FALSE,LEFT($I3855,6)&lt;&gt;"VACUUM"),"CDU",IF($H3855="FLUID CAT CRACKING","FCC",IF(OR($H3855="HYDROCRACKING",$H3855="RESID_HYDROCRACKING"),"Hydrocracker",IF($H3855="REFORMING","Reformer",""))))</f>
        <v>CDU</v>
      </c>
      <c r="H3855" s="6" t="s">
        <v>38</v>
      </c>
      <c r="I3855" s="6" t="s">
        <v>879</v>
      </c>
      <c r="J3855" s="6" t="s">
        <v>349</v>
      </c>
      <c r="K3855" s="10">
        <v>58.52</v>
      </c>
      <c r="L3855" s="10">
        <v>76</v>
      </c>
      <c r="M3855" s="6" t="s">
        <v>375</v>
      </c>
    </row>
    <row r="3856" spans="1:13">
      <c r="A3856" s="6">
        <v>2024</v>
      </c>
      <c r="B3856" s="6">
        <v>6</v>
      </c>
      <c r="C3856" s="6" t="s">
        <v>64</v>
      </c>
      <c r="D3856" s="6" t="s">
        <v>531</v>
      </c>
      <c r="E3856" s="6" t="s">
        <v>532</v>
      </c>
      <c r="F3856" s="6" t="str">
        <f>IF($M3856="PADD I","PADD 1",IF($M3856="PADD II","PADD 2",IF($M3856="PADD III","PADD 3",IF($M3856="PADD IV","PADD 4",IF($M3856="PADD V","PADD 5","")))))</f>
        <v>PADD 5</v>
      </c>
      <c r="G3856" s="6" t="str">
        <f>IF(AND($H3856="ATMOS DISTILLATION",ISNUMBER(SEARCH("VPS",$I3856))=FALSE,LEFT($I3856,6)&lt;&gt;"VACUUM"),"CDU",IF($H3856="FLUID CAT CRACKING","FCC",IF(OR($H3856="HYDROCRACKING",$H3856="RESID_HYDROCRACKING"),"Hydrocracker",IF($H3856="REFORMING","Reformer",""))))</f>
        <v>FCC</v>
      </c>
      <c r="H3856" s="6" t="s">
        <v>376</v>
      </c>
      <c r="I3856" s="6" t="s">
        <v>105</v>
      </c>
      <c r="J3856" s="6" t="s">
        <v>345</v>
      </c>
      <c r="K3856" s="10">
        <v>54</v>
      </c>
      <c r="L3856" s="10">
        <v>90</v>
      </c>
      <c r="M3856" s="6" t="s">
        <v>386</v>
      </c>
    </row>
    <row r="3857" spans="1:13">
      <c r="A3857" s="6">
        <v>2024</v>
      </c>
      <c r="B3857" s="6">
        <v>6</v>
      </c>
      <c r="C3857" s="6" t="s">
        <v>64</v>
      </c>
      <c r="D3857" s="6" t="s">
        <v>50</v>
      </c>
      <c r="E3857" s="6" t="s">
        <v>381</v>
      </c>
      <c r="F3857" s="6" t="str">
        <f>IF($M3857="PADD I","PADD 1",IF($M3857="PADD II","PADD 2",IF($M3857="PADD III","PADD 3",IF($M3857="PADD IV","PADD 4",IF($M3857="PADD V","PADD 5","")))))</f>
        <v>PADD 3</v>
      </c>
      <c r="G3857" s="6" t="str">
        <f>IF(AND($H3857="ATMOS DISTILLATION",ISNUMBER(SEARCH("VPS",$I3857))=FALSE,LEFT($I3857,6)&lt;&gt;"VACUUM"),"CDU",IF($H3857="FLUID CAT CRACKING","FCC",IF(OR($H3857="HYDROCRACKING",$H3857="RESID_HYDROCRACKING"),"Hydrocracker",IF($H3857="REFORMING","Reformer",""))))</f>
        <v>Reformer</v>
      </c>
      <c r="H3857" s="6" t="s">
        <v>421</v>
      </c>
      <c r="I3857" s="6" t="s">
        <v>1086</v>
      </c>
      <c r="J3857" s="6" t="s">
        <v>345</v>
      </c>
      <c r="K3857" s="10">
        <v>53.01</v>
      </c>
      <c r="L3857" s="10">
        <v>57</v>
      </c>
      <c r="M3857" s="6" t="s">
        <v>371</v>
      </c>
    </row>
    <row r="3858" spans="1:13">
      <c r="A3858" s="6">
        <v>2024</v>
      </c>
      <c r="B3858" s="6">
        <v>6</v>
      </c>
      <c r="C3858" s="6" t="s">
        <v>64</v>
      </c>
      <c r="D3858" s="6" t="s">
        <v>465</v>
      </c>
      <c r="E3858" s="6" t="s">
        <v>369</v>
      </c>
      <c r="F3858" s="6" t="str">
        <f>IF($M3858="PADD I","PADD 1",IF($M3858="PADD II","PADD 2",IF($M3858="PADD III","PADD 3",IF($M3858="PADD IV","PADD 4",IF($M3858="PADD V","PADD 5","")))))</f>
        <v>PADD 5</v>
      </c>
      <c r="G3858" s="6" t="str">
        <f>IF(AND($H3858="ATMOS DISTILLATION",ISNUMBER(SEARCH("VPS",$I3858))=FALSE,LEFT($I3858,6)&lt;&gt;"VACUUM"),"CDU",IF($H3858="FLUID CAT CRACKING","FCC",IF(OR($H3858="HYDROCRACKING",$H3858="RESID_HYDROCRACKING"),"Hydrocracker",IF($H3858="REFORMING","Reformer",""))))</f>
        <v>FCC</v>
      </c>
      <c r="H3858" s="6" t="s">
        <v>376</v>
      </c>
      <c r="I3858" s="6" t="s">
        <v>105</v>
      </c>
      <c r="J3858" s="6" t="s">
        <v>349</v>
      </c>
      <c r="K3858" s="10">
        <v>43.5</v>
      </c>
      <c r="L3858" s="10">
        <v>50</v>
      </c>
      <c r="M3858" s="6" t="s">
        <v>386</v>
      </c>
    </row>
    <row r="3859" spans="1:13">
      <c r="A3859" s="6">
        <v>2024</v>
      </c>
      <c r="B3859" s="6">
        <v>6</v>
      </c>
      <c r="C3859" s="6" t="s">
        <v>64</v>
      </c>
      <c r="D3859" s="6" t="s">
        <v>335</v>
      </c>
      <c r="E3859" s="6" t="s">
        <v>369</v>
      </c>
      <c r="F3859" s="6" t="str">
        <f>IF($M3859="PADD I","PADD 1",IF($M3859="PADD II","PADD 2",IF($M3859="PADD III","PADD 3",IF($M3859="PADD IV","PADD 4",IF($M3859="PADD V","PADD 5","")))))</f>
        <v>PADD 3</v>
      </c>
      <c r="G3859" s="6" t="str">
        <f>IF(AND($H3859="ATMOS DISTILLATION",ISNUMBER(SEARCH("VPS",$I3859))=FALSE,LEFT($I3859,6)&lt;&gt;"VACUUM"),"CDU",IF($H3859="FLUID CAT CRACKING","FCC",IF(OR($H3859="HYDROCRACKING",$H3859="RESID_HYDROCRACKING"),"Hydrocracker",IF($H3859="REFORMING","Reformer",""))))</f>
        <v>CDU</v>
      </c>
      <c r="H3859" s="6" t="s">
        <v>38</v>
      </c>
      <c r="I3859" s="6" t="s">
        <v>729</v>
      </c>
      <c r="J3859" s="6" t="s">
        <v>349</v>
      </c>
      <c r="K3859" s="10">
        <v>42.55</v>
      </c>
      <c r="L3859" s="10">
        <v>185</v>
      </c>
      <c r="M3859" s="6" t="s">
        <v>371</v>
      </c>
    </row>
    <row r="3860" spans="1:13">
      <c r="A3860" s="6">
        <v>2024</v>
      </c>
      <c r="B3860" s="6">
        <v>6</v>
      </c>
      <c r="C3860" s="6" t="s">
        <v>64</v>
      </c>
      <c r="D3860" s="6" t="s">
        <v>387</v>
      </c>
      <c r="E3860" s="6" t="s">
        <v>388</v>
      </c>
      <c r="F3860" s="6" t="str">
        <f>IF($M3860="PADD I","PADD 1",IF($M3860="PADD II","PADD 2",IF($M3860="PADD III","PADD 3",IF($M3860="PADD IV","PADD 4",IF($M3860="PADD V","PADD 5","")))))</f>
        <v>PADD 3</v>
      </c>
      <c r="G3860" s="6" t="str">
        <f>IF(AND($H3860="ATMOS DISTILLATION",ISNUMBER(SEARCH("VPS",$I3860))=FALSE,LEFT($I3860,6)&lt;&gt;"VACUUM"),"CDU",IF($H3860="FLUID CAT CRACKING","FCC",IF(OR($H3860="HYDROCRACKING",$H3860="RESID_HYDROCRACKING"),"Hydrocracker",IF($H3860="REFORMING","Reformer",""))))</f>
        <v>FCC</v>
      </c>
      <c r="H3860" s="6" t="s">
        <v>376</v>
      </c>
      <c r="I3860" s="6" t="s">
        <v>472</v>
      </c>
      <c r="J3860" s="6" t="s">
        <v>345</v>
      </c>
      <c r="K3860" s="10">
        <v>42</v>
      </c>
      <c r="L3860" s="10">
        <v>140</v>
      </c>
      <c r="M3860" s="6" t="s">
        <v>371</v>
      </c>
    </row>
    <row r="3861" spans="1:13">
      <c r="A3861" s="6">
        <v>2024</v>
      </c>
      <c r="B3861" s="6">
        <v>6</v>
      </c>
      <c r="C3861" s="6" t="s">
        <v>64</v>
      </c>
      <c r="D3861" s="6" t="s">
        <v>547</v>
      </c>
      <c r="E3861" s="6" t="s">
        <v>391</v>
      </c>
      <c r="F3861" s="6" t="str">
        <f>IF($M3861="PADD I","PADD 1",IF($M3861="PADD II","PADD 2",IF($M3861="PADD III","PADD 3",IF($M3861="PADD IV","PADD 4",IF($M3861="PADD V","PADD 5","")))))</f>
        <v>PADD 5</v>
      </c>
      <c r="G3861" s="6" t="str">
        <f>IF(AND($H3861="ATMOS DISTILLATION",ISNUMBER(SEARCH("VPS",$I3861))=FALSE,LEFT($I3861,6)&lt;&gt;"VACUUM"),"CDU",IF($H3861="FLUID CAT CRACKING","FCC",IF(OR($H3861="HYDROCRACKING",$H3861="RESID_HYDROCRACKING"),"Hydrocracker",IF($H3861="REFORMING","Reformer",""))))</f>
        <v>Hydrocracker</v>
      </c>
      <c r="H3861" s="6" t="s">
        <v>444</v>
      </c>
      <c r="I3861" s="6" t="s">
        <v>734</v>
      </c>
      <c r="J3861" s="6" t="s">
        <v>345</v>
      </c>
      <c r="K3861" s="10">
        <v>40.92</v>
      </c>
      <c r="L3861" s="10">
        <v>44</v>
      </c>
      <c r="M3861" s="6" t="s">
        <v>386</v>
      </c>
    </row>
    <row r="3862" spans="1:13">
      <c r="A3862" s="6">
        <v>2024</v>
      </c>
      <c r="B3862" s="6">
        <v>6</v>
      </c>
      <c r="C3862" s="6" t="s">
        <v>64</v>
      </c>
      <c r="D3862" s="6" t="s">
        <v>675</v>
      </c>
      <c r="E3862" s="6" t="s">
        <v>452</v>
      </c>
      <c r="F3862" s="6" t="str">
        <f>IF($M3862="PADD I","PADD 1",IF($M3862="PADD II","PADD 2",IF($M3862="PADD III","PADD 3",IF($M3862="PADD IV","PADD 4",IF($M3862="PADD V","PADD 5","")))))</f>
        <v>PADD 2</v>
      </c>
      <c r="G3862" s="6">
        <f>IF(AND($H3862="ATMOS DISTILLATION",ISNUMBER(SEARCH("VPS",$I3862))=FALSE,LEFT($I3862,6)&lt;&gt;"VACUUM"),"CDU",IF($H3862="FLUID CAT CRACKING","FCC",IF(OR($H3862="HYDROCRACKING",$H3862="RESID_HYDROCRACKING"),"Hydrocracker",IF($H3862="REFORMING","Reformer",""))))</f>
        <v/>
      </c>
      <c r="H3862" s="6" t="s">
        <v>43</v>
      </c>
      <c r="I3862" s="6" t="s">
        <v>1142</v>
      </c>
      <c r="J3862" s="6" t="s">
        <v>349</v>
      </c>
      <c r="K3862" s="10">
        <v>39.15</v>
      </c>
      <c r="L3862" s="10">
        <v>45</v>
      </c>
      <c r="M3862" s="6" t="s">
        <v>375</v>
      </c>
    </row>
    <row r="3863" spans="1:13">
      <c r="A3863" s="6">
        <v>2024</v>
      </c>
      <c r="B3863" s="6">
        <v>6</v>
      </c>
      <c r="C3863" s="6" t="s">
        <v>64</v>
      </c>
      <c r="D3863" s="6" t="s">
        <v>675</v>
      </c>
      <c r="E3863" s="6" t="s">
        <v>452</v>
      </c>
      <c r="F3863" s="6" t="str">
        <f>IF($M3863="PADD I","PADD 1",IF($M3863="PADD II","PADD 2",IF($M3863="PADD III","PADD 3",IF($M3863="PADD IV","PADD 4",IF($M3863="PADD V","PADD 5","")))))</f>
        <v>PADD 2</v>
      </c>
      <c r="G3863" s="6">
        <f>IF(AND($H3863="ATMOS DISTILLATION",ISNUMBER(SEARCH("VPS",$I3863))=FALSE,LEFT($I3863,6)&lt;&gt;"VACUUM"),"CDU",IF($H3863="FLUID CAT CRACKING","FCC",IF(OR($H3863="HYDROCRACKING",$H3863="RESID_HYDROCRACKING"),"Hydrocracker",IF($H3863="REFORMING","Reformer",""))))</f>
        <v/>
      </c>
      <c r="H3863" s="6" t="s">
        <v>43</v>
      </c>
      <c r="I3863" s="6" t="s">
        <v>1142</v>
      </c>
      <c r="J3863" s="6" t="s">
        <v>345</v>
      </c>
      <c r="K3863" s="10">
        <v>39.15</v>
      </c>
      <c r="L3863" s="10">
        <v>45</v>
      </c>
      <c r="M3863" s="6" t="s">
        <v>375</v>
      </c>
    </row>
    <row r="3864" spans="1:13">
      <c r="A3864" s="6">
        <v>2024</v>
      </c>
      <c r="B3864" s="6">
        <v>6</v>
      </c>
      <c r="C3864" s="6" t="s">
        <v>64</v>
      </c>
      <c r="D3864" s="6" t="s">
        <v>822</v>
      </c>
      <c r="E3864" s="6" t="s">
        <v>416</v>
      </c>
      <c r="F3864" s="6" t="str">
        <f>IF($M3864="PADD I","PADD 1",IF($M3864="PADD II","PADD 2",IF($M3864="PADD III","PADD 3",IF($M3864="PADD IV","PADD 4",IF($M3864="PADD V","PADD 5","")))))</f>
        <v>PADD 3</v>
      </c>
      <c r="G3864" s="6">
        <f>IF(AND($H3864="ATMOS DISTILLATION",ISNUMBER(SEARCH("VPS",$I3864))=FALSE,LEFT($I3864,6)&lt;&gt;"VACUUM"),"CDU",IF($H3864="FLUID CAT CRACKING","FCC",IF(OR($H3864="HYDROCRACKING",$H3864="RESID_HYDROCRACKING"),"Hydrocracker",IF($H3864="REFORMING","Reformer",""))))</f>
        <v/>
      </c>
      <c r="H3864" s="6" t="s">
        <v>43</v>
      </c>
      <c r="I3864" s="6" t="s">
        <v>823</v>
      </c>
      <c r="J3864" s="6" t="s">
        <v>349</v>
      </c>
      <c r="K3864" s="10">
        <v>38.5</v>
      </c>
      <c r="L3864" s="10">
        <v>50</v>
      </c>
      <c r="M3864" s="6" t="s">
        <v>371</v>
      </c>
    </row>
    <row r="3865" spans="1:13">
      <c r="A3865" s="6">
        <v>2024</v>
      </c>
      <c r="B3865" s="6">
        <v>6</v>
      </c>
      <c r="C3865" s="6" t="s">
        <v>64</v>
      </c>
      <c r="D3865" s="6" t="s">
        <v>390</v>
      </c>
      <c r="E3865" s="6" t="s">
        <v>391</v>
      </c>
      <c r="F3865" s="6" t="str">
        <f>IF($M3865="PADD I","PADD 1",IF($M3865="PADD II","PADD 2",IF($M3865="PADD III","PADD 3",IF($M3865="PADD IV","PADD 4",IF($M3865="PADD V","PADD 5","")))))</f>
        <v>PADD 3</v>
      </c>
      <c r="G3865" s="6" t="str">
        <f>IF(AND($H3865="ATMOS DISTILLATION",ISNUMBER(SEARCH("VPS",$I3865))=FALSE,LEFT($I3865,6)&lt;&gt;"VACUUM"),"CDU",IF($H3865="FLUID CAT CRACKING","FCC",IF(OR($H3865="HYDROCRACKING",$H3865="RESID_HYDROCRACKING"),"Hydrocracker",IF($H3865="REFORMING","Reformer",""))))</f>
        <v>Reformer</v>
      </c>
      <c r="H3865" s="6" t="s">
        <v>421</v>
      </c>
      <c r="I3865" s="6" t="s">
        <v>1117</v>
      </c>
      <c r="J3865" s="6" t="s">
        <v>345</v>
      </c>
      <c r="K3865" s="10">
        <v>36.85</v>
      </c>
      <c r="L3865" s="10">
        <v>55</v>
      </c>
      <c r="M3865" s="6" t="s">
        <v>371</v>
      </c>
    </row>
    <row r="3866" spans="1:13">
      <c r="A3866" s="6">
        <v>2024</v>
      </c>
      <c r="B3866" s="6">
        <v>6</v>
      </c>
      <c r="C3866" s="6" t="s">
        <v>64</v>
      </c>
      <c r="D3866" s="6" t="s">
        <v>646</v>
      </c>
      <c r="E3866" s="6" t="s">
        <v>405</v>
      </c>
      <c r="F3866" s="6" t="str">
        <f>IF($M3866="PADD I","PADD 1",IF($M3866="PADD II","PADD 2",IF($M3866="PADD III","PADD 3",IF($M3866="PADD IV","PADD 4",IF($M3866="PADD V","PADD 5","")))))</f>
        <v>PADD 3</v>
      </c>
      <c r="G3866" s="6">
        <f>IF(AND($H3866="ATMOS DISTILLATION",ISNUMBER(SEARCH("VPS",$I3866))=FALSE,LEFT($I3866,6)&lt;&gt;"VACUUM"),"CDU",IF($H3866="FLUID CAT CRACKING","FCC",IF(OR($H3866="HYDROCRACKING",$H3866="RESID_HYDROCRACKING"),"Hydrocracker",IF($H3866="REFORMING","Reformer",""))))</f>
        <v/>
      </c>
      <c r="H3866" s="6" t="s">
        <v>43</v>
      </c>
      <c r="I3866" s="6" t="s">
        <v>647</v>
      </c>
      <c r="J3866" s="6" t="s">
        <v>345</v>
      </c>
      <c r="K3866" s="10">
        <v>36</v>
      </c>
      <c r="L3866" s="10">
        <v>45</v>
      </c>
      <c r="M3866" s="6" t="s">
        <v>371</v>
      </c>
    </row>
    <row r="3867" spans="1:13">
      <c r="A3867" s="6">
        <v>2024</v>
      </c>
      <c r="B3867" s="6">
        <v>6</v>
      </c>
      <c r="C3867" s="6" t="s">
        <v>64</v>
      </c>
      <c r="D3867" s="6" t="s">
        <v>446</v>
      </c>
      <c r="E3867" s="6" t="s">
        <v>391</v>
      </c>
      <c r="F3867" s="6" t="str">
        <f>IF($M3867="PADD I","PADD 1",IF($M3867="PADD II","PADD 2",IF($M3867="PADD III","PADD 3",IF($M3867="PADD IV","PADD 4",IF($M3867="PADD V","PADD 5","")))))</f>
        <v>PADD 3</v>
      </c>
      <c r="G3867" s="6">
        <f>IF(AND($H3867="ATMOS DISTILLATION",ISNUMBER(SEARCH("VPS",$I3867))=FALSE,LEFT($I3867,6)&lt;&gt;"VACUUM"),"CDU",IF($H3867="FLUID CAT CRACKING","FCC",IF(OR($H3867="HYDROCRACKING",$H3867="RESID_HYDROCRACKING"),"Hydrocracker",IF($H3867="REFORMING","Reformer",""))))</f>
        <v/>
      </c>
      <c r="H3867" s="6" t="s">
        <v>43</v>
      </c>
      <c r="I3867" s="6" t="s">
        <v>447</v>
      </c>
      <c r="J3867" s="6" t="s">
        <v>349</v>
      </c>
      <c r="K3867" s="10">
        <v>35</v>
      </c>
      <c r="L3867" s="10">
        <v>35</v>
      </c>
      <c r="M3867" s="6" t="s">
        <v>371</v>
      </c>
    </row>
    <row r="3868" spans="1:13">
      <c r="A3868" s="6">
        <v>2024</v>
      </c>
      <c r="B3868" s="6">
        <v>6</v>
      </c>
      <c r="C3868" s="6" t="s">
        <v>64</v>
      </c>
      <c r="D3868" s="6" t="s">
        <v>448</v>
      </c>
      <c r="E3868" s="6" t="s">
        <v>391</v>
      </c>
      <c r="F3868" s="6" t="str">
        <f>IF($M3868="PADD I","PADD 1",IF($M3868="PADD II","PADD 2",IF($M3868="PADD III","PADD 3",IF($M3868="PADD IV","PADD 4",IF($M3868="PADD V","PADD 5","")))))</f>
        <v>PADD 3</v>
      </c>
      <c r="G3868" s="6">
        <f>IF(AND($H3868="ATMOS DISTILLATION",ISNUMBER(SEARCH("VPS",$I3868))=FALSE,LEFT($I3868,6)&lt;&gt;"VACUUM"),"CDU",IF($H3868="FLUID CAT CRACKING","FCC",IF(OR($H3868="HYDROCRACKING",$H3868="RESID_HYDROCRACKING"),"Hydrocracker",IF($H3868="REFORMING","Reformer",""))))</f>
        <v/>
      </c>
      <c r="H3868" s="6" t="s">
        <v>43</v>
      </c>
      <c r="I3868" s="6" t="s">
        <v>449</v>
      </c>
      <c r="J3868" s="6" t="s">
        <v>345</v>
      </c>
      <c r="K3868" s="10">
        <v>35</v>
      </c>
      <c r="L3868" s="10">
        <v>35</v>
      </c>
      <c r="M3868" s="6" t="s">
        <v>371</v>
      </c>
    </row>
    <row r="3869" spans="1:13">
      <c r="A3869" s="6">
        <v>2024</v>
      </c>
      <c r="B3869" s="6">
        <v>6</v>
      </c>
      <c r="C3869" s="6" t="s">
        <v>64</v>
      </c>
      <c r="D3869" s="6" t="s">
        <v>822</v>
      </c>
      <c r="E3869" s="6" t="s">
        <v>416</v>
      </c>
      <c r="F3869" s="6" t="str">
        <f>IF($M3869="PADD I","PADD 1",IF($M3869="PADD II","PADD 2",IF($M3869="PADD III","PADD 3",IF($M3869="PADD IV","PADD 4",IF($M3869="PADD V","PADD 5","")))))</f>
        <v>PADD 3</v>
      </c>
      <c r="G3869" s="6">
        <f>IF(AND($H3869="ATMOS DISTILLATION",ISNUMBER(SEARCH("VPS",$I3869))=FALSE,LEFT($I3869,6)&lt;&gt;"VACUUM"),"CDU",IF($H3869="FLUID CAT CRACKING","FCC",IF(OR($H3869="HYDROCRACKING",$H3869="RESID_HYDROCRACKING"),"Hydrocracker",IF($H3869="REFORMING","Reformer",""))))</f>
        <v/>
      </c>
      <c r="H3869" s="6" t="s">
        <v>43</v>
      </c>
      <c r="I3869" s="6" t="s">
        <v>520</v>
      </c>
      <c r="J3869" s="6" t="s">
        <v>349</v>
      </c>
      <c r="K3869" s="10">
        <v>34.65</v>
      </c>
      <c r="L3869" s="10">
        <v>45</v>
      </c>
      <c r="M3869" s="6" t="s">
        <v>371</v>
      </c>
    </row>
    <row r="3870" spans="1:13">
      <c r="A3870" s="6">
        <v>2024</v>
      </c>
      <c r="B3870" s="6">
        <v>6</v>
      </c>
      <c r="C3870" s="6" t="s">
        <v>64</v>
      </c>
      <c r="D3870" s="6" t="s">
        <v>822</v>
      </c>
      <c r="E3870" s="6" t="s">
        <v>416</v>
      </c>
      <c r="F3870" s="6" t="str">
        <f>IF($M3870="PADD I","PADD 1",IF($M3870="PADD II","PADD 2",IF($M3870="PADD III","PADD 3",IF($M3870="PADD IV","PADD 4",IF($M3870="PADD V","PADD 5","")))))</f>
        <v>PADD 3</v>
      </c>
      <c r="G3870" s="6">
        <f>IF(AND($H3870="ATMOS DISTILLATION",ISNUMBER(SEARCH("VPS",$I3870))=FALSE,LEFT($I3870,6)&lt;&gt;"VACUUM"),"CDU",IF($H3870="FLUID CAT CRACKING","FCC",IF(OR($H3870="HYDROCRACKING",$H3870="RESID_HYDROCRACKING"),"Hydrocracker",IF($H3870="REFORMING","Reformer",""))))</f>
        <v/>
      </c>
      <c r="H3870" s="6" t="s">
        <v>435</v>
      </c>
      <c r="I3870" s="6" t="s">
        <v>441</v>
      </c>
      <c r="J3870" s="6" t="s">
        <v>349</v>
      </c>
      <c r="K3870" s="10">
        <v>33.88</v>
      </c>
      <c r="L3870" s="10">
        <v>44</v>
      </c>
      <c r="M3870" s="6" t="s">
        <v>371</v>
      </c>
    </row>
    <row r="3871" spans="1:13">
      <c r="A3871" s="6">
        <v>2024</v>
      </c>
      <c r="B3871" s="6">
        <v>6</v>
      </c>
      <c r="C3871" s="6" t="s">
        <v>64</v>
      </c>
      <c r="D3871" s="6" t="s">
        <v>51</v>
      </c>
      <c r="E3871" s="6" t="s">
        <v>391</v>
      </c>
      <c r="F3871" s="6" t="str">
        <f>IF($M3871="PADD I","PADD 1",IF($M3871="PADD II","PADD 2",IF($M3871="PADD III","PADD 3",IF($M3871="PADD IV","PADD 4",IF($M3871="PADD V","PADD 5","")))))</f>
        <v>PADD 5</v>
      </c>
      <c r="G3871" s="6">
        <f>IF(AND($H3871="ATMOS DISTILLATION",ISNUMBER(SEARCH("VPS",$I3871))=FALSE,LEFT($I3871,6)&lt;&gt;"VACUUM"),"CDU",IF($H3871="FLUID CAT CRACKING","FCC",IF(OR($H3871="HYDROCRACKING",$H3871="RESID_HYDROCRACKING"),"Hydrocracker",IF($H3871="REFORMING","Reformer",""))))</f>
        <v/>
      </c>
      <c r="H3871" s="6" t="s">
        <v>43</v>
      </c>
      <c r="I3871" s="6" t="s">
        <v>859</v>
      </c>
      <c r="J3871" s="6" t="s">
        <v>349</v>
      </c>
      <c r="K3871" s="10">
        <v>33.2</v>
      </c>
      <c r="L3871" s="10">
        <v>40</v>
      </c>
      <c r="M3871" s="6" t="s">
        <v>386</v>
      </c>
    </row>
    <row r="3872" spans="1:13">
      <c r="A3872" s="6">
        <v>2024</v>
      </c>
      <c r="B3872" s="6">
        <v>6</v>
      </c>
      <c r="C3872" s="6" t="s">
        <v>64</v>
      </c>
      <c r="D3872" s="6" t="s">
        <v>612</v>
      </c>
      <c r="E3872" s="6" t="s">
        <v>416</v>
      </c>
      <c r="F3872" s="6" t="str">
        <f>IF($M3872="PADD I","PADD 1",IF($M3872="PADD II","PADD 2",IF($M3872="PADD III","PADD 3",IF($M3872="PADD IV","PADD 4",IF($M3872="PADD V","PADD 5","")))))</f>
        <v>PADD 3</v>
      </c>
      <c r="G3872" s="6">
        <f>IF(AND($H3872="ATMOS DISTILLATION",ISNUMBER(SEARCH("VPS",$I3872))=FALSE,LEFT($I3872,6)&lt;&gt;"VACUUM"),"CDU",IF($H3872="FLUID CAT CRACKING","FCC",IF(OR($H3872="HYDROCRACKING",$H3872="RESID_HYDROCRACKING"),"Hydrocracker",IF($H3872="REFORMING","Reformer",""))))</f>
        <v/>
      </c>
      <c r="H3872" s="6" t="s">
        <v>435</v>
      </c>
      <c r="I3872" s="6" t="s">
        <v>441</v>
      </c>
      <c r="J3872" s="6" t="s">
        <v>345</v>
      </c>
      <c r="K3872" s="10">
        <v>32.12</v>
      </c>
      <c r="L3872" s="10">
        <v>44</v>
      </c>
      <c r="M3872" s="6" t="s">
        <v>371</v>
      </c>
    </row>
    <row r="3873" spans="1:13">
      <c r="A3873" s="6">
        <v>2024</v>
      </c>
      <c r="B3873" s="6">
        <v>6</v>
      </c>
      <c r="C3873" s="6" t="s">
        <v>64</v>
      </c>
      <c r="D3873" s="6" t="s">
        <v>457</v>
      </c>
      <c r="E3873" s="6" t="s">
        <v>388</v>
      </c>
      <c r="F3873" s="6" t="str">
        <f>IF($M3873="PADD I","PADD 1",IF($M3873="PADD II","PADD 2",IF($M3873="PADD III","PADD 3",IF($M3873="PADD IV","PADD 4",IF($M3873="PADD V","PADD 5","")))))</f>
        <v>PADD 5</v>
      </c>
      <c r="G3873" s="6" t="str">
        <f>IF(AND($H3873="ATMOS DISTILLATION",ISNUMBER(SEARCH("VPS",$I3873))=FALSE,LEFT($I3873,6)&lt;&gt;"VACUUM"),"CDU",IF($H3873="FLUID CAT CRACKING","FCC",IF(OR($H3873="HYDROCRACKING",$H3873="RESID_HYDROCRACKING"),"Hydrocracker",IF($H3873="REFORMING","Reformer",""))))</f>
        <v>CDU</v>
      </c>
      <c r="H3873" s="6" t="s">
        <v>38</v>
      </c>
      <c r="I3873" s="6" t="s">
        <v>131</v>
      </c>
      <c r="J3873" s="6" t="s">
        <v>345</v>
      </c>
      <c r="K3873" s="10">
        <v>32</v>
      </c>
      <c r="L3873" s="10">
        <v>160</v>
      </c>
      <c r="M3873" s="6" t="s">
        <v>386</v>
      </c>
    </row>
    <row r="3874" spans="1:13">
      <c r="A3874" s="6">
        <v>2024</v>
      </c>
      <c r="B3874" s="6">
        <v>6</v>
      </c>
      <c r="C3874" s="6" t="s">
        <v>64</v>
      </c>
      <c r="D3874" s="6" t="s">
        <v>834</v>
      </c>
      <c r="E3874" s="6" t="s">
        <v>405</v>
      </c>
      <c r="F3874" s="6" t="str">
        <f>IF($M3874="PADD I","PADD 1",IF($M3874="PADD II","PADD 2",IF($M3874="PADD III","PADD 3",IF($M3874="PADD IV","PADD 4",IF($M3874="PADD V","PADD 5","")))))</f>
        <v>PADD 3</v>
      </c>
      <c r="G3874" s="6">
        <f>IF(AND($H3874="ATMOS DISTILLATION",ISNUMBER(SEARCH("VPS",$I3874))=FALSE,LEFT($I3874,6)&lt;&gt;"VACUUM"),"CDU",IF($H3874="FLUID CAT CRACKING","FCC",IF(OR($H3874="HYDROCRACKING",$H3874="RESID_HYDROCRACKING"),"Hydrocracker",IF($H3874="REFORMING","Reformer",""))))</f>
        <v/>
      </c>
      <c r="H3874" s="6" t="s">
        <v>43</v>
      </c>
      <c r="I3874" s="6" t="s">
        <v>449</v>
      </c>
      <c r="J3874" s="6" t="s">
        <v>345</v>
      </c>
      <c r="K3874" s="10">
        <v>31.5</v>
      </c>
      <c r="L3874" s="10">
        <v>50</v>
      </c>
      <c r="M3874" s="6" t="s">
        <v>371</v>
      </c>
    </row>
    <row r="3875" spans="1:13">
      <c r="A3875" s="6">
        <v>2024</v>
      </c>
      <c r="B3875" s="6">
        <v>6</v>
      </c>
      <c r="C3875" s="6" t="s">
        <v>64</v>
      </c>
      <c r="D3875" s="6" t="s">
        <v>457</v>
      </c>
      <c r="E3875" s="6" t="s">
        <v>388</v>
      </c>
      <c r="F3875" s="6" t="str">
        <f>IF($M3875="PADD I","PADD 1",IF($M3875="PADD II","PADD 2",IF($M3875="PADD III","PADD 3",IF($M3875="PADD IV","PADD 4",IF($M3875="PADD V","PADD 5","")))))</f>
        <v>PADD 5</v>
      </c>
      <c r="G3875" s="6" t="str">
        <f>IF(AND($H3875="ATMOS DISTILLATION",ISNUMBER(SEARCH("VPS",$I3875))=FALSE,LEFT($I3875,6)&lt;&gt;"VACUUM"),"CDU",IF($H3875="FLUID CAT CRACKING","FCC",IF(OR($H3875="HYDROCRACKING",$H3875="RESID_HYDROCRACKING"),"Hydrocracker",IF($H3875="REFORMING","Reformer",""))))</f>
        <v>CDU</v>
      </c>
      <c r="H3875" s="6" t="s">
        <v>38</v>
      </c>
      <c r="I3875" s="6" t="s">
        <v>131</v>
      </c>
      <c r="J3875" s="6" t="s">
        <v>345</v>
      </c>
      <c r="K3875" s="10">
        <v>29.75</v>
      </c>
      <c r="L3875" s="10">
        <v>175</v>
      </c>
      <c r="M3875" s="6" t="s">
        <v>386</v>
      </c>
    </row>
    <row r="3876" spans="1:13">
      <c r="A3876" s="6">
        <v>2024</v>
      </c>
      <c r="B3876" s="6">
        <v>6</v>
      </c>
      <c r="C3876" s="6" t="s">
        <v>64</v>
      </c>
      <c r="D3876" s="6" t="s">
        <v>398</v>
      </c>
      <c r="E3876" s="6" t="s">
        <v>399</v>
      </c>
      <c r="F3876" s="6" t="str">
        <f>IF($M3876="PADD I","PADD 1",IF($M3876="PADD II","PADD 2",IF($M3876="PADD III","PADD 3",IF($M3876="PADD IV","PADD 4",IF($M3876="PADD V","PADD 5","")))))</f>
        <v>PADD 3</v>
      </c>
      <c r="G3876" s="6" t="str">
        <f>IF(AND($H3876="ATMOS DISTILLATION",ISNUMBER(SEARCH("VPS",$I3876))=FALSE,LEFT($I3876,6)&lt;&gt;"VACUUM"),"CDU",IF($H3876="FLUID CAT CRACKING","FCC",IF(OR($H3876="HYDROCRACKING",$H3876="RESID_HYDROCRACKING"),"Hydrocracker",IF($H3876="REFORMING","Reformer",""))))</f>
        <v>CDU</v>
      </c>
      <c r="H3876" s="6" t="s">
        <v>38</v>
      </c>
      <c r="I3876" s="6" t="s">
        <v>475</v>
      </c>
      <c r="J3876" s="6" t="s">
        <v>345</v>
      </c>
      <c r="K3876" s="10">
        <v>29.4</v>
      </c>
      <c r="L3876" s="10">
        <v>147</v>
      </c>
      <c r="M3876" s="6" t="s">
        <v>371</v>
      </c>
    </row>
    <row r="3877" spans="1:13">
      <c r="A3877" s="6">
        <v>2024</v>
      </c>
      <c r="B3877" s="6">
        <v>6</v>
      </c>
      <c r="C3877" s="6" t="s">
        <v>64</v>
      </c>
      <c r="D3877" s="6" t="s">
        <v>526</v>
      </c>
      <c r="E3877" s="6" t="s">
        <v>405</v>
      </c>
      <c r="F3877" s="6" t="str">
        <f>IF($M3877="PADD I","PADD 1",IF($M3877="PADD II","PADD 2",IF($M3877="PADD III","PADD 3",IF($M3877="PADD IV","PADD 4",IF($M3877="PADD V","PADD 5","")))))</f>
        <v>PADD 3</v>
      </c>
      <c r="G3877" s="6">
        <f>IF(AND($H3877="ATMOS DISTILLATION",ISNUMBER(SEARCH("VPS",$I3877))=FALSE,LEFT($I3877,6)&lt;&gt;"VACUUM"),"CDU",IF($H3877="FLUID CAT CRACKING","FCC",IF(OR($H3877="HYDROCRACKING",$H3877="RESID_HYDROCRACKING"),"Hydrocracker",IF($H3877="REFORMING","Reformer",""))))</f>
        <v/>
      </c>
      <c r="H3877" s="6" t="s">
        <v>43</v>
      </c>
      <c r="I3877" s="6" t="s">
        <v>1089</v>
      </c>
      <c r="J3877" s="6" t="s">
        <v>349</v>
      </c>
      <c r="K3877" s="10">
        <v>27.09</v>
      </c>
      <c r="L3877" s="10">
        <v>43</v>
      </c>
      <c r="M3877" s="6" t="s">
        <v>371</v>
      </c>
    </row>
    <row r="3878" spans="1:13">
      <c r="A3878" s="6">
        <v>2024</v>
      </c>
      <c r="B3878" s="6">
        <v>6</v>
      </c>
      <c r="C3878" s="6" t="s">
        <v>64</v>
      </c>
      <c r="D3878" s="6" t="s">
        <v>742</v>
      </c>
      <c r="E3878" s="6" t="s">
        <v>388</v>
      </c>
      <c r="F3878" s="6" t="str">
        <f>IF($M3878="PADD I","PADD 1",IF($M3878="PADD II","PADD 2",IF($M3878="PADD III","PADD 3",IF($M3878="PADD IV","PADD 4",IF($M3878="PADD V","PADD 5","")))))</f>
        <v>PADD 5</v>
      </c>
      <c r="G3878" s="6">
        <f>IF(AND($H3878="ATMOS DISTILLATION",ISNUMBER(SEARCH("VPS",$I3878))=FALSE,LEFT($I3878,6)&lt;&gt;"VACUUM"),"CDU",IF($H3878="FLUID CAT CRACKING","FCC",IF(OR($H3878="HYDROCRACKING",$H3878="RESID_HYDROCRACKING"),"Hydrocracker",IF($H3878="REFORMING","Reformer",""))))</f>
        <v/>
      </c>
      <c r="H3878" s="6" t="s">
        <v>43</v>
      </c>
      <c r="I3878" s="6" t="s">
        <v>912</v>
      </c>
      <c r="J3878" s="6" t="s">
        <v>345</v>
      </c>
      <c r="K3878" s="10">
        <v>25.6</v>
      </c>
      <c r="L3878" s="10">
        <v>32</v>
      </c>
      <c r="M3878" s="6" t="s">
        <v>386</v>
      </c>
    </row>
    <row r="3879" spans="1:13">
      <c r="A3879" s="6">
        <v>2024</v>
      </c>
      <c r="B3879" s="6">
        <v>6</v>
      </c>
      <c r="C3879" s="6" t="s">
        <v>64</v>
      </c>
      <c r="D3879" s="6" t="s">
        <v>490</v>
      </c>
      <c r="E3879" s="6" t="s">
        <v>491</v>
      </c>
      <c r="F3879" s="6" t="str">
        <f>IF($M3879="PADD I","PADD 1",IF($M3879="PADD II","PADD 2",IF($M3879="PADD III","PADD 3",IF($M3879="PADD IV","PADD 4",IF($M3879="PADD V","PADD 5","")))))</f>
        <v>PADD 3</v>
      </c>
      <c r="G3879" s="6" t="str">
        <f>IF(AND($H3879="ATMOS DISTILLATION",ISNUMBER(SEARCH("VPS",$I3879))=FALSE,LEFT($I3879,6)&lt;&gt;"VACUUM"),"CDU",IF($H3879="FLUID CAT CRACKING","FCC",IF(OR($H3879="HYDROCRACKING",$H3879="RESID_HYDROCRACKING"),"Hydrocracker",IF($H3879="REFORMING","Reformer",""))))</f>
        <v>Reformer</v>
      </c>
      <c r="H3879" s="6" t="s">
        <v>421</v>
      </c>
      <c r="I3879" s="6" t="s">
        <v>1082</v>
      </c>
      <c r="J3879" s="6" t="s">
        <v>345</v>
      </c>
      <c r="K3879" s="10">
        <v>25.5</v>
      </c>
      <c r="L3879" s="10">
        <v>85</v>
      </c>
      <c r="M3879" s="6" t="s">
        <v>371</v>
      </c>
    </row>
    <row r="3880" spans="1:13">
      <c r="A3880" s="6">
        <v>2024</v>
      </c>
      <c r="B3880" s="6">
        <v>6</v>
      </c>
      <c r="C3880" s="6" t="s">
        <v>64</v>
      </c>
      <c r="D3880" s="6" t="s">
        <v>335</v>
      </c>
      <c r="E3880" s="6" t="s">
        <v>369</v>
      </c>
      <c r="F3880" s="6" t="str">
        <f>IF($M3880="PADD I","PADD 1",IF($M3880="PADD II","PADD 2",IF($M3880="PADD III","PADD 3",IF($M3880="PADD IV","PADD 4",IF($M3880="PADD V","PADD 5","")))))</f>
        <v>PADD 3</v>
      </c>
      <c r="G3880" s="6">
        <f>IF(AND($H3880="ATMOS DISTILLATION",ISNUMBER(SEARCH("VPS",$I3880))=FALSE,LEFT($I3880,6)&lt;&gt;"VACUUM"),"CDU",IF($H3880="FLUID CAT CRACKING","FCC",IF(OR($H3880="HYDROCRACKING",$H3880="RESID_HYDROCRACKING"),"Hydrocracker",IF($H3880="REFORMING","Reformer",""))))</f>
        <v/>
      </c>
      <c r="H3880" s="6" t="s">
        <v>43</v>
      </c>
      <c r="I3880" s="6" t="s">
        <v>1204</v>
      </c>
      <c r="J3880" s="6" t="s">
        <v>349</v>
      </c>
      <c r="K3880" s="10">
        <v>24.61</v>
      </c>
      <c r="L3880" s="10">
        <v>107</v>
      </c>
      <c r="M3880" s="6" t="s">
        <v>371</v>
      </c>
    </row>
    <row r="3881" spans="1:13">
      <c r="A3881" s="6">
        <v>2024</v>
      </c>
      <c r="B3881" s="6">
        <v>6</v>
      </c>
      <c r="C3881" s="6" t="s">
        <v>64</v>
      </c>
      <c r="D3881" s="6" t="s">
        <v>50</v>
      </c>
      <c r="E3881" s="6" t="s">
        <v>381</v>
      </c>
      <c r="F3881" s="6" t="str">
        <f>IF($M3881="PADD I","PADD 1",IF($M3881="PADD II","PADD 2",IF($M3881="PADD III","PADD 3",IF($M3881="PADD IV","PADD 4",IF($M3881="PADD V","PADD 5","")))))</f>
        <v>PADD 3</v>
      </c>
      <c r="G3881" s="6" t="str">
        <f>IF(AND($H3881="ATMOS DISTILLATION",ISNUMBER(SEARCH("VPS",$I3881))=FALSE,LEFT($I3881,6)&lt;&gt;"VACUUM"),"CDU",IF($H3881="FLUID CAT CRACKING","FCC",IF(OR($H3881="HYDROCRACKING",$H3881="RESID_HYDROCRACKING"),"Hydrocracker",IF($H3881="REFORMING","Reformer",""))))</f>
        <v>Hydrocracker</v>
      </c>
      <c r="H3881" s="6" t="s">
        <v>444</v>
      </c>
      <c r="I3881" s="6" t="s">
        <v>1195</v>
      </c>
      <c r="J3881" s="6" t="s">
        <v>349</v>
      </c>
      <c r="K3881" s="10">
        <v>23.25</v>
      </c>
      <c r="L3881" s="10">
        <v>25</v>
      </c>
      <c r="M3881" s="6" t="s">
        <v>371</v>
      </c>
    </row>
    <row r="3882" spans="1:13">
      <c r="A3882" s="6">
        <v>2024</v>
      </c>
      <c r="B3882" s="6">
        <v>6</v>
      </c>
      <c r="C3882" s="6" t="s">
        <v>64</v>
      </c>
      <c r="D3882" s="6" t="s">
        <v>822</v>
      </c>
      <c r="E3882" s="6" t="s">
        <v>416</v>
      </c>
      <c r="F3882" s="6" t="str">
        <f>IF($M3882="PADD I","PADD 1",IF($M3882="PADD II","PADD 2",IF($M3882="PADD III","PADD 3",IF($M3882="PADD IV","PADD 4",IF($M3882="PADD V","PADD 5","")))))</f>
        <v>PADD 3</v>
      </c>
      <c r="G3882" s="6" t="str">
        <f>IF(AND($H3882="ATMOS DISTILLATION",ISNUMBER(SEARCH("VPS",$I3882))=FALSE,LEFT($I3882,6)&lt;&gt;"VACUUM"),"CDU",IF($H3882="FLUID CAT CRACKING","FCC",IF(OR($H3882="HYDROCRACKING",$H3882="RESID_HYDROCRACKING"),"Hydrocracker",IF($H3882="REFORMING","Reformer",""))))</f>
        <v>Reformer</v>
      </c>
      <c r="H3882" s="6" t="s">
        <v>421</v>
      </c>
      <c r="I3882" s="6" t="s">
        <v>826</v>
      </c>
      <c r="J3882" s="6" t="s">
        <v>349</v>
      </c>
      <c r="K3882" s="10">
        <v>23.1</v>
      </c>
      <c r="L3882" s="10">
        <v>30</v>
      </c>
      <c r="M3882" s="6" t="s">
        <v>371</v>
      </c>
    </row>
    <row r="3883" spans="1:13">
      <c r="A3883" s="6">
        <v>2024</v>
      </c>
      <c r="B3883" s="6">
        <v>6</v>
      </c>
      <c r="C3883" s="6" t="s">
        <v>64</v>
      </c>
      <c r="D3883" s="6" t="s">
        <v>822</v>
      </c>
      <c r="E3883" s="6" t="s">
        <v>416</v>
      </c>
      <c r="F3883" s="6" t="str">
        <f>IF($M3883="PADD I","PADD 1",IF($M3883="PADD II","PADD 2",IF($M3883="PADD III","PADD 3",IF($M3883="PADD IV","PADD 4",IF($M3883="PADD V","PADD 5","")))))</f>
        <v>PADD 3</v>
      </c>
      <c r="G3883" s="6">
        <f>IF(AND($H3883="ATMOS DISTILLATION",ISNUMBER(SEARCH("VPS",$I3883))=FALSE,LEFT($I3883,6)&lt;&gt;"VACUUM"),"CDU",IF($H3883="FLUID CAT CRACKING","FCC",IF(OR($H3883="HYDROCRACKING",$H3883="RESID_HYDROCRACKING"),"Hydrocracker",IF($H3883="REFORMING","Reformer",""))))</f>
        <v/>
      </c>
      <c r="H3883" s="6" t="s">
        <v>43</v>
      </c>
      <c r="I3883" s="6" t="s">
        <v>827</v>
      </c>
      <c r="J3883" s="6" t="s">
        <v>349</v>
      </c>
      <c r="K3883" s="10">
        <v>23.1</v>
      </c>
      <c r="L3883" s="10">
        <v>30</v>
      </c>
      <c r="M3883" s="6" t="s">
        <v>371</v>
      </c>
    </row>
    <row r="3884" spans="1:13">
      <c r="A3884" s="6">
        <v>2024</v>
      </c>
      <c r="B3884" s="6">
        <v>6</v>
      </c>
      <c r="C3884" s="6" t="s">
        <v>64</v>
      </c>
      <c r="D3884" s="6" t="s">
        <v>646</v>
      </c>
      <c r="E3884" s="6" t="s">
        <v>405</v>
      </c>
      <c r="F3884" s="6" t="str">
        <f>IF($M3884="PADD I","PADD 1",IF($M3884="PADD II","PADD 2",IF($M3884="PADD III","PADD 3",IF($M3884="PADD IV","PADD 4",IF($M3884="PADD V","PADD 5","")))))</f>
        <v>PADD 3</v>
      </c>
      <c r="G3884" s="6" t="str">
        <f>IF(AND($H3884="ATMOS DISTILLATION",ISNUMBER(SEARCH("VPS",$I3884))=FALSE,LEFT($I3884,6)&lt;&gt;"VACUUM"),"CDU",IF($H3884="FLUID CAT CRACKING","FCC",IF(OR($H3884="HYDROCRACKING",$H3884="RESID_HYDROCRACKING"),"Hydrocracker",IF($H3884="REFORMING","Reformer",""))))</f>
        <v>CDU</v>
      </c>
      <c r="H3884" s="6" t="s">
        <v>38</v>
      </c>
      <c r="I3884" s="6" t="s">
        <v>126</v>
      </c>
      <c r="J3884" s="6" t="s">
        <v>345</v>
      </c>
      <c r="K3884" s="10">
        <v>21.39</v>
      </c>
      <c r="L3884" s="10">
        <v>93</v>
      </c>
      <c r="M3884" s="6" t="s">
        <v>371</v>
      </c>
    </row>
    <row r="3885" spans="1:13">
      <c r="A3885" s="6">
        <v>2024</v>
      </c>
      <c r="B3885" s="6">
        <v>6</v>
      </c>
      <c r="C3885" s="6" t="s">
        <v>64</v>
      </c>
      <c r="D3885" s="6" t="s">
        <v>326</v>
      </c>
      <c r="E3885" s="6" t="s">
        <v>385</v>
      </c>
      <c r="F3885" s="6" t="str">
        <f>IF($M3885="PADD I","PADD 1",IF($M3885="PADD II","PADD 2",IF($M3885="PADD III","PADD 3",IF($M3885="PADD IV","PADD 4",IF($M3885="PADD V","PADD 5","")))))</f>
        <v>PADD 5</v>
      </c>
      <c r="G3885" s="6">
        <f>IF(AND($H3885="ATMOS DISTILLATION",ISNUMBER(SEARCH("VPS",$I3885))=FALSE,LEFT($I3885,6)&lt;&gt;"VACUUM"),"CDU",IF($H3885="FLUID CAT CRACKING","FCC",IF(OR($H3885="HYDROCRACKING",$H3885="RESID_HYDROCRACKING"),"Hydrocracker",IF($H3885="REFORMING","Reformer",""))))</f>
        <v/>
      </c>
      <c r="H3885" s="6" t="s">
        <v>435</v>
      </c>
      <c r="I3885" s="6" t="s">
        <v>813</v>
      </c>
      <c r="J3885" s="6" t="s">
        <v>345</v>
      </c>
      <c r="K3885" s="10">
        <v>20</v>
      </c>
      <c r="L3885" s="10">
        <v>25</v>
      </c>
      <c r="M3885" s="6" t="s">
        <v>386</v>
      </c>
    </row>
    <row r="3886" spans="1:13">
      <c r="A3886" s="6">
        <v>2024</v>
      </c>
      <c r="B3886" s="6">
        <v>6</v>
      </c>
      <c r="C3886" s="6" t="s">
        <v>64</v>
      </c>
      <c r="D3886" s="6" t="s">
        <v>1043</v>
      </c>
      <c r="E3886" s="6" t="s">
        <v>388</v>
      </c>
      <c r="F3886" s="6" t="str">
        <f>IF($M3886="PADD I","PADD 1",IF($M3886="PADD II","PADD 2",IF($M3886="PADD III","PADD 3",IF($M3886="PADD IV","PADD 4",IF($M3886="PADD V","PADD 5","")))))</f>
        <v>PADD 2</v>
      </c>
      <c r="G3886" s="6">
        <f>IF(AND($H3886="ATMOS DISTILLATION",ISNUMBER(SEARCH("VPS",$I3886))=FALSE,LEFT($I3886,6)&lt;&gt;"VACUUM"),"CDU",IF($H3886="FLUID CAT CRACKING","FCC",IF(OR($H3886="HYDROCRACKING",$H3886="RESID_HYDROCRACKING"),"Hydrocracker",IF($H3886="REFORMING","Reformer",""))))</f>
        <v/>
      </c>
      <c r="H3886" s="6" t="s">
        <v>43</v>
      </c>
      <c r="I3886" s="6" t="s">
        <v>1051</v>
      </c>
      <c r="J3886" s="6" t="s">
        <v>349</v>
      </c>
      <c r="K3886" s="10">
        <v>19.558</v>
      </c>
      <c r="L3886" s="10">
        <v>25.4</v>
      </c>
      <c r="M3886" s="6" t="s">
        <v>375</v>
      </c>
    </row>
    <row r="3887" spans="1:13">
      <c r="A3887" s="6">
        <v>2024</v>
      </c>
      <c r="B3887" s="6">
        <v>6</v>
      </c>
      <c r="C3887" s="6" t="s">
        <v>64</v>
      </c>
      <c r="D3887" s="6" t="s">
        <v>398</v>
      </c>
      <c r="E3887" s="6" t="s">
        <v>399</v>
      </c>
      <c r="F3887" s="6" t="str">
        <f>IF($M3887="PADD I","PADD 1",IF($M3887="PADD II","PADD 2",IF($M3887="PADD III","PADD 3",IF($M3887="PADD IV","PADD 4",IF($M3887="PADD V","PADD 5","")))))</f>
        <v>PADD 3</v>
      </c>
      <c r="G3887" s="6" t="str">
        <f>IF(AND($H3887="ATMOS DISTILLATION",ISNUMBER(SEARCH("VPS",$I3887))=FALSE,LEFT($I3887,6)&lt;&gt;"VACUUM"),"CDU",IF($H3887="FLUID CAT CRACKING","FCC",IF(OR($H3887="HYDROCRACKING",$H3887="RESID_HYDROCRACKING"),"Hydrocracker",IF($H3887="REFORMING","Reformer",""))))</f>
        <v>CDU</v>
      </c>
      <c r="H3887" s="6" t="s">
        <v>38</v>
      </c>
      <c r="I3887" s="6" t="s">
        <v>475</v>
      </c>
      <c r="J3887" s="6" t="s">
        <v>349</v>
      </c>
      <c r="K3887" s="10">
        <v>19.37</v>
      </c>
      <c r="L3887" s="10">
        <v>149</v>
      </c>
      <c r="M3887" s="6" t="s">
        <v>371</v>
      </c>
    </row>
    <row r="3888" spans="1:13">
      <c r="A3888" s="6">
        <v>2024</v>
      </c>
      <c r="B3888" s="6">
        <v>6</v>
      </c>
      <c r="C3888" s="6" t="s">
        <v>64</v>
      </c>
      <c r="D3888" s="6" t="s">
        <v>646</v>
      </c>
      <c r="E3888" s="6" t="s">
        <v>405</v>
      </c>
      <c r="F3888" s="6" t="str">
        <f>IF($M3888="PADD I","PADD 1",IF($M3888="PADD II","PADD 2",IF($M3888="PADD III","PADD 3",IF($M3888="PADD IV","PADD 4",IF($M3888="PADD V","PADD 5","")))))</f>
        <v>PADD 3</v>
      </c>
      <c r="G3888" s="6">
        <f>IF(AND($H3888="ATMOS DISTILLATION",ISNUMBER(SEARCH("VPS",$I3888))=FALSE,LEFT($I3888,6)&lt;&gt;"VACUUM"),"CDU",IF($H3888="FLUID CAT CRACKING","FCC",IF(OR($H3888="HYDROCRACKING",$H3888="RESID_HYDROCRACKING"),"Hydrocracker",IF($H3888="REFORMING","Reformer",""))))</f>
        <v/>
      </c>
      <c r="H3888" s="6" t="s">
        <v>43</v>
      </c>
      <c r="I3888" s="6" t="s">
        <v>843</v>
      </c>
      <c r="J3888" s="6" t="s">
        <v>345</v>
      </c>
      <c r="K3888" s="10">
        <v>18.9</v>
      </c>
      <c r="L3888" s="10">
        <v>30</v>
      </c>
      <c r="M3888" s="6" t="s">
        <v>371</v>
      </c>
    </row>
    <row r="3889" spans="1:13">
      <c r="A3889" s="6">
        <v>2024</v>
      </c>
      <c r="B3889" s="6">
        <v>6</v>
      </c>
      <c r="C3889" s="6" t="s">
        <v>64</v>
      </c>
      <c r="D3889" s="6" t="s">
        <v>612</v>
      </c>
      <c r="E3889" s="6" t="s">
        <v>416</v>
      </c>
      <c r="F3889" s="6" t="str">
        <f>IF($M3889="PADD I","PADD 1",IF($M3889="PADD II","PADD 2",IF($M3889="PADD III","PADD 3",IF($M3889="PADD IV","PADD 4",IF($M3889="PADD V","PADD 5","")))))</f>
        <v>PADD 3</v>
      </c>
      <c r="G3889" s="6" t="str">
        <f>IF(AND($H3889="ATMOS DISTILLATION",ISNUMBER(SEARCH("VPS",$I3889))=FALSE,LEFT($I3889,6)&lt;&gt;"VACUUM"),"CDU",IF($H3889="FLUID CAT CRACKING","FCC",IF(OR($H3889="HYDROCRACKING",$H3889="RESID_HYDROCRACKING"),"Hydrocracker",IF($H3889="REFORMING","Reformer",""))))</f>
        <v>Reformer</v>
      </c>
      <c r="H3889" s="6" t="s">
        <v>421</v>
      </c>
      <c r="I3889" s="6" t="s">
        <v>755</v>
      </c>
      <c r="J3889" s="6" t="s">
        <v>345</v>
      </c>
      <c r="K3889" s="10">
        <v>18.9</v>
      </c>
      <c r="L3889" s="10">
        <v>30</v>
      </c>
      <c r="M3889" s="6" t="s">
        <v>371</v>
      </c>
    </row>
    <row r="3890" spans="1:13">
      <c r="A3890" s="6">
        <v>2024</v>
      </c>
      <c r="B3890" s="6">
        <v>6</v>
      </c>
      <c r="C3890" s="6" t="s">
        <v>64</v>
      </c>
      <c r="D3890" s="6" t="s">
        <v>1043</v>
      </c>
      <c r="E3890" s="6" t="s">
        <v>388</v>
      </c>
      <c r="F3890" s="6" t="str">
        <f>IF($M3890="PADD I","PADD 1",IF($M3890="PADD II","PADD 2",IF($M3890="PADD III","PADD 3",IF($M3890="PADD IV","PADD 4",IF($M3890="PADD V","PADD 5","")))))</f>
        <v>PADD 2</v>
      </c>
      <c r="G3890" s="6">
        <f>IF(AND($H3890="ATMOS DISTILLATION",ISNUMBER(SEARCH("VPS",$I3890))=FALSE,LEFT($I3890,6)&lt;&gt;"VACUUM"),"CDU",IF($H3890="FLUID CAT CRACKING","FCC",IF(OR($H3890="HYDROCRACKING",$H3890="RESID_HYDROCRACKING"),"Hydrocracker",IF($H3890="REFORMING","Reformer",""))))</f>
        <v/>
      </c>
      <c r="H3890" s="6" t="s">
        <v>43</v>
      </c>
      <c r="I3890" s="6" t="s">
        <v>1052</v>
      </c>
      <c r="J3890" s="6" t="s">
        <v>349</v>
      </c>
      <c r="K3890" s="10">
        <v>18.634</v>
      </c>
      <c r="L3890" s="10">
        <v>24.2</v>
      </c>
      <c r="M3890" s="6" t="s">
        <v>375</v>
      </c>
    </row>
    <row r="3891" spans="1:13">
      <c r="A3891" s="6">
        <v>2024</v>
      </c>
      <c r="B3891" s="6">
        <v>6</v>
      </c>
      <c r="C3891" s="6" t="s">
        <v>64</v>
      </c>
      <c r="D3891" s="6" t="s">
        <v>322</v>
      </c>
      <c r="E3891" s="6" t="s">
        <v>369</v>
      </c>
      <c r="F3891" s="6" t="str">
        <f>IF($M3891="PADD I","PADD 1",IF($M3891="PADD II","PADD 2",IF($M3891="PADD III","PADD 3",IF($M3891="PADD IV","PADD 4",IF($M3891="PADD V","PADD 5","")))))</f>
        <v>PADD 2</v>
      </c>
      <c r="G3891" s="6" t="str">
        <f>IF(AND($H3891="ATMOS DISTILLATION",ISNUMBER(SEARCH("VPS",$I3891))=FALSE,LEFT($I3891,6)&lt;&gt;"VACUUM"),"CDU",IF($H3891="FLUID CAT CRACKING","FCC",IF(OR($H3891="HYDROCRACKING",$H3891="RESID_HYDROCRACKING"),"Hydrocracker",IF($H3891="REFORMING","Reformer",""))))</f>
        <v>Reformer</v>
      </c>
      <c r="H3891" s="6" t="s">
        <v>421</v>
      </c>
      <c r="I3891" s="6" t="s">
        <v>685</v>
      </c>
      <c r="J3891" s="6" t="s">
        <v>345</v>
      </c>
      <c r="K3891" s="10">
        <v>18.45</v>
      </c>
      <c r="L3891" s="10">
        <v>61.5</v>
      </c>
      <c r="M3891" s="6" t="s">
        <v>375</v>
      </c>
    </row>
    <row r="3892" spans="1:13">
      <c r="A3892" s="6">
        <v>2024</v>
      </c>
      <c r="B3892" s="6">
        <v>6</v>
      </c>
      <c r="C3892" s="6" t="s">
        <v>64</v>
      </c>
      <c r="D3892" s="6" t="s">
        <v>326</v>
      </c>
      <c r="E3892" s="6" t="s">
        <v>385</v>
      </c>
      <c r="F3892" s="6" t="str">
        <f>IF($M3892="PADD I","PADD 1",IF($M3892="PADD II","PADD 2",IF($M3892="PADD III","PADD 3",IF($M3892="PADD IV","PADD 4",IF($M3892="PADD V","PADD 5","")))))</f>
        <v>PADD 5</v>
      </c>
      <c r="G3892" s="6">
        <f>IF(AND($H3892="ATMOS DISTILLATION",ISNUMBER(SEARCH("VPS",$I3892))=FALSE,LEFT($I3892,6)&lt;&gt;"VACUUM"),"CDU",IF($H3892="FLUID CAT CRACKING","FCC",IF(OR($H3892="HYDROCRACKING",$H3892="RESID_HYDROCRACKING"),"Hydrocracker",IF($H3892="REFORMING","Reformer",""))))</f>
        <v/>
      </c>
      <c r="H3892" s="6" t="s">
        <v>435</v>
      </c>
      <c r="I3892" s="6" t="s">
        <v>441</v>
      </c>
      <c r="J3892" s="6" t="s">
        <v>349</v>
      </c>
      <c r="K3892" s="10">
        <v>18.26</v>
      </c>
      <c r="L3892" s="10">
        <v>22</v>
      </c>
      <c r="M3892" s="6" t="s">
        <v>386</v>
      </c>
    </row>
    <row r="3893" spans="1:13">
      <c r="A3893" s="6">
        <v>2024</v>
      </c>
      <c r="B3893" s="6">
        <v>6</v>
      </c>
      <c r="C3893" s="6" t="s">
        <v>64</v>
      </c>
      <c r="D3893" s="6" t="s">
        <v>1043</v>
      </c>
      <c r="E3893" s="6" t="s">
        <v>388</v>
      </c>
      <c r="F3893" s="6" t="str">
        <f>IF($M3893="PADD I","PADD 1",IF($M3893="PADD II","PADD 2",IF($M3893="PADD III","PADD 3",IF($M3893="PADD IV","PADD 4",IF($M3893="PADD V","PADD 5","")))))</f>
        <v>PADD 2</v>
      </c>
      <c r="G3893" s="6" t="str">
        <f>IF(AND($H3893="ATMOS DISTILLATION",ISNUMBER(SEARCH("VPS",$I3893))=FALSE,LEFT($I3893,6)&lt;&gt;"VACUUM"),"CDU",IF($H3893="FLUID CAT CRACKING","FCC",IF(OR($H3893="HYDROCRACKING",$H3893="RESID_HYDROCRACKING"),"Hydrocracker",IF($H3893="REFORMING","Reformer",""))))</f>
        <v>FCC</v>
      </c>
      <c r="H3893" s="6" t="s">
        <v>376</v>
      </c>
      <c r="I3893" s="6" t="s">
        <v>105</v>
      </c>
      <c r="J3893" s="6" t="s">
        <v>349</v>
      </c>
      <c r="K3893" s="10">
        <v>18.2</v>
      </c>
      <c r="L3893" s="10">
        <v>26</v>
      </c>
      <c r="M3893" s="6" t="s">
        <v>375</v>
      </c>
    </row>
    <row r="3894" spans="1:13">
      <c r="A3894" s="6">
        <v>2024</v>
      </c>
      <c r="B3894" s="6">
        <v>6</v>
      </c>
      <c r="C3894" s="6" t="s">
        <v>64</v>
      </c>
      <c r="D3894" s="6" t="s">
        <v>468</v>
      </c>
      <c r="E3894" s="6" t="s">
        <v>369</v>
      </c>
      <c r="F3894" s="6" t="str">
        <f>IF($M3894="PADD I","PADD 1",IF($M3894="PADD II","PADD 2",IF($M3894="PADD III","PADD 3",IF($M3894="PADD IV","PADD 4",IF($M3894="PADD V","PADD 5","")))))</f>
        <v>PADD 3</v>
      </c>
      <c r="G3894" s="6" t="str">
        <f>IF(AND($H3894="ATMOS DISTILLATION",ISNUMBER(SEARCH("VPS",$I3894))=FALSE,LEFT($I3894,6)&lt;&gt;"VACUUM"),"CDU",IF($H3894="FLUID CAT CRACKING","FCC",IF(OR($H3894="HYDROCRACKING",$H3894="RESID_HYDROCRACKING"),"Hydrocracker",IF($H3894="REFORMING","Reformer",""))))</f>
        <v>FCC</v>
      </c>
      <c r="H3894" s="6" t="s">
        <v>376</v>
      </c>
      <c r="I3894" s="6" t="s">
        <v>473</v>
      </c>
      <c r="J3894" s="6" t="s">
        <v>345</v>
      </c>
      <c r="K3894" s="10">
        <v>18</v>
      </c>
      <c r="L3894" s="10">
        <v>30</v>
      </c>
      <c r="M3894" s="6" t="s">
        <v>371</v>
      </c>
    </row>
    <row r="3895" spans="1:13">
      <c r="A3895" s="6">
        <v>2024</v>
      </c>
      <c r="B3895" s="6">
        <v>6</v>
      </c>
      <c r="C3895" s="6" t="s">
        <v>64</v>
      </c>
      <c r="D3895" s="6" t="s">
        <v>387</v>
      </c>
      <c r="E3895" s="6" t="s">
        <v>388</v>
      </c>
      <c r="F3895" s="6" t="str">
        <f>IF($M3895="PADD I","PADD 1",IF($M3895="PADD II","PADD 2",IF($M3895="PADD III","PADD 3",IF($M3895="PADD IV","PADD 4",IF($M3895="PADD V","PADD 5","")))))</f>
        <v>PADD 3</v>
      </c>
      <c r="G3895" s="6" t="str">
        <f>IF(AND($H3895="ATMOS DISTILLATION",ISNUMBER(SEARCH("VPS",$I3895))=FALSE,LEFT($I3895,6)&lt;&gt;"VACUUM"),"CDU",IF($H3895="FLUID CAT CRACKING","FCC",IF(OR($H3895="HYDROCRACKING",$H3895="RESID_HYDROCRACKING"),"Hydrocracker",IF($H3895="REFORMING","Reformer",""))))</f>
        <v>Reformer</v>
      </c>
      <c r="H3895" s="6" t="s">
        <v>421</v>
      </c>
      <c r="I3895" s="6" t="s">
        <v>443</v>
      </c>
      <c r="J3895" s="6" t="s">
        <v>345</v>
      </c>
      <c r="K3895" s="10">
        <v>17.825</v>
      </c>
      <c r="L3895" s="10">
        <v>77.5</v>
      </c>
      <c r="M3895" s="6" t="s">
        <v>371</v>
      </c>
    </row>
    <row r="3896" spans="1:13">
      <c r="A3896" s="6">
        <v>2024</v>
      </c>
      <c r="B3896" s="6">
        <v>6</v>
      </c>
      <c r="C3896" s="6" t="s">
        <v>64</v>
      </c>
      <c r="D3896" s="6" t="s">
        <v>762</v>
      </c>
      <c r="E3896" s="6" t="s">
        <v>763</v>
      </c>
      <c r="F3896" s="6" t="str">
        <f>IF($M3896="PADD I","PADD 1",IF($M3896="PADD II","PADD 2",IF($M3896="PADD III","PADD 3",IF($M3896="PADD IV","PADD 4",IF($M3896="PADD V","PADD 5","")))))</f>
        <v>PADD 2</v>
      </c>
      <c r="G3896" s="6" t="str">
        <f>IF(AND($H3896="ATMOS DISTILLATION",ISNUMBER(SEARCH("VPS",$I3896))=FALSE,LEFT($I3896,6)&lt;&gt;"VACUUM"),"CDU",IF($H3896="FLUID CAT CRACKING","FCC",IF(OR($H3896="HYDROCRACKING",$H3896="RESID_HYDROCRACKING"),"Hydrocracker",IF($H3896="REFORMING","Reformer",""))))</f>
        <v>CDU</v>
      </c>
      <c r="H3896" s="6" t="s">
        <v>38</v>
      </c>
      <c r="I3896" s="6" t="s">
        <v>330</v>
      </c>
      <c r="J3896" s="6" t="s">
        <v>345</v>
      </c>
      <c r="K3896" s="10">
        <v>17.5</v>
      </c>
      <c r="L3896" s="10">
        <v>35</v>
      </c>
      <c r="M3896" s="6" t="s">
        <v>375</v>
      </c>
    </row>
    <row r="3897" spans="1:13">
      <c r="A3897" s="6">
        <v>2024</v>
      </c>
      <c r="B3897" s="6">
        <v>6</v>
      </c>
      <c r="C3897" s="6" t="s">
        <v>64</v>
      </c>
      <c r="D3897" s="6" t="s">
        <v>322</v>
      </c>
      <c r="E3897" s="6" t="s">
        <v>369</v>
      </c>
      <c r="F3897" s="6" t="str">
        <f>IF($M3897="PADD I","PADD 1",IF($M3897="PADD II","PADD 2",IF($M3897="PADD III","PADD 3",IF($M3897="PADD IV","PADD 4",IF($M3897="PADD V","PADD 5","")))))</f>
        <v>PADD 2</v>
      </c>
      <c r="G3897" s="6" t="str">
        <f>IF(AND($H3897="ATMOS DISTILLATION",ISNUMBER(SEARCH("VPS",$I3897))=FALSE,LEFT($I3897,6)&lt;&gt;"VACUUM"),"CDU",IF($H3897="FLUID CAT CRACKING","FCC",IF(OR($H3897="HYDROCRACKING",$H3897="RESID_HYDROCRACKING"),"Hydrocracker",IF($H3897="REFORMING","Reformer",""))))</f>
        <v>Reformer</v>
      </c>
      <c r="H3897" s="6" t="s">
        <v>421</v>
      </c>
      <c r="I3897" s="6" t="s">
        <v>685</v>
      </c>
      <c r="J3897" s="6" t="s">
        <v>349</v>
      </c>
      <c r="K3897" s="10">
        <v>16.5</v>
      </c>
      <c r="L3897" s="10">
        <v>50</v>
      </c>
      <c r="M3897" s="6" t="s">
        <v>375</v>
      </c>
    </row>
    <row r="3898" spans="1:13">
      <c r="A3898" s="6">
        <v>2024</v>
      </c>
      <c r="B3898" s="6">
        <v>6</v>
      </c>
      <c r="C3898" s="6" t="s">
        <v>64</v>
      </c>
      <c r="D3898" s="6" t="s">
        <v>335</v>
      </c>
      <c r="E3898" s="6" t="s">
        <v>369</v>
      </c>
      <c r="F3898" s="6" t="str">
        <f>IF($M3898="PADD I","PADD 1",IF($M3898="PADD II","PADD 2",IF($M3898="PADD III","PADD 3",IF($M3898="PADD IV","PADD 4",IF($M3898="PADD V","PADD 5","")))))</f>
        <v>PADD 3</v>
      </c>
      <c r="G3898" s="6">
        <f>IF(AND($H3898="ATMOS DISTILLATION",ISNUMBER(SEARCH("VPS",$I3898))=FALSE,LEFT($I3898,6)&lt;&gt;"VACUUM"),"CDU",IF($H3898="FLUID CAT CRACKING","FCC",IF(OR($H3898="HYDROCRACKING",$H3898="RESID_HYDROCRACKING"),"Hydrocracker",IF($H3898="REFORMING","Reformer",""))))</f>
        <v/>
      </c>
      <c r="H3898" s="6" t="s">
        <v>435</v>
      </c>
      <c r="I3898" s="6" t="s">
        <v>1205</v>
      </c>
      <c r="J3898" s="6" t="s">
        <v>349</v>
      </c>
      <c r="K3898" s="10">
        <v>16.33</v>
      </c>
      <c r="L3898" s="10">
        <v>71</v>
      </c>
      <c r="M3898" s="6" t="s">
        <v>371</v>
      </c>
    </row>
    <row r="3899" spans="1:13">
      <c r="A3899" s="6">
        <v>2024</v>
      </c>
      <c r="B3899" s="6">
        <v>6</v>
      </c>
      <c r="C3899" s="6" t="s">
        <v>64</v>
      </c>
      <c r="D3899" s="6" t="s">
        <v>742</v>
      </c>
      <c r="E3899" s="6" t="s">
        <v>388</v>
      </c>
      <c r="F3899" s="6" t="str">
        <f>IF($M3899="PADD I","PADD 1",IF($M3899="PADD II","PADD 2",IF($M3899="PADD III","PADD 3",IF($M3899="PADD IV","PADD 4",IF($M3899="PADD V","PADD 5","")))))</f>
        <v>PADD 5</v>
      </c>
      <c r="G3899" s="6" t="str">
        <f>IF(AND($H3899="ATMOS DISTILLATION",ISNUMBER(SEARCH("VPS",$I3899))=FALSE,LEFT($I3899,6)&lt;&gt;"VACUUM"),"CDU",IF($H3899="FLUID CAT CRACKING","FCC",IF(OR($H3899="HYDROCRACKING",$H3899="RESID_HYDROCRACKING"),"Hydrocracker",IF($H3899="REFORMING","Reformer",""))))</f>
        <v>Reformer</v>
      </c>
      <c r="H3899" s="6" t="s">
        <v>421</v>
      </c>
      <c r="I3899" s="6" t="s">
        <v>15</v>
      </c>
      <c r="J3899" s="6" t="s">
        <v>345</v>
      </c>
      <c r="K3899" s="10">
        <v>15.6</v>
      </c>
      <c r="L3899" s="10">
        <v>26</v>
      </c>
      <c r="M3899" s="6" t="s">
        <v>386</v>
      </c>
    </row>
    <row r="3900" spans="1:13">
      <c r="A3900" s="6">
        <v>2024</v>
      </c>
      <c r="B3900" s="6">
        <v>6</v>
      </c>
      <c r="C3900" s="6" t="s">
        <v>64</v>
      </c>
      <c r="D3900" s="6" t="s">
        <v>770</v>
      </c>
      <c r="E3900" s="6" t="s">
        <v>660</v>
      </c>
      <c r="F3900" s="6" t="str">
        <f>IF($M3900="PADD I","PADD 1",IF($M3900="PADD II","PADD 2",IF($M3900="PADD III","PADD 3",IF($M3900="PADD IV","PADD 4",IF($M3900="PADD V","PADD 5","")))))</f>
        <v>PADD 3</v>
      </c>
      <c r="G3900" s="6">
        <f>IF(AND($H3900="ATMOS DISTILLATION",ISNUMBER(SEARCH("VPS",$I3900))=FALSE,LEFT($I3900,6)&lt;&gt;"VACUUM"),"CDU",IF($H3900="FLUID CAT CRACKING","FCC",IF(OR($H3900="HYDROCRACKING",$H3900="RESID_HYDROCRACKING"),"Hydrocracker",IF($H3900="REFORMING","Reformer",""))))</f>
        <v/>
      </c>
      <c r="H3900" s="6" t="s">
        <v>43</v>
      </c>
      <c r="I3900" s="6" t="s">
        <v>626</v>
      </c>
      <c r="J3900" s="6" t="s">
        <v>349</v>
      </c>
      <c r="K3900" s="10">
        <v>15.4</v>
      </c>
      <c r="L3900" s="10">
        <v>22</v>
      </c>
      <c r="M3900" s="6" t="s">
        <v>371</v>
      </c>
    </row>
    <row r="3901" spans="1:13">
      <c r="A3901" s="6">
        <v>2024</v>
      </c>
      <c r="B3901" s="6">
        <v>6</v>
      </c>
      <c r="C3901" s="6" t="s">
        <v>64</v>
      </c>
      <c r="D3901" s="6" t="s">
        <v>742</v>
      </c>
      <c r="E3901" s="6" t="s">
        <v>388</v>
      </c>
      <c r="F3901" s="6" t="str">
        <f>IF($M3901="PADD I","PADD 1",IF($M3901="PADD II","PADD 2",IF($M3901="PADD III","PADD 3",IF($M3901="PADD IV","PADD 4",IF($M3901="PADD V","PADD 5","")))))</f>
        <v>PADD 5</v>
      </c>
      <c r="G3901" s="6" t="str">
        <f>IF(AND($H3901="ATMOS DISTILLATION",ISNUMBER(SEARCH("VPS",$I3901))=FALSE,LEFT($I3901,6)&lt;&gt;"VACUUM"),"CDU",IF($H3901="FLUID CAT CRACKING","FCC",IF(OR($H3901="HYDROCRACKING",$H3901="RESID_HYDROCRACKING"),"Hydrocracker",IF($H3901="REFORMING","Reformer",""))))</f>
        <v>Reformer</v>
      </c>
      <c r="H3901" s="6" t="s">
        <v>421</v>
      </c>
      <c r="I3901" s="6" t="s">
        <v>15</v>
      </c>
      <c r="J3901" s="6" t="s">
        <v>349</v>
      </c>
      <c r="K3901" s="10">
        <v>15.309</v>
      </c>
      <c r="L3901" s="10">
        <v>24.3</v>
      </c>
      <c r="M3901" s="6" t="s">
        <v>386</v>
      </c>
    </row>
    <row r="3902" spans="1:13">
      <c r="A3902" s="6">
        <v>2024</v>
      </c>
      <c r="B3902" s="6">
        <v>6</v>
      </c>
      <c r="C3902" s="6" t="s">
        <v>64</v>
      </c>
      <c r="D3902" s="6" t="s">
        <v>50</v>
      </c>
      <c r="E3902" s="6" t="s">
        <v>381</v>
      </c>
      <c r="F3902" s="6" t="str">
        <f>IF($M3902="PADD I","PADD 1",IF($M3902="PADD II","PADD 2",IF($M3902="PADD III","PADD 3",IF($M3902="PADD IV","PADD 4",IF($M3902="PADD V","PADD 5","")))))</f>
        <v>PADD 3</v>
      </c>
      <c r="G3902" s="6">
        <f>IF(AND($H3902="ATMOS DISTILLATION",ISNUMBER(SEARCH("VPS",$I3902))=FALSE,LEFT($I3902,6)&lt;&gt;"VACUUM"),"CDU",IF($H3902="FLUID CAT CRACKING","FCC",IF(OR($H3902="HYDROCRACKING",$H3902="RESID_HYDROCRACKING"),"Hydrocracker",IF($H3902="REFORMING","Reformer",""))))</f>
        <v/>
      </c>
      <c r="H3902" s="6" t="s">
        <v>43</v>
      </c>
      <c r="I3902" s="6" t="s">
        <v>1091</v>
      </c>
      <c r="J3902" s="6" t="s">
        <v>345</v>
      </c>
      <c r="K3902" s="10">
        <v>14.95</v>
      </c>
      <c r="L3902" s="10">
        <v>65</v>
      </c>
      <c r="M3902" s="6" t="s">
        <v>371</v>
      </c>
    </row>
    <row r="3903" spans="1:13">
      <c r="A3903" s="6">
        <v>2024</v>
      </c>
      <c r="B3903" s="6">
        <v>6</v>
      </c>
      <c r="C3903" s="6" t="s">
        <v>64</v>
      </c>
      <c r="D3903" s="6" t="s">
        <v>851</v>
      </c>
      <c r="E3903" s="6" t="s">
        <v>852</v>
      </c>
      <c r="F3903" s="6" t="str">
        <f>IF($M3903="PADD I","PADD 1",IF($M3903="PADD II","PADD 2",IF($M3903="PADD III","PADD 3",IF($M3903="PADD IV","PADD 4",IF($M3903="PADD V","PADD 5","")))))</f>
        <v>PADD 3</v>
      </c>
      <c r="G3903" s="6" t="str">
        <f>IF(AND($H3903="ATMOS DISTILLATION",ISNUMBER(SEARCH("VPS",$I3903))=FALSE,LEFT($I3903,6)&lt;&gt;"VACUUM"),"CDU",IF($H3903="FLUID CAT CRACKING","FCC",IF(OR($H3903="HYDROCRACKING",$H3903="RESID_HYDROCRACKING"),"Hydrocracker",IF($H3903="REFORMING","Reformer",""))))</f>
        <v>CDU</v>
      </c>
      <c r="H3903" s="6" t="s">
        <v>38</v>
      </c>
      <c r="I3903" s="6" t="s">
        <v>854</v>
      </c>
      <c r="J3903" s="6" t="s">
        <v>349</v>
      </c>
      <c r="K3903" s="10">
        <v>14.95</v>
      </c>
      <c r="L3903" s="10">
        <v>65</v>
      </c>
      <c r="M3903" s="6" t="s">
        <v>371</v>
      </c>
    </row>
    <row r="3904" spans="1:13">
      <c r="A3904" s="6">
        <v>2024</v>
      </c>
      <c r="B3904" s="6">
        <v>6</v>
      </c>
      <c r="C3904" s="6" t="s">
        <v>64</v>
      </c>
      <c r="D3904" s="6" t="s">
        <v>851</v>
      </c>
      <c r="E3904" s="6" t="s">
        <v>852</v>
      </c>
      <c r="F3904" s="6" t="str">
        <f>IF($M3904="PADD I","PADD 1",IF($M3904="PADD II","PADD 2",IF($M3904="PADD III","PADD 3",IF($M3904="PADD IV","PADD 4",IF($M3904="PADD V","PADD 5","")))))</f>
        <v>PADD 3</v>
      </c>
      <c r="G3904" s="6" t="str">
        <f>IF(AND($H3904="ATMOS DISTILLATION",ISNUMBER(SEARCH("VPS",$I3904))=FALSE,LEFT($I3904,6)&lt;&gt;"VACUUM"),"CDU",IF($H3904="FLUID CAT CRACKING","FCC",IF(OR($H3904="HYDROCRACKING",$H3904="RESID_HYDROCRACKING"),"Hydrocracker",IF($H3904="REFORMING","Reformer",""))))</f>
        <v>CDU</v>
      </c>
      <c r="H3904" s="6" t="s">
        <v>38</v>
      </c>
      <c r="I3904" s="6" t="s">
        <v>854</v>
      </c>
      <c r="J3904" s="6" t="s">
        <v>345</v>
      </c>
      <c r="K3904" s="10">
        <v>14.6</v>
      </c>
      <c r="L3904" s="10">
        <v>73</v>
      </c>
      <c r="M3904" s="6" t="s">
        <v>371</v>
      </c>
    </row>
    <row r="3905" spans="1:13">
      <c r="A3905" s="6">
        <v>2024</v>
      </c>
      <c r="B3905" s="6">
        <v>6</v>
      </c>
      <c r="C3905" s="6" t="s">
        <v>64</v>
      </c>
      <c r="D3905" s="6" t="s">
        <v>54</v>
      </c>
      <c r="E3905" s="6" t="s">
        <v>856</v>
      </c>
      <c r="F3905" s="6" t="str">
        <f>IF($M3905="PADD I","PADD 1",IF($M3905="PADD II","PADD 2",IF($M3905="PADD III","PADD 3",IF($M3905="PADD IV","PADD 4",IF($M3905="PADD V","PADD 5","")))))</f>
        <v>PADD 5</v>
      </c>
      <c r="G3905" s="6" t="str">
        <f>IF(AND($H3905="ATMOS DISTILLATION",ISNUMBER(SEARCH("VPS",$I3905))=FALSE,LEFT($I3905,6)&lt;&gt;"VACUUM"),"CDU",IF($H3905="FLUID CAT CRACKING","FCC",IF(OR($H3905="HYDROCRACKING",$H3905="RESID_HYDROCRACKING"),"Hydrocracker",IF($H3905="REFORMING","Reformer",""))))</f>
        <v>CDU</v>
      </c>
      <c r="H3905" s="6" t="s">
        <v>38</v>
      </c>
      <c r="I3905" s="6" t="s">
        <v>857</v>
      </c>
      <c r="J3905" s="6" t="s">
        <v>349</v>
      </c>
      <c r="K3905" s="10">
        <v>13.8</v>
      </c>
      <c r="L3905" s="10">
        <v>60</v>
      </c>
      <c r="M3905" s="6" t="s">
        <v>386</v>
      </c>
    </row>
    <row r="3906" spans="1:13">
      <c r="A3906" s="6">
        <v>2024</v>
      </c>
      <c r="B3906" s="6">
        <v>6</v>
      </c>
      <c r="C3906" s="6" t="s">
        <v>64</v>
      </c>
      <c r="D3906" s="6" t="s">
        <v>788</v>
      </c>
      <c r="E3906" s="6" t="s">
        <v>405</v>
      </c>
      <c r="F3906" s="6" t="str">
        <f>IF($M3906="PADD I","PADD 1",IF($M3906="PADD II","PADD 2",IF($M3906="PADD III","PADD 3",IF($M3906="PADD IV","PADD 4",IF($M3906="PADD V","PADD 5","")))))</f>
        <v>PADD 3</v>
      </c>
      <c r="G3906" s="6" t="str">
        <f>IF(AND($H3906="ATMOS DISTILLATION",ISNUMBER(SEARCH("VPS",$I3906))=FALSE,LEFT($I3906,6)&lt;&gt;"VACUUM"),"CDU",IF($H3906="FLUID CAT CRACKING","FCC",IF(OR($H3906="HYDROCRACKING",$H3906="RESID_HYDROCRACKING"),"Hydrocracker",IF($H3906="REFORMING","Reformer",""))))</f>
        <v>CDU</v>
      </c>
      <c r="H3906" s="6" t="s">
        <v>38</v>
      </c>
      <c r="I3906" s="6" t="s">
        <v>135</v>
      </c>
      <c r="J3906" s="6" t="s">
        <v>345</v>
      </c>
      <c r="K3906" s="10">
        <v>13.5</v>
      </c>
      <c r="L3906" s="10">
        <v>135</v>
      </c>
      <c r="M3906" s="6" t="s">
        <v>371</v>
      </c>
    </row>
    <row r="3907" spans="1:13">
      <c r="A3907" s="6">
        <v>2024</v>
      </c>
      <c r="B3907" s="6">
        <v>6</v>
      </c>
      <c r="C3907" s="6" t="s">
        <v>64</v>
      </c>
      <c r="D3907" s="6" t="s">
        <v>484</v>
      </c>
      <c r="E3907" s="6" t="s">
        <v>409</v>
      </c>
      <c r="F3907" s="6" t="str">
        <f>IF($M3907="PADD I","PADD 1",IF($M3907="PADD II","PADD 2",IF($M3907="PADD III","PADD 3",IF($M3907="PADD IV","PADD 4",IF($M3907="PADD V","PADD 5","")))))</f>
        <v>PADD 3</v>
      </c>
      <c r="G3907" s="6">
        <f>IF(AND($H3907="ATMOS DISTILLATION",ISNUMBER(SEARCH("VPS",$I3907))=FALSE,LEFT($I3907,6)&lt;&gt;"VACUUM"),"CDU",IF($H3907="FLUID CAT CRACKING","FCC",IF(OR($H3907="HYDROCRACKING",$H3907="RESID_HYDROCRACKING"),"Hydrocracker",IF($H3907="REFORMING","Reformer",""))))</f>
        <v/>
      </c>
      <c r="H3907" s="6" t="s">
        <v>43</v>
      </c>
      <c r="I3907" s="6" t="s">
        <v>485</v>
      </c>
      <c r="J3907" s="6" t="s">
        <v>345</v>
      </c>
      <c r="K3907" s="10">
        <v>13.2</v>
      </c>
      <c r="L3907" s="10">
        <v>66</v>
      </c>
      <c r="M3907" s="6" t="s">
        <v>371</v>
      </c>
    </row>
    <row r="3908" spans="1:13">
      <c r="A3908" s="6">
        <v>2024</v>
      </c>
      <c r="B3908" s="6">
        <v>6</v>
      </c>
      <c r="C3908" s="6" t="s">
        <v>64</v>
      </c>
      <c r="D3908" s="6" t="s">
        <v>762</v>
      </c>
      <c r="E3908" s="6" t="s">
        <v>763</v>
      </c>
      <c r="F3908" s="6" t="str">
        <f>IF($M3908="PADD I","PADD 1",IF($M3908="PADD II","PADD 2",IF($M3908="PADD III","PADD 3",IF($M3908="PADD IV","PADD 4",IF($M3908="PADD V","PADD 5","")))))</f>
        <v>PADD 2</v>
      </c>
      <c r="G3908" s="6">
        <f>IF(AND($H3908="ATMOS DISTILLATION",ISNUMBER(SEARCH("VPS",$I3908))=FALSE,LEFT($I3908,6)&lt;&gt;"VACUUM"),"CDU",IF($H3908="FLUID CAT CRACKING","FCC",IF(OR($H3908="HYDROCRACKING",$H3908="RESID_HYDROCRACKING"),"Hydrocracker",IF($H3908="REFORMING","Reformer",""))))</f>
        <v/>
      </c>
      <c r="H3908" s="6" t="s">
        <v>43</v>
      </c>
      <c r="I3908" s="6" t="s">
        <v>1055</v>
      </c>
      <c r="J3908" s="6" t="s">
        <v>345</v>
      </c>
      <c r="K3908" s="10">
        <v>13</v>
      </c>
      <c r="L3908" s="10">
        <v>13</v>
      </c>
      <c r="M3908" s="6" t="s">
        <v>375</v>
      </c>
    </row>
    <row r="3909" spans="1:13">
      <c r="A3909" s="6">
        <v>2024</v>
      </c>
      <c r="B3909" s="6">
        <v>6</v>
      </c>
      <c r="C3909" s="6" t="s">
        <v>64</v>
      </c>
      <c r="D3909" s="6" t="s">
        <v>770</v>
      </c>
      <c r="E3909" s="6" t="s">
        <v>660</v>
      </c>
      <c r="F3909" s="6" t="str">
        <f>IF($M3909="PADD I","PADD 1",IF($M3909="PADD II","PADD 2",IF($M3909="PADD III","PADD 3",IF($M3909="PADD IV","PADD 4",IF($M3909="PADD V","PADD 5","")))))</f>
        <v>PADD 3</v>
      </c>
      <c r="G3909" s="6" t="str">
        <f>IF(AND($H3909="ATMOS DISTILLATION",ISNUMBER(SEARCH("VPS",$I3909))=FALSE,LEFT($I3909,6)&lt;&gt;"VACUUM"),"CDU",IF($H3909="FLUID CAT CRACKING","FCC",IF(OR($H3909="HYDROCRACKING",$H3909="RESID_HYDROCRACKING"),"Hydrocracker",IF($H3909="REFORMING","Reformer",""))))</f>
        <v>Hydrocracker</v>
      </c>
      <c r="H3909" s="6" t="s">
        <v>444</v>
      </c>
      <c r="I3909" s="6" t="s">
        <v>14</v>
      </c>
      <c r="J3909" s="6" t="s">
        <v>349</v>
      </c>
      <c r="K3909" s="10">
        <v>12.95</v>
      </c>
      <c r="L3909" s="10">
        <v>18.5</v>
      </c>
      <c r="M3909" s="6" t="s">
        <v>371</v>
      </c>
    </row>
    <row r="3910" spans="1:13">
      <c r="A3910" s="6">
        <v>2024</v>
      </c>
      <c r="B3910" s="6">
        <v>6</v>
      </c>
      <c r="C3910" s="6" t="s">
        <v>64</v>
      </c>
      <c r="D3910" s="6" t="s">
        <v>398</v>
      </c>
      <c r="E3910" s="6" t="s">
        <v>399</v>
      </c>
      <c r="F3910" s="6" t="str">
        <f>IF($M3910="PADD I","PADD 1",IF($M3910="PADD II","PADD 2",IF($M3910="PADD III","PADD 3",IF($M3910="PADD IV","PADD 4",IF($M3910="PADD V","PADD 5","")))))</f>
        <v>PADD 3</v>
      </c>
      <c r="G3910" s="6">
        <f>IF(AND($H3910="ATMOS DISTILLATION",ISNUMBER(SEARCH("VPS",$I3910))=FALSE,LEFT($I3910,6)&lt;&gt;"VACUUM"),"CDU",IF($H3910="FLUID CAT CRACKING","FCC",IF(OR($H3910="HYDROCRACKING",$H3910="RESID_HYDROCRACKING"),"Hydrocracker",IF($H3910="REFORMING","Reformer",""))))</f>
        <v/>
      </c>
      <c r="H3910" s="6" t="s">
        <v>378</v>
      </c>
      <c r="I3910" s="6" t="s">
        <v>400</v>
      </c>
      <c r="J3910" s="6" t="s">
        <v>349</v>
      </c>
      <c r="K3910" s="10">
        <v>12.4215</v>
      </c>
      <c r="L3910" s="10">
        <v>95.55</v>
      </c>
      <c r="M3910" s="6" t="s">
        <v>371</v>
      </c>
    </row>
    <row r="3911" spans="1:13">
      <c r="A3911" s="6">
        <v>2024</v>
      </c>
      <c r="B3911" s="6">
        <v>6</v>
      </c>
      <c r="C3911" s="6" t="s">
        <v>64</v>
      </c>
      <c r="D3911" s="6" t="s">
        <v>1043</v>
      </c>
      <c r="E3911" s="6" t="s">
        <v>388</v>
      </c>
      <c r="F3911" s="6" t="str">
        <f>IF($M3911="PADD I","PADD 1",IF($M3911="PADD II","PADD 2",IF($M3911="PADD III","PADD 3",IF($M3911="PADD IV","PADD 4",IF($M3911="PADD V","PADD 5","")))))</f>
        <v>PADD 2</v>
      </c>
      <c r="G3911" s="6">
        <f>IF(AND($H3911="ATMOS DISTILLATION",ISNUMBER(SEARCH("VPS",$I3911))=FALSE,LEFT($I3911,6)&lt;&gt;"VACUUM"),"CDU",IF($H3911="FLUID CAT CRACKING","FCC",IF(OR($H3911="HYDROCRACKING",$H3911="RESID_HYDROCRACKING"),"Hydrocracker",IF($H3911="REFORMING","Reformer",""))))</f>
        <v/>
      </c>
      <c r="H3911" s="6" t="s">
        <v>43</v>
      </c>
      <c r="I3911" s="6" t="s">
        <v>1056</v>
      </c>
      <c r="J3911" s="6" t="s">
        <v>349</v>
      </c>
      <c r="K3911" s="10">
        <v>11.55</v>
      </c>
      <c r="L3911" s="10">
        <v>15</v>
      </c>
      <c r="M3911" s="6" t="s">
        <v>375</v>
      </c>
    </row>
    <row r="3912" spans="1:13">
      <c r="A3912" s="6">
        <v>2024</v>
      </c>
      <c r="B3912" s="6">
        <v>6</v>
      </c>
      <c r="C3912" s="6" t="s">
        <v>64</v>
      </c>
      <c r="D3912" s="6" t="s">
        <v>799</v>
      </c>
      <c r="E3912" s="6" t="s">
        <v>391</v>
      </c>
      <c r="F3912" s="6" t="str">
        <f>IF($M3912="PADD I","PADD 1",IF($M3912="PADD II","PADD 2",IF($M3912="PADD III","PADD 3",IF($M3912="PADD IV","PADD 4",IF($M3912="PADD V","PADD 5","")))))</f>
        <v>PADD 4</v>
      </c>
      <c r="G3912" s="6">
        <f>IF(AND($H3912="ATMOS DISTILLATION",ISNUMBER(SEARCH("VPS",$I3912))=FALSE,LEFT($I3912,6)&lt;&gt;"VACUUM"),"CDU",IF($H3912="FLUID CAT CRACKING","FCC",IF(OR($H3912="HYDROCRACKING",$H3912="RESID_HYDROCRACKING"),"Hydrocracker",IF($H3912="REFORMING","Reformer",""))))</f>
        <v/>
      </c>
      <c r="H3912" s="6" t="s">
        <v>43</v>
      </c>
      <c r="I3912" s="6" t="s">
        <v>800</v>
      </c>
      <c r="J3912" s="6" t="s">
        <v>345</v>
      </c>
      <c r="K3912" s="10">
        <v>11.16</v>
      </c>
      <c r="L3912" s="10">
        <v>27.9</v>
      </c>
      <c r="M3912" s="6" t="s">
        <v>430</v>
      </c>
    </row>
    <row r="3913" spans="1:13">
      <c r="A3913" s="6">
        <v>2024</v>
      </c>
      <c r="B3913" s="6">
        <v>6</v>
      </c>
      <c r="C3913" s="6" t="s">
        <v>64</v>
      </c>
      <c r="D3913" s="6" t="s">
        <v>878</v>
      </c>
      <c r="E3913" s="6" t="s">
        <v>452</v>
      </c>
      <c r="F3913" s="6" t="str">
        <f>IF($M3913="PADD I","PADD 1",IF($M3913="PADD II","PADD 2",IF($M3913="PADD III","PADD 3",IF($M3913="PADD IV","PADD 4",IF($M3913="PADD V","PADD 5","")))))</f>
        <v>PADD 2</v>
      </c>
      <c r="G3913" s="6" t="str">
        <f>IF(AND($H3913="ATMOS DISTILLATION",ISNUMBER(SEARCH("VPS",$I3913))=FALSE,LEFT($I3913,6)&lt;&gt;"VACUUM"),"CDU",IF($H3913="FLUID CAT CRACKING","FCC",IF(OR($H3913="HYDROCRACKING",$H3913="RESID_HYDROCRACKING"),"Hydrocracker",IF($H3913="REFORMING","Reformer",""))))</f>
        <v>CDU</v>
      </c>
      <c r="H3913" s="6" t="s">
        <v>38</v>
      </c>
      <c r="I3913" s="6" t="s">
        <v>879</v>
      </c>
      <c r="J3913" s="6" t="s">
        <v>345</v>
      </c>
      <c r="K3913" s="10">
        <v>11.05</v>
      </c>
      <c r="L3913" s="10">
        <v>85</v>
      </c>
      <c r="M3913" s="6" t="s">
        <v>375</v>
      </c>
    </row>
    <row r="3914" spans="1:13">
      <c r="A3914" s="6">
        <v>2024</v>
      </c>
      <c r="B3914" s="6">
        <v>6</v>
      </c>
      <c r="C3914" s="6" t="s">
        <v>64</v>
      </c>
      <c r="D3914" s="6" t="s">
        <v>457</v>
      </c>
      <c r="E3914" s="6" t="s">
        <v>388</v>
      </c>
      <c r="F3914" s="6" t="str">
        <f>IF($M3914="PADD I","PADD 1",IF($M3914="PADD II","PADD 2",IF($M3914="PADD III","PADD 3",IF($M3914="PADD IV","PADD 4",IF($M3914="PADD V","PADD 5","")))))</f>
        <v>PADD 5</v>
      </c>
      <c r="G3914" s="6">
        <f>IF(AND($H3914="ATMOS DISTILLATION",ISNUMBER(SEARCH("VPS",$I3914))=FALSE,LEFT($I3914,6)&lt;&gt;"VACUUM"),"CDU",IF($H3914="FLUID CAT CRACKING","FCC",IF(OR($H3914="HYDROCRACKING",$H3914="RESID_HYDROCRACKING"),"Hydrocracker",IF($H3914="REFORMING","Reformer",""))))</f>
        <v/>
      </c>
      <c r="H3914" s="6" t="s">
        <v>378</v>
      </c>
      <c r="I3914" s="6" t="s">
        <v>585</v>
      </c>
      <c r="J3914" s="6" t="s">
        <v>345</v>
      </c>
      <c r="K3914" s="10">
        <v>10.54</v>
      </c>
      <c r="L3914" s="10">
        <v>62</v>
      </c>
      <c r="M3914" s="6" t="s">
        <v>386</v>
      </c>
    </row>
    <row r="3915" spans="1:13">
      <c r="A3915" s="6">
        <v>2024</v>
      </c>
      <c r="B3915" s="6">
        <v>6</v>
      </c>
      <c r="C3915" s="6" t="s">
        <v>64</v>
      </c>
      <c r="D3915" s="6" t="s">
        <v>1043</v>
      </c>
      <c r="E3915" s="6" t="s">
        <v>388</v>
      </c>
      <c r="F3915" s="6" t="str">
        <f>IF($M3915="PADD I","PADD 1",IF($M3915="PADD II","PADD 2",IF($M3915="PADD III","PADD 3",IF($M3915="PADD IV","PADD 4",IF($M3915="PADD V","PADD 5","")))))</f>
        <v>PADD 2</v>
      </c>
      <c r="G3915" s="6">
        <f>IF(AND($H3915="ATMOS DISTILLATION",ISNUMBER(SEARCH("VPS",$I3915))=FALSE,LEFT($I3915,6)&lt;&gt;"VACUUM"),"CDU",IF($H3915="FLUID CAT CRACKING","FCC",IF(OR($H3915="HYDROCRACKING",$H3915="RESID_HYDROCRACKING"),"Hydrocracker",IF($H3915="REFORMING","Reformer",""))))</f>
        <v/>
      </c>
      <c r="H3915" s="6" t="s">
        <v>43</v>
      </c>
      <c r="I3915" s="6" t="s">
        <v>1057</v>
      </c>
      <c r="J3915" s="6" t="s">
        <v>349</v>
      </c>
      <c r="K3915" s="10">
        <v>10.472</v>
      </c>
      <c r="L3915" s="10">
        <v>13.6</v>
      </c>
      <c r="M3915" s="6" t="s">
        <v>375</v>
      </c>
    </row>
    <row r="3916" spans="1:13">
      <c r="A3916" s="6">
        <v>2024</v>
      </c>
      <c r="B3916" s="6">
        <v>6</v>
      </c>
      <c r="C3916" s="6" t="s">
        <v>64</v>
      </c>
      <c r="D3916" s="6" t="s">
        <v>1043</v>
      </c>
      <c r="E3916" s="6" t="s">
        <v>388</v>
      </c>
      <c r="F3916" s="6" t="str">
        <f>IF($M3916="PADD I","PADD 1",IF($M3916="PADD II","PADD 2",IF($M3916="PADD III","PADD 3",IF($M3916="PADD IV","PADD 4",IF($M3916="PADD V","PADD 5","")))))</f>
        <v>PADD 2</v>
      </c>
      <c r="G3916" s="6" t="str">
        <f>IF(AND($H3916="ATMOS DISTILLATION",ISNUMBER(SEARCH("VPS",$I3916))=FALSE,LEFT($I3916,6)&lt;&gt;"VACUUM"),"CDU",IF($H3916="FLUID CAT CRACKING","FCC",IF(OR($H3916="HYDROCRACKING",$H3916="RESID_HYDROCRACKING"),"Hydrocracker",IF($H3916="REFORMING","Reformer",""))))</f>
        <v>Reformer</v>
      </c>
      <c r="H3916" s="6" t="s">
        <v>421</v>
      </c>
      <c r="I3916" s="6" t="s">
        <v>916</v>
      </c>
      <c r="J3916" s="6" t="s">
        <v>349</v>
      </c>
      <c r="K3916" s="10">
        <v>10.01</v>
      </c>
      <c r="L3916" s="10">
        <v>13</v>
      </c>
      <c r="M3916" s="6" t="s">
        <v>375</v>
      </c>
    </row>
    <row r="3917" spans="1:13">
      <c r="A3917" s="6">
        <v>2024</v>
      </c>
      <c r="B3917" s="6">
        <v>6</v>
      </c>
      <c r="C3917" s="6" t="s">
        <v>64</v>
      </c>
      <c r="D3917" s="6" t="s">
        <v>380</v>
      </c>
      <c r="E3917" s="6" t="s">
        <v>381</v>
      </c>
      <c r="F3917" s="6" t="str">
        <f>IF($M3917="PADD I","PADD 1",IF($M3917="PADD II","PADD 2",IF($M3917="PADD III","PADD 3",IF($M3917="PADD IV","PADD 4",IF($M3917="PADD V","PADD 5","")))))</f>
        <v>PADD 3</v>
      </c>
      <c r="G3917" s="6">
        <f>IF(AND($H3917="ATMOS DISTILLATION",ISNUMBER(SEARCH("VPS",$I3917))=FALSE,LEFT($I3917,6)&lt;&gt;"VACUUM"),"CDU",IF($H3917="FLUID CAT CRACKING","FCC",IF(OR($H3917="HYDROCRACKING",$H3917="RESID_HYDROCRACKING"),"Hydrocracker",IF($H3917="REFORMING","Reformer",""))))</f>
        <v/>
      </c>
      <c r="H3917" s="6" t="s">
        <v>435</v>
      </c>
      <c r="I3917" s="6" t="s">
        <v>515</v>
      </c>
      <c r="J3917" s="6" t="s">
        <v>349</v>
      </c>
      <c r="K3917" s="10">
        <v>10</v>
      </c>
      <c r="L3917" s="10">
        <v>25</v>
      </c>
      <c r="M3917" s="6" t="s">
        <v>371</v>
      </c>
    </row>
    <row r="3918" spans="1:13">
      <c r="A3918" s="6">
        <v>2024</v>
      </c>
      <c r="B3918" s="6">
        <v>6</v>
      </c>
      <c r="C3918" s="6" t="s">
        <v>64</v>
      </c>
      <c r="D3918" s="6" t="s">
        <v>51</v>
      </c>
      <c r="E3918" s="6" t="s">
        <v>391</v>
      </c>
      <c r="F3918" s="6" t="str">
        <f>IF($M3918="PADD I","PADD 1",IF($M3918="PADD II","PADD 2",IF($M3918="PADD III","PADD 3",IF($M3918="PADD IV","PADD 4",IF($M3918="PADD V","PADD 5","")))))</f>
        <v>PADD 5</v>
      </c>
      <c r="G3918" s="6">
        <f>IF(AND($H3918="ATMOS DISTILLATION",ISNUMBER(SEARCH("VPS",$I3918))=FALSE,LEFT($I3918,6)&lt;&gt;"VACUUM"),"CDU",IF($H3918="FLUID CAT CRACKING","FCC",IF(OR($H3918="HYDROCRACKING",$H3918="RESID_HYDROCRACKING"),"Hydrocracker",IF($H3918="REFORMING","Reformer",""))))</f>
        <v/>
      </c>
      <c r="H3918" s="6" t="s">
        <v>43</v>
      </c>
      <c r="I3918" s="6" t="s">
        <v>1207</v>
      </c>
      <c r="J3918" s="6" t="s">
        <v>349</v>
      </c>
      <c r="K3918" s="10">
        <v>9.960000000000001</v>
      </c>
      <c r="L3918" s="10">
        <v>12</v>
      </c>
      <c r="M3918" s="6" t="s">
        <v>386</v>
      </c>
    </row>
    <row r="3919" spans="1:13">
      <c r="A3919" s="6">
        <v>2024</v>
      </c>
      <c r="B3919" s="6">
        <v>6</v>
      </c>
      <c r="C3919" s="6" t="s">
        <v>64</v>
      </c>
      <c r="D3919" s="6" t="s">
        <v>398</v>
      </c>
      <c r="E3919" s="6" t="s">
        <v>399</v>
      </c>
      <c r="F3919" s="6" t="str">
        <f>IF($M3919="PADD I","PADD 1",IF($M3919="PADD II","PADD 2",IF($M3919="PADD III","PADD 3",IF($M3919="PADD IV","PADD 4",IF($M3919="PADD V","PADD 5","")))))</f>
        <v>PADD 3</v>
      </c>
      <c r="G3919" s="6">
        <f>IF(AND($H3919="ATMOS DISTILLATION",ISNUMBER(SEARCH("VPS",$I3919))=FALSE,LEFT($I3919,6)&lt;&gt;"VACUUM"),"CDU",IF($H3919="FLUID CAT CRACKING","FCC",IF(OR($H3919="HYDROCRACKING",$H3919="RESID_HYDROCRACKING"),"Hydrocracker",IF($H3919="REFORMING","Reformer",""))))</f>
        <v/>
      </c>
      <c r="H3919" s="6" t="s">
        <v>435</v>
      </c>
      <c r="I3919" s="6" t="s">
        <v>528</v>
      </c>
      <c r="J3919" s="6" t="s">
        <v>349</v>
      </c>
      <c r="K3919" s="10">
        <v>9.69</v>
      </c>
      <c r="L3919" s="10">
        <v>57</v>
      </c>
      <c r="M3919" s="6" t="s">
        <v>371</v>
      </c>
    </row>
    <row r="3920" spans="1:13">
      <c r="A3920" s="6">
        <v>2024</v>
      </c>
      <c r="B3920" s="6">
        <v>6</v>
      </c>
      <c r="C3920" s="6" t="s">
        <v>64</v>
      </c>
      <c r="D3920" s="6" t="s">
        <v>762</v>
      </c>
      <c r="E3920" s="6" t="s">
        <v>763</v>
      </c>
      <c r="F3920" s="6" t="str">
        <f>IF($M3920="PADD I","PADD 1",IF($M3920="PADD II","PADD 2",IF($M3920="PADD III","PADD 3",IF($M3920="PADD IV","PADD 4",IF($M3920="PADD V","PADD 5","")))))</f>
        <v>PADD 2</v>
      </c>
      <c r="G3920" s="6" t="str">
        <f>IF(AND($H3920="ATMOS DISTILLATION",ISNUMBER(SEARCH("VPS",$I3920))=FALSE,LEFT($I3920,6)&lt;&gt;"VACUUM"),"CDU",IF($H3920="FLUID CAT CRACKING","FCC",IF(OR($H3920="HYDROCRACKING",$H3920="RESID_HYDROCRACKING"),"Hydrocracker",IF($H3920="REFORMING","Reformer",""))))</f>
        <v>CDU</v>
      </c>
      <c r="H3920" s="6" t="s">
        <v>38</v>
      </c>
      <c r="I3920" s="6" t="s">
        <v>330</v>
      </c>
      <c r="J3920" s="6" t="s">
        <v>345</v>
      </c>
      <c r="K3920" s="10">
        <v>8.75</v>
      </c>
      <c r="L3920" s="10">
        <v>8.75</v>
      </c>
      <c r="M3920" s="6" t="s">
        <v>375</v>
      </c>
    </row>
    <row r="3921" spans="1:13">
      <c r="A3921" s="6">
        <v>2024</v>
      </c>
      <c r="B3921" s="6">
        <v>6</v>
      </c>
      <c r="C3921" s="6" t="s">
        <v>64</v>
      </c>
      <c r="D3921" s="6" t="s">
        <v>547</v>
      </c>
      <c r="E3921" s="6" t="s">
        <v>391</v>
      </c>
      <c r="F3921" s="6" t="str">
        <f>IF($M3921="PADD I","PADD 1",IF($M3921="PADD II","PADD 2",IF($M3921="PADD III","PADD 3",IF($M3921="PADD IV","PADD 4",IF($M3921="PADD V","PADD 5","")))))</f>
        <v>PADD 5</v>
      </c>
      <c r="G3921" s="6" t="str">
        <f>IF(AND($H3921="ATMOS DISTILLATION",ISNUMBER(SEARCH("VPS",$I3921))=FALSE,LEFT($I3921,6)&lt;&gt;"VACUUM"),"CDU",IF($H3921="FLUID CAT CRACKING","FCC",IF(OR($H3921="HYDROCRACKING",$H3921="RESID_HYDROCRACKING"),"Hydrocracker",IF($H3921="REFORMING","Reformer",""))))</f>
        <v>Reformer</v>
      </c>
      <c r="H3921" s="6" t="s">
        <v>421</v>
      </c>
      <c r="I3921" s="6" t="s">
        <v>936</v>
      </c>
      <c r="J3921" s="6" t="s">
        <v>345</v>
      </c>
      <c r="K3921" s="10">
        <v>8.4</v>
      </c>
      <c r="L3921" s="10">
        <v>28</v>
      </c>
      <c r="M3921" s="6" t="s">
        <v>386</v>
      </c>
    </row>
    <row r="3922" spans="1:13">
      <c r="A3922" s="6">
        <v>2024</v>
      </c>
      <c r="B3922" s="6">
        <v>6</v>
      </c>
      <c r="C3922" s="6" t="s">
        <v>64</v>
      </c>
      <c r="D3922" s="6" t="s">
        <v>742</v>
      </c>
      <c r="E3922" s="6" t="s">
        <v>388</v>
      </c>
      <c r="F3922" s="6" t="str">
        <f>IF($M3922="PADD I","PADD 1",IF($M3922="PADD II","PADD 2",IF($M3922="PADD III","PADD 3",IF($M3922="PADD IV","PADD 4",IF($M3922="PADD V","PADD 5","")))))</f>
        <v>PADD 5</v>
      </c>
      <c r="G3922" s="6" t="str">
        <f>IF(AND($H3922="ATMOS DISTILLATION",ISNUMBER(SEARCH("VPS",$I3922))=FALSE,LEFT($I3922,6)&lt;&gt;"VACUUM"),"CDU",IF($H3922="FLUID CAT CRACKING","FCC",IF(OR($H3922="HYDROCRACKING",$H3922="RESID_HYDROCRACKING"),"Hydrocracker",IF($H3922="REFORMING","Reformer",""))))</f>
        <v>FCC</v>
      </c>
      <c r="H3922" s="6" t="s">
        <v>376</v>
      </c>
      <c r="I3922" s="6" t="s">
        <v>105</v>
      </c>
      <c r="J3922" s="6" t="s">
        <v>345</v>
      </c>
      <c r="K3922" s="10">
        <v>8.4</v>
      </c>
      <c r="L3922" s="10">
        <v>42</v>
      </c>
      <c r="M3922" s="6" t="s">
        <v>386</v>
      </c>
    </row>
    <row r="3923" spans="1:13">
      <c r="A3923" s="6">
        <v>2024</v>
      </c>
      <c r="B3923" s="6">
        <v>6</v>
      </c>
      <c r="C3923" s="6" t="s">
        <v>64</v>
      </c>
      <c r="D3923" s="6" t="s">
        <v>547</v>
      </c>
      <c r="E3923" s="6" t="s">
        <v>391</v>
      </c>
      <c r="F3923" s="6" t="str">
        <f>IF($M3923="PADD I","PADD 1",IF($M3923="PADD II","PADD 2",IF($M3923="PADD III","PADD 3",IF($M3923="PADD IV","PADD 4",IF($M3923="PADD V","PADD 5","")))))</f>
        <v>PADD 5</v>
      </c>
      <c r="G3923" s="6" t="str">
        <f>IF(AND($H3923="ATMOS DISTILLATION",ISNUMBER(SEARCH("VPS",$I3923))=FALSE,LEFT($I3923,6)&lt;&gt;"VACUUM"),"CDU",IF($H3923="FLUID CAT CRACKING","FCC",IF(OR($H3923="HYDROCRACKING",$H3923="RESID_HYDROCRACKING"),"Hydrocracker",IF($H3923="REFORMING","Reformer",""))))</f>
        <v>Reformer</v>
      </c>
      <c r="H3923" s="6" t="s">
        <v>421</v>
      </c>
      <c r="I3923" s="6" t="s">
        <v>548</v>
      </c>
      <c r="J3923" s="6" t="s">
        <v>345</v>
      </c>
      <c r="K3923" s="10">
        <v>8.4</v>
      </c>
      <c r="L3923" s="10">
        <v>28</v>
      </c>
      <c r="M3923" s="6" t="s">
        <v>386</v>
      </c>
    </row>
    <row r="3924" spans="1:13">
      <c r="A3924" s="6">
        <v>2024</v>
      </c>
      <c r="B3924" s="6">
        <v>6</v>
      </c>
      <c r="C3924" s="6" t="s">
        <v>64</v>
      </c>
      <c r="D3924" s="6" t="s">
        <v>380</v>
      </c>
      <c r="E3924" s="6" t="s">
        <v>381</v>
      </c>
      <c r="F3924" s="6" t="str">
        <f>IF($M3924="PADD I","PADD 1",IF($M3924="PADD II","PADD 2",IF($M3924="PADD III","PADD 3",IF($M3924="PADD IV","PADD 4",IF($M3924="PADD V","PADD 5","")))))</f>
        <v>PADD 3</v>
      </c>
      <c r="G3924" s="6" t="str">
        <f>IF(AND($H3924="ATMOS DISTILLATION",ISNUMBER(SEARCH("VPS",$I3924))=FALSE,LEFT($I3924,6)&lt;&gt;"VACUUM"),"CDU",IF($H3924="FLUID CAT CRACKING","FCC",IF(OR($H3924="HYDROCRACKING",$H3924="RESID_HYDROCRACKING"),"Hydrocracker",IF($H3924="REFORMING","Reformer",""))))</f>
        <v>FCC</v>
      </c>
      <c r="H3924" s="6" t="s">
        <v>376</v>
      </c>
      <c r="I3924" s="6" t="s">
        <v>652</v>
      </c>
      <c r="J3924" s="6" t="s">
        <v>345</v>
      </c>
      <c r="K3924" s="10">
        <v>8</v>
      </c>
      <c r="L3924" s="10">
        <v>20</v>
      </c>
      <c r="M3924" s="6" t="s">
        <v>371</v>
      </c>
    </row>
    <row r="3925" spans="1:13">
      <c r="A3925" s="6">
        <v>2024</v>
      </c>
      <c r="B3925" s="6">
        <v>6</v>
      </c>
      <c r="C3925" s="6" t="s">
        <v>64</v>
      </c>
      <c r="D3925" s="6" t="s">
        <v>878</v>
      </c>
      <c r="E3925" s="6" t="s">
        <v>452</v>
      </c>
      <c r="F3925" s="6" t="str">
        <f>IF($M3925="PADD I","PADD 1",IF($M3925="PADD II","PADD 2",IF($M3925="PADD III","PADD 3",IF($M3925="PADD IV","PADD 4",IF($M3925="PADD V","PADD 5","")))))</f>
        <v>PADD 2</v>
      </c>
      <c r="G3925" s="6">
        <f>IF(AND($H3925="ATMOS DISTILLATION",ISNUMBER(SEARCH("VPS",$I3925))=FALSE,LEFT($I3925,6)&lt;&gt;"VACUUM"),"CDU",IF($H3925="FLUID CAT CRACKING","FCC",IF(OR($H3925="HYDROCRACKING",$H3925="RESID_HYDROCRACKING"),"Hydrocracker",IF($H3925="REFORMING","Reformer",""))))</f>
        <v/>
      </c>
      <c r="H3925" s="6" t="s">
        <v>435</v>
      </c>
      <c r="I3925" s="6" t="s">
        <v>441</v>
      </c>
      <c r="J3925" s="6" t="s">
        <v>345</v>
      </c>
      <c r="K3925" s="10">
        <v>7.905</v>
      </c>
      <c r="L3925" s="10">
        <v>8.5</v>
      </c>
      <c r="M3925" s="6" t="s">
        <v>375</v>
      </c>
    </row>
    <row r="3926" spans="1:13">
      <c r="A3926" s="6">
        <v>2024</v>
      </c>
      <c r="B3926" s="6">
        <v>6</v>
      </c>
      <c r="C3926" s="6" t="s">
        <v>64</v>
      </c>
      <c r="D3926" s="6" t="s">
        <v>335</v>
      </c>
      <c r="E3926" s="6" t="s">
        <v>369</v>
      </c>
      <c r="F3926" s="6" t="str">
        <f>IF($M3926="PADD I","PADD 1",IF($M3926="PADD II","PADD 2",IF($M3926="PADD III","PADD 3",IF($M3926="PADD IV","PADD 4",IF($M3926="PADD V","PADD 5","")))))</f>
        <v>PADD 3</v>
      </c>
      <c r="G3926" s="6" t="str">
        <f>IF(AND($H3926="ATMOS DISTILLATION",ISNUMBER(SEARCH("VPS",$I3926))=FALSE,LEFT($I3926,6)&lt;&gt;"VACUUM"),"CDU",IF($H3926="FLUID CAT CRACKING","FCC",IF(OR($H3926="HYDROCRACKING",$H3926="RESID_HYDROCRACKING"),"Hydrocracker",IF($H3926="REFORMING","Reformer",""))))</f>
        <v>Reformer</v>
      </c>
      <c r="H3926" s="6" t="s">
        <v>421</v>
      </c>
      <c r="I3926" s="6" t="s">
        <v>1099</v>
      </c>
      <c r="J3926" s="6" t="s">
        <v>349</v>
      </c>
      <c r="K3926" s="10">
        <v>7.82</v>
      </c>
      <c r="L3926" s="10">
        <v>34</v>
      </c>
      <c r="M3926" s="6" t="s">
        <v>371</v>
      </c>
    </row>
    <row r="3927" spans="1:13">
      <c r="A3927" s="6">
        <v>2024</v>
      </c>
      <c r="B3927" s="6">
        <v>6</v>
      </c>
      <c r="C3927" s="6" t="s">
        <v>64</v>
      </c>
      <c r="D3927" s="6" t="s">
        <v>762</v>
      </c>
      <c r="E3927" s="6" t="s">
        <v>763</v>
      </c>
      <c r="F3927" s="6" t="str">
        <f>IF($M3927="PADD I","PADD 1",IF($M3927="PADD II","PADD 2",IF($M3927="PADD III","PADD 3",IF($M3927="PADD IV","PADD 4",IF($M3927="PADD V","PADD 5","")))))</f>
        <v>PADD 2</v>
      </c>
      <c r="G3927" s="6">
        <f>IF(AND($H3927="ATMOS DISTILLATION",ISNUMBER(SEARCH("VPS",$I3927))=FALSE,LEFT($I3927,6)&lt;&gt;"VACUUM"),"CDU",IF($H3927="FLUID CAT CRACKING","FCC",IF(OR($H3927="HYDROCRACKING",$H3927="RESID_HYDROCRACKING"),"Hydrocracker",IF($H3927="REFORMING","Reformer",""))))</f>
        <v/>
      </c>
      <c r="H3927" s="6" t="s">
        <v>378</v>
      </c>
      <c r="I3927" s="6" t="s">
        <v>812</v>
      </c>
      <c r="J3927" s="6" t="s">
        <v>345</v>
      </c>
      <c r="K3927" s="10">
        <v>7.5</v>
      </c>
      <c r="L3927" s="10">
        <v>15</v>
      </c>
      <c r="M3927" s="6" t="s">
        <v>375</v>
      </c>
    </row>
    <row r="3928" spans="1:13">
      <c r="A3928" s="6">
        <v>2024</v>
      </c>
      <c r="B3928" s="6">
        <v>6</v>
      </c>
      <c r="C3928" s="6" t="s">
        <v>64</v>
      </c>
      <c r="D3928" s="6" t="s">
        <v>612</v>
      </c>
      <c r="E3928" s="6" t="s">
        <v>416</v>
      </c>
      <c r="F3928" s="6" t="str">
        <f>IF($M3928="PADD I","PADD 1",IF($M3928="PADD II","PADD 2",IF($M3928="PADD III","PADD 3",IF($M3928="PADD IV","PADD 4",IF($M3928="PADD V","PADD 5","")))))</f>
        <v>PADD 3</v>
      </c>
      <c r="G3928" s="6">
        <f>IF(AND($H3928="ATMOS DISTILLATION",ISNUMBER(SEARCH("VPS",$I3928))=FALSE,LEFT($I3928,6)&lt;&gt;"VACUUM"),"CDU",IF($H3928="FLUID CAT CRACKING","FCC",IF(OR($H3928="HYDROCRACKING",$H3928="RESID_HYDROCRACKING"),"Hydrocracker",IF($H3928="REFORMING","Reformer",""))))</f>
        <v/>
      </c>
      <c r="H3928" s="6" t="s">
        <v>435</v>
      </c>
      <c r="I3928" s="6" t="s">
        <v>441</v>
      </c>
      <c r="J3928" s="6" t="s">
        <v>345</v>
      </c>
      <c r="K3928" s="10">
        <v>7.48</v>
      </c>
      <c r="L3928" s="10">
        <v>44</v>
      </c>
      <c r="M3928" s="6" t="s">
        <v>371</v>
      </c>
    </row>
    <row r="3929" spans="1:13">
      <c r="A3929" s="6">
        <v>2024</v>
      </c>
      <c r="B3929" s="6">
        <v>6</v>
      </c>
      <c r="C3929" s="6" t="s">
        <v>64</v>
      </c>
      <c r="D3929" s="6" t="s">
        <v>446</v>
      </c>
      <c r="E3929" s="6" t="s">
        <v>391</v>
      </c>
      <c r="F3929" s="6" t="str">
        <f>IF($M3929="PADD I","PADD 1",IF($M3929="PADD II","PADD 2",IF($M3929="PADD III","PADD 3",IF($M3929="PADD IV","PADD 4",IF($M3929="PADD V","PADD 5","")))))</f>
        <v>PADD 3</v>
      </c>
      <c r="G3929" s="6">
        <f>IF(AND($H3929="ATMOS DISTILLATION",ISNUMBER(SEARCH("VPS",$I3929))=FALSE,LEFT($I3929,6)&lt;&gt;"VACUUM"),"CDU",IF($H3929="FLUID CAT CRACKING","FCC",IF(OR($H3929="HYDROCRACKING",$H3929="RESID_HYDROCRACKING"),"Hydrocracker",IF($H3929="REFORMING","Reformer",""))))</f>
        <v/>
      </c>
      <c r="H3929" s="6" t="s">
        <v>460</v>
      </c>
      <c r="I3929" s="6" t="s">
        <v>1075</v>
      </c>
      <c r="J3929" s="6" t="s">
        <v>345</v>
      </c>
      <c r="K3929" s="10">
        <v>7.2</v>
      </c>
      <c r="L3929" s="10">
        <v>7.2</v>
      </c>
      <c r="M3929" s="6" t="s">
        <v>371</v>
      </c>
    </row>
    <row r="3930" spans="1:13">
      <c r="A3930" s="6">
        <v>2024</v>
      </c>
      <c r="B3930" s="6">
        <v>6</v>
      </c>
      <c r="C3930" s="6" t="s">
        <v>64</v>
      </c>
      <c r="D3930" s="6" t="s">
        <v>526</v>
      </c>
      <c r="E3930" s="6" t="s">
        <v>405</v>
      </c>
      <c r="F3930" s="6" t="str">
        <f>IF($M3930="PADD I","PADD 1",IF($M3930="PADD II","PADD 2",IF($M3930="PADD III","PADD 3",IF($M3930="PADD IV","PADD 4",IF($M3930="PADD V","PADD 5","")))))</f>
        <v>PADD 3</v>
      </c>
      <c r="G3930" s="6">
        <f>IF(AND($H3930="ATMOS DISTILLATION",ISNUMBER(SEARCH("VPS",$I3930))=FALSE,LEFT($I3930,6)&lt;&gt;"VACUUM"),"CDU",IF($H3930="FLUID CAT CRACKING","FCC",IF(OR($H3930="HYDROCRACKING",$H3930="RESID_HYDROCRACKING"),"Hydrocracker",IF($H3930="REFORMING","Reformer",""))))</f>
        <v/>
      </c>
      <c r="H3930" s="6" t="s">
        <v>43</v>
      </c>
      <c r="I3930" s="6" t="s">
        <v>1076</v>
      </c>
      <c r="J3930" s="6" t="s">
        <v>345</v>
      </c>
      <c r="K3930" s="10">
        <v>7.15</v>
      </c>
      <c r="L3930" s="10">
        <v>55</v>
      </c>
      <c r="M3930" s="6" t="s">
        <v>371</v>
      </c>
    </row>
    <row r="3931" spans="1:13">
      <c r="A3931" s="6">
        <v>2024</v>
      </c>
      <c r="B3931" s="6">
        <v>6</v>
      </c>
      <c r="C3931" s="6" t="s">
        <v>64</v>
      </c>
      <c r="D3931" s="6" t="s">
        <v>542</v>
      </c>
      <c r="E3931" s="6" t="s">
        <v>543</v>
      </c>
      <c r="F3931" s="6" t="str">
        <f>IF($M3931="PADD I","PADD 1",IF($M3931="PADD II","PADD 2",IF($M3931="PADD III","PADD 3",IF($M3931="PADD IV","PADD 4",IF($M3931="PADD V","PADD 5","")))))</f>
        <v>PADD 2</v>
      </c>
      <c r="G3931" s="6" t="str">
        <f>IF(AND($H3931="ATMOS DISTILLATION",ISNUMBER(SEARCH("VPS",$I3931))=FALSE,LEFT($I3931,6)&lt;&gt;"VACUUM"),"CDU",IF($H3931="FLUID CAT CRACKING","FCC",IF(OR($H3931="HYDROCRACKING",$H3931="RESID_HYDROCRACKING"),"Hydrocracker",IF($H3931="REFORMING","Reformer",""))))</f>
        <v>Reformer</v>
      </c>
      <c r="H3931" s="6" t="s">
        <v>421</v>
      </c>
      <c r="I3931" s="6" t="s">
        <v>1112</v>
      </c>
      <c r="J3931" s="6" t="s">
        <v>345</v>
      </c>
      <c r="K3931" s="10">
        <v>7</v>
      </c>
      <c r="L3931" s="10">
        <v>70</v>
      </c>
      <c r="M3931" s="6" t="s">
        <v>375</v>
      </c>
    </row>
    <row r="3932" spans="1:13">
      <c r="A3932" s="6">
        <v>2024</v>
      </c>
      <c r="B3932" s="6">
        <v>6</v>
      </c>
      <c r="C3932" s="6" t="s">
        <v>64</v>
      </c>
      <c r="D3932" s="6" t="s">
        <v>408</v>
      </c>
      <c r="E3932" s="6" t="s">
        <v>409</v>
      </c>
      <c r="F3932" s="6" t="str">
        <f>IF($M3932="PADD I","PADD 1",IF($M3932="PADD II","PADD 2",IF($M3932="PADD III","PADD 3",IF($M3932="PADD IV","PADD 4",IF($M3932="PADD V","PADD 5","")))))</f>
        <v>PADD 3</v>
      </c>
      <c r="G3932" s="6">
        <f>IF(AND($H3932="ATMOS DISTILLATION",ISNUMBER(SEARCH("VPS",$I3932))=FALSE,LEFT($I3932,6)&lt;&gt;"VACUUM"),"CDU",IF($H3932="FLUID CAT CRACKING","FCC",IF(OR($H3932="HYDROCRACKING",$H3932="RESID_HYDROCRACKING"),"Hydrocracker",IF($H3932="REFORMING","Reformer",""))))</f>
        <v/>
      </c>
      <c r="H3932" s="6" t="s">
        <v>43</v>
      </c>
      <c r="I3932" s="6" t="s">
        <v>502</v>
      </c>
      <c r="J3932" s="6" t="s">
        <v>345</v>
      </c>
      <c r="K3932" s="10">
        <v>6.9</v>
      </c>
      <c r="L3932" s="10">
        <v>30</v>
      </c>
      <c r="M3932" s="6" t="s">
        <v>371</v>
      </c>
    </row>
    <row r="3933" spans="1:13">
      <c r="A3933" s="6">
        <v>2024</v>
      </c>
      <c r="B3933" s="6">
        <v>6</v>
      </c>
      <c r="C3933" s="6" t="s">
        <v>64</v>
      </c>
      <c r="D3933" s="6" t="s">
        <v>408</v>
      </c>
      <c r="E3933" s="6" t="s">
        <v>409</v>
      </c>
      <c r="F3933" s="6" t="str">
        <f>IF($M3933="PADD I","PADD 1",IF($M3933="PADD II","PADD 2",IF($M3933="PADD III","PADD 3",IF($M3933="PADD IV","PADD 4",IF($M3933="PADD V","PADD 5","")))))</f>
        <v>PADD 3</v>
      </c>
      <c r="G3933" s="6">
        <f>IF(AND($H3933="ATMOS DISTILLATION",ISNUMBER(SEARCH("VPS",$I3933))=FALSE,LEFT($I3933,6)&lt;&gt;"VACUUM"),"CDU",IF($H3933="FLUID CAT CRACKING","FCC",IF(OR($H3933="HYDROCRACKING",$H3933="RESID_HYDROCRACKING"),"Hydrocracker",IF($H3933="REFORMING","Reformer",""))))</f>
        <v/>
      </c>
      <c r="H3933" s="6" t="s">
        <v>43</v>
      </c>
      <c r="I3933" s="6" t="s">
        <v>503</v>
      </c>
      <c r="J3933" s="6" t="s">
        <v>345</v>
      </c>
      <c r="K3933" s="10">
        <v>6.9</v>
      </c>
      <c r="L3933" s="10">
        <v>30</v>
      </c>
      <c r="M3933" s="6" t="s">
        <v>371</v>
      </c>
    </row>
    <row r="3934" spans="1:13">
      <c r="A3934" s="6">
        <v>2024</v>
      </c>
      <c r="B3934" s="6">
        <v>6</v>
      </c>
      <c r="C3934" s="6" t="s">
        <v>64</v>
      </c>
      <c r="D3934" s="6" t="s">
        <v>799</v>
      </c>
      <c r="E3934" s="6" t="s">
        <v>391</v>
      </c>
      <c r="F3934" s="6" t="str">
        <f>IF($M3934="PADD I","PADD 1",IF($M3934="PADD II","PADD 2",IF($M3934="PADD III","PADD 3",IF($M3934="PADD IV","PADD 4",IF($M3934="PADD V","PADD 5","")))))</f>
        <v>PADD 4</v>
      </c>
      <c r="G3934" s="6">
        <f>IF(AND($H3934="ATMOS DISTILLATION",ISNUMBER(SEARCH("VPS",$I3934))=FALSE,LEFT($I3934,6)&lt;&gt;"VACUUM"),"CDU",IF($H3934="FLUID CAT CRACKING","FCC",IF(OR($H3934="HYDROCRACKING",$H3934="RESID_HYDROCRACKING"),"Hydrocracker",IF($H3934="REFORMING","Reformer",""))))</f>
        <v/>
      </c>
      <c r="H3934" s="6" t="s">
        <v>43</v>
      </c>
      <c r="I3934" s="6" t="s">
        <v>1067</v>
      </c>
      <c r="J3934" s="6" t="s">
        <v>349</v>
      </c>
      <c r="K3934" s="10">
        <v>6.45</v>
      </c>
      <c r="L3934" s="10">
        <v>15</v>
      </c>
      <c r="M3934" s="6" t="s">
        <v>430</v>
      </c>
    </row>
    <row r="3935" spans="1:13">
      <c r="A3935" s="6">
        <v>2024</v>
      </c>
      <c r="B3935" s="6">
        <v>6</v>
      </c>
      <c r="C3935" s="6" t="s">
        <v>64</v>
      </c>
      <c r="D3935" s="6" t="s">
        <v>526</v>
      </c>
      <c r="E3935" s="6" t="s">
        <v>405</v>
      </c>
      <c r="F3935" s="6" t="str">
        <f>IF($M3935="PADD I","PADD 1",IF($M3935="PADD II","PADD 2",IF($M3935="PADD III","PADD 3",IF($M3935="PADD IV","PADD 4",IF($M3935="PADD V","PADD 5","")))))</f>
        <v>PADD 3</v>
      </c>
      <c r="G3935" s="6">
        <f>IF(AND($H3935="ATMOS DISTILLATION",ISNUMBER(SEARCH("VPS",$I3935))=FALSE,LEFT($I3935,6)&lt;&gt;"VACUUM"),"CDU",IF($H3935="FLUID CAT CRACKING","FCC",IF(OR($H3935="HYDROCRACKING",$H3935="RESID_HYDROCRACKING"),"Hydrocracker",IF($H3935="REFORMING","Reformer",""))))</f>
        <v/>
      </c>
      <c r="H3935" s="6" t="s">
        <v>43</v>
      </c>
      <c r="I3935" s="6" t="s">
        <v>1076</v>
      </c>
      <c r="J3935" s="6" t="s">
        <v>345</v>
      </c>
      <c r="K3935" s="10">
        <v>6.11</v>
      </c>
      <c r="L3935" s="10">
        <v>47</v>
      </c>
      <c r="M3935" s="6" t="s">
        <v>371</v>
      </c>
    </row>
    <row r="3936" spans="1:13">
      <c r="A3936" s="6">
        <v>2024</v>
      </c>
      <c r="B3936" s="6">
        <v>6</v>
      </c>
      <c r="C3936" s="6" t="s">
        <v>64</v>
      </c>
      <c r="D3936" s="6" t="s">
        <v>542</v>
      </c>
      <c r="E3936" s="6" t="s">
        <v>543</v>
      </c>
      <c r="F3936" s="6" t="str">
        <f>IF($M3936="PADD I","PADD 1",IF($M3936="PADD II","PADD 2",IF($M3936="PADD III","PADD 3",IF($M3936="PADD IV","PADD 4",IF($M3936="PADD V","PADD 5","")))))</f>
        <v>PADD 2</v>
      </c>
      <c r="G3936" s="6" t="str">
        <f>IF(AND($H3936="ATMOS DISTILLATION",ISNUMBER(SEARCH("VPS",$I3936))=FALSE,LEFT($I3936,6)&lt;&gt;"VACUUM"),"CDU",IF($H3936="FLUID CAT CRACKING","FCC",IF(OR($H3936="HYDROCRACKING",$H3936="RESID_HYDROCRACKING"),"Hydrocracker",IF($H3936="REFORMING","Reformer",""))))</f>
        <v>Reformer</v>
      </c>
      <c r="H3936" s="6" t="s">
        <v>421</v>
      </c>
      <c r="I3936" s="6" t="s">
        <v>1114</v>
      </c>
      <c r="J3936" s="6" t="s">
        <v>345</v>
      </c>
      <c r="K3936" s="10">
        <v>6</v>
      </c>
      <c r="L3936" s="10">
        <v>60</v>
      </c>
      <c r="M3936" s="6" t="s">
        <v>375</v>
      </c>
    </row>
    <row r="3937" spans="1:13">
      <c r="A3937" s="6">
        <v>2024</v>
      </c>
      <c r="B3937" s="6">
        <v>6</v>
      </c>
      <c r="C3937" s="6" t="s">
        <v>64</v>
      </c>
      <c r="D3937" s="6" t="s">
        <v>333</v>
      </c>
      <c r="E3937" s="6" t="s">
        <v>381</v>
      </c>
      <c r="F3937" s="6" t="str">
        <f>IF($M3937="PADD I","PADD 1",IF($M3937="PADD II","PADD 2",IF($M3937="PADD III","PADD 3",IF($M3937="PADD IV","PADD 4",IF($M3937="PADD V","PADD 5","")))))</f>
        <v>PADD 3</v>
      </c>
      <c r="G3937" s="6" t="str">
        <f>IF(AND($H3937="ATMOS DISTILLATION",ISNUMBER(SEARCH("VPS",$I3937))=FALSE,LEFT($I3937,6)&lt;&gt;"VACUUM"),"CDU",IF($H3937="FLUID CAT CRACKING","FCC",IF(OR($H3937="HYDROCRACKING",$H3937="RESID_HYDROCRACKING"),"Hydrocracker",IF($H3937="REFORMING","Reformer",""))))</f>
        <v>CDU</v>
      </c>
      <c r="H3937" s="6" t="s">
        <v>38</v>
      </c>
      <c r="I3937" s="6" t="s">
        <v>650</v>
      </c>
      <c r="J3937" s="6" t="s">
        <v>345</v>
      </c>
      <c r="K3937" s="10">
        <v>5.85</v>
      </c>
      <c r="L3937" s="10">
        <v>45</v>
      </c>
      <c r="M3937" s="6" t="s">
        <v>371</v>
      </c>
    </row>
    <row r="3938" spans="1:13">
      <c r="A3938" s="6">
        <v>2024</v>
      </c>
      <c r="B3938" s="6">
        <v>6</v>
      </c>
      <c r="C3938" s="6" t="s">
        <v>64</v>
      </c>
      <c r="D3938" s="6" t="s">
        <v>675</v>
      </c>
      <c r="E3938" s="6" t="s">
        <v>452</v>
      </c>
      <c r="F3938" s="6" t="str">
        <f>IF($M3938="PADD I","PADD 1",IF($M3938="PADD II","PADD 2",IF($M3938="PADD III","PADD 3",IF($M3938="PADD IV","PADD 4",IF($M3938="PADD V","PADD 5","")))))</f>
        <v>PADD 2</v>
      </c>
      <c r="G3938" s="6">
        <f>IF(AND($H3938="ATMOS DISTILLATION",ISNUMBER(SEARCH("VPS",$I3938))=FALSE,LEFT($I3938,6)&lt;&gt;"VACUUM"),"CDU",IF($H3938="FLUID CAT CRACKING","FCC",IF(OR($H3938="HYDROCRACKING",$H3938="RESID_HYDROCRACKING"),"Hydrocracker",IF($H3938="REFORMING","Reformer",""))))</f>
        <v/>
      </c>
      <c r="H3938" s="6" t="s">
        <v>435</v>
      </c>
      <c r="I3938" s="6" t="s">
        <v>441</v>
      </c>
      <c r="J3938" s="6" t="s">
        <v>345</v>
      </c>
      <c r="K3938" s="10">
        <v>5.7</v>
      </c>
      <c r="L3938" s="10">
        <v>19</v>
      </c>
      <c r="M3938" s="6" t="s">
        <v>375</v>
      </c>
    </row>
    <row r="3939" spans="1:13">
      <c r="A3939" s="6">
        <v>2024</v>
      </c>
      <c r="B3939" s="6">
        <v>6</v>
      </c>
      <c r="C3939" s="6" t="s">
        <v>64</v>
      </c>
      <c r="D3939" s="6" t="s">
        <v>408</v>
      </c>
      <c r="E3939" s="6" t="s">
        <v>409</v>
      </c>
      <c r="F3939" s="6" t="str">
        <f>IF($M3939="PADD I","PADD 1",IF($M3939="PADD II","PADD 2",IF($M3939="PADD III","PADD 3",IF($M3939="PADD IV","PADD 4",IF($M3939="PADD V","PADD 5","")))))</f>
        <v>PADD 3</v>
      </c>
      <c r="G3939" s="6">
        <f>IF(AND($H3939="ATMOS DISTILLATION",ISNUMBER(SEARCH("VPS",$I3939))=FALSE,LEFT($I3939,6)&lt;&gt;"VACUUM"),"CDU",IF($H3939="FLUID CAT CRACKING","FCC",IF(OR($H3939="HYDROCRACKING",$H3939="RESID_HYDROCRACKING"),"Hydrocracker",IF($H3939="REFORMING","Reformer",""))))</f>
        <v/>
      </c>
      <c r="H3939" s="6" t="s">
        <v>43</v>
      </c>
      <c r="I3939" s="6" t="s">
        <v>517</v>
      </c>
      <c r="J3939" s="6" t="s">
        <v>345</v>
      </c>
      <c r="K3939" s="10">
        <v>5.52</v>
      </c>
      <c r="L3939" s="10">
        <v>24</v>
      </c>
      <c r="M3939" s="6" t="s">
        <v>371</v>
      </c>
    </row>
    <row r="3940" spans="1:13">
      <c r="A3940" s="6">
        <v>2024</v>
      </c>
      <c r="B3940" s="6">
        <v>6</v>
      </c>
      <c r="C3940" s="6" t="s">
        <v>64</v>
      </c>
      <c r="D3940" s="6" t="s">
        <v>788</v>
      </c>
      <c r="E3940" s="6" t="s">
        <v>405</v>
      </c>
      <c r="F3940" s="6" t="str">
        <f>IF($M3940="PADD I","PADD 1",IF($M3940="PADD II","PADD 2",IF($M3940="PADD III","PADD 3",IF($M3940="PADD IV","PADD 4",IF($M3940="PADD V","PADD 5","")))))</f>
        <v>PADD 3</v>
      </c>
      <c r="G3940" s="6">
        <f>IF(AND($H3940="ATMOS DISTILLATION",ISNUMBER(SEARCH("VPS",$I3940))=FALSE,LEFT($I3940,6)&lt;&gt;"VACUUM"),"CDU",IF($H3940="FLUID CAT CRACKING","FCC",IF(OR($H3940="HYDROCRACKING",$H3940="RESID_HYDROCRACKING"),"Hydrocracker",IF($H3940="REFORMING","Reformer",""))))</f>
        <v/>
      </c>
      <c r="H3940" s="6" t="s">
        <v>378</v>
      </c>
      <c r="I3940" s="6" t="s">
        <v>812</v>
      </c>
      <c r="J3940" s="6" t="s">
        <v>345</v>
      </c>
      <c r="K3940" s="10">
        <v>5</v>
      </c>
      <c r="L3940" s="10">
        <v>50</v>
      </c>
      <c r="M3940" s="6" t="s">
        <v>371</v>
      </c>
    </row>
    <row r="3941" spans="1:13">
      <c r="A3941" s="6">
        <v>2024</v>
      </c>
      <c r="B3941" s="6">
        <v>6</v>
      </c>
      <c r="C3941" s="6" t="s">
        <v>64</v>
      </c>
      <c r="D3941" s="6" t="s">
        <v>572</v>
      </c>
      <c r="E3941" s="6" t="s">
        <v>573</v>
      </c>
      <c r="F3941" s="6" t="str">
        <f>IF($M3941="PADD I","PADD 1",IF($M3941="PADD II","PADD 2",IF($M3941="PADD III","PADD 3",IF($M3941="PADD IV","PADD 4",IF($M3941="PADD V","PADD 5","")))))</f>
        <v>PADD 3</v>
      </c>
      <c r="G3941" s="6" t="str">
        <f>IF(AND($H3941="ATMOS DISTILLATION",ISNUMBER(SEARCH("VPS",$I3941))=FALSE,LEFT($I3941,6)&lt;&gt;"VACUUM"),"CDU",IF($H3941="FLUID CAT CRACKING","FCC",IF(OR($H3941="HYDROCRACKING",$H3941="RESID_HYDROCRACKING"),"Hydrocracker",IF($H3941="REFORMING","Reformer",""))))</f>
        <v>CDU</v>
      </c>
      <c r="H3941" s="6" t="s">
        <v>38</v>
      </c>
      <c r="I3941" s="6" t="s">
        <v>574</v>
      </c>
      <c r="J3941" s="6" t="s">
        <v>345</v>
      </c>
      <c r="K3941" s="10">
        <v>5</v>
      </c>
      <c r="L3941" s="10">
        <v>50</v>
      </c>
      <c r="M3941" s="6" t="s">
        <v>371</v>
      </c>
    </row>
    <row r="3942" spans="1:13">
      <c r="A3942" s="6">
        <v>2024</v>
      </c>
      <c r="B3942" s="6">
        <v>6</v>
      </c>
      <c r="C3942" s="6" t="s">
        <v>64</v>
      </c>
      <c r="D3942" s="6" t="s">
        <v>395</v>
      </c>
      <c r="E3942" s="6" t="s">
        <v>396</v>
      </c>
      <c r="F3942" s="6" t="str">
        <f>IF($M3942="PADD I","PADD 1",IF($M3942="PADD II","PADD 2",IF($M3942="PADD III","PADD 3",IF($M3942="PADD IV","PADD 4",IF($M3942="PADD V","PADD 5","")))))</f>
        <v>PADD 3</v>
      </c>
      <c r="G3942" s="6" t="str">
        <f>IF(AND($H3942="ATMOS DISTILLATION",ISNUMBER(SEARCH("VPS",$I3942))=FALSE,LEFT($I3942,6)&lt;&gt;"VACUUM"),"CDU",IF($H3942="FLUID CAT CRACKING","FCC",IF(OR($H3942="HYDROCRACKING",$H3942="RESID_HYDROCRACKING"),"Hydrocracker",IF($H3942="REFORMING","Reformer",""))))</f>
        <v>Hydrocracker</v>
      </c>
      <c r="H3942" s="6" t="s">
        <v>444</v>
      </c>
      <c r="I3942" s="6" t="s">
        <v>512</v>
      </c>
      <c r="J3942" s="6" t="s">
        <v>345</v>
      </c>
      <c r="K3942" s="10">
        <v>4.69</v>
      </c>
      <c r="L3942" s="10">
        <v>67</v>
      </c>
      <c r="M3942" s="6" t="s">
        <v>371</v>
      </c>
    </row>
    <row r="3943" spans="1:13">
      <c r="A3943" s="6">
        <v>2024</v>
      </c>
      <c r="B3943" s="6">
        <v>6</v>
      </c>
      <c r="C3943" s="6" t="s">
        <v>64</v>
      </c>
      <c r="D3943" s="6" t="s">
        <v>335</v>
      </c>
      <c r="E3943" s="6" t="s">
        <v>369</v>
      </c>
      <c r="F3943" s="6" t="str">
        <f>IF($M3943="PADD I","PADD 1",IF($M3943="PADD II","PADD 2",IF($M3943="PADD III","PADD 3",IF($M3943="PADD IV","PADD 4",IF($M3943="PADD V","PADD 5","")))))</f>
        <v>PADD 3</v>
      </c>
      <c r="G3943" s="6">
        <f>IF(AND($H3943="ATMOS DISTILLATION",ISNUMBER(SEARCH("VPS",$I3943))=FALSE,LEFT($I3943,6)&lt;&gt;"VACUUM"),"CDU",IF($H3943="FLUID CAT CRACKING","FCC",IF(OR($H3943="HYDROCRACKING",$H3943="RESID_HYDROCRACKING"),"Hydrocracker",IF($H3943="REFORMING","Reformer",""))))</f>
        <v/>
      </c>
      <c r="H3943" s="6" t="s">
        <v>460</v>
      </c>
      <c r="I3943" s="6" t="s">
        <v>1206</v>
      </c>
      <c r="J3943" s="6" t="s">
        <v>349</v>
      </c>
      <c r="K3943" s="10">
        <v>4.6</v>
      </c>
      <c r="L3943" s="10">
        <v>20</v>
      </c>
      <c r="M3943" s="6" t="s">
        <v>371</v>
      </c>
    </row>
    <row r="3944" spans="1:13">
      <c r="A3944" s="6">
        <v>2024</v>
      </c>
      <c r="B3944" s="6">
        <v>6</v>
      </c>
      <c r="C3944" s="6" t="s">
        <v>64</v>
      </c>
      <c r="D3944" s="6" t="s">
        <v>329</v>
      </c>
      <c r="E3944" s="6" t="s">
        <v>427</v>
      </c>
      <c r="F3944" s="6" t="str">
        <f>IF($M3944="PADD I","PADD 1",IF($M3944="PADD II","PADD 2",IF($M3944="PADD III","PADD 3",IF($M3944="PADD IV","PADD 4",IF($M3944="PADD V","PADD 5","")))))</f>
        <v>PADD 3</v>
      </c>
      <c r="G3944" s="6">
        <f>IF(AND($H3944="ATMOS DISTILLATION",ISNUMBER(SEARCH("VPS",$I3944))=FALSE,LEFT($I3944,6)&lt;&gt;"VACUUM"),"CDU",IF($H3944="FLUID CAT CRACKING","FCC",IF(OR($H3944="HYDROCRACKING",$H3944="RESID_HYDROCRACKING"),"Hydrocracker",IF($H3944="REFORMING","Reformer",""))))</f>
        <v/>
      </c>
      <c r="H3944" s="6" t="s">
        <v>43</v>
      </c>
      <c r="I3944" s="6" t="s">
        <v>1208</v>
      </c>
      <c r="J3944" s="6" t="s">
        <v>345</v>
      </c>
      <c r="K3944" s="10">
        <v>4.5</v>
      </c>
      <c r="L3944" s="10">
        <v>45</v>
      </c>
      <c r="M3944" s="6" t="s">
        <v>371</v>
      </c>
    </row>
    <row r="3945" spans="1:13">
      <c r="A3945" s="6">
        <v>2024</v>
      </c>
      <c r="B3945" s="6">
        <v>6</v>
      </c>
      <c r="C3945" s="6" t="s">
        <v>64</v>
      </c>
      <c r="D3945" s="6" t="s">
        <v>434</v>
      </c>
      <c r="E3945" s="6" t="s">
        <v>388</v>
      </c>
      <c r="F3945" s="6" t="str">
        <f>IF($M3945="PADD I","PADD 1",IF($M3945="PADD II","PADD 2",IF($M3945="PADD III","PADD 3",IF($M3945="PADD IV","PADD 4",IF($M3945="PADD V","PADD 5","")))))</f>
        <v>PADD 5</v>
      </c>
      <c r="G3945" s="6" t="str">
        <f>IF(AND($H3945="ATMOS DISTILLATION",ISNUMBER(SEARCH("VPS",$I3945))=FALSE,LEFT($I3945,6)&lt;&gt;"VACUUM"),"CDU",IF($H3945="FLUID CAT CRACKING","FCC",IF(OR($H3945="HYDROCRACKING",$H3945="RESID_HYDROCRACKING"),"Hydrocracker",IF($H3945="REFORMING","Reformer",""))))</f>
        <v>Reformer</v>
      </c>
      <c r="H3945" s="6" t="s">
        <v>421</v>
      </c>
      <c r="I3945" s="6" t="s">
        <v>671</v>
      </c>
      <c r="J3945" s="6" t="s">
        <v>345</v>
      </c>
      <c r="K3945" s="10">
        <v>4.5</v>
      </c>
      <c r="L3945" s="10">
        <v>15</v>
      </c>
      <c r="M3945" s="6" t="s">
        <v>386</v>
      </c>
    </row>
    <row r="3946" spans="1:13">
      <c r="A3946" s="6">
        <v>2024</v>
      </c>
      <c r="B3946" s="6">
        <v>6</v>
      </c>
      <c r="C3946" s="6" t="s">
        <v>64</v>
      </c>
      <c r="D3946" s="6" t="s">
        <v>329</v>
      </c>
      <c r="E3946" s="6" t="s">
        <v>427</v>
      </c>
      <c r="F3946" s="6" t="str">
        <f>IF($M3946="PADD I","PADD 1",IF($M3946="PADD II","PADD 2",IF($M3946="PADD III","PADD 3",IF($M3946="PADD IV","PADD 4",IF($M3946="PADD V","PADD 5","")))))</f>
        <v>PADD 3</v>
      </c>
      <c r="G3946" s="6">
        <f>IF(AND($H3946="ATMOS DISTILLATION",ISNUMBER(SEARCH("VPS",$I3946))=FALSE,LEFT($I3946,6)&lt;&gt;"VACUUM"),"CDU",IF($H3946="FLUID CAT CRACKING","FCC",IF(OR($H3946="HYDROCRACKING",$H3946="RESID_HYDROCRACKING"),"Hydrocracker",IF($H3946="REFORMING","Reformer",""))))</f>
        <v/>
      </c>
      <c r="H3946" s="6" t="s">
        <v>43</v>
      </c>
      <c r="I3946" s="6" t="s">
        <v>1208</v>
      </c>
      <c r="J3946" s="6" t="s">
        <v>345</v>
      </c>
      <c r="K3946" s="10">
        <v>4.34</v>
      </c>
      <c r="L3946" s="10">
        <v>62</v>
      </c>
      <c r="M3946" s="6" t="s">
        <v>371</v>
      </c>
    </row>
    <row r="3947" spans="1:13">
      <c r="A3947" s="6">
        <v>2024</v>
      </c>
      <c r="B3947" s="6">
        <v>6</v>
      </c>
      <c r="C3947" s="6" t="s">
        <v>64</v>
      </c>
      <c r="D3947" s="6" t="s">
        <v>788</v>
      </c>
      <c r="E3947" s="6" t="s">
        <v>405</v>
      </c>
      <c r="F3947" s="6" t="str">
        <f>IF($M3947="PADD I","PADD 1",IF($M3947="PADD II","PADD 2",IF($M3947="PADD III","PADD 3",IF($M3947="PADD IV","PADD 4",IF($M3947="PADD V","PADD 5","")))))</f>
        <v>PADD 3</v>
      </c>
      <c r="G3947" s="6" t="str">
        <f>IF(AND($H3947="ATMOS DISTILLATION",ISNUMBER(SEARCH("VPS",$I3947))=FALSE,LEFT($I3947,6)&lt;&gt;"VACUUM"),"CDU",IF($H3947="FLUID CAT CRACKING","FCC",IF(OR($H3947="HYDROCRACKING",$H3947="RESID_HYDROCRACKING"),"Hydrocracker",IF($H3947="REFORMING","Reformer",""))))</f>
        <v>Reformer</v>
      </c>
      <c r="H3947" s="6" t="s">
        <v>421</v>
      </c>
      <c r="I3947" s="6" t="s">
        <v>782</v>
      </c>
      <c r="J3947" s="6" t="s">
        <v>345</v>
      </c>
      <c r="K3947" s="10">
        <v>4.16</v>
      </c>
      <c r="L3947" s="10">
        <v>32</v>
      </c>
      <c r="M3947" s="6" t="s">
        <v>371</v>
      </c>
    </row>
    <row r="3948" spans="1:13">
      <c r="A3948" s="6">
        <v>2024</v>
      </c>
      <c r="B3948" s="6">
        <v>6</v>
      </c>
      <c r="C3948" s="6" t="s">
        <v>64</v>
      </c>
      <c r="D3948" s="6" t="s">
        <v>878</v>
      </c>
      <c r="E3948" s="6" t="s">
        <v>452</v>
      </c>
      <c r="F3948" s="6" t="str">
        <f>IF($M3948="PADD I","PADD 1",IF($M3948="PADD II","PADD 2",IF($M3948="PADD III","PADD 3",IF($M3948="PADD IV","PADD 4",IF($M3948="PADD V","PADD 5","")))))</f>
        <v>PADD 2</v>
      </c>
      <c r="G3948" s="6">
        <f>IF(AND($H3948="ATMOS DISTILLATION",ISNUMBER(SEARCH("VPS",$I3948))=FALSE,LEFT($I3948,6)&lt;&gt;"VACUUM"),"CDU",IF($H3948="FLUID CAT CRACKING","FCC",IF(OR($H3948="HYDROCRACKING",$H3948="RESID_HYDROCRACKING"),"Hydrocracker",IF($H3948="REFORMING","Reformer",""))))</f>
        <v/>
      </c>
      <c r="H3948" s="6" t="s">
        <v>378</v>
      </c>
      <c r="I3948" s="6" t="s">
        <v>536</v>
      </c>
      <c r="J3948" s="6" t="s">
        <v>345</v>
      </c>
      <c r="K3948" s="10">
        <v>4.16</v>
      </c>
      <c r="L3948" s="10">
        <v>32</v>
      </c>
      <c r="M3948" s="6" t="s">
        <v>375</v>
      </c>
    </row>
    <row r="3949" spans="1:13">
      <c r="A3949" s="6">
        <v>2024</v>
      </c>
      <c r="B3949" s="6">
        <v>6</v>
      </c>
      <c r="C3949" s="6" t="s">
        <v>64</v>
      </c>
      <c r="D3949" s="6" t="s">
        <v>1043</v>
      </c>
      <c r="E3949" s="6" t="s">
        <v>388</v>
      </c>
      <c r="F3949" s="6" t="str">
        <f>IF($M3949="PADD I","PADD 1",IF($M3949="PADD II","PADD 2",IF($M3949="PADD III","PADD 3",IF($M3949="PADD IV","PADD 4",IF($M3949="PADD V","PADD 5","")))))</f>
        <v>PADD 2</v>
      </c>
      <c r="G3949" s="6">
        <f>IF(AND($H3949="ATMOS DISTILLATION",ISNUMBER(SEARCH("VPS",$I3949))=FALSE,LEFT($I3949,6)&lt;&gt;"VACUUM"),"CDU",IF($H3949="FLUID CAT CRACKING","FCC",IF(OR($H3949="HYDROCRACKING",$H3949="RESID_HYDROCRACKING"),"Hydrocracker",IF($H3949="REFORMING","Reformer",""))))</f>
        <v/>
      </c>
      <c r="H3949" s="6" t="s">
        <v>568</v>
      </c>
      <c r="I3949" s="6" t="s">
        <v>604</v>
      </c>
      <c r="J3949" s="6" t="s">
        <v>349</v>
      </c>
      <c r="K3949" s="10">
        <v>3.927</v>
      </c>
      <c r="L3949" s="10">
        <v>5.1</v>
      </c>
      <c r="M3949" s="6" t="s">
        <v>375</v>
      </c>
    </row>
    <row r="3950" spans="1:13">
      <c r="A3950" s="6">
        <v>2024</v>
      </c>
      <c r="B3950" s="6">
        <v>6</v>
      </c>
      <c r="C3950" s="6" t="s">
        <v>64</v>
      </c>
      <c r="D3950" s="6" t="s">
        <v>329</v>
      </c>
      <c r="E3950" s="6" t="s">
        <v>427</v>
      </c>
      <c r="F3950" s="6" t="str">
        <f>IF($M3950="PADD I","PADD 1",IF($M3950="PADD II","PADD 2",IF($M3950="PADD III","PADD 3",IF($M3950="PADD IV","PADD 4",IF($M3950="PADD V","PADD 5","")))))</f>
        <v>PADD 3</v>
      </c>
      <c r="G3950" s="6">
        <f>IF(AND($H3950="ATMOS DISTILLATION",ISNUMBER(SEARCH("VPS",$I3950))=FALSE,LEFT($I3950,6)&lt;&gt;"VACUUM"),"CDU",IF($H3950="FLUID CAT CRACKING","FCC",IF(OR($H3950="HYDROCRACKING",$H3950="RESID_HYDROCRACKING"),"Hydrocracker",IF($H3950="REFORMING","Reformer",""))))</f>
        <v/>
      </c>
      <c r="H3950" s="6" t="s">
        <v>378</v>
      </c>
      <c r="I3950" s="6" t="s">
        <v>428</v>
      </c>
      <c r="J3950" s="6" t="s">
        <v>345</v>
      </c>
      <c r="K3950" s="10">
        <v>3.36</v>
      </c>
      <c r="L3950" s="10">
        <v>112</v>
      </c>
      <c r="M3950" s="6" t="s">
        <v>371</v>
      </c>
    </row>
    <row r="3951" spans="1:13">
      <c r="A3951" s="6">
        <v>2024</v>
      </c>
      <c r="B3951" s="6">
        <v>6</v>
      </c>
      <c r="C3951" s="6" t="s">
        <v>64</v>
      </c>
      <c r="D3951" s="6" t="s">
        <v>329</v>
      </c>
      <c r="E3951" s="6" t="s">
        <v>427</v>
      </c>
      <c r="F3951" s="6" t="str">
        <f>IF($M3951="PADD I","PADD 1",IF($M3951="PADD II","PADD 2",IF($M3951="PADD III","PADD 3",IF($M3951="PADD IV","PADD 4",IF($M3951="PADD V","PADD 5","")))))</f>
        <v>PADD 3</v>
      </c>
      <c r="G3951" s="6">
        <f>IF(AND($H3951="ATMOS DISTILLATION",ISNUMBER(SEARCH("VPS",$I3951))=FALSE,LEFT($I3951,6)&lt;&gt;"VACUUM"),"CDU",IF($H3951="FLUID CAT CRACKING","FCC",IF(OR($H3951="HYDROCRACKING",$H3951="RESID_HYDROCRACKING"),"Hydrocracker",IF($H3951="REFORMING","Reformer",""))))</f>
        <v/>
      </c>
      <c r="H3951" s="6" t="s">
        <v>378</v>
      </c>
      <c r="I3951" s="6" t="s">
        <v>428</v>
      </c>
      <c r="J3951" s="6" t="s">
        <v>345</v>
      </c>
      <c r="K3951" s="10">
        <v>3.36</v>
      </c>
      <c r="L3951" s="10">
        <v>112</v>
      </c>
      <c r="M3951" s="6" t="s">
        <v>371</v>
      </c>
    </row>
    <row r="3952" spans="1:13">
      <c r="A3952" s="6">
        <v>2024</v>
      </c>
      <c r="B3952" s="6">
        <v>6</v>
      </c>
      <c r="C3952" s="6" t="s">
        <v>64</v>
      </c>
      <c r="D3952" s="6" t="s">
        <v>1043</v>
      </c>
      <c r="E3952" s="6" t="s">
        <v>388</v>
      </c>
      <c r="F3952" s="6" t="str">
        <f>IF($M3952="PADD I","PADD 1",IF($M3952="PADD II","PADD 2",IF($M3952="PADD III","PADD 3",IF($M3952="PADD IV","PADD 4",IF($M3952="PADD V","PADD 5","")))))</f>
        <v>PADD 2</v>
      </c>
      <c r="G3952" s="6">
        <f>IF(AND($H3952="ATMOS DISTILLATION",ISNUMBER(SEARCH("VPS",$I3952))=FALSE,LEFT($I3952,6)&lt;&gt;"VACUUM"),"CDU",IF($H3952="FLUID CAT CRACKING","FCC",IF(OR($H3952="HYDROCRACKING",$H3952="RESID_HYDROCRACKING"),"Hydrocracker",IF($H3952="REFORMING","Reformer",""))))</f>
        <v/>
      </c>
      <c r="H3952" s="6" t="s">
        <v>43</v>
      </c>
      <c r="I3952" s="6" t="s">
        <v>464</v>
      </c>
      <c r="J3952" s="6" t="s">
        <v>345</v>
      </c>
      <c r="K3952" s="10">
        <v>3.311</v>
      </c>
      <c r="L3952" s="10">
        <v>4.3</v>
      </c>
      <c r="M3952" s="6" t="s">
        <v>375</v>
      </c>
    </row>
    <row r="3953" spans="1:13">
      <c r="A3953" s="6">
        <v>2024</v>
      </c>
      <c r="B3953" s="6">
        <v>6</v>
      </c>
      <c r="C3953" s="6" t="s">
        <v>64</v>
      </c>
      <c r="D3953" s="6" t="s">
        <v>1043</v>
      </c>
      <c r="E3953" s="6" t="s">
        <v>388</v>
      </c>
      <c r="F3953" s="6" t="str">
        <f>IF($M3953="PADD I","PADD 1",IF($M3953="PADD II","PADD 2",IF($M3953="PADD III","PADD 3",IF($M3953="PADD IV","PADD 4",IF($M3953="PADD V","PADD 5","")))))</f>
        <v>PADD 2</v>
      </c>
      <c r="G3953" s="6">
        <f>IF(AND($H3953="ATMOS DISTILLATION",ISNUMBER(SEARCH("VPS",$I3953))=FALSE,LEFT($I3953,6)&lt;&gt;"VACUUM"),"CDU",IF($H3953="FLUID CAT CRACKING","FCC",IF(OR($H3953="HYDROCRACKING",$H3953="RESID_HYDROCRACKING"),"Hydrocracker",IF($H3953="REFORMING","Reformer",""))))</f>
        <v/>
      </c>
      <c r="H3953" s="6" t="s">
        <v>460</v>
      </c>
      <c r="I3953" s="6" t="s">
        <v>616</v>
      </c>
      <c r="J3953" s="6" t="s">
        <v>345</v>
      </c>
      <c r="K3953" s="10">
        <v>3.08</v>
      </c>
      <c r="L3953" s="10">
        <v>4.4</v>
      </c>
      <c r="M3953" s="6" t="s">
        <v>375</v>
      </c>
    </row>
    <row r="3954" spans="1:13">
      <c r="A3954" s="6">
        <v>2024</v>
      </c>
      <c r="B3954" s="6">
        <v>6</v>
      </c>
      <c r="C3954" s="6" t="s">
        <v>64</v>
      </c>
      <c r="D3954" s="6" t="s">
        <v>329</v>
      </c>
      <c r="E3954" s="6" t="s">
        <v>427</v>
      </c>
      <c r="F3954" s="6" t="str">
        <f>IF($M3954="PADD I","PADD 1",IF($M3954="PADD II","PADD 2",IF($M3954="PADD III","PADD 3",IF($M3954="PADD IV","PADD 4",IF($M3954="PADD V","PADD 5","")))))</f>
        <v>PADD 3</v>
      </c>
      <c r="G3954" s="6" t="str">
        <f>IF(AND($H3954="ATMOS DISTILLATION",ISNUMBER(SEARCH("VPS",$I3954))=FALSE,LEFT($I3954,6)&lt;&gt;"VACUUM"),"CDU",IF($H3954="FLUID CAT CRACKING","FCC",IF(OR($H3954="HYDROCRACKING",$H3954="RESID_HYDROCRACKING"),"Hydrocracker",IF($H3954="REFORMING","Reformer",""))))</f>
        <v>CDU</v>
      </c>
      <c r="H3954" s="6" t="s">
        <v>38</v>
      </c>
      <c r="I3954" s="6" t="s">
        <v>123</v>
      </c>
      <c r="J3954" s="6" t="s">
        <v>345</v>
      </c>
      <c r="K3954" s="10">
        <v>2.955</v>
      </c>
      <c r="L3954" s="10">
        <v>98.5</v>
      </c>
      <c r="M3954" s="6" t="s">
        <v>371</v>
      </c>
    </row>
    <row r="3955" spans="1:13">
      <c r="A3955" s="6">
        <v>2024</v>
      </c>
      <c r="B3955" s="6">
        <v>6</v>
      </c>
      <c r="C3955" s="6" t="s">
        <v>64</v>
      </c>
      <c r="D3955" s="6" t="s">
        <v>329</v>
      </c>
      <c r="E3955" s="6" t="s">
        <v>427</v>
      </c>
      <c r="F3955" s="6" t="str">
        <f>IF($M3955="PADD I","PADD 1",IF($M3955="PADD II","PADD 2",IF($M3955="PADD III","PADD 3",IF($M3955="PADD IV","PADD 4",IF($M3955="PADD V","PADD 5","")))))</f>
        <v>PADD 3</v>
      </c>
      <c r="G3955" s="6" t="str">
        <f>IF(AND($H3955="ATMOS DISTILLATION",ISNUMBER(SEARCH("VPS",$I3955))=FALSE,LEFT($I3955,6)&lt;&gt;"VACUUM"),"CDU",IF($H3955="FLUID CAT CRACKING","FCC",IF(OR($H3955="HYDROCRACKING",$H3955="RESID_HYDROCRACKING"),"Hydrocracker",IF($H3955="REFORMING","Reformer",""))))</f>
        <v>CDU</v>
      </c>
      <c r="H3955" s="6" t="s">
        <v>38</v>
      </c>
      <c r="I3955" s="6" t="s">
        <v>330</v>
      </c>
      <c r="J3955" s="6" t="s">
        <v>345</v>
      </c>
      <c r="K3955" s="10">
        <v>2.955</v>
      </c>
      <c r="L3955" s="10">
        <v>98.5</v>
      </c>
      <c r="M3955" s="6" t="s">
        <v>371</v>
      </c>
    </row>
    <row r="3956" spans="1:13">
      <c r="A3956" s="6">
        <v>2024</v>
      </c>
      <c r="B3956" s="6">
        <v>6</v>
      </c>
      <c r="C3956" s="6" t="s">
        <v>64</v>
      </c>
      <c r="D3956" s="6" t="s">
        <v>329</v>
      </c>
      <c r="E3956" s="6" t="s">
        <v>427</v>
      </c>
      <c r="F3956" s="6" t="str">
        <f>IF($M3956="PADD I","PADD 1",IF($M3956="PADD II","PADD 2",IF($M3956="PADD III","PADD 3",IF($M3956="PADD IV","PADD 4",IF($M3956="PADD V","PADD 5","")))))</f>
        <v>PADD 3</v>
      </c>
      <c r="G3956" s="6" t="str">
        <f>IF(AND($H3956="ATMOS DISTILLATION",ISNUMBER(SEARCH("VPS",$I3956))=FALSE,LEFT($I3956,6)&lt;&gt;"VACUUM"),"CDU",IF($H3956="FLUID CAT CRACKING","FCC",IF(OR($H3956="HYDROCRACKING",$H3956="RESID_HYDROCRACKING"),"Hydrocracker",IF($H3956="REFORMING","Reformer",""))))</f>
        <v>CDU</v>
      </c>
      <c r="H3956" s="6" t="s">
        <v>38</v>
      </c>
      <c r="I3956" s="6" t="s">
        <v>123</v>
      </c>
      <c r="J3956" s="6" t="s">
        <v>345</v>
      </c>
      <c r="K3956" s="10">
        <v>2.955</v>
      </c>
      <c r="L3956" s="10">
        <v>98.5</v>
      </c>
      <c r="M3956" s="6" t="s">
        <v>371</v>
      </c>
    </row>
    <row r="3957" spans="1:13">
      <c r="A3957" s="6">
        <v>2024</v>
      </c>
      <c r="B3957" s="6">
        <v>6</v>
      </c>
      <c r="C3957" s="6" t="s">
        <v>64</v>
      </c>
      <c r="D3957" s="6" t="s">
        <v>329</v>
      </c>
      <c r="E3957" s="6" t="s">
        <v>427</v>
      </c>
      <c r="F3957" s="6" t="str">
        <f>IF($M3957="PADD I","PADD 1",IF($M3957="PADD II","PADD 2",IF($M3957="PADD III","PADD 3",IF($M3957="PADD IV","PADD 4",IF($M3957="PADD V","PADD 5","")))))</f>
        <v>PADD 3</v>
      </c>
      <c r="G3957" s="6" t="str">
        <f>IF(AND($H3957="ATMOS DISTILLATION",ISNUMBER(SEARCH("VPS",$I3957))=FALSE,LEFT($I3957,6)&lt;&gt;"VACUUM"),"CDU",IF($H3957="FLUID CAT CRACKING","FCC",IF(OR($H3957="HYDROCRACKING",$H3957="RESID_HYDROCRACKING"),"Hydrocracker",IF($H3957="REFORMING","Reformer",""))))</f>
        <v>CDU</v>
      </c>
      <c r="H3957" s="6" t="s">
        <v>38</v>
      </c>
      <c r="I3957" s="6" t="s">
        <v>330</v>
      </c>
      <c r="J3957" s="6" t="s">
        <v>345</v>
      </c>
      <c r="K3957" s="10">
        <v>2.955</v>
      </c>
      <c r="L3957" s="10">
        <v>98.5</v>
      </c>
      <c r="M3957" s="6" t="s">
        <v>371</v>
      </c>
    </row>
    <row r="3958" spans="1:13">
      <c r="A3958" s="6">
        <v>2024</v>
      </c>
      <c r="B3958" s="6">
        <v>6</v>
      </c>
      <c r="C3958" s="6" t="s">
        <v>64</v>
      </c>
      <c r="D3958" s="6" t="s">
        <v>408</v>
      </c>
      <c r="E3958" s="6" t="s">
        <v>409</v>
      </c>
      <c r="F3958" s="6" t="str">
        <f>IF($M3958="PADD I","PADD 1",IF($M3958="PADD II","PADD 2",IF($M3958="PADD III","PADD 3",IF($M3958="PADD IV","PADD 4",IF($M3958="PADD V","PADD 5","")))))</f>
        <v>PADD 3</v>
      </c>
      <c r="G3958" s="6" t="str">
        <f>IF(AND($H3958="ATMOS DISTILLATION",ISNUMBER(SEARCH("VPS",$I3958))=FALSE,LEFT($I3958,6)&lt;&gt;"VACUUM"),"CDU",IF($H3958="FLUID CAT CRACKING","FCC",IF(OR($H3958="HYDROCRACKING",$H3958="RESID_HYDROCRACKING"),"Hydrocracker",IF($H3958="REFORMING","Reformer",""))))</f>
        <v>CDU</v>
      </c>
      <c r="H3958" s="6" t="s">
        <v>38</v>
      </c>
      <c r="I3958" s="6" t="s">
        <v>522</v>
      </c>
      <c r="J3958" s="6" t="s">
        <v>345</v>
      </c>
      <c r="K3958" s="10">
        <v>2.8</v>
      </c>
      <c r="L3958" s="10">
        <v>40</v>
      </c>
      <c r="M3958" s="6" t="s">
        <v>371</v>
      </c>
    </row>
    <row r="3959" spans="1:13">
      <c r="A3959" s="6">
        <v>2024</v>
      </c>
      <c r="B3959" s="6">
        <v>6</v>
      </c>
      <c r="C3959" s="6" t="s">
        <v>64</v>
      </c>
      <c r="D3959" s="6" t="s">
        <v>329</v>
      </c>
      <c r="E3959" s="6" t="s">
        <v>427</v>
      </c>
      <c r="F3959" s="6" t="str">
        <f>IF($M3959="PADD I","PADD 1",IF($M3959="PADD II","PADD 2",IF($M3959="PADD III","PADD 3",IF($M3959="PADD IV","PADD 4",IF($M3959="PADD V","PADD 5","")))))</f>
        <v>PADD 3</v>
      </c>
      <c r="G3959" s="6">
        <f>IF(AND($H3959="ATMOS DISTILLATION",ISNUMBER(SEARCH("VPS",$I3959))=FALSE,LEFT($I3959,6)&lt;&gt;"VACUUM"),"CDU",IF($H3959="FLUID CAT CRACKING","FCC",IF(OR($H3959="HYDROCRACKING",$H3959="RESID_HYDROCRACKING"),"Hydrocracker",IF($H3959="REFORMING","Reformer",""))))</f>
        <v/>
      </c>
      <c r="H3959" s="6" t="s">
        <v>378</v>
      </c>
      <c r="I3959" s="6" t="s">
        <v>964</v>
      </c>
      <c r="J3959" s="6" t="s">
        <v>345</v>
      </c>
      <c r="K3959" s="10">
        <v>2.8</v>
      </c>
      <c r="L3959" s="10">
        <v>40</v>
      </c>
      <c r="M3959" s="6" t="s">
        <v>371</v>
      </c>
    </row>
    <row r="3960" spans="1:13">
      <c r="A3960" s="6">
        <v>2024</v>
      </c>
      <c r="B3960" s="6">
        <v>6</v>
      </c>
      <c r="C3960" s="6" t="s">
        <v>64</v>
      </c>
      <c r="D3960" s="6" t="s">
        <v>484</v>
      </c>
      <c r="E3960" s="6" t="s">
        <v>409</v>
      </c>
      <c r="F3960" s="6" t="str">
        <f>IF($M3960="PADD I","PADD 1",IF($M3960="PADD II","PADD 2",IF($M3960="PADD III","PADD 3",IF($M3960="PADD IV","PADD 4",IF($M3960="PADD V","PADD 5","")))))</f>
        <v>PADD 3</v>
      </c>
      <c r="G3960" s="6">
        <f>IF(AND($H3960="ATMOS DISTILLATION",ISNUMBER(SEARCH("VPS",$I3960))=FALSE,LEFT($I3960,6)&lt;&gt;"VACUUM"),"CDU",IF($H3960="FLUID CAT CRACKING","FCC",IF(OR($H3960="HYDROCRACKING",$H3960="RESID_HYDROCRACKING"),"Hydrocracker",IF($H3960="REFORMING","Reformer",""))))</f>
        <v/>
      </c>
      <c r="H3960" s="6" t="s">
        <v>43</v>
      </c>
      <c r="I3960" s="6" t="s">
        <v>493</v>
      </c>
      <c r="J3960" s="6" t="s">
        <v>345</v>
      </c>
      <c r="K3960" s="10">
        <v>2.7</v>
      </c>
      <c r="L3960" s="10">
        <v>10</v>
      </c>
      <c r="M3960" s="6" t="s">
        <v>371</v>
      </c>
    </row>
    <row r="3961" spans="1:13">
      <c r="A3961" s="6">
        <v>2024</v>
      </c>
      <c r="B3961" s="6">
        <v>6</v>
      </c>
      <c r="C3961" s="6" t="s">
        <v>64</v>
      </c>
      <c r="D3961" s="6" t="s">
        <v>1209</v>
      </c>
      <c r="E3961" s="6" t="s">
        <v>1210</v>
      </c>
      <c r="F3961" s="6" t="str">
        <f>IF($M3961="PADD I","PADD 1",IF($M3961="PADD II","PADD 2",IF($M3961="PADD III","PADD 3",IF($M3961="PADD IV","PADD 4",IF($M3961="PADD V","PADD 5","")))))</f>
        <v>PADD 5</v>
      </c>
      <c r="G3961" s="6" t="str">
        <f>IF(AND($H3961="ATMOS DISTILLATION",ISNUMBER(SEARCH("VPS",$I3961))=FALSE,LEFT($I3961,6)&lt;&gt;"VACUUM"),"CDU",IF($H3961="FLUID CAT CRACKING","FCC",IF(OR($H3961="HYDROCRACKING",$H3961="RESID_HYDROCRACKING"),"Hydrocracker",IF($H3961="REFORMING","Reformer",""))))</f>
        <v>CDU</v>
      </c>
      <c r="H3961" s="6" t="s">
        <v>38</v>
      </c>
      <c r="I3961" s="6" t="s">
        <v>1211</v>
      </c>
      <c r="J3961" s="6" t="s">
        <v>349</v>
      </c>
      <c r="K3961" s="10">
        <v>2.43</v>
      </c>
      <c r="L3961" s="10">
        <v>9</v>
      </c>
      <c r="M3961" s="6" t="s">
        <v>386</v>
      </c>
    </row>
    <row r="3962" spans="1:13">
      <c r="A3962" s="6">
        <v>2024</v>
      </c>
      <c r="B3962" s="6">
        <v>6</v>
      </c>
      <c r="C3962" s="6" t="s">
        <v>64</v>
      </c>
      <c r="D3962" s="6" t="s">
        <v>934</v>
      </c>
      <c r="E3962" s="6" t="s">
        <v>388</v>
      </c>
      <c r="F3962" s="6" t="str">
        <f>IF($M3962="PADD I","PADD 1",IF($M3962="PADD II","PADD 2",IF($M3962="PADD III","PADD 3",IF($M3962="PADD IV","PADD 4",IF($M3962="PADD V","PADD 5","")))))</f>
        <v>PADD 3</v>
      </c>
      <c r="G3962" s="6" t="str">
        <f>IF(AND($H3962="ATMOS DISTILLATION",ISNUMBER(SEARCH("VPS",$I3962))=FALSE,LEFT($I3962,6)&lt;&gt;"VACUUM"),"CDU",IF($H3962="FLUID CAT CRACKING","FCC",IF(OR($H3962="HYDROCRACKING",$H3962="RESID_HYDROCRACKING"),"Hydrocracker",IF($H3962="REFORMING","Reformer",""))))</f>
        <v>FCC</v>
      </c>
      <c r="H3962" s="6" t="s">
        <v>376</v>
      </c>
      <c r="I3962" s="6" t="s">
        <v>105</v>
      </c>
      <c r="J3962" s="6" t="s">
        <v>345</v>
      </c>
      <c r="K3962" s="10">
        <v>2.065</v>
      </c>
      <c r="L3962" s="10">
        <v>29.5</v>
      </c>
      <c r="M3962" s="6" t="s">
        <v>371</v>
      </c>
    </row>
    <row r="3963" spans="1:13">
      <c r="A3963" s="6">
        <v>2024</v>
      </c>
      <c r="B3963" s="6">
        <v>6</v>
      </c>
      <c r="C3963" s="6" t="s">
        <v>64</v>
      </c>
      <c r="D3963" s="6" t="s">
        <v>457</v>
      </c>
      <c r="E3963" s="6" t="s">
        <v>388</v>
      </c>
      <c r="F3963" s="6" t="str">
        <f>IF($M3963="PADD I","PADD 1",IF($M3963="PADD II","PADD 2",IF($M3963="PADD III","PADD 3",IF($M3963="PADD IV","PADD 4",IF($M3963="PADD V","PADD 5","")))))</f>
        <v>PADD 5</v>
      </c>
      <c r="G3963" s="6" t="str">
        <f>IF(AND($H3963="ATMOS DISTILLATION",ISNUMBER(SEARCH("VPS",$I3963))=FALSE,LEFT($I3963,6)&lt;&gt;"VACUUM"),"CDU",IF($H3963="FLUID CAT CRACKING","FCC",IF(OR($H3963="HYDROCRACKING",$H3963="RESID_HYDROCRACKING"),"Hydrocracker",IF($H3963="REFORMING","Reformer",""))))</f>
        <v>Reformer</v>
      </c>
      <c r="H3963" s="6" t="s">
        <v>421</v>
      </c>
      <c r="I3963" s="6" t="s">
        <v>557</v>
      </c>
      <c r="J3963" s="6" t="s">
        <v>345</v>
      </c>
      <c r="K3963" s="10">
        <v>2</v>
      </c>
      <c r="L3963" s="10">
        <v>20</v>
      </c>
      <c r="M3963" s="6" t="s">
        <v>386</v>
      </c>
    </row>
    <row r="3964" spans="1:13">
      <c r="A3964" s="6">
        <v>2024</v>
      </c>
      <c r="B3964" s="6">
        <v>6</v>
      </c>
      <c r="C3964" s="6" t="s">
        <v>64</v>
      </c>
      <c r="D3964" s="6" t="s">
        <v>40</v>
      </c>
      <c r="E3964" s="6" t="s">
        <v>736</v>
      </c>
      <c r="F3964" s="6" t="str">
        <f>IF($M3964="PADD I","PADD 1",IF($M3964="PADD II","PADD 2",IF($M3964="PADD III","PADD 3",IF($M3964="PADD IV","PADD 4",IF($M3964="PADD V","PADD 5","")))))</f>
        <v>PADD 1</v>
      </c>
      <c r="G3964" s="6">
        <f>IF(AND($H3964="ATMOS DISTILLATION",ISNUMBER(SEARCH("VPS",$I3964))=FALSE,LEFT($I3964,6)&lt;&gt;"VACUUM"),"CDU",IF($H3964="FLUID CAT CRACKING","FCC",IF(OR($H3964="HYDROCRACKING",$H3964="RESID_HYDROCRACKING"),"Hydrocracker",IF($H3964="REFORMING","Reformer",""))))</f>
        <v/>
      </c>
      <c r="H3964" s="6" t="s">
        <v>378</v>
      </c>
      <c r="I3964" s="6" t="s">
        <v>1010</v>
      </c>
      <c r="J3964" s="6" t="s">
        <v>345</v>
      </c>
      <c r="K3964" s="10">
        <v>1.82</v>
      </c>
      <c r="L3964" s="10">
        <v>26</v>
      </c>
      <c r="M3964" s="6" t="s">
        <v>413</v>
      </c>
    </row>
    <row r="3965" spans="1:13">
      <c r="A3965" s="6">
        <v>2024</v>
      </c>
      <c r="B3965" s="6">
        <v>6</v>
      </c>
      <c r="C3965" s="6" t="s">
        <v>64</v>
      </c>
      <c r="D3965" s="6" t="s">
        <v>500</v>
      </c>
      <c r="E3965" s="6" t="s">
        <v>388</v>
      </c>
      <c r="F3965" s="6" t="str">
        <f>IF($M3965="PADD I","PADD 1",IF($M3965="PADD II","PADD 2",IF($M3965="PADD III","PADD 3",IF($M3965="PADD IV","PADD 4",IF($M3965="PADD V","PADD 5","")))))</f>
        <v>PADD 2</v>
      </c>
      <c r="G3965" s="6">
        <f>IF(AND($H3965="ATMOS DISTILLATION",ISNUMBER(SEARCH("VPS",$I3965))=FALSE,LEFT($I3965,6)&lt;&gt;"VACUUM"),"CDU",IF($H3965="FLUID CAT CRACKING","FCC",IF(OR($H3965="HYDROCRACKING",$H3965="RESID_HYDROCRACKING"),"Hydrocracker",IF($H3965="REFORMING","Reformer",""))))</f>
        <v/>
      </c>
      <c r="H3965" s="6" t="s">
        <v>43</v>
      </c>
      <c r="I3965" s="6" t="s">
        <v>918</v>
      </c>
      <c r="J3965" s="6" t="s">
        <v>349</v>
      </c>
      <c r="K3965" s="10">
        <v>1.75</v>
      </c>
      <c r="L3965" s="10">
        <v>25</v>
      </c>
      <c r="M3965" s="6" t="s">
        <v>375</v>
      </c>
    </row>
    <row r="3966" spans="1:13">
      <c r="A3966" s="6">
        <v>2024</v>
      </c>
      <c r="B3966" s="6">
        <v>6</v>
      </c>
      <c r="C3966" s="6" t="s">
        <v>64</v>
      </c>
      <c r="D3966" s="6" t="s">
        <v>457</v>
      </c>
      <c r="E3966" s="6" t="s">
        <v>388</v>
      </c>
      <c r="F3966" s="6" t="str">
        <f>IF($M3966="PADD I","PADD 1",IF($M3966="PADD II","PADD 2",IF($M3966="PADD III","PADD 3",IF($M3966="PADD IV","PADD 4",IF($M3966="PADD V","PADD 5","")))))</f>
        <v>PADD 5</v>
      </c>
      <c r="G3966" s="6" t="str">
        <f>IF(AND($H3966="ATMOS DISTILLATION",ISNUMBER(SEARCH("VPS",$I3966))=FALSE,LEFT($I3966,6)&lt;&gt;"VACUUM"),"CDU",IF($H3966="FLUID CAT CRACKING","FCC",IF(OR($H3966="HYDROCRACKING",$H3966="RESID_HYDROCRACKING"),"Hydrocracker",IF($H3966="REFORMING","Reformer",""))))</f>
        <v>Reformer</v>
      </c>
      <c r="H3966" s="6" t="s">
        <v>421</v>
      </c>
      <c r="I3966" s="6" t="s">
        <v>559</v>
      </c>
      <c r="J3966" s="6" t="s">
        <v>345</v>
      </c>
      <c r="K3966" s="10">
        <v>1.4</v>
      </c>
      <c r="L3966" s="10">
        <v>20</v>
      </c>
      <c r="M3966" s="6" t="s">
        <v>386</v>
      </c>
    </row>
    <row r="3967" spans="1:13">
      <c r="A3967" s="6">
        <v>2024</v>
      </c>
      <c r="B3967" s="6">
        <v>6</v>
      </c>
      <c r="C3967" s="6" t="s">
        <v>64</v>
      </c>
      <c r="D3967" s="6" t="s">
        <v>457</v>
      </c>
      <c r="E3967" s="6" t="s">
        <v>388</v>
      </c>
      <c r="F3967" s="6" t="str">
        <f>IF($M3967="PADD I","PADD 1",IF($M3967="PADD II","PADD 2",IF($M3967="PADD III","PADD 3",IF($M3967="PADD IV","PADD 4",IF($M3967="PADD V","PADD 5","")))))</f>
        <v>PADD 5</v>
      </c>
      <c r="G3967" s="6" t="str">
        <f>IF(AND($H3967="ATMOS DISTILLATION",ISNUMBER(SEARCH("VPS",$I3967))=FALSE,LEFT($I3967,6)&lt;&gt;"VACUUM"),"CDU",IF($H3967="FLUID CAT CRACKING","FCC",IF(OR($H3967="HYDROCRACKING",$H3967="RESID_HYDROCRACKING"),"Hydrocracker",IF($H3967="REFORMING","Reformer",""))))</f>
        <v>Reformer</v>
      </c>
      <c r="H3967" s="6" t="s">
        <v>421</v>
      </c>
      <c r="I3967" s="6" t="s">
        <v>559</v>
      </c>
      <c r="J3967" s="6" t="s">
        <v>345</v>
      </c>
      <c r="K3967" s="10">
        <v>1.4</v>
      </c>
      <c r="L3967" s="10">
        <v>20</v>
      </c>
      <c r="M3967" s="6" t="s">
        <v>386</v>
      </c>
    </row>
    <row r="3968" spans="1:13">
      <c r="A3968" s="6">
        <v>2024</v>
      </c>
      <c r="B3968" s="6">
        <v>6</v>
      </c>
      <c r="C3968" s="6" t="s">
        <v>64</v>
      </c>
      <c r="D3968" s="6" t="s">
        <v>48</v>
      </c>
      <c r="E3968" s="6" t="s">
        <v>388</v>
      </c>
      <c r="F3968" s="6" t="str">
        <f>IF($M3968="PADD I","PADD 1",IF($M3968="PADD II","PADD 2",IF($M3968="PADD III","PADD 3",IF($M3968="PADD IV","PADD 4",IF($M3968="PADD V","PADD 5","")))))</f>
        <v>PADD 2</v>
      </c>
      <c r="G3968" s="6">
        <f>IF(AND($H3968="ATMOS DISTILLATION",ISNUMBER(SEARCH("VPS",$I3968))=FALSE,LEFT($I3968,6)&lt;&gt;"VACUUM"),"CDU",IF($H3968="FLUID CAT CRACKING","FCC",IF(OR($H3968="HYDROCRACKING",$H3968="RESID_HYDROCRACKING"),"Hydrocracker",IF($H3968="REFORMING","Reformer",""))))</f>
        <v/>
      </c>
      <c r="H3968" s="6" t="s">
        <v>435</v>
      </c>
      <c r="I3968" s="6" t="s">
        <v>631</v>
      </c>
      <c r="J3968" s="6" t="s">
        <v>345</v>
      </c>
      <c r="K3968" s="10">
        <v>1.05</v>
      </c>
      <c r="L3968" s="10">
        <v>15</v>
      </c>
      <c r="M3968" s="6" t="s">
        <v>375</v>
      </c>
    </row>
    <row r="3969" spans="1:13">
      <c r="A3969" s="6">
        <v>2024</v>
      </c>
      <c r="B3969" s="6">
        <v>6</v>
      </c>
      <c r="C3969" s="6" t="s">
        <v>64</v>
      </c>
      <c r="D3969" s="6" t="s">
        <v>48</v>
      </c>
      <c r="E3969" s="6" t="s">
        <v>388</v>
      </c>
      <c r="F3969" s="6" t="str">
        <f>IF($M3969="PADD I","PADD 1",IF($M3969="PADD II","PADD 2",IF($M3969="PADD III","PADD 3",IF($M3969="PADD IV","PADD 4",IF($M3969="PADD V","PADD 5","")))))</f>
        <v>PADD 2</v>
      </c>
      <c r="G3969" s="6">
        <f>IF(AND($H3969="ATMOS DISTILLATION",ISNUMBER(SEARCH("VPS",$I3969))=FALSE,LEFT($I3969,6)&lt;&gt;"VACUUM"),"CDU",IF($H3969="FLUID CAT CRACKING","FCC",IF(OR($H3969="HYDROCRACKING",$H3969="RESID_HYDROCRACKING"),"Hydrocracker",IF($H3969="REFORMING","Reformer",""))))</f>
        <v/>
      </c>
      <c r="H3969" s="6" t="s">
        <v>435</v>
      </c>
      <c r="I3969" s="6" t="s">
        <v>631</v>
      </c>
      <c r="J3969" s="6" t="s">
        <v>345</v>
      </c>
      <c r="K3969" s="10">
        <v>1.05</v>
      </c>
      <c r="L3969" s="10">
        <v>15</v>
      </c>
      <c r="M3969" s="6" t="s">
        <v>375</v>
      </c>
    </row>
    <row r="3970" spans="1:13">
      <c r="A3970" s="6">
        <v>2024</v>
      </c>
      <c r="B3970" s="6">
        <v>6</v>
      </c>
      <c r="C3970" s="6" t="s">
        <v>64</v>
      </c>
      <c r="D3970" s="6" t="s">
        <v>500</v>
      </c>
      <c r="E3970" s="6" t="s">
        <v>388</v>
      </c>
      <c r="F3970" s="6" t="str">
        <f>IF($M3970="PADD I","PADD 1",IF($M3970="PADD II","PADD 2",IF($M3970="PADD III","PADD 3",IF($M3970="PADD IV","PADD 4",IF($M3970="PADD V","PADD 5","")))))</f>
        <v>PADD 2</v>
      </c>
      <c r="G3970" s="6">
        <f>IF(AND($H3970="ATMOS DISTILLATION",ISNUMBER(SEARCH("VPS",$I3970))=FALSE,LEFT($I3970,6)&lt;&gt;"VACUUM"),"CDU",IF($H3970="FLUID CAT CRACKING","FCC",IF(OR($H3970="HYDROCRACKING",$H3970="RESID_HYDROCRACKING"),"Hydrocracker",IF($H3970="REFORMING","Reformer",""))))</f>
        <v/>
      </c>
      <c r="H3970" s="6" t="s">
        <v>43</v>
      </c>
      <c r="I3970" s="6" t="s">
        <v>501</v>
      </c>
      <c r="J3970" s="6" t="s">
        <v>345</v>
      </c>
      <c r="K3970" s="10">
        <v>0.915</v>
      </c>
      <c r="L3970" s="10">
        <v>30.5</v>
      </c>
      <c r="M3970" s="6" t="s">
        <v>375</v>
      </c>
    </row>
    <row r="3971" spans="1:13">
      <c r="A3971" s="6">
        <v>2024</v>
      </c>
      <c r="B3971" s="6">
        <v>6</v>
      </c>
      <c r="C3971" s="6" t="s">
        <v>64</v>
      </c>
      <c r="D3971" s="6" t="s">
        <v>887</v>
      </c>
      <c r="E3971" s="6" t="s">
        <v>405</v>
      </c>
      <c r="F3971" s="6" t="str">
        <f>IF($M3971="PADD I","PADD 1",IF($M3971="PADD II","PADD 2",IF($M3971="PADD III","PADD 3",IF($M3971="PADD IV","PADD 4",IF($M3971="PADD V","PADD 5","")))))</f>
        <v>PADD 3</v>
      </c>
      <c r="G3971" s="6" t="str">
        <f>IF(AND($H3971="ATMOS DISTILLATION",ISNUMBER(SEARCH("VPS",$I3971))=FALSE,LEFT($I3971,6)&lt;&gt;"VACUUM"),"CDU",IF($H3971="FLUID CAT CRACKING","FCC",IF(OR($H3971="HYDROCRACKING",$H3971="RESID_HYDROCRACKING"),"Hydrocracker",IF($H3971="REFORMING","Reformer",""))))</f>
        <v>Reformer</v>
      </c>
      <c r="H3971" s="6" t="s">
        <v>421</v>
      </c>
      <c r="I3971" s="6" t="s">
        <v>539</v>
      </c>
      <c r="J3971" s="6" t="s">
        <v>345</v>
      </c>
      <c r="K3971" s="10">
        <v>0.6899999999999999</v>
      </c>
      <c r="L3971" s="10">
        <v>23</v>
      </c>
      <c r="M3971" s="6" t="s">
        <v>371</v>
      </c>
    </row>
    <row r="3972" spans="1:13">
      <c r="A3972" s="6">
        <v>2024</v>
      </c>
      <c r="B3972" s="6">
        <v>6</v>
      </c>
      <c r="C3972" s="6" t="s">
        <v>64</v>
      </c>
      <c r="D3972" s="6" t="s">
        <v>48</v>
      </c>
      <c r="E3972" s="6" t="s">
        <v>388</v>
      </c>
      <c r="F3972" s="6" t="str">
        <f>IF($M3972="PADD I","PADD 1",IF($M3972="PADD II","PADD 2",IF($M3972="PADD III","PADD 3",IF($M3972="PADD IV","PADD 4",IF($M3972="PADD V","PADD 5","")))))</f>
        <v>PADD 2</v>
      </c>
      <c r="G3972" s="6">
        <f>IF(AND($H3972="ATMOS DISTILLATION",ISNUMBER(SEARCH("VPS",$I3972))=FALSE,LEFT($I3972,6)&lt;&gt;"VACUUM"),"CDU",IF($H3972="FLUID CAT CRACKING","FCC",IF(OR($H3972="HYDROCRACKING",$H3972="RESID_HYDROCRACKING"),"Hydrocracker",IF($H3972="REFORMING","Reformer",""))))</f>
        <v/>
      </c>
      <c r="H3972" s="6" t="s">
        <v>435</v>
      </c>
      <c r="I3972" s="6" t="s">
        <v>754</v>
      </c>
      <c r="J3972" s="6" t="s">
        <v>345</v>
      </c>
      <c r="K3972" s="10">
        <v>0.555</v>
      </c>
      <c r="L3972" s="10">
        <v>18.5</v>
      </c>
      <c r="M3972" s="6" t="s">
        <v>375</v>
      </c>
    </row>
    <row r="3973" spans="1:13">
      <c r="A3973" s="6">
        <v>2024</v>
      </c>
      <c r="B3973" s="6">
        <v>6</v>
      </c>
      <c r="C3973" s="6" t="s">
        <v>64</v>
      </c>
      <c r="D3973" s="6" t="s">
        <v>468</v>
      </c>
      <c r="E3973" s="6" t="s">
        <v>369</v>
      </c>
      <c r="F3973" s="6" t="str">
        <f>IF($M3973="PADD I","PADD 1",IF($M3973="PADD II","PADD 2",IF($M3973="PADD III","PADD 3",IF($M3973="PADD IV","PADD 4",IF($M3973="PADD V","PADD 5","")))))</f>
        <v>PADD 3</v>
      </c>
      <c r="G3973" s="6" t="str">
        <f>IF(AND($H3973="ATMOS DISTILLATION",ISNUMBER(SEARCH("VPS",$I3973))=FALSE,LEFT($I3973,6)&lt;&gt;"VACUUM"),"CDU",IF($H3973="FLUID CAT CRACKING","FCC",IF(OR($H3973="HYDROCRACKING",$H3973="RESID_HYDROCRACKING"),"Hydrocracker",IF($H3973="REFORMING","Reformer",""))))</f>
        <v>Reformer</v>
      </c>
      <c r="H3973" s="6" t="s">
        <v>421</v>
      </c>
      <c r="I3973" s="6" t="s">
        <v>635</v>
      </c>
      <c r="J3973" s="6" t="s">
        <v>345</v>
      </c>
      <c r="K3973" s="10">
        <v>0.49</v>
      </c>
      <c r="L3973" s="10">
        <v>7</v>
      </c>
      <c r="M3973" s="6" t="s">
        <v>371</v>
      </c>
    </row>
    <row r="3974" spans="1:13">
      <c r="A3974" s="6">
        <v>2024</v>
      </c>
      <c r="B3974" s="6">
        <v>6</v>
      </c>
      <c r="C3974" s="6" t="s">
        <v>64</v>
      </c>
      <c r="D3974" s="6" t="s">
        <v>799</v>
      </c>
      <c r="E3974" s="6" t="s">
        <v>391</v>
      </c>
      <c r="F3974" s="6" t="str">
        <f>IF($M3974="PADD I","PADD 1",IF($M3974="PADD II","PADD 2",IF($M3974="PADD III","PADD 3",IF($M3974="PADD IV","PADD 4",IF($M3974="PADD V","PADD 5","")))))</f>
        <v>PADD 4</v>
      </c>
      <c r="G3974" s="6">
        <f>IF(AND($H3974="ATMOS DISTILLATION",ISNUMBER(SEARCH("VPS",$I3974))=FALSE,LEFT($I3974,6)&lt;&gt;"VACUUM"),"CDU",IF($H3974="FLUID CAT CRACKING","FCC",IF(OR($H3974="HYDROCRACKING",$H3974="RESID_HYDROCRACKING"),"Hydrocracker",IF($H3974="REFORMING","Reformer",""))))</f>
        <v/>
      </c>
      <c r="H3974" s="6" t="s">
        <v>460</v>
      </c>
      <c r="I3974" s="6" t="s">
        <v>908</v>
      </c>
      <c r="J3974" s="6" t="s">
        <v>345</v>
      </c>
      <c r="K3974" s="10">
        <v>0.168</v>
      </c>
      <c r="L3974" s="10">
        <v>5.6</v>
      </c>
      <c r="M3974" s="6" t="s">
        <v>430</v>
      </c>
    </row>
    <row r="3975" spans="1:13">
      <c r="A3975" s="6">
        <v>2024</v>
      </c>
      <c r="B3975" s="6">
        <v>7</v>
      </c>
      <c r="C3975" s="6" t="s">
        <v>65</v>
      </c>
      <c r="D3975" s="6" t="s">
        <v>321</v>
      </c>
      <c r="E3975" s="6" t="s">
        <v>381</v>
      </c>
      <c r="F3975" s="6" t="str">
        <f>IF($M3975="PADD I","PADD 1",IF($M3975="PADD II","PADD 2",IF($M3975="PADD III","PADD 3",IF($M3975="PADD IV","PADD 4",IF($M3975="PADD V","PADD 5","")))))</f>
        <v>PADD 2</v>
      </c>
      <c r="G3975" s="6" t="str">
        <f>IF(AND($H3975="ATMOS DISTILLATION",ISNUMBER(SEARCH("VPS",$I3975))=FALSE,LEFT($I3975,6)&lt;&gt;"VACUUM"),"CDU",IF($H3975="FLUID CAT CRACKING","FCC",IF(OR($H3975="HYDROCRACKING",$H3975="RESID_HYDROCRACKING"),"Hydrocracker",IF($H3975="REFORMING","Reformer",""))))</f>
        <v>CDU</v>
      </c>
      <c r="H3975" s="6" t="s">
        <v>38</v>
      </c>
      <c r="I3975" s="6" t="s">
        <v>81</v>
      </c>
      <c r="J3975" s="6" t="s">
        <v>345</v>
      </c>
      <c r="K3975" s="10">
        <v>137.5</v>
      </c>
      <c r="L3975" s="10">
        <v>250</v>
      </c>
      <c r="M3975" s="6" t="s">
        <v>375</v>
      </c>
    </row>
    <row r="3976" spans="1:13">
      <c r="A3976" s="6">
        <v>2024</v>
      </c>
      <c r="B3976" s="6">
        <v>7</v>
      </c>
      <c r="C3976" s="6" t="s">
        <v>65</v>
      </c>
      <c r="D3976" s="6" t="s">
        <v>333</v>
      </c>
      <c r="E3976" s="6" t="s">
        <v>381</v>
      </c>
      <c r="F3976" s="6" t="str">
        <f>IF($M3976="PADD I","PADD 1",IF($M3976="PADD II","PADD 2",IF($M3976="PADD III","PADD 3",IF($M3976="PADD IV","PADD 4",IF($M3976="PADD V","PADD 5","")))))</f>
        <v>PADD 3</v>
      </c>
      <c r="G3976" s="6" t="str">
        <f>IF(AND($H3976="ATMOS DISTILLATION",ISNUMBER(SEARCH("VPS",$I3976))=FALSE,LEFT($I3976,6)&lt;&gt;"VACUUM"),"CDU",IF($H3976="FLUID CAT CRACKING","FCC",IF(OR($H3976="HYDROCRACKING",$H3976="RESID_HYDROCRACKING"),"Hydrocracker",IF($H3976="REFORMING","Reformer",""))))</f>
        <v>CDU</v>
      </c>
      <c r="H3976" s="6" t="s">
        <v>38</v>
      </c>
      <c r="I3976" s="6" t="s">
        <v>650</v>
      </c>
      <c r="J3976" s="6" t="s">
        <v>349</v>
      </c>
      <c r="K3976" s="10">
        <v>133.2</v>
      </c>
      <c r="L3976" s="10">
        <v>180</v>
      </c>
      <c r="M3976" s="6" t="s">
        <v>371</v>
      </c>
    </row>
    <row r="3977" spans="1:13">
      <c r="A3977" s="6">
        <v>2024</v>
      </c>
      <c r="B3977" s="6">
        <v>7</v>
      </c>
      <c r="C3977" s="6" t="s">
        <v>65</v>
      </c>
      <c r="D3977" s="6" t="s">
        <v>387</v>
      </c>
      <c r="E3977" s="6" t="s">
        <v>388</v>
      </c>
      <c r="F3977" s="6" t="str">
        <f>IF($M3977="PADD I","PADD 1",IF($M3977="PADD II","PADD 2",IF($M3977="PADD III","PADD 3",IF($M3977="PADD IV","PADD 4",IF($M3977="PADD V","PADD 5","")))))</f>
        <v>PADD 3</v>
      </c>
      <c r="G3977" s="6" t="str">
        <f>IF(AND($H3977="ATMOS DISTILLATION",ISNUMBER(SEARCH("VPS",$I3977))=FALSE,LEFT($I3977,6)&lt;&gt;"VACUUM"),"CDU",IF($H3977="FLUID CAT CRACKING","FCC",IF(OR($H3977="HYDROCRACKING",$H3977="RESID_HYDROCRACKING"),"Hydrocracker",IF($H3977="REFORMING","Reformer",""))))</f>
        <v>FCC</v>
      </c>
      <c r="H3977" s="6" t="s">
        <v>376</v>
      </c>
      <c r="I3977" s="6" t="s">
        <v>472</v>
      </c>
      <c r="J3977" s="6" t="s">
        <v>345</v>
      </c>
      <c r="K3977" s="10">
        <v>107.8</v>
      </c>
      <c r="L3977" s="10">
        <v>140</v>
      </c>
      <c r="M3977" s="6" t="s">
        <v>371</v>
      </c>
    </row>
    <row r="3978" spans="1:13">
      <c r="A3978" s="6">
        <v>2024</v>
      </c>
      <c r="B3978" s="6">
        <v>7</v>
      </c>
      <c r="C3978" s="6" t="s">
        <v>65</v>
      </c>
      <c r="D3978" s="6" t="s">
        <v>333</v>
      </c>
      <c r="E3978" s="6" t="s">
        <v>381</v>
      </c>
      <c r="F3978" s="6" t="str">
        <f>IF($M3978="PADD I","PADD 1",IF($M3978="PADD II","PADD 2",IF($M3978="PADD III","PADD 3",IF($M3978="PADD IV","PADD 4",IF($M3978="PADD V","PADD 5","")))))</f>
        <v>PADD 3</v>
      </c>
      <c r="G3978" s="6">
        <f>IF(AND($H3978="ATMOS DISTILLATION",ISNUMBER(SEARCH("VPS",$I3978))=FALSE,LEFT($I3978,6)&lt;&gt;"VACUUM"),"CDU",IF($H3978="FLUID CAT CRACKING","FCC",IF(OR($H3978="HYDROCRACKING",$H3978="RESID_HYDROCRACKING"),"Hydrocracker",IF($H3978="REFORMING","Reformer",""))))</f>
        <v/>
      </c>
      <c r="H3978" s="6" t="s">
        <v>378</v>
      </c>
      <c r="I3978" s="6" t="s">
        <v>919</v>
      </c>
      <c r="J3978" s="6" t="s">
        <v>345</v>
      </c>
      <c r="K3978" s="10">
        <v>78.54000000000001</v>
      </c>
      <c r="L3978" s="10">
        <v>102</v>
      </c>
      <c r="M3978" s="6" t="s">
        <v>371</v>
      </c>
    </row>
    <row r="3979" spans="1:13">
      <c r="A3979" s="6">
        <v>2024</v>
      </c>
      <c r="B3979" s="6">
        <v>7</v>
      </c>
      <c r="C3979" s="6" t="s">
        <v>65</v>
      </c>
      <c r="D3979" s="6" t="s">
        <v>1043</v>
      </c>
      <c r="E3979" s="6" t="s">
        <v>388</v>
      </c>
      <c r="F3979" s="6" t="str">
        <f>IF($M3979="PADD I","PADD 1",IF($M3979="PADD II","PADD 2",IF($M3979="PADD III","PADD 3",IF($M3979="PADD IV","PADD 4",IF($M3979="PADD V","PADD 5","")))))</f>
        <v>PADD 2</v>
      </c>
      <c r="G3979" s="6" t="str">
        <f>IF(AND($H3979="ATMOS DISTILLATION",ISNUMBER(SEARCH("VPS",$I3979))=FALSE,LEFT($I3979,6)&lt;&gt;"VACUUM"),"CDU",IF($H3979="FLUID CAT CRACKING","FCC",IF(OR($H3979="HYDROCRACKING",$H3979="RESID_HYDROCRACKING"),"Hydrocracker",IF($H3979="REFORMING","Reformer",""))))</f>
        <v>CDU</v>
      </c>
      <c r="H3979" s="6" t="s">
        <v>38</v>
      </c>
      <c r="I3979" s="6" t="s">
        <v>879</v>
      </c>
      <c r="J3979" s="6" t="s">
        <v>349</v>
      </c>
      <c r="K3979" s="10">
        <v>76</v>
      </c>
      <c r="L3979" s="10">
        <v>76</v>
      </c>
      <c r="M3979" s="6" t="s">
        <v>375</v>
      </c>
    </row>
    <row r="3980" spans="1:13">
      <c r="A3980" s="6">
        <v>2024</v>
      </c>
      <c r="B3980" s="6">
        <v>7</v>
      </c>
      <c r="C3980" s="6" t="s">
        <v>65</v>
      </c>
      <c r="D3980" s="6" t="s">
        <v>387</v>
      </c>
      <c r="E3980" s="6" t="s">
        <v>388</v>
      </c>
      <c r="F3980" s="6" t="str">
        <f>IF($M3980="PADD I","PADD 1",IF($M3980="PADD II","PADD 2",IF($M3980="PADD III","PADD 3",IF($M3980="PADD IV","PADD 4",IF($M3980="PADD V","PADD 5","")))))</f>
        <v>PADD 3</v>
      </c>
      <c r="G3980" s="6" t="str">
        <f>IF(AND($H3980="ATMOS DISTILLATION",ISNUMBER(SEARCH("VPS",$I3980))=FALSE,LEFT($I3980,6)&lt;&gt;"VACUUM"),"CDU",IF($H3980="FLUID CAT CRACKING","FCC",IF(OR($H3980="HYDROCRACKING",$H3980="RESID_HYDROCRACKING"),"Hydrocracker",IF($H3980="REFORMING","Reformer",""))))</f>
        <v>CDU</v>
      </c>
      <c r="H3980" s="6" t="s">
        <v>38</v>
      </c>
      <c r="I3980" s="6" t="s">
        <v>1212</v>
      </c>
      <c r="J3980" s="6" t="s">
        <v>345</v>
      </c>
      <c r="K3980" s="10">
        <v>72.8</v>
      </c>
      <c r="L3980" s="10">
        <v>280</v>
      </c>
      <c r="M3980" s="6" t="s">
        <v>371</v>
      </c>
    </row>
    <row r="3981" spans="1:13">
      <c r="A3981" s="6">
        <v>2024</v>
      </c>
      <c r="B3981" s="6">
        <v>7</v>
      </c>
      <c r="C3981" s="6" t="s">
        <v>65</v>
      </c>
      <c r="D3981" s="6" t="s">
        <v>321</v>
      </c>
      <c r="E3981" s="6" t="s">
        <v>381</v>
      </c>
      <c r="F3981" s="6" t="str">
        <f>IF($M3981="PADD I","PADD 1",IF($M3981="PADD II","PADD 2",IF($M3981="PADD III","PADD 3",IF($M3981="PADD IV","PADD 4",IF($M3981="PADD V","PADD 5","")))))</f>
        <v>PADD 2</v>
      </c>
      <c r="G3981" s="6">
        <f>IF(AND($H3981="ATMOS DISTILLATION",ISNUMBER(SEARCH("VPS",$I3981))=FALSE,LEFT($I3981,6)&lt;&gt;"VACUUM"),"CDU",IF($H3981="FLUID CAT CRACKING","FCC",IF(OR($H3981="HYDROCRACKING",$H3981="RESID_HYDROCRACKING"),"Hydrocracker",IF($H3981="REFORMING","Reformer",""))))</f>
        <v/>
      </c>
      <c r="H3981" s="6" t="s">
        <v>378</v>
      </c>
      <c r="I3981" s="6" t="s">
        <v>431</v>
      </c>
      <c r="J3981" s="6" t="s">
        <v>345</v>
      </c>
      <c r="K3981" s="10">
        <v>69.84999999999999</v>
      </c>
      <c r="L3981" s="10">
        <v>127</v>
      </c>
      <c r="M3981" s="6" t="s">
        <v>375</v>
      </c>
    </row>
    <row r="3982" spans="1:13">
      <c r="A3982" s="6">
        <v>2024</v>
      </c>
      <c r="B3982" s="6">
        <v>7</v>
      </c>
      <c r="C3982" s="6" t="s">
        <v>65</v>
      </c>
      <c r="D3982" s="6" t="s">
        <v>321</v>
      </c>
      <c r="E3982" s="6" t="s">
        <v>381</v>
      </c>
      <c r="F3982" s="6" t="str">
        <f>IF($M3982="PADD I","PADD 1",IF($M3982="PADD II","PADD 2",IF($M3982="PADD III","PADD 3",IF($M3982="PADD IV","PADD 4",IF($M3982="PADD V","PADD 5","")))))</f>
        <v>PADD 2</v>
      </c>
      <c r="G3982" s="6" t="str">
        <f>IF(AND($H3982="ATMOS DISTILLATION",ISNUMBER(SEARCH("VPS",$I3982))=FALSE,LEFT($I3982,6)&lt;&gt;"VACUUM"),"CDU",IF($H3982="FLUID CAT CRACKING","FCC",IF(OR($H3982="HYDROCRACKING",$H3982="RESID_HYDROCRACKING"),"Hydrocracker",IF($H3982="REFORMING","Reformer",""))))</f>
        <v>FCC</v>
      </c>
      <c r="H3982" s="6" t="s">
        <v>376</v>
      </c>
      <c r="I3982" s="6" t="s">
        <v>105</v>
      </c>
      <c r="J3982" s="6" t="s">
        <v>345</v>
      </c>
      <c r="K3982" s="10">
        <v>53.9</v>
      </c>
      <c r="L3982" s="10">
        <v>98</v>
      </c>
      <c r="M3982" s="6" t="s">
        <v>375</v>
      </c>
    </row>
    <row r="3983" spans="1:13">
      <c r="A3983" s="6">
        <v>2024</v>
      </c>
      <c r="B3983" s="6">
        <v>7</v>
      </c>
      <c r="C3983" s="6" t="s">
        <v>65</v>
      </c>
      <c r="D3983" s="6" t="s">
        <v>321</v>
      </c>
      <c r="E3983" s="6" t="s">
        <v>381</v>
      </c>
      <c r="F3983" s="6" t="str">
        <f>IF($M3983="PADD I","PADD 1",IF($M3983="PADD II","PADD 2",IF($M3983="PADD III","PADD 3",IF($M3983="PADD IV","PADD 4",IF($M3983="PADD V","PADD 5","")))))</f>
        <v>PADD 2</v>
      </c>
      <c r="G3983" s="6">
        <f>IF(AND($H3983="ATMOS DISTILLATION",ISNUMBER(SEARCH("VPS",$I3983))=FALSE,LEFT($I3983,6)&lt;&gt;"VACUUM"),"CDU",IF($H3983="FLUID CAT CRACKING","FCC",IF(OR($H3983="HYDROCRACKING",$H3983="RESID_HYDROCRACKING"),"Hydrocracker",IF($H3983="REFORMING","Reformer",""))))</f>
        <v/>
      </c>
      <c r="H3983" s="6" t="s">
        <v>43</v>
      </c>
      <c r="I3983" s="6" t="s">
        <v>1164</v>
      </c>
      <c r="J3983" s="6" t="s">
        <v>345</v>
      </c>
      <c r="K3983" s="10">
        <v>49.5</v>
      </c>
      <c r="L3983" s="10">
        <v>90</v>
      </c>
      <c r="M3983" s="6" t="s">
        <v>375</v>
      </c>
    </row>
    <row r="3984" spans="1:13">
      <c r="A3984" s="6">
        <v>2024</v>
      </c>
      <c r="B3984" s="6">
        <v>7</v>
      </c>
      <c r="C3984" s="6" t="s">
        <v>65</v>
      </c>
      <c r="D3984" s="6" t="s">
        <v>774</v>
      </c>
      <c r="E3984" s="6" t="s">
        <v>775</v>
      </c>
      <c r="F3984" s="6" t="str">
        <f>IF($M3984="PADD I","PADD 1",IF($M3984="PADD II","PADD 2",IF($M3984="PADD III","PADD 3",IF($M3984="PADD IV","PADD 4",IF($M3984="PADD V","PADD 5","")))))</f>
        <v>PADD 1</v>
      </c>
      <c r="G3984" s="6" t="str">
        <f>IF(AND($H3984="ATMOS DISTILLATION",ISNUMBER(SEARCH("VPS",$I3984))=FALSE,LEFT($I3984,6)&lt;&gt;"VACUUM"),"CDU",IF($H3984="FLUID CAT CRACKING","FCC",IF(OR($H3984="HYDROCRACKING",$H3984="RESID_HYDROCRACKING"),"Hydrocracker",IF($H3984="REFORMING","Reformer",""))))</f>
        <v>FCC</v>
      </c>
      <c r="H3984" s="6" t="s">
        <v>376</v>
      </c>
      <c r="I3984" s="6" t="s">
        <v>105</v>
      </c>
      <c r="J3984" s="6" t="s">
        <v>345</v>
      </c>
      <c r="K3984" s="10">
        <v>45</v>
      </c>
      <c r="L3984" s="10">
        <v>45</v>
      </c>
      <c r="M3984" s="6" t="s">
        <v>413</v>
      </c>
    </row>
    <row r="3985" spans="1:13">
      <c r="A3985" s="6">
        <v>2024</v>
      </c>
      <c r="B3985" s="6">
        <v>7</v>
      </c>
      <c r="C3985" s="6" t="s">
        <v>65</v>
      </c>
      <c r="D3985" s="6" t="s">
        <v>321</v>
      </c>
      <c r="E3985" s="6" t="s">
        <v>381</v>
      </c>
      <c r="F3985" s="6" t="str">
        <f>IF($M3985="PADD I","PADD 1",IF($M3985="PADD II","PADD 2",IF($M3985="PADD III","PADD 3",IF($M3985="PADD IV","PADD 4",IF($M3985="PADD V","PADD 5","")))))</f>
        <v>PADD 2</v>
      </c>
      <c r="G3985" s="6">
        <f>IF(AND($H3985="ATMOS DISTILLATION",ISNUMBER(SEARCH("VPS",$I3985))=FALSE,LEFT($I3985,6)&lt;&gt;"VACUUM"),"CDU",IF($H3985="FLUID CAT CRACKING","FCC",IF(OR($H3985="HYDROCRACKING",$H3985="RESID_HYDROCRACKING"),"Hydrocracker",IF($H3985="REFORMING","Reformer",""))))</f>
        <v/>
      </c>
      <c r="H3985" s="6" t="s">
        <v>43</v>
      </c>
      <c r="I3985" s="6" t="s">
        <v>1165</v>
      </c>
      <c r="J3985" s="6" t="s">
        <v>345</v>
      </c>
      <c r="K3985" s="10">
        <v>44</v>
      </c>
      <c r="L3985" s="10">
        <v>80</v>
      </c>
      <c r="M3985" s="6" t="s">
        <v>375</v>
      </c>
    </row>
    <row r="3986" spans="1:13">
      <c r="A3986" s="6">
        <v>2024</v>
      </c>
      <c r="B3986" s="6">
        <v>7</v>
      </c>
      <c r="C3986" s="6" t="s">
        <v>65</v>
      </c>
      <c r="D3986" s="6" t="s">
        <v>446</v>
      </c>
      <c r="E3986" s="6" t="s">
        <v>391</v>
      </c>
      <c r="F3986" s="6" t="str">
        <f>IF($M3986="PADD I","PADD 1",IF($M3986="PADD II","PADD 2",IF($M3986="PADD III","PADD 3",IF($M3986="PADD IV","PADD 4",IF($M3986="PADD V","PADD 5","")))))</f>
        <v>PADD 3</v>
      </c>
      <c r="G3986" s="6">
        <f>IF(AND($H3986="ATMOS DISTILLATION",ISNUMBER(SEARCH("VPS",$I3986))=FALSE,LEFT($I3986,6)&lt;&gt;"VACUUM"),"CDU",IF($H3986="FLUID CAT CRACKING","FCC",IF(OR($H3986="HYDROCRACKING",$H3986="RESID_HYDROCRACKING"),"Hydrocracker",IF($H3986="REFORMING","Reformer",""))))</f>
        <v/>
      </c>
      <c r="H3986" s="6" t="s">
        <v>43</v>
      </c>
      <c r="I3986" s="6" t="s">
        <v>447</v>
      </c>
      <c r="J3986" s="6" t="s">
        <v>349</v>
      </c>
      <c r="K3986" s="10">
        <v>35</v>
      </c>
      <c r="L3986" s="10">
        <v>35</v>
      </c>
      <c r="M3986" s="6" t="s">
        <v>371</v>
      </c>
    </row>
    <row r="3987" spans="1:13">
      <c r="A3987" s="6">
        <v>2024</v>
      </c>
      <c r="B3987" s="6">
        <v>7</v>
      </c>
      <c r="C3987" s="6" t="s">
        <v>65</v>
      </c>
      <c r="D3987" s="6" t="s">
        <v>448</v>
      </c>
      <c r="E3987" s="6" t="s">
        <v>391</v>
      </c>
      <c r="F3987" s="6" t="str">
        <f>IF($M3987="PADD I","PADD 1",IF($M3987="PADD II","PADD 2",IF($M3987="PADD III","PADD 3",IF($M3987="PADD IV","PADD 4",IF($M3987="PADD V","PADD 5","")))))</f>
        <v>PADD 3</v>
      </c>
      <c r="G3987" s="6">
        <f>IF(AND($H3987="ATMOS DISTILLATION",ISNUMBER(SEARCH("VPS",$I3987))=FALSE,LEFT($I3987,6)&lt;&gt;"VACUUM"),"CDU",IF($H3987="FLUID CAT CRACKING","FCC",IF(OR($H3987="HYDROCRACKING",$H3987="RESID_HYDROCRACKING"),"Hydrocracker",IF($H3987="REFORMING","Reformer",""))))</f>
        <v/>
      </c>
      <c r="H3987" s="6" t="s">
        <v>43</v>
      </c>
      <c r="I3987" s="6" t="s">
        <v>449</v>
      </c>
      <c r="J3987" s="6" t="s">
        <v>345</v>
      </c>
      <c r="K3987" s="10">
        <v>35</v>
      </c>
      <c r="L3987" s="10">
        <v>35</v>
      </c>
      <c r="M3987" s="6" t="s">
        <v>371</v>
      </c>
    </row>
    <row r="3988" spans="1:13">
      <c r="A3988" s="6">
        <v>2024</v>
      </c>
      <c r="B3988" s="6">
        <v>7</v>
      </c>
      <c r="C3988" s="6" t="s">
        <v>65</v>
      </c>
      <c r="D3988" s="6" t="s">
        <v>387</v>
      </c>
      <c r="E3988" s="6" t="s">
        <v>388</v>
      </c>
      <c r="F3988" s="6" t="str">
        <f>IF($M3988="PADD I","PADD 1",IF($M3988="PADD II","PADD 2",IF($M3988="PADD III","PADD 3",IF($M3988="PADD IV","PADD 4",IF($M3988="PADD V","PADD 5","")))))</f>
        <v>PADD 3</v>
      </c>
      <c r="G3988" s="6" t="str">
        <f>IF(AND($H3988="ATMOS DISTILLATION",ISNUMBER(SEARCH("VPS",$I3988))=FALSE,LEFT($I3988,6)&lt;&gt;"VACUUM"),"CDU",IF($H3988="FLUID CAT CRACKING","FCC",IF(OR($H3988="HYDROCRACKING",$H3988="RESID_HYDROCRACKING"),"Hydrocracker",IF($H3988="REFORMING","Reformer",""))))</f>
        <v>Hydrocracker</v>
      </c>
      <c r="H3988" s="6" t="s">
        <v>444</v>
      </c>
      <c r="I3988" s="6" t="s">
        <v>476</v>
      </c>
      <c r="J3988" s="6" t="s">
        <v>345</v>
      </c>
      <c r="K3988" s="10">
        <v>33.6</v>
      </c>
      <c r="L3988" s="10">
        <v>70</v>
      </c>
      <c r="M3988" s="6" t="s">
        <v>371</v>
      </c>
    </row>
    <row r="3989" spans="1:13">
      <c r="A3989" s="6">
        <v>2024</v>
      </c>
      <c r="B3989" s="6">
        <v>7</v>
      </c>
      <c r="C3989" s="6" t="s">
        <v>65</v>
      </c>
      <c r="D3989" s="6" t="s">
        <v>387</v>
      </c>
      <c r="E3989" s="6" t="s">
        <v>388</v>
      </c>
      <c r="F3989" s="6" t="str">
        <f>IF($M3989="PADD I","PADD 1",IF($M3989="PADD II","PADD 2",IF($M3989="PADD III","PADD 3",IF($M3989="PADD IV","PADD 4",IF($M3989="PADD V","PADD 5","")))))</f>
        <v>PADD 3</v>
      </c>
      <c r="G3989" s="6">
        <f>IF(AND($H3989="ATMOS DISTILLATION",ISNUMBER(SEARCH("VPS",$I3989))=FALSE,LEFT($I3989,6)&lt;&gt;"VACUUM"),"CDU",IF($H3989="FLUID CAT CRACKING","FCC",IF(OR($H3989="HYDROCRACKING",$H3989="RESID_HYDROCRACKING"),"Hydrocracker",IF($H3989="REFORMING","Reformer",""))))</f>
        <v/>
      </c>
      <c r="H3989" s="6" t="s">
        <v>378</v>
      </c>
      <c r="I3989" s="6" t="s">
        <v>442</v>
      </c>
      <c r="J3989" s="6" t="s">
        <v>345</v>
      </c>
      <c r="K3989" s="10">
        <v>33.28</v>
      </c>
      <c r="L3989" s="10">
        <v>128</v>
      </c>
      <c r="M3989" s="6" t="s">
        <v>371</v>
      </c>
    </row>
    <row r="3990" spans="1:13">
      <c r="A3990" s="6">
        <v>2024</v>
      </c>
      <c r="B3990" s="6">
        <v>7</v>
      </c>
      <c r="C3990" s="6" t="s">
        <v>65</v>
      </c>
      <c r="D3990" s="6" t="s">
        <v>321</v>
      </c>
      <c r="E3990" s="6" t="s">
        <v>381</v>
      </c>
      <c r="F3990" s="6" t="str">
        <f>IF($M3990="PADD I","PADD 1",IF($M3990="PADD II","PADD 2",IF($M3990="PADD III","PADD 3",IF($M3990="PADD IV","PADD 4",IF($M3990="PADD V","PADD 5","")))))</f>
        <v>PADD 2</v>
      </c>
      <c r="G3990" s="6">
        <f>IF(AND($H3990="ATMOS DISTILLATION",ISNUMBER(SEARCH("VPS",$I3990))=FALSE,LEFT($I3990,6)&lt;&gt;"VACUUM"),"CDU",IF($H3990="FLUID CAT CRACKING","FCC",IF(OR($H3990="HYDROCRACKING",$H3990="RESID_HYDROCRACKING"),"Hydrocracker",IF($H3990="REFORMING","Reformer",""))))</f>
        <v/>
      </c>
      <c r="H3990" s="6" t="s">
        <v>435</v>
      </c>
      <c r="I3990" s="6" t="s">
        <v>441</v>
      </c>
      <c r="J3990" s="6" t="s">
        <v>345</v>
      </c>
      <c r="K3990" s="10">
        <v>30.8</v>
      </c>
      <c r="L3990" s="10">
        <v>56</v>
      </c>
      <c r="M3990" s="6" t="s">
        <v>375</v>
      </c>
    </row>
    <row r="3991" spans="1:13">
      <c r="A3991" s="6">
        <v>2024</v>
      </c>
      <c r="B3991" s="6">
        <v>7</v>
      </c>
      <c r="C3991" s="6" t="s">
        <v>65</v>
      </c>
      <c r="D3991" s="6" t="s">
        <v>446</v>
      </c>
      <c r="E3991" s="6" t="s">
        <v>391</v>
      </c>
      <c r="F3991" s="6" t="str">
        <f>IF($M3991="PADD I","PADD 1",IF($M3991="PADD II","PADD 2",IF($M3991="PADD III","PADD 3",IF($M3991="PADD IV","PADD 4",IF($M3991="PADD V","PADD 5","")))))</f>
        <v>PADD 3</v>
      </c>
      <c r="G3991" s="6" t="str">
        <f>IF(AND($H3991="ATMOS DISTILLATION",ISNUMBER(SEARCH("VPS",$I3991))=FALSE,LEFT($I3991,6)&lt;&gt;"VACUUM"),"CDU",IF($H3991="FLUID CAT CRACKING","FCC",IF(OR($H3991="HYDROCRACKING",$H3991="RESID_HYDROCRACKING"),"Hydrocracker",IF($H3991="REFORMING","Reformer",""))))</f>
        <v>CDU</v>
      </c>
      <c r="H3991" s="6" t="s">
        <v>38</v>
      </c>
      <c r="I3991" s="6" t="s">
        <v>81</v>
      </c>
      <c r="J3991" s="6" t="s">
        <v>349</v>
      </c>
      <c r="K3991" s="10">
        <v>29</v>
      </c>
      <c r="L3991" s="10">
        <v>100</v>
      </c>
      <c r="M3991" s="6" t="s">
        <v>371</v>
      </c>
    </row>
    <row r="3992" spans="1:13">
      <c r="A3992" s="6">
        <v>2024</v>
      </c>
      <c r="B3992" s="6">
        <v>7</v>
      </c>
      <c r="C3992" s="6" t="s">
        <v>65</v>
      </c>
      <c r="D3992" s="6" t="s">
        <v>321</v>
      </c>
      <c r="E3992" s="6" t="s">
        <v>381</v>
      </c>
      <c r="F3992" s="6" t="str">
        <f>IF($M3992="PADD I","PADD 1",IF($M3992="PADD II","PADD 2",IF($M3992="PADD III","PADD 3",IF($M3992="PADD IV","PADD 4",IF($M3992="PADD V","PADD 5","")))))</f>
        <v>PADD 2</v>
      </c>
      <c r="G3992" s="6">
        <f>IF(AND($H3992="ATMOS DISTILLATION",ISNUMBER(SEARCH("VPS",$I3992))=FALSE,LEFT($I3992,6)&lt;&gt;"VACUUM"),"CDU",IF($H3992="FLUID CAT CRACKING","FCC",IF(OR($H3992="HYDROCRACKING",$H3992="RESID_HYDROCRACKING"),"Hydrocracker",IF($H3992="REFORMING","Reformer",""))))</f>
        <v/>
      </c>
      <c r="H3992" s="6" t="s">
        <v>43</v>
      </c>
      <c r="I3992" s="6" t="s">
        <v>744</v>
      </c>
      <c r="J3992" s="6" t="s">
        <v>345</v>
      </c>
      <c r="K3992" s="10">
        <v>27.5</v>
      </c>
      <c r="L3992" s="10">
        <v>50</v>
      </c>
      <c r="M3992" s="6" t="s">
        <v>375</v>
      </c>
    </row>
    <row r="3993" spans="1:13">
      <c r="A3993" s="6">
        <v>2024</v>
      </c>
      <c r="B3993" s="6">
        <v>7</v>
      </c>
      <c r="C3993" s="6" t="s">
        <v>65</v>
      </c>
      <c r="D3993" s="6" t="s">
        <v>321</v>
      </c>
      <c r="E3993" s="6" t="s">
        <v>381</v>
      </c>
      <c r="F3993" s="6" t="str">
        <f>IF($M3993="PADD I","PADD 1",IF($M3993="PADD II","PADD 2",IF($M3993="PADD III","PADD 3",IF($M3993="PADD IV","PADD 4",IF($M3993="PADD V","PADD 5","")))))</f>
        <v>PADD 2</v>
      </c>
      <c r="G3993" s="6" t="str">
        <f>IF(AND($H3993="ATMOS DISTILLATION",ISNUMBER(SEARCH("VPS",$I3993))=FALSE,LEFT($I3993,6)&lt;&gt;"VACUUM"),"CDU",IF($H3993="FLUID CAT CRACKING","FCC",IF(OR($H3993="HYDROCRACKING",$H3993="RESID_HYDROCRACKING"),"Hydrocracker",IF($H3993="REFORMING","Reformer",""))))</f>
        <v>Reformer</v>
      </c>
      <c r="H3993" s="6" t="s">
        <v>421</v>
      </c>
      <c r="I3993" s="6" t="s">
        <v>228</v>
      </c>
      <c r="J3993" s="6" t="s">
        <v>345</v>
      </c>
      <c r="K3993" s="10">
        <v>27.5</v>
      </c>
      <c r="L3993" s="10">
        <v>50</v>
      </c>
      <c r="M3993" s="6" t="s">
        <v>375</v>
      </c>
    </row>
    <row r="3994" spans="1:13">
      <c r="A3994" s="6">
        <v>2024</v>
      </c>
      <c r="B3994" s="6">
        <v>7</v>
      </c>
      <c r="C3994" s="6" t="s">
        <v>65</v>
      </c>
      <c r="D3994" s="6" t="s">
        <v>1043</v>
      </c>
      <c r="E3994" s="6" t="s">
        <v>388</v>
      </c>
      <c r="F3994" s="6" t="str">
        <f>IF($M3994="PADD I","PADD 1",IF($M3994="PADD II","PADD 2",IF($M3994="PADD III","PADD 3",IF($M3994="PADD IV","PADD 4",IF($M3994="PADD V","PADD 5","")))))</f>
        <v>PADD 2</v>
      </c>
      <c r="G3994" s="6" t="str">
        <f>IF(AND($H3994="ATMOS DISTILLATION",ISNUMBER(SEARCH("VPS",$I3994))=FALSE,LEFT($I3994,6)&lt;&gt;"VACUUM"),"CDU",IF($H3994="FLUID CAT CRACKING","FCC",IF(OR($H3994="HYDROCRACKING",$H3994="RESID_HYDROCRACKING"),"Hydrocracker",IF($H3994="REFORMING","Reformer",""))))</f>
        <v>FCC</v>
      </c>
      <c r="H3994" s="6" t="s">
        <v>376</v>
      </c>
      <c r="I3994" s="6" t="s">
        <v>105</v>
      </c>
      <c r="J3994" s="6" t="s">
        <v>349</v>
      </c>
      <c r="K3994" s="10">
        <v>26</v>
      </c>
      <c r="L3994" s="10">
        <v>26</v>
      </c>
      <c r="M3994" s="6" t="s">
        <v>375</v>
      </c>
    </row>
    <row r="3995" spans="1:13">
      <c r="A3995" s="6">
        <v>2024</v>
      </c>
      <c r="B3995" s="6">
        <v>7</v>
      </c>
      <c r="C3995" s="6" t="s">
        <v>65</v>
      </c>
      <c r="D3995" s="6" t="s">
        <v>446</v>
      </c>
      <c r="E3995" s="6" t="s">
        <v>391</v>
      </c>
      <c r="F3995" s="6" t="str">
        <f>IF($M3995="PADD I","PADD 1",IF($M3995="PADD II","PADD 2",IF($M3995="PADD III","PADD 3",IF($M3995="PADD IV","PADD 4",IF($M3995="PADD V","PADD 5","")))))</f>
        <v>PADD 3</v>
      </c>
      <c r="G3995" s="6" t="str">
        <f>IF(AND($H3995="ATMOS DISTILLATION",ISNUMBER(SEARCH("VPS",$I3995))=FALSE,LEFT($I3995,6)&lt;&gt;"VACUUM"),"CDU",IF($H3995="FLUID CAT CRACKING","FCC",IF(OR($H3995="HYDROCRACKING",$H3995="RESID_HYDROCRACKING"),"Hydrocracker",IF($H3995="REFORMING","Reformer",""))))</f>
        <v>CDU</v>
      </c>
      <c r="H3995" s="6" t="s">
        <v>38</v>
      </c>
      <c r="I3995" s="6" t="s">
        <v>81</v>
      </c>
      <c r="J3995" s="6" t="s">
        <v>345</v>
      </c>
      <c r="K3995" s="10">
        <v>26</v>
      </c>
      <c r="L3995" s="10">
        <v>100</v>
      </c>
      <c r="M3995" s="6" t="s">
        <v>371</v>
      </c>
    </row>
    <row r="3996" spans="1:13">
      <c r="A3996" s="6">
        <v>2024</v>
      </c>
      <c r="B3996" s="6">
        <v>7</v>
      </c>
      <c r="C3996" s="6" t="s">
        <v>65</v>
      </c>
      <c r="D3996" s="6" t="s">
        <v>1043</v>
      </c>
      <c r="E3996" s="6" t="s">
        <v>388</v>
      </c>
      <c r="F3996" s="6" t="str">
        <f>IF($M3996="PADD I","PADD 1",IF($M3996="PADD II","PADD 2",IF($M3996="PADD III","PADD 3",IF($M3996="PADD IV","PADD 4",IF($M3996="PADD V","PADD 5","")))))</f>
        <v>PADD 2</v>
      </c>
      <c r="G3996" s="6">
        <f>IF(AND($H3996="ATMOS DISTILLATION",ISNUMBER(SEARCH("VPS",$I3996))=FALSE,LEFT($I3996,6)&lt;&gt;"VACUUM"),"CDU",IF($H3996="FLUID CAT CRACKING","FCC",IF(OR($H3996="HYDROCRACKING",$H3996="RESID_HYDROCRACKING"),"Hydrocracker",IF($H3996="REFORMING","Reformer",""))))</f>
        <v/>
      </c>
      <c r="H3996" s="6" t="s">
        <v>43</v>
      </c>
      <c r="I3996" s="6" t="s">
        <v>1051</v>
      </c>
      <c r="J3996" s="6" t="s">
        <v>349</v>
      </c>
      <c r="K3996" s="10">
        <v>25.4</v>
      </c>
      <c r="L3996" s="10">
        <v>25.4</v>
      </c>
      <c r="M3996" s="6" t="s">
        <v>375</v>
      </c>
    </row>
    <row r="3997" spans="1:13">
      <c r="A3997" s="6">
        <v>2024</v>
      </c>
      <c r="B3997" s="6">
        <v>7</v>
      </c>
      <c r="C3997" s="6" t="s">
        <v>65</v>
      </c>
      <c r="D3997" s="6" t="s">
        <v>1043</v>
      </c>
      <c r="E3997" s="6" t="s">
        <v>388</v>
      </c>
      <c r="F3997" s="6" t="str">
        <f>IF($M3997="PADD I","PADD 1",IF($M3997="PADD II","PADD 2",IF($M3997="PADD III","PADD 3",IF($M3997="PADD IV","PADD 4",IF($M3997="PADD V","PADD 5","")))))</f>
        <v>PADD 2</v>
      </c>
      <c r="G3997" s="6">
        <f>IF(AND($H3997="ATMOS DISTILLATION",ISNUMBER(SEARCH("VPS",$I3997))=FALSE,LEFT($I3997,6)&lt;&gt;"VACUUM"),"CDU",IF($H3997="FLUID CAT CRACKING","FCC",IF(OR($H3997="HYDROCRACKING",$H3997="RESID_HYDROCRACKING"),"Hydrocracker",IF($H3997="REFORMING","Reformer",""))))</f>
        <v/>
      </c>
      <c r="H3997" s="6" t="s">
        <v>43</v>
      </c>
      <c r="I3997" s="6" t="s">
        <v>1052</v>
      </c>
      <c r="J3997" s="6" t="s">
        <v>349</v>
      </c>
      <c r="K3997" s="10">
        <v>24.2</v>
      </c>
      <c r="L3997" s="10">
        <v>24.2</v>
      </c>
      <c r="M3997" s="6" t="s">
        <v>375</v>
      </c>
    </row>
    <row r="3998" spans="1:13">
      <c r="A3998" s="6">
        <v>2024</v>
      </c>
      <c r="B3998" s="6">
        <v>7</v>
      </c>
      <c r="C3998" s="6" t="s">
        <v>65</v>
      </c>
      <c r="D3998" s="6" t="s">
        <v>333</v>
      </c>
      <c r="E3998" s="6" t="s">
        <v>381</v>
      </c>
      <c r="F3998" s="6" t="str">
        <f>IF($M3998="PADD I","PADD 1",IF($M3998="PADD II","PADD 2",IF($M3998="PADD III","PADD 3",IF($M3998="PADD IV","PADD 4",IF($M3998="PADD V","PADD 5","")))))</f>
        <v>PADD 3</v>
      </c>
      <c r="G3998" s="6">
        <f>IF(AND($H3998="ATMOS DISTILLATION",ISNUMBER(SEARCH("VPS",$I3998))=FALSE,LEFT($I3998,6)&lt;&gt;"VACUUM"),"CDU",IF($H3998="FLUID CAT CRACKING","FCC",IF(OR($H3998="HYDROCRACKING",$H3998="RESID_HYDROCRACKING"),"Hydrocracker",IF($H3998="REFORMING","Reformer",""))))</f>
        <v/>
      </c>
      <c r="H3998" s="6" t="s">
        <v>435</v>
      </c>
      <c r="I3998" s="6" t="s">
        <v>441</v>
      </c>
      <c r="J3998" s="6" t="s">
        <v>349</v>
      </c>
      <c r="K3998" s="10">
        <v>23.1</v>
      </c>
      <c r="L3998" s="10">
        <v>30</v>
      </c>
      <c r="M3998" s="6" t="s">
        <v>371</v>
      </c>
    </row>
    <row r="3999" spans="1:13">
      <c r="A3999" s="6">
        <v>2024</v>
      </c>
      <c r="B3999" s="6">
        <v>7</v>
      </c>
      <c r="C3999" s="6" t="s">
        <v>65</v>
      </c>
      <c r="D3999" s="6" t="s">
        <v>490</v>
      </c>
      <c r="E3999" s="6" t="s">
        <v>491</v>
      </c>
      <c r="F3999" s="6" t="str">
        <f>IF($M3999="PADD I","PADD 1",IF($M3999="PADD II","PADD 2",IF($M3999="PADD III","PADD 3",IF($M3999="PADD IV","PADD 4",IF($M3999="PADD V","PADD 5","")))))</f>
        <v>PADD 3</v>
      </c>
      <c r="G3999" s="6" t="str">
        <f>IF(AND($H3999="ATMOS DISTILLATION",ISNUMBER(SEARCH("VPS",$I3999))=FALSE,LEFT($I3999,6)&lt;&gt;"VACUUM"),"CDU",IF($H3999="FLUID CAT CRACKING","FCC",IF(OR($H3999="HYDROCRACKING",$H3999="RESID_HYDROCRACKING"),"Hydrocracker",IF($H3999="REFORMING","Reformer",""))))</f>
        <v>FCC</v>
      </c>
      <c r="H3999" s="6" t="s">
        <v>376</v>
      </c>
      <c r="I3999" s="6" t="s">
        <v>472</v>
      </c>
      <c r="J3999" s="6" t="s">
        <v>345</v>
      </c>
      <c r="K3999" s="10">
        <v>21.06</v>
      </c>
      <c r="L3999" s="10">
        <v>81</v>
      </c>
      <c r="M3999" s="6" t="s">
        <v>371</v>
      </c>
    </row>
    <row r="4000" spans="1:13">
      <c r="A4000" s="6">
        <v>2024</v>
      </c>
      <c r="B4000" s="6">
        <v>7</v>
      </c>
      <c r="C4000" s="6" t="s">
        <v>65</v>
      </c>
      <c r="D4000" s="6" t="s">
        <v>372</v>
      </c>
      <c r="E4000" s="6" t="s">
        <v>373</v>
      </c>
      <c r="F4000" s="6" t="str">
        <f>IF($M4000="PADD I","PADD 1",IF($M4000="PADD II","PADD 2",IF($M4000="PADD III","PADD 3",IF($M4000="PADD IV","PADD 4",IF($M4000="PADD V","PADD 5","")))))</f>
        <v>PADD 2</v>
      </c>
      <c r="G4000" s="6" t="str">
        <f>IF(AND($H4000="ATMOS DISTILLATION",ISNUMBER(SEARCH("VPS",$I4000))=FALSE,LEFT($I4000,6)&lt;&gt;"VACUUM"),"CDU",IF($H4000="FLUID CAT CRACKING","FCC",IF(OR($H4000="HYDROCRACKING",$H4000="RESID_HYDROCRACKING"),"Hydrocracker",IF($H4000="REFORMING","Reformer",""))))</f>
        <v>CDU</v>
      </c>
      <c r="H4000" s="6" t="s">
        <v>38</v>
      </c>
      <c r="I4000" s="6" t="s">
        <v>414</v>
      </c>
      <c r="J4000" s="6" t="s">
        <v>345</v>
      </c>
      <c r="K4000" s="10">
        <v>19.2</v>
      </c>
      <c r="L4000" s="10">
        <v>40</v>
      </c>
      <c r="M4000" s="6" t="s">
        <v>375</v>
      </c>
    </row>
    <row r="4001" spans="1:13">
      <c r="A4001" s="6">
        <v>2024</v>
      </c>
      <c r="B4001" s="6">
        <v>7</v>
      </c>
      <c r="C4001" s="6" t="s">
        <v>65</v>
      </c>
      <c r="D4001" s="6" t="s">
        <v>612</v>
      </c>
      <c r="E4001" s="6" t="s">
        <v>416</v>
      </c>
      <c r="F4001" s="6" t="str">
        <f>IF($M4001="PADD I","PADD 1",IF($M4001="PADD II","PADD 2",IF($M4001="PADD III","PADD 3",IF($M4001="PADD IV","PADD 4",IF($M4001="PADD V","PADD 5","")))))</f>
        <v>PADD 3</v>
      </c>
      <c r="G4001" s="6" t="str">
        <f>IF(AND($H4001="ATMOS DISTILLATION",ISNUMBER(SEARCH("VPS",$I4001))=FALSE,LEFT($I4001,6)&lt;&gt;"VACUUM"),"CDU",IF($H4001="FLUID CAT CRACKING","FCC",IF(OR($H4001="HYDROCRACKING",$H4001="RESID_HYDROCRACKING"),"Hydrocracker",IF($H4001="REFORMING","Reformer",""))))</f>
        <v>CDU</v>
      </c>
      <c r="H4001" s="6" t="s">
        <v>38</v>
      </c>
      <c r="I4001" s="6" t="s">
        <v>81</v>
      </c>
      <c r="J4001" s="6" t="s">
        <v>345</v>
      </c>
      <c r="K4001" s="10">
        <v>18.2</v>
      </c>
      <c r="L4001" s="10">
        <v>140</v>
      </c>
      <c r="M4001" s="6" t="s">
        <v>371</v>
      </c>
    </row>
    <row r="4002" spans="1:13">
      <c r="A4002" s="6">
        <v>2024</v>
      </c>
      <c r="B4002" s="6">
        <v>7</v>
      </c>
      <c r="C4002" s="6" t="s">
        <v>65</v>
      </c>
      <c r="D4002" s="6" t="s">
        <v>446</v>
      </c>
      <c r="E4002" s="6" t="s">
        <v>391</v>
      </c>
      <c r="F4002" s="6" t="str">
        <f>IF($M4002="PADD I","PADD 1",IF($M4002="PADD II","PADD 2",IF($M4002="PADD III","PADD 3",IF($M4002="PADD IV","PADD 4",IF($M4002="PADD V","PADD 5","")))))</f>
        <v>PADD 3</v>
      </c>
      <c r="G4002" s="6">
        <f>IF(AND($H4002="ATMOS DISTILLATION",ISNUMBER(SEARCH("VPS",$I4002))=FALSE,LEFT($I4002,6)&lt;&gt;"VACUUM"),"CDU",IF($H4002="FLUID CAT CRACKING","FCC",IF(OR($H4002="HYDROCRACKING",$H4002="RESID_HYDROCRACKING"),"Hydrocracker",IF($H4002="REFORMING","Reformer",""))))</f>
        <v/>
      </c>
      <c r="H4002" s="6" t="s">
        <v>378</v>
      </c>
      <c r="I4002" s="6" t="s">
        <v>1041</v>
      </c>
      <c r="J4002" s="6" t="s">
        <v>345</v>
      </c>
      <c r="K4002" s="10">
        <v>17.22</v>
      </c>
      <c r="L4002" s="10">
        <v>41</v>
      </c>
      <c r="M4002" s="6" t="s">
        <v>371</v>
      </c>
    </row>
    <row r="4003" spans="1:13">
      <c r="A4003" s="6">
        <v>2024</v>
      </c>
      <c r="B4003" s="6">
        <v>7</v>
      </c>
      <c r="C4003" s="6" t="s">
        <v>65</v>
      </c>
      <c r="D4003" s="6" t="s">
        <v>547</v>
      </c>
      <c r="E4003" s="6" t="s">
        <v>391</v>
      </c>
      <c r="F4003" s="6" t="str">
        <f>IF($M4003="PADD I","PADD 1",IF($M4003="PADD II","PADD 2",IF($M4003="PADD III","PADD 3",IF($M4003="PADD IV","PADD 4",IF($M4003="PADD V","PADD 5","")))))</f>
        <v>PADD 5</v>
      </c>
      <c r="G4003" s="6" t="str">
        <f>IF(AND($H4003="ATMOS DISTILLATION",ISNUMBER(SEARCH("VPS",$I4003))=FALSE,LEFT($I4003,6)&lt;&gt;"VACUUM"),"CDU",IF($H4003="FLUID CAT CRACKING","FCC",IF(OR($H4003="HYDROCRACKING",$H4003="RESID_HYDROCRACKING"),"Hydrocracker",IF($H4003="REFORMING","Reformer",""))))</f>
        <v>FCC</v>
      </c>
      <c r="H4003" s="6" t="s">
        <v>376</v>
      </c>
      <c r="I4003" s="6" t="s">
        <v>105</v>
      </c>
      <c r="J4003" s="6" t="s">
        <v>349</v>
      </c>
      <c r="K4003" s="10">
        <v>15.2</v>
      </c>
      <c r="L4003" s="10">
        <v>80</v>
      </c>
      <c r="M4003" s="6" t="s">
        <v>386</v>
      </c>
    </row>
    <row r="4004" spans="1:13">
      <c r="A4004" s="6">
        <v>2024</v>
      </c>
      <c r="B4004" s="6">
        <v>7</v>
      </c>
      <c r="C4004" s="6" t="s">
        <v>65</v>
      </c>
      <c r="D4004" s="6" t="s">
        <v>1043</v>
      </c>
      <c r="E4004" s="6" t="s">
        <v>388</v>
      </c>
      <c r="F4004" s="6" t="str">
        <f>IF($M4004="PADD I","PADD 1",IF($M4004="PADD II","PADD 2",IF($M4004="PADD III","PADD 3",IF($M4004="PADD IV","PADD 4",IF($M4004="PADD V","PADD 5","")))))</f>
        <v>PADD 2</v>
      </c>
      <c r="G4004" s="6">
        <f>IF(AND($H4004="ATMOS DISTILLATION",ISNUMBER(SEARCH("VPS",$I4004))=FALSE,LEFT($I4004,6)&lt;&gt;"VACUUM"),"CDU",IF($H4004="FLUID CAT CRACKING","FCC",IF(OR($H4004="HYDROCRACKING",$H4004="RESID_HYDROCRACKING"),"Hydrocracker",IF($H4004="REFORMING","Reformer",""))))</f>
        <v/>
      </c>
      <c r="H4004" s="6" t="s">
        <v>43</v>
      </c>
      <c r="I4004" s="6" t="s">
        <v>1056</v>
      </c>
      <c r="J4004" s="6" t="s">
        <v>349</v>
      </c>
      <c r="K4004" s="10">
        <v>15</v>
      </c>
      <c r="L4004" s="10">
        <v>15</v>
      </c>
      <c r="M4004" s="6" t="s">
        <v>375</v>
      </c>
    </row>
    <row r="4005" spans="1:13">
      <c r="A4005" s="6">
        <v>2024</v>
      </c>
      <c r="B4005" s="6">
        <v>7</v>
      </c>
      <c r="C4005" s="6" t="s">
        <v>65</v>
      </c>
      <c r="D4005" s="6" t="s">
        <v>851</v>
      </c>
      <c r="E4005" s="6" t="s">
        <v>852</v>
      </c>
      <c r="F4005" s="6" t="str">
        <f>IF($M4005="PADD I","PADD 1",IF($M4005="PADD II","PADD 2",IF($M4005="PADD III","PADD 3",IF($M4005="PADD IV","PADD 4",IF($M4005="PADD V","PADD 5","")))))</f>
        <v>PADD 3</v>
      </c>
      <c r="G4005" s="6" t="str">
        <f>IF(AND($H4005="ATMOS DISTILLATION",ISNUMBER(SEARCH("VPS",$I4005))=FALSE,LEFT($I4005,6)&lt;&gt;"VACUUM"),"CDU",IF($H4005="FLUID CAT CRACKING","FCC",IF(OR($H4005="HYDROCRACKING",$H4005="RESID_HYDROCRACKING"),"Hydrocracker",IF($H4005="REFORMING","Reformer",""))))</f>
        <v>CDU</v>
      </c>
      <c r="H4005" s="6" t="s">
        <v>38</v>
      </c>
      <c r="I4005" s="6" t="s">
        <v>854</v>
      </c>
      <c r="J4005" s="6" t="s">
        <v>345</v>
      </c>
      <c r="K4005" s="10">
        <v>14.95</v>
      </c>
      <c r="L4005" s="10">
        <v>65</v>
      </c>
      <c r="M4005" s="6" t="s">
        <v>371</v>
      </c>
    </row>
    <row r="4006" spans="1:13">
      <c r="A4006" s="6">
        <v>2024</v>
      </c>
      <c r="B4006" s="6">
        <v>7</v>
      </c>
      <c r="C4006" s="6" t="s">
        <v>65</v>
      </c>
      <c r="D4006" s="6" t="s">
        <v>851</v>
      </c>
      <c r="E4006" s="6" t="s">
        <v>852</v>
      </c>
      <c r="F4006" s="6" t="str">
        <f>IF($M4006="PADD I","PADD 1",IF($M4006="PADD II","PADD 2",IF($M4006="PADD III","PADD 3",IF($M4006="PADD IV","PADD 4",IF($M4006="PADD V","PADD 5","")))))</f>
        <v>PADD 3</v>
      </c>
      <c r="G4006" s="6" t="str">
        <f>IF(AND($H4006="ATMOS DISTILLATION",ISNUMBER(SEARCH("VPS",$I4006))=FALSE,LEFT($I4006,6)&lt;&gt;"VACUUM"),"CDU",IF($H4006="FLUID CAT CRACKING","FCC",IF(OR($H4006="HYDROCRACKING",$H4006="RESID_HYDROCRACKING"),"Hydrocracker",IF($H4006="REFORMING","Reformer",""))))</f>
        <v>CDU</v>
      </c>
      <c r="H4006" s="6" t="s">
        <v>38</v>
      </c>
      <c r="I4006" s="6" t="s">
        <v>853</v>
      </c>
      <c r="J4006" s="6" t="s">
        <v>345</v>
      </c>
      <c r="K4006" s="10">
        <v>14.95</v>
      </c>
      <c r="L4006" s="10">
        <v>65</v>
      </c>
      <c r="M4006" s="6" t="s">
        <v>371</v>
      </c>
    </row>
    <row r="4007" spans="1:13">
      <c r="A4007" s="6">
        <v>2024</v>
      </c>
      <c r="B4007" s="6">
        <v>7</v>
      </c>
      <c r="C4007" s="6" t="s">
        <v>65</v>
      </c>
      <c r="D4007" s="6" t="s">
        <v>387</v>
      </c>
      <c r="E4007" s="6" t="s">
        <v>388</v>
      </c>
      <c r="F4007" s="6" t="str">
        <f>IF($M4007="PADD I","PADD 1",IF($M4007="PADD II","PADD 2",IF($M4007="PADD III","PADD 3",IF($M4007="PADD IV","PADD 4",IF($M4007="PADD V","PADD 5","")))))</f>
        <v>PADD 3</v>
      </c>
      <c r="G4007" s="6" t="str">
        <f>IF(AND($H4007="ATMOS DISTILLATION",ISNUMBER(SEARCH("VPS",$I4007))=FALSE,LEFT($I4007,6)&lt;&gt;"VACUUM"),"CDU",IF($H4007="FLUID CAT CRACKING","FCC",IF(OR($H4007="HYDROCRACKING",$H4007="RESID_HYDROCRACKING"),"Hydrocracker",IF($H4007="REFORMING","Reformer",""))))</f>
        <v>Reformer</v>
      </c>
      <c r="H4007" s="6" t="s">
        <v>421</v>
      </c>
      <c r="I4007" s="6" t="s">
        <v>443</v>
      </c>
      <c r="J4007" s="6" t="s">
        <v>345</v>
      </c>
      <c r="K4007" s="10">
        <v>14.725</v>
      </c>
      <c r="L4007" s="10">
        <v>77.5</v>
      </c>
      <c r="M4007" s="6" t="s">
        <v>371</v>
      </c>
    </row>
    <row r="4008" spans="1:13">
      <c r="A4008" s="6">
        <v>2024</v>
      </c>
      <c r="B4008" s="6">
        <v>7</v>
      </c>
      <c r="C4008" s="6" t="s">
        <v>65</v>
      </c>
      <c r="D4008" s="6" t="s">
        <v>380</v>
      </c>
      <c r="E4008" s="6" t="s">
        <v>381</v>
      </c>
      <c r="F4008" s="6" t="str">
        <f>IF($M4008="PADD I","PADD 1",IF($M4008="PADD II","PADD 2",IF($M4008="PADD III","PADD 3",IF($M4008="PADD IV","PADD 4",IF($M4008="PADD V","PADD 5","")))))</f>
        <v>PADD 3</v>
      </c>
      <c r="G4008" s="6" t="str">
        <f>IF(AND($H4008="ATMOS DISTILLATION",ISNUMBER(SEARCH("VPS",$I4008))=FALSE,LEFT($I4008,6)&lt;&gt;"VACUUM"),"CDU",IF($H4008="FLUID CAT CRACKING","FCC",IF(OR($H4008="HYDROCRACKING",$H4008="RESID_HYDROCRACKING"),"Hydrocracker",IF($H4008="REFORMING","Reformer",""))))</f>
        <v>CDU</v>
      </c>
      <c r="H4008" s="6" t="s">
        <v>38</v>
      </c>
      <c r="I4008" s="6" t="s">
        <v>978</v>
      </c>
      <c r="J4008" s="6" t="s">
        <v>345</v>
      </c>
      <c r="K4008" s="10">
        <v>14.4</v>
      </c>
      <c r="L4008" s="10">
        <v>90</v>
      </c>
      <c r="M4008" s="6" t="s">
        <v>371</v>
      </c>
    </row>
    <row r="4009" spans="1:13">
      <c r="A4009" s="6">
        <v>2024</v>
      </c>
      <c r="B4009" s="6">
        <v>7</v>
      </c>
      <c r="C4009" s="6" t="s">
        <v>65</v>
      </c>
      <c r="D4009" s="6" t="s">
        <v>387</v>
      </c>
      <c r="E4009" s="6" t="s">
        <v>388</v>
      </c>
      <c r="F4009" s="6" t="str">
        <f>IF($M4009="PADD I","PADD 1",IF($M4009="PADD II","PADD 2",IF($M4009="PADD III","PADD 3",IF($M4009="PADD IV","PADD 4",IF($M4009="PADD V","PADD 5","")))))</f>
        <v>PADD 3</v>
      </c>
      <c r="G4009" s="6">
        <f>IF(AND($H4009="ATMOS DISTILLATION",ISNUMBER(SEARCH("VPS",$I4009))=FALSE,LEFT($I4009,6)&lt;&gt;"VACUUM"),"CDU",IF($H4009="FLUID CAT CRACKING","FCC",IF(OR($H4009="HYDROCRACKING",$H4009="RESID_HYDROCRACKING"),"Hydrocracker",IF($H4009="REFORMING","Reformer",""))))</f>
        <v/>
      </c>
      <c r="H4009" s="6" t="s">
        <v>43</v>
      </c>
      <c r="I4009" s="6" t="s">
        <v>1213</v>
      </c>
      <c r="J4009" s="6" t="s">
        <v>345</v>
      </c>
      <c r="K4009" s="10">
        <v>14.26</v>
      </c>
      <c r="L4009" s="10">
        <v>62</v>
      </c>
      <c r="M4009" s="6" t="s">
        <v>371</v>
      </c>
    </row>
    <row r="4010" spans="1:13">
      <c r="A4010" s="6">
        <v>2024</v>
      </c>
      <c r="B4010" s="6">
        <v>7</v>
      </c>
      <c r="C4010" s="6" t="s">
        <v>65</v>
      </c>
      <c r="D4010" s="6" t="s">
        <v>321</v>
      </c>
      <c r="E4010" s="6" t="s">
        <v>381</v>
      </c>
      <c r="F4010" s="6" t="str">
        <f>IF($M4010="PADD I","PADD 1",IF($M4010="PADD II","PADD 2",IF($M4010="PADD III","PADD 3",IF($M4010="PADD IV","PADD 4",IF($M4010="PADD V","PADD 5","")))))</f>
        <v>PADD 2</v>
      </c>
      <c r="G4010" s="6">
        <f>IF(AND($H4010="ATMOS DISTILLATION",ISNUMBER(SEARCH("VPS",$I4010))=FALSE,LEFT($I4010,6)&lt;&gt;"VACUUM"),"CDU",IF($H4010="FLUID CAT CRACKING","FCC",IF(OR($H4010="HYDROCRACKING",$H4010="RESID_HYDROCRACKING"),"Hydrocracker",IF($H4010="REFORMING","Reformer",""))))</f>
        <v/>
      </c>
      <c r="H4010" s="6" t="s">
        <v>43</v>
      </c>
      <c r="I4010" s="6" t="s">
        <v>1170</v>
      </c>
      <c r="J4010" s="6" t="s">
        <v>345</v>
      </c>
      <c r="K4010" s="10">
        <v>13.75</v>
      </c>
      <c r="L4010" s="10">
        <v>25</v>
      </c>
      <c r="M4010" s="6" t="s">
        <v>375</v>
      </c>
    </row>
    <row r="4011" spans="1:13">
      <c r="A4011" s="6">
        <v>2024</v>
      </c>
      <c r="B4011" s="6">
        <v>7</v>
      </c>
      <c r="C4011" s="6" t="s">
        <v>65</v>
      </c>
      <c r="D4011" s="6" t="s">
        <v>1043</v>
      </c>
      <c r="E4011" s="6" t="s">
        <v>388</v>
      </c>
      <c r="F4011" s="6" t="str">
        <f>IF($M4011="PADD I","PADD 1",IF($M4011="PADD II","PADD 2",IF($M4011="PADD III","PADD 3",IF($M4011="PADD IV","PADD 4",IF($M4011="PADD V","PADD 5","")))))</f>
        <v>PADD 2</v>
      </c>
      <c r="G4011" s="6">
        <f>IF(AND($H4011="ATMOS DISTILLATION",ISNUMBER(SEARCH("VPS",$I4011))=FALSE,LEFT($I4011,6)&lt;&gt;"VACUUM"),"CDU",IF($H4011="FLUID CAT CRACKING","FCC",IF(OR($H4011="HYDROCRACKING",$H4011="RESID_HYDROCRACKING"),"Hydrocracker",IF($H4011="REFORMING","Reformer",""))))</f>
        <v/>
      </c>
      <c r="H4011" s="6" t="s">
        <v>43</v>
      </c>
      <c r="I4011" s="6" t="s">
        <v>1057</v>
      </c>
      <c r="J4011" s="6" t="s">
        <v>349</v>
      </c>
      <c r="K4011" s="10">
        <v>13.6</v>
      </c>
      <c r="L4011" s="10">
        <v>13.6</v>
      </c>
      <c r="M4011" s="6" t="s">
        <v>375</v>
      </c>
    </row>
    <row r="4012" spans="1:13">
      <c r="A4012" s="6">
        <v>2024</v>
      </c>
      <c r="B4012" s="6">
        <v>7</v>
      </c>
      <c r="C4012" s="6" t="s">
        <v>65</v>
      </c>
      <c r="D4012" s="6" t="s">
        <v>1214</v>
      </c>
      <c r="E4012" s="6" t="s">
        <v>1215</v>
      </c>
      <c r="F4012" s="6" t="str">
        <f>IF($M4012="PADD I","PADD 1",IF($M4012="PADD II","PADD 2",IF($M4012="PADD III","PADD 3",IF($M4012="PADD IV","PADD 4",IF($M4012="PADD V","PADD 5","")))))</f>
        <v>PADD 1</v>
      </c>
      <c r="G4012" s="6">
        <f>IF(AND($H4012="ATMOS DISTILLATION",ISNUMBER(SEARCH("VPS",$I4012))=FALSE,LEFT($I4012,6)&lt;&gt;"VACUUM"),"CDU",IF($H4012="FLUID CAT CRACKING","FCC",IF(OR($H4012="HYDROCRACKING",$H4012="RESID_HYDROCRACKING"),"Hydrocracker",IF($H4012="REFORMING","Reformer",""))))</f>
        <v/>
      </c>
      <c r="H4012" s="6" t="s">
        <v>378</v>
      </c>
      <c r="I4012" s="6" t="s">
        <v>431</v>
      </c>
      <c r="J4012" s="6" t="s">
        <v>349</v>
      </c>
      <c r="K4012" s="10">
        <v>13.5</v>
      </c>
      <c r="L4012" s="10">
        <v>30</v>
      </c>
      <c r="M4012" s="6" t="s">
        <v>413</v>
      </c>
    </row>
    <row r="4013" spans="1:13">
      <c r="A4013" s="6">
        <v>2024</v>
      </c>
      <c r="B4013" s="6">
        <v>7</v>
      </c>
      <c r="C4013" s="6" t="s">
        <v>65</v>
      </c>
      <c r="D4013" s="6" t="s">
        <v>762</v>
      </c>
      <c r="E4013" s="6" t="s">
        <v>763</v>
      </c>
      <c r="F4013" s="6" t="str">
        <f>IF($M4013="PADD I","PADD 1",IF($M4013="PADD II","PADD 2",IF($M4013="PADD III","PADD 3",IF($M4013="PADD IV","PADD 4",IF($M4013="PADD V","PADD 5","")))))</f>
        <v>PADD 2</v>
      </c>
      <c r="G4013" s="6">
        <f>IF(AND($H4013="ATMOS DISTILLATION",ISNUMBER(SEARCH("VPS",$I4013))=FALSE,LEFT($I4013,6)&lt;&gt;"VACUUM"),"CDU",IF($H4013="FLUID CAT CRACKING","FCC",IF(OR($H4013="HYDROCRACKING",$H4013="RESID_HYDROCRACKING"),"Hydrocracker",IF($H4013="REFORMING","Reformer",""))))</f>
        <v/>
      </c>
      <c r="H4013" s="6" t="s">
        <v>43</v>
      </c>
      <c r="I4013" s="6" t="s">
        <v>1055</v>
      </c>
      <c r="J4013" s="6" t="s">
        <v>345</v>
      </c>
      <c r="K4013" s="10">
        <v>13</v>
      </c>
      <c r="L4013" s="10">
        <v>13</v>
      </c>
      <c r="M4013" s="6" t="s">
        <v>375</v>
      </c>
    </row>
    <row r="4014" spans="1:13">
      <c r="A4014" s="6">
        <v>2024</v>
      </c>
      <c r="B4014" s="6">
        <v>7</v>
      </c>
      <c r="C4014" s="6" t="s">
        <v>65</v>
      </c>
      <c r="D4014" s="6" t="s">
        <v>1043</v>
      </c>
      <c r="E4014" s="6" t="s">
        <v>388</v>
      </c>
      <c r="F4014" s="6" t="str">
        <f>IF($M4014="PADD I","PADD 1",IF($M4014="PADD II","PADD 2",IF($M4014="PADD III","PADD 3",IF($M4014="PADD IV","PADD 4",IF($M4014="PADD V","PADD 5","")))))</f>
        <v>PADD 2</v>
      </c>
      <c r="G4014" s="6" t="str">
        <f>IF(AND($H4014="ATMOS DISTILLATION",ISNUMBER(SEARCH("VPS",$I4014))=FALSE,LEFT($I4014,6)&lt;&gt;"VACUUM"),"CDU",IF($H4014="FLUID CAT CRACKING","FCC",IF(OR($H4014="HYDROCRACKING",$H4014="RESID_HYDROCRACKING"),"Hydrocracker",IF($H4014="REFORMING","Reformer",""))))</f>
        <v>Reformer</v>
      </c>
      <c r="H4014" s="6" t="s">
        <v>421</v>
      </c>
      <c r="I4014" s="6" t="s">
        <v>916</v>
      </c>
      <c r="J4014" s="6" t="s">
        <v>349</v>
      </c>
      <c r="K4014" s="10">
        <v>13</v>
      </c>
      <c r="L4014" s="10">
        <v>13</v>
      </c>
      <c r="M4014" s="6" t="s">
        <v>375</v>
      </c>
    </row>
    <row r="4015" spans="1:13">
      <c r="A4015" s="6">
        <v>2024</v>
      </c>
      <c r="B4015" s="6">
        <v>7</v>
      </c>
      <c r="C4015" s="6" t="s">
        <v>65</v>
      </c>
      <c r="D4015" s="6" t="s">
        <v>372</v>
      </c>
      <c r="E4015" s="6" t="s">
        <v>373</v>
      </c>
      <c r="F4015" s="6" t="str">
        <f>IF($M4015="PADD I","PADD 1",IF($M4015="PADD II","PADD 2",IF($M4015="PADD III","PADD 3",IF($M4015="PADD IV","PADD 4",IF($M4015="PADD V","PADD 5","")))))</f>
        <v>PADD 2</v>
      </c>
      <c r="G4015" s="6" t="str">
        <f>IF(AND($H4015="ATMOS DISTILLATION",ISNUMBER(SEARCH("VPS",$I4015))=FALSE,LEFT($I4015,6)&lt;&gt;"VACUUM"),"CDU",IF($H4015="FLUID CAT CRACKING","FCC",IF(OR($H4015="HYDROCRACKING",$H4015="RESID_HYDROCRACKING"),"Hydrocracker",IF($H4015="REFORMING","Reformer",""))))</f>
        <v>CDU</v>
      </c>
      <c r="H4015" s="6" t="s">
        <v>38</v>
      </c>
      <c r="I4015" s="6" t="s">
        <v>414</v>
      </c>
      <c r="J4015" s="6" t="s">
        <v>345</v>
      </c>
      <c r="K4015" s="10">
        <v>12.8</v>
      </c>
      <c r="L4015" s="10">
        <v>40</v>
      </c>
      <c r="M4015" s="6" t="s">
        <v>375</v>
      </c>
    </row>
    <row r="4016" spans="1:13">
      <c r="A4016" s="6">
        <v>2024</v>
      </c>
      <c r="B4016" s="6">
        <v>7</v>
      </c>
      <c r="C4016" s="6" t="s">
        <v>65</v>
      </c>
      <c r="D4016" s="6" t="s">
        <v>380</v>
      </c>
      <c r="E4016" s="6" t="s">
        <v>381</v>
      </c>
      <c r="F4016" s="6" t="str">
        <f>IF($M4016="PADD I","PADD 1",IF($M4016="PADD II","PADD 2",IF($M4016="PADD III","PADD 3",IF($M4016="PADD IV","PADD 4",IF($M4016="PADD V","PADD 5","")))))</f>
        <v>PADD 3</v>
      </c>
      <c r="G4016" s="6" t="str">
        <f>IF(AND($H4016="ATMOS DISTILLATION",ISNUMBER(SEARCH("VPS",$I4016))=FALSE,LEFT($I4016,6)&lt;&gt;"VACUUM"),"CDU",IF($H4016="FLUID CAT CRACKING","FCC",IF(OR($H4016="HYDROCRACKING",$H4016="RESID_HYDROCRACKING"),"Hydrocracker",IF($H4016="REFORMING","Reformer",""))))</f>
        <v>FCC</v>
      </c>
      <c r="H4016" s="6" t="s">
        <v>376</v>
      </c>
      <c r="I4016" s="6" t="s">
        <v>850</v>
      </c>
      <c r="J4016" s="6" t="s">
        <v>345</v>
      </c>
      <c r="K4016" s="10">
        <v>12.64</v>
      </c>
      <c r="L4016" s="10">
        <v>79</v>
      </c>
      <c r="M4016" s="6" t="s">
        <v>371</v>
      </c>
    </row>
    <row r="4017" spans="1:13">
      <c r="A4017" s="6">
        <v>2024</v>
      </c>
      <c r="B4017" s="6">
        <v>7</v>
      </c>
      <c r="C4017" s="6" t="s">
        <v>65</v>
      </c>
      <c r="D4017" s="6" t="s">
        <v>526</v>
      </c>
      <c r="E4017" s="6" t="s">
        <v>405</v>
      </c>
      <c r="F4017" s="6" t="str">
        <f>IF($M4017="PADD I","PADD 1",IF($M4017="PADD II","PADD 2",IF($M4017="PADD III","PADD 3",IF($M4017="PADD IV","PADD 4",IF($M4017="PADD V","PADD 5","")))))</f>
        <v>PADD 3</v>
      </c>
      <c r="G4017" s="6" t="str">
        <f>IF(AND($H4017="ATMOS DISTILLATION",ISNUMBER(SEARCH("VPS",$I4017))=FALSE,LEFT($I4017,6)&lt;&gt;"VACUUM"),"CDU",IF($H4017="FLUID CAT CRACKING","FCC",IF(OR($H4017="HYDROCRACKING",$H4017="RESID_HYDROCRACKING"),"Hydrocracker",IF($H4017="REFORMING","Reformer",""))))</f>
        <v>CDU</v>
      </c>
      <c r="H4017" s="6" t="s">
        <v>38</v>
      </c>
      <c r="I4017" s="6" t="s">
        <v>350</v>
      </c>
      <c r="J4017" s="6" t="s">
        <v>345</v>
      </c>
      <c r="K4017" s="10">
        <v>12.6</v>
      </c>
      <c r="L4017" s="10">
        <v>210</v>
      </c>
      <c r="M4017" s="6" t="s">
        <v>371</v>
      </c>
    </row>
    <row r="4018" spans="1:13">
      <c r="A4018" s="6">
        <v>2024</v>
      </c>
      <c r="B4018" s="6">
        <v>7</v>
      </c>
      <c r="C4018" s="6" t="s">
        <v>65</v>
      </c>
      <c r="D4018" s="6" t="s">
        <v>387</v>
      </c>
      <c r="E4018" s="6" t="s">
        <v>388</v>
      </c>
      <c r="F4018" s="6" t="str">
        <f>IF($M4018="PADD I","PADD 1",IF($M4018="PADD II","PADD 2",IF($M4018="PADD III","PADD 3",IF($M4018="PADD IV","PADD 4",IF($M4018="PADD V","PADD 5","")))))</f>
        <v>PADD 3</v>
      </c>
      <c r="G4018" s="6" t="str">
        <f>IF(AND($H4018="ATMOS DISTILLATION",ISNUMBER(SEARCH("VPS",$I4018))=FALSE,LEFT($I4018,6)&lt;&gt;"VACUUM"),"CDU",IF($H4018="FLUID CAT CRACKING","FCC",IF(OR($H4018="HYDROCRACKING",$H4018="RESID_HYDROCRACKING"),"Hydrocracker",IF($H4018="REFORMING","Reformer",""))))</f>
        <v>Reformer</v>
      </c>
      <c r="H4018" s="6" t="s">
        <v>421</v>
      </c>
      <c r="I4018" s="6" t="s">
        <v>583</v>
      </c>
      <c r="J4018" s="6" t="s">
        <v>345</v>
      </c>
      <c r="K4018" s="10">
        <v>12.445</v>
      </c>
      <c r="L4018" s="10">
        <v>65.5</v>
      </c>
      <c r="M4018" s="6" t="s">
        <v>371</v>
      </c>
    </row>
    <row r="4019" spans="1:13">
      <c r="A4019" s="6">
        <v>2024</v>
      </c>
      <c r="B4019" s="6">
        <v>7</v>
      </c>
      <c r="C4019" s="6" t="s">
        <v>65</v>
      </c>
      <c r="D4019" s="6" t="s">
        <v>547</v>
      </c>
      <c r="E4019" s="6" t="s">
        <v>391</v>
      </c>
      <c r="F4019" s="6" t="str">
        <f>IF($M4019="PADD I","PADD 1",IF($M4019="PADD II","PADD 2",IF($M4019="PADD III","PADD 3",IF($M4019="PADD IV","PADD 4",IF($M4019="PADD V","PADD 5","")))))</f>
        <v>PADD 5</v>
      </c>
      <c r="G4019" s="6">
        <f>IF(AND($H4019="ATMOS DISTILLATION",ISNUMBER(SEARCH("VPS",$I4019))=FALSE,LEFT($I4019,6)&lt;&gt;"VACUUM"),"CDU",IF($H4019="FLUID CAT CRACKING","FCC",IF(OR($H4019="HYDROCRACKING",$H4019="RESID_HYDROCRACKING"),"Hydrocracker",IF($H4019="REFORMING","Reformer",""))))</f>
        <v/>
      </c>
      <c r="H4019" s="6" t="s">
        <v>43</v>
      </c>
      <c r="I4019" s="6" t="s">
        <v>929</v>
      </c>
      <c r="J4019" s="6" t="s">
        <v>349</v>
      </c>
      <c r="K4019" s="10">
        <v>12.312</v>
      </c>
      <c r="L4019" s="10">
        <v>64.8</v>
      </c>
      <c r="M4019" s="6" t="s">
        <v>386</v>
      </c>
    </row>
    <row r="4020" spans="1:13">
      <c r="A4020" s="6">
        <v>2024</v>
      </c>
      <c r="B4020" s="6">
        <v>7</v>
      </c>
      <c r="C4020" s="6" t="s">
        <v>65</v>
      </c>
      <c r="D4020" s="6" t="s">
        <v>51</v>
      </c>
      <c r="E4020" s="6" t="s">
        <v>391</v>
      </c>
      <c r="F4020" s="6" t="str">
        <f>IF($M4020="PADD I","PADD 1",IF($M4020="PADD II","PADD 2",IF($M4020="PADD III","PADD 3",IF($M4020="PADD IV","PADD 4",IF($M4020="PADD V","PADD 5","")))))</f>
        <v>PADD 5</v>
      </c>
      <c r="G4020" s="6">
        <f>IF(AND($H4020="ATMOS DISTILLATION",ISNUMBER(SEARCH("VPS",$I4020))=FALSE,LEFT($I4020,6)&lt;&gt;"VACUUM"),"CDU",IF($H4020="FLUID CAT CRACKING","FCC",IF(OR($H4020="HYDROCRACKING",$H4020="RESID_HYDROCRACKING"),"Hydrocracker",IF($H4020="REFORMING","Reformer",""))))</f>
        <v/>
      </c>
      <c r="H4020" s="6" t="s">
        <v>43</v>
      </c>
      <c r="I4020" s="6" t="s">
        <v>859</v>
      </c>
      <c r="J4020" s="6" t="s">
        <v>345</v>
      </c>
      <c r="K4020" s="10">
        <v>12.25</v>
      </c>
      <c r="L4020" s="10">
        <v>35</v>
      </c>
      <c r="M4020" s="6" t="s">
        <v>386</v>
      </c>
    </row>
    <row r="4021" spans="1:13">
      <c r="A4021" s="6">
        <v>2024</v>
      </c>
      <c r="B4021" s="6">
        <v>7</v>
      </c>
      <c r="C4021" s="6" t="s">
        <v>65</v>
      </c>
      <c r="D4021" s="6" t="s">
        <v>1214</v>
      </c>
      <c r="E4021" s="6" t="s">
        <v>1215</v>
      </c>
      <c r="F4021" s="6" t="str">
        <f>IF($M4021="PADD I","PADD 1",IF($M4021="PADD II","PADD 2",IF($M4021="PADD III","PADD 3",IF($M4021="PADD IV","PADD 4",IF($M4021="PADD V","PADD 5","")))))</f>
        <v>PADD 1</v>
      </c>
      <c r="G4021" s="6" t="str">
        <f>IF(AND($H4021="ATMOS DISTILLATION",ISNUMBER(SEARCH("VPS",$I4021))=FALSE,LEFT($I4021,6)&lt;&gt;"VACUUM"),"CDU",IF($H4021="FLUID CAT CRACKING","FCC",IF(OR($H4021="HYDROCRACKING",$H4021="RESID_HYDROCRACKING"),"Hydrocracker",IF($H4021="REFORMING","Reformer",""))))</f>
        <v>CDU</v>
      </c>
      <c r="H4021" s="6" t="s">
        <v>38</v>
      </c>
      <c r="I4021" s="6" t="s">
        <v>131</v>
      </c>
      <c r="J4021" s="6" t="s">
        <v>349</v>
      </c>
      <c r="K4021" s="10">
        <v>11.25</v>
      </c>
      <c r="L4021" s="10">
        <v>25</v>
      </c>
      <c r="M4021" s="6" t="s">
        <v>413</v>
      </c>
    </row>
    <row r="4022" spans="1:13">
      <c r="A4022" s="6">
        <v>2024</v>
      </c>
      <c r="B4022" s="6">
        <v>7</v>
      </c>
      <c r="C4022" s="6" t="s">
        <v>65</v>
      </c>
      <c r="D4022" s="6" t="s">
        <v>387</v>
      </c>
      <c r="E4022" s="6" t="s">
        <v>388</v>
      </c>
      <c r="F4022" s="6" t="str">
        <f>IF($M4022="PADD I","PADD 1",IF($M4022="PADD II","PADD 2",IF($M4022="PADD III","PADD 3",IF($M4022="PADD IV","PADD 4",IF($M4022="PADD V","PADD 5","")))))</f>
        <v>PADD 3</v>
      </c>
      <c r="G4022" s="6">
        <f>IF(AND($H4022="ATMOS DISTILLATION",ISNUMBER(SEARCH("VPS",$I4022))=FALSE,LEFT($I4022,6)&lt;&gt;"VACUUM"),"CDU",IF($H4022="FLUID CAT CRACKING","FCC",IF(OR($H4022="HYDROCRACKING",$H4022="RESID_HYDROCRACKING"),"Hydrocracker",IF($H4022="REFORMING","Reformer",""))))</f>
        <v/>
      </c>
      <c r="H4022" s="6" t="s">
        <v>43</v>
      </c>
      <c r="I4022" s="6" t="s">
        <v>1216</v>
      </c>
      <c r="J4022" s="6" t="s">
        <v>345</v>
      </c>
      <c r="K4022" s="10">
        <v>10.4</v>
      </c>
      <c r="L4022" s="10">
        <v>40</v>
      </c>
      <c r="M4022" s="6" t="s">
        <v>371</v>
      </c>
    </row>
    <row r="4023" spans="1:13">
      <c r="A4023" s="6">
        <v>2024</v>
      </c>
      <c r="B4023" s="6">
        <v>7</v>
      </c>
      <c r="C4023" s="6" t="s">
        <v>65</v>
      </c>
      <c r="D4023" s="6" t="s">
        <v>446</v>
      </c>
      <c r="E4023" s="6" t="s">
        <v>391</v>
      </c>
      <c r="F4023" s="6" t="str">
        <f>IF($M4023="PADD I","PADD 1",IF($M4023="PADD II","PADD 2",IF($M4023="PADD III","PADD 3",IF($M4023="PADD IV","PADD 4",IF($M4023="PADD V","PADD 5","")))))</f>
        <v>PADD 3</v>
      </c>
      <c r="G4023" s="6" t="str">
        <f>IF(AND($H4023="ATMOS DISTILLATION",ISNUMBER(SEARCH("VPS",$I4023))=FALSE,LEFT($I4023,6)&lt;&gt;"VACUUM"),"CDU",IF($H4023="FLUID CAT CRACKING","FCC",IF(OR($H4023="HYDROCRACKING",$H4023="RESID_HYDROCRACKING"),"Hydrocracker",IF($H4023="REFORMING","Reformer",""))))</f>
        <v>Reformer</v>
      </c>
      <c r="H4023" s="6" t="s">
        <v>421</v>
      </c>
      <c r="I4023" s="6" t="s">
        <v>483</v>
      </c>
      <c r="J4023" s="6" t="s">
        <v>345</v>
      </c>
      <c r="K4023" s="10">
        <v>10.35</v>
      </c>
      <c r="L4023" s="10">
        <v>23</v>
      </c>
      <c r="M4023" s="6" t="s">
        <v>371</v>
      </c>
    </row>
    <row r="4024" spans="1:13">
      <c r="A4024" s="6">
        <v>2024</v>
      </c>
      <c r="B4024" s="6">
        <v>7</v>
      </c>
      <c r="C4024" s="6" t="s">
        <v>65</v>
      </c>
      <c r="D4024" s="6" t="s">
        <v>331</v>
      </c>
      <c r="E4024" s="6" t="s">
        <v>373</v>
      </c>
      <c r="F4024" s="6" t="str">
        <f>IF($M4024="PADD I","PADD 1",IF($M4024="PADD II","PADD 2",IF($M4024="PADD III","PADD 3",IF($M4024="PADD IV","PADD 4",IF($M4024="PADD V","PADD 5","")))))</f>
        <v>PADD 2</v>
      </c>
      <c r="G4024" s="6" t="str">
        <f>IF(AND($H4024="ATMOS DISTILLATION",ISNUMBER(SEARCH("VPS",$I4024))=FALSE,LEFT($I4024,6)&lt;&gt;"VACUUM"),"CDU",IF($H4024="FLUID CAT CRACKING","FCC",IF(OR($H4024="HYDROCRACKING",$H4024="RESID_HYDROCRACKING"),"Hydrocracker",IF($H4024="REFORMING","Reformer",""))))</f>
        <v>CDU</v>
      </c>
      <c r="H4024" s="6" t="s">
        <v>38</v>
      </c>
      <c r="I4024" s="6" t="s">
        <v>332</v>
      </c>
      <c r="J4024" s="6" t="s">
        <v>345</v>
      </c>
      <c r="K4024" s="10">
        <v>10.32</v>
      </c>
      <c r="L4024" s="10">
        <v>172</v>
      </c>
      <c r="M4024" s="6" t="s">
        <v>375</v>
      </c>
    </row>
    <row r="4025" spans="1:13">
      <c r="A4025" s="6">
        <v>2024</v>
      </c>
      <c r="B4025" s="6">
        <v>7</v>
      </c>
      <c r="C4025" s="6" t="s">
        <v>65</v>
      </c>
      <c r="D4025" s="6" t="s">
        <v>334</v>
      </c>
      <c r="E4025" s="6" t="s">
        <v>552</v>
      </c>
      <c r="F4025" s="6" t="str">
        <f>IF($M4025="PADD I","PADD 1",IF($M4025="PADD II","PADD 2",IF($M4025="PADD III","PADD 3",IF($M4025="PADD IV","PADD 4",IF($M4025="PADD V","PADD 5","")))))</f>
        <v>PADD 3</v>
      </c>
      <c r="G4025" s="6" t="str">
        <f>IF(AND($H4025="ATMOS DISTILLATION",ISNUMBER(SEARCH("VPS",$I4025))=FALSE,LEFT($I4025,6)&lt;&gt;"VACUUM"),"CDU",IF($H4025="FLUID CAT CRACKING","FCC",IF(OR($H4025="HYDROCRACKING",$H4025="RESID_HYDROCRACKING"),"Hydrocracker",IF($H4025="REFORMING","Reformer",""))))</f>
        <v>FCC</v>
      </c>
      <c r="H4025" s="6" t="s">
        <v>376</v>
      </c>
      <c r="I4025" s="6" t="s">
        <v>613</v>
      </c>
      <c r="J4025" s="6" t="s">
        <v>345</v>
      </c>
      <c r="K4025" s="10">
        <v>9.6</v>
      </c>
      <c r="L4025" s="10">
        <v>20</v>
      </c>
      <c r="M4025" s="6" t="s">
        <v>371</v>
      </c>
    </row>
    <row r="4026" spans="1:13">
      <c r="A4026" s="6">
        <v>2024</v>
      </c>
      <c r="B4026" s="6">
        <v>7</v>
      </c>
      <c r="C4026" s="6" t="s">
        <v>65</v>
      </c>
      <c r="D4026" s="6" t="s">
        <v>429</v>
      </c>
      <c r="E4026" s="6" t="s">
        <v>388</v>
      </c>
      <c r="F4026" s="6" t="str">
        <f>IF($M4026="PADD I","PADD 1",IF($M4026="PADD II","PADD 2",IF($M4026="PADD III","PADD 3",IF($M4026="PADD IV","PADD 4",IF($M4026="PADD V","PADD 5","")))))</f>
        <v>PADD 4</v>
      </c>
      <c r="G4026" s="6">
        <f>IF(AND($H4026="ATMOS DISTILLATION",ISNUMBER(SEARCH("VPS",$I4026))=FALSE,LEFT($I4026,6)&lt;&gt;"VACUUM"),"CDU",IF($H4026="FLUID CAT CRACKING","FCC",IF(OR($H4026="HYDROCRACKING",$H4026="RESID_HYDROCRACKING"),"Hydrocracker",IF($H4026="REFORMING","Reformer",""))))</f>
        <v/>
      </c>
      <c r="H4026" s="6" t="s">
        <v>43</v>
      </c>
      <c r="I4026" s="6" t="s">
        <v>514</v>
      </c>
      <c r="J4026" s="6" t="s">
        <v>345</v>
      </c>
      <c r="K4026" s="10">
        <v>9.404999999999999</v>
      </c>
      <c r="L4026" s="10">
        <v>17.1</v>
      </c>
      <c r="M4026" s="6" t="s">
        <v>430</v>
      </c>
    </row>
    <row r="4027" spans="1:13">
      <c r="A4027" s="6">
        <v>2024</v>
      </c>
      <c r="B4027" s="6">
        <v>7</v>
      </c>
      <c r="C4027" s="6" t="s">
        <v>65</v>
      </c>
      <c r="D4027" s="6" t="s">
        <v>387</v>
      </c>
      <c r="E4027" s="6" t="s">
        <v>388</v>
      </c>
      <c r="F4027" s="6" t="str">
        <f>IF($M4027="PADD I","PADD 1",IF($M4027="PADD II","PADD 2",IF($M4027="PADD III","PADD 3",IF($M4027="PADD IV","PADD 4",IF($M4027="PADD V","PADD 5","")))))</f>
        <v>PADD 3</v>
      </c>
      <c r="G4027" s="6">
        <f>IF(AND($H4027="ATMOS DISTILLATION",ISNUMBER(SEARCH("VPS",$I4027))=FALSE,LEFT($I4027,6)&lt;&gt;"VACUUM"),"CDU",IF($H4027="FLUID CAT CRACKING","FCC",IF(OR($H4027="HYDROCRACKING",$H4027="RESID_HYDROCRACKING"),"Hydrocracker",IF($H4027="REFORMING","Reformer",""))))</f>
        <v/>
      </c>
      <c r="H4027" s="6" t="s">
        <v>43</v>
      </c>
      <c r="I4027" s="6" t="s">
        <v>1217</v>
      </c>
      <c r="J4027" s="6" t="s">
        <v>345</v>
      </c>
      <c r="K4027" s="10">
        <v>9.199999999999999</v>
      </c>
      <c r="L4027" s="10">
        <v>40</v>
      </c>
      <c r="M4027" s="6" t="s">
        <v>371</v>
      </c>
    </row>
    <row r="4028" spans="1:13">
      <c r="A4028" s="6">
        <v>2024</v>
      </c>
      <c r="B4028" s="6">
        <v>7</v>
      </c>
      <c r="C4028" s="6" t="s">
        <v>65</v>
      </c>
      <c r="D4028" s="6" t="s">
        <v>372</v>
      </c>
      <c r="E4028" s="6" t="s">
        <v>373</v>
      </c>
      <c r="F4028" s="6" t="str">
        <f>IF($M4028="PADD I","PADD 1",IF($M4028="PADD II","PADD 2",IF($M4028="PADD III","PADD 3",IF($M4028="PADD IV","PADD 4",IF($M4028="PADD V","PADD 5","")))))</f>
        <v>PADD 2</v>
      </c>
      <c r="G4028" s="6">
        <f>IF(AND($H4028="ATMOS DISTILLATION",ISNUMBER(SEARCH("VPS",$I4028))=FALSE,LEFT($I4028,6)&lt;&gt;"VACUUM"),"CDU",IF($H4028="FLUID CAT CRACKING","FCC",IF(OR($H4028="HYDROCRACKING",$H4028="RESID_HYDROCRACKING"),"Hydrocracker",IF($H4028="REFORMING","Reformer",""))))</f>
        <v/>
      </c>
      <c r="H4028" s="6" t="s">
        <v>378</v>
      </c>
      <c r="I4028" s="6" t="s">
        <v>701</v>
      </c>
      <c r="J4028" s="6" t="s">
        <v>345</v>
      </c>
      <c r="K4028" s="10">
        <v>8.640000000000001</v>
      </c>
      <c r="L4028" s="10">
        <v>18</v>
      </c>
      <c r="M4028" s="6" t="s">
        <v>375</v>
      </c>
    </row>
    <row r="4029" spans="1:13">
      <c r="A4029" s="6">
        <v>2024</v>
      </c>
      <c r="B4029" s="6">
        <v>7</v>
      </c>
      <c r="C4029" s="6" t="s">
        <v>65</v>
      </c>
      <c r="D4029" s="6" t="s">
        <v>851</v>
      </c>
      <c r="E4029" s="6" t="s">
        <v>852</v>
      </c>
      <c r="F4029" s="6" t="str">
        <f>IF($M4029="PADD I","PADD 1",IF($M4029="PADD II","PADD 2",IF($M4029="PADD III","PADD 3",IF($M4029="PADD IV","PADD 4",IF($M4029="PADD V","PADD 5","")))))</f>
        <v>PADD 3</v>
      </c>
      <c r="G4029" s="6">
        <f>IF(AND($H4029="ATMOS DISTILLATION",ISNUMBER(SEARCH("VPS",$I4029))=FALSE,LEFT($I4029,6)&lt;&gt;"VACUUM"),"CDU",IF($H4029="FLUID CAT CRACKING","FCC",IF(OR($H4029="HYDROCRACKING",$H4029="RESID_HYDROCRACKING"),"Hydrocracker",IF($H4029="REFORMING","Reformer",""))))</f>
        <v/>
      </c>
      <c r="H4029" s="6" t="s">
        <v>378</v>
      </c>
      <c r="I4029" s="6" t="s">
        <v>860</v>
      </c>
      <c r="J4029" s="6" t="s">
        <v>345</v>
      </c>
      <c r="K4029" s="10">
        <v>8.279999999999999</v>
      </c>
      <c r="L4029" s="10">
        <v>36</v>
      </c>
      <c r="M4029" s="6" t="s">
        <v>371</v>
      </c>
    </row>
    <row r="4030" spans="1:13">
      <c r="A4030" s="6">
        <v>2024</v>
      </c>
      <c r="B4030" s="6">
        <v>7</v>
      </c>
      <c r="C4030" s="6" t="s">
        <v>65</v>
      </c>
      <c r="D4030" s="6" t="s">
        <v>429</v>
      </c>
      <c r="E4030" s="6" t="s">
        <v>388</v>
      </c>
      <c r="F4030" s="6" t="str">
        <f>IF($M4030="PADD I","PADD 1",IF($M4030="PADD II","PADD 2",IF($M4030="PADD III","PADD 3",IF($M4030="PADD IV","PADD 4",IF($M4030="PADD V","PADD 5","")))))</f>
        <v>PADD 4</v>
      </c>
      <c r="G4030" s="6" t="str">
        <f>IF(AND($H4030="ATMOS DISTILLATION",ISNUMBER(SEARCH("VPS",$I4030))=FALSE,LEFT($I4030,6)&lt;&gt;"VACUUM"),"CDU",IF($H4030="FLUID CAT CRACKING","FCC",IF(OR($H4030="HYDROCRACKING",$H4030="RESID_HYDROCRACKING"),"Hydrocracker",IF($H4030="REFORMING","Reformer",""))))</f>
        <v>FCC</v>
      </c>
      <c r="H4030" s="6" t="s">
        <v>376</v>
      </c>
      <c r="I4030" s="6" t="s">
        <v>105</v>
      </c>
      <c r="J4030" s="6" t="s">
        <v>345</v>
      </c>
      <c r="K4030" s="10">
        <v>7.656</v>
      </c>
      <c r="L4030" s="10">
        <v>26.4</v>
      </c>
      <c r="M4030" s="6" t="s">
        <v>430</v>
      </c>
    </row>
    <row r="4031" spans="1:13">
      <c r="A4031" s="6">
        <v>2024</v>
      </c>
      <c r="B4031" s="6">
        <v>7</v>
      </c>
      <c r="C4031" s="6" t="s">
        <v>65</v>
      </c>
      <c r="D4031" s="6" t="s">
        <v>408</v>
      </c>
      <c r="E4031" s="6" t="s">
        <v>409</v>
      </c>
      <c r="F4031" s="6" t="str">
        <f>IF($M4031="PADD I","PADD 1",IF($M4031="PADD II","PADD 2",IF($M4031="PADD III","PADD 3",IF($M4031="PADD IV","PADD 4",IF($M4031="PADD V","PADD 5","")))))</f>
        <v>PADD 3</v>
      </c>
      <c r="G4031" s="6" t="str">
        <f>IF(AND($H4031="ATMOS DISTILLATION",ISNUMBER(SEARCH("VPS",$I4031))=FALSE,LEFT($I4031,6)&lt;&gt;"VACUUM"),"CDU",IF($H4031="FLUID CAT CRACKING","FCC",IF(OR($H4031="HYDROCRACKING",$H4031="RESID_HYDROCRACKING"),"Hydrocracker",IF($H4031="REFORMING","Reformer",""))))</f>
        <v>FCC</v>
      </c>
      <c r="H4031" s="6" t="s">
        <v>376</v>
      </c>
      <c r="I4031" s="6" t="s">
        <v>426</v>
      </c>
      <c r="J4031" s="6" t="s">
        <v>345</v>
      </c>
      <c r="K4031" s="10">
        <v>7.6</v>
      </c>
      <c r="L4031" s="10">
        <v>76</v>
      </c>
      <c r="M4031" s="6" t="s">
        <v>371</v>
      </c>
    </row>
    <row r="4032" spans="1:13">
      <c r="A4032" s="6">
        <v>2024</v>
      </c>
      <c r="B4032" s="6">
        <v>7</v>
      </c>
      <c r="C4032" s="6" t="s">
        <v>65</v>
      </c>
      <c r="D4032" s="6" t="s">
        <v>526</v>
      </c>
      <c r="E4032" s="6" t="s">
        <v>405</v>
      </c>
      <c r="F4032" s="6" t="str">
        <f>IF($M4032="PADD I","PADD 1",IF($M4032="PADD II","PADD 2",IF($M4032="PADD III","PADD 3",IF($M4032="PADD IV","PADD 4",IF($M4032="PADD V","PADD 5","")))))</f>
        <v>PADD 3</v>
      </c>
      <c r="G4032" s="6" t="str">
        <f>IF(AND($H4032="ATMOS DISTILLATION",ISNUMBER(SEARCH("VPS",$I4032))=FALSE,LEFT($I4032,6)&lt;&gt;"VACUUM"),"CDU",IF($H4032="FLUID CAT CRACKING","FCC",IF(OR($H4032="HYDROCRACKING",$H4032="RESID_HYDROCRACKING"),"Hydrocracker",IF($H4032="REFORMING","Reformer",""))))</f>
        <v>FCC</v>
      </c>
      <c r="H4032" s="6" t="s">
        <v>376</v>
      </c>
      <c r="I4032" s="6" t="s">
        <v>344</v>
      </c>
      <c r="J4032" s="6" t="s">
        <v>345</v>
      </c>
      <c r="K4032" s="10">
        <v>7.5</v>
      </c>
      <c r="L4032" s="10">
        <v>75</v>
      </c>
      <c r="M4032" s="6" t="s">
        <v>371</v>
      </c>
    </row>
    <row r="4033" spans="1:13">
      <c r="A4033" s="6">
        <v>2024</v>
      </c>
      <c r="B4033" s="6">
        <v>7</v>
      </c>
      <c r="C4033" s="6" t="s">
        <v>65</v>
      </c>
      <c r="D4033" s="6" t="s">
        <v>408</v>
      </c>
      <c r="E4033" s="6" t="s">
        <v>409</v>
      </c>
      <c r="F4033" s="6" t="str">
        <f>IF($M4033="PADD I","PADD 1",IF($M4033="PADD II","PADD 2",IF($M4033="PADD III","PADD 3",IF($M4033="PADD IV","PADD 4",IF($M4033="PADD V","PADD 5","")))))</f>
        <v>PADD 3</v>
      </c>
      <c r="G4033" s="6" t="str">
        <f>IF(AND($H4033="ATMOS DISTILLATION",ISNUMBER(SEARCH("VPS",$I4033))=FALSE,LEFT($I4033,6)&lt;&gt;"VACUUM"),"CDU",IF($H4033="FLUID CAT CRACKING","FCC",IF(OR($H4033="HYDROCRACKING",$H4033="RESID_HYDROCRACKING"),"Hydrocracker",IF($H4033="REFORMING","Reformer",""))))</f>
        <v>CDU</v>
      </c>
      <c r="H4033" s="6" t="s">
        <v>38</v>
      </c>
      <c r="I4033" s="6" t="s">
        <v>1218</v>
      </c>
      <c r="J4033" s="6" t="s">
        <v>345</v>
      </c>
      <c r="K4033" s="10">
        <v>7.5</v>
      </c>
      <c r="L4033" s="10">
        <v>75</v>
      </c>
      <c r="M4033" s="6" t="s">
        <v>371</v>
      </c>
    </row>
    <row r="4034" spans="1:13">
      <c r="A4034" s="6">
        <v>2024</v>
      </c>
      <c r="B4034" s="6">
        <v>7</v>
      </c>
      <c r="C4034" s="6" t="s">
        <v>65</v>
      </c>
      <c r="D4034" s="6" t="s">
        <v>446</v>
      </c>
      <c r="E4034" s="6" t="s">
        <v>391</v>
      </c>
      <c r="F4034" s="6" t="str">
        <f>IF($M4034="PADD I","PADD 1",IF($M4034="PADD II","PADD 2",IF($M4034="PADD III","PADD 3",IF($M4034="PADD IV","PADD 4",IF($M4034="PADD V","PADD 5","")))))</f>
        <v>PADD 3</v>
      </c>
      <c r="G4034" s="6">
        <f>IF(AND($H4034="ATMOS DISTILLATION",ISNUMBER(SEARCH("VPS",$I4034))=FALSE,LEFT($I4034,6)&lt;&gt;"VACUUM"),"CDU",IF($H4034="FLUID CAT CRACKING","FCC",IF(OR($H4034="HYDROCRACKING",$H4034="RESID_HYDROCRACKING"),"Hydrocracker",IF($H4034="REFORMING","Reformer",""))))</f>
        <v/>
      </c>
      <c r="H4034" s="6" t="s">
        <v>378</v>
      </c>
      <c r="I4034" s="6" t="s">
        <v>1041</v>
      </c>
      <c r="J4034" s="6" t="s">
        <v>345</v>
      </c>
      <c r="K4034" s="10">
        <v>7.22</v>
      </c>
      <c r="L4034" s="10">
        <v>38</v>
      </c>
      <c r="M4034" s="6" t="s">
        <v>371</v>
      </c>
    </row>
    <row r="4035" spans="1:13">
      <c r="A4035" s="6">
        <v>2024</v>
      </c>
      <c r="B4035" s="6">
        <v>7</v>
      </c>
      <c r="C4035" s="6" t="s">
        <v>65</v>
      </c>
      <c r="D4035" s="6" t="s">
        <v>675</v>
      </c>
      <c r="E4035" s="6" t="s">
        <v>452</v>
      </c>
      <c r="F4035" s="6" t="str">
        <f>IF($M4035="PADD I","PADD 1",IF($M4035="PADD II","PADD 2",IF($M4035="PADD III","PADD 3",IF($M4035="PADD IV","PADD 4",IF($M4035="PADD V","PADD 5","")))))</f>
        <v>PADD 2</v>
      </c>
      <c r="G4035" s="6">
        <f>IF(AND($H4035="ATMOS DISTILLATION",ISNUMBER(SEARCH("VPS",$I4035))=FALSE,LEFT($I4035,6)&lt;&gt;"VACUUM"),"CDU",IF($H4035="FLUID CAT CRACKING","FCC",IF(OR($H4035="HYDROCRACKING",$H4035="RESID_HYDROCRACKING"),"Hydrocracker",IF($H4035="REFORMING","Reformer",""))))</f>
        <v/>
      </c>
      <c r="H4035" s="6" t="s">
        <v>43</v>
      </c>
      <c r="I4035" s="6" t="s">
        <v>1142</v>
      </c>
      <c r="J4035" s="6" t="s">
        <v>349</v>
      </c>
      <c r="K4035" s="10">
        <v>7.2</v>
      </c>
      <c r="L4035" s="10">
        <v>45</v>
      </c>
      <c r="M4035" s="6" t="s">
        <v>375</v>
      </c>
    </row>
    <row r="4036" spans="1:13">
      <c r="A4036" s="6">
        <v>2024</v>
      </c>
      <c r="B4036" s="6">
        <v>7</v>
      </c>
      <c r="C4036" s="6" t="s">
        <v>65</v>
      </c>
      <c r="D4036" s="6" t="s">
        <v>446</v>
      </c>
      <c r="E4036" s="6" t="s">
        <v>391</v>
      </c>
      <c r="F4036" s="6" t="str">
        <f>IF($M4036="PADD I","PADD 1",IF($M4036="PADD II","PADD 2",IF($M4036="PADD III","PADD 3",IF($M4036="PADD IV","PADD 4",IF($M4036="PADD V","PADD 5","")))))</f>
        <v>PADD 3</v>
      </c>
      <c r="G4036" s="6">
        <f>IF(AND($H4036="ATMOS DISTILLATION",ISNUMBER(SEARCH("VPS",$I4036))=FALSE,LEFT($I4036,6)&lt;&gt;"VACUUM"),"CDU",IF($H4036="FLUID CAT CRACKING","FCC",IF(OR($H4036="HYDROCRACKING",$H4036="RESID_HYDROCRACKING"),"Hydrocracker",IF($H4036="REFORMING","Reformer",""))))</f>
        <v/>
      </c>
      <c r="H4036" s="6" t="s">
        <v>460</v>
      </c>
      <c r="I4036" s="6" t="s">
        <v>1075</v>
      </c>
      <c r="J4036" s="6" t="s">
        <v>345</v>
      </c>
      <c r="K4036" s="10">
        <v>7.2</v>
      </c>
      <c r="L4036" s="10">
        <v>7.2</v>
      </c>
      <c r="M4036" s="6" t="s">
        <v>371</v>
      </c>
    </row>
    <row r="4037" spans="1:13">
      <c r="A4037" s="6">
        <v>2024</v>
      </c>
      <c r="B4037" s="6">
        <v>7</v>
      </c>
      <c r="C4037" s="6" t="s">
        <v>65</v>
      </c>
      <c r="D4037" s="6" t="s">
        <v>646</v>
      </c>
      <c r="E4037" s="6" t="s">
        <v>405</v>
      </c>
      <c r="F4037" s="6" t="str">
        <f>IF($M4037="PADD I","PADD 1",IF($M4037="PADD II","PADD 2",IF($M4037="PADD III","PADD 3",IF($M4037="PADD IV","PADD 4",IF($M4037="PADD V","PADD 5","")))))</f>
        <v>PADD 3</v>
      </c>
      <c r="G4037" s="6" t="str">
        <f>IF(AND($H4037="ATMOS DISTILLATION",ISNUMBER(SEARCH("VPS",$I4037))=FALSE,LEFT($I4037,6)&lt;&gt;"VACUUM"),"CDU",IF($H4037="FLUID CAT CRACKING","FCC",IF(OR($H4037="HYDROCRACKING",$H4037="RESID_HYDROCRACKING"),"Hydrocracker",IF($H4037="REFORMING","Reformer",""))))</f>
        <v>Reformer</v>
      </c>
      <c r="H4037" s="6" t="s">
        <v>421</v>
      </c>
      <c r="I4037" s="6" t="s">
        <v>1132</v>
      </c>
      <c r="J4037" s="6" t="s">
        <v>349</v>
      </c>
      <c r="K4037" s="10">
        <v>6.65</v>
      </c>
      <c r="L4037" s="10">
        <v>19</v>
      </c>
      <c r="M4037" s="6" t="s">
        <v>371</v>
      </c>
    </row>
    <row r="4038" spans="1:13">
      <c r="A4038" s="6">
        <v>2024</v>
      </c>
      <c r="B4038" s="6">
        <v>7</v>
      </c>
      <c r="C4038" s="6" t="s">
        <v>65</v>
      </c>
      <c r="D4038" s="6" t="s">
        <v>762</v>
      </c>
      <c r="E4038" s="6" t="s">
        <v>763</v>
      </c>
      <c r="F4038" s="6" t="str">
        <f>IF($M4038="PADD I","PADD 1",IF($M4038="PADD II","PADD 2",IF($M4038="PADD III","PADD 3",IF($M4038="PADD IV","PADD 4",IF($M4038="PADD V","PADD 5","")))))</f>
        <v>PADD 2</v>
      </c>
      <c r="G4038" s="6" t="str">
        <f>IF(AND($H4038="ATMOS DISTILLATION",ISNUMBER(SEARCH("VPS",$I4038))=FALSE,LEFT($I4038,6)&lt;&gt;"VACUUM"),"CDU",IF($H4038="FLUID CAT CRACKING","FCC",IF(OR($H4038="HYDROCRACKING",$H4038="RESID_HYDROCRACKING"),"Hydrocracker",IF($H4038="REFORMING","Reformer",""))))</f>
        <v>FCC</v>
      </c>
      <c r="H4038" s="6" t="s">
        <v>376</v>
      </c>
      <c r="I4038" s="6" t="s">
        <v>105</v>
      </c>
      <c r="J4038" s="6" t="s">
        <v>345</v>
      </c>
      <c r="K4038" s="10">
        <v>6.56</v>
      </c>
      <c r="L4038" s="10">
        <v>20.5</v>
      </c>
      <c r="M4038" s="6" t="s">
        <v>375</v>
      </c>
    </row>
    <row r="4039" spans="1:13">
      <c r="A4039" s="6">
        <v>2024</v>
      </c>
      <c r="B4039" s="6">
        <v>7</v>
      </c>
      <c r="C4039" s="6" t="s">
        <v>65</v>
      </c>
      <c r="D4039" s="6" t="s">
        <v>321</v>
      </c>
      <c r="E4039" s="6" t="s">
        <v>381</v>
      </c>
      <c r="F4039" s="6" t="str">
        <f>IF($M4039="PADD I","PADD 1",IF($M4039="PADD II","PADD 2",IF($M4039="PADD III","PADD 3",IF($M4039="PADD IV","PADD 4",IF($M4039="PADD V","PADD 5","")))))</f>
        <v>PADD 2</v>
      </c>
      <c r="G4039" s="6">
        <f>IF(AND($H4039="ATMOS DISTILLATION",ISNUMBER(SEARCH("VPS",$I4039))=FALSE,LEFT($I4039,6)&lt;&gt;"VACUUM"),"CDU",IF($H4039="FLUID CAT CRACKING","FCC",IF(OR($H4039="HYDROCRACKING",$H4039="RESID_HYDROCRACKING"),"Hydrocracker",IF($H4039="REFORMING","Reformer",""))))</f>
        <v/>
      </c>
      <c r="H4039" s="6" t="s">
        <v>460</v>
      </c>
      <c r="I4039" s="6" t="s">
        <v>616</v>
      </c>
      <c r="J4039" s="6" t="s">
        <v>345</v>
      </c>
      <c r="K4039" s="10">
        <v>6.545</v>
      </c>
      <c r="L4039" s="10">
        <v>11.9</v>
      </c>
      <c r="M4039" s="6" t="s">
        <v>375</v>
      </c>
    </row>
    <row r="4040" spans="1:13">
      <c r="A4040" s="6">
        <v>2024</v>
      </c>
      <c r="B4040" s="6">
        <v>7</v>
      </c>
      <c r="C4040" s="6" t="s">
        <v>65</v>
      </c>
      <c r="D4040" s="6" t="s">
        <v>572</v>
      </c>
      <c r="E4040" s="6" t="s">
        <v>573</v>
      </c>
      <c r="F4040" s="6" t="str">
        <f>IF($M4040="PADD I","PADD 1",IF($M4040="PADD II","PADD 2",IF($M4040="PADD III","PADD 3",IF($M4040="PADD IV","PADD 4",IF($M4040="PADD V","PADD 5","")))))</f>
        <v>PADD 3</v>
      </c>
      <c r="G4040" s="6" t="str">
        <f>IF(AND($H4040="ATMOS DISTILLATION",ISNUMBER(SEARCH("VPS",$I4040))=FALSE,LEFT($I4040,6)&lt;&gt;"VACUUM"),"CDU",IF($H4040="FLUID CAT CRACKING","FCC",IF(OR($H4040="HYDROCRACKING",$H4040="RESID_HYDROCRACKING"),"Hydrocracker",IF($H4040="REFORMING","Reformer",""))))</f>
        <v>CDU</v>
      </c>
      <c r="H4040" s="6" t="s">
        <v>38</v>
      </c>
      <c r="I4040" s="6" t="s">
        <v>574</v>
      </c>
      <c r="J4040" s="6" t="s">
        <v>345</v>
      </c>
      <c r="K4040" s="10">
        <v>6.5</v>
      </c>
      <c r="L4040" s="10">
        <v>50</v>
      </c>
      <c r="M4040" s="6" t="s">
        <v>371</v>
      </c>
    </row>
    <row r="4041" spans="1:13">
      <c r="A4041" s="6">
        <v>2024</v>
      </c>
      <c r="B4041" s="6">
        <v>7</v>
      </c>
      <c r="C4041" s="6" t="s">
        <v>65</v>
      </c>
      <c r="D4041" s="6" t="s">
        <v>770</v>
      </c>
      <c r="E4041" s="6" t="s">
        <v>660</v>
      </c>
      <c r="F4041" s="6" t="str">
        <f>IF($M4041="PADD I","PADD 1",IF($M4041="PADD II","PADD 2",IF($M4041="PADD III","PADD 3",IF($M4041="PADD IV","PADD 4",IF($M4041="PADD V","PADD 5","")))))</f>
        <v>PADD 3</v>
      </c>
      <c r="G4041" s="6">
        <f>IF(AND($H4041="ATMOS DISTILLATION",ISNUMBER(SEARCH("VPS",$I4041))=FALSE,LEFT($I4041,6)&lt;&gt;"VACUUM"),"CDU",IF($H4041="FLUID CAT CRACKING","FCC",IF(OR($H4041="HYDROCRACKING",$H4041="RESID_HYDROCRACKING"),"Hydrocracker",IF($H4041="REFORMING","Reformer",""))))</f>
        <v/>
      </c>
      <c r="H4041" s="6" t="s">
        <v>43</v>
      </c>
      <c r="I4041" s="6" t="s">
        <v>626</v>
      </c>
      <c r="J4041" s="6" t="s">
        <v>349</v>
      </c>
      <c r="K4041" s="10">
        <v>6.38</v>
      </c>
      <c r="L4041" s="10">
        <v>22</v>
      </c>
      <c r="M4041" s="6" t="s">
        <v>371</v>
      </c>
    </row>
    <row r="4042" spans="1:13">
      <c r="A4042" s="6">
        <v>2024</v>
      </c>
      <c r="B4042" s="6">
        <v>7</v>
      </c>
      <c r="C4042" s="6" t="s">
        <v>65</v>
      </c>
      <c r="D4042" s="6" t="s">
        <v>380</v>
      </c>
      <c r="E4042" s="6" t="s">
        <v>381</v>
      </c>
      <c r="F4042" s="6" t="str">
        <f>IF($M4042="PADD I","PADD 1",IF($M4042="PADD II","PADD 2",IF($M4042="PADD III","PADD 3",IF($M4042="PADD IV","PADD 4",IF($M4042="PADD V","PADD 5","")))))</f>
        <v>PADD 3</v>
      </c>
      <c r="G4042" s="6" t="str">
        <f>IF(AND($H4042="ATMOS DISTILLATION",ISNUMBER(SEARCH("VPS",$I4042))=FALSE,LEFT($I4042,6)&lt;&gt;"VACUUM"),"CDU",IF($H4042="FLUID CAT CRACKING","FCC",IF(OR($H4042="HYDROCRACKING",$H4042="RESID_HYDROCRACKING"),"Hydrocracker",IF($H4042="REFORMING","Reformer",""))))</f>
        <v>Reformer</v>
      </c>
      <c r="H4042" s="6" t="s">
        <v>421</v>
      </c>
      <c r="I4042" s="6" t="s">
        <v>1125</v>
      </c>
      <c r="J4042" s="6" t="s">
        <v>345</v>
      </c>
      <c r="K4042" s="10">
        <v>6.24</v>
      </c>
      <c r="L4042" s="10">
        <v>39</v>
      </c>
      <c r="M4042" s="6" t="s">
        <v>371</v>
      </c>
    </row>
    <row r="4043" spans="1:13">
      <c r="A4043" s="6">
        <v>2024</v>
      </c>
      <c r="B4043" s="6">
        <v>7</v>
      </c>
      <c r="C4043" s="6" t="s">
        <v>65</v>
      </c>
      <c r="D4043" s="6" t="s">
        <v>380</v>
      </c>
      <c r="E4043" s="6" t="s">
        <v>381</v>
      </c>
      <c r="F4043" s="6" t="str">
        <f>IF($M4043="PADD I","PADD 1",IF($M4043="PADD II","PADD 2",IF($M4043="PADD III","PADD 3",IF($M4043="PADD IV","PADD 4",IF($M4043="PADD V","PADD 5","")))))</f>
        <v>PADD 3</v>
      </c>
      <c r="G4043" s="6" t="str">
        <f>IF(AND($H4043="ATMOS DISTILLATION",ISNUMBER(SEARCH("VPS",$I4043))=FALSE,LEFT($I4043,6)&lt;&gt;"VACUUM"),"CDU",IF($H4043="FLUID CAT CRACKING","FCC",IF(OR($H4043="HYDROCRACKING",$H4043="RESID_HYDROCRACKING"),"Hydrocracker",IF($H4043="REFORMING","Reformer",""))))</f>
        <v>Reformer</v>
      </c>
      <c r="H4043" s="6" t="s">
        <v>421</v>
      </c>
      <c r="I4043" s="6" t="s">
        <v>1126</v>
      </c>
      <c r="J4043" s="6" t="s">
        <v>345</v>
      </c>
      <c r="K4043" s="10">
        <v>6.24</v>
      </c>
      <c r="L4043" s="10">
        <v>39</v>
      </c>
      <c r="M4043" s="6" t="s">
        <v>371</v>
      </c>
    </row>
    <row r="4044" spans="1:13">
      <c r="A4044" s="6">
        <v>2024</v>
      </c>
      <c r="B4044" s="6">
        <v>7</v>
      </c>
      <c r="C4044" s="6" t="s">
        <v>65</v>
      </c>
      <c r="D4044" s="6" t="s">
        <v>387</v>
      </c>
      <c r="E4044" s="6" t="s">
        <v>388</v>
      </c>
      <c r="F4044" s="6" t="str">
        <f>IF($M4044="PADD I","PADD 1",IF($M4044="PADD II","PADD 2",IF($M4044="PADD III","PADD 3",IF($M4044="PADD IV","PADD 4",IF($M4044="PADD V","PADD 5","")))))</f>
        <v>PADD 3</v>
      </c>
      <c r="G4044" s="6">
        <f>IF(AND($H4044="ATMOS DISTILLATION",ISNUMBER(SEARCH("VPS",$I4044))=FALSE,LEFT($I4044,6)&lt;&gt;"VACUUM"),"CDU",IF($H4044="FLUID CAT CRACKING","FCC",IF(OR($H4044="HYDROCRACKING",$H4044="RESID_HYDROCRACKING"),"Hydrocracker",IF($H4044="REFORMING","Reformer",""))))</f>
        <v/>
      </c>
      <c r="H4044" s="6" t="s">
        <v>43</v>
      </c>
      <c r="I4044" s="6" t="s">
        <v>1219</v>
      </c>
      <c r="J4044" s="6" t="s">
        <v>345</v>
      </c>
      <c r="K4044" s="10">
        <v>6</v>
      </c>
      <c r="L4044" s="10">
        <v>60</v>
      </c>
      <c r="M4044" s="6" t="s">
        <v>371</v>
      </c>
    </row>
    <row r="4045" spans="1:13">
      <c r="A4045" s="6">
        <v>2024</v>
      </c>
      <c r="B4045" s="6">
        <v>7</v>
      </c>
      <c r="C4045" s="6" t="s">
        <v>65</v>
      </c>
      <c r="D4045" s="6" t="s">
        <v>408</v>
      </c>
      <c r="E4045" s="6" t="s">
        <v>409</v>
      </c>
      <c r="F4045" s="6" t="str">
        <f>IF($M4045="PADD I","PADD 1",IF($M4045="PADD II","PADD 2",IF($M4045="PADD III","PADD 3",IF($M4045="PADD IV","PADD 4",IF($M4045="PADD V","PADD 5","")))))</f>
        <v>PADD 3</v>
      </c>
      <c r="G4045" s="6">
        <f>IF(AND($H4045="ATMOS DISTILLATION",ISNUMBER(SEARCH("VPS",$I4045))=FALSE,LEFT($I4045,6)&lt;&gt;"VACUUM"),"CDU",IF($H4045="FLUID CAT CRACKING","FCC",IF(OR($H4045="HYDROCRACKING",$H4045="RESID_HYDROCRACKING"),"Hydrocracker",IF($H4045="REFORMING","Reformer",""))))</f>
        <v/>
      </c>
      <c r="H4045" s="6" t="s">
        <v>435</v>
      </c>
      <c r="I4045" s="6" t="s">
        <v>459</v>
      </c>
      <c r="J4045" s="6" t="s">
        <v>345</v>
      </c>
      <c r="K4045" s="10">
        <v>6</v>
      </c>
      <c r="L4045" s="10">
        <v>60</v>
      </c>
      <c r="M4045" s="6" t="s">
        <v>371</v>
      </c>
    </row>
    <row r="4046" spans="1:13">
      <c r="A4046" s="6">
        <v>2024</v>
      </c>
      <c r="B4046" s="6">
        <v>7</v>
      </c>
      <c r="C4046" s="6" t="s">
        <v>65</v>
      </c>
      <c r="D4046" s="6" t="s">
        <v>446</v>
      </c>
      <c r="E4046" s="6" t="s">
        <v>391</v>
      </c>
      <c r="F4046" s="6" t="str">
        <f>IF($M4046="PADD I","PADD 1",IF($M4046="PADD II","PADD 2",IF($M4046="PADD III","PADD 3",IF($M4046="PADD IV","PADD 4",IF($M4046="PADD V","PADD 5","")))))</f>
        <v>PADD 3</v>
      </c>
      <c r="G4046" s="6" t="str">
        <f>IF(AND($H4046="ATMOS DISTILLATION",ISNUMBER(SEARCH("VPS",$I4046))=FALSE,LEFT($I4046,6)&lt;&gt;"VACUUM"),"CDU",IF($H4046="FLUID CAT CRACKING","FCC",IF(OR($H4046="HYDROCRACKING",$H4046="RESID_HYDROCRACKING"),"Hydrocracker",IF($H4046="REFORMING","Reformer",""))))</f>
        <v>Reformer</v>
      </c>
      <c r="H4046" s="6" t="s">
        <v>421</v>
      </c>
      <c r="I4046" s="6" t="s">
        <v>483</v>
      </c>
      <c r="J4046" s="6" t="s">
        <v>345</v>
      </c>
      <c r="K4046" s="10">
        <v>5.98</v>
      </c>
      <c r="L4046" s="10">
        <v>23</v>
      </c>
      <c r="M4046" s="6" t="s">
        <v>371</v>
      </c>
    </row>
    <row r="4047" spans="1:13">
      <c r="A4047" s="6">
        <v>2024</v>
      </c>
      <c r="B4047" s="6">
        <v>7</v>
      </c>
      <c r="C4047" s="6" t="s">
        <v>65</v>
      </c>
      <c r="D4047" s="6" t="s">
        <v>51</v>
      </c>
      <c r="E4047" s="6" t="s">
        <v>391</v>
      </c>
      <c r="F4047" s="6" t="str">
        <f>IF($M4047="PADD I","PADD 1",IF($M4047="PADD II","PADD 2",IF($M4047="PADD III","PADD 3",IF($M4047="PADD IV","PADD 4",IF($M4047="PADD V","PADD 5","")))))</f>
        <v>PADD 5</v>
      </c>
      <c r="G4047" s="6">
        <f>IF(AND($H4047="ATMOS DISTILLATION",ISNUMBER(SEARCH("VPS",$I4047))=FALSE,LEFT($I4047,6)&lt;&gt;"VACUUM"),"CDU",IF($H4047="FLUID CAT CRACKING","FCC",IF(OR($H4047="HYDROCRACKING",$H4047="RESID_HYDROCRACKING"),"Hydrocracker",IF($H4047="REFORMING","Reformer",""))))</f>
        <v/>
      </c>
      <c r="H4047" s="6" t="s">
        <v>43</v>
      </c>
      <c r="I4047" s="6" t="s">
        <v>1220</v>
      </c>
      <c r="J4047" s="6" t="s">
        <v>345</v>
      </c>
      <c r="K4047" s="10">
        <v>5.6</v>
      </c>
      <c r="L4047" s="10">
        <v>35</v>
      </c>
      <c r="M4047" s="6" t="s">
        <v>386</v>
      </c>
    </row>
    <row r="4048" spans="1:13">
      <c r="A4048" s="6">
        <v>2024</v>
      </c>
      <c r="B4048" s="6">
        <v>7</v>
      </c>
      <c r="C4048" s="6" t="s">
        <v>65</v>
      </c>
      <c r="D4048" s="6" t="s">
        <v>372</v>
      </c>
      <c r="E4048" s="6" t="s">
        <v>373</v>
      </c>
      <c r="F4048" s="6" t="str">
        <f>IF($M4048="PADD I","PADD 1",IF($M4048="PADD II","PADD 2",IF($M4048="PADD III","PADD 3",IF($M4048="PADD IV","PADD 4",IF($M4048="PADD V","PADD 5","")))))</f>
        <v>PADD 2</v>
      </c>
      <c r="G4048" s="6" t="str">
        <f>IF(AND($H4048="ATMOS DISTILLATION",ISNUMBER(SEARCH("VPS",$I4048))=FALSE,LEFT($I4048,6)&lt;&gt;"VACUUM"),"CDU",IF($H4048="FLUID CAT CRACKING","FCC",IF(OR($H4048="HYDROCRACKING",$H4048="RESID_HYDROCRACKING"),"Hydrocracker",IF($H4048="REFORMING","Reformer",""))))</f>
        <v>FCC</v>
      </c>
      <c r="H4048" s="6" t="s">
        <v>376</v>
      </c>
      <c r="I4048" s="6" t="s">
        <v>407</v>
      </c>
      <c r="J4048" s="6" t="s">
        <v>345</v>
      </c>
      <c r="K4048" s="10">
        <v>5.5</v>
      </c>
      <c r="L4048" s="10">
        <v>55</v>
      </c>
      <c r="M4048" s="6" t="s">
        <v>375</v>
      </c>
    </row>
    <row r="4049" spans="1:13">
      <c r="A4049" s="6">
        <v>2024</v>
      </c>
      <c r="B4049" s="6">
        <v>7</v>
      </c>
      <c r="C4049" s="6" t="s">
        <v>65</v>
      </c>
      <c r="D4049" s="6" t="s">
        <v>398</v>
      </c>
      <c r="E4049" s="6" t="s">
        <v>399</v>
      </c>
      <c r="F4049" s="6" t="str">
        <f>IF($M4049="PADD I","PADD 1",IF($M4049="PADD II","PADD 2",IF($M4049="PADD III","PADD 3",IF($M4049="PADD IV","PADD 4",IF($M4049="PADD V","PADD 5","")))))</f>
        <v>PADD 3</v>
      </c>
      <c r="G4049" s="6" t="str">
        <f>IF(AND($H4049="ATMOS DISTILLATION",ISNUMBER(SEARCH("VPS",$I4049))=FALSE,LEFT($I4049,6)&lt;&gt;"VACUUM"),"CDU",IF($H4049="FLUID CAT CRACKING","FCC",IF(OR($H4049="HYDROCRACKING",$H4049="RESID_HYDROCRACKING"),"Hydrocracker",IF($H4049="REFORMING","Reformer",""))))</f>
        <v>FCC</v>
      </c>
      <c r="H4049" s="6" t="s">
        <v>376</v>
      </c>
      <c r="I4049" s="6" t="s">
        <v>1036</v>
      </c>
      <c r="J4049" s="6" t="s">
        <v>345</v>
      </c>
      <c r="K4049" s="10">
        <v>5.4</v>
      </c>
      <c r="L4049" s="10">
        <v>90</v>
      </c>
      <c r="M4049" s="6" t="s">
        <v>371</v>
      </c>
    </row>
    <row r="4050" spans="1:13">
      <c r="A4050" s="6">
        <v>2024</v>
      </c>
      <c r="B4050" s="6">
        <v>7</v>
      </c>
      <c r="C4050" s="6" t="s">
        <v>65</v>
      </c>
      <c r="D4050" s="6" t="s">
        <v>398</v>
      </c>
      <c r="E4050" s="6" t="s">
        <v>399</v>
      </c>
      <c r="F4050" s="6" t="str">
        <f>IF($M4050="PADD I","PADD 1",IF($M4050="PADD II","PADD 2",IF($M4050="PADD III","PADD 3",IF($M4050="PADD IV","PADD 4",IF($M4050="PADD V","PADD 5","")))))</f>
        <v>PADD 3</v>
      </c>
      <c r="G4050" s="6" t="str">
        <f>IF(AND($H4050="ATMOS DISTILLATION",ISNUMBER(SEARCH("VPS",$I4050))=FALSE,LEFT($I4050,6)&lt;&gt;"VACUUM"),"CDU",IF($H4050="FLUID CAT CRACKING","FCC",IF(OR($H4050="HYDROCRACKING",$H4050="RESID_HYDROCRACKING"),"Hydrocracker",IF($H4050="REFORMING","Reformer",""))))</f>
        <v>FCC</v>
      </c>
      <c r="H4050" s="6" t="s">
        <v>376</v>
      </c>
      <c r="I4050" s="6" t="s">
        <v>1036</v>
      </c>
      <c r="J4050" s="6" t="s">
        <v>345</v>
      </c>
      <c r="K4050" s="10">
        <v>5.4</v>
      </c>
      <c r="L4050" s="10">
        <v>90</v>
      </c>
      <c r="M4050" s="6" t="s">
        <v>371</v>
      </c>
    </row>
    <row r="4051" spans="1:13">
      <c r="A4051" s="6">
        <v>2024</v>
      </c>
      <c r="B4051" s="6">
        <v>7</v>
      </c>
      <c r="C4051" s="6" t="s">
        <v>65</v>
      </c>
      <c r="D4051" s="6" t="s">
        <v>770</v>
      </c>
      <c r="E4051" s="6" t="s">
        <v>660</v>
      </c>
      <c r="F4051" s="6" t="str">
        <f>IF($M4051="PADD I","PADD 1",IF($M4051="PADD II","PADD 2",IF($M4051="PADD III","PADD 3",IF($M4051="PADD IV","PADD 4",IF($M4051="PADD V","PADD 5","")))))</f>
        <v>PADD 3</v>
      </c>
      <c r="G4051" s="6" t="str">
        <f>IF(AND($H4051="ATMOS DISTILLATION",ISNUMBER(SEARCH("VPS",$I4051))=FALSE,LEFT($I4051,6)&lt;&gt;"VACUUM"),"CDU",IF($H4051="FLUID CAT CRACKING","FCC",IF(OR($H4051="HYDROCRACKING",$H4051="RESID_HYDROCRACKING"),"Hydrocracker",IF($H4051="REFORMING","Reformer",""))))</f>
        <v>Hydrocracker</v>
      </c>
      <c r="H4051" s="6" t="s">
        <v>444</v>
      </c>
      <c r="I4051" s="6" t="s">
        <v>14</v>
      </c>
      <c r="J4051" s="6" t="s">
        <v>349</v>
      </c>
      <c r="K4051" s="10">
        <v>5.365</v>
      </c>
      <c r="L4051" s="10">
        <v>18.5</v>
      </c>
      <c r="M4051" s="6" t="s">
        <v>371</v>
      </c>
    </row>
    <row r="4052" spans="1:13">
      <c r="A4052" s="6">
        <v>2024</v>
      </c>
      <c r="B4052" s="6">
        <v>7</v>
      </c>
      <c r="C4052" s="6" t="s">
        <v>65</v>
      </c>
      <c r="D4052" s="6" t="s">
        <v>40</v>
      </c>
      <c r="E4052" s="6" t="s">
        <v>736</v>
      </c>
      <c r="F4052" s="6" t="str">
        <f>IF($M4052="PADD I","PADD 1",IF($M4052="PADD II","PADD 2",IF($M4052="PADD III","PADD 3",IF($M4052="PADD IV","PADD 4",IF($M4052="PADD V","PADD 5","")))))</f>
        <v>PADD 1</v>
      </c>
      <c r="G4052" s="6" t="str">
        <f>IF(AND($H4052="ATMOS DISTILLATION",ISNUMBER(SEARCH("VPS",$I4052))=FALSE,LEFT($I4052,6)&lt;&gt;"VACUUM"),"CDU",IF($H4052="FLUID CAT CRACKING","FCC",IF(OR($H4052="HYDROCRACKING",$H4052="RESID_HYDROCRACKING"),"Hydrocracker",IF($H4052="REFORMING","Reformer",""))))</f>
        <v>FCC</v>
      </c>
      <c r="H4052" s="6" t="s">
        <v>376</v>
      </c>
      <c r="I4052" s="6" t="s">
        <v>737</v>
      </c>
      <c r="J4052" s="6" t="s">
        <v>345</v>
      </c>
      <c r="K4052" s="10">
        <v>5.3</v>
      </c>
      <c r="L4052" s="10">
        <v>53</v>
      </c>
      <c r="M4052" s="6" t="s">
        <v>413</v>
      </c>
    </row>
    <row r="4053" spans="1:13">
      <c r="A4053" s="6">
        <v>2024</v>
      </c>
      <c r="B4053" s="6">
        <v>7</v>
      </c>
      <c r="C4053" s="6" t="s">
        <v>65</v>
      </c>
      <c r="D4053" s="6" t="s">
        <v>387</v>
      </c>
      <c r="E4053" s="6" t="s">
        <v>388</v>
      </c>
      <c r="F4053" s="6" t="str">
        <f>IF($M4053="PADD I","PADD 1",IF($M4053="PADD II","PADD 2",IF($M4053="PADD III","PADD 3",IF($M4053="PADD IV","PADD 4",IF($M4053="PADD V","PADD 5","")))))</f>
        <v>PADD 3</v>
      </c>
      <c r="G4053" s="6">
        <f>IF(AND($H4053="ATMOS DISTILLATION",ISNUMBER(SEARCH("VPS",$I4053))=FALSE,LEFT($I4053,6)&lt;&gt;"VACUUM"),"CDU",IF($H4053="FLUID CAT CRACKING","FCC",IF(OR($H4053="HYDROCRACKING",$H4053="RESID_HYDROCRACKING"),"Hydrocracker",IF($H4053="REFORMING","Reformer",""))))</f>
        <v/>
      </c>
      <c r="H4053" s="6" t="s">
        <v>435</v>
      </c>
      <c r="I4053" s="6" t="s">
        <v>590</v>
      </c>
      <c r="J4053" s="6" t="s">
        <v>345</v>
      </c>
      <c r="K4053" s="10">
        <v>5.28</v>
      </c>
      <c r="L4053" s="10">
        <v>33</v>
      </c>
      <c r="M4053" s="6" t="s">
        <v>371</v>
      </c>
    </row>
    <row r="4054" spans="1:13">
      <c r="A4054" s="6">
        <v>2024</v>
      </c>
      <c r="B4054" s="6">
        <v>7</v>
      </c>
      <c r="C4054" s="6" t="s">
        <v>65</v>
      </c>
      <c r="D4054" s="6" t="s">
        <v>1043</v>
      </c>
      <c r="E4054" s="6" t="s">
        <v>388</v>
      </c>
      <c r="F4054" s="6" t="str">
        <f>IF($M4054="PADD I","PADD 1",IF($M4054="PADD II","PADD 2",IF($M4054="PADD III","PADD 3",IF($M4054="PADD IV","PADD 4",IF($M4054="PADD V","PADD 5","")))))</f>
        <v>PADD 2</v>
      </c>
      <c r="G4054" s="6">
        <f>IF(AND($H4054="ATMOS DISTILLATION",ISNUMBER(SEARCH("VPS",$I4054))=FALSE,LEFT($I4054,6)&lt;&gt;"VACUUM"),"CDU",IF($H4054="FLUID CAT CRACKING","FCC",IF(OR($H4054="HYDROCRACKING",$H4054="RESID_HYDROCRACKING"),"Hydrocracker",IF($H4054="REFORMING","Reformer",""))))</f>
        <v/>
      </c>
      <c r="H4054" s="6" t="s">
        <v>568</v>
      </c>
      <c r="I4054" s="6" t="s">
        <v>604</v>
      </c>
      <c r="J4054" s="6" t="s">
        <v>349</v>
      </c>
      <c r="K4054" s="10">
        <v>5.1</v>
      </c>
      <c r="L4054" s="10">
        <v>5.1</v>
      </c>
      <c r="M4054" s="6" t="s">
        <v>375</v>
      </c>
    </row>
    <row r="4055" spans="1:13">
      <c r="A4055" s="6">
        <v>2024</v>
      </c>
      <c r="B4055" s="6">
        <v>7</v>
      </c>
      <c r="C4055" s="6" t="s">
        <v>65</v>
      </c>
      <c r="D4055" s="6" t="s">
        <v>408</v>
      </c>
      <c r="E4055" s="6" t="s">
        <v>409</v>
      </c>
      <c r="F4055" s="6" t="str">
        <f>IF($M4055="PADD I","PADD 1",IF($M4055="PADD II","PADD 2",IF($M4055="PADD III","PADD 3",IF($M4055="PADD IV","PADD 4",IF($M4055="PADD V","PADD 5","")))))</f>
        <v>PADD 3</v>
      </c>
      <c r="G4055" s="6">
        <f>IF(AND($H4055="ATMOS DISTILLATION",ISNUMBER(SEARCH("VPS",$I4055))=FALSE,LEFT($I4055,6)&lt;&gt;"VACUUM"),"CDU",IF($H4055="FLUID CAT CRACKING","FCC",IF(OR($H4055="HYDROCRACKING",$H4055="RESID_HYDROCRACKING"),"Hydrocracker",IF($H4055="REFORMING","Reformer",""))))</f>
        <v/>
      </c>
      <c r="H4055" s="6" t="s">
        <v>43</v>
      </c>
      <c r="I4055" s="6" t="s">
        <v>464</v>
      </c>
      <c r="J4055" s="6" t="s">
        <v>345</v>
      </c>
      <c r="K4055" s="10">
        <v>5</v>
      </c>
      <c r="L4055" s="10">
        <v>50</v>
      </c>
      <c r="M4055" s="6" t="s">
        <v>371</v>
      </c>
    </row>
    <row r="4056" spans="1:13">
      <c r="A4056" s="6">
        <v>2024</v>
      </c>
      <c r="B4056" s="6">
        <v>7</v>
      </c>
      <c r="C4056" s="6" t="s">
        <v>65</v>
      </c>
      <c r="D4056" s="6" t="s">
        <v>380</v>
      </c>
      <c r="E4056" s="6" t="s">
        <v>381</v>
      </c>
      <c r="F4056" s="6" t="str">
        <f>IF($M4056="PADD I","PADD 1",IF($M4056="PADD II","PADD 2",IF($M4056="PADD III","PADD 3",IF($M4056="PADD IV","PADD 4",IF($M4056="PADD V","PADD 5","")))))</f>
        <v>PADD 3</v>
      </c>
      <c r="G4056" s="6">
        <f>IF(AND($H4056="ATMOS DISTILLATION",ISNUMBER(SEARCH("VPS",$I4056))=FALSE,LEFT($I4056,6)&lt;&gt;"VACUUM"),"CDU",IF($H4056="FLUID CAT CRACKING","FCC",IF(OR($H4056="HYDROCRACKING",$H4056="RESID_HYDROCRACKING"),"Hydrocracker",IF($H4056="REFORMING","Reformer",""))))</f>
        <v/>
      </c>
      <c r="H4056" s="6" t="s">
        <v>435</v>
      </c>
      <c r="I4056" s="6" t="s">
        <v>986</v>
      </c>
      <c r="J4056" s="6" t="s">
        <v>345</v>
      </c>
      <c r="K4056" s="10">
        <v>4.8</v>
      </c>
      <c r="L4056" s="10">
        <v>30</v>
      </c>
      <c r="M4056" s="6" t="s">
        <v>371</v>
      </c>
    </row>
    <row r="4057" spans="1:13">
      <c r="A4057" s="6">
        <v>2024</v>
      </c>
      <c r="B4057" s="6">
        <v>7</v>
      </c>
      <c r="C4057" s="6" t="s">
        <v>65</v>
      </c>
      <c r="D4057" s="6" t="s">
        <v>408</v>
      </c>
      <c r="E4057" s="6" t="s">
        <v>409</v>
      </c>
      <c r="F4057" s="6" t="str">
        <f>IF($M4057="PADD I","PADD 1",IF($M4057="PADD II","PADD 2",IF($M4057="PADD III","PADD 3",IF($M4057="PADD IV","PADD 4",IF($M4057="PADD V","PADD 5","")))))</f>
        <v>PADD 3</v>
      </c>
      <c r="G4057" s="6" t="str">
        <f>IF(AND($H4057="ATMOS DISTILLATION",ISNUMBER(SEARCH("VPS",$I4057))=FALSE,LEFT($I4057,6)&lt;&gt;"VACUUM"),"CDU",IF($H4057="FLUID CAT CRACKING","FCC",IF(OR($H4057="HYDROCRACKING",$H4057="RESID_HYDROCRACKING"),"Hydrocracker",IF($H4057="REFORMING","Reformer",""))))</f>
        <v>CDU</v>
      </c>
      <c r="H4057" s="6" t="s">
        <v>38</v>
      </c>
      <c r="I4057" s="6" t="s">
        <v>410</v>
      </c>
      <c r="J4057" s="6" t="s">
        <v>345</v>
      </c>
      <c r="K4057" s="10">
        <v>4.5</v>
      </c>
      <c r="L4057" s="10">
        <v>150</v>
      </c>
      <c r="M4057" s="6" t="s">
        <v>371</v>
      </c>
    </row>
    <row r="4058" spans="1:13">
      <c r="A4058" s="6">
        <v>2024</v>
      </c>
      <c r="B4058" s="6">
        <v>7</v>
      </c>
      <c r="C4058" s="6" t="s">
        <v>65</v>
      </c>
      <c r="D4058" s="6" t="s">
        <v>500</v>
      </c>
      <c r="E4058" s="6" t="s">
        <v>388</v>
      </c>
      <c r="F4058" s="6" t="str">
        <f>IF($M4058="PADD I","PADD 1",IF($M4058="PADD II","PADD 2",IF($M4058="PADD III","PADD 3",IF($M4058="PADD IV","PADD 4",IF($M4058="PADD V","PADD 5","")))))</f>
        <v>PADD 2</v>
      </c>
      <c r="G4058" s="6" t="str">
        <f>IF(AND($H4058="ATMOS DISTILLATION",ISNUMBER(SEARCH("VPS",$I4058))=FALSE,LEFT($I4058,6)&lt;&gt;"VACUUM"),"CDU",IF($H4058="FLUID CAT CRACKING","FCC",IF(OR($H4058="HYDROCRACKING",$H4058="RESID_HYDROCRACKING"),"Hydrocracker",IF($H4058="REFORMING","Reformer",""))))</f>
        <v>CDU</v>
      </c>
      <c r="H4058" s="6" t="s">
        <v>38</v>
      </c>
      <c r="I4058" s="6" t="s">
        <v>530</v>
      </c>
      <c r="J4058" s="6" t="s">
        <v>345</v>
      </c>
      <c r="K4058" s="10">
        <v>4.5</v>
      </c>
      <c r="L4058" s="10">
        <v>75</v>
      </c>
      <c r="M4058" s="6" t="s">
        <v>375</v>
      </c>
    </row>
    <row r="4059" spans="1:13">
      <c r="A4059" s="6">
        <v>2024</v>
      </c>
      <c r="B4059" s="6">
        <v>7</v>
      </c>
      <c r="C4059" s="6" t="s">
        <v>65</v>
      </c>
      <c r="D4059" s="6" t="s">
        <v>1043</v>
      </c>
      <c r="E4059" s="6" t="s">
        <v>388</v>
      </c>
      <c r="F4059" s="6" t="str">
        <f>IF($M4059="PADD I","PADD 1",IF($M4059="PADD II","PADD 2",IF($M4059="PADD III","PADD 3",IF($M4059="PADD IV","PADD 4",IF($M4059="PADD V","PADD 5","")))))</f>
        <v>PADD 2</v>
      </c>
      <c r="G4059" s="6">
        <f>IF(AND($H4059="ATMOS DISTILLATION",ISNUMBER(SEARCH("VPS",$I4059))=FALSE,LEFT($I4059,6)&lt;&gt;"VACUUM"),"CDU",IF($H4059="FLUID CAT CRACKING","FCC",IF(OR($H4059="HYDROCRACKING",$H4059="RESID_HYDROCRACKING"),"Hydrocracker",IF($H4059="REFORMING","Reformer",""))))</f>
        <v/>
      </c>
      <c r="H4059" s="6" t="s">
        <v>460</v>
      </c>
      <c r="I4059" s="6" t="s">
        <v>616</v>
      </c>
      <c r="J4059" s="6" t="s">
        <v>345</v>
      </c>
      <c r="K4059" s="10">
        <v>4.4</v>
      </c>
      <c r="L4059" s="10">
        <v>4.4</v>
      </c>
      <c r="M4059" s="6" t="s">
        <v>375</v>
      </c>
    </row>
    <row r="4060" spans="1:13">
      <c r="A4060" s="6">
        <v>2024</v>
      </c>
      <c r="B4060" s="6">
        <v>7</v>
      </c>
      <c r="C4060" s="6" t="s">
        <v>65</v>
      </c>
      <c r="D4060" s="6" t="s">
        <v>851</v>
      </c>
      <c r="E4060" s="6" t="s">
        <v>852</v>
      </c>
      <c r="F4060" s="6" t="str">
        <f>IF($M4060="PADD I","PADD 1",IF($M4060="PADD II","PADD 2",IF($M4060="PADD III","PADD 3",IF($M4060="PADD IV","PADD 4",IF($M4060="PADD V","PADD 5","")))))</f>
        <v>PADD 3</v>
      </c>
      <c r="G4060" s="6" t="str">
        <f>IF(AND($H4060="ATMOS DISTILLATION",ISNUMBER(SEARCH("VPS",$I4060))=FALSE,LEFT($I4060,6)&lt;&gt;"VACUUM"),"CDU",IF($H4060="FLUID CAT CRACKING","FCC",IF(OR($H4060="HYDROCRACKING",$H4060="RESID_HYDROCRACKING"),"Hydrocracker",IF($H4060="REFORMING","Reformer",""))))</f>
        <v>CDU</v>
      </c>
      <c r="H4060" s="6" t="s">
        <v>38</v>
      </c>
      <c r="I4060" s="6" t="s">
        <v>854</v>
      </c>
      <c r="J4060" s="6" t="s">
        <v>345</v>
      </c>
      <c r="K4060" s="10">
        <v>4.38</v>
      </c>
      <c r="L4060" s="10">
        <v>73</v>
      </c>
      <c r="M4060" s="6" t="s">
        <v>371</v>
      </c>
    </row>
    <row r="4061" spans="1:13">
      <c r="A4061" s="6">
        <v>2024</v>
      </c>
      <c r="B4061" s="6">
        <v>7</v>
      </c>
      <c r="C4061" s="6" t="s">
        <v>65</v>
      </c>
      <c r="D4061" s="6" t="s">
        <v>1043</v>
      </c>
      <c r="E4061" s="6" t="s">
        <v>388</v>
      </c>
      <c r="F4061" s="6" t="str">
        <f>IF($M4061="PADD I","PADD 1",IF($M4061="PADD II","PADD 2",IF($M4061="PADD III","PADD 3",IF($M4061="PADD IV","PADD 4",IF($M4061="PADD V","PADD 5","")))))</f>
        <v>PADD 2</v>
      </c>
      <c r="G4061" s="6">
        <f>IF(AND($H4061="ATMOS DISTILLATION",ISNUMBER(SEARCH("VPS",$I4061))=FALSE,LEFT($I4061,6)&lt;&gt;"VACUUM"),"CDU",IF($H4061="FLUID CAT CRACKING","FCC",IF(OR($H4061="HYDROCRACKING",$H4061="RESID_HYDROCRACKING"),"Hydrocracker",IF($H4061="REFORMING","Reformer",""))))</f>
        <v/>
      </c>
      <c r="H4061" s="6" t="s">
        <v>43</v>
      </c>
      <c r="I4061" s="6" t="s">
        <v>464</v>
      </c>
      <c r="J4061" s="6" t="s">
        <v>345</v>
      </c>
      <c r="K4061" s="10">
        <v>4.3</v>
      </c>
      <c r="L4061" s="10">
        <v>4.3</v>
      </c>
      <c r="M4061" s="6" t="s">
        <v>375</v>
      </c>
    </row>
    <row r="4062" spans="1:13">
      <c r="A4062" s="6">
        <v>2024</v>
      </c>
      <c r="B4062" s="6">
        <v>7</v>
      </c>
      <c r="C4062" s="6" t="s">
        <v>65</v>
      </c>
      <c r="D4062" s="6" t="s">
        <v>408</v>
      </c>
      <c r="E4062" s="6" t="s">
        <v>409</v>
      </c>
      <c r="F4062" s="6" t="str">
        <f>IF($M4062="PADD I","PADD 1",IF($M4062="PADD II","PADD 2",IF($M4062="PADD III","PADD 3",IF($M4062="PADD IV","PADD 4",IF($M4062="PADD V","PADD 5","")))))</f>
        <v>PADD 3</v>
      </c>
      <c r="G4062" s="6">
        <f>IF(AND($H4062="ATMOS DISTILLATION",ISNUMBER(SEARCH("VPS",$I4062))=FALSE,LEFT($I4062,6)&lt;&gt;"VACUUM"),"CDU",IF($H4062="FLUID CAT CRACKING","FCC",IF(OR($H4062="HYDROCRACKING",$H4062="RESID_HYDROCRACKING"),"Hydrocracker",IF($H4062="REFORMING","Reformer",""))))</f>
        <v/>
      </c>
      <c r="H4062" s="6" t="s">
        <v>43</v>
      </c>
      <c r="I4062" s="6" t="s">
        <v>478</v>
      </c>
      <c r="J4062" s="6" t="s">
        <v>345</v>
      </c>
      <c r="K4062" s="10">
        <v>4.2</v>
      </c>
      <c r="L4062" s="10">
        <v>42</v>
      </c>
      <c r="M4062" s="6" t="s">
        <v>371</v>
      </c>
    </row>
    <row r="4063" spans="1:13">
      <c r="A4063" s="6">
        <v>2024</v>
      </c>
      <c r="B4063" s="6">
        <v>7</v>
      </c>
      <c r="C4063" s="6" t="s">
        <v>65</v>
      </c>
      <c r="D4063" s="6" t="s">
        <v>878</v>
      </c>
      <c r="E4063" s="6" t="s">
        <v>452</v>
      </c>
      <c r="F4063" s="6" t="str">
        <f>IF($M4063="PADD I","PADD 1",IF($M4063="PADD II","PADD 2",IF($M4063="PADD III","PADD 3",IF($M4063="PADD IV","PADD 4",IF($M4063="PADD V","PADD 5","")))))</f>
        <v>PADD 2</v>
      </c>
      <c r="G4063" s="6">
        <f>IF(AND($H4063="ATMOS DISTILLATION",ISNUMBER(SEARCH("VPS",$I4063))=FALSE,LEFT($I4063,6)&lt;&gt;"VACUUM"),"CDU",IF($H4063="FLUID CAT CRACKING","FCC",IF(OR($H4063="HYDROCRACKING",$H4063="RESID_HYDROCRACKING"),"Hydrocracker",IF($H4063="REFORMING","Reformer",""))))</f>
        <v/>
      </c>
      <c r="H4063" s="6" t="s">
        <v>435</v>
      </c>
      <c r="I4063" s="6" t="s">
        <v>441</v>
      </c>
      <c r="J4063" s="6" t="s">
        <v>345</v>
      </c>
      <c r="K4063" s="10">
        <v>4.08</v>
      </c>
      <c r="L4063" s="10">
        <v>8.5</v>
      </c>
      <c r="M4063" s="6" t="s">
        <v>375</v>
      </c>
    </row>
    <row r="4064" spans="1:13">
      <c r="A4064" s="6">
        <v>2024</v>
      </c>
      <c r="B4064" s="6">
        <v>7</v>
      </c>
      <c r="C4064" s="6" t="s">
        <v>65</v>
      </c>
      <c r="D4064" s="6" t="s">
        <v>429</v>
      </c>
      <c r="E4064" s="6" t="s">
        <v>388</v>
      </c>
      <c r="F4064" s="6" t="str">
        <f>IF($M4064="PADD I","PADD 1",IF($M4064="PADD II","PADD 2",IF($M4064="PADD III","PADD 3",IF($M4064="PADD IV","PADD 4",IF($M4064="PADD V","PADD 5","")))))</f>
        <v>PADD 4</v>
      </c>
      <c r="G4064" s="6" t="str">
        <f>IF(AND($H4064="ATMOS DISTILLATION",ISNUMBER(SEARCH("VPS",$I4064))=FALSE,LEFT($I4064,6)&lt;&gt;"VACUUM"),"CDU",IF($H4064="FLUID CAT CRACKING","FCC",IF(OR($H4064="HYDROCRACKING",$H4064="RESID_HYDROCRACKING"),"Hydrocracker",IF($H4064="REFORMING","Reformer",""))))</f>
        <v>CDU</v>
      </c>
      <c r="H4064" s="6" t="s">
        <v>38</v>
      </c>
      <c r="I4064" s="6" t="s">
        <v>81</v>
      </c>
      <c r="J4064" s="6" t="s">
        <v>345</v>
      </c>
      <c r="K4064" s="10">
        <v>3.99</v>
      </c>
      <c r="L4064" s="10">
        <v>66.5</v>
      </c>
      <c r="M4064" s="6" t="s">
        <v>430</v>
      </c>
    </row>
    <row r="4065" spans="1:13">
      <c r="A4065" s="6">
        <v>2024</v>
      </c>
      <c r="B4065" s="6">
        <v>7</v>
      </c>
      <c r="C4065" s="6" t="s">
        <v>65</v>
      </c>
      <c r="D4065" s="6" t="s">
        <v>646</v>
      </c>
      <c r="E4065" s="6" t="s">
        <v>405</v>
      </c>
      <c r="F4065" s="6" t="str">
        <f>IF($M4065="PADD I","PADD 1",IF($M4065="PADD II","PADD 2",IF($M4065="PADD III","PADD 3",IF($M4065="PADD IV","PADD 4",IF($M4065="PADD V","PADD 5","")))))</f>
        <v>PADD 3</v>
      </c>
      <c r="G4065" s="6" t="str">
        <f>IF(AND($H4065="ATMOS DISTILLATION",ISNUMBER(SEARCH("VPS",$I4065))=FALSE,LEFT($I4065,6)&lt;&gt;"VACUUM"),"CDU",IF($H4065="FLUID CAT CRACKING","FCC",IF(OR($H4065="HYDROCRACKING",$H4065="RESID_HYDROCRACKING"),"Hydrocracker",IF($H4065="REFORMING","Reformer",""))))</f>
        <v>Reformer</v>
      </c>
      <c r="H4065" s="6" t="s">
        <v>421</v>
      </c>
      <c r="I4065" s="6" t="s">
        <v>1160</v>
      </c>
      <c r="J4065" s="6" t="s">
        <v>345</v>
      </c>
      <c r="K4065" s="10">
        <v>3.9</v>
      </c>
      <c r="L4065" s="10">
        <v>10</v>
      </c>
      <c r="M4065" s="6" t="s">
        <v>371</v>
      </c>
    </row>
    <row r="4066" spans="1:13">
      <c r="A4066" s="6">
        <v>2024</v>
      </c>
      <c r="B4066" s="6">
        <v>7</v>
      </c>
      <c r="C4066" s="6" t="s">
        <v>65</v>
      </c>
      <c r="D4066" s="6" t="s">
        <v>326</v>
      </c>
      <c r="E4066" s="6" t="s">
        <v>385</v>
      </c>
      <c r="F4066" s="6" t="str">
        <f>IF($M4066="PADD I","PADD 1",IF($M4066="PADD II","PADD 2",IF($M4066="PADD III","PADD 3",IF($M4066="PADD IV","PADD 4",IF($M4066="PADD V","PADD 5","")))))</f>
        <v>PADD 5</v>
      </c>
      <c r="G4066" s="6">
        <f>IF(AND($H4066="ATMOS DISTILLATION",ISNUMBER(SEARCH("VPS",$I4066))=FALSE,LEFT($I4066,6)&lt;&gt;"VACUUM"),"CDU",IF($H4066="FLUID CAT CRACKING","FCC",IF(OR($H4066="HYDROCRACKING",$H4066="RESID_HYDROCRACKING"),"Hydrocracker",IF($H4066="REFORMING","Reformer",""))))</f>
        <v/>
      </c>
      <c r="H4066" s="6" t="s">
        <v>435</v>
      </c>
      <c r="I4066" s="6" t="s">
        <v>441</v>
      </c>
      <c r="J4066" s="6" t="s">
        <v>345</v>
      </c>
      <c r="K4066" s="10">
        <v>3.52</v>
      </c>
      <c r="L4066" s="10">
        <v>22</v>
      </c>
      <c r="M4066" s="6" t="s">
        <v>386</v>
      </c>
    </row>
    <row r="4067" spans="1:13">
      <c r="A4067" s="6">
        <v>2024</v>
      </c>
      <c r="B4067" s="6">
        <v>7</v>
      </c>
      <c r="C4067" s="6" t="s">
        <v>65</v>
      </c>
      <c r="D4067" s="6" t="s">
        <v>387</v>
      </c>
      <c r="E4067" s="6" t="s">
        <v>388</v>
      </c>
      <c r="F4067" s="6" t="str">
        <f>IF($M4067="PADD I","PADD 1",IF($M4067="PADD II","PADD 2",IF($M4067="PADD III","PADD 3",IF($M4067="PADD IV","PADD 4",IF($M4067="PADD V","PADD 5","")))))</f>
        <v>PADD 3</v>
      </c>
      <c r="G4067" s="6">
        <f>IF(AND($H4067="ATMOS DISTILLATION",ISNUMBER(SEARCH("VPS",$I4067))=FALSE,LEFT($I4067,6)&lt;&gt;"VACUUM"),"CDU",IF($H4067="FLUID CAT CRACKING","FCC",IF(OR($H4067="HYDROCRACKING",$H4067="RESID_HYDROCRACKING"),"Hydrocracker",IF($H4067="REFORMING","Reformer",""))))</f>
        <v/>
      </c>
      <c r="H4067" s="6" t="s">
        <v>435</v>
      </c>
      <c r="I4067" s="6" t="s">
        <v>595</v>
      </c>
      <c r="J4067" s="6" t="s">
        <v>345</v>
      </c>
      <c r="K4067" s="10">
        <v>3.51</v>
      </c>
      <c r="L4067" s="10">
        <v>13.5</v>
      </c>
      <c r="M4067" s="6" t="s">
        <v>371</v>
      </c>
    </row>
    <row r="4068" spans="1:13">
      <c r="A4068" s="6">
        <v>2024</v>
      </c>
      <c r="B4068" s="6">
        <v>7</v>
      </c>
      <c r="C4068" s="6" t="s">
        <v>65</v>
      </c>
      <c r="D4068" s="6" t="s">
        <v>762</v>
      </c>
      <c r="E4068" s="6" t="s">
        <v>763</v>
      </c>
      <c r="F4068" s="6" t="str">
        <f>IF($M4068="PADD I","PADD 1",IF($M4068="PADD II","PADD 2",IF($M4068="PADD III","PADD 3",IF($M4068="PADD IV","PADD 4",IF($M4068="PADD V","PADD 5","")))))</f>
        <v>PADD 2</v>
      </c>
      <c r="G4068" s="6" t="str">
        <f>IF(AND($H4068="ATMOS DISTILLATION",ISNUMBER(SEARCH("VPS",$I4068))=FALSE,LEFT($I4068,6)&lt;&gt;"VACUUM"),"CDU",IF($H4068="FLUID CAT CRACKING","FCC",IF(OR($H4068="HYDROCRACKING",$H4068="RESID_HYDROCRACKING"),"Hydrocracker",IF($H4068="REFORMING","Reformer",""))))</f>
        <v>CDU</v>
      </c>
      <c r="H4068" s="6" t="s">
        <v>38</v>
      </c>
      <c r="I4068" s="6" t="s">
        <v>330</v>
      </c>
      <c r="J4068" s="6" t="s">
        <v>345</v>
      </c>
      <c r="K4068" s="10">
        <v>3.5</v>
      </c>
      <c r="L4068" s="10">
        <v>3.5</v>
      </c>
      <c r="M4068" s="6" t="s">
        <v>375</v>
      </c>
    </row>
    <row r="4069" spans="1:13">
      <c r="A4069" s="6">
        <v>2024</v>
      </c>
      <c r="B4069" s="6">
        <v>7</v>
      </c>
      <c r="C4069" s="6" t="s">
        <v>65</v>
      </c>
      <c r="D4069" s="6" t="s">
        <v>326</v>
      </c>
      <c r="E4069" s="6" t="s">
        <v>385</v>
      </c>
      <c r="F4069" s="6" t="str">
        <f>IF($M4069="PADD I","PADD 1",IF($M4069="PADD II","PADD 2",IF($M4069="PADD III","PADD 3",IF($M4069="PADD IV","PADD 4",IF($M4069="PADD V","PADD 5","")))))</f>
        <v>PADD 5</v>
      </c>
      <c r="G4069" s="6">
        <f>IF(AND($H4069="ATMOS DISTILLATION",ISNUMBER(SEARCH("VPS",$I4069))=FALSE,LEFT($I4069,6)&lt;&gt;"VACUUM"),"CDU",IF($H4069="FLUID CAT CRACKING","FCC",IF(OR($H4069="HYDROCRACKING",$H4069="RESID_HYDROCRACKING"),"Hydrocracker",IF($H4069="REFORMING","Reformer",""))))</f>
        <v/>
      </c>
      <c r="H4069" s="6" t="s">
        <v>435</v>
      </c>
      <c r="I4069" s="6" t="s">
        <v>813</v>
      </c>
      <c r="J4069" s="6" t="s">
        <v>345</v>
      </c>
      <c r="K4069" s="10">
        <v>3.25</v>
      </c>
      <c r="L4069" s="10">
        <v>25</v>
      </c>
      <c r="M4069" s="6" t="s">
        <v>386</v>
      </c>
    </row>
    <row r="4070" spans="1:13">
      <c r="A4070" s="6">
        <v>2024</v>
      </c>
      <c r="B4070" s="6">
        <v>7</v>
      </c>
      <c r="C4070" s="6" t="s">
        <v>65</v>
      </c>
      <c r="D4070" s="6" t="s">
        <v>48</v>
      </c>
      <c r="E4070" s="6" t="s">
        <v>388</v>
      </c>
      <c r="F4070" s="6" t="str">
        <f>IF($M4070="PADD I","PADD 1",IF($M4070="PADD II","PADD 2",IF($M4070="PADD III","PADD 3",IF($M4070="PADD IV","PADD 4",IF($M4070="PADD V","PADD 5","")))))</f>
        <v>PADD 2</v>
      </c>
      <c r="G4070" s="6">
        <f>IF(AND($H4070="ATMOS DISTILLATION",ISNUMBER(SEARCH("VPS",$I4070))=FALSE,LEFT($I4070,6)&lt;&gt;"VACUUM"),"CDU",IF($H4070="FLUID CAT CRACKING","FCC",IF(OR($H4070="HYDROCRACKING",$H4070="RESID_HYDROCRACKING"),"Hydrocracker",IF($H4070="REFORMING","Reformer",""))))</f>
        <v/>
      </c>
      <c r="H4070" s="6" t="s">
        <v>568</v>
      </c>
      <c r="I4070" s="6" t="s">
        <v>765</v>
      </c>
      <c r="J4070" s="6" t="s">
        <v>345</v>
      </c>
      <c r="K4070" s="10">
        <v>3.22</v>
      </c>
      <c r="L4070" s="10">
        <v>14</v>
      </c>
      <c r="M4070" s="6" t="s">
        <v>375</v>
      </c>
    </row>
    <row r="4071" spans="1:13">
      <c r="A4071" s="6">
        <v>2024</v>
      </c>
      <c r="B4071" s="6">
        <v>7</v>
      </c>
      <c r="C4071" s="6" t="s">
        <v>65</v>
      </c>
      <c r="D4071" s="6" t="s">
        <v>380</v>
      </c>
      <c r="E4071" s="6" t="s">
        <v>381</v>
      </c>
      <c r="F4071" s="6" t="str">
        <f>IF($M4071="PADD I","PADD 1",IF($M4071="PADD II","PADD 2",IF($M4071="PADD III","PADD 3",IF($M4071="PADD IV","PADD 4",IF($M4071="PADD V","PADD 5","")))))</f>
        <v>PADD 3</v>
      </c>
      <c r="G4071" s="6" t="str">
        <f>IF(AND($H4071="ATMOS DISTILLATION",ISNUMBER(SEARCH("VPS",$I4071))=FALSE,LEFT($I4071,6)&lt;&gt;"VACUUM"),"CDU",IF($H4071="FLUID CAT CRACKING","FCC",IF(OR($H4071="HYDROCRACKING",$H4071="RESID_HYDROCRACKING"),"Hydrocracker",IF($H4071="REFORMING","Reformer",""))))</f>
        <v>Hydrocracker</v>
      </c>
      <c r="H4071" s="6" t="s">
        <v>444</v>
      </c>
      <c r="I4071" s="6" t="s">
        <v>1221</v>
      </c>
      <c r="J4071" s="6" t="s">
        <v>345</v>
      </c>
      <c r="K4071" s="10">
        <v>3.2</v>
      </c>
      <c r="L4071" s="10">
        <v>20</v>
      </c>
      <c r="M4071" s="6" t="s">
        <v>371</v>
      </c>
    </row>
    <row r="4072" spans="1:13">
      <c r="A4072" s="6">
        <v>2024</v>
      </c>
      <c r="B4072" s="6">
        <v>7</v>
      </c>
      <c r="C4072" s="6" t="s">
        <v>65</v>
      </c>
      <c r="D4072" s="6" t="s">
        <v>334</v>
      </c>
      <c r="E4072" s="6" t="s">
        <v>552</v>
      </c>
      <c r="F4072" s="6" t="str">
        <f>IF($M4072="PADD I","PADD 1",IF($M4072="PADD II","PADD 2",IF($M4072="PADD III","PADD 3",IF($M4072="PADD IV","PADD 4",IF($M4072="PADD V","PADD 5","")))))</f>
        <v>PADD 3</v>
      </c>
      <c r="G4072" s="6" t="str">
        <f>IF(AND($H4072="ATMOS DISTILLATION",ISNUMBER(SEARCH("VPS",$I4072))=FALSE,LEFT($I4072,6)&lt;&gt;"VACUUM"),"CDU",IF($H4072="FLUID CAT CRACKING","FCC",IF(OR($H4072="HYDROCRACKING",$H4072="RESID_HYDROCRACKING"),"Hydrocracker",IF($H4072="REFORMING","Reformer",""))))</f>
        <v>FCC</v>
      </c>
      <c r="H4072" s="6" t="s">
        <v>376</v>
      </c>
      <c r="I4072" s="6" t="s">
        <v>613</v>
      </c>
      <c r="J4072" s="6" t="s">
        <v>345</v>
      </c>
      <c r="K4072" s="10">
        <v>3.2</v>
      </c>
      <c r="L4072" s="10">
        <v>20</v>
      </c>
      <c r="M4072" s="6" t="s">
        <v>371</v>
      </c>
    </row>
    <row r="4073" spans="1:13">
      <c r="A4073" s="6">
        <v>2024</v>
      </c>
      <c r="B4073" s="6">
        <v>7</v>
      </c>
      <c r="C4073" s="6" t="s">
        <v>65</v>
      </c>
      <c r="D4073" s="6" t="s">
        <v>526</v>
      </c>
      <c r="E4073" s="6" t="s">
        <v>405</v>
      </c>
      <c r="F4073" s="6" t="str">
        <f>IF($M4073="PADD I","PADD 1",IF($M4073="PADD II","PADD 2",IF($M4073="PADD III","PADD 3",IF($M4073="PADD IV","PADD 4",IF($M4073="PADD V","PADD 5","")))))</f>
        <v>PADD 3</v>
      </c>
      <c r="G4073" s="6" t="str">
        <f>IF(AND($H4073="ATMOS DISTILLATION",ISNUMBER(SEARCH("VPS",$I4073))=FALSE,LEFT($I4073,6)&lt;&gt;"VACUUM"),"CDU",IF($H4073="FLUID CAT CRACKING","FCC",IF(OR($H4073="HYDROCRACKING",$H4073="RESID_HYDROCRACKING"),"Hydrocracker",IF($H4073="REFORMING","Reformer",""))))</f>
        <v>Reformer</v>
      </c>
      <c r="H4073" s="6" t="s">
        <v>421</v>
      </c>
      <c r="I4073" s="6" t="s">
        <v>597</v>
      </c>
      <c r="J4073" s="6" t="s">
        <v>345</v>
      </c>
      <c r="K4073" s="10">
        <v>3.18</v>
      </c>
      <c r="L4073" s="10">
        <v>53</v>
      </c>
      <c r="M4073" s="6" t="s">
        <v>371</v>
      </c>
    </row>
    <row r="4074" spans="1:13">
      <c r="A4074" s="6">
        <v>2024</v>
      </c>
      <c r="B4074" s="6">
        <v>7</v>
      </c>
      <c r="C4074" s="6" t="s">
        <v>65</v>
      </c>
      <c r="D4074" s="6" t="s">
        <v>331</v>
      </c>
      <c r="E4074" s="6" t="s">
        <v>373</v>
      </c>
      <c r="F4074" s="6" t="str">
        <f>IF($M4074="PADD I","PADD 1",IF($M4074="PADD II","PADD 2",IF($M4074="PADD III","PADD 3",IF($M4074="PADD IV","PADD 4",IF($M4074="PADD V","PADD 5","")))))</f>
        <v>PADD 2</v>
      </c>
      <c r="G4074" s="6">
        <f>IF(AND($H4074="ATMOS DISTILLATION",ISNUMBER(SEARCH("VPS",$I4074))=FALSE,LEFT($I4074,6)&lt;&gt;"VACUUM"),"CDU",IF($H4074="FLUID CAT CRACKING","FCC",IF(OR($H4074="HYDROCRACKING",$H4074="RESID_HYDROCRACKING"),"Hydrocracker",IF($H4074="REFORMING","Reformer",""))))</f>
        <v/>
      </c>
      <c r="H4074" s="6" t="s">
        <v>378</v>
      </c>
      <c r="I4074" s="6" t="s">
        <v>431</v>
      </c>
      <c r="J4074" s="6" t="s">
        <v>345</v>
      </c>
      <c r="K4074" s="10">
        <v>3.12</v>
      </c>
      <c r="L4074" s="10">
        <v>52</v>
      </c>
      <c r="M4074" s="6" t="s">
        <v>375</v>
      </c>
    </row>
    <row r="4075" spans="1:13">
      <c r="A4075" s="6">
        <v>2024</v>
      </c>
      <c r="B4075" s="6">
        <v>7</v>
      </c>
      <c r="C4075" s="6" t="s">
        <v>65</v>
      </c>
      <c r="D4075" s="6" t="s">
        <v>630</v>
      </c>
      <c r="E4075" s="6" t="s">
        <v>491</v>
      </c>
      <c r="F4075" s="6" t="str">
        <f>IF($M4075="PADD I","PADD 1",IF($M4075="PADD II","PADD 2",IF($M4075="PADD III","PADD 3",IF($M4075="PADD IV","PADD 4",IF($M4075="PADD V","PADD 5","")))))</f>
        <v>PADD 3</v>
      </c>
      <c r="G4075" s="6">
        <f>IF(AND($H4075="ATMOS DISTILLATION",ISNUMBER(SEARCH("VPS",$I4075))=FALSE,LEFT($I4075,6)&lt;&gt;"VACUUM"),"CDU",IF($H4075="FLUID CAT CRACKING","FCC",IF(OR($H4075="HYDROCRACKING",$H4075="RESID_HYDROCRACKING"),"Hydrocracker",IF($H4075="REFORMING","Reformer",""))))</f>
        <v/>
      </c>
      <c r="H4075" s="6" t="s">
        <v>43</v>
      </c>
      <c r="I4075" s="6" t="s">
        <v>464</v>
      </c>
      <c r="J4075" s="6" t="s">
        <v>345</v>
      </c>
      <c r="K4075" s="10">
        <v>3.12</v>
      </c>
      <c r="L4075" s="10">
        <v>12</v>
      </c>
      <c r="M4075" s="6" t="s">
        <v>371</v>
      </c>
    </row>
    <row r="4076" spans="1:13">
      <c r="A4076" s="6">
        <v>2024</v>
      </c>
      <c r="B4076" s="6">
        <v>7</v>
      </c>
      <c r="C4076" s="6" t="s">
        <v>65</v>
      </c>
      <c r="D4076" s="6" t="s">
        <v>408</v>
      </c>
      <c r="E4076" s="6" t="s">
        <v>409</v>
      </c>
      <c r="F4076" s="6" t="str">
        <f>IF($M4076="PADD I","PADD 1",IF($M4076="PADD II","PADD 2",IF($M4076="PADD III","PADD 3",IF($M4076="PADD IV","PADD 4",IF($M4076="PADD V","PADD 5","")))))</f>
        <v>PADD 3</v>
      </c>
      <c r="G4076" s="6">
        <f>IF(AND($H4076="ATMOS DISTILLATION",ISNUMBER(SEARCH("VPS",$I4076))=FALSE,LEFT($I4076,6)&lt;&gt;"VACUUM"),"CDU",IF($H4076="FLUID CAT CRACKING","FCC",IF(OR($H4076="HYDROCRACKING",$H4076="RESID_HYDROCRACKING"),"Hydrocracker",IF($H4076="REFORMING","Reformer",""))))</f>
        <v/>
      </c>
      <c r="H4076" s="6" t="s">
        <v>43</v>
      </c>
      <c r="I4076" s="6" t="s">
        <v>497</v>
      </c>
      <c r="J4076" s="6" t="s">
        <v>345</v>
      </c>
      <c r="K4076" s="10">
        <v>3.1</v>
      </c>
      <c r="L4076" s="10">
        <v>31</v>
      </c>
      <c r="M4076" s="6" t="s">
        <v>371</v>
      </c>
    </row>
    <row r="4077" spans="1:13">
      <c r="A4077" s="6">
        <v>2024</v>
      </c>
      <c r="B4077" s="6">
        <v>7</v>
      </c>
      <c r="C4077" s="6" t="s">
        <v>65</v>
      </c>
      <c r="D4077" s="6" t="s">
        <v>801</v>
      </c>
      <c r="E4077" s="6" t="s">
        <v>779</v>
      </c>
      <c r="F4077" s="6" t="str">
        <f>IF($M4077="PADD I","PADD 1",IF($M4077="PADD II","PADD 2",IF($M4077="PADD III","PADD 3",IF($M4077="PADD IV","PADD 4",IF($M4077="PADD V","PADD 5","")))))</f>
        <v>PADD 2</v>
      </c>
      <c r="G4077" s="6">
        <f>IF(AND($H4077="ATMOS DISTILLATION",ISNUMBER(SEARCH("VPS",$I4077))=FALSE,LEFT($I4077,6)&lt;&gt;"VACUUM"),"CDU",IF($H4077="FLUID CAT CRACKING","FCC",IF(OR($H4077="HYDROCRACKING",$H4077="RESID_HYDROCRACKING"),"Hydrocracker",IF($H4077="REFORMING","Reformer",""))))</f>
        <v/>
      </c>
      <c r="H4077" s="6" t="s">
        <v>435</v>
      </c>
      <c r="I4077" s="6" t="s">
        <v>1179</v>
      </c>
      <c r="J4077" s="6" t="s">
        <v>349</v>
      </c>
      <c r="K4077" s="10">
        <v>3.0888</v>
      </c>
      <c r="L4077" s="10">
        <v>11.88</v>
      </c>
      <c r="M4077" s="6" t="s">
        <v>375</v>
      </c>
    </row>
    <row r="4078" spans="1:13">
      <c r="A4078" s="6">
        <v>2024</v>
      </c>
      <c r="B4078" s="6">
        <v>7</v>
      </c>
      <c r="C4078" s="6" t="s">
        <v>65</v>
      </c>
      <c r="D4078" s="6" t="s">
        <v>48</v>
      </c>
      <c r="E4078" s="6" t="s">
        <v>388</v>
      </c>
      <c r="F4078" s="6" t="str">
        <f>IF($M4078="PADD I","PADD 1",IF($M4078="PADD II","PADD 2",IF($M4078="PADD III","PADD 3",IF($M4078="PADD IV","PADD 4",IF($M4078="PADD V","PADD 5","")))))</f>
        <v>PADD 2</v>
      </c>
      <c r="G4078" s="6">
        <f>IF(AND($H4078="ATMOS DISTILLATION",ISNUMBER(SEARCH("VPS",$I4078))=FALSE,LEFT($I4078,6)&lt;&gt;"VACUUM"),"CDU",IF($H4078="FLUID CAT CRACKING","FCC",IF(OR($H4078="HYDROCRACKING",$H4078="RESID_HYDROCRACKING"),"Hydrocracker",IF($H4078="REFORMING","Reformer",""))))</f>
        <v/>
      </c>
      <c r="H4078" s="6" t="s">
        <v>637</v>
      </c>
      <c r="I4078" s="6" t="s">
        <v>604</v>
      </c>
      <c r="J4078" s="6" t="s">
        <v>345</v>
      </c>
      <c r="K4078" s="10">
        <v>3.04</v>
      </c>
      <c r="L4078" s="10">
        <v>16</v>
      </c>
      <c r="M4078" s="6" t="s">
        <v>375</v>
      </c>
    </row>
    <row r="4079" spans="1:13">
      <c r="A4079" s="6">
        <v>2024</v>
      </c>
      <c r="B4079" s="6">
        <v>7</v>
      </c>
      <c r="C4079" s="6" t="s">
        <v>65</v>
      </c>
      <c r="D4079" s="6" t="s">
        <v>408</v>
      </c>
      <c r="E4079" s="6" t="s">
        <v>409</v>
      </c>
      <c r="F4079" s="6" t="str">
        <f>IF($M4079="PADD I","PADD 1",IF($M4079="PADD II","PADD 2",IF($M4079="PADD III","PADD 3",IF($M4079="PADD IV","PADD 4",IF($M4079="PADD V","PADD 5","")))))</f>
        <v>PADD 3</v>
      </c>
      <c r="G4079" s="6">
        <f>IF(AND($H4079="ATMOS DISTILLATION",ISNUMBER(SEARCH("VPS",$I4079))=FALSE,LEFT($I4079,6)&lt;&gt;"VACUUM"),"CDU",IF($H4079="FLUID CAT CRACKING","FCC",IF(OR($H4079="HYDROCRACKING",$H4079="RESID_HYDROCRACKING"),"Hydrocracker",IF($H4079="REFORMING","Reformer",""))))</f>
        <v/>
      </c>
      <c r="H4079" s="6" t="s">
        <v>43</v>
      </c>
      <c r="I4079" s="6" t="s">
        <v>502</v>
      </c>
      <c r="J4079" s="6" t="s">
        <v>345</v>
      </c>
      <c r="K4079" s="10">
        <v>3</v>
      </c>
      <c r="L4079" s="10">
        <v>30</v>
      </c>
      <c r="M4079" s="6" t="s">
        <v>371</v>
      </c>
    </row>
    <row r="4080" spans="1:13">
      <c r="A4080" s="6">
        <v>2024</v>
      </c>
      <c r="B4080" s="6">
        <v>7</v>
      </c>
      <c r="C4080" s="6" t="s">
        <v>65</v>
      </c>
      <c r="D4080" s="6" t="s">
        <v>408</v>
      </c>
      <c r="E4080" s="6" t="s">
        <v>409</v>
      </c>
      <c r="F4080" s="6" t="str">
        <f>IF($M4080="PADD I","PADD 1",IF($M4080="PADD II","PADD 2",IF($M4080="PADD III","PADD 3",IF($M4080="PADD IV","PADD 4",IF($M4080="PADD V","PADD 5","")))))</f>
        <v>PADD 3</v>
      </c>
      <c r="G4080" s="6">
        <f>IF(AND($H4080="ATMOS DISTILLATION",ISNUMBER(SEARCH("VPS",$I4080))=FALSE,LEFT($I4080,6)&lt;&gt;"VACUUM"),"CDU",IF($H4080="FLUID CAT CRACKING","FCC",IF(OR($H4080="HYDROCRACKING",$H4080="RESID_HYDROCRACKING"),"Hydrocracker",IF($H4080="REFORMING","Reformer",""))))</f>
        <v/>
      </c>
      <c r="H4080" s="6" t="s">
        <v>43</v>
      </c>
      <c r="I4080" s="6" t="s">
        <v>503</v>
      </c>
      <c r="J4080" s="6" t="s">
        <v>345</v>
      </c>
      <c r="K4080" s="10">
        <v>3</v>
      </c>
      <c r="L4080" s="10">
        <v>30</v>
      </c>
      <c r="M4080" s="6" t="s">
        <v>371</v>
      </c>
    </row>
    <row r="4081" spans="1:13">
      <c r="A4081" s="6">
        <v>2024</v>
      </c>
      <c r="B4081" s="6">
        <v>7</v>
      </c>
      <c r="C4081" s="6" t="s">
        <v>65</v>
      </c>
      <c r="D4081" s="6" t="s">
        <v>335</v>
      </c>
      <c r="E4081" s="6" t="s">
        <v>369</v>
      </c>
      <c r="F4081" s="6" t="str">
        <f>IF($M4081="PADD I","PADD 1",IF($M4081="PADD II","PADD 2",IF($M4081="PADD III","PADD 3",IF($M4081="PADD IV","PADD 4",IF($M4081="PADD V","PADD 5","")))))</f>
        <v>PADD 3</v>
      </c>
      <c r="G4081" s="6" t="str">
        <f>IF(AND($H4081="ATMOS DISTILLATION",ISNUMBER(SEARCH("VPS",$I4081))=FALSE,LEFT($I4081,6)&lt;&gt;"VACUUM"),"CDU",IF($H4081="FLUID CAT CRACKING","FCC",IF(OR($H4081="HYDROCRACKING",$H4081="RESID_HYDROCRACKING"),"Hydrocracker",IF($H4081="REFORMING","Reformer",""))))</f>
        <v>FCC</v>
      </c>
      <c r="H4081" s="6" t="s">
        <v>376</v>
      </c>
      <c r="I4081" s="6" t="s">
        <v>472</v>
      </c>
      <c r="J4081" s="6" t="s">
        <v>349</v>
      </c>
      <c r="K4081" s="10">
        <v>3</v>
      </c>
      <c r="L4081" s="10">
        <v>30</v>
      </c>
      <c r="M4081" s="6" t="s">
        <v>371</v>
      </c>
    </row>
    <row r="4082" spans="1:13">
      <c r="A4082" s="6">
        <v>2024</v>
      </c>
      <c r="B4082" s="6">
        <v>7</v>
      </c>
      <c r="C4082" s="6" t="s">
        <v>65</v>
      </c>
      <c r="D4082" s="6" t="s">
        <v>511</v>
      </c>
      <c r="E4082" s="6" t="s">
        <v>405</v>
      </c>
      <c r="F4082" s="6" t="str">
        <f>IF($M4082="PADD I","PADD 1",IF($M4082="PADD II","PADD 2",IF($M4082="PADD III","PADD 3",IF($M4082="PADD IV","PADD 4",IF($M4082="PADD V","PADD 5","")))))</f>
        <v>PADD 3</v>
      </c>
      <c r="G4082" s="6" t="str">
        <f>IF(AND($H4082="ATMOS DISTILLATION",ISNUMBER(SEARCH("VPS",$I4082))=FALSE,LEFT($I4082,6)&lt;&gt;"VACUUM"),"CDU",IF($H4082="FLUID CAT CRACKING","FCC",IF(OR($H4082="HYDROCRACKING",$H4082="RESID_HYDROCRACKING"),"Hydrocracker",IF($H4082="REFORMING","Reformer",""))))</f>
        <v>FCC</v>
      </c>
      <c r="H4082" s="6" t="s">
        <v>376</v>
      </c>
      <c r="I4082" s="6" t="s">
        <v>105</v>
      </c>
      <c r="J4082" s="6" t="s">
        <v>349</v>
      </c>
      <c r="K4082" s="10">
        <v>2.91</v>
      </c>
      <c r="L4082" s="10">
        <v>97</v>
      </c>
      <c r="M4082" s="6" t="s">
        <v>371</v>
      </c>
    </row>
    <row r="4083" spans="1:13">
      <c r="A4083" s="6">
        <v>2024</v>
      </c>
      <c r="B4083" s="6">
        <v>7</v>
      </c>
      <c r="C4083" s="6" t="s">
        <v>65</v>
      </c>
      <c r="D4083" s="6" t="s">
        <v>328</v>
      </c>
      <c r="E4083" s="6" t="s">
        <v>416</v>
      </c>
      <c r="F4083" s="6" t="str">
        <f>IF($M4083="PADD I","PADD 1",IF($M4083="PADD II","PADD 2",IF($M4083="PADD III","PADD 3",IF($M4083="PADD IV","PADD 4",IF($M4083="PADD V","PADD 5","")))))</f>
        <v>PADD 2</v>
      </c>
      <c r="G4083" s="6">
        <f>IF(AND($H4083="ATMOS DISTILLATION",ISNUMBER(SEARCH("VPS",$I4083))=FALSE,LEFT($I4083,6)&lt;&gt;"VACUUM"),"CDU",IF($H4083="FLUID CAT CRACKING","FCC",IF(OR($H4083="HYDROCRACKING",$H4083="RESID_HYDROCRACKING"),"Hydrocracker",IF($H4083="REFORMING","Reformer",""))))</f>
        <v/>
      </c>
      <c r="H4083" s="6" t="s">
        <v>435</v>
      </c>
      <c r="I4083" s="6" t="s">
        <v>1059</v>
      </c>
      <c r="J4083" s="6" t="s">
        <v>349</v>
      </c>
      <c r="K4083" s="10">
        <v>2.8842</v>
      </c>
      <c r="L4083" s="10">
        <v>12.54</v>
      </c>
      <c r="M4083" s="6" t="s">
        <v>375</v>
      </c>
    </row>
    <row r="4084" spans="1:13">
      <c r="A4084" s="6">
        <v>2024</v>
      </c>
      <c r="B4084" s="6">
        <v>7</v>
      </c>
      <c r="C4084" s="6" t="s">
        <v>65</v>
      </c>
      <c r="D4084" s="6" t="s">
        <v>457</v>
      </c>
      <c r="E4084" s="6" t="s">
        <v>388</v>
      </c>
      <c r="F4084" s="6" t="str">
        <f>IF($M4084="PADD I","PADD 1",IF($M4084="PADD II","PADD 2",IF($M4084="PADD III","PADD 3",IF($M4084="PADD IV","PADD 4",IF($M4084="PADD V","PADD 5","")))))</f>
        <v>PADD 5</v>
      </c>
      <c r="G4084" s="6" t="str">
        <f>IF(AND($H4084="ATMOS DISTILLATION",ISNUMBER(SEARCH("VPS",$I4084))=FALSE,LEFT($I4084,6)&lt;&gt;"VACUUM"),"CDU",IF($H4084="FLUID CAT CRACKING","FCC",IF(OR($H4084="HYDROCRACKING",$H4084="RESID_HYDROCRACKING"),"Hydrocracker",IF($H4084="REFORMING","Reformer",""))))</f>
        <v>Reformer</v>
      </c>
      <c r="H4084" s="6" t="s">
        <v>421</v>
      </c>
      <c r="I4084" s="6" t="s">
        <v>559</v>
      </c>
      <c r="J4084" s="6" t="s">
        <v>345</v>
      </c>
      <c r="K4084" s="10">
        <v>2.6</v>
      </c>
      <c r="L4084" s="10">
        <v>20</v>
      </c>
      <c r="M4084" s="6" t="s">
        <v>386</v>
      </c>
    </row>
    <row r="4085" spans="1:13">
      <c r="A4085" s="6">
        <v>2024</v>
      </c>
      <c r="B4085" s="6">
        <v>7</v>
      </c>
      <c r="C4085" s="6" t="s">
        <v>65</v>
      </c>
      <c r="D4085" s="6" t="s">
        <v>457</v>
      </c>
      <c r="E4085" s="6" t="s">
        <v>388</v>
      </c>
      <c r="F4085" s="6" t="str">
        <f>IF($M4085="PADD I","PADD 1",IF($M4085="PADD II","PADD 2",IF($M4085="PADD III","PADD 3",IF($M4085="PADD IV","PADD 4",IF($M4085="PADD V","PADD 5","")))))</f>
        <v>PADD 5</v>
      </c>
      <c r="G4085" s="6" t="str">
        <f>IF(AND($H4085="ATMOS DISTILLATION",ISNUMBER(SEARCH("VPS",$I4085))=FALSE,LEFT($I4085,6)&lt;&gt;"VACUUM"),"CDU",IF($H4085="FLUID CAT CRACKING","FCC",IF(OR($H4085="HYDROCRACKING",$H4085="RESID_HYDROCRACKING"),"Hydrocracker",IF($H4085="REFORMING","Reformer",""))))</f>
        <v>Reformer</v>
      </c>
      <c r="H4085" s="6" t="s">
        <v>421</v>
      </c>
      <c r="I4085" s="6" t="s">
        <v>559</v>
      </c>
      <c r="J4085" s="6" t="s">
        <v>345</v>
      </c>
      <c r="K4085" s="10">
        <v>2.6</v>
      </c>
      <c r="L4085" s="10">
        <v>20</v>
      </c>
      <c r="M4085" s="6" t="s">
        <v>386</v>
      </c>
    </row>
    <row r="4086" spans="1:13">
      <c r="A4086" s="6">
        <v>2024</v>
      </c>
      <c r="B4086" s="6">
        <v>7</v>
      </c>
      <c r="C4086" s="6" t="s">
        <v>65</v>
      </c>
      <c r="D4086" s="6" t="s">
        <v>408</v>
      </c>
      <c r="E4086" s="6" t="s">
        <v>409</v>
      </c>
      <c r="F4086" s="6" t="str">
        <f>IF($M4086="PADD I","PADD 1",IF($M4086="PADD II","PADD 2",IF($M4086="PADD III","PADD 3",IF($M4086="PADD IV","PADD 4",IF($M4086="PADD V","PADD 5","")))))</f>
        <v>PADD 3</v>
      </c>
      <c r="G4086" s="6">
        <f>IF(AND($H4086="ATMOS DISTILLATION",ISNUMBER(SEARCH("VPS",$I4086))=FALSE,LEFT($I4086,6)&lt;&gt;"VACUUM"),"CDU",IF($H4086="FLUID CAT CRACKING","FCC",IF(OR($H4086="HYDROCRACKING",$H4086="RESID_HYDROCRACKING"),"Hydrocracker",IF($H4086="REFORMING","Reformer",""))))</f>
        <v/>
      </c>
      <c r="H4086" s="6" t="s">
        <v>43</v>
      </c>
      <c r="I4086" s="6" t="s">
        <v>517</v>
      </c>
      <c r="J4086" s="6" t="s">
        <v>345</v>
      </c>
      <c r="K4086" s="10">
        <v>2.4</v>
      </c>
      <c r="L4086" s="10">
        <v>24</v>
      </c>
      <c r="M4086" s="6" t="s">
        <v>371</v>
      </c>
    </row>
    <row r="4087" spans="1:13">
      <c r="A4087" s="6">
        <v>2024</v>
      </c>
      <c r="B4087" s="6">
        <v>7</v>
      </c>
      <c r="C4087" s="6" t="s">
        <v>65</v>
      </c>
      <c r="D4087" s="6" t="s">
        <v>331</v>
      </c>
      <c r="E4087" s="6" t="s">
        <v>373</v>
      </c>
      <c r="F4087" s="6" t="str">
        <f>IF($M4087="PADD I","PADD 1",IF($M4087="PADD II","PADD 2",IF($M4087="PADD III","PADD 3",IF($M4087="PADD IV","PADD 4",IF($M4087="PADD V","PADD 5","")))))</f>
        <v>PADD 2</v>
      </c>
      <c r="G4087" s="6" t="str">
        <f>IF(AND($H4087="ATMOS DISTILLATION",ISNUMBER(SEARCH("VPS",$I4087))=FALSE,LEFT($I4087,6)&lt;&gt;"VACUUM"),"CDU",IF($H4087="FLUID CAT CRACKING","FCC",IF(OR($H4087="HYDROCRACKING",$H4087="RESID_HYDROCRACKING"),"Hydrocracker",IF($H4087="REFORMING","Reformer",""))))</f>
        <v>Reformer</v>
      </c>
      <c r="H4087" s="6" t="s">
        <v>421</v>
      </c>
      <c r="I4087" s="6" t="s">
        <v>916</v>
      </c>
      <c r="J4087" s="6" t="s">
        <v>345</v>
      </c>
      <c r="K4087" s="10">
        <v>2.4</v>
      </c>
      <c r="L4087" s="10">
        <v>40</v>
      </c>
      <c r="M4087" s="6" t="s">
        <v>375</v>
      </c>
    </row>
    <row r="4088" spans="1:13">
      <c r="A4088" s="6">
        <v>2024</v>
      </c>
      <c r="B4088" s="6">
        <v>7</v>
      </c>
      <c r="C4088" s="6" t="s">
        <v>65</v>
      </c>
      <c r="D4088" s="6" t="s">
        <v>434</v>
      </c>
      <c r="E4088" s="6" t="s">
        <v>388</v>
      </c>
      <c r="F4088" s="6" t="str">
        <f>IF($M4088="PADD I","PADD 1",IF($M4088="PADD II","PADD 2",IF($M4088="PADD III","PADD 3",IF($M4088="PADD IV","PADD 4",IF($M4088="PADD V","PADD 5","")))))</f>
        <v>PADD 5</v>
      </c>
      <c r="G4088" s="6" t="str">
        <f>IF(AND($H4088="ATMOS DISTILLATION",ISNUMBER(SEARCH("VPS",$I4088))=FALSE,LEFT($I4088,6)&lt;&gt;"VACUUM"),"CDU",IF($H4088="FLUID CAT CRACKING","FCC",IF(OR($H4088="HYDROCRACKING",$H4088="RESID_HYDROCRACKING"),"Hydrocracker",IF($H4088="REFORMING","Reformer",""))))</f>
        <v>Reformer</v>
      </c>
      <c r="H4088" s="6" t="s">
        <v>421</v>
      </c>
      <c r="I4088" s="6" t="s">
        <v>671</v>
      </c>
      <c r="J4088" s="6" t="s">
        <v>345</v>
      </c>
      <c r="K4088" s="10">
        <v>2.4</v>
      </c>
      <c r="L4088" s="10">
        <v>15</v>
      </c>
      <c r="M4088" s="6" t="s">
        <v>386</v>
      </c>
    </row>
    <row r="4089" spans="1:13">
      <c r="A4089" s="6">
        <v>2024</v>
      </c>
      <c r="B4089" s="6">
        <v>7</v>
      </c>
      <c r="C4089" s="6" t="s">
        <v>65</v>
      </c>
      <c r="D4089" s="6" t="s">
        <v>331</v>
      </c>
      <c r="E4089" s="6" t="s">
        <v>373</v>
      </c>
      <c r="F4089" s="6" t="str">
        <f>IF($M4089="PADD I","PADD 1",IF($M4089="PADD II","PADD 2",IF($M4089="PADD III","PADD 3",IF($M4089="PADD IV","PADD 4",IF($M4089="PADD V","PADD 5","")))))</f>
        <v>PADD 2</v>
      </c>
      <c r="G4089" s="6" t="str">
        <f>IF(AND($H4089="ATMOS DISTILLATION",ISNUMBER(SEARCH("VPS",$I4089))=FALSE,LEFT($I4089,6)&lt;&gt;"VACUUM"),"CDU",IF($H4089="FLUID CAT CRACKING","FCC",IF(OR($H4089="HYDROCRACKING",$H4089="RESID_HYDROCRACKING"),"Hydrocracker",IF($H4089="REFORMING","Reformer",""))))</f>
        <v>Reformer</v>
      </c>
      <c r="H4089" s="6" t="s">
        <v>421</v>
      </c>
      <c r="I4089" s="6" t="s">
        <v>916</v>
      </c>
      <c r="J4089" s="6" t="s">
        <v>345</v>
      </c>
      <c r="K4089" s="10">
        <v>2.4</v>
      </c>
      <c r="L4089" s="10">
        <v>40</v>
      </c>
      <c r="M4089" s="6" t="s">
        <v>375</v>
      </c>
    </row>
    <row r="4090" spans="1:13">
      <c r="A4090" s="6">
        <v>2024</v>
      </c>
      <c r="B4090" s="6">
        <v>7</v>
      </c>
      <c r="C4090" s="6" t="s">
        <v>65</v>
      </c>
      <c r="D4090" s="6" t="s">
        <v>446</v>
      </c>
      <c r="E4090" s="6" t="s">
        <v>391</v>
      </c>
      <c r="F4090" s="6" t="str">
        <f>IF($M4090="PADD I","PADD 1",IF($M4090="PADD II","PADD 2",IF($M4090="PADD III","PADD 3",IF($M4090="PADD IV","PADD 4",IF($M4090="PADD V","PADD 5","")))))</f>
        <v>PADD 3</v>
      </c>
      <c r="G4090" s="6">
        <f>IF(AND($H4090="ATMOS DISTILLATION",ISNUMBER(SEARCH("VPS",$I4090))=FALSE,LEFT($I4090,6)&lt;&gt;"VACUUM"),"CDU",IF($H4090="FLUID CAT CRACKING","FCC",IF(OR($H4090="HYDROCRACKING",$H4090="RESID_HYDROCRACKING"),"Hydrocracker",IF($H4090="REFORMING","Reformer",""))))</f>
        <v/>
      </c>
      <c r="H4090" s="6" t="s">
        <v>460</v>
      </c>
      <c r="I4090" s="6" t="s">
        <v>580</v>
      </c>
      <c r="J4090" s="6" t="s">
        <v>345</v>
      </c>
      <c r="K4090" s="10">
        <v>2.25</v>
      </c>
      <c r="L4090" s="10">
        <v>5</v>
      </c>
      <c r="M4090" s="6" t="s">
        <v>371</v>
      </c>
    </row>
    <row r="4091" spans="1:13">
      <c r="A4091" s="6">
        <v>2024</v>
      </c>
      <c r="B4091" s="6">
        <v>7</v>
      </c>
      <c r="C4091" s="6" t="s">
        <v>65</v>
      </c>
      <c r="D4091" s="6" t="s">
        <v>372</v>
      </c>
      <c r="E4091" s="6" t="s">
        <v>373</v>
      </c>
      <c r="F4091" s="6" t="str">
        <f>IF($M4091="PADD I","PADD 1",IF($M4091="PADD II","PADD 2",IF($M4091="PADD III","PADD 3",IF($M4091="PADD IV","PADD 4",IF($M4091="PADD V","PADD 5","")))))</f>
        <v>PADD 2</v>
      </c>
      <c r="G4091" s="6">
        <f>IF(AND($H4091="ATMOS DISTILLATION",ISNUMBER(SEARCH("VPS",$I4091))=FALSE,LEFT($I4091,6)&lt;&gt;"VACUUM"),"CDU",IF($H4091="FLUID CAT CRACKING","FCC",IF(OR($H4091="HYDROCRACKING",$H4091="RESID_HYDROCRACKING"),"Hydrocracker",IF($H4091="REFORMING","Reformer",""))))</f>
        <v/>
      </c>
      <c r="H4091" s="6" t="s">
        <v>435</v>
      </c>
      <c r="I4091" s="6" t="s">
        <v>584</v>
      </c>
      <c r="J4091" s="6" t="s">
        <v>345</v>
      </c>
      <c r="K4091" s="10">
        <v>2.175</v>
      </c>
      <c r="L4091" s="10">
        <v>7.5</v>
      </c>
      <c r="M4091" s="6" t="s">
        <v>375</v>
      </c>
    </row>
    <row r="4092" spans="1:13">
      <c r="A4092" s="6">
        <v>2024</v>
      </c>
      <c r="B4092" s="6">
        <v>7</v>
      </c>
      <c r="C4092" s="6" t="s">
        <v>65</v>
      </c>
      <c r="D4092" s="6" t="s">
        <v>851</v>
      </c>
      <c r="E4092" s="6" t="s">
        <v>852</v>
      </c>
      <c r="F4092" s="6" t="str">
        <f>IF($M4092="PADD I","PADD 1",IF($M4092="PADD II","PADD 2",IF($M4092="PADD III","PADD 3",IF($M4092="PADD IV","PADD 4",IF($M4092="PADD V","PADD 5","")))))</f>
        <v>PADD 3</v>
      </c>
      <c r="G4092" s="6">
        <f>IF(AND($H4092="ATMOS DISTILLATION",ISNUMBER(SEARCH("VPS",$I4092))=FALSE,LEFT($I4092,6)&lt;&gt;"VACUUM"),"CDU",IF($H4092="FLUID CAT CRACKING","FCC",IF(OR($H4092="HYDROCRACKING",$H4092="RESID_HYDROCRACKING"),"Hydrocracker",IF($H4092="REFORMING","Reformer",""))))</f>
        <v/>
      </c>
      <c r="H4092" s="6" t="s">
        <v>378</v>
      </c>
      <c r="I4092" s="6" t="s">
        <v>860</v>
      </c>
      <c r="J4092" s="6" t="s">
        <v>345</v>
      </c>
      <c r="K4092" s="10">
        <v>2.16</v>
      </c>
      <c r="L4092" s="10">
        <v>36</v>
      </c>
      <c r="M4092" s="6" t="s">
        <v>371</v>
      </c>
    </row>
    <row r="4093" spans="1:13">
      <c r="A4093" s="6">
        <v>2024</v>
      </c>
      <c r="B4093" s="6">
        <v>7</v>
      </c>
      <c r="C4093" s="6" t="s">
        <v>65</v>
      </c>
      <c r="D4093" s="6" t="s">
        <v>762</v>
      </c>
      <c r="E4093" s="6" t="s">
        <v>763</v>
      </c>
      <c r="F4093" s="6" t="str">
        <f>IF($M4093="PADD I","PADD 1",IF($M4093="PADD II","PADD 2",IF($M4093="PADD III","PADD 3",IF($M4093="PADD IV","PADD 4",IF($M4093="PADD V","PADD 5","")))))</f>
        <v>PADD 2</v>
      </c>
      <c r="G4093" s="6" t="str">
        <f>IF(AND($H4093="ATMOS DISTILLATION",ISNUMBER(SEARCH("VPS",$I4093))=FALSE,LEFT($I4093,6)&lt;&gt;"VACUUM"),"CDU",IF($H4093="FLUID CAT CRACKING","FCC",IF(OR($H4093="HYDROCRACKING",$H4093="RESID_HYDROCRACKING"),"Hydrocracker",IF($H4093="REFORMING","Reformer",""))))</f>
        <v>CDU</v>
      </c>
      <c r="H4093" s="6" t="s">
        <v>38</v>
      </c>
      <c r="I4093" s="6" t="s">
        <v>131</v>
      </c>
      <c r="J4093" s="6" t="s">
        <v>345</v>
      </c>
      <c r="K4093" s="10">
        <v>2.1</v>
      </c>
      <c r="L4093" s="10">
        <v>35</v>
      </c>
      <c r="M4093" s="6" t="s">
        <v>375</v>
      </c>
    </row>
    <row r="4094" spans="1:13">
      <c r="A4094" s="6">
        <v>2024</v>
      </c>
      <c r="B4094" s="6">
        <v>7</v>
      </c>
      <c r="C4094" s="6" t="s">
        <v>65</v>
      </c>
      <c r="D4094" s="6" t="s">
        <v>429</v>
      </c>
      <c r="E4094" s="6" t="s">
        <v>388</v>
      </c>
      <c r="F4094" s="6" t="str">
        <f>IF($M4094="PADD I","PADD 1",IF($M4094="PADD II","PADD 2",IF($M4094="PADD III","PADD 3",IF($M4094="PADD IV","PADD 4",IF($M4094="PADD V","PADD 5","")))))</f>
        <v>PADD 4</v>
      </c>
      <c r="G4094" s="6">
        <f>IF(AND($H4094="ATMOS DISTILLATION",ISNUMBER(SEARCH("VPS",$I4094))=FALSE,LEFT($I4094,6)&lt;&gt;"VACUUM"),"CDU",IF($H4094="FLUID CAT CRACKING","FCC",IF(OR($H4094="HYDROCRACKING",$H4094="RESID_HYDROCRACKING"),"Hydrocracker",IF($H4094="REFORMING","Reformer",""))))</f>
        <v/>
      </c>
      <c r="H4094" s="6" t="s">
        <v>43</v>
      </c>
      <c r="I4094" s="6" t="s">
        <v>1133</v>
      </c>
      <c r="J4094" s="6" t="s">
        <v>345</v>
      </c>
      <c r="K4094" s="10">
        <v>2.08</v>
      </c>
      <c r="L4094" s="10">
        <v>8</v>
      </c>
      <c r="M4094" s="6" t="s">
        <v>430</v>
      </c>
    </row>
    <row r="4095" spans="1:13">
      <c r="A4095" s="6">
        <v>2024</v>
      </c>
      <c r="B4095" s="6">
        <v>7</v>
      </c>
      <c r="C4095" s="6" t="s">
        <v>65</v>
      </c>
      <c r="D4095" s="6" t="s">
        <v>457</v>
      </c>
      <c r="E4095" s="6" t="s">
        <v>388</v>
      </c>
      <c r="F4095" s="6" t="str">
        <f>IF($M4095="PADD I","PADD 1",IF($M4095="PADD II","PADD 2",IF($M4095="PADD III","PADD 3",IF($M4095="PADD IV","PADD 4",IF($M4095="PADD V","PADD 5","")))))</f>
        <v>PADD 5</v>
      </c>
      <c r="G4095" s="6" t="str">
        <f>IF(AND($H4095="ATMOS DISTILLATION",ISNUMBER(SEARCH("VPS",$I4095))=FALSE,LEFT($I4095,6)&lt;&gt;"VACUUM"),"CDU",IF($H4095="FLUID CAT CRACKING","FCC",IF(OR($H4095="HYDROCRACKING",$H4095="RESID_HYDROCRACKING"),"Hydrocracker",IF($H4095="REFORMING","Reformer",""))))</f>
        <v>Reformer</v>
      </c>
      <c r="H4095" s="6" t="s">
        <v>421</v>
      </c>
      <c r="I4095" s="6" t="s">
        <v>557</v>
      </c>
      <c r="J4095" s="6" t="s">
        <v>345</v>
      </c>
      <c r="K4095" s="10">
        <v>2</v>
      </c>
      <c r="L4095" s="10">
        <v>20</v>
      </c>
      <c r="M4095" s="6" t="s">
        <v>386</v>
      </c>
    </row>
    <row r="4096" spans="1:13">
      <c r="A4096" s="6">
        <v>2024</v>
      </c>
      <c r="B4096" s="6">
        <v>7</v>
      </c>
      <c r="C4096" s="6" t="s">
        <v>65</v>
      </c>
      <c r="D4096" s="6" t="s">
        <v>484</v>
      </c>
      <c r="E4096" s="6" t="s">
        <v>409</v>
      </c>
      <c r="F4096" s="6" t="str">
        <f>IF($M4096="PADD I","PADD 1",IF($M4096="PADD II","PADD 2",IF($M4096="PADD III","PADD 3",IF($M4096="PADD IV","PADD 4",IF($M4096="PADD V","PADD 5","")))))</f>
        <v>PADD 3</v>
      </c>
      <c r="G4096" s="6">
        <f>IF(AND($H4096="ATMOS DISTILLATION",ISNUMBER(SEARCH("VPS",$I4096))=FALSE,LEFT($I4096,6)&lt;&gt;"VACUUM"),"CDU",IF($H4096="FLUID CAT CRACKING","FCC",IF(OR($H4096="HYDROCRACKING",$H4096="RESID_HYDROCRACKING"),"Hydrocracker",IF($H4096="REFORMING","Reformer",""))))</f>
        <v/>
      </c>
      <c r="H4096" s="6" t="s">
        <v>43</v>
      </c>
      <c r="I4096" s="6" t="s">
        <v>485</v>
      </c>
      <c r="J4096" s="6" t="s">
        <v>345</v>
      </c>
      <c r="K4096" s="10">
        <v>1.98</v>
      </c>
      <c r="L4096" s="10">
        <v>66</v>
      </c>
      <c r="M4096" s="6" t="s">
        <v>371</v>
      </c>
    </row>
    <row r="4097" spans="1:13">
      <c r="A4097" s="6">
        <v>2024</v>
      </c>
      <c r="B4097" s="6">
        <v>7</v>
      </c>
      <c r="C4097" s="6" t="s">
        <v>65</v>
      </c>
      <c r="D4097" s="6" t="s">
        <v>333</v>
      </c>
      <c r="E4097" s="6" t="s">
        <v>381</v>
      </c>
      <c r="F4097" s="6" t="str">
        <f>IF($M4097="PADD I","PADD 1",IF($M4097="PADD II","PADD 2",IF($M4097="PADD III","PADD 3",IF($M4097="PADD IV","PADD 4",IF($M4097="PADD V","PADD 5","")))))</f>
        <v>PADD 3</v>
      </c>
      <c r="G4097" s="6" t="str">
        <f>IF(AND($H4097="ATMOS DISTILLATION",ISNUMBER(SEARCH("VPS",$I4097))=FALSE,LEFT($I4097,6)&lt;&gt;"VACUUM"),"CDU",IF($H4097="FLUID CAT CRACKING","FCC",IF(OR($H4097="HYDROCRACKING",$H4097="RESID_HYDROCRACKING"),"Hydrocracker",IF($H4097="REFORMING","Reformer",""))))</f>
        <v>Hydrocracker</v>
      </c>
      <c r="H4097" s="6" t="s">
        <v>444</v>
      </c>
      <c r="I4097" s="6" t="s">
        <v>14</v>
      </c>
      <c r="J4097" s="6" t="s">
        <v>345</v>
      </c>
      <c r="K4097" s="10">
        <v>1.95</v>
      </c>
      <c r="L4097" s="10">
        <v>65</v>
      </c>
      <c r="M4097" s="6" t="s">
        <v>371</v>
      </c>
    </row>
    <row r="4098" spans="1:13">
      <c r="A4098" s="6">
        <v>2024</v>
      </c>
      <c r="B4098" s="6">
        <v>7</v>
      </c>
      <c r="C4098" s="6" t="s">
        <v>65</v>
      </c>
      <c r="D4098" s="6" t="s">
        <v>742</v>
      </c>
      <c r="E4098" s="6" t="s">
        <v>388</v>
      </c>
      <c r="F4098" s="6" t="str">
        <f>IF($M4098="PADD I","PADD 1",IF($M4098="PADD II","PADD 2",IF($M4098="PADD III","PADD 3",IF($M4098="PADD IV","PADD 4",IF($M4098="PADD V","PADD 5","")))))</f>
        <v>PADD 5</v>
      </c>
      <c r="G4098" s="6">
        <f>IF(AND($H4098="ATMOS DISTILLATION",ISNUMBER(SEARCH("VPS",$I4098))=FALSE,LEFT($I4098,6)&lt;&gt;"VACUUM"),"CDU",IF($H4098="FLUID CAT CRACKING","FCC",IF(OR($H4098="HYDROCRACKING",$H4098="RESID_HYDROCRACKING"),"Hydrocracker",IF($H4098="REFORMING","Reformer",""))))</f>
        <v/>
      </c>
      <c r="H4098" s="6" t="s">
        <v>43</v>
      </c>
      <c r="I4098" s="6" t="s">
        <v>912</v>
      </c>
      <c r="J4098" s="6" t="s">
        <v>345</v>
      </c>
      <c r="K4098" s="10">
        <v>1.92</v>
      </c>
      <c r="L4098" s="10">
        <v>32</v>
      </c>
      <c r="M4098" s="6" t="s">
        <v>386</v>
      </c>
    </row>
    <row r="4099" spans="1:13">
      <c r="A4099" s="6">
        <v>2024</v>
      </c>
      <c r="B4099" s="6">
        <v>7</v>
      </c>
      <c r="C4099" s="6" t="s">
        <v>65</v>
      </c>
      <c r="D4099" s="6" t="s">
        <v>851</v>
      </c>
      <c r="E4099" s="6" t="s">
        <v>852</v>
      </c>
      <c r="F4099" s="6" t="str">
        <f>IF($M4099="PADD I","PADD 1",IF($M4099="PADD II","PADD 2",IF($M4099="PADD III","PADD 3",IF($M4099="PADD IV","PADD 4",IF($M4099="PADD V","PADD 5","")))))</f>
        <v>PADD 3</v>
      </c>
      <c r="G4099" s="6" t="str">
        <f>IF(AND($H4099="ATMOS DISTILLATION",ISNUMBER(SEARCH("VPS",$I4099))=FALSE,LEFT($I4099,6)&lt;&gt;"VACUUM"),"CDU",IF($H4099="FLUID CAT CRACKING","FCC",IF(OR($H4099="HYDROCRACKING",$H4099="RESID_HYDROCRACKING"),"Hydrocracker",IF($H4099="REFORMING","Reformer",""))))</f>
        <v>CDU</v>
      </c>
      <c r="H4099" s="6" t="s">
        <v>38</v>
      </c>
      <c r="I4099" s="6" t="s">
        <v>853</v>
      </c>
      <c r="J4099" s="6" t="s">
        <v>345</v>
      </c>
      <c r="K4099" s="10">
        <v>1.92</v>
      </c>
      <c r="L4099" s="10">
        <v>64</v>
      </c>
      <c r="M4099" s="6" t="s">
        <v>371</v>
      </c>
    </row>
    <row r="4100" spans="1:13">
      <c r="A4100" s="6">
        <v>2024</v>
      </c>
      <c r="B4100" s="6">
        <v>7</v>
      </c>
      <c r="C4100" s="6" t="s">
        <v>65</v>
      </c>
      <c r="D4100" s="6" t="s">
        <v>446</v>
      </c>
      <c r="E4100" s="6" t="s">
        <v>391</v>
      </c>
      <c r="F4100" s="6" t="str">
        <f>IF($M4100="PADD I","PADD 1",IF($M4100="PADD II","PADD 2",IF($M4100="PADD III","PADD 3",IF($M4100="PADD IV","PADD 4",IF($M4100="PADD V","PADD 5","")))))</f>
        <v>PADD 3</v>
      </c>
      <c r="G4100" s="6">
        <f>IF(AND($H4100="ATMOS DISTILLATION",ISNUMBER(SEARCH("VPS",$I4100))=FALSE,LEFT($I4100,6)&lt;&gt;"VACUUM"),"CDU",IF($H4100="FLUID CAT CRACKING","FCC",IF(OR($H4100="HYDROCRACKING",$H4100="RESID_HYDROCRACKING"),"Hydrocracker",IF($H4100="REFORMING","Reformer",""))))</f>
        <v/>
      </c>
      <c r="H4100" s="6" t="s">
        <v>460</v>
      </c>
      <c r="I4100" s="6" t="s">
        <v>580</v>
      </c>
      <c r="J4100" s="6" t="s">
        <v>345</v>
      </c>
      <c r="K4100" s="10">
        <v>1.872</v>
      </c>
      <c r="L4100" s="10">
        <v>7.2</v>
      </c>
      <c r="M4100" s="6" t="s">
        <v>371</v>
      </c>
    </row>
    <row r="4101" spans="1:13">
      <c r="A4101" s="6">
        <v>2024</v>
      </c>
      <c r="B4101" s="6">
        <v>7</v>
      </c>
      <c r="C4101" s="6" t="s">
        <v>65</v>
      </c>
      <c r="D4101" s="6" t="s">
        <v>408</v>
      </c>
      <c r="E4101" s="6" t="s">
        <v>409</v>
      </c>
      <c r="F4101" s="6" t="str">
        <f>IF($M4101="PADD I","PADD 1",IF($M4101="PADD II","PADD 2",IF($M4101="PADD III","PADD 3",IF($M4101="PADD IV","PADD 4",IF($M4101="PADD V","PADD 5","")))))</f>
        <v>PADD 3</v>
      </c>
      <c r="G4101" s="6">
        <f>IF(AND($H4101="ATMOS DISTILLATION",ISNUMBER(SEARCH("VPS",$I4101))=FALSE,LEFT($I4101,6)&lt;&gt;"VACUUM"),"CDU",IF($H4101="FLUID CAT CRACKING","FCC",IF(OR($H4101="HYDROCRACKING",$H4101="RESID_HYDROCRACKING"),"Hydrocracker",IF($H4101="REFORMING","Reformer",""))))</f>
        <v/>
      </c>
      <c r="H4101" s="6" t="s">
        <v>378</v>
      </c>
      <c r="I4101" s="6" t="s">
        <v>489</v>
      </c>
      <c r="J4101" s="6" t="s">
        <v>345</v>
      </c>
      <c r="K4101" s="10">
        <v>1.8</v>
      </c>
      <c r="L4101" s="10">
        <v>60</v>
      </c>
      <c r="M4101" s="6" t="s">
        <v>371</v>
      </c>
    </row>
    <row r="4102" spans="1:13">
      <c r="A4102" s="6">
        <v>2024</v>
      </c>
      <c r="B4102" s="6">
        <v>7</v>
      </c>
      <c r="C4102" s="6" t="s">
        <v>65</v>
      </c>
      <c r="D4102" s="6" t="s">
        <v>331</v>
      </c>
      <c r="E4102" s="6" t="s">
        <v>373</v>
      </c>
      <c r="F4102" s="6" t="str">
        <f>IF($M4102="PADD I","PADD 1",IF($M4102="PADD II","PADD 2",IF($M4102="PADD III","PADD 3",IF($M4102="PADD IV","PADD 4",IF($M4102="PADD V","PADD 5","")))))</f>
        <v>PADD 2</v>
      </c>
      <c r="G4102" s="6">
        <f>IF(AND($H4102="ATMOS DISTILLATION",ISNUMBER(SEARCH("VPS",$I4102))=FALSE,LEFT($I4102,6)&lt;&gt;"VACUUM"),"CDU",IF($H4102="FLUID CAT CRACKING","FCC",IF(OR($H4102="HYDROCRACKING",$H4102="RESID_HYDROCRACKING"),"Hydrocracker",IF($H4102="REFORMING","Reformer",""))))</f>
        <v/>
      </c>
      <c r="H4102" s="6" t="s">
        <v>43</v>
      </c>
      <c r="I4102" s="6" t="s">
        <v>920</v>
      </c>
      <c r="J4102" s="6" t="s">
        <v>345</v>
      </c>
      <c r="K4102" s="10">
        <v>1.8</v>
      </c>
      <c r="L4102" s="10">
        <v>30</v>
      </c>
      <c r="M4102" s="6" t="s">
        <v>375</v>
      </c>
    </row>
    <row r="4103" spans="1:13">
      <c r="A4103" s="6">
        <v>2024</v>
      </c>
      <c r="B4103" s="6">
        <v>7</v>
      </c>
      <c r="C4103" s="6" t="s">
        <v>65</v>
      </c>
      <c r="D4103" s="6" t="s">
        <v>610</v>
      </c>
      <c r="E4103" s="6" t="s">
        <v>611</v>
      </c>
      <c r="F4103" s="6" t="str">
        <f>IF($M4103="PADD I","PADD 1",IF($M4103="PADD II","PADD 2",IF($M4103="PADD III","PADD 3",IF($M4103="PADD IV","PADD 4",IF($M4103="PADD V","PADD 5","")))))</f>
        <v>PADD 2</v>
      </c>
      <c r="G4103" s="6" t="str">
        <f>IF(AND($H4103="ATMOS DISTILLATION",ISNUMBER(SEARCH("VPS",$I4103))=FALSE,LEFT($I4103,6)&lt;&gt;"VACUUM"),"CDU",IF($H4103="FLUID CAT CRACKING","FCC",IF(OR($H4103="HYDROCRACKING",$H4103="RESID_HYDROCRACKING"),"Hydrocracker",IF($H4103="REFORMING","Reformer",""))))</f>
        <v>CDU</v>
      </c>
      <c r="H4103" s="6" t="s">
        <v>38</v>
      </c>
      <c r="I4103" s="6" t="s">
        <v>332</v>
      </c>
      <c r="J4103" s="6" t="s">
        <v>345</v>
      </c>
      <c r="K4103" s="10">
        <v>1.8</v>
      </c>
      <c r="L4103" s="10">
        <v>60</v>
      </c>
      <c r="M4103" s="6" t="s">
        <v>375</v>
      </c>
    </row>
    <row r="4104" spans="1:13">
      <c r="A4104" s="6">
        <v>2024</v>
      </c>
      <c r="B4104" s="6">
        <v>7</v>
      </c>
      <c r="C4104" s="6" t="s">
        <v>65</v>
      </c>
      <c r="D4104" s="6" t="s">
        <v>468</v>
      </c>
      <c r="E4104" s="6" t="s">
        <v>369</v>
      </c>
      <c r="F4104" s="6" t="str">
        <f>IF($M4104="PADD I","PADD 1",IF($M4104="PADD II","PADD 2",IF($M4104="PADD III","PADD 3",IF($M4104="PADD IV","PADD 4",IF($M4104="PADD V","PADD 5","")))))</f>
        <v>PADD 3</v>
      </c>
      <c r="G4104" s="6" t="str">
        <f>IF(AND($H4104="ATMOS DISTILLATION",ISNUMBER(SEARCH("VPS",$I4104))=FALSE,LEFT($I4104,6)&lt;&gt;"VACUUM"),"CDU",IF($H4104="FLUID CAT CRACKING","FCC",IF(OR($H4104="HYDROCRACKING",$H4104="RESID_HYDROCRACKING"),"Hydrocracker",IF($H4104="REFORMING","Reformer",""))))</f>
        <v>FCC</v>
      </c>
      <c r="H4104" s="6" t="s">
        <v>376</v>
      </c>
      <c r="I4104" s="6" t="s">
        <v>469</v>
      </c>
      <c r="J4104" s="6" t="s">
        <v>345</v>
      </c>
      <c r="K4104" s="10">
        <v>1.8</v>
      </c>
      <c r="L4104" s="10">
        <v>30</v>
      </c>
      <c r="M4104" s="6" t="s">
        <v>371</v>
      </c>
    </row>
    <row r="4105" spans="1:13">
      <c r="A4105" s="6">
        <v>2024</v>
      </c>
      <c r="B4105" s="6">
        <v>7</v>
      </c>
      <c r="C4105" s="6" t="s">
        <v>65</v>
      </c>
      <c r="D4105" s="6" t="s">
        <v>770</v>
      </c>
      <c r="E4105" s="6" t="s">
        <v>660</v>
      </c>
      <c r="F4105" s="6" t="str">
        <f>IF($M4105="PADD I","PADD 1",IF($M4105="PADD II","PADD 2",IF($M4105="PADD III","PADD 3",IF($M4105="PADD IV","PADD 4",IF($M4105="PADD V","PADD 5","")))))</f>
        <v>PADD 3</v>
      </c>
      <c r="G4105" s="6">
        <f>IF(AND($H4105="ATMOS DISTILLATION",ISNUMBER(SEARCH("VPS",$I4105))=FALSE,LEFT($I4105,6)&lt;&gt;"VACUUM"),"CDU",IF($H4105="FLUID CAT CRACKING","FCC",IF(OR($H4105="HYDROCRACKING",$H4105="RESID_HYDROCRACKING"),"Hydrocracker",IF($H4105="REFORMING","Reformer",""))))</f>
        <v/>
      </c>
      <c r="H4105" s="6" t="s">
        <v>43</v>
      </c>
      <c r="I4105" s="6" t="s">
        <v>796</v>
      </c>
      <c r="J4105" s="6" t="s">
        <v>349</v>
      </c>
      <c r="K4105" s="10">
        <v>1.76</v>
      </c>
      <c r="L4105" s="10">
        <v>11</v>
      </c>
      <c r="M4105" s="6" t="s">
        <v>371</v>
      </c>
    </row>
    <row r="4106" spans="1:13">
      <c r="A4106" s="6">
        <v>2024</v>
      </c>
      <c r="B4106" s="6">
        <v>7</v>
      </c>
      <c r="C4106" s="6" t="s">
        <v>65</v>
      </c>
      <c r="D4106" s="6" t="s">
        <v>801</v>
      </c>
      <c r="E4106" s="6" t="s">
        <v>779</v>
      </c>
      <c r="F4106" s="6" t="str">
        <f>IF($M4106="PADD I","PADD 1",IF($M4106="PADD II","PADD 2",IF($M4106="PADD III","PADD 3",IF($M4106="PADD IV","PADD 4",IF($M4106="PADD V","PADD 5","")))))</f>
        <v>PADD 2</v>
      </c>
      <c r="G4106" s="6">
        <f>IF(AND($H4106="ATMOS DISTILLATION",ISNUMBER(SEARCH("VPS",$I4106))=FALSE,LEFT($I4106,6)&lt;&gt;"VACUUM"),"CDU",IF($H4106="FLUID CAT CRACKING","FCC",IF(OR($H4106="HYDROCRACKING",$H4106="RESID_HYDROCRACKING"),"Hydrocracker",IF($H4106="REFORMING","Reformer",""))))</f>
        <v/>
      </c>
      <c r="H4106" s="6" t="s">
        <v>435</v>
      </c>
      <c r="I4106" s="6" t="s">
        <v>802</v>
      </c>
      <c r="J4106" s="6" t="s">
        <v>349</v>
      </c>
      <c r="K4106" s="10">
        <v>1.744</v>
      </c>
      <c r="L4106" s="10">
        <v>5.45</v>
      </c>
      <c r="M4106" s="6" t="s">
        <v>375</v>
      </c>
    </row>
    <row r="4107" spans="1:13">
      <c r="A4107" s="6">
        <v>2024</v>
      </c>
      <c r="B4107" s="6">
        <v>7</v>
      </c>
      <c r="C4107" s="6" t="s">
        <v>65</v>
      </c>
      <c r="D4107" s="6" t="s">
        <v>680</v>
      </c>
      <c r="E4107" s="6" t="s">
        <v>681</v>
      </c>
      <c r="F4107" s="6" t="str">
        <f>IF($M4107="PADD I","PADD 1",IF($M4107="PADD II","PADD 2",IF($M4107="PADD III","PADD 3",IF($M4107="PADD IV","PADD 4",IF($M4107="PADD V","PADD 5","")))))</f>
        <v>PADD 3</v>
      </c>
      <c r="G4107" s="6" t="str">
        <f>IF(AND($H4107="ATMOS DISTILLATION",ISNUMBER(SEARCH("VPS",$I4107))=FALSE,LEFT($I4107,6)&lt;&gt;"VACUUM"),"CDU",IF($H4107="FLUID CAT CRACKING","FCC",IF(OR($H4107="HYDROCRACKING",$H4107="RESID_HYDROCRACKING"),"Hydrocracker",IF($H4107="REFORMING","Reformer",""))))</f>
        <v>Reformer</v>
      </c>
      <c r="H4107" s="6" t="s">
        <v>421</v>
      </c>
      <c r="I4107" s="6" t="s">
        <v>539</v>
      </c>
      <c r="J4107" s="6" t="s">
        <v>345</v>
      </c>
      <c r="K4107" s="10">
        <v>1.7</v>
      </c>
      <c r="L4107" s="10">
        <v>17</v>
      </c>
      <c r="M4107" s="6" t="s">
        <v>371</v>
      </c>
    </row>
    <row r="4108" spans="1:13">
      <c r="A4108" s="6">
        <v>2024</v>
      </c>
      <c r="B4108" s="6">
        <v>7</v>
      </c>
      <c r="C4108" s="6" t="s">
        <v>65</v>
      </c>
      <c r="D4108" s="6" t="s">
        <v>50</v>
      </c>
      <c r="E4108" s="6" t="s">
        <v>381</v>
      </c>
      <c r="F4108" s="6" t="str">
        <f>IF($M4108="PADD I","PADD 1",IF($M4108="PADD II","PADD 2",IF($M4108="PADD III","PADD 3",IF($M4108="PADD IV","PADD 4",IF($M4108="PADD V","PADD 5","")))))</f>
        <v>PADD 3</v>
      </c>
      <c r="G4108" s="6" t="str">
        <f>IF(AND($H4108="ATMOS DISTILLATION",ISNUMBER(SEARCH("VPS",$I4108))=FALSE,LEFT($I4108,6)&lt;&gt;"VACUUM"),"CDU",IF($H4108="FLUID CAT CRACKING","FCC",IF(OR($H4108="HYDROCRACKING",$H4108="RESID_HYDROCRACKING"),"Hydrocracker",IF($H4108="REFORMING","Reformer",""))))</f>
        <v>CDU</v>
      </c>
      <c r="H4108" s="6" t="s">
        <v>38</v>
      </c>
      <c r="I4108" s="6" t="s">
        <v>769</v>
      </c>
      <c r="J4108" s="6" t="s">
        <v>345</v>
      </c>
      <c r="K4108" s="10">
        <v>1.68</v>
      </c>
      <c r="L4108" s="10">
        <v>28</v>
      </c>
      <c r="M4108" s="6" t="s">
        <v>371</v>
      </c>
    </row>
    <row r="4109" spans="1:13">
      <c r="A4109" s="6">
        <v>2024</v>
      </c>
      <c r="B4109" s="6">
        <v>7</v>
      </c>
      <c r="C4109" s="6" t="s">
        <v>65</v>
      </c>
      <c r="D4109" s="6" t="s">
        <v>946</v>
      </c>
      <c r="E4109" s="6" t="s">
        <v>405</v>
      </c>
      <c r="F4109" s="6" t="str">
        <f>IF($M4109="PADD I","PADD 1",IF($M4109="PADD II","PADD 2",IF($M4109="PADD III","PADD 3",IF($M4109="PADD IV","PADD 4",IF($M4109="PADD V","PADD 5","")))))</f>
        <v>PADD 5</v>
      </c>
      <c r="G4109" s="6" t="str">
        <f>IF(AND($H4109="ATMOS DISTILLATION",ISNUMBER(SEARCH("VPS",$I4109))=FALSE,LEFT($I4109,6)&lt;&gt;"VACUUM"),"CDU",IF($H4109="FLUID CAT CRACKING","FCC",IF(OR($H4109="HYDROCRACKING",$H4109="RESID_HYDROCRACKING"),"Hydrocracker",IF($H4109="REFORMING","Reformer",""))))</f>
        <v>FCC</v>
      </c>
      <c r="H4109" s="6" t="s">
        <v>376</v>
      </c>
      <c r="I4109" s="6" t="s">
        <v>947</v>
      </c>
      <c r="J4109" s="6" t="s">
        <v>345</v>
      </c>
      <c r="K4109" s="10">
        <v>1.62</v>
      </c>
      <c r="L4109" s="10">
        <v>54</v>
      </c>
      <c r="M4109" s="6" t="s">
        <v>386</v>
      </c>
    </row>
    <row r="4110" spans="1:13">
      <c r="A4110" s="6">
        <v>2024</v>
      </c>
      <c r="B4110" s="6">
        <v>7</v>
      </c>
      <c r="C4110" s="6" t="s">
        <v>65</v>
      </c>
      <c r="D4110" s="6" t="s">
        <v>500</v>
      </c>
      <c r="E4110" s="6" t="s">
        <v>388</v>
      </c>
      <c r="F4110" s="6" t="str">
        <f>IF($M4110="PADD I","PADD 1",IF($M4110="PADD II","PADD 2",IF($M4110="PADD III","PADD 3",IF($M4110="PADD IV","PADD 4",IF($M4110="PADD V","PADD 5","")))))</f>
        <v>PADD 2</v>
      </c>
      <c r="G4110" s="6" t="str">
        <f>IF(AND($H4110="ATMOS DISTILLATION",ISNUMBER(SEARCH("VPS",$I4110))=FALSE,LEFT($I4110,6)&lt;&gt;"VACUUM"),"CDU",IF($H4110="FLUID CAT CRACKING","FCC",IF(OR($H4110="HYDROCRACKING",$H4110="RESID_HYDROCRACKING"),"Hydrocracker",IF($H4110="REFORMING","Reformer",""))))</f>
        <v>FCC</v>
      </c>
      <c r="H4110" s="6" t="s">
        <v>376</v>
      </c>
      <c r="I4110" s="6" t="s">
        <v>105</v>
      </c>
      <c r="J4110" s="6" t="s">
        <v>345</v>
      </c>
      <c r="K4110" s="10">
        <v>1.56</v>
      </c>
      <c r="L4110" s="10">
        <v>26</v>
      </c>
      <c r="M4110" s="6" t="s">
        <v>375</v>
      </c>
    </row>
    <row r="4111" spans="1:13">
      <c r="A4111" s="6">
        <v>2024</v>
      </c>
      <c r="B4111" s="6">
        <v>7</v>
      </c>
      <c r="C4111" s="6" t="s">
        <v>65</v>
      </c>
      <c r="D4111" s="6" t="s">
        <v>408</v>
      </c>
      <c r="E4111" s="6" t="s">
        <v>409</v>
      </c>
      <c r="F4111" s="6" t="str">
        <f>IF($M4111="PADD I","PADD 1",IF($M4111="PADD II","PADD 2",IF($M4111="PADD III","PADD 3",IF($M4111="PADD IV","PADD 4",IF($M4111="PADD V","PADD 5","")))))</f>
        <v>PADD 3</v>
      </c>
      <c r="G4111" s="6">
        <f>IF(AND($H4111="ATMOS DISTILLATION",ISNUMBER(SEARCH("VPS",$I4111))=FALSE,LEFT($I4111,6)&lt;&gt;"VACUUM"),"CDU",IF($H4111="FLUID CAT CRACKING","FCC",IF(OR($H4111="HYDROCRACKING",$H4111="RESID_HYDROCRACKING"),"Hydrocracker",IF($H4111="REFORMING","Reformer",""))))</f>
        <v/>
      </c>
      <c r="H4111" s="6" t="s">
        <v>378</v>
      </c>
      <c r="I4111" s="6" t="s">
        <v>506</v>
      </c>
      <c r="J4111" s="6" t="s">
        <v>345</v>
      </c>
      <c r="K4111" s="10">
        <v>1.53</v>
      </c>
      <c r="L4111" s="10">
        <v>51</v>
      </c>
      <c r="M4111" s="6" t="s">
        <v>371</v>
      </c>
    </row>
    <row r="4112" spans="1:13">
      <c r="A4112" s="6">
        <v>2024</v>
      </c>
      <c r="B4112" s="6">
        <v>7</v>
      </c>
      <c r="C4112" s="6" t="s">
        <v>65</v>
      </c>
      <c r="D4112" s="6" t="s">
        <v>526</v>
      </c>
      <c r="E4112" s="6" t="s">
        <v>405</v>
      </c>
      <c r="F4112" s="6" t="str">
        <f>IF($M4112="PADD I","PADD 1",IF($M4112="PADD II","PADD 2",IF($M4112="PADD III","PADD 3",IF($M4112="PADD IV","PADD 4",IF($M4112="PADD V","PADD 5","")))))</f>
        <v>PADD 3</v>
      </c>
      <c r="G4112" s="6">
        <f>IF(AND($H4112="ATMOS DISTILLATION",ISNUMBER(SEARCH("VPS",$I4112))=FALSE,LEFT($I4112,6)&lt;&gt;"VACUUM"),"CDU",IF($H4112="FLUID CAT CRACKING","FCC",IF(OR($H4112="HYDROCRACKING",$H4112="RESID_HYDROCRACKING"),"Hydrocracker",IF($H4112="REFORMING","Reformer",""))))</f>
        <v/>
      </c>
      <c r="H4112" s="6" t="s">
        <v>43</v>
      </c>
      <c r="I4112" s="6" t="s">
        <v>1222</v>
      </c>
      <c r="J4112" s="6" t="s">
        <v>345</v>
      </c>
      <c r="K4112" s="10">
        <v>1.35</v>
      </c>
      <c r="L4112" s="10">
        <v>45</v>
      </c>
      <c r="M4112" s="6" t="s">
        <v>371</v>
      </c>
    </row>
    <row r="4113" spans="1:13">
      <c r="A4113" s="6">
        <v>2024</v>
      </c>
      <c r="B4113" s="6">
        <v>7</v>
      </c>
      <c r="C4113" s="6" t="s">
        <v>65</v>
      </c>
      <c r="D4113" s="6" t="s">
        <v>675</v>
      </c>
      <c r="E4113" s="6" t="s">
        <v>452</v>
      </c>
      <c r="F4113" s="6" t="str">
        <f>IF($M4113="PADD I","PADD 1",IF($M4113="PADD II","PADD 2",IF($M4113="PADD III","PADD 3",IF($M4113="PADD IV","PADD 4",IF($M4113="PADD V","PADD 5","")))))</f>
        <v>PADD 2</v>
      </c>
      <c r="G4113" s="6">
        <f>IF(AND($H4113="ATMOS DISTILLATION",ISNUMBER(SEARCH("VPS",$I4113))=FALSE,LEFT($I4113,6)&lt;&gt;"VACUUM"),"CDU",IF($H4113="FLUID CAT CRACKING","FCC",IF(OR($H4113="HYDROCRACKING",$H4113="RESID_HYDROCRACKING"),"Hydrocracker",IF($H4113="REFORMING","Reformer",""))))</f>
        <v/>
      </c>
      <c r="H4113" s="6" t="s">
        <v>43</v>
      </c>
      <c r="I4113" s="6" t="s">
        <v>1142</v>
      </c>
      <c r="J4113" s="6" t="s">
        <v>345</v>
      </c>
      <c r="K4113" s="10">
        <v>1.35</v>
      </c>
      <c r="L4113" s="10">
        <v>45</v>
      </c>
      <c r="M4113" s="6" t="s">
        <v>375</v>
      </c>
    </row>
    <row r="4114" spans="1:13">
      <c r="A4114" s="6">
        <v>2024</v>
      </c>
      <c r="B4114" s="6">
        <v>7</v>
      </c>
      <c r="C4114" s="6" t="s">
        <v>65</v>
      </c>
      <c r="D4114" s="6" t="s">
        <v>408</v>
      </c>
      <c r="E4114" s="6" t="s">
        <v>409</v>
      </c>
      <c r="F4114" s="6" t="str">
        <f>IF($M4114="PADD I","PADD 1",IF($M4114="PADD II","PADD 2",IF($M4114="PADD III","PADD 3",IF($M4114="PADD IV","PADD 4",IF($M4114="PADD V","PADD 5","")))))</f>
        <v>PADD 3</v>
      </c>
      <c r="G4114" s="6" t="str">
        <f>IF(AND($H4114="ATMOS DISTILLATION",ISNUMBER(SEARCH("VPS",$I4114))=FALSE,LEFT($I4114,6)&lt;&gt;"VACUUM"),"CDU",IF($H4114="FLUID CAT CRACKING","FCC",IF(OR($H4114="HYDROCRACKING",$H4114="RESID_HYDROCRACKING"),"Hydrocracker",IF($H4114="REFORMING","Reformer",""))))</f>
        <v>CDU</v>
      </c>
      <c r="H4114" s="6" t="s">
        <v>38</v>
      </c>
      <c r="I4114" s="6" t="s">
        <v>522</v>
      </c>
      <c r="J4114" s="6" t="s">
        <v>345</v>
      </c>
      <c r="K4114" s="10">
        <v>1.2</v>
      </c>
      <c r="L4114" s="10">
        <v>40</v>
      </c>
      <c r="M4114" s="6" t="s">
        <v>371</v>
      </c>
    </row>
    <row r="4115" spans="1:13">
      <c r="A4115" s="6">
        <v>2024</v>
      </c>
      <c r="B4115" s="6">
        <v>7</v>
      </c>
      <c r="C4115" s="6" t="s">
        <v>65</v>
      </c>
      <c r="D4115" s="6" t="s">
        <v>48</v>
      </c>
      <c r="E4115" s="6" t="s">
        <v>388</v>
      </c>
      <c r="F4115" s="6" t="str">
        <f>IF($M4115="PADD I","PADD 1",IF($M4115="PADD II","PADD 2",IF($M4115="PADD III","PADD 3",IF($M4115="PADD IV","PADD 4",IF($M4115="PADD V","PADD 5","")))))</f>
        <v>PADD 2</v>
      </c>
      <c r="G4115" s="6">
        <f>IF(AND($H4115="ATMOS DISTILLATION",ISNUMBER(SEARCH("VPS",$I4115))=FALSE,LEFT($I4115,6)&lt;&gt;"VACUUM"),"CDU",IF($H4115="FLUID CAT CRACKING","FCC",IF(OR($H4115="HYDROCRACKING",$H4115="RESID_HYDROCRACKING"),"Hydrocracker",IF($H4115="REFORMING","Reformer",""))))</f>
        <v/>
      </c>
      <c r="H4115" s="6" t="s">
        <v>435</v>
      </c>
      <c r="I4115" s="6" t="s">
        <v>631</v>
      </c>
      <c r="J4115" s="6" t="s">
        <v>345</v>
      </c>
      <c r="K4115" s="10">
        <v>1.2</v>
      </c>
      <c r="L4115" s="10">
        <v>12</v>
      </c>
      <c r="M4115" s="6" t="s">
        <v>375</v>
      </c>
    </row>
    <row r="4116" spans="1:13">
      <c r="A4116" s="6">
        <v>2024</v>
      </c>
      <c r="B4116" s="6">
        <v>7</v>
      </c>
      <c r="C4116" s="6" t="s">
        <v>65</v>
      </c>
      <c r="D4116" s="6" t="s">
        <v>762</v>
      </c>
      <c r="E4116" s="6" t="s">
        <v>763</v>
      </c>
      <c r="F4116" s="6" t="str">
        <f>IF($M4116="PADD I","PADD 1",IF($M4116="PADD II","PADD 2",IF($M4116="PADD III","PADD 3",IF($M4116="PADD IV","PADD 4",IF($M4116="PADD V","PADD 5","")))))</f>
        <v>PADD 2</v>
      </c>
      <c r="G4116" s="6">
        <f>IF(AND($H4116="ATMOS DISTILLATION",ISNUMBER(SEARCH("VPS",$I4116))=FALSE,LEFT($I4116,6)&lt;&gt;"VACUUM"),"CDU",IF($H4116="FLUID CAT CRACKING","FCC",IF(OR($H4116="HYDROCRACKING",$H4116="RESID_HYDROCRACKING"),"Hydrocracker",IF($H4116="REFORMING","Reformer",""))))</f>
        <v/>
      </c>
      <c r="H4116" s="6" t="s">
        <v>378</v>
      </c>
      <c r="I4116" s="6" t="s">
        <v>964</v>
      </c>
      <c r="J4116" s="6" t="s">
        <v>345</v>
      </c>
      <c r="K4116" s="10">
        <v>1.128</v>
      </c>
      <c r="L4116" s="10">
        <v>1.2</v>
      </c>
      <c r="M4116" s="6" t="s">
        <v>375</v>
      </c>
    </row>
    <row r="4117" spans="1:13">
      <c r="A4117" s="6">
        <v>2024</v>
      </c>
      <c r="B4117" s="6">
        <v>7</v>
      </c>
      <c r="C4117" s="6" t="s">
        <v>65</v>
      </c>
      <c r="D4117" s="6" t="s">
        <v>1223</v>
      </c>
      <c r="E4117" s="6" t="s">
        <v>1039</v>
      </c>
      <c r="F4117" s="6" t="str">
        <f>IF($M4117="PADD I","PADD 1",IF($M4117="PADD II","PADD 2",IF($M4117="PADD III","PADD 3",IF($M4117="PADD IV","PADD 4",IF($M4117="PADD V","PADD 5","")))))</f>
        <v>PADD 2</v>
      </c>
      <c r="G4117" s="6" t="str">
        <f>IF(AND($H4117="ATMOS DISTILLATION",ISNUMBER(SEARCH("VPS",$I4117))=FALSE,LEFT($I4117,6)&lt;&gt;"VACUUM"),"CDU",IF($H4117="FLUID CAT CRACKING","FCC",IF(OR($H4117="HYDROCRACKING",$H4117="RESID_HYDROCRACKING"),"Hydrocracker",IF($H4117="REFORMING","Reformer",""))))</f>
        <v>Reformer</v>
      </c>
      <c r="H4117" s="6" t="s">
        <v>421</v>
      </c>
      <c r="I4117" s="6" t="s">
        <v>15</v>
      </c>
      <c r="J4117" s="6" t="s">
        <v>345</v>
      </c>
      <c r="K4117" s="10">
        <v>1.0725</v>
      </c>
      <c r="L4117" s="10">
        <v>8.25</v>
      </c>
      <c r="M4117" s="6" t="s">
        <v>375</v>
      </c>
    </row>
    <row r="4118" spans="1:13">
      <c r="A4118" s="6">
        <v>2024</v>
      </c>
      <c r="B4118" s="6">
        <v>7</v>
      </c>
      <c r="C4118" s="6" t="s">
        <v>65</v>
      </c>
      <c r="D4118" s="6" t="s">
        <v>408</v>
      </c>
      <c r="E4118" s="6" t="s">
        <v>409</v>
      </c>
      <c r="F4118" s="6" t="str">
        <f>IF($M4118="PADD I","PADD 1",IF($M4118="PADD II","PADD 2",IF($M4118="PADD III","PADD 3",IF($M4118="PADD IV","PADD 4",IF($M4118="PADD V","PADD 5","")))))</f>
        <v>PADD 3</v>
      </c>
      <c r="G4118" s="6" t="str">
        <f>IF(AND($H4118="ATMOS DISTILLATION",ISNUMBER(SEARCH("VPS",$I4118))=FALSE,LEFT($I4118,6)&lt;&gt;"VACUUM"),"CDU",IF($H4118="FLUID CAT CRACKING","FCC",IF(OR($H4118="HYDROCRACKING",$H4118="RESID_HYDROCRACKING"),"Hydrocracker",IF($H4118="REFORMING","Reformer",""))))</f>
        <v>Reformer</v>
      </c>
      <c r="H4118" s="6" t="s">
        <v>421</v>
      </c>
      <c r="I4118" s="6" t="s">
        <v>533</v>
      </c>
      <c r="J4118" s="6" t="s">
        <v>345</v>
      </c>
      <c r="K4118" s="10">
        <v>1.05</v>
      </c>
      <c r="L4118" s="10">
        <v>35</v>
      </c>
      <c r="M4118" s="6" t="s">
        <v>371</v>
      </c>
    </row>
    <row r="4119" spans="1:13">
      <c r="A4119" s="6">
        <v>2024</v>
      </c>
      <c r="B4119" s="6">
        <v>7</v>
      </c>
      <c r="C4119" s="6" t="s">
        <v>65</v>
      </c>
      <c r="D4119" s="6" t="s">
        <v>801</v>
      </c>
      <c r="E4119" s="6" t="s">
        <v>779</v>
      </c>
      <c r="F4119" s="6" t="str">
        <f>IF($M4119="PADD I","PADD 1",IF($M4119="PADD II","PADD 2",IF($M4119="PADD III","PADD 3",IF($M4119="PADD IV","PADD 4",IF($M4119="PADD V","PADD 5","")))))</f>
        <v>PADD 2</v>
      </c>
      <c r="G4119" s="6">
        <f>IF(AND($H4119="ATMOS DISTILLATION",ISNUMBER(SEARCH("VPS",$I4119))=FALSE,LEFT($I4119,6)&lt;&gt;"VACUUM"),"CDU",IF($H4119="FLUID CAT CRACKING","FCC",IF(OR($H4119="HYDROCRACKING",$H4119="RESID_HYDROCRACKING"),"Hydrocracker",IF($H4119="REFORMING","Reformer",""))))</f>
        <v/>
      </c>
      <c r="H4119" s="6" t="s">
        <v>435</v>
      </c>
      <c r="I4119" s="6" t="s">
        <v>894</v>
      </c>
      <c r="J4119" s="6" t="s">
        <v>349</v>
      </c>
      <c r="K4119" s="10">
        <v>1.0355</v>
      </c>
      <c r="L4119" s="10">
        <v>5.45</v>
      </c>
      <c r="M4119" s="6" t="s">
        <v>375</v>
      </c>
    </row>
    <row r="4120" spans="1:13">
      <c r="A4120" s="6">
        <v>2024</v>
      </c>
      <c r="B4120" s="6">
        <v>7</v>
      </c>
      <c r="C4120" s="6" t="s">
        <v>65</v>
      </c>
      <c r="D4120" s="6" t="s">
        <v>878</v>
      </c>
      <c r="E4120" s="6" t="s">
        <v>452</v>
      </c>
      <c r="F4120" s="6" t="str">
        <f>IF($M4120="PADD I","PADD 1",IF($M4120="PADD II","PADD 2",IF($M4120="PADD III","PADD 3",IF($M4120="PADD IV","PADD 4",IF($M4120="PADD V","PADD 5","")))))</f>
        <v>PADD 2</v>
      </c>
      <c r="G4120" s="6">
        <f>IF(AND($H4120="ATMOS DISTILLATION",ISNUMBER(SEARCH("VPS",$I4120))=FALSE,LEFT($I4120,6)&lt;&gt;"VACUUM"),"CDU",IF($H4120="FLUID CAT CRACKING","FCC",IF(OR($H4120="HYDROCRACKING",$H4120="RESID_HYDROCRACKING"),"Hydrocracker",IF($H4120="REFORMING","Reformer",""))))</f>
        <v/>
      </c>
      <c r="H4120" s="6" t="s">
        <v>435</v>
      </c>
      <c r="I4120" s="6" t="s">
        <v>441</v>
      </c>
      <c r="J4120" s="6" t="s">
        <v>345</v>
      </c>
      <c r="K4120" s="10">
        <v>0.85</v>
      </c>
      <c r="L4120" s="10">
        <v>8.5</v>
      </c>
      <c r="M4120" s="6" t="s">
        <v>375</v>
      </c>
    </row>
    <row r="4121" spans="1:13">
      <c r="A4121" s="6">
        <v>2024</v>
      </c>
      <c r="B4121" s="6">
        <v>7</v>
      </c>
      <c r="C4121" s="6" t="s">
        <v>65</v>
      </c>
      <c r="D4121" s="6" t="s">
        <v>762</v>
      </c>
      <c r="E4121" s="6" t="s">
        <v>763</v>
      </c>
      <c r="F4121" s="6" t="str">
        <f>IF($M4121="PADD I","PADD 1",IF($M4121="PADD II","PADD 2",IF($M4121="PADD III","PADD 3",IF($M4121="PADD IV","PADD 4",IF($M4121="PADD V","PADD 5","")))))</f>
        <v>PADD 2</v>
      </c>
      <c r="G4121" s="6">
        <f>IF(AND($H4121="ATMOS DISTILLATION",ISNUMBER(SEARCH("VPS",$I4121))=FALSE,LEFT($I4121,6)&lt;&gt;"VACUUM"),"CDU",IF($H4121="FLUID CAT CRACKING","FCC",IF(OR($H4121="HYDROCRACKING",$H4121="RESID_HYDROCRACKING"),"Hydrocracker",IF($H4121="REFORMING","Reformer",""))))</f>
        <v/>
      </c>
      <c r="H4121" s="6" t="s">
        <v>378</v>
      </c>
      <c r="I4121" s="6" t="s">
        <v>964</v>
      </c>
      <c r="J4121" s="6" t="s">
        <v>345</v>
      </c>
      <c r="K4121" s="10">
        <v>0.72</v>
      </c>
      <c r="L4121" s="10">
        <v>12</v>
      </c>
      <c r="M4121" s="6" t="s">
        <v>375</v>
      </c>
    </row>
    <row r="4122" spans="1:13">
      <c r="A4122" s="6">
        <v>2024</v>
      </c>
      <c r="B4122" s="6">
        <v>7</v>
      </c>
      <c r="C4122" s="6" t="s">
        <v>65</v>
      </c>
      <c r="D4122" s="6" t="s">
        <v>1224</v>
      </c>
      <c r="E4122" s="6" t="s">
        <v>681</v>
      </c>
      <c r="F4122" s="6" t="str">
        <f>IF($M4122="PADD I","PADD 1",IF($M4122="PADD II","PADD 2",IF($M4122="PADD III","PADD 3",IF($M4122="PADD IV","PADD 4",IF($M4122="PADD V","PADD 5","")))))</f>
        <v>PADD 3</v>
      </c>
      <c r="G4122" s="6" t="str">
        <f>IF(AND($H4122="ATMOS DISTILLATION",ISNUMBER(SEARCH("VPS",$I4122))=FALSE,LEFT($I4122,6)&lt;&gt;"VACUUM"),"CDU",IF($H4122="FLUID CAT CRACKING","FCC",IF(OR($H4122="HYDROCRACKING",$H4122="RESID_HYDROCRACKING"),"Hydrocracker",IF($H4122="REFORMING","Reformer",""))))</f>
        <v>Reformer</v>
      </c>
      <c r="H4122" s="6" t="s">
        <v>421</v>
      </c>
      <c r="I4122" s="6" t="s">
        <v>15</v>
      </c>
      <c r="J4122" s="6" t="s">
        <v>345</v>
      </c>
      <c r="K4122" s="10">
        <v>0.72</v>
      </c>
      <c r="L4122" s="10">
        <v>24</v>
      </c>
      <c r="M4122" s="6" t="s">
        <v>371</v>
      </c>
    </row>
    <row r="4123" spans="1:13">
      <c r="A4123" s="6">
        <v>2024</v>
      </c>
      <c r="B4123" s="6">
        <v>7</v>
      </c>
      <c r="C4123" s="6" t="s">
        <v>65</v>
      </c>
      <c r="D4123" s="6" t="s">
        <v>610</v>
      </c>
      <c r="E4123" s="6" t="s">
        <v>611</v>
      </c>
      <c r="F4123" s="6" t="str">
        <f>IF($M4123="PADD I","PADD 1",IF($M4123="PADD II","PADD 2",IF($M4123="PADD III","PADD 3",IF($M4123="PADD IV","PADD 4",IF($M4123="PADD V","PADD 5","")))))</f>
        <v>PADD 2</v>
      </c>
      <c r="G4123" s="6">
        <f>IF(AND($H4123="ATMOS DISTILLATION",ISNUMBER(SEARCH("VPS",$I4123))=FALSE,LEFT($I4123,6)&lt;&gt;"VACUUM"),"CDU",IF($H4123="FLUID CAT CRACKING","FCC",IF(OR($H4123="HYDROCRACKING",$H4123="RESID_HYDROCRACKING"),"Hydrocracker",IF($H4123="REFORMING","Reformer",""))))</f>
        <v/>
      </c>
      <c r="H4123" s="6" t="s">
        <v>378</v>
      </c>
      <c r="I4123" s="6" t="s">
        <v>494</v>
      </c>
      <c r="J4123" s="6" t="s">
        <v>345</v>
      </c>
      <c r="K4123" s="10">
        <v>0.63</v>
      </c>
      <c r="L4123" s="10">
        <v>21</v>
      </c>
      <c r="M4123" s="6" t="s">
        <v>375</v>
      </c>
    </row>
    <row r="4124" spans="1:13">
      <c r="A4124" s="6">
        <v>2024</v>
      </c>
      <c r="B4124" s="6">
        <v>7</v>
      </c>
      <c r="C4124" s="6" t="s">
        <v>65</v>
      </c>
      <c r="D4124" s="6" t="s">
        <v>484</v>
      </c>
      <c r="E4124" s="6" t="s">
        <v>409</v>
      </c>
      <c r="F4124" s="6" t="str">
        <f>IF($M4124="PADD I","PADD 1",IF($M4124="PADD II","PADD 2",IF($M4124="PADD III","PADD 3",IF($M4124="PADD IV","PADD 4",IF($M4124="PADD V","PADD 5","")))))</f>
        <v>PADD 3</v>
      </c>
      <c r="G4124" s="6">
        <f>IF(AND($H4124="ATMOS DISTILLATION",ISNUMBER(SEARCH("VPS",$I4124))=FALSE,LEFT($I4124,6)&lt;&gt;"VACUUM"),"CDU",IF($H4124="FLUID CAT CRACKING","FCC",IF(OR($H4124="HYDROCRACKING",$H4124="RESID_HYDROCRACKING"),"Hydrocracker",IF($H4124="REFORMING","Reformer",""))))</f>
        <v/>
      </c>
      <c r="H4124" s="6" t="s">
        <v>43</v>
      </c>
      <c r="I4124" s="6" t="s">
        <v>493</v>
      </c>
      <c r="J4124" s="6" t="s">
        <v>345</v>
      </c>
      <c r="K4124" s="10">
        <v>0.6</v>
      </c>
      <c r="L4124" s="10">
        <v>10</v>
      </c>
      <c r="M4124" s="6" t="s">
        <v>371</v>
      </c>
    </row>
    <row r="4125" spans="1:13">
      <c r="A4125" s="6">
        <v>2024</v>
      </c>
      <c r="B4125" s="6">
        <v>7</v>
      </c>
      <c r="C4125" s="6" t="s">
        <v>65</v>
      </c>
      <c r="D4125" s="6" t="s">
        <v>408</v>
      </c>
      <c r="E4125" s="6" t="s">
        <v>409</v>
      </c>
      <c r="F4125" s="6" t="str">
        <f>IF($M4125="PADD I","PADD 1",IF($M4125="PADD II","PADD 2",IF($M4125="PADD III","PADD 3",IF($M4125="PADD IV","PADD 4",IF($M4125="PADD V","PADD 5","")))))</f>
        <v>PADD 3</v>
      </c>
      <c r="G4125" s="6">
        <f>IF(AND($H4125="ATMOS DISTILLATION",ISNUMBER(SEARCH("VPS",$I4125))=FALSE,LEFT($I4125,6)&lt;&gt;"VACUUM"),"CDU",IF($H4125="FLUID CAT CRACKING","FCC",IF(OR($H4125="HYDROCRACKING",$H4125="RESID_HYDROCRACKING"),"Hydrocracker",IF($H4125="REFORMING","Reformer",""))))</f>
        <v/>
      </c>
      <c r="H4125" s="6" t="s">
        <v>460</v>
      </c>
      <c r="I4125" s="6" t="s">
        <v>606</v>
      </c>
      <c r="J4125" s="6" t="s">
        <v>345</v>
      </c>
      <c r="K4125" s="10">
        <v>0.5</v>
      </c>
      <c r="L4125" s="10">
        <v>5</v>
      </c>
      <c r="M4125" s="6" t="s">
        <v>371</v>
      </c>
    </row>
    <row r="4126" spans="1:13">
      <c r="A4126" s="6">
        <v>2024</v>
      </c>
      <c r="B4126" s="6">
        <v>7</v>
      </c>
      <c r="C4126" s="6" t="s">
        <v>65</v>
      </c>
      <c r="D4126" s="6" t="s">
        <v>468</v>
      </c>
      <c r="E4126" s="6" t="s">
        <v>369</v>
      </c>
      <c r="F4126" s="6" t="str">
        <f>IF($M4126="PADD I","PADD 1",IF($M4126="PADD II","PADD 2",IF($M4126="PADD III","PADD 3",IF($M4126="PADD IV","PADD 4",IF($M4126="PADD V","PADD 5","")))))</f>
        <v>PADD 3</v>
      </c>
      <c r="G4126" s="6" t="str">
        <f>IF(AND($H4126="ATMOS DISTILLATION",ISNUMBER(SEARCH("VPS",$I4126))=FALSE,LEFT($I4126,6)&lt;&gt;"VACUUM"),"CDU",IF($H4126="FLUID CAT CRACKING","FCC",IF(OR($H4126="HYDROCRACKING",$H4126="RESID_HYDROCRACKING"),"Hydrocracker",IF($H4126="REFORMING","Reformer",""))))</f>
        <v>Reformer</v>
      </c>
      <c r="H4126" s="6" t="s">
        <v>421</v>
      </c>
      <c r="I4126" s="6" t="s">
        <v>635</v>
      </c>
      <c r="J4126" s="6" t="s">
        <v>345</v>
      </c>
      <c r="K4126" s="10">
        <v>0.42</v>
      </c>
      <c r="L4126" s="10">
        <v>7</v>
      </c>
      <c r="M4126" s="6" t="s">
        <v>371</v>
      </c>
    </row>
    <row r="4127" spans="1:13">
      <c r="A4127" s="6">
        <v>2024</v>
      </c>
      <c r="B4127" s="6">
        <v>7</v>
      </c>
      <c r="C4127" s="6" t="s">
        <v>65</v>
      </c>
      <c r="D4127" s="6" t="s">
        <v>710</v>
      </c>
      <c r="E4127" s="6" t="s">
        <v>711</v>
      </c>
      <c r="F4127" s="6" t="str">
        <f>IF($M4127="PADD I","PADD 1",IF($M4127="PADD II","PADD 2",IF($M4127="PADD III","PADD 3",IF($M4127="PADD IV","PADD 4",IF($M4127="PADD V","PADD 5","")))))</f>
        <v>PADD 3</v>
      </c>
      <c r="G4127" s="6" t="str">
        <f>IF(AND($H4127="ATMOS DISTILLATION",ISNUMBER(SEARCH("VPS",$I4127))=FALSE,LEFT($I4127,6)&lt;&gt;"VACUUM"),"CDU",IF($H4127="FLUID CAT CRACKING","FCC",IF(OR($H4127="HYDROCRACKING",$H4127="RESID_HYDROCRACKING"),"Hydrocracker",IF($H4127="REFORMING","Reformer",""))))</f>
        <v>CDU</v>
      </c>
      <c r="H4127" s="6" t="s">
        <v>38</v>
      </c>
      <c r="I4127" s="6" t="s">
        <v>712</v>
      </c>
      <c r="J4127" s="6" t="s">
        <v>345</v>
      </c>
      <c r="K4127" s="10">
        <v>0.09</v>
      </c>
      <c r="L4127" s="10">
        <v>1.5</v>
      </c>
      <c r="M4127" s="6" t="s">
        <v>371</v>
      </c>
    </row>
    <row r="4128" spans="1:13">
      <c r="A4128" s="6">
        <v>2024</v>
      </c>
      <c r="B4128" s="6">
        <v>7</v>
      </c>
      <c r="C4128" s="6" t="s">
        <v>65</v>
      </c>
      <c r="D4128" s="6" t="s">
        <v>420</v>
      </c>
      <c r="E4128" s="6" t="s">
        <v>373</v>
      </c>
      <c r="F4128" s="6" t="str">
        <f>IF($M4128="PADD I","PADD 1",IF($M4128="PADD II","PADD 2",IF($M4128="PADD III","PADD 3",IF($M4128="PADD IV","PADD 4",IF($M4128="PADD V","PADD 5","")))))</f>
        <v>PADD 2</v>
      </c>
      <c r="G4128" s="6">
        <f>IF(AND($H4128="ATMOS DISTILLATION",ISNUMBER(SEARCH("VPS",$I4128))=FALSE,LEFT($I4128,6)&lt;&gt;"VACUUM"),"CDU",IF($H4128="FLUID CAT CRACKING","FCC",IF(OR($H4128="HYDROCRACKING",$H4128="RESID_HYDROCRACKING"),"Hydrocracker",IF($H4128="REFORMING","Reformer",""))))</f>
        <v/>
      </c>
      <c r="H4128" s="6" t="s">
        <v>460</v>
      </c>
      <c r="I4128" s="6" t="s">
        <v>616</v>
      </c>
      <c r="J4128" s="6" t="s">
        <v>345</v>
      </c>
      <c r="K4128" s="10">
        <v>0.045</v>
      </c>
      <c r="L4128" s="10">
        <v>1.5</v>
      </c>
      <c r="M4128" s="6" t="s">
        <v>375</v>
      </c>
    </row>
    <row r="4129" spans="1:13">
      <c r="A4129" s="6">
        <v>2024</v>
      </c>
      <c r="B4129" s="6">
        <v>8</v>
      </c>
      <c r="C4129" s="6" t="s">
        <v>66</v>
      </c>
      <c r="D4129" s="6" t="s">
        <v>526</v>
      </c>
      <c r="E4129" s="6" t="s">
        <v>405</v>
      </c>
      <c r="F4129" s="6" t="str">
        <f>IF($M4129="PADD I","PADD 1",IF($M4129="PADD II","PADD 2",IF($M4129="PADD III","PADD 3",IF($M4129="PADD IV","PADD 4",IF($M4129="PADD V","PADD 5","")))))</f>
        <v>PADD 3</v>
      </c>
      <c r="G4129" s="6" t="str">
        <f>IF(AND($H4129="ATMOS DISTILLATION",ISNUMBER(SEARCH("VPS",$I4129))=FALSE,LEFT($I4129,6)&lt;&gt;"VACUUM"),"CDU",IF($H4129="FLUID CAT CRACKING","FCC",IF(OR($H4129="HYDROCRACKING",$H4129="RESID_HYDROCRACKING"),"Hydrocracker",IF($H4129="REFORMING","Reformer",""))))</f>
        <v>CDU</v>
      </c>
      <c r="H4129" s="6" t="s">
        <v>38</v>
      </c>
      <c r="I4129" s="6" t="s">
        <v>350</v>
      </c>
      <c r="J4129" s="6" t="s">
        <v>345</v>
      </c>
      <c r="K4129" s="10">
        <v>136.5</v>
      </c>
      <c r="L4129" s="10">
        <v>210</v>
      </c>
      <c r="M4129" s="6" t="s">
        <v>371</v>
      </c>
    </row>
    <row r="4130" spans="1:13">
      <c r="A4130" s="6">
        <v>2024</v>
      </c>
      <c r="B4130" s="6">
        <v>8</v>
      </c>
      <c r="C4130" s="6" t="s">
        <v>66</v>
      </c>
      <c r="D4130" s="6" t="s">
        <v>526</v>
      </c>
      <c r="E4130" s="6" t="s">
        <v>405</v>
      </c>
      <c r="F4130" s="6" t="str">
        <f>IF($M4130="PADD I","PADD 1",IF($M4130="PADD II","PADD 2",IF($M4130="PADD III","PADD 3",IF($M4130="PADD IV","PADD 4",IF($M4130="PADD V","PADD 5","")))))</f>
        <v>PADD 3</v>
      </c>
      <c r="G4130" s="6">
        <f>IF(AND($H4130="ATMOS DISTILLATION",ISNUMBER(SEARCH("VPS",$I4130))=FALSE,LEFT($I4130,6)&lt;&gt;"VACUUM"),"CDU",IF($H4130="FLUID CAT CRACKING","FCC",IF(OR($H4130="HYDROCRACKING",$H4130="RESID_HYDROCRACKING"),"Hydrocracker",IF($H4130="REFORMING","Reformer",""))))</f>
        <v/>
      </c>
      <c r="H4130" s="6" t="s">
        <v>378</v>
      </c>
      <c r="I4130" s="6" t="s">
        <v>649</v>
      </c>
      <c r="J4130" s="6" t="s">
        <v>345</v>
      </c>
      <c r="K4130" s="10">
        <v>111.8</v>
      </c>
      <c r="L4130" s="10">
        <v>172</v>
      </c>
      <c r="M4130" s="6" t="s">
        <v>371</v>
      </c>
    </row>
    <row r="4131" spans="1:13">
      <c r="A4131" s="6">
        <v>2024</v>
      </c>
      <c r="B4131" s="6">
        <v>8</v>
      </c>
      <c r="C4131" s="6" t="s">
        <v>66</v>
      </c>
      <c r="D4131" s="6" t="s">
        <v>714</v>
      </c>
      <c r="E4131" s="6" t="s">
        <v>405</v>
      </c>
      <c r="F4131" s="6" t="str">
        <f>IF($M4131="PADD I","PADD 1",IF($M4131="PADD II","PADD 2",IF($M4131="PADD III","PADD 3",IF($M4131="PADD IV","PADD 4",IF($M4131="PADD V","PADD 5","")))))</f>
        <v>PADD 3</v>
      </c>
      <c r="G4131" s="6" t="str">
        <f>IF(AND($H4131="ATMOS DISTILLATION",ISNUMBER(SEARCH("VPS",$I4131))=FALSE,LEFT($I4131,6)&lt;&gt;"VACUUM"),"CDU",IF($H4131="FLUID CAT CRACKING","FCC",IF(OR($H4131="HYDROCRACKING",$H4131="RESID_HYDROCRACKING"),"Hydrocracker",IF($H4131="REFORMING","Reformer",""))))</f>
        <v>CDU</v>
      </c>
      <c r="H4131" s="6" t="s">
        <v>38</v>
      </c>
      <c r="I4131" s="6" t="s">
        <v>135</v>
      </c>
      <c r="J4131" s="6" t="s">
        <v>349</v>
      </c>
      <c r="K4131" s="10">
        <v>100.05</v>
      </c>
      <c r="L4131" s="10">
        <v>115</v>
      </c>
      <c r="M4131" s="6" t="s">
        <v>371</v>
      </c>
    </row>
    <row r="4132" spans="1:13">
      <c r="A4132" s="6">
        <v>2024</v>
      </c>
      <c r="B4132" s="6">
        <v>8</v>
      </c>
      <c r="C4132" s="6" t="s">
        <v>66</v>
      </c>
      <c r="D4132" s="6" t="s">
        <v>446</v>
      </c>
      <c r="E4132" s="6" t="s">
        <v>391</v>
      </c>
      <c r="F4132" s="6" t="str">
        <f>IF($M4132="PADD I","PADD 1",IF($M4132="PADD II","PADD 2",IF($M4132="PADD III","PADD 3",IF($M4132="PADD IV","PADD 4",IF($M4132="PADD V","PADD 5","")))))</f>
        <v>PADD 3</v>
      </c>
      <c r="G4132" s="6" t="str">
        <f>IF(AND($H4132="ATMOS DISTILLATION",ISNUMBER(SEARCH("VPS",$I4132))=FALSE,LEFT($I4132,6)&lt;&gt;"VACUUM"),"CDU",IF($H4132="FLUID CAT CRACKING","FCC",IF(OR($H4132="HYDROCRACKING",$H4132="RESID_HYDROCRACKING"),"Hydrocracker",IF($H4132="REFORMING","Reformer",""))))</f>
        <v>CDU</v>
      </c>
      <c r="H4132" s="6" t="s">
        <v>38</v>
      </c>
      <c r="I4132" s="6" t="s">
        <v>81</v>
      </c>
      <c r="J4132" s="6" t="s">
        <v>349</v>
      </c>
      <c r="K4132" s="10">
        <v>100</v>
      </c>
      <c r="L4132" s="10">
        <v>100</v>
      </c>
      <c r="M4132" s="6" t="s">
        <v>371</v>
      </c>
    </row>
    <row r="4133" spans="1:13">
      <c r="A4133" s="6">
        <v>2024</v>
      </c>
      <c r="B4133" s="6">
        <v>8</v>
      </c>
      <c r="C4133" s="6" t="s">
        <v>66</v>
      </c>
      <c r="D4133" s="6" t="s">
        <v>321</v>
      </c>
      <c r="E4133" s="6" t="s">
        <v>381</v>
      </c>
      <c r="F4133" s="6" t="str">
        <f>IF($M4133="PADD I","PADD 1",IF($M4133="PADD II","PADD 2",IF($M4133="PADD III","PADD 3",IF($M4133="PADD IV","PADD 4",IF($M4133="PADD V","PADD 5","")))))</f>
        <v>PADD 2</v>
      </c>
      <c r="G4133" s="6" t="str">
        <f>IF(AND($H4133="ATMOS DISTILLATION",ISNUMBER(SEARCH("VPS",$I4133))=FALSE,LEFT($I4133,6)&lt;&gt;"VACUUM"),"CDU",IF($H4133="FLUID CAT CRACKING","FCC",IF(OR($H4133="HYDROCRACKING",$H4133="RESID_HYDROCRACKING"),"Hydrocracker",IF($H4133="REFORMING","Reformer",""))))</f>
        <v>CDU</v>
      </c>
      <c r="H4133" s="6" t="s">
        <v>38</v>
      </c>
      <c r="I4133" s="6" t="s">
        <v>81</v>
      </c>
      <c r="J4133" s="6" t="s">
        <v>345</v>
      </c>
      <c r="K4133" s="10">
        <v>80</v>
      </c>
      <c r="L4133" s="10">
        <v>250</v>
      </c>
      <c r="M4133" s="6" t="s">
        <v>375</v>
      </c>
    </row>
    <row r="4134" spans="1:13">
      <c r="A4134" s="6">
        <v>2024</v>
      </c>
      <c r="B4134" s="6">
        <v>8</v>
      </c>
      <c r="C4134" s="6" t="s">
        <v>66</v>
      </c>
      <c r="D4134" s="6" t="s">
        <v>714</v>
      </c>
      <c r="E4134" s="6" t="s">
        <v>405</v>
      </c>
      <c r="F4134" s="6" t="str">
        <f>IF($M4134="PADD I","PADD 1",IF($M4134="PADD II","PADD 2",IF($M4134="PADD III","PADD 3",IF($M4134="PADD IV","PADD 4",IF($M4134="PADD V","PADD 5","")))))</f>
        <v>PADD 3</v>
      </c>
      <c r="G4134" s="6" t="str">
        <f>IF(AND($H4134="ATMOS DISTILLATION",ISNUMBER(SEARCH("VPS",$I4134))=FALSE,LEFT($I4134,6)&lt;&gt;"VACUUM"),"CDU",IF($H4134="FLUID CAT CRACKING","FCC",IF(OR($H4134="HYDROCRACKING",$H4134="RESID_HYDROCRACKING"),"Hydrocracker",IF($H4134="REFORMING","Reformer",""))))</f>
        <v>FCC</v>
      </c>
      <c r="H4134" s="6" t="s">
        <v>376</v>
      </c>
      <c r="I4134" s="6" t="s">
        <v>105</v>
      </c>
      <c r="J4134" s="6" t="s">
        <v>349</v>
      </c>
      <c r="K4134" s="10">
        <v>73.72</v>
      </c>
      <c r="L4134" s="10">
        <v>76</v>
      </c>
      <c r="M4134" s="6" t="s">
        <v>371</v>
      </c>
    </row>
    <row r="4135" spans="1:13">
      <c r="A4135" s="6">
        <v>2024</v>
      </c>
      <c r="B4135" s="6">
        <v>8</v>
      </c>
      <c r="C4135" s="6" t="s">
        <v>66</v>
      </c>
      <c r="D4135" s="6" t="s">
        <v>324</v>
      </c>
      <c r="E4135" s="6" t="s">
        <v>388</v>
      </c>
      <c r="F4135" s="6" t="str">
        <f>IF($M4135="PADD I","PADD 1",IF($M4135="PADD II","PADD 2",IF($M4135="PADD III","PADD 3",IF($M4135="PADD IV","PADD 4",IF($M4135="PADD V","PADD 5","")))))</f>
        <v>PADD 3</v>
      </c>
      <c r="G4135" s="6">
        <f>IF(AND($H4135="ATMOS DISTILLATION",ISNUMBER(SEARCH("VPS",$I4135))=FALSE,LEFT($I4135,6)&lt;&gt;"VACUUM"),"CDU",IF($H4135="FLUID CAT CRACKING","FCC",IF(OR($H4135="HYDROCRACKING",$H4135="RESID_HYDROCRACKING"),"Hydrocracker",IF($H4135="REFORMING","Reformer",""))))</f>
        <v/>
      </c>
      <c r="H4135" s="6" t="s">
        <v>43</v>
      </c>
      <c r="I4135" s="6" t="s">
        <v>682</v>
      </c>
      <c r="J4135" s="6" t="s">
        <v>345</v>
      </c>
      <c r="K4135" s="10">
        <v>44.52</v>
      </c>
      <c r="L4135" s="10">
        <v>106</v>
      </c>
      <c r="M4135" s="6" t="s">
        <v>371</v>
      </c>
    </row>
    <row r="4136" spans="1:13">
      <c r="A4136" s="6">
        <v>2024</v>
      </c>
      <c r="B4136" s="6">
        <v>8</v>
      </c>
      <c r="C4136" s="6" t="s">
        <v>66</v>
      </c>
      <c r="D4136" s="6" t="s">
        <v>321</v>
      </c>
      <c r="E4136" s="6" t="s">
        <v>381</v>
      </c>
      <c r="F4136" s="6" t="str">
        <f>IF($M4136="PADD I","PADD 1",IF($M4136="PADD II","PADD 2",IF($M4136="PADD III","PADD 3",IF($M4136="PADD IV","PADD 4",IF($M4136="PADD V","PADD 5","")))))</f>
        <v>PADD 2</v>
      </c>
      <c r="G4136" s="6">
        <f>IF(AND($H4136="ATMOS DISTILLATION",ISNUMBER(SEARCH("VPS",$I4136))=FALSE,LEFT($I4136,6)&lt;&gt;"VACUUM"),"CDU",IF($H4136="FLUID CAT CRACKING","FCC",IF(OR($H4136="HYDROCRACKING",$H4136="RESID_HYDROCRACKING"),"Hydrocracker",IF($H4136="REFORMING","Reformer",""))))</f>
        <v/>
      </c>
      <c r="H4136" s="6" t="s">
        <v>378</v>
      </c>
      <c r="I4136" s="6" t="s">
        <v>431</v>
      </c>
      <c r="J4136" s="6" t="s">
        <v>345</v>
      </c>
      <c r="K4136" s="10">
        <v>44.45</v>
      </c>
      <c r="L4136" s="10">
        <v>127</v>
      </c>
      <c r="M4136" s="6" t="s">
        <v>375</v>
      </c>
    </row>
    <row r="4137" spans="1:13">
      <c r="A4137" s="6">
        <v>2024</v>
      </c>
      <c r="B4137" s="6">
        <v>8</v>
      </c>
      <c r="C4137" s="6" t="s">
        <v>66</v>
      </c>
      <c r="D4137" s="6" t="s">
        <v>446</v>
      </c>
      <c r="E4137" s="6" t="s">
        <v>391</v>
      </c>
      <c r="F4137" s="6" t="str">
        <f>IF($M4137="PADD I","PADD 1",IF($M4137="PADD II","PADD 2",IF($M4137="PADD III","PADD 3",IF($M4137="PADD IV","PADD 4",IF($M4137="PADD V","PADD 5","")))))</f>
        <v>PADD 3</v>
      </c>
      <c r="G4137" s="6">
        <f>IF(AND($H4137="ATMOS DISTILLATION",ISNUMBER(SEARCH("VPS",$I4137))=FALSE,LEFT($I4137,6)&lt;&gt;"VACUUM"),"CDU",IF($H4137="FLUID CAT CRACKING","FCC",IF(OR($H4137="HYDROCRACKING",$H4137="RESID_HYDROCRACKING"),"Hydrocracker",IF($H4137="REFORMING","Reformer",""))))</f>
        <v/>
      </c>
      <c r="H4137" s="6" t="s">
        <v>378</v>
      </c>
      <c r="I4137" s="6" t="s">
        <v>1041</v>
      </c>
      <c r="J4137" s="6" t="s">
        <v>345</v>
      </c>
      <c r="K4137" s="10">
        <v>41</v>
      </c>
      <c r="L4137" s="10">
        <v>41</v>
      </c>
      <c r="M4137" s="6" t="s">
        <v>371</v>
      </c>
    </row>
    <row r="4138" spans="1:13">
      <c r="A4138" s="6">
        <v>2024</v>
      </c>
      <c r="B4138" s="6">
        <v>8</v>
      </c>
      <c r="C4138" s="6" t="s">
        <v>66</v>
      </c>
      <c r="D4138" s="6" t="s">
        <v>331</v>
      </c>
      <c r="E4138" s="6" t="s">
        <v>373</v>
      </c>
      <c r="F4138" s="6" t="str">
        <f>IF($M4138="PADD I","PADD 1",IF($M4138="PADD II","PADD 2",IF($M4138="PADD III","PADD 3",IF($M4138="PADD IV","PADD 4",IF($M4138="PADD V","PADD 5","")))))</f>
        <v>PADD 2</v>
      </c>
      <c r="G4138" s="6" t="str">
        <f>IF(AND($H4138="ATMOS DISTILLATION",ISNUMBER(SEARCH("VPS",$I4138))=FALSE,LEFT($I4138,6)&lt;&gt;"VACUUM"),"CDU",IF($H4138="FLUID CAT CRACKING","FCC",IF(OR($H4138="HYDROCRACKING",$H4138="RESID_HYDROCRACKING"),"Hydrocracker",IF($H4138="REFORMING","Reformer",""))))</f>
        <v>CDU</v>
      </c>
      <c r="H4138" s="6" t="s">
        <v>38</v>
      </c>
      <c r="I4138" s="6" t="s">
        <v>332</v>
      </c>
      <c r="J4138" s="6" t="s">
        <v>345</v>
      </c>
      <c r="K4138" s="10">
        <v>39.56</v>
      </c>
      <c r="L4138" s="10">
        <v>172</v>
      </c>
      <c r="M4138" s="6" t="s">
        <v>375</v>
      </c>
    </row>
    <row r="4139" spans="1:13">
      <c r="A4139" s="6">
        <v>2024</v>
      </c>
      <c r="B4139" s="6">
        <v>8</v>
      </c>
      <c r="C4139" s="6" t="s">
        <v>66</v>
      </c>
      <c r="D4139" s="6" t="s">
        <v>490</v>
      </c>
      <c r="E4139" s="6" t="s">
        <v>491</v>
      </c>
      <c r="F4139" s="6" t="str">
        <f>IF($M4139="PADD I","PADD 1",IF($M4139="PADD II","PADD 2",IF($M4139="PADD III","PADD 3",IF($M4139="PADD IV","PADD 4",IF($M4139="PADD V","PADD 5","")))))</f>
        <v>PADD 3</v>
      </c>
      <c r="G4139" s="6" t="str">
        <f>IF(AND($H4139="ATMOS DISTILLATION",ISNUMBER(SEARCH("VPS",$I4139))=FALSE,LEFT($I4139,6)&lt;&gt;"VACUUM"),"CDU",IF($H4139="FLUID CAT CRACKING","FCC",IF(OR($H4139="HYDROCRACKING",$H4139="RESID_HYDROCRACKING"),"Hydrocracker",IF($H4139="REFORMING","Reformer",""))))</f>
        <v>FCC</v>
      </c>
      <c r="H4139" s="6" t="s">
        <v>376</v>
      </c>
      <c r="I4139" s="6" t="s">
        <v>472</v>
      </c>
      <c r="J4139" s="6" t="s">
        <v>345</v>
      </c>
      <c r="K4139" s="10">
        <v>36.45</v>
      </c>
      <c r="L4139" s="10">
        <v>81</v>
      </c>
      <c r="M4139" s="6" t="s">
        <v>371</v>
      </c>
    </row>
    <row r="4140" spans="1:13">
      <c r="A4140" s="6">
        <v>2024</v>
      </c>
      <c r="B4140" s="6">
        <v>8</v>
      </c>
      <c r="C4140" s="6" t="s">
        <v>66</v>
      </c>
      <c r="D4140" s="6" t="s">
        <v>446</v>
      </c>
      <c r="E4140" s="6" t="s">
        <v>391</v>
      </c>
      <c r="F4140" s="6" t="str">
        <f>IF($M4140="PADD I","PADD 1",IF($M4140="PADD II","PADD 2",IF($M4140="PADD III","PADD 3",IF($M4140="PADD IV","PADD 4",IF($M4140="PADD V","PADD 5","")))))</f>
        <v>PADD 3</v>
      </c>
      <c r="G4140" s="6">
        <f>IF(AND($H4140="ATMOS DISTILLATION",ISNUMBER(SEARCH("VPS",$I4140))=FALSE,LEFT($I4140,6)&lt;&gt;"VACUUM"),"CDU",IF($H4140="FLUID CAT CRACKING","FCC",IF(OR($H4140="HYDROCRACKING",$H4140="RESID_HYDROCRACKING"),"Hydrocracker",IF($H4140="REFORMING","Reformer",""))))</f>
        <v/>
      </c>
      <c r="H4140" s="6" t="s">
        <v>43</v>
      </c>
      <c r="I4140" s="6" t="s">
        <v>447</v>
      </c>
      <c r="J4140" s="6" t="s">
        <v>349</v>
      </c>
      <c r="K4140" s="10">
        <v>35</v>
      </c>
      <c r="L4140" s="10">
        <v>35</v>
      </c>
      <c r="M4140" s="6" t="s">
        <v>371</v>
      </c>
    </row>
    <row r="4141" spans="1:13">
      <c r="A4141" s="6">
        <v>2024</v>
      </c>
      <c r="B4141" s="6">
        <v>8</v>
      </c>
      <c r="C4141" s="6" t="s">
        <v>66</v>
      </c>
      <c r="D4141" s="6" t="s">
        <v>448</v>
      </c>
      <c r="E4141" s="6" t="s">
        <v>391</v>
      </c>
      <c r="F4141" s="6" t="str">
        <f>IF($M4141="PADD I","PADD 1",IF($M4141="PADD II","PADD 2",IF($M4141="PADD III","PADD 3",IF($M4141="PADD IV","PADD 4",IF($M4141="PADD V","PADD 5","")))))</f>
        <v>PADD 3</v>
      </c>
      <c r="G4141" s="6">
        <f>IF(AND($H4141="ATMOS DISTILLATION",ISNUMBER(SEARCH("VPS",$I4141))=FALSE,LEFT($I4141,6)&lt;&gt;"VACUUM"),"CDU",IF($H4141="FLUID CAT CRACKING","FCC",IF(OR($H4141="HYDROCRACKING",$H4141="RESID_HYDROCRACKING"),"Hydrocracker",IF($H4141="REFORMING","Reformer",""))))</f>
        <v/>
      </c>
      <c r="H4141" s="6" t="s">
        <v>43</v>
      </c>
      <c r="I4141" s="6" t="s">
        <v>449</v>
      </c>
      <c r="J4141" s="6" t="s">
        <v>345</v>
      </c>
      <c r="K4141" s="10">
        <v>35</v>
      </c>
      <c r="L4141" s="10">
        <v>35</v>
      </c>
      <c r="M4141" s="6" t="s">
        <v>371</v>
      </c>
    </row>
    <row r="4142" spans="1:13">
      <c r="A4142" s="6">
        <v>2024</v>
      </c>
      <c r="B4142" s="6">
        <v>8</v>
      </c>
      <c r="C4142" s="6" t="s">
        <v>66</v>
      </c>
      <c r="D4142" s="6" t="s">
        <v>51</v>
      </c>
      <c r="E4142" s="6" t="s">
        <v>391</v>
      </c>
      <c r="F4142" s="6" t="str">
        <f>IF($M4142="PADD I","PADD 1",IF($M4142="PADD II","PADD 2",IF($M4142="PADD III","PADD 3",IF($M4142="PADD IV","PADD 4",IF($M4142="PADD V","PADD 5","")))))</f>
        <v>PADD 5</v>
      </c>
      <c r="G4142" s="6" t="str">
        <f>IF(AND($H4142="ATMOS DISTILLATION",ISNUMBER(SEARCH("VPS",$I4142))=FALSE,LEFT($I4142,6)&lt;&gt;"VACUUM"),"CDU",IF($H4142="FLUID CAT CRACKING","FCC",IF(OR($H4142="HYDROCRACKING",$H4142="RESID_HYDROCRACKING"),"Hydrocracker",IF($H4142="REFORMING","Reformer",""))))</f>
        <v>FCC</v>
      </c>
      <c r="H4142" s="6" t="s">
        <v>376</v>
      </c>
      <c r="I4142" s="6" t="s">
        <v>105</v>
      </c>
      <c r="J4142" s="6" t="s">
        <v>349</v>
      </c>
      <c r="K4142" s="10">
        <v>32.625</v>
      </c>
      <c r="L4142" s="10">
        <v>72.5</v>
      </c>
      <c r="M4142" s="6" t="s">
        <v>386</v>
      </c>
    </row>
    <row r="4143" spans="1:13">
      <c r="A4143" s="6">
        <v>2024</v>
      </c>
      <c r="B4143" s="6">
        <v>8</v>
      </c>
      <c r="C4143" s="6" t="s">
        <v>66</v>
      </c>
      <c r="D4143" s="6" t="s">
        <v>321</v>
      </c>
      <c r="E4143" s="6" t="s">
        <v>381</v>
      </c>
      <c r="F4143" s="6" t="str">
        <f>IF($M4143="PADD I","PADD 1",IF($M4143="PADD II","PADD 2",IF($M4143="PADD III","PADD 3",IF($M4143="PADD IV","PADD 4",IF($M4143="PADD V","PADD 5","")))))</f>
        <v>PADD 2</v>
      </c>
      <c r="G4143" s="6">
        <f>IF(AND($H4143="ATMOS DISTILLATION",ISNUMBER(SEARCH("VPS",$I4143))=FALSE,LEFT($I4143,6)&lt;&gt;"VACUUM"),"CDU",IF($H4143="FLUID CAT CRACKING","FCC",IF(OR($H4143="HYDROCRACKING",$H4143="RESID_HYDROCRACKING"),"Hydrocracker",IF($H4143="REFORMING","Reformer",""))))</f>
        <v/>
      </c>
      <c r="H4143" s="6" t="s">
        <v>43</v>
      </c>
      <c r="I4143" s="6" t="s">
        <v>1164</v>
      </c>
      <c r="J4143" s="6" t="s">
        <v>345</v>
      </c>
      <c r="K4143" s="10">
        <v>31.5</v>
      </c>
      <c r="L4143" s="10">
        <v>90</v>
      </c>
      <c r="M4143" s="6" t="s">
        <v>375</v>
      </c>
    </row>
    <row r="4144" spans="1:13">
      <c r="A4144" s="6">
        <v>2024</v>
      </c>
      <c r="B4144" s="6">
        <v>8</v>
      </c>
      <c r="C4144" s="6" t="s">
        <v>66</v>
      </c>
      <c r="D4144" s="6" t="s">
        <v>321</v>
      </c>
      <c r="E4144" s="6" t="s">
        <v>381</v>
      </c>
      <c r="F4144" s="6" t="str">
        <f>IF($M4144="PADD I","PADD 1",IF($M4144="PADD II","PADD 2",IF($M4144="PADD III","PADD 3",IF($M4144="PADD IV","PADD 4",IF($M4144="PADD V","PADD 5","")))))</f>
        <v>PADD 2</v>
      </c>
      <c r="G4144" s="6" t="str">
        <f>IF(AND($H4144="ATMOS DISTILLATION",ISNUMBER(SEARCH("VPS",$I4144))=FALSE,LEFT($I4144,6)&lt;&gt;"VACUUM"),"CDU",IF($H4144="FLUID CAT CRACKING","FCC",IF(OR($H4144="HYDROCRACKING",$H4144="RESID_HYDROCRACKING"),"Hydrocracker",IF($H4144="REFORMING","Reformer",""))))</f>
        <v>FCC</v>
      </c>
      <c r="H4144" s="6" t="s">
        <v>376</v>
      </c>
      <c r="I4144" s="6" t="s">
        <v>105</v>
      </c>
      <c r="J4144" s="6" t="s">
        <v>345</v>
      </c>
      <c r="K4144" s="10">
        <v>31.36</v>
      </c>
      <c r="L4144" s="10">
        <v>98</v>
      </c>
      <c r="M4144" s="6" t="s">
        <v>375</v>
      </c>
    </row>
    <row r="4145" spans="1:13">
      <c r="A4145" s="6">
        <v>2024</v>
      </c>
      <c r="B4145" s="6">
        <v>8</v>
      </c>
      <c r="C4145" s="6" t="s">
        <v>66</v>
      </c>
      <c r="D4145" s="6" t="s">
        <v>526</v>
      </c>
      <c r="E4145" s="6" t="s">
        <v>405</v>
      </c>
      <c r="F4145" s="6" t="str">
        <f>IF($M4145="PADD I","PADD 1",IF($M4145="PADD II","PADD 2",IF($M4145="PADD III","PADD 3",IF($M4145="PADD IV","PADD 4",IF($M4145="PADD V","PADD 5","")))))</f>
        <v>PADD 3</v>
      </c>
      <c r="G4145" s="6">
        <f>IF(AND($H4145="ATMOS DISTILLATION",ISNUMBER(SEARCH("VPS",$I4145))=FALSE,LEFT($I4145,6)&lt;&gt;"VACUUM"),"CDU",IF($H4145="FLUID CAT CRACKING","FCC",IF(OR($H4145="HYDROCRACKING",$H4145="RESID_HYDROCRACKING"),"Hydrocracker",IF($H4145="REFORMING","Reformer",""))))</f>
        <v/>
      </c>
      <c r="H4145" s="6" t="s">
        <v>43</v>
      </c>
      <c r="I4145" s="6" t="s">
        <v>1076</v>
      </c>
      <c r="J4145" s="6" t="s">
        <v>345</v>
      </c>
      <c r="K4145" s="10">
        <v>30.55</v>
      </c>
      <c r="L4145" s="10">
        <v>47</v>
      </c>
      <c r="M4145" s="6" t="s">
        <v>371</v>
      </c>
    </row>
    <row r="4146" spans="1:13">
      <c r="A4146" s="6">
        <v>2024</v>
      </c>
      <c r="B4146" s="6">
        <v>8</v>
      </c>
      <c r="C4146" s="6" t="s">
        <v>66</v>
      </c>
      <c r="D4146" s="6" t="s">
        <v>714</v>
      </c>
      <c r="E4146" s="6" t="s">
        <v>405</v>
      </c>
      <c r="F4146" s="6" t="str">
        <f>IF($M4146="PADD I","PADD 1",IF($M4146="PADD II","PADD 2",IF($M4146="PADD III","PADD 3",IF($M4146="PADD IV","PADD 4",IF($M4146="PADD V","PADD 5","")))))</f>
        <v>PADD 3</v>
      </c>
      <c r="G4146" s="6">
        <f>IF(AND($H4146="ATMOS DISTILLATION",ISNUMBER(SEARCH("VPS",$I4146))=FALSE,LEFT($I4146,6)&lt;&gt;"VACUUM"),"CDU",IF($H4146="FLUID CAT CRACKING","FCC",IF(OR($H4146="HYDROCRACKING",$H4146="RESID_HYDROCRACKING"),"Hydrocracker",IF($H4146="REFORMING","Reformer",""))))</f>
        <v/>
      </c>
      <c r="H4146" s="6" t="s">
        <v>378</v>
      </c>
      <c r="I4146" s="6" t="s">
        <v>494</v>
      </c>
      <c r="J4146" s="6" t="s">
        <v>349</v>
      </c>
      <c r="K4146" s="10">
        <v>29.1</v>
      </c>
      <c r="L4146" s="10">
        <v>30</v>
      </c>
      <c r="M4146" s="6" t="s">
        <v>371</v>
      </c>
    </row>
    <row r="4147" spans="1:13">
      <c r="A4147" s="6">
        <v>2024</v>
      </c>
      <c r="B4147" s="6">
        <v>8</v>
      </c>
      <c r="C4147" s="6" t="s">
        <v>66</v>
      </c>
      <c r="D4147" s="6" t="s">
        <v>321</v>
      </c>
      <c r="E4147" s="6" t="s">
        <v>381</v>
      </c>
      <c r="F4147" s="6" t="str">
        <f>IF($M4147="PADD I","PADD 1",IF($M4147="PADD II","PADD 2",IF($M4147="PADD III","PADD 3",IF($M4147="PADD IV","PADD 4",IF($M4147="PADD V","PADD 5","")))))</f>
        <v>PADD 2</v>
      </c>
      <c r="G4147" s="6">
        <f>IF(AND($H4147="ATMOS DISTILLATION",ISNUMBER(SEARCH("VPS",$I4147))=FALSE,LEFT($I4147,6)&lt;&gt;"VACUUM"),"CDU",IF($H4147="FLUID CAT CRACKING","FCC",IF(OR($H4147="HYDROCRACKING",$H4147="RESID_HYDROCRACKING"),"Hydrocracker",IF($H4147="REFORMING","Reformer",""))))</f>
        <v/>
      </c>
      <c r="H4147" s="6" t="s">
        <v>43</v>
      </c>
      <c r="I4147" s="6" t="s">
        <v>1165</v>
      </c>
      <c r="J4147" s="6" t="s">
        <v>345</v>
      </c>
      <c r="K4147" s="10">
        <v>28</v>
      </c>
      <c r="L4147" s="10">
        <v>80</v>
      </c>
      <c r="M4147" s="6" t="s">
        <v>375</v>
      </c>
    </row>
    <row r="4148" spans="1:13">
      <c r="A4148" s="6">
        <v>2024</v>
      </c>
      <c r="B4148" s="6">
        <v>8</v>
      </c>
      <c r="C4148" s="6" t="s">
        <v>66</v>
      </c>
      <c r="D4148" s="6" t="s">
        <v>714</v>
      </c>
      <c r="E4148" s="6" t="s">
        <v>405</v>
      </c>
      <c r="F4148" s="6" t="str">
        <f>IF($M4148="PADD I","PADD 1",IF($M4148="PADD II","PADD 2",IF($M4148="PADD III","PADD 3",IF($M4148="PADD IV","PADD 4",IF($M4148="PADD V","PADD 5","")))))</f>
        <v>PADD 3</v>
      </c>
      <c r="G4148" s="6" t="str">
        <f>IF(AND($H4148="ATMOS DISTILLATION",ISNUMBER(SEARCH("VPS",$I4148))=FALSE,LEFT($I4148,6)&lt;&gt;"VACUUM"),"CDU",IF($H4148="FLUID CAT CRACKING","FCC",IF(OR($H4148="HYDROCRACKING",$H4148="RESID_HYDROCRACKING"),"Hydrocracker",IF($H4148="REFORMING","Reformer",""))))</f>
        <v>Reformer</v>
      </c>
      <c r="H4148" s="6" t="s">
        <v>421</v>
      </c>
      <c r="I4148" s="6" t="s">
        <v>864</v>
      </c>
      <c r="J4148" s="6" t="s">
        <v>349</v>
      </c>
      <c r="K4148" s="10">
        <v>27.16</v>
      </c>
      <c r="L4148" s="10">
        <v>28</v>
      </c>
      <c r="M4148" s="6" t="s">
        <v>371</v>
      </c>
    </row>
    <row r="4149" spans="1:13">
      <c r="A4149" s="6">
        <v>2024</v>
      </c>
      <c r="B4149" s="6">
        <v>8</v>
      </c>
      <c r="C4149" s="6" t="s">
        <v>66</v>
      </c>
      <c r="D4149" s="6" t="s">
        <v>615</v>
      </c>
      <c r="E4149" s="6" t="s">
        <v>405</v>
      </c>
      <c r="F4149" s="6" t="str">
        <f>IF($M4149="PADD I","PADD 1",IF($M4149="PADD II","PADD 2",IF($M4149="PADD III","PADD 3",IF($M4149="PADD IV","PADD 4",IF($M4149="PADD V","PADD 5","")))))</f>
        <v>PADD 5</v>
      </c>
      <c r="G4149" s="6" t="str">
        <f>IF(AND($H4149="ATMOS DISTILLATION",ISNUMBER(SEARCH("VPS",$I4149))=FALSE,LEFT($I4149,6)&lt;&gt;"VACUUM"),"CDU",IF($H4149="FLUID CAT CRACKING","FCC",IF(OR($H4149="HYDROCRACKING",$H4149="RESID_HYDROCRACKING"),"Hydrocracker",IF($H4149="REFORMING","Reformer",""))))</f>
        <v>FCC</v>
      </c>
      <c r="H4149" s="6" t="s">
        <v>376</v>
      </c>
      <c r="I4149" s="6" t="s">
        <v>105</v>
      </c>
      <c r="J4149" s="6" t="s">
        <v>345</v>
      </c>
      <c r="K4149" s="10">
        <v>26.95</v>
      </c>
      <c r="L4149" s="10">
        <v>77</v>
      </c>
      <c r="M4149" s="6" t="s">
        <v>386</v>
      </c>
    </row>
    <row r="4150" spans="1:13">
      <c r="A4150" s="6">
        <v>2024</v>
      </c>
      <c r="B4150" s="6">
        <v>8</v>
      </c>
      <c r="C4150" s="6" t="s">
        <v>66</v>
      </c>
      <c r="D4150" s="6" t="s">
        <v>615</v>
      </c>
      <c r="E4150" s="6" t="s">
        <v>405</v>
      </c>
      <c r="F4150" s="6" t="str">
        <f>IF($M4150="PADD I","PADD 1",IF($M4150="PADD II","PADD 2",IF($M4150="PADD III","PADD 3",IF($M4150="PADD IV","PADD 4",IF($M4150="PADD V","PADD 5","")))))</f>
        <v>PADD 5</v>
      </c>
      <c r="G4150" s="6" t="str">
        <f>IF(AND($H4150="ATMOS DISTILLATION",ISNUMBER(SEARCH("VPS",$I4150))=FALSE,LEFT($I4150,6)&lt;&gt;"VACUUM"),"CDU",IF($H4150="FLUID CAT CRACKING","FCC",IF(OR($H4150="HYDROCRACKING",$H4150="RESID_HYDROCRACKING"),"Hydrocracker",IF($H4150="REFORMING","Reformer",""))))</f>
        <v>FCC</v>
      </c>
      <c r="H4150" s="6" t="s">
        <v>376</v>
      </c>
      <c r="I4150" s="6" t="s">
        <v>105</v>
      </c>
      <c r="J4150" s="6" t="s">
        <v>349</v>
      </c>
      <c r="K4150" s="10">
        <v>26.95</v>
      </c>
      <c r="L4150" s="10">
        <v>77</v>
      </c>
      <c r="M4150" s="6" t="s">
        <v>386</v>
      </c>
    </row>
    <row r="4151" spans="1:13">
      <c r="A4151" s="6">
        <v>2024</v>
      </c>
      <c r="B4151" s="6">
        <v>8</v>
      </c>
      <c r="C4151" s="6" t="s">
        <v>66</v>
      </c>
      <c r="D4151" s="6" t="s">
        <v>387</v>
      </c>
      <c r="E4151" s="6" t="s">
        <v>388</v>
      </c>
      <c r="F4151" s="6" t="str">
        <f>IF($M4151="PADD I","PADD 1",IF($M4151="PADD II","PADD 2",IF($M4151="PADD III","PADD 3",IF($M4151="PADD IV","PADD 4",IF($M4151="PADD V","PADD 5","")))))</f>
        <v>PADD 3</v>
      </c>
      <c r="G4151" s="6" t="str">
        <f>IF(AND($H4151="ATMOS DISTILLATION",ISNUMBER(SEARCH("VPS",$I4151))=FALSE,LEFT($I4151,6)&lt;&gt;"VACUUM"),"CDU",IF($H4151="FLUID CAT CRACKING","FCC",IF(OR($H4151="HYDROCRACKING",$H4151="RESID_HYDROCRACKING"),"Hydrocracker",IF($H4151="REFORMING","Reformer",""))))</f>
        <v>FCC</v>
      </c>
      <c r="H4151" s="6" t="s">
        <v>376</v>
      </c>
      <c r="I4151" s="6" t="s">
        <v>472</v>
      </c>
      <c r="J4151" s="6" t="s">
        <v>345</v>
      </c>
      <c r="K4151" s="10">
        <v>22.4</v>
      </c>
      <c r="L4151" s="10">
        <v>140</v>
      </c>
      <c r="M4151" s="6" t="s">
        <v>371</v>
      </c>
    </row>
    <row r="4152" spans="1:13">
      <c r="A4152" s="6">
        <v>2024</v>
      </c>
      <c r="B4152" s="6">
        <v>8</v>
      </c>
      <c r="C4152" s="6" t="s">
        <v>66</v>
      </c>
      <c r="D4152" s="6" t="s">
        <v>331</v>
      </c>
      <c r="E4152" s="6" t="s">
        <v>373</v>
      </c>
      <c r="F4152" s="6" t="str">
        <f>IF($M4152="PADD I","PADD 1",IF($M4152="PADD II","PADD 2",IF($M4152="PADD III","PADD 3",IF($M4152="PADD IV","PADD 4",IF($M4152="PADD V","PADD 5","")))))</f>
        <v>PADD 2</v>
      </c>
      <c r="G4152" s="6" t="str">
        <f>IF(AND($H4152="ATMOS DISTILLATION",ISNUMBER(SEARCH("VPS",$I4152))=FALSE,LEFT($I4152,6)&lt;&gt;"VACUUM"),"CDU",IF($H4152="FLUID CAT CRACKING","FCC",IF(OR($H4152="HYDROCRACKING",$H4152="RESID_HYDROCRACKING"),"Hydrocracker",IF($H4152="REFORMING","Reformer",""))))</f>
        <v>Reformer</v>
      </c>
      <c r="H4152" s="6" t="s">
        <v>421</v>
      </c>
      <c r="I4152" s="6" t="s">
        <v>916</v>
      </c>
      <c r="J4152" s="6" t="s">
        <v>345</v>
      </c>
      <c r="K4152" s="10">
        <v>20.8</v>
      </c>
      <c r="L4152" s="10">
        <v>40</v>
      </c>
      <c r="M4152" s="6" t="s">
        <v>375</v>
      </c>
    </row>
    <row r="4153" spans="1:13">
      <c r="A4153" s="6">
        <v>2024</v>
      </c>
      <c r="B4153" s="6">
        <v>8</v>
      </c>
      <c r="C4153" s="6" t="s">
        <v>66</v>
      </c>
      <c r="D4153" s="6" t="s">
        <v>333</v>
      </c>
      <c r="E4153" s="6" t="s">
        <v>381</v>
      </c>
      <c r="F4153" s="6" t="str">
        <f>IF($M4153="PADD I","PADD 1",IF($M4153="PADD II","PADD 2",IF($M4153="PADD III","PADD 3",IF($M4153="PADD IV","PADD 4",IF($M4153="PADD V","PADD 5","")))))</f>
        <v>PADD 3</v>
      </c>
      <c r="G4153" s="6" t="str">
        <f>IF(AND($H4153="ATMOS DISTILLATION",ISNUMBER(SEARCH("VPS",$I4153))=FALSE,LEFT($I4153,6)&lt;&gt;"VACUUM"),"CDU",IF($H4153="FLUID CAT CRACKING","FCC",IF(OR($H4153="HYDROCRACKING",$H4153="RESID_HYDROCRACKING"),"Hydrocracker",IF($H4153="REFORMING","Reformer",""))))</f>
        <v>Hydrocracker</v>
      </c>
      <c r="H4153" s="6" t="s">
        <v>444</v>
      </c>
      <c r="I4153" s="6" t="s">
        <v>14</v>
      </c>
      <c r="J4153" s="6" t="s">
        <v>345</v>
      </c>
      <c r="K4153" s="10">
        <v>20.8</v>
      </c>
      <c r="L4153" s="10">
        <v>65</v>
      </c>
      <c r="M4153" s="6" t="s">
        <v>371</v>
      </c>
    </row>
    <row r="4154" spans="1:13">
      <c r="A4154" s="6">
        <v>2024</v>
      </c>
      <c r="B4154" s="6">
        <v>8</v>
      </c>
      <c r="C4154" s="6" t="s">
        <v>66</v>
      </c>
      <c r="D4154" s="6" t="s">
        <v>723</v>
      </c>
      <c r="E4154" s="6" t="s">
        <v>724</v>
      </c>
      <c r="F4154" s="6" t="str">
        <f>IF($M4154="PADD I","PADD 1",IF($M4154="PADD II","PADD 2",IF($M4154="PADD III","PADD 3",IF($M4154="PADD IV","PADD 4",IF($M4154="PADD V","PADD 5","")))))</f>
        <v>PADD 4</v>
      </c>
      <c r="G4154" s="6" t="str">
        <f>IF(AND($H4154="ATMOS DISTILLATION",ISNUMBER(SEARCH("VPS",$I4154))=FALSE,LEFT($I4154,6)&lt;&gt;"VACUUM"),"CDU",IF($H4154="FLUID CAT CRACKING","FCC",IF(OR($H4154="HYDROCRACKING",$H4154="RESID_HYDROCRACKING"),"Hydrocracker",IF($H4154="REFORMING","Reformer",""))))</f>
        <v>FCC</v>
      </c>
      <c r="H4154" s="6" t="s">
        <v>376</v>
      </c>
      <c r="I4154" s="6" t="s">
        <v>105</v>
      </c>
      <c r="J4154" s="6" t="s">
        <v>345</v>
      </c>
      <c r="K4154" s="10">
        <v>19.8744</v>
      </c>
      <c r="L4154" s="10">
        <v>23.66</v>
      </c>
      <c r="M4154" s="6" t="s">
        <v>430</v>
      </c>
    </row>
    <row r="4155" spans="1:13">
      <c r="A4155" s="6">
        <v>2024</v>
      </c>
      <c r="B4155" s="6">
        <v>8</v>
      </c>
      <c r="C4155" s="6" t="s">
        <v>66</v>
      </c>
      <c r="D4155" s="6" t="s">
        <v>446</v>
      </c>
      <c r="E4155" s="6" t="s">
        <v>391</v>
      </c>
      <c r="F4155" s="6" t="str">
        <f>IF($M4155="PADD I","PADD 1",IF($M4155="PADD II","PADD 2",IF($M4155="PADD III","PADD 3",IF($M4155="PADD IV","PADD 4",IF($M4155="PADD V","PADD 5","")))))</f>
        <v>PADD 3</v>
      </c>
      <c r="G4155" s="6" t="str">
        <f>IF(AND($H4155="ATMOS DISTILLATION",ISNUMBER(SEARCH("VPS",$I4155))=FALSE,LEFT($I4155,6)&lt;&gt;"VACUUM"),"CDU",IF($H4155="FLUID CAT CRACKING","FCC",IF(OR($H4155="HYDROCRACKING",$H4155="RESID_HYDROCRACKING"),"Hydrocracker",IF($H4155="REFORMING","Reformer",""))))</f>
        <v>Reformer</v>
      </c>
      <c r="H4155" s="6" t="s">
        <v>421</v>
      </c>
      <c r="I4155" s="6" t="s">
        <v>483</v>
      </c>
      <c r="J4155" s="6" t="s">
        <v>345</v>
      </c>
      <c r="K4155" s="10">
        <v>19.32</v>
      </c>
      <c r="L4155" s="10">
        <v>23</v>
      </c>
      <c r="M4155" s="6" t="s">
        <v>371</v>
      </c>
    </row>
    <row r="4156" spans="1:13">
      <c r="A4156" s="6">
        <v>2024</v>
      </c>
      <c r="B4156" s="6">
        <v>8</v>
      </c>
      <c r="C4156" s="6" t="s">
        <v>66</v>
      </c>
      <c r="D4156" s="6" t="s">
        <v>321</v>
      </c>
      <c r="E4156" s="6" t="s">
        <v>381</v>
      </c>
      <c r="F4156" s="6" t="str">
        <f>IF($M4156="PADD I","PADD 1",IF($M4156="PADD II","PADD 2",IF($M4156="PADD III","PADD 3",IF($M4156="PADD IV","PADD 4",IF($M4156="PADD V","PADD 5","")))))</f>
        <v>PADD 2</v>
      </c>
      <c r="G4156" s="6">
        <f>IF(AND($H4156="ATMOS DISTILLATION",ISNUMBER(SEARCH("VPS",$I4156))=FALSE,LEFT($I4156,6)&lt;&gt;"VACUUM"),"CDU",IF($H4156="FLUID CAT CRACKING","FCC",IF(OR($H4156="HYDROCRACKING",$H4156="RESID_HYDROCRACKING"),"Hydrocracker",IF($H4156="REFORMING","Reformer",""))))</f>
        <v/>
      </c>
      <c r="H4156" s="6" t="s">
        <v>435</v>
      </c>
      <c r="I4156" s="6" t="s">
        <v>441</v>
      </c>
      <c r="J4156" s="6" t="s">
        <v>345</v>
      </c>
      <c r="K4156" s="10">
        <v>17.92</v>
      </c>
      <c r="L4156" s="10">
        <v>56</v>
      </c>
      <c r="M4156" s="6" t="s">
        <v>375</v>
      </c>
    </row>
    <row r="4157" spans="1:13">
      <c r="A4157" s="6">
        <v>2024</v>
      </c>
      <c r="B4157" s="6">
        <v>8</v>
      </c>
      <c r="C4157" s="6" t="s">
        <v>66</v>
      </c>
      <c r="D4157" s="6" t="s">
        <v>321</v>
      </c>
      <c r="E4157" s="6" t="s">
        <v>381</v>
      </c>
      <c r="F4157" s="6" t="str">
        <f>IF($M4157="PADD I","PADD 1",IF($M4157="PADD II","PADD 2",IF($M4157="PADD III","PADD 3",IF($M4157="PADD IV","PADD 4",IF($M4157="PADD V","PADD 5","")))))</f>
        <v>PADD 2</v>
      </c>
      <c r="G4157" s="6">
        <f>IF(AND($H4157="ATMOS DISTILLATION",ISNUMBER(SEARCH("VPS",$I4157))=FALSE,LEFT($I4157,6)&lt;&gt;"VACUUM"),"CDU",IF($H4157="FLUID CAT CRACKING","FCC",IF(OR($H4157="HYDROCRACKING",$H4157="RESID_HYDROCRACKING"),"Hydrocracker",IF($H4157="REFORMING","Reformer",""))))</f>
        <v/>
      </c>
      <c r="H4157" s="6" t="s">
        <v>43</v>
      </c>
      <c r="I4157" s="6" t="s">
        <v>744</v>
      </c>
      <c r="J4157" s="6" t="s">
        <v>345</v>
      </c>
      <c r="K4157" s="10">
        <v>17.5</v>
      </c>
      <c r="L4157" s="10">
        <v>50</v>
      </c>
      <c r="M4157" s="6" t="s">
        <v>375</v>
      </c>
    </row>
    <row r="4158" spans="1:13">
      <c r="A4158" s="6">
        <v>2024</v>
      </c>
      <c r="B4158" s="6">
        <v>8</v>
      </c>
      <c r="C4158" s="6" t="s">
        <v>66</v>
      </c>
      <c r="D4158" s="6" t="s">
        <v>572</v>
      </c>
      <c r="E4158" s="6" t="s">
        <v>573</v>
      </c>
      <c r="F4158" s="6" t="str">
        <f>IF($M4158="PADD I","PADD 1",IF($M4158="PADD II","PADD 2",IF($M4158="PADD III","PADD 3",IF($M4158="PADD IV","PADD 4",IF($M4158="PADD V","PADD 5","")))))</f>
        <v>PADD 3</v>
      </c>
      <c r="G4158" s="6" t="str">
        <f>IF(AND($H4158="ATMOS DISTILLATION",ISNUMBER(SEARCH("VPS",$I4158))=FALSE,LEFT($I4158,6)&lt;&gt;"VACUUM"),"CDU",IF($H4158="FLUID CAT CRACKING","FCC",IF(OR($H4158="HYDROCRACKING",$H4158="RESID_HYDROCRACKING"),"Hydrocracker",IF($H4158="REFORMING","Reformer",""))))</f>
        <v>CDU</v>
      </c>
      <c r="H4158" s="6" t="s">
        <v>38</v>
      </c>
      <c r="I4158" s="6" t="s">
        <v>574</v>
      </c>
      <c r="J4158" s="6" t="s">
        <v>345</v>
      </c>
      <c r="K4158" s="10">
        <v>17.5</v>
      </c>
      <c r="L4158" s="10">
        <v>50</v>
      </c>
      <c r="M4158" s="6" t="s">
        <v>371</v>
      </c>
    </row>
    <row r="4159" spans="1:13">
      <c r="A4159" s="6">
        <v>2024</v>
      </c>
      <c r="B4159" s="6">
        <v>8</v>
      </c>
      <c r="C4159" s="6" t="s">
        <v>66</v>
      </c>
      <c r="D4159" s="6" t="s">
        <v>372</v>
      </c>
      <c r="E4159" s="6" t="s">
        <v>373</v>
      </c>
      <c r="F4159" s="6" t="str">
        <f>IF($M4159="PADD I","PADD 1",IF($M4159="PADD II","PADD 2",IF($M4159="PADD III","PADD 3",IF($M4159="PADD IV","PADD 4",IF($M4159="PADD V","PADD 5","")))))</f>
        <v>PADD 2</v>
      </c>
      <c r="G4159" s="6" t="str">
        <f>IF(AND($H4159="ATMOS DISTILLATION",ISNUMBER(SEARCH("VPS",$I4159))=FALSE,LEFT($I4159,6)&lt;&gt;"VACUUM"),"CDU",IF($H4159="FLUID CAT CRACKING","FCC",IF(OR($H4159="HYDROCRACKING",$H4159="RESID_HYDROCRACKING"),"Hydrocracker",IF($H4159="REFORMING","Reformer",""))))</f>
        <v>CDU</v>
      </c>
      <c r="H4159" s="6" t="s">
        <v>38</v>
      </c>
      <c r="I4159" s="6" t="s">
        <v>414</v>
      </c>
      <c r="J4159" s="6" t="s">
        <v>345</v>
      </c>
      <c r="K4159" s="10">
        <v>16.8</v>
      </c>
      <c r="L4159" s="10">
        <v>40</v>
      </c>
      <c r="M4159" s="6" t="s">
        <v>375</v>
      </c>
    </row>
    <row r="4160" spans="1:13">
      <c r="A4160" s="6">
        <v>2024</v>
      </c>
      <c r="B4160" s="6">
        <v>8</v>
      </c>
      <c r="C4160" s="6" t="s">
        <v>66</v>
      </c>
      <c r="D4160" s="6" t="s">
        <v>321</v>
      </c>
      <c r="E4160" s="6" t="s">
        <v>381</v>
      </c>
      <c r="F4160" s="6" t="str">
        <f>IF($M4160="PADD I","PADD 1",IF($M4160="PADD II","PADD 2",IF($M4160="PADD III","PADD 3",IF($M4160="PADD IV","PADD 4",IF($M4160="PADD V","PADD 5","")))))</f>
        <v>PADD 2</v>
      </c>
      <c r="G4160" s="6" t="str">
        <f>IF(AND($H4160="ATMOS DISTILLATION",ISNUMBER(SEARCH("VPS",$I4160))=FALSE,LEFT($I4160,6)&lt;&gt;"VACUUM"),"CDU",IF($H4160="FLUID CAT CRACKING","FCC",IF(OR($H4160="HYDROCRACKING",$H4160="RESID_HYDROCRACKING"),"Hydrocracker",IF($H4160="REFORMING","Reformer",""))))</f>
        <v>Reformer</v>
      </c>
      <c r="H4160" s="6" t="s">
        <v>421</v>
      </c>
      <c r="I4160" s="6" t="s">
        <v>228</v>
      </c>
      <c r="J4160" s="6" t="s">
        <v>345</v>
      </c>
      <c r="K4160" s="10">
        <v>16</v>
      </c>
      <c r="L4160" s="10">
        <v>50</v>
      </c>
      <c r="M4160" s="6" t="s">
        <v>375</v>
      </c>
    </row>
    <row r="4161" spans="1:13">
      <c r="A4161" s="6">
        <v>2024</v>
      </c>
      <c r="B4161" s="6">
        <v>8</v>
      </c>
      <c r="C4161" s="6" t="s">
        <v>66</v>
      </c>
      <c r="D4161" s="6" t="s">
        <v>723</v>
      </c>
      <c r="E4161" s="6" t="s">
        <v>724</v>
      </c>
      <c r="F4161" s="6" t="str">
        <f>IF($M4161="PADD I","PADD 1",IF($M4161="PADD II","PADD 2",IF($M4161="PADD III","PADD 3",IF($M4161="PADD IV","PADD 4",IF($M4161="PADD V","PADD 5","")))))</f>
        <v>PADD 4</v>
      </c>
      <c r="G4161" s="6">
        <f>IF(AND($H4161="ATMOS DISTILLATION",ISNUMBER(SEARCH("VPS",$I4161))=FALSE,LEFT($I4161,6)&lt;&gt;"VACUUM"),"CDU",IF($H4161="FLUID CAT CRACKING","FCC",IF(OR($H4161="HYDROCRACKING",$H4161="RESID_HYDROCRACKING"),"Hydrocracker",IF($H4161="REFORMING","Reformer",""))))</f>
        <v/>
      </c>
      <c r="H4161" s="6" t="s">
        <v>43</v>
      </c>
      <c r="I4161" s="6" t="s">
        <v>1225</v>
      </c>
      <c r="J4161" s="6" t="s">
        <v>349</v>
      </c>
      <c r="K4161" s="10">
        <v>15</v>
      </c>
      <c r="L4161" s="10">
        <v>15</v>
      </c>
      <c r="M4161" s="6" t="s">
        <v>430</v>
      </c>
    </row>
    <row r="4162" spans="1:13">
      <c r="A4162" s="6">
        <v>2024</v>
      </c>
      <c r="B4162" s="6">
        <v>8</v>
      </c>
      <c r="C4162" s="6" t="s">
        <v>66</v>
      </c>
      <c r="D4162" s="6" t="s">
        <v>468</v>
      </c>
      <c r="E4162" s="6" t="s">
        <v>369</v>
      </c>
      <c r="F4162" s="6" t="str">
        <f>IF($M4162="PADD I","PADD 1",IF($M4162="PADD II","PADD 2",IF($M4162="PADD III","PADD 3",IF($M4162="PADD IV","PADD 4",IF($M4162="PADD V","PADD 5","")))))</f>
        <v>PADD 3</v>
      </c>
      <c r="G4162" s="6">
        <f>IF(AND($H4162="ATMOS DISTILLATION",ISNUMBER(SEARCH("VPS",$I4162))=FALSE,LEFT($I4162,6)&lt;&gt;"VACUUM"),"CDU",IF($H4162="FLUID CAT CRACKING","FCC",IF(OR($H4162="HYDROCRACKING",$H4162="RESID_HYDROCRACKING"),"Hydrocracker",IF($H4162="REFORMING","Reformer",""))))</f>
        <v/>
      </c>
      <c r="H4162" s="6" t="s">
        <v>43</v>
      </c>
      <c r="I4162" s="6" t="s">
        <v>1028</v>
      </c>
      <c r="J4162" s="6" t="s">
        <v>345</v>
      </c>
      <c r="K4162" s="10">
        <v>14.28</v>
      </c>
      <c r="L4162" s="10">
        <v>34</v>
      </c>
      <c r="M4162" s="6" t="s">
        <v>371</v>
      </c>
    </row>
    <row r="4163" spans="1:13">
      <c r="A4163" s="6">
        <v>2024</v>
      </c>
      <c r="B4163" s="6">
        <v>8</v>
      </c>
      <c r="C4163" s="6" t="s">
        <v>66</v>
      </c>
      <c r="D4163" s="6" t="s">
        <v>372</v>
      </c>
      <c r="E4163" s="6" t="s">
        <v>373</v>
      </c>
      <c r="F4163" s="6" t="str">
        <f>IF($M4163="PADD I","PADD 1",IF($M4163="PADD II","PADD 2",IF($M4163="PADD III","PADD 3",IF($M4163="PADD IV","PADD 4",IF($M4163="PADD V","PADD 5","")))))</f>
        <v>PADD 2</v>
      </c>
      <c r="G4163" s="6" t="str">
        <f>IF(AND($H4163="ATMOS DISTILLATION",ISNUMBER(SEARCH("VPS",$I4163))=FALSE,LEFT($I4163,6)&lt;&gt;"VACUUM"),"CDU",IF($H4163="FLUID CAT CRACKING","FCC",IF(OR($H4163="HYDROCRACKING",$H4163="RESID_HYDROCRACKING"),"Hydrocracker",IF($H4163="REFORMING","Reformer",""))))</f>
        <v>CDU</v>
      </c>
      <c r="H4163" s="6" t="s">
        <v>38</v>
      </c>
      <c r="I4163" s="6" t="s">
        <v>414</v>
      </c>
      <c r="J4163" s="6" t="s">
        <v>345</v>
      </c>
      <c r="K4163" s="10">
        <v>12.8</v>
      </c>
      <c r="L4163" s="10">
        <v>40</v>
      </c>
      <c r="M4163" s="6" t="s">
        <v>375</v>
      </c>
    </row>
    <row r="4164" spans="1:13">
      <c r="A4164" s="6">
        <v>2024</v>
      </c>
      <c r="B4164" s="6">
        <v>8</v>
      </c>
      <c r="C4164" s="6" t="s">
        <v>66</v>
      </c>
      <c r="D4164" s="6" t="s">
        <v>526</v>
      </c>
      <c r="E4164" s="6" t="s">
        <v>405</v>
      </c>
      <c r="F4164" s="6" t="str">
        <f>IF($M4164="PADD I","PADD 1",IF($M4164="PADD II","PADD 2",IF($M4164="PADD III","PADD 3",IF($M4164="PADD IV","PADD 4",IF($M4164="PADD V","PADD 5","")))))</f>
        <v>PADD 3</v>
      </c>
      <c r="G4164" s="6">
        <f>IF(AND($H4164="ATMOS DISTILLATION",ISNUMBER(SEARCH("VPS",$I4164))=FALSE,LEFT($I4164,6)&lt;&gt;"VACUUM"),"CDU",IF($H4164="FLUID CAT CRACKING","FCC",IF(OR($H4164="HYDROCRACKING",$H4164="RESID_HYDROCRACKING"),"Hydrocracker",IF($H4164="REFORMING","Reformer",""))))</f>
        <v/>
      </c>
      <c r="H4164" s="6" t="s">
        <v>43</v>
      </c>
      <c r="I4164" s="6" t="s">
        <v>1226</v>
      </c>
      <c r="J4164" s="6" t="s">
        <v>345</v>
      </c>
      <c r="K4164" s="10">
        <v>12.025</v>
      </c>
      <c r="L4164" s="10">
        <v>18.5</v>
      </c>
      <c r="M4164" s="6" t="s">
        <v>371</v>
      </c>
    </row>
    <row r="4165" spans="1:13">
      <c r="A4165" s="6">
        <v>2024</v>
      </c>
      <c r="B4165" s="6">
        <v>8</v>
      </c>
      <c r="C4165" s="6" t="s">
        <v>66</v>
      </c>
      <c r="D4165" s="6" t="s">
        <v>331</v>
      </c>
      <c r="E4165" s="6" t="s">
        <v>373</v>
      </c>
      <c r="F4165" s="6" t="str">
        <f>IF($M4165="PADD I","PADD 1",IF($M4165="PADD II","PADD 2",IF($M4165="PADD III","PADD 3",IF($M4165="PADD IV","PADD 4",IF($M4165="PADD V","PADD 5","")))))</f>
        <v>PADD 2</v>
      </c>
      <c r="G4165" s="6">
        <f>IF(AND($H4165="ATMOS DISTILLATION",ISNUMBER(SEARCH("VPS",$I4165))=FALSE,LEFT($I4165,6)&lt;&gt;"VACUUM"),"CDU",IF($H4165="FLUID CAT CRACKING","FCC",IF(OR($H4165="HYDROCRACKING",$H4165="RESID_HYDROCRACKING"),"Hydrocracker",IF($H4165="REFORMING","Reformer",""))))</f>
        <v/>
      </c>
      <c r="H4165" s="6" t="s">
        <v>378</v>
      </c>
      <c r="I4165" s="6" t="s">
        <v>431</v>
      </c>
      <c r="J4165" s="6" t="s">
        <v>345</v>
      </c>
      <c r="K4165" s="10">
        <v>11.96</v>
      </c>
      <c r="L4165" s="10">
        <v>52</v>
      </c>
      <c r="M4165" s="6" t="s">
        <v>375</v>
      </c>
    </row>
    <row r="4166" spans="1:13">
      <c r="A4166" s="6">
        <v>2024</v>
      </c>
      <c r="B4166" s="6">
        <v>8</v>
      </c>
      <c r="C4166" s="6" t="s">
        <v>66</v>
      </c>
      <c r="D4166" s="6" t="s">
        <v>331</v>
      </c>
      <c r="E4166" s="6" t="s">
        <v>373</v>
      </c>
      <c r="F4166" s="6" t="str">
        <f>IF($M4166="PADD I","PADD 1",IF($M4166="PADD II","PADD 2",IF($M4166="PADD III","PADD 3",IF($M4166="PADD IV","PADD 4",IF($M4166="PADD V","PADD 5","")))))</f>
        <v>PADD 2</v>
      </c>
      <c r="G4166" s="6" t="str">
        <f>IF(AND($H4166="ATMOS DISTILLATION",ISNUMBER(SEARCH("VPS",$I4166))=FALSE,LEFT($I4166,6)&lt;&gt;"VACUUM"),"CDU",IF($H4166="FLUID CAT CRACKING","FCC",IF(OR($H4166="HYDROCRACKING",$H4166="RESID_HYDROCRACKING"),"Hydrocracker",IF($H4166="REFORMING","Reformer",""))))</f>
        <v>Reformer</v>
      </c>
      <c r="H4166" s="6" t="s">
        <v>421</v>
      </c>
      <c r="I4166" s="6" t="s">
        <v>916</v>
      </c>
      <c r="J4166" s="6" t="s">
        <v>345</v>
      </c>
      <c r="K4166" s="10">
        <v>11.6</v>
      </c>
      <c r="L4166" s="10">
        <v>40</v>
      </c>
      <c r="M4166" s="6" t="s">
        <v>375</v>
      </c>
    </row>
    <row r="4167" spans="1:13">
      <c r="A4167" s="6">
        <v>2024</v>
      </c>
      <c r="B4167" s="6">
        <v>8</v>
      </c>
      <c r="C4167" s="6" t="s">
        <v>66</v>
      </c>
      <c r="D4167" s="6" t="s">
        <v>547</v>
      </c>
      <c r="E4167" s="6" t="s">
        <v>391</v>
      </c>
      <c r="F4167" s="6" t="str">
        <f>IF($M4167="PADD I","PADD 1",IF($M4167="PADD II","PADD 2",IF($M4167="PADD III","PADD 3",IF($M4167="PADD IV","PADD 4",IF($M4167="PADD V","PADD 5","")))))</f>
        <v>PADD 5</v>
      </c>
      <c r="G4167" s="6" t="str">
        <f>IF(AND($H4167="ATMOS DISTILLATION",ISNUMBER(SEARCH("VPS",$I4167))=FALSE,LEFT($I4167,6)&lt;&gt;"VACUUM"),"CDU",IF($H4167="FLUID CAT CRACKING","FCC",IF(OR($H4167="HYDROCRACKING",$H4167="RESID_HYDROCRACKING"),"Hydrocracker",IF($H4167="REFORMING","Reformer",""))))</f>
        <v>Hydrocracker</v>
      </c>
      <c r="H4167" s="6" t="s">
        <v>444</v>
      </c>
      <c r="I4167" s="6" t="s">
        <v>734</v>
      </c>
      <c r="J4167" s="6" t="s">
        <v>345</v>
      </c>
      <c r="K4167" s="10">
        <v>11.4</v>
      </c>
      <c r="L4167" s="10">
        <v>60</v>
      </c>
      <c r="M4167" s="6" t="s">
        <v>386</v>
      </c>
    </row>
    <row r="4168" spans="1:13">
      <c r="A4168" s="6">
        <v>2024</v>
      </c>
      <c r="B4168" s="6">
        <v>8</v>
      </c>
      <c r="C4168" s="6" t="s">
        <v>66</v>
      </c>
      <c r="D4168" s="6" t="s">
        <v>612</v>
      </c>
      <c r="E4168" s="6" t="s">
        <v>416</v>
      </c>
      <c r="F4168" s="6" t="str">
        <f>IF($M4168="PADD I","PADD 1",IF($M4168="PADD II","PADD 2",IF($M4168="PADD III","PADD 3",IF($M4168="PADD IV","PADD 4",IF($M4168="PADD V","PADD 5","")))))</f>
        <v>PADD 3</v>
      </c>
      <c r="G4168" s="6" t="str">
        <f>IF(AND($H4168="ATMOS DISTILLATION",ISNUMBER(SEARCH("VPS",$I4168))=FALSE,LEFT($I4168,6)&lt;&gt;"VACUUM"),"CDU",IF($H4168="FLUID CAT CRACKING","FCC",IF(OR($H4168="HYDROCRACKING",$H4168="RESID_HYDROCRACKING"),"Hydrocracker",IF($H4168="REFORMING","Reformer",""))))</f>
        <v>Reformer</v>
      </c>
      <c r="H4168" s="6" t="s">
        <v>421</v>
      </c>
      <c r="I4168" s="6" t="s">
        <v>755</v>
      </c>
      <c r="J4168" s="6" t="s">
        <v>345</v>
      </c>
      <c r="K4168" s="10">
        <v>10.5</v>
      </c>
      <c r="L4168" s="10">
        <v>30</v>
      </c>
      <c r="M4168" s="6" t="s">
        <v>371</v>
      </c>
    </row>
    <row r="4169" spans="1:13">
      <c r="A4169" s="6">
        <v>2024</v>
      </c>
      <c r="B4169" s="6">
        <v>8</v>
      </c>
      <c r="C4169" s="6" t="s">
        <v>66</v>
      </c>
      <c r="D4169" s="6" t="s">
        <v>714</v>
      </c>
      <c r="E4169" s="6" t="s">
        <v>405</v>
      </c>
      <c r="F4169" s="6" t="str">
        <f>IF($M4169="PADD I","PADD 1",IF($M4169="PADD II","PADD 2",IF($M4169="PADD III","PADD 3",IF($M4169="PADD IV","PADD 4",IF($M4169="PADD V","PADD 5","")))))</f>
        <v>PADD 3</v>
      </c>
      <c r="G4169" s="6">
        <f>IF(AND($H4169="ATMOS DISTILLATION",ISNUMBER(SEARCH("VPS",$I4169))=FALSE,LEFT($I4169,6)&lt;&gt;"VACUUM"),"CDU",IF($H4169="FLUID CAT CRACKING","FCC",IF(OR($H4169="HYDROCRACKING",$H4169="RESID_HYDROCRACKING"),"Hydrocracker",IF($H4169="REFORMING","Reformer",""))))</f>
        <v/>
      </c>
      <c r="H4169" s="6" t="s">
        <v>460</v>
      </c>
      <c r="I4169" s="6" t="s">
        <v>461</v>
      </c>
      <c r="J4169" s="6" t="s">
        <v>349</v>
      </c>
      <c r="K4169" s="10">
        <v>9.215</v>
      </c>
      <c r="L4169" s="10">
        <v>9.5</v>
      </c>
      <c r="M4169" s="6" t="s">
        <v>371</v>
      </c>
    </row>
    <row r="4170" spans="1:13">
      <c r="A4170" s="6">
        <v>2024</v>
      </c>
      <c r="B4170" s="6">
        <v>8</v>
      </c>
      <c r="C4170" s="6" t="s">
        <v>66</v>
      </c>
      <c r="D4170" s="6" t="s">
        <v>500</v>
      </c>
      <c r="E4170" s="6" t="s">
        <v>388</v>
      </c>
      <c r="F4170" s="6" t="str">
        <f>IF($M4170="PADD I","PADD 1",IF($M4170="PADD II","PADD 2",IF($M4170="PADD III","PADD 3",IF($M4170="PADD IV","PADD 4",IF($M4170="PADD V","PADD 5","")))))</f>
        <v>PADD 2</v>
      </c>
      <c r="G4170" s="6" t="str">
        <f>IF(AND($H4170="ATMOS DISTILLATION",ISNUMBER(SEARCH("VPS",$I4170))=FALSE,LEFT($I4170,6)&lt;&gt;"VACUUM"),"CDU",IF($H4170="FLUID CAT CRACKING","FCC",IF(OR($H4170="HYDROCRACKING",$H4170="RESID_HYDROCRACKING"),"Hydrocracker",IF($H4170="REFORMING","Reformer",""))))</f>
        <v>CDU</v>
      </c>
      <c r="H4170" s="6" t="s">
        <v>38</v>
      </c>
      <c r="I4170" s="6" t="s">
        <v>530</v>
      </c>
      <c r="J4170" s="6" t="s">
        <v>345</v>
      </c>
      <c r="K4170" s="10">
        <v>9.199999999999999</v>
      </c>
      <c r="L4170" s="10">
        <v>92</v>
      </c>
      <c r="M4170" s="6" t="s">
        <v>375</v>
      </c>
    </row>
    <row r="4171" spans="1:13">
      <c r="A4171" s="6">
        <v>2024</v>
      </c>
      <c r="B4171" s="6">
        <v>8</v>
      </c>
      <c r="C4171" s="6" t="s">
        <v>66</v>
      </c>
      <c r="D4171" s="6" t="s">
        <v>398</v>
      </c>
      <c r="E4171" s="6" t="s">
        <v>399</v>
      </c>
      <c r="F4171" s="6" t="str">
        <f>IF($M4171="PADD I","PADD 1",IF($M4171="PADD II","PADD 2",IF($M4171="PADD III","PADD 3",IF($M4171="PADD IV","PADD 4",IF($M4171="PADD V","PADD 5","")))))</f>
        <v>PADD 3</v>
      </c>
      <c r="G4171" s="6" t="str">
        <f>IF(AND($H4171="ATMOS DISTILLATION",ISNUMBER(SEARCH("VPS",$I4171))=FALSE,LEFT($I4171,6)&lt;&gt;"VACUUM"),"CDU",IF($H4171="FLUID CAT CRACKING","FCC",IF(OR($H4171="HYDROCRACKING",$H4171="RESID_HYDROCRACKING"),"Hydrocracker",IF($H4171="REFORMING","Reformer",""))))</f>
        <v>FCC</v>
      </c>
      <c r="H4171" s="6" t="s">
        <v>376</v>
      </c>
      <c r="I4171" s="6" t="s">
        <v>1036</v>
      </c>
      <c r="J4171" s="6" t="s">
        <v>345</v>
      </c>
      <c r="K4171" s="10">
        <v>9</v>
      </c>
      <c r="L4171" s="10">
        <v>90</v>
      </c>
      <c r="M4171" s="6" t="s">
        <v>371</v>
      </c>
    </row>
    <row r="4172" spans="1:13">
      <c r="A4172" s="6">
        <v>2024</v>
      </c>
      <c r="B4172" s="6">
        <v>8</v>
      </c>
      <c r="C4172" s="6" t="s">
        <v>66</v>
      </c>
      <c r="D4172" s="6" t="s">
        <v>321</v>
      </c>
      <c r="E4172" s="6" t="s">
        <v>381</v>
      </c>
      <c r="F4172" s="6" t="str">
        <f>IF($M4172="PADD I","PADD 1",IF($M4172="PADD II","PADD 2",IF($M4172="PADD III","PADD 3",IF($M4172="PADD IV","PADD 4",IF($M4172="PADD V","PADD 5","")))))</f>
        <v>PADD 2</v>
      </c>
      <c r="G4172" s="6">
        <f>IF(AND($H4172="ATMOS DISTILLATION",ISNUMBER(SEARCH("VPS",$I4172))=FALSE,LEFT($I4172,6)&lt;&gt;"VACUUM"),"CDU",IF($H4172="FLUID CAT CRACKING","FCC",IF(OR($H4172="HYDROCRACKING",$H4172="RESID_HYDROCRACKING"),"Hydrocracker",IF($H4172="REFORMING","Reformer",""))))</f>
        <v/>
      </c>
      <c r="H4172" s="6" t="s">
        <v>43</v>
      </c>
      <c r="I4172" s="6" t="s">
        <v>1170</v>
      </c>
      <c r="J4172" s="6" t="s">
        <v>345</v>
      </c>
      <c r="K4172" s="10">
        <v>8.75</v>
      </c>
      <c r="L4172" s="10">
        <v>25</v>
      </c>
      <c r="M4172" s="6" t="s">
        <v>375</v>
      </c>
    </row>
    <row r="4173" spans="1:13">
      <c r="A4173" s="6">
        <v>2024</v>
      </c>
      <c r="B4173" s="6">
        <v>8</v>
      </c>
      <c r="C4173" s="6" t="s">
        <v>66</v>
      </c>
      <c r="D4173" s="6" t="s">
        <v>878</v>
      </c>
      <c r="E4173" s="6" t="s">
        <v>452</v>
      </c>
      <c r="F4173" s="6" t="str">
        <f>IF($M4173="PADD I","PADD 1",IF($M4173="PADD II","PADD 2",IF($M4173="PADD III","PADD 3",IF($M4173="PADD IV","PADD 4",IF($M4173="PADD V","PADD 5","")))))</f>
        <v>PADD 2</v>
      </c>
      <c r="G4173" s="6">
        <f>IF(AND($H4173="ATMOS DISTILLATION",ISNUMBER(SEARCH("VPS",$I4173))=FALSE,LEFT($I4173,6)&lt;&gt;"VACUUM"),"CDU",IF($H4173="FLUID CAT CRACKING","FCC",IF(OR($H4173="HYDROCRACKING",$H4173="RESID_HYDROCRACKING"),"Hydrocracker",IF($H4173="REFORMING","Reformer",""))))</f>
        <v/>
      </c>
      <c r="H4173" s="6" t="s">
        <v>435</v>
      </c>
      <c r="I4173" s="6" t="s">
        <v>441</v>
      </c>
      <c r="J4173" s="6" t="s">
        <v>345</v>
      </c>
      <c r="K4173" s="10">
        <v>8.5</v>
      </c>
      <c r="L4173" s="10">
        <v>8.5</v>
      </c>
      <c r="M4173" s="6" t="s">
        <v>375</v>
      </c>
    </row>
    <row r="4174" spans="1:13">
      <c r="A4174" s="6">
        <v>2024</v>
      </c>
      <c r="B4174" s="6">
        <v>8</v>
      </c>
      <c r="C4174" s="6" t="s">
        <v>66</v>
      </c>
      <c r="D4174" s="6" t="s">
        <v>468</v>
      </c>
      <c r="E4174" s="6" t="s">
        <v>369</v>
      </c>
      <c r="F4174" s="6" t="str">
        <f>IF($M4174="PADD I","PADD 1",IF($M4174="PADD II","PADD 2",IF($M4174="PADD III","PADD 3",IF($M4174="PADD IV","PADD 4",IF($M4174="PADD V","PADD 5","")))))</f>
        <v>PADD 3</v>
      </c>
      <c r="G4174" s="6" t="str">
        <f>IF(AND($H4174="ATMOS DISTILLATION",ISNUMBER(SEARCH("VPS",$I4174))=FALSE,LEFT($I4174,6)&lt;&gt;"VACUUM"),"CDU",IF($H4174="FLUID CAT CRACKING","FCC",IF(OR($H4174="HYDROCRACKING",$H4174="RESID_HYDROCRACKING"),"Hydrocracker",IF($H4174="REFORMING","Reformer",""))))</f>
        <v>Reformer</v>
      </c>
      <c r="H4174" s="6" t="s">
        <v>421</v>
      </c>
      <c r="I4174" s="6" t="s">
        <v>858</v>
      </c>
      <c r="J4174" s="6" t="s">
        <v>345</v>
      </c>
      <c r="K4174" s="10">
        <v>8.4</v>
      </c>
      <c r="L4174" s="10">
        <v>20</v>
      </c>
      <c r="M4174" s="6" t="s">
        <v>371</v>
      </c>
    </row>
    <row r="4175" spans="1:13">
      <c r="A4175" s="6">
        <v>2024</v>
      </c>
      <c r="B4175" s="6">
        <v>8</v>
      </c>
      <c r="C4175" s="6" t="s">
        <v>66</v>
      </c>
      <c r="D4175" s="6" t="s">
        <v>774</v>
      </c>
      <c r="E4175" s="6" t="s">
        <v>775</v>
      </c>
      <c r="F4175" s="6" t="str">
        <f>IF($M4175="PADD I","PADD 1",IF($M4175="PADD II","PADD 2",IF($M4175="PADD III","PADD 3",IF($M4175="PADD IV","PADD 4",IF($M4175="PADD V","PADD 5","")))))</f>
        <v>PADD 1</v>
      </c>
      <c r="G4175" s="6" t="str">
        <f>IF(AND($H4175="ATMOS DISTILLATION",ISNUMBER(SEARCH("VPS",$I4175))=FALSE,LEFT($I4175,6)&lt;&gt;"VACUUM"),"CDU",IF($H4175="FLUID CAT CRACKING","FCC",IF(OR($H4175="HYDROCRACKING",$H4175="RESID_HYDROCRACKING"),"Hydrocracker",IF($H4175="REFORMING","Reformer",""))))</f>
        <v>FCC</v>
      </c>
      <c r="H4175" s="6" t="s">
        <v>376</v>
      </c>
      <c r="I4175" s="6" t="s">
        <v>105</v>
      </c>
      <c r="J4175" s="6" t="s">
        <v>345</v>
      </c>
      <c r="K4175" s="10">
        <v>8.199999999999999</v>
      </c>
      <c r="L4175" s="10">
        <v>82</v>
      </c>
      <c r="M4175" s="6" t="s">
        <v>413</v>
      </c>
    </row>
    <row r="4176" spans="1:13">
      <c r="A4176" s="6">
        <v>2024</v>
      </c>
      <c r="B4176" s="6">
        <v>8</v>
      </c>
      <c r="C4176" s="6" t="s">
        <v>66</v>
      </c>
      <c r="D4176" s="6" t="s">
        <v>331</v>
      </c>
      <c r="E4176" s="6" t="s">
        <v>373</v>
      </c>
      <c r="F4176" s="6" t="str">
        <f>IF($M4176="PADD I","PADD 1",IF($M4176="PADD II","PADD 2",IF($M4176="PADD III","PADD 3",IF($M4176="PADD IV","PADD 4",IF($M4176="PADD V","PADD 5","")))))</f>
        <v>PADD 2</v>
      </c>
      <c r="G4176" s="6">
        <f>IF(AND($H4176="ATMOS DISTILLATION",ISNUMBER(SEARCH("VPS",$I4176))=FALSE,LEFT($I4176,6)&lt;&gt;"VACUUM"),"CDU",IF($H4176="FLUID CAT CRACKING","FCC",IF(OR($H4176="HYDROCRACKING",$H4176="RESID_HYDROCRACKING"),"Hydrocracker",IF($H4176="REFORMING","Reformer",""))))</f>
        <v/>
      </c>
      <c r="H4176" s="6" t="s">
        <v>43</v>
      </c>
      <c r="I4176" s="6" t="s">
        <v>920</v>
      </c>
      <c r="J4176" s="6" t="s">
        <v>345</v>
      </c>
      <c r="K4176" s="10">
        <v>7.8</v>
      </c>
      <c r="L4176" s="10">
        <v>30</v>
      </c>
      <c r="M4176" s="6" t="s">
        <v>375</v>
      </c>
    </row>
    <row r="4177" spans="1:13">
      <c r="A4177" s="6">
        <v>2024</v>
      </c>
      <c r="B4177" s="6">
        <v>8</v>
      </c>
      <c r="C4177" s="6" t="s">
        <v>66</v>
      </c>
      <c r="D4177" s="6" t="s">
        <v>1043</v>
      </c>
      <c r="E4177" s="6" t="s">
        <v>388</v>
      </c>
      <c r="F4177" s="6" t="str">
        <f>IF($M4177="PADD I","PADD 1",IF($M4177="PADD II","PADD 2",IF($M4177="PADD III","PADD 3",IF($M4177="PADD IV","PADD 4",IF($M4177="PADD V","PADD 5","")))))</f>
        <v>PADD 2</v>
      </c>
      <c r="G4177" s="6" t="str">
        <f>IF(AND($H4177="ATMOS DISTILLATION",ISNUMBER(SEARCH("VPS",$I4177))=FALSE,LEFT($I4177,6)&lt;&gt;"VACUUM"),"CDU",IF($H4177="FLUID CAT CRACKING","FCC",IF(OR($H4177="HYDROCRACKING",$H4177="RESID_HYDROCRACKING"),"Hydrocracker",IF($H4177="REFORMING","Reformer",""))))</f>
        <v>CDU</v>
      </c>
      <c r="H4177" s="6" t="s">
        <v>38</v>
      </c>
      <c r="I4177" s="6" t="s">
        <v>879</v>
      </c>
      <c r="J4177" s="6" t="s">
        <v>349</v>
      </c>
      <c r="K4177" s="10">
        <v>7.6</v>
      </c>
      <c r="L4177" s="10">
        <v>76</v>
      </c>
      <c r="M4177" s="6" t="s">
        <v>375</v>
      </c>
    </row>
    <row r="4178" spans="1:13">
      <c r="A4178" s="6">
        <v>2024</v>
      </c>
      <c r="B4178" s="6">
        <v>8</v>
      </c>
      <c r="C4178" s="6" t="s">
        <v>66</v>
      </c>
      <c r="D4178" s="6" t="s">
        <v>610</v>
      </c>
      <c r="E4178" s="6" t="s">
        <v>611</v>
      </c>
      <c r="F4178" s="6" t="str">
        <f>IF($M4178="PADD I","PADD 1",IF($M4178="PADD II","PADD 2",IF($M4178="PADD III","PADD 3",IF($M4178="PADD IV","PADD 4",IF($M4178="PADD V","PADD 5","")))))</f>
        <v>PADD 2</v>
      </c>
      <c r="G4178" s="6" t="str">
        <f>IF(AND($H4178="ATMOS DISTILLATION",ISNUMBER(SEARCH("VPS",$I4178))=FALSE,LEFT($I4178,6)&lt;&gt;"VACUUM"),"CDU",IF($H4178="FLUID CAT CRACKING","FCC",IF(OR($H4178="HYDROCRACKING",$H4178="RESID_HYDROCRACKING"),"Hydrocracker",IF($H4178="REFORMING","Reformer",""))))</f>
        <v>CDU</v>
      </c>
      <c r="H4178" s="6" t="s">
        <v>38</v>
      </c>
      <c r="I4178" s="6" t="s">
        <v>374</v>
      </c>
      <c r="J4178" s="6" t="s">
        <v>345</v>
      </c>
      <c r="K4178" s="10">
        <v>7.5</v>
      </c>
      <c r="L4178" s="10">
        <v>75</v>
      </c>
      <c r="M4178" s="6" t="s">
        <v>375</v>
      </c>
    </row>
    <row r="4179" spans="1:13">
      <c r="A4179" s="6">
        <v>2024</v>
      </c>
      <c r="B4179" s="6">
        <v>8</v>
      </c>
      <c r="C4179" s="6" t="s">
        <v>66</v>
      </c>
      <c r="D4179" s="6" t="s">
        <v>390</v>
      </c>
      <c r="E4179" s="6" t="s">
        <v>391</v>
      </c>
      <c r="F4179" s="6" t="str">
        <f>IF($M4179="PADD I","PADD 1",IF($M4179="PADD II","PADD 2",IF($M4179="PADD III","PADD 3",IF($M4179="PADD IV","PADD 4",IF($M4179="PADD V","PADD 5","")))))</f>
        <v>PADD 3</v>
      </c>
      <c r="G4179" s="6">
        <f>IF(AND($H4179="ATMOS DISTILLATION",ISNUMBER(SEARCH("VPS",$I4179))=FALSE,LEFT($I4179,6)&lt;&gt;"VACUUM"),"CDU",IF($H4179="FLUID CAT CRACKING","FCC",IF(OR($H4179="HYDROCRACKING",$H4179="RESID_HYDROCRACKING"),"Hydrocracker",IF($H4179="REFORMING","Reformer",""))))</f>
        <v/>
      </c>
      <c r="H4179" s="6" t="s">
        <v>43</v>
      </c>
      <c r="I4179" s="6" t="s">
        <v>1227</v>
      </c>
      <c r="J4179" s="6" t="s">
        <v>349</v>
      </c>
      <c r="K4179" s="10">
        <v>7.2</v>
      </c>
      <c r="L4179" s="10">
        <v>45</v>
      </c>
      <c r="M4179" s="6" t="s">
        <v>371</v>
      </c>
    </row>
    <row r="4180" spans="1:13">
      <c r="A4180" s="6">
        <v>2024</v>
      </c>
      <c r="B4180" s="6">
        <v>8</v>
      </c>
      <c r="C4180" s="6" t="s">
        <v>66</v>
      </c>
      <c r="D4180" s="6" t="s">
        <v>446</v>
      </c>
      <c r="E4180" s="6" t="s">
        <v>391</v>
      </c>
      <c r="F4180" s="6" t="str">
        <f>IF($M4180="PADD I","PADD 1",IF($M4180="PADD II","PADD 2",IF($M4180="PADD III","PADD 3",IF($M4180="PADD IV","PADD 4",IF($M4180="PADD V","PADD 5","")))))</f>
        <v>PADD 3</v>
      </c>
      <c r="G4180" s="6">
        <f>IF(AND($H4180="ATMOS DISTILLATION",ISNUMBER(SEARCH("VPS",$I4180))=FALSE,LEFT($I4180,6)&lt;&gt;"VACUUM"),"CDU",IF($H4180="FLUID CAT CRACKING","FCC",IF(OR($H4180="HYDROCRACKING",$H4180="RESID_HYDROCRACKING"),"Hydrocracker",IF($H4180="REFORMING","Reformer",""))))</f>
        <v/>
      </c>
      <c r="H4180" s="6" t="s">
        <v>460</v>
      </c>
      <c r="I4180" s="6" t="s">
        <v>1075</v>
      </c>
      <c r="J4180" s="6" t="s">
        <v>345</v>
      </c>
      <c r="K4180" s="10">
        <v>7.2</v>
      </c>
      <c r="L4180" s="10">
        <v>7.2</v>
      </c>
      <c r="M4180" s="6" t="s">
        <v>371</v>
      </c>
    </row>
    <row r="4181" spans="1:13">
      <c r="A4181" s="6">
        <v>2024</v>
      </c>
      <c r="B4181" s="6">
        <v>8</v>
      </c>
      <c r="C4181" s="6" t="s">
        <v>66</v>
      </c>
      <c r="D4181" s="6" t="s">
        <v>547</v>
      </c>
      <c r="E4181" s="6" t="s">
        <v>391</v>
      </c>
      <c r="F4181" s="6" t="str">
        <f>IF($M4181="PADD I","PADD 1",IF($M4181="PADD II","PADD 2",IF($M4181="PADD III","PADD 3",IF($M4181="PADD IV","PADD 4",IF($M4181="PADD V","PADD 5","")))))</f>
        <v>PADD 5</v>
      </c>
      <c r="G4181" s="6" t="str">
        <f>IF(AND($H4181="ATMOS DISTILLATION",ISNUMBER(SEARCH("VPS",$I4181))=FALSE,LEFT($I4181,6)&lt;&gt;"VACUUM"),"CDU",IF($H4181="FLUID CAT CRACKING","FCC",IF(OR($H4181="HYDROCRACKING",$H4181="RESID_HYDROCRACKING"),"Hydrocracker",IF($H4181="REFORMING","Reformer",""))))</f>
        <v>Hydrocracker</v>
      </c>
      <c r="H4181" s="6" t="s">
        <v>444</v>
      </c>
      <c r="I4181" s="6" t="s">
        <v>734</v>
      </c>
      <c r="J4181" s="6" t="s">
        <v>345</v>
      </c>
      <c r="K4181" s="10">
        <v>7.04</v>
      </c>
      <c r="L4181" s="10">
        <v>44</v>
      </c>
      <c r="M4181" s="6" t="s">
        <v>386</v>
      </c>
    </row>
    <row r="4182" spans="1:13">
      <c r="A4182" s="6">
        <v>2024</v>
      </c>
      <c r="B4182" s="6">
        <v>8</v>
      </c>
      <c r="C4182" s="6" t="s">
        <v>66</v>
      </c>
      <c r="D4182" s="6" t="s">
        <v>319</v>
      </c>
      <c r="E4182" s="6" t="s">
        <v>665</v>
      </c>
      <c r="F4182" s="6" t="str">
        <f>IF($M4182="PADD I","PADD 1",IF($M4182="PADD II","PADD 2",IF($M4182="PADD III","PADD 3",IF($M4182="PADD IV","PADD 4",IF($M4182="PADD V","PADD 5","")))))</f>
        <v>PADD 3</v>
      </c>
      <c r="G4182" s="6">
        <f>IF(AND($H4182="ATMOS DISTILLATION",ISNUMBER(SEARCH("VPS",$I4182))=FALSE,LEFT($I4182,6)&lt;&gt;"VACUUM"),"CDU",IF($H4182="FLUID CAT CRACKING","FCC",IF(OR($H4182="HYDROCRACKING",$H4182="RESID_HYDROCRACKING"),"Hydrocracker",IF($H4182="REFORMING","Reformer",""))))</f>
        <v/>
      </c>
      <c r="H4182" s="6" t="s">
        <v>435</v>
      </c>
      <c r="I4182" s="6" t="s">
        <v>441</v>
      </c>
      <c r="J4182" s="6" t="s">
        <v>345</v>
      </c>
      <c r="K4182" s="10">
        <v>6.2002</v>
      </c>
      <c r="L4182" s="10">
        <v>21.38</v>
      </c>
      <c r="M4182" s="6" t="s">
        <v>371</v>
      </c>
    </row>
    <row r="4183" spans="1:13">
      <c r="A4183" s="6">
        <v>2024</v>
      </c>
      <c r="B4183" s="6">
        <v>8</v>
      </c>
      <c r="C4183" s="6" t="s">
        <v>66</v>
      </c>
      <c r="D4183" s="6" t="s">
        <v>646</v>
      </c>
      <c r="E4183" s="6" t="s">
        <v>405</v>
      </c>
      <c r="F4183" s="6" t="str">
        <f>IF($M4183="PADD I","PADD 1",IF($M4183="PADD II","PADD 2",IF($M4183="PADD III","PADD 3",IF($M4183="PADD IV","PADD 4",IF($M4183="PADD V","PADD 5","")))))</f>
        <v>PADD 3</v>
      </c>
      <c r="G4183" s="6" t="str">
        <f>IF(AND($H4183="ATMOS DISTILLATION",ISNUMBER(SEARCH("VPS",$I4183))=FALSE,LEFT($I4183,6)&lt;&gt;"VACUUM"),"CDU",IF($H4183="FLUID CAT CRACKING","FCC",IF(OR($H4183="HYDROCRACKING",$H4183="RESID_HYDROCRACKING"),"Hydrocracker",IF($H4183="REFORMING","Reformer",""))))</f>
        <v>Reformer</v>
      </c>
      <c r="H4183" s="6" t="s">
        <v>421</v>
      </c>
      <c r="I4183" s="6" t="s">
        <v>1132</v>
      </c>
      <c r="J4183" s="6" t="s">
        <v>349</v>
      </c>
      <c r="K4183" s="10">
        <v>6.08</v>
      </c>
      <c r="L4183" s="10">
        <v>19</v>
      </c>
      <c r="M4183" s="6" t="s">
        <v>371</v>
      </c>
    </row>
    <row r="4184" spans="1:13">
      <c r="A4184" s="6">
        <v>2024</v>
      </c>
      <c r="B4184" s="6">
        <v>8</v>
      </c>
      <c r="C4184" s="6" t="s">
        <v>66</v>
      </c>
      <c r="D4184" s="6" t="s">
        <v>610</v>
      </c>
      <c r="E4184" s="6" t="s">
        <v>611</v>
      </c>
      <c r="F4184" s="6" t="str">
        <f>IF($M4184="PADD I","PADD 1",IF($M4184="PADD II","PADD 2",IF($M4184="PADD III","PADD 3",IF($M4184="PADD IV","PADD 4",IF($M4184="PADD V","PADD 5","")))))</f>
        <v>PADD 2</v>
      </c>
      <c r="G4184" s="6" t="str">
        <f>IF(AND($H4184="ATMOS DISTILLATION",ISNUMBER(SEARCH("VPS",$I4184))=FALSE,LEFT($I4184,6)&lt;&gt;"VACUUM"),"CDU",IF($H4184="FLUID CAT CRACKING","FCC",IF(OR($H4184="HYDROCRACKING",$H4184="RESID_HYDROCRACKING"),"Hydrocracker",IF($H4184="REFORMING","Reformer",""))))</f>
        <v>CDU</v>
      </c>
      <c r="H4184" s="6" t="s">
        <v>38</v>
      </c>
      <c r="I4184" s="6" t="s">
        <v>332</v>
      </c>
      <c r="J4184" s="6" t="s">
        <v>345</v>
      </c>
      <c r="K4184" s="10">
        <v>6</v>
      </c>
      <c r="L4184" s="10">
        <v>60</v>
      </c>
      <c r="M4184" s="6" t="s">
        <v>375</v>
      </c>
    </row>
    <row r="4185" spans="1:13">
      <c r="A4185" s="6">
        <v>2024</v>
      </c>
      <c r="B4185" s="6">
        <v>8</v>
      </c>
      <c r="C4185" s="6" t="s">
        <v>66</v>
      </c>
      <c r="D4185" s="6" t="s">
        <v>372</v>
      </c>
      <c r="E4185" s="6" t="s">
        <v>373</v>
      </c>
      <c r="F4185" s="6" t="str">
        <f>IF($M4185="PADD I","PADD 1",IF($M4185="PADD II","PADD 2",IF($M4185="PADD III","PADD 3",IF($M4185="PADD IV","PADD 4",IF($M4185="PADD V","PADD 5","")))))</f>
        <v>PADD 2</v>
      </c>
      <c r="G4185" s="6">
        <f>IF(AND($H4185="ATMOS DISTILLATION",ISNUMBER(SEARCH("VPS",$I4185))=FALSE,LEFT($I4185,6)&lt;&gt;"VACUUM"),"CDU",IF($H4185="FLUID CAT CRACKING","FCC",IF(OR($H4185="HYDROCRACKING",$H4185="RESID_HYDROCRACKING"),"Hydrocracker",IF($H4185="REFORMING","Reformer",""))))</f>
        <v/>
      </c>
      <c r="H4185" s="6" t="s">
        <v>378</v>
      </c>
      <c r="I4185" s="6" t="s">
        <v>701</v>
      </c>
      <c r="J4185" s="6" t="s">
        <v>345</v>
      </c>
      <c r="K4185" s="10">
        <v>5.76</v>
      </c>
      <c r="L4185" s="10">
        <v>18</v>
      </c>
      <c r="M4185" s="6" t="s">
        <v>375</v>
      </c>
    </row>
    <row r="4186" spans="1:13">
      <c r="A4186" s="6">
        <v>2024</v>
      </c>
      <c r="B4186" s="6">
        <v>8</v>
      </c>
      <c r="C4186" s="6" t="s">
        <v>66</v>
      </c>
      <c r="D4186" s="6" t="s">
        <v>630</v>
      </c>
      <c r="E4186" s="6" t="s">
        <v>491</v>
      </c>
      <c r="F4186" s="6" t="str">
        <f>IF($M4186="PADD I","PADD 1",IF($M4186="PADD II","PADD 2",IF($M4186="PADD III","PADD 3",IF($M4186="PADD IV","PADD 4",IF($M4186="PADD V","PADD 5","")))))</f>
        <v>PADD 3</v>
      </c>
      <c r="G4186" s="6">
        <f>IF(AND($H4186="ATMOS DISTILLATION",ISNUMBER(SEARCH("VPS",$I4186))=FALSE,LEFT($I4186,6)&lt;&gt;"VACUUM"),"CDU",IF($H4186="FLUID CAT CRACKING","FCC",IF(OR($H4186="HYDROCRACKING",$H4186="RESID_HYDROCRACKING"),"Hydrocracker",IF($H4186="REFORMING","Reformer",""))))</f>
        <v/>
      </c>
      <c r="H4186" s="6" t="s">
        <v>43</v>
      </c>
      <c r="I4186" s="6" t="s">
        <v>464</v>
      </c>
      <c r="J4186" s="6" t="s">
        <v>345</v>
      </c>
      <c r="K4186" s="10">
        <v>5.4</v>
      </c>
      <c r="L4186" s="10">
        <v>12</v>
      </c>
      <c r="M4186" s="6" t="s">
        <v>371</v>
      </c>
    </row>
    <row r="4187" spans="1:13">
      <c r="A4187" s="6">
        <v>2024</v>
      </c>
      <c r="B4187" s="6">
        <v>8</v>
      </c>
      <c r="C4187" s="6" t="s">
        <v>66</v>
      </c>
      <c r="D4187" s="6" t="s">
        <v>547</v>
      </c>
      <c r="E4187" s="6" t="s">
        <v>391</v>
      </c>
      <c r="F4187" s="6" t="str">
        <f>IF($M4187="PADD I","PADD 1",IF($M4187="PADD II","PADD 2",IF($M4187="PADD III","PADD 3",IF($M4187="PADD IV","PADD 4",IF($M4187="PADD V","PADD 5","")))))</f>
        <v>PADD 5</v>
      </c>
      <c r="G4187" s="6" t="str">
        <f>IF(AND($H4187="ATMOS DISTILLATION",ISNUMBER(SEARCH("VPS",$I4187))=FALSE,LEFT($I4187,6)&lt;&gt;"VACUUM"),"CDU",IF($H4187="FLUID CAT CRACKING","FCC",IF(OR($H4187="HYDROCRACKING",$H4187="RESID_HYDROCRACKING"),"Hydrocracker",IF($H4187="REFORMING","Reformer",""))))</f>
        <v>FCC</v>
      </c>
      <c r="H4187" s="6" t="s">
        <v>376</v>
      </c>
      <c r="I4187" s="6" t="s">
        <v>105</v>
      </c>
      <c r="J4187" s="6" t="s">
        <v>345</v>
      </c>
      <c r="K4187" s="10">
        <v>5.4</v>
      </c>
      <c r="L4187" s="10">
        <v>90</v>
      </c>
      <c r="M4187" s="6" t="s">
        <v>386</v>
      </c>
    </row>
    <row r="4188" spans="1:13">
      <c r="A4188" s="6">
        <v>2024</v>
      </c>
      <c r="B4188" s="6">
        <v>8</v>
      </c>
      <c r="C4188" s="6" t="s">
        <v>66</v>
      </c>
      <c r="D4188" s="6" t="s">
        <v>1228</v>
      </c>
      <c r="E4188" s="6" t="s">
        <v>611</v>
      </c>
      <c r="F4188" s="6" t="str">
        <f>IF($M4188="PADD I","PADD 1",IF($M4188="PADD II","PADD 2",IF($M4188="PADD III","PADD 3",IF($M4188="PADD IV","PADD 4",IF($M4188="PADD V","PADD 5","")))))</f>
        <v>PADD 2</v>
      </c>
      <c r="G4188" s="6" t="str">
        <f>IF(AND($H4188="ATMOS DISTILLATION",ISNUMBER(SEARCH("VPS",$I4188))=FALSE,LEFT($I4188,6)&lt;&gt;"VACUUM"),"CDU",IF($H4188="FLUID CAT CRACKING","FCC",IF(OR($H4188="HYDROCRACKING",$H4188="RESID_HYDROCRACKING"),"Hydrocracker",IF($H4188="REFORMING","Reformer",""))))</f>
        <v>Reformer</v>
      </c>
      <c r="H4188" s="6" t="s">
        <v>421</v>
      </c>
      <c r="I4188" s="6" t="s">
        <v>15</v>
      </c>
      <c r="J4188" s="6" t="s">
        <v>345</v>
      </c>
      <c r="K4188" s="10">
        <v>5.035</v>
      </c>
      <c r="L4188" s="10">
        <v>26.5</v>
      </c>
      <c r="M4188" s="6" t="s">
        <v>375</v>
      </c>
    </row>
    <row r="4189" spans="1:13">
      <c r="A4189" s="6">
        <v>2024</v>
      </c>
      <c r="B4189" s="6">
        <v>8</v>
      </c>
      <c r="C4189" s="6" t="s">
        <v>66</v>
      </c>
      <c r="D4189" s="6" t="s">
        <v>576</v>
      </c>
      <c r="E4189" s="6" t="s">
        <v>369</v>
      </c>
      <c r="F4189" s="6" t="str">
        <f>IF($M4189="PADD I","PADD 1",IF($M4189="PADD II","PADD 2",IF($M4189="PADD III","PADD 3",IF($M4189="PADD IV","PADD 4",IF($M4189="PADD V","PADD 5","")))))</f>
        <v>PADD 3</v>
      </c>
      <c r="G4189" s="6" t="str">
        <f>IF(AND($H4189="ATMOS DISTILLATION",ISNUMBER(SEARCH("VPS",$I4189))=FALSE,LEFT($I4189,6)&lt;&gt;"VACUUM"),"CDU",IF($H4189="FLUID CAT CRACKING","FCC",IF(OR($H4189="HYDROCRACKING",$H4189="RESID_HYDROCRACKING"),"Hydrocracker",IF($H4189="REFORMING","Reformer",""))))</f>
        <v>FCC</v>
      </c>
      <c r="H4189" s="6" t="s">
        <v>376</v>
      </c>
      <c r="I4189" s="6" t="s">
        <v>105</v>
      </c>
      <c r="J4189" s="6" t="s">
        <v>345</v>
      </c>
      <c r="K4189" s="10">
        <v>4.62</v>
      </c>
      <c r="L4189" s="10">
        <v>46.2</v>
      </c>
      <c r="M4189" s="6" t="s">
        <v>371</v>
      </c>
    </row>
    <row r="4190" spans="1:13">
      <c r="A4190" s="6">
        <v>2024</v>
      </c>
      <c r="B4190" s="6">
        <v>8</v>
      </c>
      <c r="C4190" s="6" t="s">
        <v>66</v>
      </c>
      <c r="D4190" s="6" t="s">
        <v>468</v>
      </c>
      <c r="E4190" s="6" t="s">
        <v>369</v>
      </c>
      <c r="F4190" s="6" t="str">
        <f>IF($M4190="PADD I","PADD 1",IF($M4190="PADD II","PADD 2",IF($M4190="PADD III","PADD 3",IF($M4190="PADD IV","PADD 4",IF($M4190="PADD V","PADD 5","")))))</f>
        <v>PADD 3</v>
      </c>
      <c r="G4190" s="6" t="str">
        <f>IF(AND($H4190="ATMOS DISTILLATION",ISNUMBER(SEARCH("VPS",$I4190))=FALSE,LEFT($I4190,6)&lt;&gt;"VACUUM"),"CDU",IF($H4190="FLUID CAT CRACKING","FCC",IF(OR($H4190="HYDROCRACKING",$H4190="RESID_HYDROCRACKING"),"Hydrocracker",IF($H4190="REFORMING","Reformer",""))))</f>
        <v>Reformer</v>
      </c>
      <c r="H4190" s="6" t="s">
        <v>421</v>
      </c>
      <c r="I4190" s="6" t="s">
        <v>858</v>
      </c>
      <c r="J4190" s="6" t="s">
        <v>345</v>
      </c>
      <c r="K4190" s="10">
        <v>4.6</v>
      </c>
      <c r="L4190" s="10">
        <v>20</v>
      </c>
      <c r="M4190" s="6" t="s">
        <v>371</v>
      </c>
    </row>
    <row r="4191" spans="1:13">
      <c r="A4191" s="6">
        <v>2024</v>
      </c>
      <c r="B4191" s="6">
        <v>8</v>
      </c>
      <c r="C4191" s="6" t="s">
        <v>66</v>
      </c>
      <c r="D4191" s="6" t="s">
        <v>851</v>
      </c>
      <c r="E4191" s="6" t="s">
        <v>852</v>
      </c>
      <c r="F4191" s="6" t="str">
        <f>IF($M4191="PADD I","PADD 1",IF($M4191="PADD II","PADD 2",IF($M4191="PADD III","PADD 3",IF($M4191="PADD IV","PADD 4",IF($M4191="PADD V","PADD 5","")))))</f>
        <v>PADD 3</v>
      </c>
      <c r="G4191" s="6" t="str">
        <f>IF(AND($H4191="ATMOS DISTILLATION",ISNUMBER(SEARCH("VPS",$I4191))=FALSE,LEFT($I4191,6)&lt;&gt;"VACUUM"),"CDU",IF($H4191="FLUID CAT CRACKING","FCC",IF(OR($H4191="HYDROCRACKING",$H4191="RESID_HYDROCRACKING"),"Hydrocracker",IF($H4191="REFORMING","Reformer",""))))</f>
        <v>CDU</v>
      </c>
      <c r="H4191" s="6" t="s">
        <v>38</v>
      </c>
      <c r="I4191" s="6" t="s">
        <v>854</v>
      </c>
      <c r="J4191" s="6" t="s">
        <v>345</v>
      </c>
      <c r="K4191" s="10">
        <v>4.38</v>
      </c>
      <c r="L4191" s="10">
        <v>73</v>
      </c>
      <c r="M4191" s="6" t="s">
        <v>371</v>
      </c>
    </row>
    <row r="4192" spans="1:13">
      <c r="A4192" s="6">
        <v>2024</v>
      </c>
      <c r="B4192" s="6">
        <v>8</v>
      </c>
      <c r="C4192" s="6" t="s">
        <v>66</v>
      </c>
      <c r="D4192" s="6" t="s">
        <v>646</v>
      </c>
      <c r="E4192" s="6" t="s">
        <v>405</v>
      </c>
      <c r="F4192" s="6" t="str">
        <f>IF($M4192="PADD I","PADD 1",IF($M4192="PADD II","PADD 2",IF($M4192="PADD III","PADD 3",IF($M4192="PADD IV","PADD 4",IF($M4192="PADD V","PADD 5","")))))</f>
        <v>PADD 3</v>
      </c>
      <c r="G4192" s="6" t="str">
        <f>IF(AND($H4192="ATMOS DISTILLATION",ISNUMBER(SEARCH("VPS",$I4192))=FALSE,LEFT($I4192,6)&lt;&gt;"VACUUM"),"CDU",IF($H4192="FLUID CAT CRACKING","FCC",IF(OR($H4192="HYDROCRACKING",$H4192="RESID_HYDROCRACKING"),"Hydrocracker",IF($H4192="REFORMING","Reformer",""))))</f>
        <v>Reformer</v>
      </c>
      <c r="H4192" s="6" t="s">
        <v>421</v>
      </c>
      <c r="I4192" s="6" t="s">
        <v>1160</v>
      </c>
      <c r="J4192" s="6" t="s">
        <v>345</v>
      </c>
      <c r="K4192" s="10">
        <v>4.2</v>
      </c>
      <c r="L4192" s="10">
        <v>10</v>
      </c>
      <c r="M4192" s="6" t="s">
        <v>371</v>
      </c>
    </row>
    <row r="4193" spans="1:13">
      <c r="A4193" s="6">
        <v>2024</v>
      </c>
      <c r="B4193" s="6">
        <v>8</v>
      </c>
      <c r="C4193" s="6" t="s">
        <v>66</v>
      </c>
      <c r="D4193" s="6" t="s">
        <v>446</v>
      </c>
      <c r="E4193" s="6" t="s">
        <v>391</v>
      </c>
      <c r="F4193" s="6" t="str">
        <f>IF($M4193="PADD I","PADD 1",IF($M4193="PADD II","PADD 2",IF($M4193="PADD III","PADD 3",IF($M4193="PADD IV","PADD 4",IF($M4193="PADD V","PADD 5","")))))</f>
        <v>PADD 3</v>
      </c>
      <c r="G4193" s="6">
        <f>IF(AND($H4193="ATMOS DISTILLATION",ISNUMBER(SEARCH("VPS",$I4193))=FALSE,LEFT($I4193,6)&lt;&gt;"VACUUM"),"CDU",IF($H4193="FLUID CAT CRACKING","FCC",IF(OR($H4193="HYDROCRACKING",$H4193="RESID_HYDROCRACKING"),"Hydrocracker",IF($H4193="REFORMING","Reformer",""))))</f>
        <v/>
      </c>
      <c r="H4193" s="6" t="s">
        <v>460</v>
      </c>
      <c r="I4193" s="6" t="s">
        <v>580</v>
      </c>
      <c r="J4193" s="6" t="s">
        <v>345</v>
      </c>
      <c r="K4193" s="10">
        <v>4.2</v>
      </c>
      <c r="L4193" s="10">
        <v>5</v>
      </c>
      <c r="M4193" s="6" t="s">
        <v>371</v>
      </c>
    </row>
    <row r="4194" spans="1:13">
      <c r="A4194" s="6">
        <v>2024</v>
      </c>
      <c r="B4194" s="6">
        <v>8</v>
      </c>
      <c r="C4194" s="6" t="s">
        <v>66</v>
      </c>
      <c r="D4194" s="6" t="s">
        <v>321</v>
      </c>
      <c r="E4194" s="6" t="s">
        <v>381</v>
      </c>
      <c r="F4194" s="6" t="str">
        <f>IF($M4194="PADD I","PADD 1",IF($M4194="PADD II","PADD 2",IF($M4194="PADD III","PADD 3",IF($M4194="PADD IV","PADD 4",IF($M4194="PADD V","PADD 5","")))))</f>
        <v>PADD 2</v>
      </c>
      <c r="G4194" s="6">
        <f>IF(AND($H4194="ATMOS DISTILLATION",ISNUMBER(SEARCH("VPS",$I4194))=FALSE,LEFT($I4194,6)&lt;&gt;"VACUUM"),"CDU",IF($H4194="FLUID CAT CRACKING","FCC",IF(OR($H4194="HYDROCRACKING",$H4194="RESID_HYDROCRACKING"),"Hydrocracker",IF($H4194="REFORMING","Reformer",""))))</f>
        <v/>
      </c>
      <c r="H4194" s="6" t="s">
        <v>460</v>
      </c>
      <c r="I4194" s="6" t="s">
        <v>616</v>
      </c>
      <c r="J4194" s="6" t="s">
        <v>345</v>
      </c>
      <c r="K4194" s="10">
        <v>3.808</v>
      </c>
      <c r="L4194" s="10">
        <v>11.9</v>
      </c>
      <c r="M4194" s="6" t="s">
        <v>375</v>
      </c>
    </row>
    <row r="4195" spans="1:13">
      <c r="A4195" s="6">
        <v>2024</v>
      </c>
      <c r="B4195" s="6">
        <v>8</v>
      </c>
      <c r="C4195" s="6" t="s">
        <v>66</v>
      </c>
      <c r="D4195" s="6" t="s">
        <v>1228</v>
      </c>
      <c r="E4195" s="6" t="s">
        <v>611</v>
      </c>
      <c r="F4195" s="6" t="str">
        <f>IF($M4195="PADD I","PADD 1",IF($M4195="PADD II","PADD 2",IF($M4195="PADD III","PADD 3",IF($M4195="PADD IV","PADD 4",IF($M4195="PADD V","PADD 5","")))))</f>
        <v>PADD 2</v>
      </c>
      <c r="G4195" s="6">
        <f>IF(AND($H4195="ATMOS DISTILLATION",ISNUMBER(SEARCH("VPS",$I4195))=FALSE,LEFT($I4195,6)&lt;&gt;"VACUUM"),"CDU",IF($H4195="FLUID CAT CRACKING","FCC",IF(OR($H4195="HYDROCRACKING",$H4195="RESID_HYDROCRACKING"),"Hydrocracker",IF($H4195="REFORMING","Reformer",""))))</f>
        <v/>
      </c>
      <c r="H4195" s="6" t="s">
        <v>43</v>
      </c>
      <c r="I4195" s="6" t="s">
        <v>501</v>
      </c>
      <c r="J4195" s="6" t="s">
        <v>345</v>
      </c>
      <c r="K4195" s="10">
        <v>3.75</v>
      </c>
      <c r="L4195" s="10">
        <v>37.5</v>
      </c>
      <c r="M4195" s="6" t="s">
        <v>375</v>
      </c>
    </row>
    <row r="4196" spans="1:13">
      <c r="A4196" s="6">
        <v>2024</v>
      </c>
      <c r="B4196" s="6">
        <v>8</v>
      </c>
      <c r="C4196" s="6" t="s">
        <v>66</v>
      </c>
      <c r="D4196" s="6" t="s">
        <v>610</v>
      </c>
      <c r="E4196" s="6" t="s">
        <v>611</v>
      </c>
      <c r="F4196" s="6" t="str">
        <f>IF($M4196="PADD I","PADD 1",IF($M4196="PADD II","PADD 2",IF($M4196="PADD III","PADD 3",IF($M4196="PADD IV","PADD 4",IF($M4196="PADD V","PADD 5","")))))</f>
        <v>PADD 2</v>
      </c>
      <c r="G4196" s="6" t="str">
        <f>IF(AND($H4196="ATMOS DISTILLATION",ISNUMBER(SEARCH("VPS",$I4196))=FALSE,LEFT($I4196,6)&lt;&gt;"VACUUM"),"CDU",IF($H4196="FLUID CAT CRACKING","FCC",IF(OR($H4196="HYDROCRACKING",$H4196="RESID_HYDROCRACKING"),"Hydrocracker",IF($H4196="REFORMING","Reformer",""))))</f>
        <v>CDU</v>
      </c>
      <c r="H4196" s="6" t="s">
        <v>38</v>
      </c>
      <c r="I4196" s="6" t="s">
        <v>332</v>
      </c>
      <c r="J4196" s="6" t="s">
        <v>345</v>
      </c>
      <c r="K4196" s="10">
        <v>3.6</v>
      </c>
      <c r="L4196" s="10">
        <v>60</v>
      </c>
      <c r="M4196" s="6" t="s">
        <v>375</v>
      </c>
    </row>
    <row r="4197" spans="1:13">
      <c r="A4197" s="6">
        <v>2024</v>
      </c>
      <c r="B4197" s="6">
        <v>8</v>
      </c>
      <c r="C4197" s="6" t="s">
        <v>66</v>
      </c>
      <c r="D4197" s="6" t="s">
        <v>1223</v>
      </c>
      <c r="E4197" s="6" t="s">
        <v>1039</v>
      </c>
      <c r="F4197" s="6" t="str">
        <f>IF($M4197="PADD I","PADD 1",IF($M4197="PADD II","PADD 2",IF($M4197="PADD III","PADD 3",IF($M4197="PADD IV","PADD 4",IF($M4197="PADD V","PADD 5","")))))</f>
        <v>PADD 2</v>
      </c>
      <c r="G4197" s="6" t="str">
        <f>IF(AND($H4197="ATMOS DISTILLATION",ISNUMBER(SEARCH("VPS",$I4197))=FALSE,LEFT($I4197,6)&lt;&gt;"VACUUM"),"CDU",IF($H4197="FLUID CAT CRACKING","FCC",IF(OR($H4197="HYDROCRACKING",$H4197="RESID_HYDROCRACKING"),"Hydrocracker",IF($H4197="REFORMING","Reformer",""))))</f>
        <v>Reformer</v>
      </c>
      <c r="H4197" s="6" t="s">
        <v>421</v>
      </c>
      <c r="I4197" s="6" t="s">
        <v>15</v>
      </c>
      <c r="J4197" s="6" t="s">
        <v>345</v>
      </c>
      <c r="K4197" s="10">
        <v>3.465</v>
      </c>
      <c r="L4197" s="10">
        <v>8.25</v>
      </c>
      <c r="M4197" s="6" t="s">
        <v>375</v>
      </c>
    </row>
    <row r="4198" spans="1:13">
      <c r="A4198" s="6">
        <v>2024</v>
      </c>
      <c r="B4198" s="6">
        <v>8</v>
      </c>
      <c r="C4198" s="6" t="s">
        <v>66</v>
      </c>
      <c r="D4198" s="6" t="s">
        <v>610</v>
      </c>
      <c r="E4198" s="6" t="s">
        <v>611</v>
      </c>
      <c r="F4198" s="6" t="str">
        <f>IF($M4198="PADD I","PADD 1",IF($M4198="PADD II","PADD 2",IF($M4198="PADD III","PADD 3",IF($M4198="PADD IV","PADD 4",IF($M4198="PADD V","PADD 5","")))))</f>
        <v>PADD 2</v>
      </c>
      <c r="G4198" s="6" t="str">
        <f>IF(AND($H4198="ATMOS DISTILLATION",ISNUMBER(SEARCH("VPS",$I4198))=FALSE,LEFT($I4198,6)&lt;&gt;"VACUUM"),"CDU",IF($H4198="FLUID CAT CRACKING","FCC",IF(OR($H4198="HYDROCRACKING",$H4198="RESID_HYDROCRACKING"),"Hydrocracker",IF($H4198="REFORMING","Reformer",""))))</f>
        <v>FCC</v>
      </c>
      <c r="H4198" s="6" t="s">
        <v>376</v>
      </c>
      <c r="I4198" s="6" t="s">
        <v>105</v>
      </c>
      <c r="J4198" s="6" t="s">
        <v>345</v>
      </c>
      <c r="K4198" s="10">
        <v>3.2</v>
      </c>
      <c r="L4198" s="10">
        <v>32</v>
      </c>
      <c r="M4198" s="6" t="s">
        <v>375</v>
      </c>
    </row>
    <row r="4199" spans="1:13">
      <c r="A4199" s="6">
        <v>2024</v>
      </c>
      <c r="B4199" s="6">
        <v>8</v>
      </c>
      <c r="C4199" s="6" t="s">
        <v>66</v>
      </c>
      <c r="D4199" s="6" t="s">
        <v>500</v>
      </c>
      <c r="E4199" s="6" t="s">
        <v>388</v>
      </c>
      <c r="F4199" s="6" t="str">
        <f>IF($M4199="PADD I","PADD 1",IF($M4199="PADD II","PADD 2",IF($M4199="PADD III","PADD 3",IF($M4199="PADD IV","PADD 4",IF($M4199="PADD V","PADD 5","")))))</f>
        <v>PADD 2</v>
      </c>
      <c r="G4199" s="6">
        <f>IF(AND($H4199="ATMOS DISTILLATION",ISNUMBER(SEARCH("VPS",$I4199))=FALSE,LEFT($I4199,6)&lt;&gt;"VACUUM"),"CDU",IF($H4199="FLUID CAT CRACKING","FCC",IF(OR($H4199="HYDROCRACKING",$H4199="RESID_HYDROCRACKING"),"Hydrocracker",IF($H4199="REFORMING","Reformer",""))))</f>
        <v/>
      </c>
      <c r="H4199" s="6" t="s">
        <v>378</v>
      </c>
      <c r="I4199" s="6" t="s">
        <v>431</v>
      </c>
      <c r="J4199" s="6" t="s">
        <v>345</v>
      </c>
      <c r="K4199" s="10">
        <v>3.2</v>
      </c>
      <c r="L4199" s="10">
        <v>32</v>
      </c>
      <c r="M4199" s="6" t="s">
        <v>375</v>
      </c>
    </row>
    <row r="4200" spans="1:13">
      <c r="A4200" s="6">
        <v>2024</v>
      </c>
      <c r="B4200" s="6">
        <v>8</v>
      </c>
      <c r="C4200" s="6" t="s">
        <v>66</v>
      </c>
      <c r="D4200" s="6" t="s">
        <v>526</v>
      </c>
      <c r="E4200" s="6" t="s">
        <v>405</v>
      </c>
      <c r="F4200" s="6" t="str">
        <f>IF($M4200="PADD I","PADD 1",IF($M4200="PADD II","PADD 2",IF($M4200="PADD III","PADD 3",IF($M4200="PADD IV","PADD 4",IF($M4200="PADD V","PADD 5","")))))</f>
        <v>PADD 3</v>
      </c>
      <c r="G4200" s="6" t="str">
        <f>IF(AND($H4200="ATMOS DISTILLATION",ISNUMBER(SEARCH("VPS",$I4200))=FALSE,LEFT($I4200,6)&lt;&gt;"VACUUM"),"CDU",IF($H4200="FLUID CAT CRACKING","FCC",IF(OR($H4200="HYDROCRACKING",$H4200="RESID_HYDROCRACKING"),"Hydrocracker",IF($H4200="REFORMING","Reformer",""))))</f>
        <v>Reformer</v>
      </c>
      <c r="H4200" s="6" t="s">
        <v>421</v>
      </c>
      <c r="I4200" s="6" t="s">
        <v>597</v>
      </c>
      <c r="J4200" s="6" t="s">
        <v>345</v>
      </c>
      <c r="K4200" s="10">
        <v>3.18</v>
      </c>
      <c r="L4200" s="10">
        <v>53</v>
      </c>
      <c r="M4200" s="6" t="s">
        <v>371</v>
      </c>
    </row>
    <row r="4201" spans="1:13">
      <c r="A4201" s="6">
        <v>2024</v>
      </c>
      <c r="B4201" s="6">
        <v>8</v>
      </c>
      <c r="C4201" s="6" t="s">
        <v>66</v>
      </c>
      <c r="D4201" s="6" t="s">
        <v>372</v>
      </c>
      <c r="E4201" s="6" t="s">
        <v>373</v>
      </c>
      <c r="F4201" s="6" t="str">
        <f>IF($M4201="PADD I","PADD 1",IF($M4201="PADD II","PADD 2",IF($M4201="PADD III","PADD 3",IF($M4201="PADD IV","PADD 4",IF($M4201="PADD V","PADD 5","")))))</f>
        <v>PADD 2</v>
      </c>
      <c r="G4201" s="6">
        <f>IF(AND($H4201="ATMOS DISTILLATION",ISNUMBER(SEARCH("VPS",$I4201))=FALSE,LEFT($I4201,6)&lt;&gt;"VACUUM"),"CDU",IF($H4201="FLUID CAT CRACKING","FCC",IF(OR($H4201="HYDROCRACKING",$H4201="RESID_HYDROCRACKING"),"Hydrocracker",IF($H4201="REFORMING","Reformer",""))))</f>
        <v/>
      </c>
      <c r="H4201" s="6" t="s">
        <v>435</v>
      </c>
      <c r="I4201" s="6" t="s">
        <v>584</v>
      </c>
      <c r="J4201" s="6" t="s">
        <v>345</v>
      </c>
      <c r="K4201" s="10">
        <v>2.925</v>
      </c>
      <c r="L4201" s="10">
        <v>7.5</v>
      </c>
      <c r="M4201" s="6" t="s">
        <v>375</v>
      </c>
    </row>
    <row r="4202" spans="1:13">
      <c r="A4202" s="6">
        <v>2024</v>
      </c>
      <c r="B4202" s="6">
        <v>8</v>
      </c>
      <c r="C4202" s="6" t="s">
        <v>66</v>
      </c>
      <c r="D4202" s="6" t="s">
        <v>774</v>
      </c>
      <c r="E4202" s="6" t="s">
        <v>775</v>
      </c>
      <c r="F4202" s="6" t="str">
        <f>IF($M4202="PADD I","PADD 1",IF($M4202="PADD II","PADD 2",IF($M4202="PADD III","PADD 3",IF($M4202="PADD IV","PADD 4",IF($M4202="PADD V","PADD 5","")))))</f>
        <v>PADD 1</v>
      </c>
      <c r="G4202" s="6" t="str">
        <f>IF(AND($H4202="ATMOS DISTILLATION",ISNUMBER(SEARCH("VPS",$I4202))=FALSE,LEFT($I4202,6)&lt;&gt;"VACUUM"),"CDU",IF($H4202="FLUID CAT CRACKING","FCC",IF(OR($H4202="HYDROCRACKING",$H4202="RESID_HYDROCRACKING"),"Hydrocracker",IF($H4202="REFORMING","Reformer",""))))</f>
        <v>FCC</v>
      </c>
      <c r="H4202" s="6" t="s">
        <v>376</v>
      </c>
      <c r="I4202" s="6" t="s">
        <v>105</v>
      </c>
      <c r="J4202" s="6" t="s">
        <v>345</v>
      </c>
      <c r="K4202" s="10">
        <v>2.7</v>
      </c>
      <c r="L4202" s="10">
        <v>45</v>
      </c>
      <c r="M4202" s="6" t="s">
        <v>413</v>
      </c>
    </row>
    <row r="4203" spans="1:13">
      <c r="A4203" s="6">
        <v>2024</v>
      </c>
      <c r="B4203" s="6">
        <v>8</v>
      </c>
      <c r="C4203" s="6" t="s">
        <v>66</v>
      </c>
      <c r="D4203" s="6" t="s">
        <v>632</v>
      </c>
      <c r="E4203" s="6" t="s">
        <v>633</v>
      </c>
      <c r="F4203" s="6" t="str">
        <f>IF($M4203="PADD I","PADD 1",IF($M4203="PADD II","PADD 2",IF($M4203="PADD III","PADD 3",IF($M4203="PADD IV","PADD 4",IF($M4203="PADD V","PADD 5","")))))</f>
        <v>PADD 4</v>
      </c>
      <c r="G4203" s="6">
        <f>IF(AND($H4203="ATMOS DISTILLATION",ISNUMBER(SEARCH("VPS",$I4203))=FALSE,LEFT($I4203,6)&lt;&gt;"VACUUM"),"CDU",IF($H4203="FLUID CAT CRACKING","FCC",IF(OR($H4203="HYDROCRACKING",$H4203="RESID_HYDROCRACKING"),"Hydrocracker",IF($H4203="REFORMING","Reformer",""))))</f>
        <v/>
      </c>
      <c r="H4203" s="6" t="s">
        <v>43</v>
      </c>
      <c r="I4203" s="6" t="s">
        <v>674</v>
      </c>
      <c r="J4203" s="6" t="s">
        <v>345</v>
      </c>
      <c r="K4203" s="10">
        <v>2.645</v>
      </c>
      <c r="L4203" s="10">
        <v>11.5</v>
      </c>
      <c r="M4203" s="6" t="s">
        <v>430</v>
      </c>
    </row>
    <row r="4204" spans="1:13">
      <c r="A4204" s="6">
        <v>2024</v>
      </c>
      <c r="B4204" s="6">
        <v>8</v>
      </c>
      <c r="C4204" s="6" t="s">
        <v>66</v>
      </c>
      <c r="D4204" s="6" t="s">
        <v>1043</v>
      </c>
      <c r="E4204" s="6" t="s">
        <v>388</v>
      </c>
      <c r="F4204" s="6" t="str">
        <f>IF($M4204="PADD I","PADD 1",IF($M4204="PADD II","PADD 2",IF($M4204="PADD III","PADD 3",IF($M4204="PADD IV","PADD 4",IF($M4204="PADD V","PADD 5","")))))</f>
        <v>PADD 2</v>
      </c>
      <c r="G4204" s="6" t="str">
        <f>IF(AND($H4204="ATMOS DISTILLATION",ISNUMBER(SEARCH("VPS",$I4204))=FALSE,LEFT($I4204,6)&lt;&gt;"VACUUM"),"CDU",IF($H4204="FLUID CAT CRACKING","FCC",IF(OR($H4204="HYDROCRACKING",$H4204="RESID_HYDROCRACKING"),"Hydrocracker",IF($H4204="REFORMING","Reformer",""))))</f>
        <v>FCC</v>
      </c>
      <c r="H4204" s="6" t="s">
        <v>376</v>
      </c>
      <c r="I4204" s="6" t="s">
        <v>105</v>
      </c>
      <c r="J4204" s="6" t="s">
        <v>349</v>
      </c>
      <c r="K4204" s="10">
        <v>2.6</v>
      </c>
      <c r="L4204" s="10">
        <v>26</v>
      </c>
      <c r="M4204" s="6" t="s">
        <v>375</v>
      </c>
    </row>
    <row r="4205" spans="1:13">
      <c r="A4205" s="6">
        <v>2024</v>
      </c>
      <c r="B4205" s="6">
        <v>8</v>
      </c>
      <c r="C4205" s="6" t="s">
        <v>66</v>
      </c>
      <c r="D4205" s="6" t="s">
        <v>333</v>
      </c>
      <c r="E4205" s="6" t="s">
        <v>381</v>
      </c>
      <c r="F4205" s="6" t="str">
        <f>IF($M4205="PADD I","PADD 1",IF($M4205="PADD II","PADD 2",IF($M4205="PADD III","PADD 3",IF($M4205="PADD IV","PADD 4",IF($M4205="PADD V","PADD 5","")))))</f>
        <v>PADD 3</v>
      </c>
      <c r="G4205" s="6" t="str">
        <f>IF(AND($H4205="ATMOS DISTILLATION",ISNUMBER(SEARCH("VPS",$I4205))=FALSE,LEFT($I4205,6)&lt;&gt;"VACUUM"),"CDU",IF($H4205="FLUID CAT CRACKING","FCC",IF(OR($H4205="HYDROCRACKING",$H4205="RESID_HYDROCRACKING"),"Hydrocracker",IF($H4205="REFORMING","Reformer",""))))</f>
        <v>Reformer</v>
      </c>
      <c r="H4205" s="6" t="s">
        <v>421</v>
      </c>
      <c r="I4205" s="6" t="s">
        <v>1042</v>
      </c>
      <c r="J4205" s="6" t="s">
        <v>345</v>
      </c>
      <c r="K4205" s="10">
        <v>2.6</v>
      </c>
      <c r="L4205" s="10">
        <v>10</v>
      </c>
      <c r="M4205" s="6" t="s">
        <v>371</v>
      </c>
    </row>
    <row r="4206" spans="1:13">
      <c r="A4206" s="6">
        <v>2024</v>
      </c>
      <c r="B4206" s="6">
        <v>8</v>
      </c>
      <c r="C4206" s="6" t="s">
        <v>66</v>
      </c>
      <c r="D4206" s="6" t="s">
        <v>1043</v>
      </c>
      <c r="E4206" s="6" t="s">
        <v>388</v>
      </c>
      <c r="F4206" s="6" t="str">
        <f>IF($M4206="PADD I","PADD 1",IF($M4206="PADD II","PADD 2",IF($M4206="PADD III","PADD 3",IF($M4206="PADD IV","PADD 4",IF($M4206="PADD V","PADD 5","")))))</f>
        <v>PADD 2</v>
      </c>
      <c r="G4206" s="6">
        <f>IF(AND($H4206="ATMOS DISTILLATION",ISNUMBER(SEARCH("VPS",$I4206))=FALSE,LEFT($I4206,6)&lt;&gt;"VACUUM"),"CDU",IF($H4206="FLUID CAT CRACKING","FCC",IF(OR($H4206="HYDROCRACKING",$H4206="RESID_HYDROCRACKING"),"Hydrocracker",IF($H4206="REFORMING","Reformer",""))))</f>
        <v/>
      </c>
      <c r="H4206" s="6" t="s">
        <v>43</v>
      </c>
      <c r="I4206" s="6" t="s">
        <v>1051</v>
      </c>
      <c r="J4206" s="6" t="s">
        <v>349</v>
      </c>
      <c r="K4206" s="10">
        <v>2.54</v>
      </c>
      <c r="L4206" s="10">
        <v>25.4</v>
      </c>
      <c r="M4206" s="6" t="s">
        <v>375</v>
      </c>
    </row>
    <row r="4207" spans="1:13">
      <c r="A4207" s="6">
        <v>2024</v>
      </c>
      <c r="B4207" s="6">
        <v>8</v>
      </c>
      <c r="C4207" s="6" t="s">
        <v>66</v>
      </c>
      <c r="D4207" s="6" t="s">
        <v>500</v>
      </c>
      <c r="E4207" s="6" t="s">
        <v>388</v>
      </c>
      <c r="F4207" s="6" t="str">
        <f>IF($M4207="PADD I","PADD 1",IF($M4207="PADD II","PADD 2",IF($M4207="PADD III","PADD 3",IF($M4207="PADD IV","PADD 4",IF($M4207="PADD V","PADD 5","")))))</f>
        <v>PADD 2</v>
      </c>
      <c r="G4207" s="6" t="str">
        <f>IF(AND($H4207="ATMOS DISTILLATION",ISNUMBER(SEARCH("VPS",$I4207))=FALSE,LEFT($I4207,6)&lt;&gt;"VACUUM"),"CDU",IF($H4207="FLUID CAT CRACKING","FCC",IF(OR($H4207="HYDROCRACKING",$H4207="RESID_HYDROCRACKING"),"Hydrocracker",IF($H4207="REFORMING","Reformer",""))))</f>
        <v>CDU</v>
      </c>
      <c r="H4207" s="6" t="s">
        <v>38</v>
      </c>
      <c r="I4207" s="6" t="s">
        <v>917</v>
      </c>
      <c r="J4207" s="6" t="s">
        <v>345</v>
      </c>
      <c r="K4207" s="10">
        <v>2.5</v>
      </c>
      <c r="L4207" s="10">
        <v>25</v>
      </c>
      <c r="M4207" s="6" t="s">
        <v>375</v>
      </c>
    </row>
    <row r="4208" spans="1:13">
      <c r="A4208" s="6">
        <v>2024</v>
      </c>
      <c r="B4208" s="6">
        <v>8</v>
      </c>
      <c r="C4208" s="6" t="s">
        <v>66</v>
      </c>
      <c r="D4208" s="6" t="s">
        <v>1043</v>
      </c>
      <c r="E4208" s="6" t="s">
        <v>388</v>
      </c>
      <c r="F4208" s="6" t="str">
        <f>IF($M4208="PADD I","PADD 1",IF($M4208="PADD II","PADD 2",IF($M4208="PADD III","PADD 3",IF($M4208="PADD IV","PADD 4",IF($M4208="PADD V","PADD 5","")))))</f>
        <v>PADD 2</v>
      </c>
      <c r="G4208" s="6">
        <f>IF(AND($H4208="ATMOS DISTILLATION",ISNUMBER(SEARCH("VPS",$I4208))=FALSE,LEFT($I4208,6)&lt;&gt;"VACUUM"),"CDU",IF($H4208="FLUID CAT CRACKING","FCC",IF(OR($H4208="HYDROCRACKING",$H4208="RESID_HYDROCRACKING"),"Hydrocracker",IF($H4208="REFORMING","Reformer",""))))</f>
        <v/>
      </c>
      <c r="H4208" s="6" t="s">
        <v>43</v>
      </c>
      <c r="I4208" s="6" t="s">
        <v>1052</v>
      </c>
      <c r="J4208" s="6" t="s">
        <v>349</v>
      </c>
      <c r="K4208" s="10">
        <v>2.42</v>
      </c>
      <c r="L4208" s="10">
        <v>24.2</v>
      </c>
      <c r="M4208" s="6" t="s">
        <v>375</v>
      </c>
    </row>
    <row r="4209" spans="1:13">
      <c r="A4209" s="6">
        <v>2024</v>
      </c>
      <c r="B4209" s="6">
        <v>8</v>
      </c>
      <c r="C4209" s="6" t="s">
        <v>66</v>
      </c>
      <c r="D4209" s="6" t="s">
        <v>408</v>
      </c>
      <c r="E4209" s="6" t="s">
        <v>409</v>
      </c>
      <c r="F4209" s="6" t="str">
        <f>IF($M4209="PADD I","PADD 1",IF($M4209="PADD II","PADD 2",IF($M4209="PADD III","PADD 3",IF($M4209="PADD IV","PADD 4",IF($M4209="PADD V","PADD 5","")))))</f>
        <v>PADD 3</v>
      </c>
      <c r="G4209" s="6" t="str">
        <f>IF(AND($H4209="ATMOS DISTILLATION",ISNUMBER(SEARCH("VPS",$I4209))=FALSE,LEFT($I4209,6)&lt;&gt;"VACUUM"),"CDU",IF($H4209="FLUID CAT CRACKING","FCC",IF(OR($H4209="HYDROCRACKING",$H4209="RESID_HYDROCRACKING"),"Hydrocracker",IF($H4209="REFORMING","Reformer",""))))</f>
        <v>CDU</v>
      </c>
      <c r="H4209" s="6" t="s">
        <v>38</v>
      </c>
      <c r="I4209" s="6" t="s">
        <v>410</v>
      </c>
      <c r="J4209" s="6" t="s">
        <v>345</v>
      </c>
      <c r="K4209" s="10">
        <v>2.4</v>
      </c>
      <c r="L4209" s="10">
        <v>80</v>
      </c>
      <c r="M4209" s="6" t="s">
        <v>371</v>
      </c>
    </row>
    <row r="4210" spans="1:13">
      <c r="A4210" s="6">
        <v>2024</v>
      </c>
      <c r="B4210" s="6">
        <v>8</v>
      </c>
      <c r="C4210" s="6" t="s">
        <v>66</v>
      </c>
      <c r="D4210" s="6" t="s">
        <v>801</v>
      </c>
      <c r="E4210" s="6" t="s">
        <v>779</v>
      </c>
      <c r="F4210" s="6" t="str">
        <f>IF($M4210="PADD I","PADD 1",IF($M4210="PADD II","PADD 2",IF($M4210="PADD III","PADD 3",IF($M4210="PADD IV","PADD 4",IF($M4210="PADD V","PADD 5","")))))</f>
        <v>PADD 2</v>
      </c>
      <c r="G4210" s="6">
        <f>IF(AND($H4210="ATMOS DISTILLATION",ISNUMBER(SEARCH("VPS",$I4210))=FALSE,LEFT($I4210,6)&lt;&gt;"VACUUM"),"CDU",IF($H4210="FLUID CAT CRACKING","FCC",IF(OR($H4210="HYDROCRACKING",$H4210="RESID_HYDROCRACKING"),"Hydrocracker",IF($H4210="REFORMING","Reformer",""))))</f>
        <v/>
      </c>
      <c r="H4210" s="6" t="s">
        <v>435</v>
      </c>
      <c r="I4210" s="6" t="s">
        <v>1179</v>
      </c>
      <c r="J4210" s="6" t="s">
        <v>349</v>
      </c>
      <c r="K4210" s="10">
        <v>2.2572</v>
      </c>
      <c r="L4210" s="10">
        <v>11.88</v>
      </c>
      <c r="M4210" s="6" t="s">
        <v>375</v>
      </c>
    </row>
    <row r="4211" spans="1:13">
      <c r="A4211" s="6">
        <v>2024</v>
      </c>
      <c r="B4211" s="6">
        <v>8</v>
      </c>
      <c r="C4211" s="6" t="s">
        <v>66</v>
      </c>
      <c r="D4211" s="6" t="s">
        <v>334</v>
      </c>
      <c r="E4211" s="6" t="s">
        <v>552</v>
      </c>
      <c r="F4211" s="6" t="str">
        <f>IF($M4211="PADD I","PADD 1",IF($M4211="PADD II","PADD 2",IF($M4211="PADD III","PADD 3",IF($M4211="PADD IV","PADD 4",IF($M4211="PADD V","PADD 5","")))))</f>
        <v>PADD 3</v>
      </c>
      <c r="G4211" s="6" t="str">
        <f>IF(AND($H4211="ATMOS DISTILLATION",ISNUMBER(SEARCH("VPS",$I4211))=FALSE,LEFT($I4211,6)&lt;&gt;"VACUUM"),"CDU",IF($H4211="FLUID CAT CRACKING","FCC",IF(OR($H4211="HYDROCRACKING",$H4211="RESID_HYDROCRACKING"),"Hydrocracker",IF($H4211="REFORMING","Reformer",""))))</f>
        <v>CDU</v>
      </c>
      <c r="H4211" s="6" t="s">
        <v>38</v>
      </c>
      <c r="I4211" s="6" t="s">
        <v>137</v>
      </c>
      <c r="J4211" s="6" t="s">
        <v>345</v>
      </c>
      <c r="K4211" s="10">
        <v>2.208</v>
      </c>
      <c r="L4211" s="10">
        <v>9.6</v>
      </c>
      <c r="M4211" s="6" t="s">
        <v>371</v>
      </c>
    </row>
    <row r="4212" spans="1:13">
      <c r="A4212" s="6">
        <v>2024</v>
      </c>
      <c r="B4212" s="6">
        <v>8</v>
      </c>
      <c r="C4212" s="6" t="s">
        <v>66</v>
      </c>
      <c r="D4212" s="6" t="s">
        <v>610</v>
      </c>
      <c r="E4212" s="6" t="s">
        <v>611</v>
      </c>
      <c r="F4212" s="6" t="str">
        <f>IF($M4212="PADD I","PADD 1",IF($M4212="PADD II","PADD 2",IF($M4212="PADD III","PADD 3",IF($M4212="PADD IV","PADD 4",IF($M4212="PADD V","PADD 5","")))))</f>
        <v>PADD 2</v>
      </c>
      <c r="G4212" s="6">
        <f>IF(AND($H4212="ATMOS DISTILLATION",ISNUMBER(SEARCH("VPS",$I4212))=FALSE,LEFT($I4212,6)&lt;&gt;"VACUUM"),"CDU",IF($H4212="FLUID CAT CRACKING","FCC",IF(OR($H4212="HYDROCRACKING",$H4212="RESID_HYDROCRACKING"),"Hydrocracker",IF($H4212="REFORMING","Reformer",""))))</f>
        <v/>
      </c>
      <c r="H4212" s="6" t="s">
        <v>378</v>
      </c>
      <c r="I4212" s="6" t="s">
        <v>627</v>
      </c>
      <c r="J4212" s="6" t="s">
        <v>345</v>
      </c>
      <c r="K4212" s="10">
        <v>2.2</v>
      </c>
      <c r="L4212" s="10">
        <v>22</v>
      </c>
      <c r="M4212" s="6" t="s">
        <v>375</v>
      </c>
    </row>
    <row r="4213" spans="1:13">
      <c r="A4213" s="6">
        <v>2024</v>
      </c>
      <c r="B4213" s="6">
        <v>8</v>
      </c>
      <c r="C4213" s="6" t="s">
        <v>66</v>
      </c>
      <c r="D4213" s="6" t="s">
        <v>610</v>
      </c>
      <c r="E4213" s="6" t="s">
        <v>611</v>
      </c>
      <c r="F4213" s="6" t="str">
        <f>IF($M4213="PADD I","PADD 1",IF($M4213="PADD II","PADD 2",IF($M4213="PADD III","PADD 3",IF($M4213="PADD IV","PADD 4",IF($M4213="PADD V","PADD 5","")))))</f>
        <v>PADD 2</v>
      </c>
      <c r="G4213" s="6">
        <f>IF(AND($H4213="ATMOS DISTILLATION",ISNUMBER(SEARCH("VPS",$I4213))=FALSE,LEFT($I4213,6)&lt;&gt;"VACUUM"),"CDU",IF($H4213="FLUID CAT CRACKING","FCC",IF(OR($H4213="HYDROCRACKING",$H4213="RESID_HYDROCRACKING"),"Hydrocracker",IF($H4213="REFORMING","Reformer",""))))</f>
        <v/>
      </c>
      <c r="H4213" s="6" t="s">
        <v>378</v>
      </c>
      <c r="I4213" s="6" t="s">
        <v>494</v>
      </c>
      <c r="J4213" s="6" t="s">
        <v>345</v>
      </c>
      <c r="K4213" s="10">
        <v>2</v>
      </c>
      <c r="L4213" s="10">
        <v>20</v>
      </c>
      <c r="M4213" s="6" t="s">
        <v>375</v>
      </c>
    </row>
    <row r="4214" spans="1:13">
      <c r="A4214" s="6">
        <v>2024</v>
      </c>
      <c r="B4214" s="6">
        <v>8</v>
      </c>
      <c r="C4214" s="6" t="s">
        <v>66</v>
      </c>
      <c r="D4214" s="6" t="s">
        <v>500</v>
      </c>
      <c r="E4214" s="6" t="s">
        <v>388</v>
      </c>
      <c r="F4214" s="6" t="str">
        <f>IF($M4214="PADD I","PADD 1",IF($M4214="PADD II","PADD 2",IF($M4214="PADD III","PADD 3",IF($M4214="PADD IV","PADD 4",IF($M4214="PADD V","PADD 5","")))))</f>
        <v>PADD 2</v>
      </c>
      <c r="G4214" s="6">
        <f>IF(AND($H4214="ATMOS DISTILLATION",ISNUMBER(SEARCH("VPS",$I4214))=FALSE,LEFT($I4214,6)&lt;&gt;"VACUUM"),"CDU",IF($H4214="FLUID CAT CRACKING","FCC",IF(OR($H4214="HYDROCRACKING",$H4214="RESID_HYDROCRACKING"),"Hydrocracker",IF($H4214="REFORMING","Reformer",""))))</f>
        <v/>
      </c>
      <c r="H4214" s="6" t="s">
        <v>43</v>
      </c>
      <c r="I4214" s="6" t="s">
        <v>921</v>
      </c>
      <c r="J4214" s="6" t="s">
        <v>345</v>
      </c>
      <c r="K4214" s="10">
        <v>2</v>
      </c>
      <c r="L4214" s="10">
        <v>20</v>
      </c>
      <c r="M4214" s="6" t="s">
        <v>375</v>
      </c>
    </row>
    <row r="4215" spans="1:13">
      <c r="A4215" s="6">
        <v>2024</v>
      </c>
      <c r="B4215" s="6">
        <v>8</v>
      </c>
      <c r="C4215" s="6" t="s">
        <v>66</v>
      </c>
      <c r="D4215" s="6" t="s">
        <v>500</v>
      </c>
      <c r="E4215" s="6" t="s">
        <v>388</v>
      </c>
      <c r="F4215" s="6" t="str">
        <f>IF($M4215="PADD I","PADD 1",IF($M4215="PADD II","PADD 2",IF($M4215="PADD III","PADD 3",IF($M4215="PADD IV","PADD 4",IF($M4215="PADD V","PADD 5","")))))</f>
        <v>PADD 2</v>
      </c>
      <c r="G4215" s="6">
        <f>IF(AND($H4215="ATMOS DISTILLATION",ISNUMBER(SEARCH("VPS",$I4215))=FALSE,LEFT($I4215,6)&lt;&gt;"VACUUM"),"CDU",IF($H4215="FLUID CAT CRACKING","FCC",IF(OR($H4215="HYDROCRACKING",$H4215="RESID_HYDROCRACKING"),"Hydrocracker",IF($H4215="REFORMING","Reformer",""))))</f>
        <v/>
      </c>
      <c r="H4215" s="6" t="s">
        <v>43</v>
      </c>
      <c r="I4215" s="6" t="s">
        <v>520</v>
      </c>
      <c r="J4215" s="6" t="s">
        <v>345</v>
      </c>
      <c r="K4215" s="10">
        <v>2</v>
      </c>
      <c r="L4215" s="10">
        <v>20</v>
      </c>
      <c r="M4215" s="6" t="s">
        <v>375</v>
      </c>
    </row>
    <row r="4216" spans="1:13">
      <c r="A4216" s="6">
        <v>2024</v>
      </c>
      <c r="B4216" s="6">
        <v>8</v>
      </c>
      <c r="C4216" s="6" t="s">
        <v>66</v>
      </c>
      <c r="D4216" s="6" t="s">
        <v>610</v>
      </c>
      <c r="E4216" s="6" t="s">
        <v>611</v>
      </c>
      <c r="F4216" s="6" t="str">
        <f>IF($M4216="PADD I","PADD 1",IF($M4216="PADD II","PADD 2",IF($M4216="PADD III","PADD 3",IF($M4216="PADD IV","PADD 4",IF($M4216="PADD V","PADD 5","")))))</f>
        <v>PADD 2</v>
      </c>
      <c r="G4216" s="6">
        <f>IF(AND($H4216="ATMOS DISTILLATION",ISNUMBER(SEARCH("VPS",$I4216))=FALSE,LEFT($I4216,6)&lt;&gt;"VACUUM"),"CDU",IF($H4216="FLUID CAT CRACKING","FCC",IF(OR($H4216="HYDROCRACKING",$H4216="RESID_HYDROCRACKING"),"Hydrocracker",IF($H4216="REFORMING","Reformer",""))))</f>
        <v/>
      </c>
      <c r="H4216" s="6" t="s">
        <v>435</v>
      </c>
      <c r="I4216" s="6" t="s">
        <v>441</v>
      </c>
      <c r="J4216" s="6" t="s">
        <v>345</v>
      </c>
      <c r="K4216" s="10">
        <v>1.95</v>
      </c>
      <c r="L4216" s="10">
        <v>19.5</v>
      </c>
      <c r="M4216" s="6" t="s">
        <v>375</v>
      </c>
    </row>
    <row r="4217" spans="1:13">
      <c r="A4217" s="6">
        <v>2024</v>
      </c>
      <c r="B4217" s="6">
        <v>8</v>
      </c>
      <c r="C4217" s="6" t="s">
        <v>66</v>
      </c>
      <c r="D4217" s="6" t="s">
        <v>48</v>
      </c>
      <c r="E4217" s="6" t="s">
        <v>388</v>
      </c>
      <c r="F4217" s="6" t="str">
        <f>IF($M4217="PADD I","PADD 1",IF($M4217="PADD II","PADD 2",IF($M4217="PADD III","PADD 3",IF($M4217="PADD IV","PADD 4",IF($M4217="PADD V","PADD 5","")))))</f>
        <v>PADD 2</v>
      </c>
      <c r="G4217" s="6">
        <f>IF(AND($H4217="ATMOS DISTILLATION",ISNUMBER(SEARCH("VPS",$I4217))=FALSE,LEFT($I4217,6)&lt;&gt;"VACUUM"),"CDU",IF($H4217="FLUID CAT CRACKING","FCC",IF(OR($H4217="HYDROCRACKING",$H4217="RESID_HYDROCRACKING"),"Hydrocracker",IF($H4217="REFORMING","Reformer",""))))</f>
        <v/>
      </c>
      <c r="H4217" s="6" t="s">
        <v>435</v>
      </c>
      <c r="I4217" s="6" t="s">
        <v>631</v>
      </c>
      <c r="J4217" s="6" t="s">
        <v>345</v>
      </c>
      <c r="K4217" s="10">
        <v>1.92</v>
      </c>
      <c r="L4217" s="10">
        <v>12</v>
      </c>
      <c r="M4217" s="6" t="s">
        <v>375</v>
      </c>
    </row>
    <row r="4218" spans="1:13">
      <c r="A4218" s="6">
        <v>2024</v>
      </c>
      <c r="B4218" s="6">
        <v>8</v>
      </c>
      <c r="C4218" s="6" t="s">
        <v>66</v>
      </c>
      <c r="D4218" s="6" t="s">
        <v>500</v>
      </c>
      <c r="E4218" s="6" t="s">
        <v>388</v>
      </c>
      <c r="F4218" s="6" t="str">
        <f>IF($M4218="PADD I","PADD 1",IF($M4218="PADD II","PADD 2",IF($M4218="PADD III","PADD 3",IF($M4218="PADD IV","PADD 4",IF($M4218="PADD V","PADD 5","")))))</f>
        <v>PADD 2</v>
      </c>
      <c r="G4218" s="6" t="str">
        <f>IF(AND($H4218="ATMOS DISTILLATION",ISNUMBER(SEARCH("VPS",$I4218))=FALSE,LEFT($I4218,6)&lt;&gt;"VACUUM"),"CDU",IF($H4218="FLUID CAT CRACKING","FCC",IF(OR($H4218="HYDROCRACKING",$H4218="RESID_HYDROCRACKING"),"Hydrocracker",IF($H4218="REFORMING","Reformer",""))))</f>
        <v>Reformer</v>
      </c>
      <c r="H4218" s="6" t="s">
        <v>421</v>
      </c>
      <c r="I4218" s="6" t="s">
        <v>539</v>
      </c>
      <c r="J4218" s="6" t="s">
        <v>345</v>
      </c>
      <c r="K4218" s="10">
        <v>1.9</v>
      </c>
      <c r="L4218" s="10">
        <v>19</v>
      </c>
      <c r="M4218" s="6" t="s">
        <v>375</v>
      </c>
    </row>
    <row r="4219" spans="1:13">
      <c r="A4219" s="6">
        <v>2024</v>
      </c>
      <c r="B4219" s="6">
        <v>8</v>
      </c>
      <c r="C4219" s="6" t="s">
        <v>66</v>
      </c>
      <c r="D4219" s="6" t="s">
        <v>610</v>
      </c>
      <c r="E4219" s="6" t="s">
        <v>611</v>
      </c>
      <c r="F4219" s="6" t="str">
        <f>IF($M4219="PADD I","PADD 1",IF($M4219="PADD II","PADD 2",IF($M4219="PADD III","PADD 3",IF($M4219="PADD IV","PADD 4",IF($M4219="PADD V","PADD 5","")))))</f>
        <v>PADD 2</v>
      </c>
      <c r="G4219" s="6">
        <f>IF(AND($H4219="ATMOS DISTILLATION",ISNUMBER(SEARCH("VPS",$I4219))=FALSE,LEFT($I4219,6)&lt;&gt;"VACUUM"),"CDU",IF($H4219="FLUID CAT CRACKING","FCC",IF(OR($H4219="HYDROCRACKING",$H4219="RESID_HYDROCRACKING"),"Hydrocracker",IF($H4219="REFORMING","Reformer",""))))</f>
        <v/>
      </c>
      <c r="H4219" s="6" t="s">
        <v>43</v>
      </c>
      <c r="I4219" s="6" t="s">
        <v>622</v>
      </c>
      <c r="J4219" s="6" t="s">
        <v>345</v>
      </c>
      <c r="K4219" s="10">
        <v>1.8</v>
      </c>
      <c r="L4219" s="10">
        <v>30</v>
      </c>
      <c r="M4219" s="6" t="s">
        <v>375</v>
      </c>
    </row>
    <row r="4220" spans="1:13">
      <c r="A4220" s="6">
        <v>2024</v>
      </c>
      <c r="B4220" s="6">
        <v>8</v>
      </c>
      <c r="C4220" s="6" t="s">
        <v>66</v>
      </c>
      <c r="D4220" s="6" t="s">
        <v>408</v>
      </c>
      <c r="E4220" s="6" t="s">
        <v>409</v>
      </c>
      <c r="F4220" s="6" t="str">
        <f>IF($M4220="PADD I","PADD 1",IF($M4220="PADD II","PADD 2",IF($M4220="PADD III","PADD 3",IF($M4220="PADD IV","PADD 4",IF($M4220="PADD V","PADD 5","")))))</f>
        <v>PADD 3</v>
      </c>
      <c r="G4220" s="6">
        <f>IF(AND($H4220="ATMOS DISTILLATION",ISNUMBER(SEARCH("VPS",$I4220))=FALSE,LEFT($I4220,6)&lt;&gt;"VACUUM"),"CDU",IF($H4220="FLUID CAT CRACKING","FCC",IF(OR($H4220="HYDROCRACKING",$H4220="RESID_HYDROCRACKING"),"Hydrocracker",IF($H4220="REFORMING","Reformer",""))))</f>
        <v/>
      </c>
      <c r="H4220" s="6" t="s">
        <v>378</v>
      </c>
      <c r="I4220" s="6" t="s">
        <v>506</v>
      </c>
      <c r="J4220" s="6" t="s">
        <v>345</v>
      </c>
      <c r="K4220" s="10">
        <v>1.56</v>
      </c>
      <c r="L4220" s="10">
        <v>52</v>
      </c>
      <c r="M4220" s="6" t="s">
        <v>371</v>
      </c>
    </row>
    <row r="4221" spans="1:13">
      <c r="A4221" s="6">
        <v>2024</v>
      </c>
      <c r="B4221" s="6">
        <v>8</v>
      </c>
      <c r="C4221" s="6" t="s">
        <v>66</v>
      </c>
      <c r="D4221" s="6" t="s">
        <v>1043</v>
      </c>
      <c r="E4221" s="6" t="s">
        <v>388</v>
      </c>
      <c r="F4221" s="6" t="str">
        <f>IF($M4221="PADD I","PADD 1",IF($M4221="PADD II","PADD 2",IF($M4221="PADD III","PADD 3",IF($M4221="PADD IV","PADD 4",IF($M4221="PADD V","PADD 5","")))))</f>
        <v>PADD 2</v>
      </c>
      <c r="G4221" s="6">
        <f>IF(AND($H4221="ATMOS DISTILLATION",ISNUMBER(SEARCH("VPS",$I4221))=FALSE,LEFT($I4221,6)&lt;&gt;"VACUUM"),"CDU",IF($H4221="FLUID CAT CRACKING","FCC",IF(OR($H4221="HYDROCRACKING",$H4221="RESID_HYDROCRACKING"),"Hydrocracker",IF($H4221="REFORMING","Reformer",""))))</f>
        <v/>
      </c>
      <c r="H4221" s="6" t="s">
        <v>43</v>
      </c>
      <c r="I4221" s="6" t="s">
        <v>1056</v>
      </c>
      <c r="J4221" s="6" t="s">
        <v>349</v>
      </c>
      <c r="K4221" s="10">
        <v>1.5</v>
      </c>
      <c r="L4221" s="10">
        <v>15</v>
      </c>
      <c r="M4221" s="6" t="s">
        <v>375</v>
      </c>
    </row>
    <row r="4222" spans="1:13">
      <c r="A4222" s="6">
        <v>2024</v>
      </c>
      <c r="B4222" s="6">
        <v>8</v>
      </c>
      <c r="C4222" s="6" t="s">
        <v>66</v>
      </c>
      <c r="D4222" s="6" t="s">
        <v>572</v>
      </c>
      <c r="E4222" s="6" t="s">
        <v>573</v>
      </c>
      <c r="F4222" s="6" t="str">
        <f>IF($M4222="PADD I","PADD 1",IF($M4222="PADD II","PADD 2",IF($M4222="PADD III","PADD 3",IF($M4222="PADD IV","PADD 4",IF($M4222="PADD V","PADD 5","")))))</f>
        <v>PADD 3</v>
      </c>
      <c r="G4222" s="6" t="str">
        <f>IF(AND($H4222="ATMOS DISTILLATION",ISNUMBER(SEARCH("VPS",$I4222))=FALSE,LEFT($I4222,6)&lt;&gt;"VACUUM"),"CDU",IF($H4222="FLUID CAT CRACKING","FCC",IF(OR($H4222="HYDROCRACKING",$H4222="RESID_HYDROCRACKING"),"Hydrocracker",IF($H4222="REFORMING","Reformer",""))))</f>
        <v>CDU</v>
      </c>
      <c r="H4222" s="6" t="s">
        <v>38</v>
      </c>
      <c r="I4222" s="6" t="s">
        <v>574</v>
      </c>
      <c r="J4222" s="6" t="s">
        <v>345</v>
      </c>
      <c r="K4222" s="10">
        <v>1.5</v>
      </c>
      <c r="L4222" s="10">
        <v>50</v>
      </c>
      <c r="M4222" s="6" t="s">
        <v>371</v>
      </c>
    </row>
    <row r="4223" spans="1:13">
      <c r="A4223" s="6">
        <v>2024</v>
      </c>
      <c r="B4223" s="6">
        <v>8</v>
      </c>
      <c r="C4223" s="6" t="s">
        <v>66</v>
      </c>
      <c r="D4223" s="6" t="s">
        <v>610</v>
      </c>
      <c r="E4223" s="6" t="s">
        <v>611</v>
      </c>
      <c r="F4223" s="6" t="str">
        <f>IF($M4223="PADD I","PADD 1",IF($M4223="PADD II","PADD 2",IF($M4223="PADD III","PADD 3",IF($M4223="PADD IV","PADD 4",IF($M4223="PADD V","PADD 5","")))))</f>
        <v>PADD 2</v>
      </c>
      <c r="G4223" s="6">
        <f>IF(AND($H4223="ATMOS DISTILLATION",ISNUMBER(SEARCH("VPS",$I4223))=FALSE,LEFT($I4223,6)&lt;&gt;"VACUUM"),"CDU",IF($H4223="FLUID CAT CRACKING","FCC",IF(OR($H4223="HYDROCRACKING",$H4223="RESID_HYDROCRACKING"),"Hydrocracker",IF($H4223="REFORMING","Reformer",""))))</f>
        <v/>
      </c>
      <c r="H4223" s="6" t="s">
        <v>43</v>
      </c>
      <c r="I4223" s="6" t="s">
        <v>624</v>
      </c>
      <c r="J4223" s="6" t="s">
        <v>345</v>
      </c>
      <c r="K4223" s="10">
        <v>1.5</v>
      </c>
      <c r="L4223" s="10">
        <v>25</v>
      </c>
      <c r="M4223" s="6" t="s">
        <v>375</v>
      </c>
    </row>
    <row r="4224" spans="1:13">
      <c r="A4224" s="6">
        <v>2024</v>
      </c>
      <c r="B4224" s="6">
        <v>8</v>
      </c>
      <c r="C4224" s="6" t="s">
        <v>66</v>
      </c>
      <c r="D4224" s="6" t="s">
        <v>610</v>
      </c>
      <c r="E4224" s="6" t="s">
        <v>611</v>
      </c>
      <c r="F4224" s="6" t="str">
        <f>IF($M4224="PADD I","PADD 1",IF($M4224="PADD II","PADD 2",IF($M4224="PADD III","PADD 3",IF($M4224="PADD IV","PADD 4",IF($M4224="PADD V","PADD 5","")))))</f>
        <v>PADD 2</v>
      </c>
      <c r="G4224" s="6">
        <f>IF(AND($H4224="ATMOS DISTILLATION",ISNUMBER(SEARCH("VPS",$I4224))=FALSE,LEFT($I4224,6)&lt;&gt;"VACUUM"),"CDU",IF($H4224="FLUID CAT CRACKING","FCC",IF(OR($H4224="HYDROCRACKING",$H4224="RESID_HYDROCRACKING"),"Hydrocracker",IF($H4224="REFORMING","Reformer",""))))</f>
        <v/>
      </c>
      <c r="H4224" s="6" t="s">
        <v>43</v>
      </c>
      <c r="I4224" s="6" t="s">
        <v>458</v>
      </c>
      <c r="J4224" s="6" t="s">
        <v>345</v>
      </c>
      <c r="K4224" s="10">
        <v>1.5</v>
      </c>
      <c r="L4224" s="10">
        <v>25</v>
      </c>
      <c r="M4224" s="6" t="s">
        <v>375</v>
      </c>
    </row>
    <row r="4225" spans="1:13">
      <c r="A4225" s="6">
        <v>2024</v>
      </c>
      <c r="B4225" s="6">
        <v>8</v>
      </c>
      <c r="C4225" s="6" t="s">
        <v>66</v>
      </c>
      <c r="D4225" s="6" t="s">
        <v>500</v>
      </c>
      <c r="E4225" s="6" t="s">
        <v>388</v>
      </c>
      <c r="F4225" s="6" t="str">
        <f>IF($M4225="PADD I","PADD 1",IF($M4225="PADD II","PADD 2",IF($M4225="PADD III","PADD 3",IF($M4225="PADD IV","PADD 4",IF($M4225="PADD V","PADD 5","")))))</f>
        <v>PADD 2</v>
      </c>
      <c r="G4225" s="6">
        <f>IF(AND($H4225="ATMOS DISTILLATION",ISNUMBER(SEARCH("VPS",$I4225))=FALSE,LEFT($I4225,6)&lt;&gt;"VACUUM"),"CDU",IF($H4225="FLUID CAT CRACKING","FCC",IF(OR($H4225="HYDROCRACKING",$H4225="RESID_HYDROCRACKING"),"Hydrocracker",IF($H4225="REFORMING","Reformer",""))))</f>
        <v/>
      </c>
      <c r="H4225" s="6" t="s">
        <v>43</v>
      </c>
      <c r="I4225" s="6" t="s">
        <v>924</v>
      </c>
      <c r="J4225" s="6" t="s">
        <v>345</v>
      </c>
      <c r="K4225" s="10">
        <v>1.5</v>
      </c>
      <c r="L4225" s="10">
        <v>15</v>
      </c>
      <c r="M4225" s="6" t="s">
        <v>375</v>
      </c>
    </row>
    <row r="4226" spans="1:13">
      <c r="A4226" s="6">
        <v>2024</v>
      </c>
      <c r="B4226" s="6">
        <v>8</v>
      </c>
      <c r="C4226" s="6" t="s">
        <v>66</v>
      </c>
      <c r="D4226" s="6" t="s">
        <v>434</v>
      </c>
      <c r="E4226" s="6" t="s">
        <v>388</v>
      </c>
      <c r="F4226" s="6" t="str">
        <f>IF($M4226="PADD I","PADD 1",IF($M4226="PADD II","PADD 2",IF($M4226="PADD III","PADD 3",IF($M4226="PADD IV","PADD 4",IF($M4226="PADD V","PADD 5","")))))</f>
        <v>PADD 5</v>
      </c>
      <c r="G4226" s="6" t="str">
        <f>IF(AND($H4226="ATMOS DISTILLATION",ISNUMBER(SEARCH("VPS",$I4226))=FALSE,LEFT($I4226,6)&lt;&gt;"VACUUM"),"CDU",IF($H4226="FLUID CAT CRACKING","FCC",IF(OR($H4226="HYDROCRACKING",$H4226="RESID_HYDROCRACKING"),"Hydrocracker",IF($H4226="REFORMING","Reformer",""))))</f>
        <v>Reformer</v>
      </c>
      <c r="H4226" s="6" t="s">
        <v>421</v>
      </c>
      <c r="I4226" s="6" t="s">
        <v>671</v>
      </c>
      <c r="J4226" s="6" t="s">
        <v>345</v>
      </c>
      <c r="K4226" s="10">
        <v>1.5</v>
      </c>
      <c r="L4226" s="10">
        <v>15</v>
      </c>
      <c r="M4226" s="6" t="s">
        <v>386</v>
      </c>
    </row>
    <row r="4227" spans="1:13">
      <c r="A4227" s="6">
        <v>2024</v>
      </c>
      <c r="B4227" s="6">
        <v>8</v>
      </c>
      <c r="C4227" s="6" t="s">
        <v>66</v>
      </c>
      <c r="D4227" s="6" t="s">
        <v>334</v>
      </c>
      <c r="E4227" s="6" t="s">
        <v>552</v>
      </c>
      <c r="F4227" s="6" t="str">
        <f>IF($M4227="PADD I","PADD 1",IF($M4227="PADD II","PADD 2",IF($M4227="PADD III","PADD 3",IF($M4227="PADD IV","PADD 4",IF($M4227="PADD V","PADD 5","")))))</f>
        <v>PADD 3</v>
      </c>
      <c r="G4227" s="6">
        <f>IF(AND($H4227="ATMOS DISTILLATION",ISNUMBER(SEARCH("VPS",$I4227))=FALSE,LEFT($I4227,6)&lt;&gt;"VACUUM"),"CDU",IF($H4227="FLUID CAT CRACKING","FCC",IF(OR($H4227="HYDROCRACKING",$H4227="RESID_HYDROCRACKING"),"Hydrocracker",IF($H4227="REFORMING","Reformer",""))))</f>
        <v/>
      </c>
      <c r="H4227" s="6" t="s">
        <v>568</v>
      </c>
      <c r="I4227" s="6" t="s">
        <v>623</v>
      </c>
      <c r="J4227" s="6" t="s">
        <v>345</v>
      </c>
      <c r="K4227" s="10">
        <v>1.38</v>
      </c>
      <c r="L4227" s="10">
        <v>6</v>
      </c>
      <c r="M4227" s="6" t="s">
        <v>371</v>
      </c>
    </row>
    <row r="4228" spans="1:13">
      <c r="A4228" s="6">
        <v>2024</v>
      </c>
      <c r="B4228" s="6">
        <v>8</v>
      </c>
      <c r="C4228" s="6" t="s">
        <v>66</v>
      </c>
      <c r="D4228" s="6" t="s">
        <v>1043</v>
      </c>
      <c r="E4228" s="6" t="s">
        <v>388</v>
      </c>
      <c r="F4228" s="6" t="str">
        <f>IF($M4228="PADD I","PADD 1",IF($M4228="PADD II","PADD 2",IF($M4228="PADD III","PADD 3",IF($M4228="PADD IV","PADD 4",IF($M4228="PADD V","PADD 5","")))))</f>
        <v>PADD 2</v>
      </c>
      <c r="G4228" s="6">
        <f>IF(AND($H4228="ATMOS DISTILLATION",ISNUMBER(SEARCH("VPS",$I4228))=FALSE,LEFT($I4228,6)&lt;&gt;"VACUUM"),"CDU",IF($H4228="FLUID CAT CRACKING","FCC",IF(OR($H4228="HYDROCRACKING",$H4228="RESID_HYDROCRACKING"),"Hydrocracker",IF($H4228="REFORMING","Reformer",""))))</f>
        <v/>
      </c>
      <c r="H4228" s="6" t="s">
        <v>43</v>
      </c>
      <c r="I4228" s="6" t="s">
        <v>1057</v>
      </c>
      <c r="J4228" s="6" t="s">
        <v>349</v>
      </c>
      <c r="K4228" s="10">
        <v>1.36</v>
      </c>
      <c r="L4228" s="10">
        <v>13.6</v>
      </c>
      <c r="M4228" s="6" t="s">
        <v>375</v>
      </c>
    </row>
    <row r="4229" spans="1:13">
      <c r="A4229" s="6">
        <v>2024</v>
      </c>
      <c r="B4229" s="6">
        <v>8</v>
      </c>
      <c r="C4229" s="6" t="s">
        <v>66</v>
      </c>
      <c r="D4229" s="6" t="s">
        <v>610</v>
      </c>
      <c r="E4229" s="6" t="s">
        <v>611</v>
      </c>
      <c r="F4229" s="6" t="str">
        <f>IF($M4229="PADD I","PADD 1",IF($M4229="PADD II","PADD 2",IF($M4229="PADD III","PADD 3",IF($M4229="PADD IV","PADD 4",IF($M4229="PADD V","PADD 5","")))))</f>
        <v>PADD 2</v>
      </c>
      <c r="G4229" s="6">
        <f>IF(AND($H4229="ATMOS DISTILLATION",ISNUMBER(SEARCH("VPS",$I4229))=FALSE,LEFT($I4229,6)&lt;&gt;"VACUUM"),"CDU",IF($H4229="FLUID CAT CRACKING","FCC",IF(OR($H4229="HYDROCRACKING",$H4229="RESID_HYDROCRACKING"),"Hydrocracker",IF($H4229="REFORMING","Reformer",""))))</f>
        <v/>
      </c>
      <c r="H4229" s="6" t="s">
        <v>568</v>
      </c>
      <c r="I4229" s="6" t="s">
        <v>604</v>
      </c>
      <c r="J4229" s="6" t="s">
        <v>345</v>
      </c>
      <c r="K4229" s="10">
        <v>1.332</v>
      </c>
      <c r="L4229" s="10">
        <v>22.2</v>
      </c>
      <c r="M4229" s="6" t="s">
        <v>375</v>
      </c>
    </row>
    <row r="4230" spans="1:13">
      <c r="A4230" s="6">
        <v>2024</v>
      </c>
      <c r="B4230" s="6">
        <v>8</v>
      </c>
      <c r="C4230" s="6" t="s">
        <v>66</v>
      </c>
      <c r="D4230" s="6" t="s">
        <v>1043</v>
      </c>
      <c r="E4230" s="6" t="s">
        <v>388</v>
      </c>
      <c r="F4230" s="6" t="str">
        <f>IF($M4230="PADD I","PADD 1",IF($M4230="PADD II","PADD 2",IF($M4230="PADD III","PADD 3",IF($M4230="PADD IV","PADD 4",IF($M4230="PADD V","PADD 5","")))))</f>
        <v>PADD 2</v>
      </c>
      <c r="G4230" s="6" t="str">
        <f>IF(AND($H4230="ATMOS DISTILLATION",ISNUMBER(SEARCH("VPS",$I4230))=FALSE,LEFT($I4230,6)&lt;&gt;"VACUUM"),"CDU",IF($H4230="FLUID CAT CRACKING","FCC",IF(OR($H4230="HYDROCRACKING",$H4230="RESID_HYDROCRACKING"),"Hydrocracker",IF($H4230="REFORMING","Reformer",""))))</f>
        <v>Reformer</v>
      </c>
      <c r="H4230" s="6" t="s">
        <v>421</v>
      </c>
      <c r="I4230" s="6" t="s">
        <v>916</v>
      </c>
      <c r="J4230" s="6" t="s">
        <v>349</v>
      </c>
      <c r="K4230" s="10">
        <v>1.3</v>
      </c>
      <c r="L4230" s="10">
        <v>13</v>
      </c>
      <c r="M4230" s="6" t="s">
        <v>375</v>
      </c>
    </row>
    <row r="4231" spans="1:13">
      <c r="A4231" s="6">
        <v>2024</v>
      </c>
      <c r="B4231" s="6">
        <v>8</v>
      </c>
      <c r="C4231" s="6" t="s">
        <v>66</v>
      </c>
      <c r="D4231" s="6" t="s">
        <v>610</v>
      </c>
      <c r="E4231" s="6" t="s">
        <v>611</v>
      </c>
      <c r="F4231" s="6" t="str">
        <f>IF($M4231="PADD I","PADD 1",IF($M4231="PADD II","PADD 2",IF($M4231="PADD III","PADD 3",IF($M4231="PADD IV","PADD 4",IF($M4231="PADD V","PADD 5","")))))</f>
        <v>PADD 2</v>
      </c>
      <c r="G4231" s="6">
        <f>IF(AND($H4231="ATMOS DISTILLATION",ISNUMBER(SEARCH("VPS",$I4231))=FALSE,LEFT($I4231,6)&lt;&gt;"VACUUM"),"CDU",IF($H4231="FLUID CAT CRACKING","FCC",IF(OR($H4231="HYDROCRACKING",$H4231="RESID_HYDROCRACKING"),"Hydrocracker",IF($H4231="REFORMING","Reformer",""))))</f>
        <v/>
      </c>
      <c r="H4231" s="6" t="s">
        <v>43</v>
      </c>
      <c r="I4231" s="6" t="s">
        <v>629</v>
      </c>
      <c r="J4231" s="6" t="s">
        <v>345</v>
      </c>
      <c r="K4231" s="10">
        <v>1.2</v>
      </c>
      <c r="L4231" s="10">
        <v>20</v>
      </c>
      <c r="M4231" s="6" t="s">
        <v>375</v>
      </c>
    </row>
    <row r="4232" spans="1:13">
      <c r="A4232" s="6">
        <v>2024</v>
      </c>
      <c r="B4232" s="6">
        <v>8</v>
      </c>
      <c r="C4232" s="6" t="s">
        <v>66</v>
      </c>
      <c r="D4232" s="6" t="s">
        <v>334</v>
      </c>
      <c r="E4232" s="6" t="s">
        <v>552</v>
      </c>
      <c r="F4232" s="6" t="str">
        <f>IF($M4232="PADD I","PADD 1",IF($M4232="PADD II","PADD 2",IF($M4232="PADD III","PADD 3",IF($M4232="PADD IV","PADD 4",IF($M4232="PADD V","PADD 5","")))))</f>
        <v>PADD 3</v>
      </c>
      <c r="G4232" s="6" t="str">
        <f>IF(AND($H4232="ATMOS DISTILLATION",ISNUMBER(SEARCH("VPS",$I4232))=FALSE,LEFT($I4232,6)&lt;&gt;"VACUUM"),"CDU",IF($H4232="FLUID CAT CRACKING","FCC",IF(OR($H4232="HYDROCRACKING",$H4232="RESID_HYDROCRACKING"),"Hydrocracker",IF($H4232="REFORMING","Reformer",""))))</f>
        <v>FCC</v>
      </c>
      <c r="H4232" s="6" t="s">
        <v>376</v>
      </c>
      <c r="I4232" s="6" t="s">
        <v>613</v>
      </c>
      <c r="J4232" s="6" t="s">
        <v>345</v>
      </c>
      <c r="K4232" s="10">
        <v>1.2</v>
      </c>
      <c r="L4232" s="10">
        <v>20</v>
      </c>
      <c r="M4232" s="6" t="s">
        <v>371</v>
      </c>
    </row>
    <row r="4233" spans="1:13">
      <c r="A4233" s="6">
        <v>2024</v>
      </c>
      <c r="B4233" s="6">
        <v>8</v>
      </c>
      <c r="C4233" s="6" t="s">
        <v>66</v>
      </c>
      <c r="D4233" s="6" t="s">
        <v>801</v>
      </c>
      <c r="E4233" s="6" t="s">
        <v>779</v>
      </c>
      <c r="F4233" s="6" t="str">
        <f>IF($M4233="PADD I","PADD 1",IF($M4233="PADD II","PADD 2",IF($M4233="PADD III","PADD 3",IF($M4233="PADD IV","PADD 4",IF($M4233="PADD V","PADD 5","")))))</f>
        <v>PADD 2</v>
      </c>
      <c r="G4233" s="6">
        <f>IF(AND($H4233="ATMOS DISTILLATION",ISNUMBER(SEARCH("VPS",$I4233))=FALSE,LEFT($I4233,6)&lt;&gt;"VACUUM"),"CDU",IF($H4233="FLUID CAT CRACKING","FCC",IF(OR($H4233="HYDROCRACKING",$H4233="RESID_HYDROCRACKING"),"Hydrocracker",IF($H4233="REFORMING","Reformer",""))))</f>
        <v/>
      </c>
      <c r="H4233" s="6" t="s">
        <v>435</v>
      </c>
      <c r="I4233" s="6" t="s">
        <v>894</v>
      </c>
      <c r="J4233" s="6" t="s">
        <v>349</v>
      </c>
      <c r="K4233" s="10">
        <v>1.0355</v>
      </c>
      <c r="L4233" s="10">
        <v>5.45</v>
      </c>
      <c r="M4233" s="6" t="s">
        <v>375</v>
      </c>
    </row>
    <row r="4234" spans="1:13">
      <c r="A4234" s="6">
        <v>2024</v>
      </c>
      <c r="B4234" s="6">
        <v>8</v>
      </c>
      <c r="C4234" s="6" t="s">
        <v>66</v>
      </c>
      <c r="D4234" s="6" t="s">
        <v>801</v>
      </c>
      <c r="E4234" s="6" t="s">
        <v>779</v>
      </c>
      <c r="F4234" s="6" t="str">
        <f>IF($M4234="PADD I","PADD 1",IF($M4234="PADD II","PADD 2",IF($M4234="PADD III","PADD 3",IF($M4234="PADD IV","PADD 4",IF($M4234="PADD V","PADD 5","")))))</f>
        <v>PADD 2</v>
      </c>
      <c r="G4234" s="6">
        <f>IF(AND($H4234="ATMOS DISTILLATION",ISNUMBER(SEARCH("VPS",$I4234))=FALSE,LEFT($I4234,6)&lt;&gt;"VACUUM"),"CDU",IF($H4234="FLUID CAT CRACKING","FCC",IF(OR($H4234="HYDROCRACKING",$H4234="RESID_HYDROCRACKING"),"Hydrocracker",IF($H4234="REFORMING","Reformer",""))))</f>
        <v/>
      </c>
      <c r="H4234" s="6" t="s">
        <v>435</v>
      </c>
      <c r="I4234" s="6" t="s">
        <v>802</v>
      </c>
      <c r="J4234" s="6" t="s">
        <v>349</v>
      </c>
      <c r="K4234" s="10">
        <v>1.0355</v>
      </c>
      <c r="L4234" s="10">
        <v>5.45</v>
      </c>
      <c r="M4234" s="6" t="s">
        <v>375</v>
      </c>
    </row>
    <row r="4235" spans="1:13">
      <c r="A4235" s="6">
        <v>2024</v>
      </c>
      <c r="B4235" s="6">
        <v>8</v>
      </c>
      <c r="C4235" s="6" t="s">
        <v>66</v>
      </c>
      <c r="D4235" s="6" t="s">
        <v>468</v>
      </c>
      <c r="E4235" s="6" t="s">
        <v>369</v>
      </c>
      <c r="F4235" s="6" t="str">
        <f>IF($M4235="PADD I","PADD 1",IF($M4235="PADD II","PADD 2",IF($M4235="PADD III","PADD 3",IF($M4235="PADD IV","PADD 4",IF($M4235="PADD V","PADD 5","")))))</f>
        <v>PADD 3</v>
      </c>
      <c r="G4235" s="6">
        <f>IF(AND($H4235="ATMOS DISTILLATION",ISNUMBER(SEARCH("VPS",$I4235))=FALSE,LEFT($I4235,6)&lt;&gt;"VACUUM"),"CDU",IF($H4235="FLUID CAT CRACKING","FCC",IF(OR($H4235="HYDROCRACKING",$H4235="RESID_HYDROCRACKING"),"Hydrocracker",IF($H4235="REFORMING","Reformer",""))))</f>
        <v/>
      </c>
      <c r="H4235" s="6" t="s">
        <v>43</v>
      </c>
      <c r="I4235" s="6" t="s">
        <v>1028</v>
      </c>
      <c r="J4235" s="6" t="s">
        <v>345</v>
      </c>
      <c r="K4235" s="10">
        <v>1.02</v>
      </c>
      <c r="L4235" s="10">
        <v>34</v>
      </c>
      <c r="M4235" s="6" t="s">
        <v>371</v>
      </c>
    </row>
    <row r="4236" spans="1:13">
      <c r="A4236" s="6">
        <v>2024</v>
      </c>
      <c r="B4236" s="6">
        <v>8</v>
      </c>
      <c r="C4236" s="6" t="s">
        <v>66</v>
      </c>
      <c r="D4236" s="6" t="s">
        <v>576</v>
      </c>
      <c r="E4236" s="6" t="s">
        <v>369</v>
      </c>
      <c r="F4236" s="6" t="str">
        <f>IF($M4236="PADD I","PADD 1",IF($M4236="PADD II","PADD 2",IF($M4236="PADD III","PADD 3",IF($M4236="PADD IV","PADD 4",IF($M4236="PADD V","PADD 5","")))))</f>
        <v>PADD 3</v>
      </c>
      <c r="G4236" s="6" t="str">
        <f>IF(AND($H4236="ATMOS DISTILLATION",ISNUMBER(SEARCH("VPS",$I4236))=FALSE,LEFT($I4236,6)&lt;&gt;"VACUUM"),"CDU",IF($H4236="FLUID CAT CRACKING","FCC",IF(OR($H4236="HYDROCRACKING",$H4236="RESID_HYDROCRACKING"),"Hydrocracker",IF($H4236="REFORMING","Reformer",""))))</f>
        <v>Reformer</v>
      </c>
      <c r="H4236" s="6" t="s">
        <v>421</v>
      </c>
      <c r="I4236" s="6" t="s">
        <v>876</v>
      </c>
      <c r="J4236" s="6" t="s">
        <v>345</v>
      </c>
      <c r="K4236" s="10">
        <v>1.02</v>
      </c>
      <c r="L4236" s="10">
        <v>34</v>
      </c>
      <c r="M4236" s="6" t="s">
        <v>371</v>
      </c>
    </row>
    <row r="4237" spans="1:13">
      <c r="A4237" s="6">
        <v>2024</v>
      </c>
      <c r="B4237" s="6">
        <v>8</v>
      </c>
      <c r="C4237" s="6" t="s">
        <v>66</v>
      </c>
      <c r="D4237" s="6" t="s">
        <v>946</v>
      </c>
      <c r="E4237" s="6" t="s">
        <v>405</v>
      </c>
      <c r="F4237" s="6" t="str">
        <f>IF($M4237="PADD I","PADD 1",IF($M4237="PADD II","PADD 2",IF($M4237="PADD III","PADD 3",IF($M4237="PADD IV","PADD 4",IF($M4237="PADD V","PADD 5","")))))</f>
        <v>PADD 5</v>
      </c>
      <c r="G4237" s="6">
        <f>IF(AND($H4237="ATMOS DISTILLATION",ISNUMBER(SEARCH("VPS",$I4237))=FALSE,LEFT($I4237,6)&lt;&gt;"VACUUM"),"CDU",IF($H4237="FLUID CAT CRACKING","FCC",IF(OR($H4237="HYDROCRACKING",$H4237="RESID_HYDROCRACKING"),"Hydrocracker",IF($H4237="REFORMING","Reformer",""))))</f>
        <v/>
      </c>
      <c r="H4237" s="6" t="s">
        <v>435</v>
      </c>
      <c r="I4237" s="6" t="s">
        <v>975</v>
      </c>
      <c r="J4237" s="6" t="s">
        <v>345</v>
      </c>
      <c r="K4237" s="10">
        <v>0.9</v>
      </c>
      <c r="L4237" s="10">
        <v>15</v>
      </c>
      <c r="M4237" s="6" t="s">
        <v>386</v>
      </c>
    </row>
    <row r="4238" spans="1:13">
      <c r="A4238" s="6">
        <v>2024</v>
      </c>
      <c r="B4238" s="6">
        <v>8</v>
      </c>
      <c r="C4238" s="6" t="s">
        <v>66</v>
      </c>
      <c r="D4238" s="6" t="s">
        <v>680</v>
      </c>
      <c r="E4238" s="6" t="s">
        <v>681</v>
      </c>
      <c r="F4238" s="6" t="str">
        <f>IF($M4238="PADD I","PADD 1",IF($M4238="PADD II","PADD 2",IF($M4238="PADD III","PADD 3",IF($M4238="PADD IV","PADD 4",IF($M4238="PADD V","PADD 5","")))))</f>
        <v>PADD 3</v>
      </c>
      <c r="G4238" s="6" t="str">
        <f>IF(AND($H4238="ATMOS DISTILLATION",ISNUMBER(SEARCH("VPS",$I4238))=FALSE,LEFT($I4238,6)&lt;&gt;"VACUUM"),"CDU",IF($H4238="FLUID CAT CRACKING","FCC",IF(OR($H4238="HYDROCRACKING",$H4238="RESID_HYDROCRACKING"),"Hydrocracker",IF($H4238="REFORMING","Reformer",""))))</f>
        <v>FCC</v>
      </c>
      <c r="H4238" s="6" t="s">
        <v>376</v>
      </c>
      <c r="I4238" s="6" t="s">
        <v>105</v>
      </c>
      <c r="J4238" s="6" t="s">
        <v>345</v>
      </c>
      <c r="K4238" s="10">
        <v>0.8100000000000001</v>
      </c>
      <c r="L4238" s="10">
        <v>27</v>
      </c>
      <c r="M4238" s="6" t="s">
        <v>371</v>
      </c>
    </row>
    <row r="4239" spans="1:13">
      <c r="A4239" s="6">
        <v>2024</v>
      </c>
      <c r="B4239" s="6">
        <v>8</v>
      </c>
      <c r="C4239" s="6" t="s">
        <v>66</v>
      </c>
      <c r="D4239" s="6" t="s">
        <v>632</v>
      </c>
      <c r="E4239" s="6" t="s">
        <v>633</v>
      </c>
      <c r="F4239" s="6" t="str">
        <f>IF($M4239="PADD I","PADD 1",IF($M4239="PADD II","PADD 2",IF($M4239="PADD III","PADD 3",IF($M4239="PADD IV","PADD 4",IF($M4239="PADD V","PADD 5","")))))</f>
        <v>PADD 4</v>
      </c>
      <c r="G4239" s="6">
        <f>IF(AND($H4239="ATMOS DISTILLATION",ISNUMBER(SEARCH("VPS",$I4239))=FALSE,LEFT($I4239,6)&lt;&gt;"VACUUM"),"CDU",IF($H4239="FLUID CAT CRACKING","FCC",IF(OR($H4239="HYDROCRACKING",$H4239="RESID_HYDROCRACKING"),"Hydrocracker",IF($H4239="REFORMING","Reformer",""))))</f>
        <v/>
      </c>
      <c r="H4239" s="6" t="s">
        <v>460</v>
      </c>
      <c r="I4239" s="6" t="s">
        <v>616</v>
      </c>
      <c r="J4239" s="6" t="s">
        <v>345</v>
      </c>
      <c r="K4239" s="10">
        <v>0.806</v>
      </c>
      <c r="L4239" s="10">
        <v>3.1</v>
      </c>
      <c r="M4239" s="6" t="s">
        <v>430</v>
      </c>
    </row>
    <row r="4240" spans="1:13">
      <c r="A4240" s="6">
        <v>2024</v>
      </c>
      <c r="B4240" s="6">
        <v>8</v>
      </c>
      <c r="C4240" s="6" t="s">
        <v>66</v>
      </c>
      <c r="D4240" s="6" t="s">
        <v>500</v>
      </c>
      <c r="E4240" s="6" t="s">
        <v>388</v>
      </c>
      <c r="F4240" s="6" t="str">
        <f>IF($M4240="PADD I","PADD 1",IF($M4240="PADD II","PADD 2",IF($M4240="PADD III","PADD 3",IF($M4240="PADD IV","PADD 4",IF($M4240="PADD V","PADD 5","")))))</f>
        <v>PADD 2</v>
      </c>
      <c r="G4240" s="6" t="str">
        <f>IF(AND($H4240="ATMOS DISTILLATION",ISNUMBER(SEARCH("VPS",$I4240))=FALSE,LEFT($I4240,6)&lt;&gt;"VACUUM"),"CDU",IF($H4240="FLUID CAT CRACKING","FCC",IF(OR($H4240="HYDROCRACKING",$H4240="RESID_HYDROCRACKING"),"Hydrocracker",IF($H4240="REFORMING","Reformer",""))))</f>
        <v>FCC</v>
      </c>
      <c r="H4240" s="6" t="s">
        <v>376</v>
      </c>
      <c r="I4240" s="6" t="s">
        <v>105</v>
      </c>
      <c r="J4240" s="6" t="s">
        <v>345</v>
      </c>
      <c r="K4240" s="10">
        <v>0.78</v>
      </c>
      <c r="L4240" s="10">
        <v>26</v>
      </c>
      <c r="M4240" s="6" t="s">
        <v>375</v>
      </c>
    </row>
    <row r="4241" spans="1:13">
      <c r="A4241" s="6">
        <v>2024</v>
      </c>
      <c r="B4241" s="6">
        <v>8</v>
      </c>
      <c r="C4241" s="6" t="s">
        <v>66</v>
      </c>
      <c r="D4241" s="6" t="s">
        <v>576</v>
      </c>
      <c r="E4241" s="6" t="s">
        <v>369</v>
      </c>
      <c r="F4241" s="6" t="str">
        <f>IF($M4241="PADD I","PADD 1",IF($M4241="PADD II","PADD 2",IF($M4241="PADD III","PADD 3",IF($M4241="PADD IV","PADD 4",IF($M4241="PADD V","PADD 5","")))))</f>
        <v>PADD 3</v>
      </c>
      <c r="G4241" s="6">
        <f>IF(AND($H4241="ATMOS DISTILLATION",ISNUMBER(SEARCH("VPS",$I4241))=FALSE,LEFT($I4241,6)&lt;&gt;"VACUUM"),"CDU",IF($H4241="FLUID CAT CRACKING","FCC",IF(OR($H4241="HYDROCRACKING",$H4241="RESID_HYDROCRACKING"),"Hydrocracker",IF($H4241="REFORMING","Reformer",""))))</f>
        <v/>
      </c>
      <c r="H4241" s="6" t="s">
        <v>568</v>
      </c>
      <c r="I4241" s="6" t="s">
        <v>604</v>
      </c>
      <c r="J4241" s="6" t="s">
        <v>345</v>
      </c>
      <c r="K4241" s="10">
        <v>0.75</v>
      </c>
      <c r="L4241" s="10">
        <v>25</v>
      </c>
      <c r="M4241" s="6" t="s">
        <v>371</v>
      </c>
    </row>
    <row r="4242" spans="1:13">
      <c r="A4242" s="6">
        <v>2024</v>
      </c>
      <c r="B4242" s="6">
        <v>8</v>
      </c>
      <c r="C4242" s="6" t="s">
        <v>66</v>
      </c>
      <c r="D4242" s="6" t="s">
        <v>1224</v>
      </c>
      <c r="E4242" s="6" t="s">
        <v>681</v>
      </c>
      <c r="F4242" s="6" t="str">
        <f>IF($M4242="PADD I","PADD 1",IF($M4242="PADD II","PADD 2",IF($M4242="PADD III","PADD 3",IF($M4242="PADD IV","PADD 4",IF($M4242="PADD V","PADD 5","")))))</f>
        <v>PADD 3</v>
      </c>
      <c r="G4242" s="6" t="str">
        <f>IF(AND($H4242="ATMOS DISTILLATION",ISNUMBER(SEARCH("VPS",$I4242))=FALSE,LEFT($I4242,6)&lt;&gt;"VACUUM"),"CDU",IF($H4242="FLUID CAT CRACKING","FCC",IF(OR($H4242="HYDROCRACKING",$H4242="RESID_HYDROCRACKING"),"Hydrocracker",IF($H4242="REFORMING","Reformer",""))))</f>
        <v>Reformer</v>
      </c>
      <c r="H4242" s="6" t="s">
        <v>421</v>
      </c>
      <c r="I4242" s="6" t="s">
        <v>15</v>
      </c>
      <c r="J4242" s="6" t="s">
        <v>345</v>
      </c>
      <c r="K4242" s="10">
        <v>0.72</v>
      </c>
      <c r="L4242" s="10">
        <v>24</v>
      </c>
      <c r="M4242" s="6" t="s">
        <v>371</v>
      </c>
    </row>
    <row r="4243" spans="1:13">
      <c r="A4243" s="6">
        <v>2024</v>
      </c>
      <c r="B4243" s="6">
        <v>8</v>
      </c>
      <c r="C4243" s="6" t="s">
        <v>66</v>
      </c>
      <c r="D4243" s="6" t="s">
        <v>500</v>
      </c>
      <c r="E4243" s="6" t="s">
        <v>388</v>
      </c>
      <c r="F4243" s="6" t="str">
        <f>IF($M4243="PADD I","PADD 1",IF($M4243="PADD II","PADD 2",IF($M4243="PADD III","PADD 3",IF($M4243="PADD IV","PADD 4",IF($M4243="PADD V","PADD 5","")))))</f>
        <v>PADD 2</v>
      </c>
      <c r="G4243" s="6">
        <f>IF(AND($H4243="ATMOS DISTILLATION",ISNUMBER(SEARCH("VPS",$I4243))=FALSE,LEFT($I4243,6)&lt;&gt;"VACUUM"),"CDU",IF($H4243="FLUID CAT CRACKING","FCC",IF(OR($H4243="HYDROCRACKING",$H4243="RESID_HYDROCRACKING"),"Hydrocracker",IF($H4243="REFORMING","Reformer",""))))</f>
        <v/>
      </c>
      <c r="H4243" s="6" t="s">
        <v>460</v>
      </c>
      <c r="I4243" s="6" t="s">
        <v>616</v>
      </c>
      <c r="J4243" s="6" t="s">
        <v>345</v>
      </c>
      <c r="K4243" s="10">
        <v>0.6</v>
      </c>
      <c r="L4243" s="10">
        <v>6</v>
      </c>
      <c r="M4243" s="6" t="s">
        <v>375</v>
      </c>
    </row>
    <row r="4244" spans="1:13">
      <c r="A4244" s="6">
        <v>2024</v>
      </c>
      <c r="B4244" s="6">
        <v>8</v>
      </c>
      <c r="C4244" s="6" t="s">
        <v>66</v>
      </c>
      <c r="D4244" s="6" t="s">
        <v>500</v>
      </c>
      <c r="E4244" s="6" t="s">
        <v>388</v>
      </c>
      <c r="F4244" s="6" t="str">
        <f>IF($M4244="PADD I","PADD 1",IF($M4244="PADD II","PADD 2",IF($M4244="PADD III","PADD 3",IF($M4244="PADD IV","PADD 4",IF($M4244="PADD V","PADD 5","")))))</f>
        <v>PADD 2</v>
      </c>
      <c r="G4244" s="6">
        <f>IF(AND($H4244="ATMOS DISTILLATION",ISNUMBER(SEARCH("VPS",$I4244))=FALSE,LEFT($I4244,6)&lt;&gt;"VACUUM"),"CDU",IF($H4244="FLUID CAT CRACKING","FCC",IF(OR($H4244="HYDROCRACKING",$H4244="RESID_HYDROCRACKING"),"Hydrocracker",IF($H4244="REFORMING","Reformer",""))))</f>
        <v/>
      </c>
      <c r="H4244" s="6" t="s">
        <v>43</v>
      </c>
      <c r="I4244" s="6" t="s">
        <v>501</v>
      </c>
      <c r="J4244" s="6" t="s">
        <v>345</v>
      </c>
      <c r="K4244" s="10">
        <v>0.6</v>
      </c>
      <c r="L4244" s="10">
        <v>20</v>
      </c>
      <c r="M4244" s="6" t="s">
        <v>375</v>
      </c>
    </row>
    <row r="4245" spans="1:13">
      <c r="A4245" s="6">
        <v>2024</v>
      </c>
      <c r="B4245" s="6">
        <v>8</v>
      </c>
      <c r="C4245" s="6" t="s">
        <v>66</v>
      </c>
      <c r="D4245" s="6" t="s">
        <v>334</v>
      </c>
      <c r="E4245" s="6" t="s">
        <v>552</v>
      </c>
      <c r="F4245" s="6" t="str">
        <f>IF($M4245="PADD I","PADD 1",IF($M4245="PADD II","PADD 2",IF($M4245="PADD III","PADD 3",IF($M4245="PADD IV","PADD 4",IF($M4245="PADD V","PADD 5","")))))</f>
        <v>PADD 3</v>
      </c>
      <c r="G4245" s="6" t="str">
        <f>IF(AND($H4245="ATMOS DISTILLATION",ISNUMBER(SEARCH("VPS",$I4245))=FALSE,LEFT($I4245,6)&lt;&gt;"VACUUM"),"CDU",IF($H4245="FLUID CAT CRACKING","FCC",IF(OR($H4245="HYDROCRACKING",$H4245="RESID_HYDROCRACKING"),"Hydrocracker",IF($H4245="REFORMING","Reformer",""))))</f>
        <v>FCC</v>
      </c>
      <c r="H4245" s="6" t="s">
        <v>376</v>
      </c>
      <c r="I4245" s="6" t="s">
        <v>613</v>
      </c>
      <c r="J4245" s="6" t="s">
        <v>345</v>
      </c>
      <c r="K4245" s="10">
        <v>0.6</v>
      </c>
      <c r="L4245" s="10">
        <v>20</v>
      </c>
      <c r="M4245" s="6" t="s">
        <v>371</v>
      </c>
    </row>
    <row r="4246" spans="1:13">
      <c r="A4246" s="6">
        <v>2024</v>
      </c>
      <c r="B4246" s="6">
        <v>8</v>
      </c>
      <c r="C4246" s="6" t="s">
        <v>66</v>
      </c>
      <c r="D4246" s="6" t="s">
        <v>484</v>
      </c>
      <c r="E4246" s="6" t="s">
        <v>409</v>
      </c>
      <c r="F4246" s="6" t="str">
        <f>IF($M4246="PADD I","PADD 1",IF($M4246="PADD II","PADD 2",IF($M4246="PADD III","PADD 3",IF($M4246="PADD IV","PADD 4",IF($M4246="PADD V","PADD 5","")))))</f>
        <v>PADD 3</v>
      </c>
      <c r="G4246" s="6">
        <f>IF(AND($H4246="ATMOS DISTILLATION",ISNUMBER(SEARCH("VPS",$I4246))=FALSE,LEFT($I4246,6)&lt;&gt;"VACUUM"),"CDU",IF($H4246="FLUID CAT CRACKING","FCC",IF(OR($H4246="HYDROCRACKING",$H4246="RESID_HYDROCRACKING"),"Hydrocracker",IF($H4246="REFORMING","Reformer",""))))</f>
        <v/>
      </c>
      <c r="H4246" s="6" t="s">
        <v>43</v>
      </c>
      <c r="I4246" s="6" t="s">
        <v>493</v>
      </c>
      <c r="J4246" s="6" t="s">
        <v>345</v>
      </c>
      <c r="K4246" s="10">
        <v>0.6</v>
      </c>
      <c r="L4246" s="10">
        <v>10</v>
      </c>
      <c r="M4246" s="6" t="s">
        <v>371</v>
      </c>
    </row>
    <row r="4247" spans="1:13">
      <c r="A4247" s="6">
        <v>2024</v>
      </c>
      <c r="B4247" s="6">
        <v>8</v>
      </c>
      <c r="C4247" s="6" t="s">
        <v>66</v>
      </c>
      <c r="D4247" s="6" t="s">
        <v>1043</v>
      </c>
      <c r="E4247" s="6" t="s">
        <v>388</v>
      </c>
      <c r="F4247" s="6" t="str">
        <f>IF($M4247="PADD I","PADD 1",IF($M4247="PADD II","PADD 2",IF($M4247="PADD III","PADD 3",IF($M4247="PADD IV","PADD 4",IF($M4247="PADD V","PADD 5","")))))</f>
        <v>PADD 2</v>
      </c>
      <c r="G4247" s="6">
        <f>IF(AND($H4247="ATMOS DISTILLATION",ISNUMBER(SEARCH("VPS",$I4247))=FALSE,LEFT($I4247,6)&lt;&gt;"VACUUM"),"CDU",IF($H4247="FLUID CAT CRACKING","FCC",IF(OR($H4247="HYDROCRACKING",$H4247="RESID_HYDROCRACKING"),"Hydrocracker",IF($H4247="REFORMING","Reformer",""))))</f>
        <v/>
      </c>
      <c r="H4247" s="6" t="s">
        <v>460</v>
      </c>
      <c r="I4247" s="6" t="s">
        <v>616</v>
      </c>
      <c r="J4247" s="6" t="s">
        <v>345</v>
      </c>
      <c r="K4247" s="10">
        <v>0.572</v>
      </c>
      <c r="L4247" s="10">
        <v>4.4</v>
      </c>
      <c r="M4247" s="6" t="s">
        <v>375</v>
      </c>
    </row>
    <row r="4248" spans="1:13">
      <c r="A4248" s="6">
        <v>2024</v>
      </c>
      <c r="B4248" s="6">
        <v>8</v>
      </c>
      <c r="C4248" s="6" t="s">
        <v>66</v>
      </c>
      <c r="D4248" s="6" t="s">
        <v>1043</v>
      </c>
      <c r="E4248" s="6" t="s">
        <v>388</v>
      </c>
      <c r="F4248" s="6" t="str">
        <f>IF($M4248="PADD I","PADD 1",IF($M4248="PADD II","PADD 2",IF($M4248="PADD III","PADD 3",IF($M4248="PADD IV","PADD 4",IF($M4248="PADD V","PADD 5","")))))</f>
        <v>PADD 2</v>
      </c>
      <c r="G4248" s="6">
        <f>IF(AND($H4248="ATMOS DISTILLATION",ISNUMBER(SEARCH("VPS",$I4248))=FALSE,LEFT($I4248,6)&lt;&gt;"VACUUM"),"CDU",IF($H4248="FLUID CAT CRACKING","FCC",IF(OR($H4248="HYDROCRACKING",$H4248="RESID_HYDROCRACKING"),"Hydrocracker",IF($H4248="REFORMING","Reformer",""))))</f>
        <v/>
      </c>
      <c r="H4248" s="6" t="s">
        <v>43</v>
      </c>
      <c r="I4248" s="6" t="s">
        <v>464</v>
      </c>
      <c r="J4248" s="6" t="s">
        <v>345</v>
      </c>
      <c r="K4248" s="10">
        <v>0.5590000000000001</v>
      </c>
      <c r="L4248" s="10">
        <v>4.3</v>
      </c>
      <c r="M4248" s="6" t="s">
        <v>375</v>
      </c>
    </row>
    <row r="4249" spans="1:13">
      <c r="A4249" s="6">
        <v>2024</v>
      </c>
      <c r="B4249" s="6">
        <v>8</v>
      </c>
      <c r="C4249" s="6" t="s">
        <v>66</v>
      </c>
      <c r="D4249" s="6" t="s">
        <v>322</v>
      </c>
      <c r="E4249" s="6" t="s">
        <v>369</v>
      </c>
      <c r="F4249" s="6" t="str">
        <f>IF($M4249="PADD I","PADD 1",IF($M4249="PADD II","PADD 2",IF($M4249="PADD III","PADD 3",IF($M4249="PADD IV","PADD 4",IF($M4249="PADD V","PADD 5","")))))</f>
        <v>PADD 2</v>
      </c>
      <c r="G4249" s="6" t="str">
        <f>IF(AND($H4249="ATMOS DISTILLATION",ISNUMBER(SEARCH("VPS",$I4249))=FALSE,LEFT($I4249,6)&lt;&gt;"VACUUM"),"CDU",IF($H4249="FLUID CAT CRACKING","FCC",IF(OR($H4249="HYDROCRACKING",$H4249="RESID_HYDROCRACKING"),"Hydrocracker",IF($H4249="REFORMING","Reformer",""))))</f>
        <v>Reformer</v>
      </c>
      <c r="H4249" s="6" t="s">
        <v>421</v>
      </c>
      <c r="I4249" s="6" t="s">
        <v>706</v>
      </c>
      <c r="J4249" s="6" t="s">
        <v>345</v>
      </c>
      <c r="K4249" s="10">
        <v>0.555</v>
      </c>
      <c r="L4249" s="10">
        <v>18.5</v>
      </c>
      <c r="M4249" s="6" t="s">
        <v>375</v>
      </c>
    </row>
    <row r="4250" spans="1:13">
      <c r="A4250" s="6">
        <v>2024</v>
      </c>
      <c r="B4250" s="6">
        <v>8</v>
      </c>
      <c r="C4250" s="6" t="s">
        <v>66</v>
      </c>
      <c r="D4250" s="6" t="s">
        <v>1043</v>
      </c>
      <c r="E4250" s="6" t="s">
        <v>388</v>
      </c>
      <c r="F4250" s="6" t="str">
        <f>IF($M4250="PADD I","PADD 1",IF($M4250="PADD II","PADD 2",IF($M4250="PADD III","PADD 3",IF($M4250="PADD IV","PADD 4",IF($M4250="PADD V","PADD 5","")))))</f>
        <v>PADD 2</v>
      </c>
      <c r="G4250" s="6">
        <f>IF(AND($H4250="ATMOS DISTILLATION",ISNUMBER(SEARCH("VPS",$I4250))=FALSE,LEFT($I4250,6)&lt;&gt;"VACUUM"),"CDU",IF($H4250="FLUID CAT CRACKING","FCC",IF(OR($H4250="HYDROCRACKING",$H4250="RESID_HYDROCRACKING"),"Hydrocracker",IF($H4250="REFORMING","Reformer",""))))</f>
        <v/>
      </c>
      <c r="H4250" s="6" t="s">
        <v>568</v>
      </c>
      <c r="I4250" s="6" t="s">
        <v>604</v>
      </c>
      <c r="J4250" s="6" t="s">
        <v>349</v>
      </c>
      <c r="K4250" s="10">
        <v>0.51</v>
      </c>
      <c r="L4250" s="10">
        <v>5.1</v>
      </c>
      <c r="M4250" s="6" t="s">
        <v>375</v>
      </c>
    </row>
    <row r="4251" spans="1:13">
      <c r="A4251" s="6">
        <v>2024</v>
      </c>
      <c r="B4251" s="6">
        <v>8</v>
      </c>
      <c r="C4251" s="6" t="s">
        <v>66</v>
      </c>
      <c r="D4251" s="6" t="s">
        <v>610</v>
      </c>
      <c r="E4251" s="6" t="s">
        <v>611</v>
      </c>
      <c r="F4251" s="6" t="str">
        <f>IF($M4251="PADD I","PADD 1",IF($M4251="PADD II","PADD 2",IF($M4251="PADD III","PADD 3",IF($M4251="PADD IV","PADD 4",IF($M4251="PADD V","PADD 5","")))))</f>
        <v>PADD 2</v>
      </c>
      <c r="G4251" s="6">
        <f>IF(AND($H4251="ATMOS DISTILLATION",ISNUMBER(SEARCH("VPS",$I4251))=FALSE,LEFT($I4251,6)&lt;&gt;"VACUUM"),"CDU",IF($H4251="FLUID CAT CRACKING","FCC",IF(OR($H4251="HYDROCRACKING",$H4251="RESID_HYDROCRACKING"),"Hydrocracker",IF($H4251="REFORMING","Reformer",""))))</f>
        <v/>
      </c>
      <c r="H4251" s="6" t="s">
        <v>460</v>
      </c>
      <c r="I4251" s="6" t="s">
        <v>616</v>
      </c>
      <c r="J4251" s="6" t="s">
        <v>345</v>
      </c>
      <c r="K4251" s="10">
        <v>0.48</v>
      </c>
      <c r="L4251" s="10">
        <v>8</v>
      </c>
      <c r="M4251" s="6" t="s">
        <v>375</v>
      </c>
    </row>
    <row r="4252" spans="1:13">
      <c r="A4252" s="6">
        <v>2024</v>
      </c>
      <c r="B4252" s="6">
        <v>8</v>
      </c>
      <c r="C4252" s="6" t="s">
        <v>66</v>
      </c>
      <c r="D4252" s="6" t="s">
        <v>722</v>
      </c>
      <c r="E4252" s="6" t="s">
        <v>452</v>
      </c>
      <c r="F4252" s="6" t="str">
        <f>IF($M4252="PADD I","PADD 1",IF($M4252="PADD II","PADD 2",IF($M4252="PADD III","PADD 3",IF($M4252="PADD IV","PADD 4",IF($M4252="PADD V","PADD 5","")))))</f>
        <v>PADD 4</v>
      </c>
      <c r="G4252" s="6">
        <f>IF(AND($H4252="ATMOS DISTILLATION",ISNUMBER(SEARCH("VPS",$I4252))=FALSE,LEFT($I4252,6)&lt;&gt;"VACUUM"),"CDU",IF($H4252="FLUID CAT CRACKING","FCC",IF(OR($H4252="HYDROCRACKING",$H4252="RESID_HYDROCRACKING"),"Hydrocracker",IF($H4252="REFORMING","Reformer",""))))</f>
        <v/>
      </c>
      <c r="H4252" s="6" t="s">
        <v>460</v>
      </c>
      <c r="I4252" s="6" t="s">
        <v>1109</v>
      </c>
      <c r="J4252" s="6" t="s">
        <v>349</v>
      </c>
      <c r="K4252" s="10">
        <v>0.159</v>
      </c>
      <c r="L4252" s="10">
        <v>5.3</v>
      </c>
      <c r="M4252" s="6" t="s">
        <v>430</v>
      </c>
    </row>
    <row r="4253" spans="1:13">
      <c r="A4253" s="6">
        <v>2024</v>
      </c>
      <c r="B4253" s="6">
        <v>9</v>
      </c>
      <c r="C4253" s="6" t="s">
        <v>67</v>
      </c>
      <c r="D4253" s="6" t="s">
        <v>446</v>
      </c>
      <c r="E4253" s="6" t="s">
        <v>391</v>
      </c>
      <c r="F4253" s="6" t="str">
        <f>IF($M4253="PADD I","PADD 1",IF($M4253="PADD II","PADD 2",IF($M4253="PADD III","PADD 3",IF($M4253="PADD IV","PADD 4",IF($M4253="PADD V","PADD 5","")))))</f>
        <v>PADD 3</v>
      </c>
      <c r="G4253" s="6" t="str">
        <f>IF(AND($H4253="ATMOS DISTILLATION",ISNUMBER(SEARCH("VPS",$I4253))=FALSE,LEFT($I4253,6)&lt;&gt;"VACUUM"),"CDU",IF($H4253="FLUID CAT CRACKING","FCC",IF(OR($H4253="HYDROCRACKING",$H4253="RESID_HYDROCRACKING"),"Hydrocracker",IF($H4253="REFORMING","Reformer",""))))</f>
        <v>CDU</v>
      </c>
      <c r="H4253" s="6" t="s">
        <v>38</v>
      </c>
      <c r="I4253" s="6" t="s">
        <v>81</v>
      </c>
      <c r="J4253" s="6" t="s">
        <v>349</v>
      </c>
      <c r="K4253" s="10">
        <v>100</v>
      </c>
      <c r="L4253" s="10">
        <v>100</v>
      </c>
      <c r="M4253" s="6" t="s">
        <v>371</v>
      </c>
    </row>
    <row r="4254" spans="1:13">
      <c r="A4254" s="6">
        <v>2024</v>
      </c>
      <c r="B4254" s="6">
        <v>9</v>
      </c>
      <c r="C4254" s="6" t="s">
        <v>67</v>
      </c>
      <c r="D4254" s="6" t="s">
        <v>542</v>
      </c>
      <c r="E4254" s="6" t="s">
        <v>543</v>
      </c>
      <c r="F4254" s="6" t="str">
        <f>IF($M4254="PADD I","PADD 1",IF($M4254="PADD II","PADD 2",IF($M4254="PADD III","PADD 3",IF($M4254="PADD IV","PADD 4",IF($M4254="PADD V","PADD 5","")))))</f>
        <v>PADD 2</v>
      </c>
      <c r="G4254" s="6">
        <f>IF(AND($H4254="ATMOS DISTILLATION",ISNUMBER(SEARCH("VPS",$I4254))=FALSE,LEFT($I4254,6)&lt;&gt;"VACUUM"),"CDU",IF($H4254="FLUID CAT CRACKING","FCC",IF(OR($H4254="HYDROCRACKING",$H4254="RESID_HYDROCRACKING"),"Hydrocracker",IF($H4254="REFORMING","Reformer",""))))</f>
        <v/>
      </c>
      <c r="H4254" s="6" t="s">
        <v>43</v>
      </c>
      <c r="I4254" s="6" t="s">
        <v>551</v>
      </c>
      <c r="J4254" s="6" t="s">
        <v>349</v>
      </c>
      <c r="K4254" s="10">
        <v>93</v>
      </c>
      <c r="L4254" s="10">
        <v>100</v>
      </c>
      <c r="M4254" s="6" t="s">
        <v>375</v>
      </c>
    </row>
    <row r="4255" spans="1:13">
      <c r="A4255" s="6">
        <v>2024</v>
      </c>
      <c r="B4255" s="6">
        <v>9</v>
      </c>
      <c r="C4255" s="6" t="s">
        <v>67</v>
      </c>
      <c r="D4255" s="6" t="s">
        <v>331</v>
      </c>
      <c r="E4255" s="6" t="s">
        <v>373</v>
      </c>
      <c r="F4255" s="6" t="str">
        <f>IF($M4255="PADD I","PADD 1",IF($M4255="PADD II","PADD 2",IF($M4255="PADD III","PADD 3",IF($M4255="PADD IV","PADD 4",IF($M4255="PADD V","PADD 5","")))))</f>
        <v>PADD 2</v>
      </c>
      <c r="G4255" s="6" t="str">
        <f>IF(AND($H4255="ATMOS DISTILLATION",ISNUMBER(SEARCH("VPS",$I4255))=FALSE,LEFT($I4255,6)&lt;&gt;"VACUUM"),"CDU",IF($H4255="FLUID CAT CRACKING","FCC",IF(OR($H4255="HYDROCRACKING",$H4255="RESID_HYDROCRACKING"),"Hydrocracker",IF($H4255="REFORMING","Reformer",""))))</f>
        <v>CDU</v>
      </c>
      <c r="H4255" s="6" t="s">
        <v>38</v>
      </c>
      <c r="I4255" s="6" t="s">
        <v>332</v>
      </c>
      <c r="J4255" s="6" t="s">
        <v>349</v>
      </c>
      <c r="K4255" s="10">
        <v>91.16</v>
      </c>
      <c r="L4255" s="10">
        <v>172</v>
      </c>
      <c r="M4255" s="6" t="s">
        <v>375</v>
      </c>
    </row>
    <row r="4256" spans="1:13">
      <c r="A4256" s="6">
        <v>2024</v>
      </c>
      <c r="B4256" s="6">
        <v>9</v>
      </c>
      <c r="C4256" s="6" t="s">
        <v>67</v>
      </c>
      <c r="D4256" s="6" t="s">
        <v>547</v>
      </c>
      <c r="E4256" s="6" t="s">
        <v>391</v>
      </c>
      <c r="F4256" s="6" t="str">
        <f>IF($M4256="PADD I","PADD 1",IF($M4256="PADD II","PADD 2",IF($M4256="PADD III","PADD 3",IF($M4256="PADD IV","PADD 4",IF($M4256="PADD V","PADD 5","")))))</f>
        <v>PADD 5</v>
      </c>
      <c r="G4256" s="6" t="str">
        <f>IF(AND($H4256="ATMOS DISTILLATION",ISNUMBER(SEARCH("VPS",$I4256))=FALSE,LEFT($I4256,6)&lt;&gt;"VACUUM"),"CDU",IF($H4256="FLUID CAT CRACKING","FCC",IF(OR($H4256="HYDROCRACKING",$H4256="RESID_HYDROCRACKING"),"Hydrocracker",IF($H4256="REFORMING","Reformer",""))))</f>
        <v>FCC</v>
      </c>
      <c r="H4256" s="6" t="s">
        <v>376</v>
      </c>
      <c r="I4256" s="6" t="s">
        <v>105</v>
      </c>
      <c r="J4256" s="6" t="s">
        <v>345</v>
      </c>
      <c r="K4256" s="10">
        <v>90</v>
      </c>
      <c r="L4256" s="10">
        <v>90</v>
      </c>
      <c r="M4256" s="6" t="s">
        <v>386</v>
      </c>
    </row>
    <row r="4257" spans="1:13">
      <c r="A4257" s="6">
        <v>2024</v>
      </c>
      <c r="B4257" s="6">
        <v>9</v>
      </c>
      <c r="C4257" s="6" t="s">
        <v>67</v>
      </c>
      <c r="D4257" s="6" t="s">
        <v>615</v>
      </c>
      <c r="E4257" s="6" t="s">
        <v>405</v>
      </c>
      <c r="F4257" s="6" t="str">
        <f>IF($M4257="PADD I","PADD 1",IF($M4257="PADD II","PADD 2",IF($M4257="PADD III","PADD 3",IF($M4257="PADD IV","PADD 4",IF($M4257="PADD V","PADD 5","")))))</f>
        <v>PADD 5</v>
      </c>
      <c r="G4257" s="6" t="str">
        <f>IF(AND($H4257="ATMOS DISTILLATION",ISNUMBER(SEARCH("VPS",$I4257))=FALSE,LEFT($I4257,6)&lt;&gt;"VACUUM"),"CDU",IF($H4257="FLUID CAT CRACKING","FCC",IF(OR($H4257="HYDROCRACKING",$H4257="RESID_HYDROCRACKING"),"Hydrocracker",IF($H4257="REFORMING","Reformer",""))))</f>
        <v>FCC</v>
      </c>
      <c r="H4257" s="6" t="s">
        <v>376</v>
      </c>
      <c r="I4257" s="6" t="s">
        <v>105</v>
      </c>
      <c r="J4257" s="6" t="s">
        <v>349</v>
      </c>
      <c r="K4257" s="10">
        <v>77</v>
      </c>
      <c r="L4257" s="10">
        <v>77</v>
      </c>
      <c r="M4257" s="6" t="s">
        <v>386</v>
      </c>
    </row>
    <row r="4258" spans="1:13">
      <c r="A4258" s="6">
        <v>2024</v>
      </c>
      <c r="B4258" s="6">
        <v>9</v>
      </c>
      <c r="C4258" s="6" t="s">
        <v>67</v>
      </c>
      <c r="D4258" s="6" t="s">
        <v>324</v>
      </c>
      <c r="E4258" s="6" t="s">
        <v>388</v>
      </c>
      <c r="F4258" s="6" t="str">
        <f>IF($M4258="PADD I","PADD 1",IF($M4258="PADD II","PADD 2",IF($M4258="PADD III","PADD 3",IF($M4258="PADD IV","PADD 4",IF($M4258="PADD V","PADD 5","")))))</f>
        <v>PADD 3</v>
      </c>
      <c r="G4258" s="6">
        <f>IF(AND($H4258="ATMOS DISTILLATION",ISNUMBER(SEARCH("VPS",$I4258))=FALSE,LEFT($I4258,6)&lt;&gt;"VACUUM"),"CDU",IF($H4258="FLUID CAT CRACKING","FCC",IF(OR($H4258="HYDROCRACKING",$H4258="RESID_HYDROCRACKING"),"Hydrocracker",IF($H4258="REFORMING","Reformer",""))))</f>
        <v/>
      </c>
      <c r="H4258" s="6" t="s">
        <v>378</v>
      </c>
      <c r="I4258" s="6" t="s">
        <v>942</v>
      </c>
      <c r="J4258" s="6" t="s">
        <v>345</v>
      </c>
      <c r="K4258" s="10">
        <v>74.25</v>
      </c>
      <c r="L4258" s="10">
        <v>148.5</v>
      </c>
      <c r="M4258" s="6" t="s">
        <v>371</v>
      </c>
    </row>
    <row r="4259" spans="1:13">
      <c r="A4259" s="6">
        <v>2024</v>
      </c>
      <c r="B4259" s="6">
        <v>9</v>
      </c>
      <c r="C4259" s="6" t="s">
        <v>67</v>
      </c>
      <c r="D4259" s="6" t="s">
        <v>714</v>
      </c>
      <c r="E4259" s="6" t="s">
        <v>405</v>
      </c>
      <c r="F4259" s="6" t="str">
        <f>IF($M4259="PADD I","PADD 1",IF($M4259="PADD II","PADD 2",IF($M4259="PADD III","PADD 3",IF($M4259="PADD IV","PADD 4",IF($M4259="PADD V","PADD 5","")))))</f>
        <v>PADD 3</v>
      </c>
      <c r="G4259" s="6" t="str">
        <f>IF(AND($H4259="ATMOS DISTILLATION",ISNUMBER(SEARCH("VPS",$I4259))=FALSE,LEFT($I4259,6)&lt;&gt;"VACUUM"),"CDU",IF($H4259="FLUID CAT CRACKING","FCC",IF(OR($H4259="HYDROCRACKING",$H4259="RESID_HYDROCRACKING"),"Hydrocracker",IF($H4259="REFORMING","Reformer",""))))</f>
        <v>FCC</v>
      </c>
      <c r="H4259" s="6" t="s">
        <v>376</v>
      </c>
      <c r="I4259" s="6" t="s">
        <v>105</v>
      </c>
      <c r="J4259" s="6" t="s">
        <v>349</v>
      </c>
      <c r="K4259" s="10">
        <v>73.72</v>
      </c>
      <c r="L4259" s="10">
        <v>76</v>
      </c>
      <c r="M4259" s="6" t="s">
        <v>371</v>
      </c>
    </row>
    <row r="4260" spans="1:13">
      <c r="A4260" s="6">
        <v>2024</v>
      </c>
      <c r="B4260" s="6">
        <v>9</v>
      </c>
      <c r="C4260" s="6" t="s">
        <v>67</v>
      </c>
      <c r="D4260" s="6" t="s">
        <v>324</v>
      </c>
      <c r="E4260" s="6" t="s">
        <v>388</v>
      </c>
      <c r="F4260" s="6" t="str">
        <f>IF($M4260="PADD I","PADD 1",IF($M4260="PADD II","PADD 2",IF($M4260="PADD III","PADD 3",IF($M4260="PADD IV","PADD 4",IF($M4260="PADD V","PADD 5","")))))</f>
        <v>PADD 3</v>
      </c>
      <c r="G4260" s="6" t="str">
        <f>IF(AND($H4260="ATMOS DISTILLATION",ISNUMBER(SEARCH("VPS",$I4260))=FALSE,LEFT($I4260,6)&lt;&gt;"VACUUM"),"CDU",IF($H4260="FLUID CAT CRACKING","FCC",IF(OR($H4260="HYDROCRACKING",$H4260="RESID_HYDROCRACKING"),"Hydrocracker",IF($H4260="REFORMING","Reformer",""))))</f>
        <v>CDU</v>
      </c>
      <c r="H4260" s="6" t="s">
        <v>38</v>
      </c>
      <c r="I4260" s="6" t="s">
        <v>96</v>
      </c>
      <c r="J4260" s="6" t="s">
        <v>349</v>
      </c>
      <c r="K4260" s="10">
        <v>72.5</v>
      </c>
      <c r="L4260" s="10">
        <v>145</v>
      </c>
      <c r="M4260" s="6" t="s">
        <v>371</v>
      </c>
    </row>
    <row r="4261" spans="1:13">
      <c r="A4261" s="6">
        <v>2024</v>
      </c>
      <c r="B4261" s="6">
        <v>9</v>
      </c>
      <c r="C4261" s="6" t="s">
        <v>67</v>
      </c>
      <c r="D4261" s="6" t="s">
        <v>1063</v>
      </c>
      <c r="E4261" s="6" t="s">
        <v>388</v>
      </c>
      <c r="F4261" s="6" t="str">
        <f>IF($M4261="PADD I","PADD 1",IF($M4261="PADD II","PADD 2",IF($M4261="PADD III","PADD 3",IF($M4261="PADD IV","PADD 4",IF($M4261="PADD V","PADD 5","")))))</f>
        <v>PADD 2</v>
      </c>
      <c r="G4261" s="6" t="str">
        <f>IF(AND($H4261="ATMOS DISTILLATION",ISNUMBER(SEARCH("VPS",$I4261))=FALSE,LEFT($I4261,6)&lt;&gt;"VACUUM"),"CDU",IF($H4261="FLUID CAT CRACKING","FCC",IF(OR($H4261="HYDROCRACKING",$H4261="RESID_HYDROCRACKING"),"Hydrocracker",IF($H4261="REFORMING","Reformer",""))))</f>
        <v>CDU</v>
      </c>
      <c r="H4261" s="6" t="s">
        <v>38</v>
      </c>
      <c r="I4261" s="6" t="s">
        <v>81</v>
      </c>
      <c r="J4261" s="6" t="s">
        <v>349</v>
      </c>
      <c r="K4261" s="10">
        <v>67.5</v>
      </c>
      <c r="L4261" s="10">
        <v>135</v>
      </c>
      <c r="M4261" s="6" t="s">
        <v>375</v>
      </c>
    </row>
    <row r="4262" spans="1:13">
      <c r="A4262" s="6">
        <v>2024</v>
      </c>
      <c r="B4262" s="6">
        <v>9</v>
      </c>
      <c r="C4262" s="6" t="s">
        <v>67</v>
      </c>
      <c r="D4262" s="6" t="s">
        <v>398</v>
      </c>
      <c r="E4262" s="6" t="s">
        <v>399</v>
      </c>
      <c r="F4262" s="6" t="str">
        <f>IF($M4262="PADD I","PADD 1",IF($M4262="PADD II","PADD 2",IF($M4262="PADD III","PADD 3",IF($M4262="PADD IV","PADD 4",IF($M4262="PADD V","PADD 5","")))))</f>
        <v>PADD 3</v>
      </c>
      <c r="G4262" s="6" t="str">
        <f>IF(AND($H4262="ATMOS DISTILLATION",ISNUMBER(SEARCH("VPS",$I4262))=FALSE,LEFT($I4262,6)&lt;&gt;"VACUUM"),"CDU",IF($H4262="FLUID CAT CRACKING","FCC",IF(OR($H4262="HYDROCRACKING",$H4262="RESID_HYDROCRACKING"),"Hydrocracker",IF($H4262="REFORMING","Reformer",""))))</f>
        <v>FCC</v>
      </c>
      <c r="H4262" s="6" t="s">
        <v>376</v>
      </c>
      <c r="I4262" s="6" t="s">
        <v>1036</v>
      </c>
      <c r="J4262" s="6" t="s">
        <v>345</v>
      </c>
      <c r="K4262" s="10">
        <v>63</v>
      </c>
      <c r="L4262" s="10">
        <v>90</v>
      </c>
      <c r="M4262" s="6" t="s">
        <v>371</v>
      </c>
    </row>
    <row r="4263" spans="1:13">
      <c r="A4263" s="6">
        <v>2024</v>
      </c>
      <c r="B4263" s="6">
        <v>9</v>
      </c>
      <c r="C4263" s="6" t="s">
        <v>67</v>
      </c>
      <c r="D4263" s="6" t="s">
        <v>542</v>
      </c>
      <c r="E4263" s="6" t="s">
        <v>543</v>
      </c>
      <c r="F4263" s="6" t="str">
        <f>IF($M4263="PADD I","PADD 1",IF($M4263="PADD II","PADD 2",IF($M4263="PADD III","PADD 3",IF($M4263="PADD IV","PADD 4",IF($M4263="PADD V","PADD 5","")))))</f>
        <v>PADD 2</v>
      </c>
      <c r="G4263" s="6" t="str">
        <f>IF(AND($H4263="ATMOS DISTILLATION",ISNUMBER(SEARCH("VPS",$I4263))=FALSE,LEFT($I4263,6)&lt;&gt;"VACUUM"),"CDU",IF($H4263="FLUID CAT CRACKING","FCC",IF(OR($H4263="HYDROCRACKING",$H4263="RESID_HYDROCRACKING"),"Hydrocracker",IF($H4263="REFORMING","Reformer",""))))</f>
        <v>CDU</v>
      </c>
      <c r="H4263" s="6" t="s">
        <v>38</v>
      </c>
      <c r="I4263" s="6" t="s">
        <v>874</v>
      </c>
      <c r="J4263" s="6" t="s">
        <v>349</v>
      </c>
      <c r="K4263" s="10">
        <v>57.5</v>
      </c>
      <c r="L4263" s="10">
        <v>250</v>
      </c>
      <c r="M4263" s="6" t="s">
        <v>375</v>
      </c>
    </row>
    <row r="4264" spans="1:13">
      <c r="A4264" s="6">
        <v>2024</v>
      </c>
      <c r="B4264" s="6">
        <v>9</v>
      </c>
      <c r="C4264" s="6" t="s">
        <v>67</v>
      </c>
      <c r="D4264" s="6" t="s">
        <v>615</v>
      </c>
      <c r="E4264" s="6" t="s">
        <v>405</v>
      </c>
      <c r="F4264" s="6" t="str">
        <f>IF($M4264="PADD I","PADD 1",IF($M4264="PADD II","PADD 2",IF($M4264="PADD III","PADD 3",IF($M4264="PADD IV","PADD 4",IF($M4264="PADD V","PADD 5","")))))</f>
        <v>PADD 5</v>
      </c>
      <c r="G4264" s="6" t="str">
        <f>IF(AND($H4264="ATMOS DISTILLATION",ISNUMBER(SEARCH("VPS",$I4264))=FALSE,LEFT($I4264,6)&lt;&gt;"VACUUM"),"CDU",IF($H4264="FLUID CAT CRACKING","FCC",IF(OR($H4264="HYDROCRACKING",$H4264="RESID_HYDROCRACKING"),"Hydrocracker",IF($H4264="REFORMING","Reformer",""))))</f>
        <v>FCC</v>
      </c>
      <c r="H4264" s="6" t="s">
        <v>376</v>
      </c>
      <c r="I4264" s="6" t="s">
        <v>105</v>
      </c>
      <c r="J4264" s="6" t="s">
        <v>345</v>
      </c>
      <c r="K4264" s="10">
        <v>56.21</v>
      </c>
      <c r="L4264" s="10">
        <v>77</v>
      </c>
      <c r="M4264" s="6" t="s">
        <v>386</v>
      </c>
    </row>
    <row r="4265" spans="1:13">
      <c r="A4265" s="6">
        <v>2024</v>
      </c>
      <c r="B4265" s="6">
        <v>9</v>
      </c>
      <c r="C4265" s="6" t="s">
        <v>67</v>
      </c>
      <c r="D4265" s="6" t="s">
        <v>1229</v>
      </c>
      <c r="E4265" s="6" t="s">
        <v>416</v>
      </c>
      <c r="F4265" s="6" t="str">
        <f>IF($M4265="PADD I","PADD 1",IF($M4265="PADD II","PADD 2",IF($M4265="PADD III","PADD 3",IF($M4265="PADD IV","PADD 4",IF($M4265="PADD V","PADD 5","")))))</f>
        <v>PADD 3</v>
      </c>
      <c r="G4265" s="6" t="str">
        <f>IF(AND($H4265="ATMOS DISTILLATION",ISNUMBER(SEARCH("VPS",$I4265))=FALSE,LEFT($I4265,6)&lt;&gt;"VACUUM"),"CDU",IF($H4265="FLUID CAT CRACKING","FCC",IF(OR($H4265="HYDROCRACKING",$H4265="RESID_HYDROCRACKING"),"Hydrocracker",IF($H4265="REFORMING","Reformer",""))))</f>
        <v>Reformer</v>
      </c>
      <c r="H4265" s="6" t="s">
        <v>421</v>
      </c>
      <c r="I4265" s="6" t="s">
        <v>15</v>
      </c>
      <c r="J4265" s="6" t="s">
        <v>345</v>
      </c>
      <c r="K4265" s="10">
        <v>55.8</v>
      </c>
      <c r="L4265" s="10">
        <v>60</v>
      </c>
      <c r="M4265" s="6" t="s">
        <v>371</v>
      </c>
    </row>
    <row r="4266" spans="1:13">
      <c r="A4266" s="6">
        <v>2024</v>
      </c>
      <c r="B4266" s="6">
        <v>9</v>
      </c>
      <c r="C4266" s="6" t="s">
        <v>67</v>
      </c>
      <c r="D4266" s="6" t="s">
        <v>51</v>
      </c>
      <c r="E4266" s="6" t="s">
        <v>391</v>
      </c>
      <c r="F4266" s="6" t="str">
        <f>IF($M4266="PADD I","PADD 1",IF($M4266="PADD II","PADD 2",IF($M4266="PADD III","PADD 3",IF($M4266="PADD IV","PADD 4",IF($M4266="PADD V","PADD 5","")))))</f>
        <v>PADD 5</v>
      </c>
      <c r="G4266" s="6">
        <f>IF(AND($H4266="ATMOS DISTILLATION",ISNUMBER(SEARCH("VPS",$I4266))=FALSE,LEFT($I4266,6)&lt;&gt;"VACUUM"),"CDU",IF($H4266="FLUID CAT CRACKING","FCC",IF(OR($H4266="HYDROCRACKING",$H4266="RESID_HYDROCRACKING"),"Hydrocracker",IF($H4266="REFORMING","Reformer",""))))</f>
        <v/>
      </c>
      <c r="H4266" s="6" t="s">
        <v>43</v>
      </c>
      <c r="I4266" s="6" t="s">
        <v>1230</v>
      </c>
      <c r="J4266" s="6" t="s">
        <v>349</v>
      </c>
      <c r="K4266" s="10">
        <v>54.4</v>
      </c>
      <c r="L4266" s="10">
        <v>68</v>
      </c>
      <c r="M4266" s="6" t="s">
        <v>386</v>
      </c>
    </row>
    <row r="4267" spans="1:13">
      <c r="A4267" s="6">
        <v>2024</v>
      </c>
      <c r="B4267" s="6">
        <v>9</v>
      </c>
      <c r="C4267" s="6" t="s">
        <v>67</v>
      </c>
      <c r="D4267" s="6" t="s">
        <v>851</v>
      </c>
      <c r="E4267" s="6" t="s">
        <v>852</v>
      </c>
      <c r="F4267" s="6" t="str">
        <f>IF($M4267="PADD I","PADD 1",IF($M4267="PADD II","PADD 2",IF($M4267="PADD III","PADD 3",IF($M4267="PADD IV","PADD 4",IF($M4267="PADD V","PADD 5","")))))</f>
        <v>PADD 3</v>
      </c>
      <c r="G4267" s="6" t="str">
        <f>IF(AND($H4267="ATMOS DISTILLATION",ISNUMBER(SEARCH("VPS",$I4267))=FALSE,LEFT($I4267,6)&lt;&gt;"VACUUM"),"CDU",IF($H4267="FLUID CAT CRACKING","FCC",IF(OR($H4267="HYDROCRACKING",$H4267="RESID_HYDROCRACKING"),"Hydrocracker",IF($H4267="REFORMING","Reformer",""))))</f>
        <v>CDU</v>
      </c>
      <c r="H4267" s="6" t="s">
        <v>38</v>
      </c>
      <c r="I4267" s="6" t="s">
        <v>854</v>
      </c>
      <c r="J4267" s="6" t="s">
        <v>345</v>
      </c>
      <c r="K4267" s="10">
        <v>53.29</v>
      </c>
      <c r="L4267" s="10">
        <v>73</v>
      </c>
      <c r="M4267" s="6" t="s">
        <v>371</v>
      </c>
    </row>
    <row r="4268" spans="1:13">
      <c r="A4268" s="6">
        <v>2024</v>
      </c>
      <c r="B4268" s="6">
        <v>9</v>
      </c>
      <c r="C4268" s="6" t="s">
        <v>67</v>
      </c>
      <c r="D4268" s="6" t="s">
        <v>40</v>
      </c>
      <c r="E4268" s="6" t="s">
        <v>736</v>
      </c>
      <c r="F4268" s="6" t="str">
        <f>IF($M4268="PADD I","PADD 1",IF($M4268="PADD II","PADD 2",IF($M4268="PADD III","PADD 3",IF($M4268="PADD IV","PADD 4",IF($M4268="PADD V","PADD 5","")))))</f>
        <v>PADD 1</v>
      </c>
      <c r="G4268" s="6" t="str">
        <f>IF(AND($H4268="ATMOS DISTILLATION",ISNUMBER(SEARCH("VPS",$I4268))=FALSE,LEFT($I4268,6)&lt;&gt;"VACUUM"),"CDU",IF($H4268="FLUID CAT CRACKING","FCC",IF(OR($H4268="HYDROCRACKING",$H4268="RESID_HYDROCRACKING"),"Hydrocracker",IF($H4268="REFORMING","Reformer",""))))</f>
        <v>FCC</v>
      </c>
      <c r="H4268" s="6" t="s">
        <v>376</v>
      </c>
      <c r="I4268" s="6" t="s">
        <v>737</v>
      </c>
      <c r="J4268" s="6" t="s">
        <v>349</v>
      </c>
      <c r="K4268" s="10">
        <v>53</v>
      </c>
      <c r="L4268" s="10">
        <v>53</v>
      </c>
      <c r="M4268" s="6" t="s">
        <v>413</v>
      </c>
    </row>
    <row r="4269" spans="1:13">
      <c r="A4269" s="6">
        <v>2024</v>
      </c>
      <c r="B4269" s="6">
        <v>9</v>
      </c>
      <c r="C4269" s="6" t="s">
        <v>67</v>
      </c>
      <c r="D4269" s="6" t="s">
        <v>815</v>
      </c>
      <c r="E4269" s="6" t="s">
        <v>452</v>
      </c>
      <c r="F4269" s="6" t="str">
        <f>IF($M4269="PADD I","PADD 1",IF($M4269="PADD II","PADD 2",IF($M4269="PADD III","PADD 3",IF($M4269="PADD IV","PADD 4",IF($M4269="PADD V","PADD 5","")))))</f>
        <v>PADD 4</v>
      </c>
      <c r="G4269" s="6" t="str">
        <f>IF(AND($H4269="ATMOS DISTILLATION",ISNUMBER(SEARCH("VPS",$I4269))=FALSE,LEFT($I4269,6)&lt;&gt;"VACUUM"),"CDU",IF($H4269="FLUID CAT CRACKING","FCC",IF(OR($H4269="HYDROCRACKING",$H4269="RESID_HYDROCRACKING"),"Hydrocracker",IF($H4269="REFORMING","Reformer",""))))</f>
        <v>CDU</v>
      </c>
      <c r="H4269" s="6" t="s">
        <v>38</v>
      </c>
      <c r="I4269" s="6" t="s">
        <v>1231</v>
      </c>
      <c r="J4269" s="6" t="s">
        <v>349</v>
      </c>
      <c r="K4269" s="10">
        <v>51.46</v>
      </c>
      <c r="L4269" s="10">
        <v>62</v>
      </c>
      <c r="M4269" s="6" t="s">
        <v>430</v>
      </c>
    </row>
    <row r="4270" spans="1:13">
      <c r="A4270" s="6">
        <v>2024</v>
      </c>
      <c r="B4270" s="6">
        <v>9</v>
      </c>
      <c r="C4270" s="6" t="s">
        <v>67</v>
      </c>
      <c r="D4270" s="6" t="s">
        <v>572</v>
      </c>
      <c r="E4270" s="6" t="s">
        <v>573</v>
      </c>
      <c r="F4270" s="6" t="str">
        <f>IF($M4270="PADD I","PADD 1",IF($M4270="PADD II","PADD 2",IF($M4270="PADD III","PADD 3",IF($M4270="PADD IV","PADD 4",IF($M4270="PADD V","PADD 5","")))))</f>
        <v>PADD 3</v>
      </c>
      <c r="G4270" s="6" t="str">
        <f>IF(AND($H4270="ATMOS DISTILLATION",ISNUMBER(SEARCH("VPS",$I4270))=FALSE,LEFT($I4270,6)&lt;&gt;"VACUUM"),"CDU",IF($H4270="FLUID CAT CRACKING","FCC",IF(OR($H4270="HYDROCRACKING",$H4270="RESID_HYDROCRACKING"),"Hydrocracker",IF($H4270="REFORMING","Reformer",""))))</f>
        <v>CDU</v>
      </c>
      <c r="H4270" s="6" t="s">
        <v>38</v>
      </c>
      <c r="I4270" s="6" t="s">
        <v>574</v>
      </c>
      <c r="J4270" s="6" t="s">
        <v>345</v>
      </c>
      <c r="K4270" s="10">
        <v>50</v>
      </c>
      <c r="L4270" s="10">
        <v>50</v>
      </c>
      <c r="M4270" s="6" t="s">
        <v>371</v>
      </c>
    </row>
    <row r="4271" spans="1:13">
      <c r="A4271" s="6">
        <v>2024</v>
      </c>
      <c r="B4271" s="6">
        <v>9</v>
      </c>
      <c r="C4271" s="6" t="s">
        <v>67</v>
      </c>
      <c r="D4271" s="6" t="s">
        <v>42</v>
      </c>
      <c r="E4271" s="6" t="s">
        <v>405</v>
      </c>
      <c r="F4271" s="6" t="str">
        <f>IF($M4271="PADD I","PADD 1",IF($M4271="PADD II","PADD 2",IF($M4271="PADD III","PADD 3",IF($M4271="PADD IV","PADD 4",IF($M4271="PADD V","PADD 5","")))))</f>
        <v>PADD 3</v>
      </c>
      <c r="G4271" s="6">
        <f>IF(AND($H4271="ATMOS DISTILLATION",ISNUMBER(SEARCH("VPS",$I4271))=FALSE,LEFT($I4271,6)&lt;&gt;"VACUUM"),"CDU",IF($H4271="FLUID CAT CRACKING","FCC",IF(OR($H4271="HYDROCRACKING",$H4271="RESID_HYDROCRACKING"),"Hydrocracker",IF($H4271="REFORMING","Reformer",""))))</f>
        <v/>
      </c>
      <c r="H4271" s="6" t="s">
        <v>43</v>
      </c>
      <c r="I4271" s="6" t="s">
        <v>1232</v>
      </c>
      <c r="J4271" s="6" t="s">
        <v>349</v>
      </c>
      <c r="K4271" s="10">
        <v>48</v>
      </c>
      <c r="L4271" s="10">
        <v>48</v>
      </c>
      <c r="M4271" s="6" t="s">
        <v>371</v>
      </c>
    </row>
    <row r="4272" spans="1:13">
      <c r="A4272" s="6">
        <v>2024</v>
      </c>
      <c r="B4272" s="6">
        <v>9</v>
      </c>
      <c r="C4272" s="6" t="s">
        <v>67</v>
      </c>
      <c r="D4272" s="6" t="s">
        <v>387</v>
      </c>
      <c r="E4272" s="6" t="s">
        <v>388</v>
      </c>
      <c r="F4272" s="6" t="str">
        <f>IF($M4272="PADD I","PADD 1",IF($M4272="PADD II","PADD 2",IF($M4272="PADD III","PADD 3",IF($M4272="PADD IV","PADD 4",IF($M4272="PADD V","PADD 5","")))))</f>
        <v>PADD 3</v>
      </c>
      <c r="G4272" s="6" t="str">
        <f>IF(AND($H4272="ATMOS DISTILLATION",ISNUMBER(SEARCH("VPS",$I4272))=FALSE,LEFT($I4272,6)&lt;&gt;"VACUUM"),"CDU",IF($H4272="FLUID CAT CRACKING","FCC",IF(OR($H4272="HYDROCRACKING",$H4272="RESID_HYDROCRACKING"),"Hydrocracker",IF($H4272="REFORMING","Reformer",""))))</f>
        <v>Reformer</v>
      </c>
      <c r="H4272" s="6" t="s">
        <v>421</v>
      </c>
      <c r="I4272" s="6" t="s">
        <v>583</v>
      </c>
      <c r="J4272" s="6" t="s">
        <v>345</v>
      </c>
      <c r="K4272" s="10">
        <v>47.815</v>
      </c>
      <c r="L4272" s="10">
        <v>65.5</v>
      </c>
      <c r="M4272" s="6" t="s">
        <v>371</v>
      </c>
    </row>
    <row r="4273" spans="1:13">
      <c r="A4273" s="6">
        <v>2024</v>
      </c>
      <c r="B4273" s="6">
        <v>9</v>
      </c>
      <c r="C4273" s="6" t="s">
        <v>67</v>
      </c>
      <c r="D4273" s="6" t="s">
        <v>547</v>
      </c>
      <c r="E4273" s="6" t="s">
        <v>391</v>
      </c>
      <c r="F4273" s="6" t="str">
        <f>IF($M4273="PADD I","PADD 1",IF($M4273="PADD II","PADD 2",IF($M4273="PADD III","PADD 3",IF($M4273="PADD IV","PADD 4",IF($M4273="PADD V","PADD 5","")))))</f>
        <v>PADD 5</v>
      </c>
      <c r="G4273" s="6">
        <f>IF(AND($H4273="ATMOS DISTILLATION",ISNUMBER(SEARCH("VPS",$I4273))=FALSE,LEFT($I4273,6)&lt;&gt;"VACUUM"),"CDU",IF($H4273="FLUID CAT CRACKING","FCC",IF(OR($H4273="HYDROCRACKING",$H4273="RESID_HYDROCRACKING"),"Hydrocracker",IF($H4273="REFORMING","Reformer",""))))</f>
        <v/>
      </c>
      <c r="H4273" s="6" t="s">
        <v>43</v>
      </c>
      <c r="I4273" s="6" t="s">
        <v>929</v>
      </c>
      <c r="J4273" s="6" t="s">
        <v>345</v>
      </c>
      <c r="K4273" s="10">
        <v>47.304</v>
      </c>
      <c r="L4273" s="10">
        <v>64.8</v>
      </c>
      <c r="M4273" s="6" t="s">
        <v>386</v>
      </c>
    </row>
    <row r="4274" spans="1:13">
      <c r="A4274" s="6">
        <v>2024</v>
      </c>
      <c r="B4274" s="6">
        <v>9</v>
      </c>
      <c r="C4274" s="6" t="s">
        <v>67</v>
      </c>
      <c r="D4274" s="6" t="s">
        <v>51</v>
      </c>
      <c r="E4274" s="6" t="s">
        <v>391</v>
      </c>
      <c r="F4274" s="6" t="str">
        <f>IF($M4274="PADD I","PADD 1",IF($M4274="PADD II","PADD 2",IF($M4274="PADD III","PADD 3",IF($M4274="PADD IV","PADD 4",IF($M4274="PADD V","PADD 5","")))))</f>
        <v>PADD 5</v>
      </c>
      <c r="G4274" s="6" t="str">
        <f>IF(AND($H4274="ATMOS DISTILLATION",ISNUMBER(SEARCH("VPS",$I4274))=FALSE,LEFT($I4274,6)&lt;&gt;"VACUUM"),"CDU",IF($H4274="FLUID CAT CRACKING","FCC",IF(OR($H4274="HYDROCRACKING",$H4274="RESID_HYDROCRACKING"),"Hydrocracker",IF($H4274="REFORMING","Reformer",""))))</f>
        <v>Reformer</v>
      </c>
      <c r="H4274" s="6" t="s">
        <v>421</v>
      </c>
      <c r="I4274" s="6" t="s">
        <v>539</v>
      </c>
      <c r="J4274" s="6" t="s">
        <v>345</v>
      </c>
      <c r="K4274" s="10">
        <v>46.2</v>
      </c>
      <c r="L4274" s="10">
        <v>60</v>
      </c>
      <c r="M4274" s="6" t="s">
        <v>386</v>
      </c>
    </row>
    <row r="4275" spans="1:13">
      <c r="A4275" s="6">
        <v>2024</v>
      </c>
      <c r="B4275" s="6">
        <v>9</v>
      </c>
      <c r="C4275" s="6" t="s">
        <v>67</v>
      </c>
      <c r="D4275" s="6" t="s">
        <v>387</v>
      </c>
      <c r="E4275" s="6" t="s">
        <v>388</v>
      </c>
      <c r="F4275" s="6" t="str">
        <f>IF($M4275="PADD I","PADD 1",IF($M4275="PADD II","PADD 2",IF($M4275="PADD III","PADD 3",IF($M4275="PADD IV","PADD 4",IF($M4275="PADD V","PADD 5","")))))</f>
        <v>PADD 3</v>
      </c>
      <c r="G4275" s="6" t="str">
        <f>IF(AND($H4275="ATMOS DISTILLATION",ISNUMBER(SEARCH("VPS",$I4275))=FALSE,LEFT($I4275,6)&lt;&gt;"VACUUM"),"CDU",IF($H4275="FLUID CAT CRACKING","FCC",IF(OR($H4275="HYDROCRACKING",$H4275="RESID_HYDROCRACKING"),"Hydrocracker",IF($H4275="REFORMING","Reformer",""))))</f>
        <v>Hydrocracker</v>
      </c>
      <c r="H4275" s="6" t="s">
        <v>444</v>
      </c>
      <c r="I4275" s="6" t="s">
        <v>476</v>
      </c>
      <c r="J4275" s="6" t="s">
        <v>349</v>
      </c>
      <c r="K4275" s="10">
        <v>42</v>
      </c>
      <c r="L4275" s="10">
        <v>60</v>
      </c>
      <c r="M4275" s="6" t="s">
        <v>371</v>
      </c>
    </row>
    <row r="4276" spans="1:13">
      <c r="A4276" s="6">
        <v>2024</v>
      </c>
      <c r="B4276" s="6">
        <v>9</v>
      </c>
      <c r="C4276" s="6" t="s">
        <v>67</v>
      </c>
      <c r="D4276" s="6" t="s">
        <v>446</v>
      </c>
      <c r="E4276" s="6" t="s">
        <v>391</v>
      </c>
      <c r="F4276" s="6" t="str">
        <f>IF($M4276="PADD I","PADD 1",IF($M4276="PADD II","PADD 2",IF($M4276="PADD III","PADD 3",IF($M4276="PADD IV","PADD 4",IF($M4276="PADD V","PADD 5","")))))</f>
        <v>PADD 3</v>
      </c>
      <c r="G4276" s="6">
        <f>IF(AND($H4276="ATMOS DISTILLATION",ISNUMBER(SEARCH("VPS",$I4276))=FALSE,LEFT($I4276,6)&lt;&gt;"VACUUM"),"CDU",IF($H4276="FLUID CAT CRACKING","FCC",IF(OR($H4276="HYDROCRACKING",$H4276="RESID_HYDROCRACKING"),"Hydrocracker",IF($H4276="REFORMING","Reformer",""))))</f>
        <v/>
      </c>
      <c r="H4276" s="6" t="s">
        <v>378</v>
      </c>
      <c r="I4276" s="6" t="s">
        <v>1041</v>
      </c>
      <c r="J4276" s="6" t="s">
        <v>345</v>
      </c>
      <c r="K4276" s="10">
        <v>41</v>
      </c>
      <c r="L4276" s="10">
        <v>41</v>
      </c>
      <c r="M4276" s="6" t="s">
        <v>371</v>
      </c>
    </row>
    <row r="4277" spans="1:13">
      <c r="A4277" s="6">
        <v>2024</v>
      </c>
      <c r="B4277" s="6">
        <v>9</v>
      </c>
      <c r="C4277" s="6" t="s">
        <v>67</v>
      </c>
      <c r="D4277" s="6" t="s">
        <v>319</v>
      </c>
      <c r="E4277" s="6" t="s">
        <v>665</v>
      </c>
      <c r="F4277" s="6" t="str">
        <f>IF($M4277="PADD I","PADD 1",IF($M4277="PADD II","PADD 2",IF($M4277="PADD III","PADD 3",IF($M4277="PADD IV","PADD 4",IF($M4277="PADD V","PADD 5","")))))</f>
        <v>PADD 3</v>
      </c>
      <c r="G4277" s="6" t="str">
        <f>IF(AND($H4277="ATMOS DISTILLATION",ISNUMBER(SEARCH("VPS",$I4277))=FALSE,LEFT($I4277,6)&lt;&gt;"VACUUM"),"CDU",IF($H4277="FLUID CAT CRACKING","FCC",IF(OR($H4277="HYDROCRACKING",$H4277="RESID_HYDROCRACKING"),"Hydrocracker",IF($H4277="REFORMING","Reformer",""))))</f>
        <v>CDU</v>
      </c>
      <c r="H4277" s="6" t="s">
        <v>38</v>
      </c>
      <c r="I4277" s="6" t="s">
        <v>86</v>
      </c>
      <c r="J4277" s="6" t="s">
        <v>345</v>
      </c>
      <c r="K4277" s="10">
        <v>40.8</v>
      </c>
      <c r="L4277" s="10">
        <v>240</v>
      </c>
      <c r="M4277" s="6" t="s">
        <v>371</v>
      </c>
    </row>
    <row r="4278" spans="1:13">
      <c r="A4278" s="6">
        <v>2024</v>
      </c>
      <c r="B4278" s="6">
        <v>9</v>
      </c>
      <c r="C4278" s="6" t="s">
        <v>67</v>
      </c>
      <c r="D4278" s="6" t="s">
        <v>542</v>
      </c>
      <c r="E4278" s="6" t="s">
        <v>543</v>
      </c>
      <c r="F4278" s="6" t="str">
        <f>IF($M4278="PADD I","PADD 1",IF($M4278="PADD II","PADD 2",IF($M4278="PADD III","PADD 3",IF($M4278="PADD IV","PADD 4",IF($M4278="PADD V","PADD 5","")))))</f>
        <v>PADD 2</v>
      </c>
      <c r="G4278" s="6">
        <f>IF(AND($H4278="ATMOS DISTILLATION",ISNUMBER(SEARCH("VPS",$I4278))=FALSE,LEFT($I4278,6)&lt;&gt;"VACUUM"),"CDU",IF($H4278="FLUID CAT CRACKING","FCC",IF(OR($H4278="HYDROCRACKING",$H4278="RESID_HYDROCRACKING"),"Hydrocracker",IF($H4278="REFORMING","Reformer",""))))</f>
        <v/>
      </c>
      <c r="H4278" s="6" t="s">
        <v>435</v>
      </c>
      <c r="I4278" s="6" t="s">
        <v>441</v>
      </c>
      <c r="J4278" s="6" t="s">
        <v>345</v>
      </c>
      <c r="K4278" s="10">
        <v>40.8</v>
      </c>
      <c r="L4278" s="10">
        <v>102</v>
      </c>
      <c r="M4278" s="6" t="s">
        <v>375</v>
      </c>
    </row>
    <row r="4279" spans="1:13">
      <c r="A4279" s="6">
        <v>2024</v>
      </c>
      <c r="B4279" s="6">
        <v>9</v>
      </c>
      <c r="C4279" s="6" t="s">
        <v>67</v>
      </c>
      <c r="D4279" s="6" t="s">
        <v>576</v>
      </c>
      <c r="E4279" s="6" t="s">
        <v>369</v>
      </c>
      <c r="F4279" s="6" t="str">
        <f>IF($M4279="PADD I","PADD 1",IF($M4279="PADD II","PADD 2",IF($M4279="PADD III","PADD 3",IF($M4279="PADD IV","PADD 4",IF($M4279="PADD V","PADD 5","")))))</f>
        <v>PADD 3</v>
      </c>
      <c r="G4279" s="6">
        <f>IF(AND($H4279="ATMOS DISTILLATION",ISNUMBER(SEARCH("VPS",$I4279))=FALSE,LEFT($I4279,6)&lt;&gt;"VACUUM"),"CDU",IF($H4279="FLUID CAT CRACKING","FCC",IF(OR($H4279="HYDROCRACKING",$H4279="RESID_HYDROCRACKING"),"Hydrocracker",IF($H4279="REFORMING","Reformer",""))))</f>
        <v/>
      </c>
      <c r="H4279" s="6" t="s">
        <v>43</v>
      </c>
      <c r="I4279" s="6" t="s">
        <v>1233</v>
      </c>
      <c r="J4279" s="6" t="s">
        <v>349</v>
      </c>
      <c r="K4279" s="10">
        <v>40.67</v>
      </c>
      <c r="L4279" s="10">
        <v>49</v>
      </c>
      <c r="M4279" s="6" t="s">
        <v>371</v>
      </c>
    </row>
    <row r="4280" spans="1:13">
      <c r="A4280" s="6">
        <v>2024</v>
      </c>
      <c r="B4280" s="6">
        <v>9</v>
      </c>
      <c r="C4280" s="6" t="s">
        <v>67</v>
      </c>
      <c r="D4280" s="6" t="s">
        <v>576</v>
      </c>
      <c r="E4280" s="6" t="s">
        <v>369</v>
      </c>
      <c r="F4280" s="6" t="str">
        <f>IF($M4280="PADD I","PADD 1",IF($M4280="PADD II","PADD 2",IF($M4280="PADD III","PADD 3",IF($M4280="PADD IV","PADD 4",IF($M4280="PADD V","PADD 5","")))))</f>
        <v>PADD 3</v>
      </c>
      <c r="G4280" s="6" t="str">
        <f>IF(AND($H4280="ATMOS DISTILLATION",ISNUMBER(SEARCH("VPS",$I4280))=FALSE,LEFT($I4280,6)&lt;&gt;"VACUUM"),"CDU",IF($H4280="FLUID CAT CRACKING","FCC",IF(OR($H4280="HYDROCRACKING",$H4280="RESID_HYDROCRACKING"),"Hydrocracker",IF($H4280="REFORMING","Reformer",""))))</f>
        <v>FCC</v>
      </c>
      <c r="H4280" s="6" t="s">
        <v>376</v>
      </c>
      <c r="I4280" s="6" t="s">
        <v>105</v>
      </c>
      <c r="J4280" s="6" t="s">
        <v>349</v>
      </c>
      <c r="K4280" s="10">
        <v>40.194</v>
      </c>
      <c r="L4280" s="10">
        <v>46.2</v>
      </c>
      <c r="M4280" s="6" t="s">
        <v>371</v>
      </c>
    </row>
    <row r="4281" spans="1:13">
      <c r="A4281" s="6">
        <v>2024</v>
      </c>
      <c r="B4281" s="6">
        <v>9</v>
      </c>
      <c r="C4281" s="6" t="s">
        <v>67</v>
      </c>
      <c r="D4281" s="6" t="s">
        <v>788</v>
      </c>
      <c r="E4281" s="6" t="s">
        <v>405</v>
      </c>
      <c r="F4281" s="6" t="str">
        <f>IF($M4281="PADD I","PADD 1",IF($M4281="PADD II","PADD 2",IF($M4281="PADD III","PADD 3",IF($M4281="PADD IV","PADD 4",IF($M4281="PADD V","PADD 5","")))))</f>
        <v>PADD 3</v>
      </c>
      <c r="G4281" s="6" t="str">
        <f>IF(AND($H4281="ATMOS DISTILLATION",ISNUMBER(SEARCH("VPS",$I4281))=FALSE,LEFT($I4281,6)&lt;&gt;"VACUUM"),"CDU",IF($H4281="FLUID CAT CRACKING","FCC",IF(OR($H4281="HYDROCRACKING",$H4281="RESID_HYDROCRACKING"),"Hydrocracker",IF($H4281="REFORMING","Reformer",""))))</f>
        <v>Hydrocracker</v>
      </c>
      <c r="H4281" s="6" t="s">
        <v>444</v>
      </c>
      <c r="I4281" s="6" t="s">
        <v>831</v>
      </c>
      <c r="J4281" s="6" t="s">
        <v>345</v>
      </c>
      <c r="K4281" s="10">
        <v>38.5</v>
      </c>
      <c r="L4281" s="10">
        <v>55</v>
      </c>
      <c r="M4281" s="6" t="s">
        <v>371</v>
      </c>
    </row>
    <row r="4282" spans="1:13">
      <c r="A4282" s="6">
        <v>2024</v>
      </c>
      <c r="B4282" s="6">
        <v>9</v>
      </c>
      <c r="C4282" s="6" t="s">
        <v>67</v>
      </c>
      <c r="D4282" s="6" t="s">
        <v>331</v>
      </c>
      <c r="E4282" s="6" t="s">
        <v>373</v>
      </c>
      <c r="F4282" s="6" t="str">
        <f>IF($M4282="PADD I","PADD 1",IF($M4282="PADD II","PADD 2",IF($M4282="PADD III","PADD 3",IF($M4282="PADD IV","PADD 4",IF($M4282="PADD V","PADD 5","")))))</f>
        <v>PADD 2</v>
      </c>
      <c r="G4282" s="6" t="str">
        <f>IF(AND($H4282="ATMOS DISTILLATION",ISNUMBER(SEARCH("VPS",$I4282))=FALSE,LEFT($I4282,6)&lt;&gt;"VACUUM"),"CDU",IF($H4282="FLUID CAT CRACKING","FCC",IF(OR($H4282="HYDROCRACKING",$H4282="RESID_HYDROCRACKING"),"Hydrocracker",IF($H4282="REFORMING","Reformer",""))))</f>
        <v>FCC</v>
      </c>
      <c r="H4282" s="6" t="s">
        <v>376</v>
      </c>
      <c r="I4282" s="6" t="s">
        <v>105</v>
      </c>
      <c r="J4282" s="6" t="s">
        <v>349</v>
      </c>
      <c r="K4282" s="10">
        <v>37.2</v>
      </c>
      <c r="L4282" s="10">
        <v>40</v>
      </c>
      <c r="M4282" s="6" t="s">
        <v>375</v>
      </c>
    </row>
    <row r="4283" spans="1:13">
      <c r="A4283" s="6">
        <v>2024</v>
      </c>
      <c r="B4283" s="6">
        <v>9</v>
      </c>
      <c r="C4283" s="6" t="s">
        <v>67</v>
      </c>
      <c r="D4283" s="6" t="s">
        <v>851</v>
      </c>
      <c r="E4283" s="6" t="s">
        <v>852</v>
      </c>
      <c r="F4283" s="6" t="str">
        <f>IF($M4283="PADD I","PADD 1",IF($M4283="PADD II","PADD 2",IF($M4283="PADD III","PADD 3",IF($M4283="PADD IV","PADD 4",IF($M4283="PADD V","PADD 5","")))))</f>
        <v>PADD 3</v>
      </c>
      <c r="G4283" s="6" t="str">
        <f>IF(AND($H4283="ATMOS DISTILLATION",ISNUMBER(SEARCH("VPS",$I4283))=FALSE,LEFT($I4283,6)&lt;&gt;"VACUUM"),"CDU",IF($H4283="FLUID CAT CRACKING","FCC",IF(OR($H4283="HYDROCRACKING",$H4283="RESID_HYDROCRACKING"),"Hydrocracker",IF($H4283="REFORMING","Reformer",""))))</f>
        <v>CDU</v>
      </c>
      <c r="H4283" s="6" t="s">
        <v>38</v>
      </c>
      <c r="I4283" s="6" t="s">
        <v>854</v>
      </c>
      <c r="J4283" s="6" t="s">
        <v>345</v>
      </c>
      <c r="K4283" s="10">
        <v>37.05</v>
      </c>
      <c r="L4283" s="10">
        <v>65</v>
      </c>
      <c r="M4283" s="6" t="s">
        <v>371</v>
      </c>
    </row>
    <row r="4284" spans="1:13">
      <c r="A4284" s="6">
        <v>2024</v>
      </c>
      <c r="B4284" s="6">
        <v>9</v>
      </c>
      <c r="C4284" s="6" t="s">
        <v>67</v>
      </c>
      <c r="D4284" s="6" t="s">
        <v>415</v>
      </c>
      <c r="E4284" s="6" t="s">
        <v>416</v>
      </c>
      <c r="F4284" s="6" t="str">
        <f>IF($M4284="PADD I","PADD 1",IF($M4284="PADD II","PADD 2",IF($M4284="PADD III","PADD 3",IF($M4284="PADD IV","PADD 4",IF($M4284="PADD V","PADD 5","")))))</f>
        <v>PADD 3</v>
      </c>
      <c r="G4284" s="6" t="str">
        <f>IF(AND($H4284="ATMOS DISTILLATION",ISNUMBER(SEARCH("VPS",$I4284))=FALSE,LEFT($I4284,6)&lt;&gt;"VACUUM"),"CDU",IF($H4284="FLUID CAT CRACKING","FCC",IF(OR($H4284="HYDROCRACKING",$H4284="RESID_HYDROCRACKING"),"Hydrocracker",IF($H4284="REFORMING","Reformer",""))))</f>
        <v>Hydrocracker</v>
      </c>
      <c r="H4284" s="6" t="s">
        <v>444</v>
      </c>
      <c r="I4284" s="6" t="s">
        <v>940</v>
      </c>
      <c r="J4284" s="6" t="s">
        <v>349</v>
      </c>
      <c r="K4284" s="10">
        <v>35.34</v>
      </c>
      <c r="L4284" s="10">
        <v>38</v>
      </c>
      <c r="M4284" s="6" t="s">
        <v>371</v>
      </c>
    </row>
    <row r="4285" spans="1:13">
      <c r="A4285" s="6">
        <v>2024</v>
      </c>
      <c r="B4285" s="6">
        <v>9</v>
      </c>
      <c r="C4285" s="6" t="s">
        <v>67</v>
      </c>
      <c r="D4285" s="6" t="s">
        <v>602</v>
      </c>
      <c r="E4285" s="6" t="s">
        <v>369</v>
      </c>
      <c r="F4285" s="6" t="str">
        <f>IF($M4285="PADD I","PADD 1",IF($M4285="PADD II","PADD 2",IF($M4285="PADD III","PADD 3",IF($M4285="PADD IV","PADD 4",IF($M4285="PADD V","PADD 5","")))))</f>
        <v>PADD 2</v>
      </c>
      <c r="G4285" s="6" t="str">
        <f>IF(AND($H4285="ATMOS DISTILLATION",ISNUMBER(SEARCH("VPS",$I4285))=FALSE,LEFT($I4285,6)&lt;&gt;"VACUUM"),"CDU",IF($H4285="FLUID CAT CRACKING","FCC",IF(OR($H4285="HYDROCRACKING",$H4285="RESID_HYDROCRACKING"),"Hydrocracker",IF($H4285="REFORMING","Reformer",""))))</f>
        <v>CDU</v>
      </c>
      <c r="H4285" s="6" t="s">
        <v>38</v>
      </c>
      <c r="I4285" s="6" t="s">
        <v>129</v>
      </c>
      <c r="J4285" s="6" t="s">
        <v>349</v>
      </c>
      <c r="K4285" s="10">
        <v>35.15</v>
      </c>
      <c r="L4285" s="10">
        <v>95</v>
      </c>
      <c r="M4285" s="6" t="s">
        <v>375</v>
      </c>
    </row>
    <row r="4286" spans="1:13">
      <c r="A4286" s="6">
        <v>2024</v>
      </c>
      <c r="B4286" s="6">
        <v>9</v>
      </c>
      <c r="C4286" s="6" t="s">
        <v>67</v>
      </c>
      <c r="D4286" s="6" t="s">
        <v>446</v>
      </c>
      <c r="E4286" s="6" t="s">
        <v>391</v>
      </c>
      <c r="F4286" s="6" t="str">
        <f>IF($M4286="PADD I","PADD 1",IF($M4286="PADD II","PADD 2",IF($M4286="PADD III","PADD 3",IF($M4286="PADD IV","PADD 4",IF($M4286="PADD V","PADD 5","")))))</f>
        <v>PADD 3</v>
      </c>
      <c r="G4286" s="6">
        <f>IF(AND($H4286="ATMOS DISTILLATION",ISNUMBER(SEARCH("VPS",$I4286))=FALSE,LEFT($I4286,6)&lt;&gt;"VACUUM"),"CDU",IF($H4286="FLUID CAT CRACKING","FCC",IF(OR($H4286="HYDROCRACKING",$H4286="RESID_HYDROCRACKING"),"Hydrocracker",IF($H4286="REFORMING","Reformer",""))))</f>
        <v/>
      </c>
      <c r="H4286" s="6" t="s">
        <v>43</v>
      </c>
      <c r="I4286" s="6" t="s">
        <v>447</v>
      </c>
      <c r="J4286" s="6" t="s">
        <v>349</v>
      </c>
      <c r="K4286" s="10">
        <v>35</v>
      </c>
      <c r="L4286" s="10">
        <v>35</v>
      </c>
      <c r="M4286" s="6" t="s">
        <v>371</v>
      </c>
    </row>
    <row r="4287" spans="1:13">
      <c r="A4287" s="6">
        <v>2024</v>
      </c>
      <c r="B4287" s="6">
        <v>9</v>
      </c>
      <c r="C4287" s="6" t="s">
        <v>67</v>
      </c>
      <c r="D4287" s="6" t="s">
        <v>448</v>
      </c>
      <c r="E4287" s="6" t="s">
        <v>391</v>
      </c>
      <c r="F4287" s="6" t="str">
        <f>IF($M4287="PADD I","PADD 1",IF($M4287="PADD II","PADD 2",IF($M4287="PADD III","PADD 3",IF($M4287="PADD IV","PADD 4",IF($M4287="PADD V","PADD 5","")))))</f>
        <v>PADD 3</v>
      </c>
      <c r="G4287" s="6">
        <f>IF(AND($H4287="ATMOS DISTILLATION",ISNUMBER(SEARCH("VPS",$I4287))=FALSE,LEFT($I4287,6)&lt;&gt;"VACUUM"),"CDU",IF($H4287="FLUID CAT CRACKING","FCC",IF(OR($H4287="HYDROCRACKING",$H4287="RESID_HYDROCRACKING"),"Hydrocracker",IF($H4287="REFORMING","Reformer",""))))</f>
        <v/>
      </c>
      <c r="H4287" s="6" t="s">
        <v>43</v>
      </c>
      <c r="I4287" s="6" t="s">
        <v>449</v>
      </c>
      <c r="J4287" s="6" t="s">
        <v>345</v>
      </c>
      <c r="K4287" s="10">
        <v>35</v>
      </c>
      <c r="L4287" s="10">
        <v>35</v>
      </c>
      <c r="M4287" s="6" t="s">
        <v>371</v>
      </c>
    </row>
    <row r="4288" spans="1:13">
      <c r="A4288" s="6">
        <v>2024</v>
      </c>
      <c r="B4288" s="6">
        <v>9</v>
      </c>
      <c r="C4288" s="6" t="s">
        <v>67</v>
      </c>
      <c r="D4288" s="6" t="s">
        <v>408</v>
      </c>
      <c r="E4288" s="6" t="s">
        <v>409</v>
      </c>
      <c r="F4288" s="6" t="str">
        <f>IF($M4288="PADD I","PADD 1",IF($M4288="PADD II","PADD 2",IF($M4288="PADD III","PADD 3",IF($M4288="PADD IV","PADD 4",IF($M4288="PADD V","PADD 5","")))))</f>
        <v>PADD 3</v>
      </c>
      <c r="G4288" s="6" t="str">
        <f>IF(AND($H4288="ATMOS DISTILLATION",ISNUMBER(SEARCH("VPS",$I4288))=FALSE,LEFT($I4288,6)&lt;&gt;"VACUUM"),"CDU",IF($H4288="FLUID CAT CRACKING","FCC",IF(OR($H4288="HYDROCRACKING",$H4288="RESID_HYDROCRACKING"),"Hydrocracker",IF($H4288="REFORMING","Reformer",""))))</f>
        <v>CDU</v>
      </c>
      <c r="H4288" s="6" t="s">
        <v>38</v>
      </c>
      <c r="I4288" s="6" t="s">
        <v>410</v>
      </c>
      <c r="J4288" s="6" t="s">
        <v>345</v>
      </c>
      <c r="K4288" s="10">
        <v>34.5</v>
      </c>
      <c r="L4288" s="10">
        <v>150</v>
      </c>
      <c r="M4288" s="6" t="s">
        <v>371</v>
      </c>
    </row>
    <row r="4289" spans="1:13">
      <c r="A4289" s="6">
        <v>2024</v>
      </c>
      <c r="B4289" s="6">
        <v>9</v>
      </c>
      <c r="C4289" s="6" t="s">
        <v>67</v>
      </c>
      <c r="D4289" s="6" t="s">
        <v>576</v>
      </c>
      <c r="E4289" s="6" t="s">
        <v>369</v>
      </c>
      <c r="F4289" s="6" t="str">
        <f>IF($M4289="PADD I","PADD 1",IF($M4289="PADD II","PADD 2",IF($M4289="PADD III","PADD 3",IF($M4289="PADD IV","PADD 4",IF($M4289="PADD V","PADD 5","")))))</f>
        <v>PADD 3</v>
      </c>
      <c r="G4289" s="6">
        <f>IF(AND($H4289="ATMOS DISTILLATION",ISNUMBER(SEARCH("VPS",$I4289))=FALSE,LEFT($I4289,6)&lt;&gt;"VACUUM"),"CDU",IF($H4289="FLUID CAT CRACKING","FCC",IF(OR($H4289="HYDROCRACKING",$H4289="RESID_HYDROCRACKING"),"Hydrocracker",IF($H4289="REFORMING","Reformer",""))))</f>
        <v/>
      </c>
      <c r="H4289" s="6" t="s">
        <v>43</v>
      </c>
      <c r="I4289" s="6" t="s">
        <v>1234</v>
      </c>
      <c r="J4289" s="6" t="s">
        <v>349</v>
      </c>
      <c r="K4289" s="10">
        <v>33.2</v>
      </c>
      <c r="L4289" s="10">
        <v>40</v>
      </c>
      <c r="M4289" s="6" t="s">
        <v>371</v>
      </c>
    </row>
    <row r="4290" spans="1:13">
      <c r="A4290" s="6">
        <v>2024</v>
      </c>
      <c r="B4290" s="6">
        <v>9</v>
      </c>
      <c r="C4290" s="6" t="s">
        <v>67</v>
      </c>
      <c r="D4290" s="6" t="s">
        <v>51</v>
      </c>
      <c r="E4290" s="6" t="s">
        <v>391</v>
      </c>
      <c r="F4290" s="6" t="str">
        <f>IF($M4290="PADD I","PADD 1",IF($M4290="PADD II","PADD 2",IF($M4290="PADD III","PADD 3",IF($M4290="PADD IV","PADD 4",IF($M4290="PADD V","PADD 5","")))))</f>
        <v>PADD 5</v>
      </c>
      <c r="G4290" s="6" t="str">
        <f>IF(AND($H4290="ATMOS DISTILLATION",ISNUMBER(SEARCH("VPS",$I4290))=FALSE,LEFT($I4290,6)&lt;&gt;"VACUUM"),"CDU",IF($H4290="FLUID CAT CRACKING","FCC",IF(OR($H4290="HYDROCRACKING",$H4290="RESID_HYDROCRACKING"),"Hydrocracker",IF($H4290="REFORMING","Reformer",""))))</f>
        <v>Hydrocracker</v>
      </c>
      <c r="H4290" s="6" t="s">
        <v>444</v>
      </c>
      <c r="I4290" s="6" t="s">
        <v>1074</v>
      </c>
      <c r="J4290" s="6" t="s">
        <v>345</v>
      </c>
      <c r="K4290" s="10">
        <v>32.85</v>
      </c>
      <c r="L4290" s="10">
        <v>45</v>
      </c>
      <c r="M4290" s="6" t="s">
        <v>386</v>
      </c>
    </row>
    <row r="4291" spans="1:13">
      <c r="A4291" s="6">
        <v>2024</v>
      </c>
      <c r="B4291" s="6">
        <v>9</v>
      </c>
      <c r="C4291" s="6" t="s">
        <v>67</v>
      </c>
      <c r="D4291" s="6" t="s">
        <v>602</v>
      </c>
      <c r="E4291" s="6" t="s">
        <v>369</v>
      </c>
      <c r="F4291" s="6" t="str">
        <f>IF($M4291="PADD I","PADD 1",IF($M4291="PADD II","PADD 2",IF($M4291="PADD III","PADD 3",IF($M4291="PADD IV","PADD 4",IF($M4291="PADD V","PADD 5","")))))</f>
        <v>PADD 2</v>
      </c>
      <c r="G4291" s="6" t="str">
        <f>IF(AND($H4291="ATMOS DISTILLATION",ISNUMBER(SEARCH("VPS",$I4291))=FALSE,LEFT($I4291,6)&lt;&gt;"VACUUM"),"CDU",IF($H4291="FLUID CAT CRACKING","FCC",IF(OR($H4291="HYDROCRACKING",$H4291="RESID_HYDROCRACKING"),"Hydrocracker",IF($H4291="REFORMING","Reformer",""))))</f>
        <v>CDU</v>
      </c>
      <c r="H4291" s="6" t="s">
        <v>38</v>
      </c>
      <c r="I4291" s="6" t="s">
        <v>1235</v>
      </c>
      <c r="J4291" s="6" t="s">
        <v>345</v>
      </c>
      <c r="K4291" s="10">
        <v>31.45</v>
      </c>
      <c r="L4291" s="10">
        <v>85</v>
      </c>
      <c r="M4291" s="6" t="s">
        <v>375</v>
      </c>
    </row>
    <row r="4292" spans="1:13">
      <c r="A4292" s="6">
        <v>2024</v>
      </c>
      <c r="B4292" s="6">
        <v>9</v>
      </c>
      <c r="C4292" s="6" t="s">
        <v>67</v>
      </c>
      <c r="D4292" s="6" t="s">
        <v>415</v>
      </c>
      <c r="E4292" s="6" t="s">
        <v>416</v>
      </c>
      <c r="F4292" s="6" t="str">
        <f>IF($M4292="PADD I","PADD 1",IF($M4292="PADD II","PADD 2",IF($M4292="PADD III","PADD 3",IF($M4292="PADD IV","PADD 4",IF($M4292="PADD V","PADD 5","")))))</f>
        <v>PADD 3</v>
      </c>
      <c r="G4292" s="6" t="str">
        <f>IF(AND($H4292="ATMOS DISTILLATION",ISNUMBER(SEARCH("VPS",$I4292))=FALSE,LEFT($I4292,6)&lt;&gt;"VACUUM"),"CDU",IF($H4292="FLUID CAT CRACKING","FCC",IF(OR($H4292="HYDROCRACKING",$H4292="RESID_HYDROCRACKING"),"Hydrocracker",IF($H4292="REFORMING","Reformer",""))))</f>
        <v>Reformer</v>
      </c>
      <c r="H4292" s="6" t="s">
        <v>421</v>
      </c>
      <c r="I4292" s="6" t="s">
        <v>454</v>
      </c>
      <c r="J4292" s="6" t="s">
        <v>349</v>
      </c>
      <c r="K4292" s="10">
        <v>31.2</v>
      </c>
      <c r="L4292" s="10">
        <v>52</v>
      </c>
      <c r="M4292" s="6" t="s">
        <v>371</v>
      </c>
    </row>
    <row r="4293" spans="1:13">
      <c r="A4293" s="6">
        <v>2024</v>
      </c>
      <c r="B4293" s="6">
        <v>9</v>
      </c>
      <c r="C4293" s="6" t="s">
        <v>67</v>
      </c>
      <c r="D4293" s="6" t="s">
        <v>526</v>
      </c>
      <c r="E4293" s="6" t="s">
        <v>405</v>
      </c>
      <c r="F4293" s="6" t="str">
        <f>IF($M4293="PADD I","PADD 1",IF($M4293="PADD II","PADD 2",IF($M4293="PADD III","PADD 3",IF($M4293="PADD IV","PADD 4",IF($M4293="PADD V","PADD 5","")))))</f>
        <v>PADD 3</v>
      </c>
      <c r="G4293" s="6">
        <f>IF(AND($H4293="ATMOS DISTILLATION",ISNUMBER(SEARCH("VPS",$I4293))=FALSE,LEFT($I4293,6)&lt;&gt;"VACUUM"),"CDU",IF($H4293="FLUID CAT CRACKING","FCC",IF(OR($H4293="HYDROCRACKING",$H4293="RESID_HYDROCRACKING"),"Hydrocracker",IF($H4293="REFORMING","Reformer",""))))</f>
        <v/>
      </c>
      <c r="H4293" s="6" t="s">
        <v>435</v>
      </c>
      <c r="I4293" s="6" t="s">
        <v>954</v>
      </c>
      <c r="J4293" s="6" t="s">
        <v>345</v>
      </c>
      <c r="K4293" s="10">
        <v>30</v>
      </c>
      <c r="L4293" s="10">
        <v>30</v>
      </c>
      <c r="M4293" s="6" t="s">
        <v>371</v>
      </c>
    </row>
    <row r="4294" spans="1:13">
      <c r="A4294" s="6">
        <v>2024</v>
      </c>
      <c r="B4294" s="6">
        <v>9</v>
      </c>
      <c r="C4294" s="6" t="s">
        <v>67</v>
      </c>
      <c r="D4294" s="6" t="s">
        <v>319</v>
      </c>
      <c r="E4294" s="6" t="s">
        <v>665</v>
      </c>
      <c r="F4294" s="6" t="str">
        <f>IF($M4294="PADD I","PADD 1",IF($M4294="PADD II","PADD 2",IF($M4294="PADD III","PADD 3",IF($M4294="PADD IV","PADD 4",IF($M4294="PADD V","PADD 5","")))))</f>
        <v>PADD 3</v>
      </c>
      <c r="G4294" s="6" t="str">
        <f>IF(AND($H4294="ATMOS DISTILLATION",ISNUMBER(SEARCH("VPS",$I4294))=FALSE,LEFT($I4294,6)&lt;&gt;"VACUUM"),"CDU",IF($H4294="FLUID CAT CRACKING","FCC",IF(OR($H4294="HYDROCRACKING",$H4294="RESID_HYDROCRACKING"),"Hydrocracker",IF($H4294="REFORMING","Reformer",""))))</f>
        <v>Hydrocracker</v>
      </c>
      <c r="H4294" s="6" t="s">
        <v>444</v>
      </c>
      <c r="I4294" s="6" t="s">
        <v>14</v>
      </c>
      <c r="J4294" s="6" t="s">
        <v>345</v>
      </c>
      <c r="K4294" s="10">
        <v>29.48</v>
      </c>
      <c r="L4294" s="10">
        <v>44</v>
      </c>
      <c r="M4294" s="6" t="s">
        <v>371</v>
      </c>
    </row>
    <row r="4295" spans="1:13">
      <c r="A4295" s="6">
        <v>2024</v>
      </c>
      <c r="B4295" s="6">
        <v>9</v>
      </c>
      <c r="C4295" s="6" t="s">
        <v>67</v>
      </c>
      <c r="D4295" s="6" t="s">
        <v>1060</v>
      </c>
      <c r="E4295" s="6" t="s">
        <v>1039</v>
      </c>
      <c r="F4295" s="6" t="str">
        <f>IF($M4295="PADD I","PADD 1",IF($M4295="PADD II","PADD 2",IF($M4295="PADD III","PADD 3",IF($M4295="PADD IV","PADD 4",IF($M4295="PADD V","PADD 5","")))))</f>
        <v>PADD 2</v>
      </c>
      <c r="G4295" s="6">
        <f>IF(AND($H4295="ATMOS DISTILLATION",ISNUMBER(SEARCH("VPS",$I4295))=FALSE,LEFT($I4295,6)&lt;&gt;"VACUUM"),"CDU",IF($H4295="FLUID CAT CRACKING","FCC",IF(OR($H4295="HYDROCRACKING",$H4295="RESID_HYDROCRACKING"),"Hydrocracker",IF($H4295="REFORMING","Reformer",""))))</f>
        <v/>
      </c>
      <c r="H4295" s="6" t="s">
        <v>43</v>
      </c>
      <c r="I4295" s="6" t="s">
        <v>1187</v>
      </c>
      <c r="J4295" s="6" t="s">
        <v>349</v>
      </c>
      <c r="K4295" s="10">
        <v>29.05</v>
      </c>
      <c r="L4295" s="10">
        <v>35</v>
      </c>
      <c r="M4295" s="6" t="s">
        <v>375</v>
      </c>
    </row>
    <row r="4296" spans="1:13">
      <c r="A4296" s="6">
        <v>2024</v>
      </c>
      <c r="B4296" s="6">
        <v>9</v>
      </c>
      <c r="C4296" s="6" t="s">
        <v>67</v>
      </c>
      <c r="D4296" s="6" t="s">
        <v>51</v>
      </c>
      <c r="E4296" s="6" t="s">
        <v>391</v>
      </c>
      <c r="F4296" s="6" t="str">
        <f>IF($M4296="PADD I","PADD 1",IF($M4296="PADD II","PADD 2",IF($M4296="PADD III","PADD 3",IF($M4296="PADD IV","PADD 4",IF($M4296="PADD V","PADD 5","")))))</f>
        <v>PADD 5</v>
      </c>
      <c r="G4296" s="6">
        <f>IF(AND($H4296="ATMOS DISTILLATION",ISNUMBER(SEARCH("VPS",$I4296))=FALSE,LEFT($I4296,6)&lt;&gt;"VACUUM"),"CDU",IF($H4296="FLUID CAT CRACKING","FCC",IF(OR($H4296="HYDROCRACKING",$H4296="RESID_HYDROCRACKING"),"Hydrocracker",IF($H4296="REFORMING","Reformer",""))))</f>
        <v/>
      </c>
      <c r="H4296" s="6" t="s">
        <v>43</v>
      </c>
      <c r="I4296" s="6" t="s">
        <v>1220</v>
      </c>
      <c r="J4296" s="6" t="s">
        <v>349</v>
      </c>
      <c r="K4296" s="10">
        <v>28</v>
      </c>
      <c r="L4296" s="10">
        <v>35</v>
      </c>
      <c r="M4296" s="6" t="s">
        <v>386</v>
      </c>
    </row>
    <row r="4297" spans="1:13">
      <c r="A4297" s="6">
        <v>2024</v>
      </c>
      <c r="B4297" s="6">
        <v>9</v>
      </c>
      <c r="C4297" s="6" t="s">
        <v>67</v>
      </c>
      <c r="D4297" s="6" t="s">
        <v>51</v>
      </c>
      <c r="E4297" s="6" t="s">
        <v>391</v>
      </c>
      <c r="F4297" s="6" t="str">
        <f>IF($M4297="PADD I","PADD 1",IF($M4297="PADD II","PADD 2",IF($M4297="PADD III","PADD 3",IF($M4297="PADD IV","PADD 4",IF($M4297="PADD V","PADD 5","")))))</f>
        <v>PADD 5</v>
      </c>
      <c r="G4297" s="6">
        <f>IF(AND($H4297="ATMOS DISTILLATION",ISNUMBER(SEARCH("VPS",$I4297))=FALSE,LEFT($I4297,6)&lt;&gt;"VACUUM"),"CDU",IF($H4297="FLUID CAT CRACKING","FCC",IF(OR($H4297="HYDROCRACKING",$H4297="RESID_HYDROCRACKING"),"Hydrocracker",IF($H4297="REFORMING","Reformer",""))))</f>
        <v/>
      </c>
      <c r="H4297" s="6" t="s">
        <v>43</v>
      </c>
      <c r="I4297" s="6" t="s">
        <v>859</v>
      </c>
      <c r="J4297" s="6" t="s">
        <v>345</v>
      </c>
      <c r="K4297" s="10">
        <v>28</v>
      </c>
      <c r="L4297" s="10">
        <v>35</v>
      </c>
      <c r="M4297" s="6" t="s">
        <v>386</v>
      </c>
    </row>
    <row r="4298" spans="1:13">
      <c r="A4298" s="6">
        <v>2024</v>
      </c>
      <c r="B4298" s="6">
        <v>9</v>
      </c>
      <c r="C4298" s="6" t="s">
        <v>67</v>
      </c>
      <c r="D4298" s="6" t="s">
        <v>526</v>
      </c>
      <c r="E4298" s="6" t="s">
        <v>405</v>
      </c>
      <c r="F4298" s="6" t="str">
        <f>IF($M4298="PADD I","PADD 1",IF($M4298="PADD II","PADD 2",IF($M4298="PADD III","PADD 3",IF($M4298="PADD IV","PADD 4",IF($M4298="PADD V","PADD 5","")))))</f>
        <v>PADD 3</v>
      </c>
      <c r="G4298" s="6" t="str">
        <f>IF(AND($H4298="ATMOS DISTILLATION",ISNUMBER(SEARCH("VPS",$I4298))=FALSE,LEFT($I4298,6)&lt;&gt;"VACUUM"),"CDU",IF($H4298="FLUID CAT CRACKING","FCC",IF(OR($H4298="HYDROCRACKING",$H4298="RESID_HYDROCRACKING"),"Hydrocracker",IF($H4298="REFORMING","Reformer",""))))</f>
        <v>CDU</v>
      </c>
      <c r="H4298" s="6" t="s">
        <v>38</v>
      </c>
      <c r="I4298" s="6" t="s">
        <v>350</v>
      </c>
      <c r="J4298" s="6" t="s">
        <v>345</v>
      </c>
      <c r="K4298" s="10">
        <v>27.3</v>
      </c>
      <c r="L4298" s="10">
        <v>210</v>
      </c>
      <c r="M4298" s="6" t="s">
        <v>371</v>
      </c>
    </row>
    <row r="4299" spans="1:13">
      <c r="A4299" s="6">
        <v>2024</v>
      </c>
      <c r="B4299" s="6">
        <v>9</v>
      </c>
      <c r="C4299" s="6" t="s">
        <v>67</v>
      </c>
      <c r="D4299" s="6" t="s">
        <v>1063</v>
      </c>
      <c r="E4299" s="6" t="s">
        <v>388</v>
      </c>
      <c r="F4299" s="6" t="str">
        <f>IF($M4299="PADD I","PADD 1",IF($M4299="PADD II","PADD 2",IF($M4299="PADD III","PADD 3",IF($M4299="PADD IV","PADD 4",IF($M4299="PADD V","PADD 5","")))))</f>
        <v>PADD 2</v>
      </c>
      <c r="G4299" s="6" t="str">
        <f>IF(AND($H4299="ATMOS DISTILLATION",ISNUMBER(SEARCH("VPS",$I4299))=FALSE,LEFT($I4299,6)&lt;&gt;"VACUUM"),"CDU",IF($H4299="FLUID CAT CRACKING","FCC",IF(OR($H4299="HYDROCRACKING",$H4299="RESID_HYDROCRACKING"),"Hydrocracker",IF($H4299="REFORMING","Reformer",""))))</f>
        <v>FCC</v>
      </c>
      <c r="H4299" s="6" t="s">
        <v>376</v>
      </c>
      <c r="I4299" s="6" t="s">
        <v>105</v>
      </c>
      <c r="J4299" s="6" t="s">
        <v>349</v>
      </c>
      <c r="K4299" s="10">
        <v>26.5</v>
      </c>
      <c r="L4299" s="10">
        <v>50</v>
      </c>
      <c r="M4299" s="6" t="s">
        <v>375</v>
      </c>
    </row>
    <row r="4300" spans="1:13">
      <c r="A4300" s="6">
        <v>2024</v>
      </c>
      <c r="B4300" s="6">
        <v>9</v>
      </c>
      <c r="C4300" s="6" t="s">
        <v>67</v>
      </c>
      <c r="D4300" s="6" t="s">
        <v>542</v>
      </c>
      <c r="E4300" s="6" t="s">
        <v>543</v>
      </c>
      <c r="F4300" s="6" t="str">
        <f>IF($M4300="PADD I","PADD 1",IF($M4300="PADD II","PADD 2",IF($M4300="PADD III","PADD 3",IF($M4300="PADD IV","PADD 4",IF($M4300="PADD V","PADD 5","")))))</f>
        <v>PADD 2</v>
      </c>
      <c r="G4300" s="6" t="str">
        <f>IF(AND($H4300="ATMOS DISTILLATION",ISNUMBER(SEARCH("VPS",$I4300))=FALSE,LEFT($I4300,6)&lt;&gt;"VACUUM"),"CDU",IF($H4300="FLUID CAT CRACKING","FCC",IF(OR($H4300="HYDROCRACKING",$H4300="RESID_HYDROCRACKING"),"Hydrocracker",IF($H4300="REFORMING","Reformer",""))))</f>
        <v>CDU</v>
      </c>
      <c r="H4300" s="6" t="s">
        <v>38</v>
      </c>
      <c r="I4300" s="6" t="s">
        <v>874</v>
      </c>
      <c r="J4300" s="6" t="s">
        <v>349</v>
      </c>
      <c r="K4300" s="10">
        <v>25</v>
      </c>
      <c r="L4300" s="10">
        <v>125</v>
      </c>
      <c r="M4300" s="6" t="s">
        <v>375</v>
      </c>
    </row>
    <row r="4301" spans="1:13">
      <c r="A4301" s="6">
        <v>2024</v>
      </c>
      <c r="B4301" s="6">
        <v>9</v>
      </c>
      <c r="C4301" s="6" t="s">
        <v>67</v>
      </c>
      <c r="D4301" s="6" t="s">
        <v>815</v>
      </c>
      <c r="E4301" s="6" t="s">
        <v>452</v>
      </c>
      <c r="F4301" s="6" t="str">
        <f>IF($M4301="PADD I","PADD 1",IF($M4301="PADD II","PADD 2",IF($M4301="PADD III","PADD 3",IF($M4301="PADD IV","PADD 4",IF($M4301="PADD V","PADD 5","")))))</f>
        <v>PADD 4</v>
      </c>
      <c r="G4301" s="6">
        <f>IF(AND($H4301="ATMOS DISTILLATION",ISNUMBER(SEARCH("VPS",$I4301))=FALSE,LEFT($I4301,6)&lt;&gt;"VACUUM"),"CDU",IF($H4301="FLUID CAT CRACKING","FCC",IF(OR($H4301="HYDROCRACKING",$H4301="RESID_HYDROCRACKING"),"Hydrocracker",IF($H4301="REFORMING","Reformer",""))))</f>
        <v/>
      </c>
      <c r="H4301" s="6" t="s">
        <v>378</v>
      </c>
      <c r="I4301" s="6" t="s">
        <v>1236</v>
      </c>
      <c r="J4301" s="6" t="s">
        <v>349</v>
      </c>
      <c r="K4301" s="10">
        <v>24.9</v>
      </c>
      <c r="L4301" s="10">
        <v>30</v>
      </c>
      <c r="M4301" s="6" t="s">
        <v>430</v>
      </c>
    </row>
    <row r="4302" spans="1:13">
      <c r="A4302" s="6">
        <v>2024</v>
      </c>
      <c r="B4302" s="6">
        <v>9</v>
      </c>
      <c r="C4302" s="6" t="s">
        <v>67</v>
      </c>
      <c r="D4302" s="6" t="s">
        <v>610</v>
      </c>
      <c r="E4302" s="6" t="s">
        <v>611</v>
      </c>
      <c r="F4302" s="6" t="str">
        <f>IF($M4302="PADD I","PADD 1",IF($M4302="PADD II","PADD 2",IF($M4302="PADD III","PADD 3",IF($M4302="PADD IV","PADD 4",IF($M4302="PADD V","PADD 5","")))))</f>
        <v>PADD 2</v>
      </c>
      <c r="G4302" s="6" t="str">
        <f>IF(AND($H4302="ATMOS DISTILLATION",ISNUMBER(SEARCH("VPS",$I4302))=FALSE,LEFT($I4302,6)&lt;&gt;"VACUUM"),"CDU",IF($H4302="FLUID CAT CRACKING","FCC",IF(OR($H4302="HYDROCRACKING",$H4302="RESID_HYDROCRACKING"),"Hydrocracker",IF($H4302="REFORMING","Reformer",""))))</f>
        <v>CDU</v>
      </c>
      <c r="H4302" s="6" t="s">
        <v>38</v>
      </c>
      <c r="I4302" s="6" t="s">
        <v>332</v>
      </c>
      <c r="J4302" s="6" t="s">
        <v>345</v>
      </c>
      <c r="K4302" s="10">
        <v>24</v>
      </c>
      <c r="L4302" s="10">
        <v>60</v>
      </c>
      <c r="M4302" s="6" t="s">
        <v>375</v>
      </c>
    </row>
    <row r="4303" spans="1:13">
      <c r="A4303" s="6">
        <v>2024</v>
      </c>
      <c r="B4303" s="6">
        <v>9</v>
      </c>
      <c r="C4303" s="6" t="s">
        <v>67</v>
      </c>
      <c r="D4303" s="6" t="s">
        <v>526</v>
      </c>
      <c r="E4303" s="6" t="s">
        <v>405</v>
      </c>
      <c r="F4303" s="6" t="str">
        <f>IF($M4303="PADD I","PADD 1",IF($M4303="PADD II","PADD 2",IF($M4303="PADD III","PADD 3",IF($M4303="PADD IV","PADD 4",IF($M4303="PADD V","PADD 5","")))))</f>
        <v>PADD 3</v>
      </c>
      <c r="G4303" s="6">
        <f>IF(AND($H4303="ATMOS DISTILLATION",ISNUMBER(SEARCH("VPS",$I4303))=FALSE,LEFT($I4303,6)&lt;&gt;"VACUUM"),"CDU",IF($H4303="FLUID CAT CRACKING","FCC",IF(OR($H4303="HYDROCRACKING",$H4303="RESID_HYDROCRACKING"),"Hydrocracker",IF($H4303="REFORMING","Reformer",""))))</f>
        <v/>
      </c>
      <c r="H4303" s="6" t="s">
        <v>378</v>
      </c>
      <c r="I4303" s="6" t="s">
        <v>649</v>
      </c>
      <c r="J4303" s="6" t="s">
        <v>345</v>
      </c>
      <c r="K4303" s="10">
        <v>22.36</v>
      </c>
      <c r="L4303" s="10">
        <v>172</v>
      </c>
      <c r="M4303" s="6" t="s">
        <v>371</v>
      </c>
    </row>
    <row r="4304" spans="1:13">
      <c r="A4304" s="6">
        <v>2024</v>
      </c>
      <c r="B4304" s="6">
        <v>9</v>
      </c>
      <c r="C4304" s="6" t="s">
        <v>67</v>
      </c>
      <c r="D4304" s="6" t="s">
        <v>602</v>
      </c>
      <c r="E4304" s="6" t="s">
        <v>369</v>
      </c>
      <c r="F4304" s="6" t="str">
        <f>IF($M4304="PADD I","PADD 1",IF($M4304="PADD II","PADD 2",IF($M4304="PADD III","PADD 3",IF($M4304="PADD IV","PADD 4",IF($M4304="PADD V","PADD 5","")))))</f>
        <v>PADD 2</v>
      </c>
      <c r="G4304" s="6" t="str">
        <f>IF(AND($H4304="ATMOS DISTILLATION",ISNUMBER(SEARCH("VPS",$I4304))=FALSE,LEFT($I4304,6)&lt;&gt;"VACUUM"),"CDU",IF($H4304="FLUID CAT CRACKING","FCC",IF(OR($H4304="HYDROCRACKING",$H4304="RESID_HYDROCRACKING"),"Hydrocracker",IF($H4304="REFORMING","Reformer",""))))</f>
        <v>FCC</v>
      </c>
      <c r="H4304" s="6" t="s">
        <v>376</v>
      </c>
      <c r="I4304" s="6" t="s">
        <v>654</v>
      </c>
      <c r="J4304" s="6" t="s">
        <v>345</v>
      </c>
      <c r="K4304" s="10">
        <v>21.58</v>
      </c>
      <c r="L4304" s="10">
        <v>26</v>
      </c>
      <c r="M4304" s="6" t="s">
        <v>375</v>
      </c>
    </row>
    <row r="4305" spans="1:13">
      <c r="A4305" s="6">
        <v>2024</v>
      </c>
      <c r="B4305" s="6">
        <v>9</v>
      </c>
      <c r="C4305" s="6" t="s">
        <v>67</v>
      </c>
      <c r="D4305" s="6" t="s">
        <v>331</v>
      </c>
      <c r="E4305" s="6" t="s">
        <v>373</v>
      </c>
      <c r="F4305" s="6" t="str">
        <f>IF($M4305="PADD I","PADD 1",IF($M4305="PADD II","PADD 2",IF($M4305="PADD III","PADD 3",IF($M4305="PADD IV","PADD 4",IF($M4305="PADD V","PADD 5","")))))</f>
        <v>PADD 2</v>
      </c>
      <c r="G4305" s="6">
        <f>IF(AND($H4305="ATMOS DISTILLATION",ISNUMBER(SEARCH("VPS",$I4305))=FALSE,LEFT($I4305,6)&lt;&gt;"VACUUM"),"CDU",IF($H4305="FLUID CAT CRACKING","FCC",IF(OR($H4305="HYDROCRACKING",$H4305="RESID_HYDROCRACKING"),"Hydrocracker",IF($H4305="REFORMING","Reformer",""))))</f>
        <v/>
      </c>
      <c r="H4305" s="6" t="s">
        <v>435</v>
      </c>
      <c r="I4305" s="6" t="s">
        <v>441</v>
      </c>
      <c r="J4305" s="6" t="s">
        <v>345</v>
      </c>
      <c r="K4305" s="10">
        <v>21.39</v>
      </c>
      <c r="L4305" s="10">
        <v>23</v>
      </c>
      <c r="M4305" s="6" t="s">
        <v>375</v>
      </c>
    </row>
    <row r="4306" spans="1:13">
      <c r="A4306" s="6">
        <v>2024</v>
      </c>
      <c r="B4306" s="6">
        <v>9</v>
      </c>
      <c r="C4306" s="6" t="s">
        <v>67</v>
      </c>
      <c r="D4306" s="6" t="s">
        <v>1063</v>
      </c>
      <c r="E4306" s="6" t="s">
        <v>388</v>
      </c>
      <c r="F4306" s="6" t="str">
        <f>IF($M4306="PADD I","PADD 1",IF($M4306="PADD II","PADD 2",IF($M4306="PADD III","PADD 3",IF($M4306="PADD IV","PADD 4",IF($M4306="PADD V","PADD 5","")))))</f>
        <v>PADD 2</v>
      </c>
      <c r="G4306" s="6">
        <f>IF(AND($H4306="ATMOS DISTILLATION",ISNUMBER(SEARCH("VPS",$I4306))=FALSE,LEFT($I4306,6)&lt;&gt;"VACUUM"),"CDU",IF($H4306="FLUID CAT CRACKING","FCC",IF(OR($H4306="HYDROCRACKING",$H4306="RESID_HYDROCRACKING"),"Hydrocracker",IF($H4306="REFORMING","Reformer",""))))</f>
        <v/>
      </c>
      <c r="H4306" s="6" t="s">
        <v>43</v>
      </c>
      <c r="I4306" s="6" t="s">
        <v>449</v>
      </c>
      <c r="J4306" s="6" t="s">
        <v>349</v>
      </c>
      <c r="K4306" s="10">
        <v>20.79</v>
      </c>
      <c r="L4306" s="10">
        <v>33</v>
      </c>
      <c r="M4306" s="6" t="s">
        <v>375</v>
      </c>
    </row>
    <row r="4307" spans="1:13">
      <c r="A4307" s="6">
        <v>2024</v>
      </c>
      <c r="B4307" s="6">
        <v>9</v>
      </c>
      <c r="C4307" s="6" t="s">
        <v>67</v>
      </c>
      <c r="D4307" s="6" t="s">
        <v>40</v>
      </c>
      <c r="E4307" s="6" t="s">
        <v>736</v>
      </c>
      <c r="F4307" s="6" t="str">
        <f>IF($M4307="PADD I","PADD 1",IF($M4307="PADD II","PADD 2",IF($M4307="PADD III","PADD 3",IF($M4307="PADD IV","PADD 4",IF($M4307="PADD V","PADD 5","")))))</f>
        <v>PADD 1</v>
      </c>
      <c r="G4307" s="6">
        <f>IF(AND($H4307="ATMOS DISTILLATION",ISNUMBER(SEARCH("VPS",$I4307))=FALSE,LEFT($I4307,6)&lt;&gt;"VACUUM"),"CDU",IF($H4307="FLUID CAT CRACKING","FCC",IF(OR($H4307="HYDROCRACKING",$H4307="RESID_HYDROCRACKING"),"Hydrocracker",IF($H4307="REFORMING","Reformer",""))))</f>
        <v/>
      </c>
      <c r="H4307" s="6" t="s">
        <v>378</v>
      </c>
      <c r="I4307" s="6" t="s">
        <v>963</v>
      </c>
      <c r="J4307" s="6" t="s">
        <v>349</v>
      </c>
      <c r="K4307" s="10">
        <v>20.1939</v>
      </c>
      <c r="L4307" s="10">
        <v>24.33</v>
      </c>
      <c r="M4307" s="6" t="s">
        <v>413</v>
      </c>
    </row>
    <row r="4308" spans="1:13">
      <c r="A4308" s="6">
        <v>2024</v>
      </c>
      <c r="B4308" s="6">
        <v>9</v>
      </c>
      <c r="C4308" s="6" t="s">
        <v>67</v>
      </c>
      <c r="D4308" s="6" t="s">
        <v>675</v>
      </c>
      <c r="E4308" s="6" t="s">
        <v>452</v>
      </c>
      <c r="F4308" s="6" t="str">
        <f>IF($M4308="PADD I","PADD 1",IF($M4308="PADD II","PADD 2",IF($M4308="PADD III","PADD 3",IF($M4308="PADD IV","PADD 4",IF($M4308="PADD V","PADD 5","")))))</f>
        <v>PADD 2</v>
      </c>
      <c r="G4308" s="6" t="str">
        <f>IF(AND($H4308="ATMOS DISTILLATION",ISNUMBER(SEARCH("VPS",$I4308))=FALSE,LEFT($I4308,6)&lt;&gt;"VACUUM"),"CDU",IF($H4308="FLUID CAT CRACKING","FCC",IF(OR($H4308="HYDROCRACKING",$H4308="RESID_HYDROCRACKING"),"Hydrocracker",IF($H4308="REFORMING","Reformer",""))))</f>
        <v>CDU</v>
      </c>
      <c r="H4308" s="6" t="s">
        <v>38</v>
      </c>
      <c r="I4308" s="6" t="s">
        <v>81</v>
      </c>
      <c r="J4308" s="6" t="s">
        <v>349</v>
      </c>
      <c r="K4308" s="10">
        <v>20.1204</v>
      </c>
      <c r="L4308" s="10">
        <v>87.48</v>
      </c>
      <c r="M4308" s="6" t="s">
        <v>375</v>
      </c>
    </row>
    <row r="4309" spans="1:13">
      <c r="A4309" s="6">
        <v>2024</v>
      </c>
      <c r="B4309" s="6">
        <v>9</v>
      </c>
      <c r="C4309" s="6" t="s">
        <v>67</v>
      </c>
      <c r="D4309" s="6" t="s">
        <v>321</v>
      </c>
      <c r="E4309" s="6" t="s">
        <v>381</v>
      </c>
      <c r="F4309" s="6" t="str">
        <f>IF($M4309="PADD I","PADD 1",IF($M4309="PADD II","PADD 2",IF($M4309="PADD III","PADD 3",IF($M4309="PADD IV","PADD 4",IF($M4309="PADD V","PADD 5","")))))</f>
        <v>PADD 2</v>
      </c>
      <c r="G4309" s="6" t="str">
        <f>IF(AND($H4309="ATMOS DISTILLATION",ISNUMBER(SEARCH("VPS",$I4309))=FALSE,LEFT($I4309,6)&lt;&gt;"VACUUM"),"CDU",IF($H4309="FLUID CAT CRACKING","FCC",IF(OR($H4309="HYDROCRACKING",$H4309="RESID_HYDROCRACKING"),"Hydrocracker",IF($H4309="REFORMING","Reformer",""))))</f>
        <v>CDU</v>
      </c>
      <c r="H4309" s="6" t="s">
        <v>38</v>
      </c>
      <c r="I4309" s="6" t="s">
        <v>81</v>
      </c>
      <c r="J4309" s="6" t="s">
        <v>345</v>
      </c>
      <c r="K4309" s="10">
        <v>19.8</v>
      </c>
      <c r="L4309" s="10">
        <v>60</v>
      </c>
      <c r="M4309" s="6" t="s">
        <v>375</v>
      </c>
    </row>
    <row r="4310" spans="1:13">
      <c r="A4310" s="6">
        <v>2024</v>
      </c>
      <c r="B4310" s="6">
        <v>9</v>
      </c>
      <c r="C4310" s="6" t="s">
        <v>67</v>
      </c>
      <c r="D4310" s="6" t="s">
        <v>714</v>
      </c>
      <c r="E4310" s="6" t="s">
        <v>405</v>
      </c>
      <c r="F4310" s="6" t="str">
        <f>IF($M4310="PADD I","PADD 1",IF($M4310="PADD II","PADD 2",IF($M4310="PADD III","PADD 3",IF($M4310="PADD IV","PADD 4",IF($M4310="PADD V","PADD 5","")))))</f>
        <v>PADD 3</v>
      </c>
      <c r="G4310" s="6" t="str">
        <f>IF(AND($H4310="ATMOS DISTILLATION",ISNUMBER(SEARCH("VPS",$I4310))=FALSE,LEFT($I4310,6)&lt;&gt;"VACUUM"),"CDU",IF($H4310="FLUID CAT CRACKING","FCC",IF(OR($H4310="HYDROCRACKING",$H4310="RESID_HYDROCRACKING"),"Hydrocracker",IF($H4310="REFORMING","Reformer",""))))</f>
        <v>CDU</v>
      </c>
      <c r="H4310" s="6" t="s">
        <v>38</v>
      </c>
      <c r="I4310" s="6" t="s">
        <v>135</v>
      </c>
      <c r="J4310" s="6" t="s">
        <v>349</v>
      </c>
      <c r="K4310" s="10">
        <v>19.55</v>
      </c>
      <c r="L4310" s="10">
        <v>115</v>
      </c>
      <c r="M4310" s="6" t="s">
        <v>371</v>
      </c>
    </row>
    <row r="4311" spans="1:13">
      <c r="A4311" s="6">
        <v>2024</v>
      </c>
      <c r="B4311" s="6">
        <v>9</v>
      </c>
      <c r="C4311" s="6" t="s">
        <v>67</v>
      </c>
      <c r="D4311" s="6" t="s">
        <v>1063</v>
      </c>
      <c r="E4311" s="6" t="s">
        <v>388</v>
      </c>
      <c r="F4311" s="6" t="str">
        <f>IF($M4311="PADD I","PADD 1",IF($M4311="PADD II","PADD 2",IF($M4311="PADD III","PADD 3",IF($M4311="PADD IV","PADD 4",IF($M4311="PADD V","PADD 5","")))))</f>
        <v>PADD 2</v>
      </c>
      <c r="G4311" s="6">
        <f>IF(AND($H4311="ATMOS DISTILLATION",ISNUMBER(SEARCH("VPS",$I4311))=FALSE,LEFT($I4311,6)&lt;&gt;"VACUUM"),"CDU",IF($H4311="FLUID CAT CRACKING","FCC",IF(OR($H4311="HYDROCRACKING",$H4311="RESID_HYDROCRACKING"),"Hydrocracker",IF($H4311="REFORMING","Reformer",""))))</f>
        <v/>
      </c>
      <c r="H4311" s="6" t="s">
        <v>43</v>
      </c>
      <c r="I4311" s="6" t="s">
        <v>1068</v>
      </c>
      <c r="J4311" s="6" t="s">
        <v>349</v>
      </c>
      <c r="K4311" s="10">
        <v>19.53</v>
      </c>
      <c r="L4311" s="10">
        <v>31</v>
      </c>
      <c r="M4311" s="6" t="s">
        <v>375</v>
      </c>
    </row>
    <row r="4312" spans="1:13">
      <c r="A4312" s="6">
        <v>2024</v>
      </c>
      <c r="B4312" s="6">
        <v>9</v>
      </c>
      <c r="C4312" s="6" t="s">
        <v>67</v>
      </c>
      <c r="D4312" s="6" t="s">
        <v>324</v>
      </c>
      <c r="E4312" s="6" t="s">
        <v>388</v>
      </c>
      <c r="F4312" s="6" t="str">
        <f>IF($M4312="PADD I","PADD 1",IF($M4312="PADD II","PADD 2",IF($M4312="PADD III","PADD 3",IF($M4312="PADD IV","PADD 4",IF($M4312="PADD V","PADD 5","")))))</f>
        <v>PADD 3</v>
      </c>
      <c r="G4312" s="6" t="str">
        <f>IF(AND($H4312="ATMOS DISTILLATION",ISNUMBER(SEARCH("VPS",$I4312))=FALSE,LEFT($I4312,6)&lt;&gt;"VACUUM"),"CDU",IF($H4312="FLUID CAT CRACKING","FCC",IF(OR($H4312="HYDROCRACKING",$H4312="RESID_HYDROCRACKING"),"Hydrocracker",IF($H4312="REFORMING","Reformer",""))))</f>
        <v>CDU</v>
      </c>
      <c r="H4312" s="6" t="s">
        <v>38</v>
      </c>
      <c r="I4312" s="6" t="s">
        <v>99</v>
      </c>
      <c r="J4312" s="6" t="s">
        <v>345</v>
      </c>
      <c r="K4312" s="10">
        <v>19.25</v>
      </c>
      <c r="L4312" s="10">
        <v>275</v>
      </c>
      <c r="M4312" s="6" t="s">
        <v>371</v>
      </c>
    </row>
    <row r="4313" spans="1:13">
      <c r="A4313" s="6">
        <v>2024</v>
      </c>
      <c r="B4313" s="6">
        <v>9</v>
      </c>
      <c r="C4313" s="6" t="s">
        <v>67</v>
      </c>
      <c r="D4313" s="6" t="s">
        <v>1038</v>
      </c>
      <c r="E4313" s="6" t="s">
        <v>1039</v>
      </c>
      <c r="F4313" s="6" t="str">
        <f>IF($M4313="PADD I","PADD 1",IF($M4313="PADD II","PADD 2",IF($M4313="PADD III","PADD 3",IF($M4313="PADD IV","PADD 4",IF($M4313="PADD V","PADD 5","")))))</f>
        <v>PADD 2</v>
      </c>
      <c r="G4313" s="6" t="str">
        <f>IF(AND($H4313="ATMOS DISTILLATION",ISNUMBER(SEARCH("VPS",$I4313))=FALSE,LEFT($I4313,6)&lt;&gt;"VACUUM"),"CDU",IF($H4313="FLUID CAT CRACKING","FCC",IF(OR($H4313="HYDROCRACKING",$H4313="RESID_HYDROCRACKING"),"Hydrocracker",IF($H4313="REFORMING","Reformer",""))))</f>
        <v>CDU</v>
      </c>
      <c r="H4313" s="6" t="s">
        <v>38</v>
      </c>
      <c r="I4313" s="6" t="s">
        <v>1040</v>
      </c>
      <c r="J4313" s="6" t="s">
        <v>345</v>
      </c>
      <c r="K4313" s="10">
        <v>19</v>
      </c>
      <c r="L4313" s="10">
        <v>95</v>
      </c>
      <c r="M4313" s="6" t="s">
        <v>375</v>
      </c>
    </row>
    <row r="4314" spans="1:13">
      <c r="A4314" s="6">
        <v>2024</v>
      </c>
      <c r="B4314" s="6">
        <v>9</v>
      </c>
      <c r="C4314" s="6" t="s">
        <v>67</v>
      </c>
      <c r="D4314" s="6" t="s">
        <v>1063</v>
      </c>
      <c r="E4314" s="6" t="s">
        <v>388</v>
      </c>
      <c r="F4314" s="6" t="str">
        <f>IF($M4314="PADD I","PADD 1",IF($M4314="PADD II","PADD 2",IF($M4314="PADD III","PADD 3",IF($M4314="PADD IV","PADD 4",IF($M4314="PADD V","PADD 5","")))))</f>
        <v>PADD 2</v>
      </c>
      <c r="G4314" s="6">
        <f>IF(AND($H4314="ATMOS DISTILLATION",ISNUMBER(SEARCH("VPS",$I4314))=FALSE,LEFT($I4314,6)&lt;&gt;"VACUUM"),"CDU",IF($H4314="FLUID CAT CRACKING","FCC",IF(OR($H4314="HYDROCRACKING",$H4314="RESID_HYDROCRACKING"),"Hydrocracker",IF($H4314="REFORMING","Reformer",""))))</f>
        <v/>
      </c>
      <c r="H4314" s="6" t="s">
        <v>378</v>
      </c>
      <c r="I4314" s="6" t="s">
        <v>431</v>
      </c>
      <c r="J4314" s="6" t="s">
        <v>349</v>
      </c>
      <c r="K4314" s="10">
        <v>19</v>
      </c>
      <c r="L4314" s="10">
        <v>38</v>
      </c>
      <c r="M4314" s="6" t="s">
        <v>375</v>
      </c>
    </row>
    <row r="4315" spans="1:13">
      <c r="A4315" s="6">
        <v>2024</v>
      </c>
      <c r="B4315" s="6">
        <v>9</v>
      </c>
      <c r="C4315" s="6" t="s">
        <v>67</v>
      </c>
      <c r="D4315" s="6" t="s">
        <v>1063</v>
      </c>
      <c r="E4315" s="6" t="s">
        <v>388</v>
      </c>
      <c r="F4315" s="6" t="str">
        <f>IF($M4315="PADD I","PADD 1",IF($M4315="PADD II","PADD 2",IF($M4315="PADD III","PADD 3",IF($M4315="PADD IV","PADD 4",IF($M4315="PADD V","PADD 5","")))))</f>
        <v>PADD 2</v>
      </c>
      <c r="G4315" s="6">
        <f>IF(AND($H4315="ATMOS DISTILLATION",ISNUMBER(SEARCH("VPS",$I4315))=FALSE,LEFT($I4315,6)&lt;&gt;"VACUUM"),"CDU",IF($H4315="FLUID CAT CRACKING","FCC",IF(OR($H4315="HYDROCRACKING",$H4315="RESID_HYDROCRACKING"),"Hydrocracker",IF($H4315="REFORMING","Reformer",""))))</f>
        <v/>
      </c>
      <c r="H4315" s="6" t="s">
        <v>43</v>
      </c>
      <c r="I4315" s="6" t="s">
        <v>493</v>
      </c>
      <c r="J4315" s="6" t="s">
        <v>345</v>
      </c>
      <c r="K4315" s="10">
        <v>18.02</v>
      </c>
      <c r="L4315" s="10">
        <v>34</v>
      </c>
      <c r="M4315" s="6" t="s">
        <v>375</v>
      </c>
    </row>
    <row r="4316" spans="1:13">
      <c r="A4316" s="6">
        <v>2024</v>
      </c>
      <c r="B4316" s="6">
        <v>9</v>
      </c>
      <c r="C4316" s="6" t="s">
        <v>67</v>
      </c>
      <c r="D4316" s="6" t="s">
        <v>324</v>
      </c>
      <c r="E4316" s="6" t="s">
        <v>388</v>
      </c>
      <c r="F4316" s="6" t="str">
        <f>IF($M4316="PADD I","PADD 1",IF($M4316="PADD II","PADD 2",IF($M4316="PADD III","PADD 3",IF($M4316="PADD IV","PADD 4",IF($M4316="PADD V","PADD 5","")))))</f>
        <v>PADD 3</v>
      </c>
      <c r="G4316" s="6">
        <f>IF(AND($H4316="ATMOS DISTILLATION",ISNUMBER(SEARCH("VPS",$I4316))=FALSE,LEFT($I4316,6)&lt;&gt;"VACUUM"),"CDU",IF($H4316="FLUID CAT CRACKING","FCC",IF(OR($H4316="HYDROCRACKING",$H4316="RESID_HYDROCRACKING"),"Hydrocracker",IF($H4316="REFORMING","Reformer",""))))</f>
        <v/>
      </c>
      <c r="H4316" s="6" t="s">
        <v>43</v>
      </c>
      <c r="I4316" s="6" t="s">
        <v>693</v>
      </c>
      <c r="J4316" s="6" t="s">
        <v>345</v>
      </c>
      <c r="K4316" s="10">
        <v>17.415</v>
      </c>
      <c r="L4316" s="10">
        <v>40.5</v>
      </c>
      <c r="M4316" s="6" t="s">
        <v>371</v>
      </c>
    </row>
    <row r="4317" spans="1:13">
      <c r="A4317" s="6">
        <v>2024</v>
      </c>
      <c r="B4317" s="6">
        <v>9</v>
      </c>
      <c r="C4317" s="6" t="s">
        <v>67</v>
      </c>
      <c r="D4317" s="6" t="s">
        <v>328</v>
      </c>
      <c r="E4317" s="6" t="s">
        <v>416</v>
      </c>
      <c r="F4317" s="6" t="str">
        <f>IF($M4317="PADD I","PADD 1",IF($M4317="PADD II","PADD 2",IF($M4317="PADD III","PADD 3",IF($M4317="PADD IV","PADD 4",IF($M4317="PADD V","PADD 5","")))))</f>
        <v>PADD 2</v>
      </c>
      <c r="G4317" s="6" t="str">
        <f>IF(AND($H4317="ATMOS DISTILLATION",ISNUMBER(SEARCH("VPS",$I4317))=FALSE,LEFT($I4317,6)&lt;&gt;"VACUUM"),"CDU",IF($H4317="FLUID CAT CRACKING","FCC",IF(OR($H4317="HYDROCRACKING",$H4317="RESID_HYDROCRACKING"),"Hydrocracker",IF($H4317="REFORMING","Reformer",""))))</f>
        <v>Reformer</v>
      </c>
      <c r="H4317" s="6" t="s">
        <v>421</v>
      </c>
      <c r="I4317" s="6" t="s">
        <v>1237</v>
      </c>
      <c r="J4317" s="6" t="s">
        <v>349</v>
      </c>
      <c r="K4317" s="10">
        <v>16.6</v>
      </c>
      <c r="L4317" s="10">
        <v>20</v>
      </c>
      <c r="M4317" s="6" t="s">
        <v>375</v>
      </c>
    </row>
    <row r="4318" spans="1:13">
      <c r="A4318" s="6">
        <v>2024</v>
      </c>
      <c r="B4318" s="6">
        <v>9</v>
      </c>
      <c r="C4318" s="6" t="s">
        <v>67</v>
      </c>
      <c r="D4318" s="6" t="s">
        <v>334</v>
      </c>
      <c r="E4318" s="6" t="s">
        <v>552</v>
      </c>
      <c r="F4318" s="6" t="str">
        <f>IF($M4318="PADD I","PADD 1",IF($M4318="PADD II","PADD 2",IF($M4318="PADD III","PADD 3",IF($M4318="PADD IV","PADD 4",IF($M4318="PADD V","PADD 5","")))))</f>
        <v>PADD 3</v>
      </c>
      <c r="G4318" s="6" t="str">
        <f>IF(AND($H4318="ATMOS DISTILLATION",ISNUMBER(SEARCH("VPS",$I4318))=FALSE,LEFT($I4318,6)&lt;&gt;"VACUUM"),"CDU",IF($H4318="FLUID CAT CRACKING","FCC",IF(OR($H4318="HYDROCRACKING",$H4318="RESID_HYDROCRACKING"),"Hydrocracker",IF($H4318="REFORMING","Reformer",""))))</f>
        <v>FCC</v>
      </c>
      <c r="H4318" s="6" t="s">
        <v>376</v>
      </c>
      <c r="I4318" s="6" t="s">
        <v>613</v>
      </c>
      <c r="J4318" s="6" t="s">
        <v>349</v>
      </c>
      <c r="K4318" s="10">
        <v>16.6</v>
      </c>
      <c r="L4318" s="10">
        <v>20</v>
      </c>
      <c r="M4318" s="6" t="s">
        <v>371</v>
      </c>
    </row>
    <row r="4319" spans="1:13">
      <c r="A4319" s="6">
        <v>2024</v>
      </c>
      <c r="B4319" s="6">
        <v>9</v>
      </c>
      <c r="C4319" s="6" t="s">
        <v>67</v>
      </c>
      <c r="D4319" s="6" t="s">
        <v>542</v>
      </c>
      <c r="E4319" s="6" t="s">
        <v>543</v>
      </c>
      <c r="F4319" s="6" t="str">
        <f>IF($M4319="PADD I","PADD 1",IF($M4319="PADD II","PADD 2",IF($M4319="PADD III","PADD 3",IF($M4319="PADD IV","PADD 4",IF($M4319="PADD V","PADD 5","")))))</f>
        <v>PADD 2</v>
      </c>
      <c r="G4319" s="6" t="str">
        <f>IF(AND($H4319="ATMOS DISTILLATION",ISNUMBER(SEARCH("VPS",$I4319))=FALSE,LEFT($I4319,6)&lt;&gt;"VACUUM"),"CDU",IF($H4319="FLUID CAT CRACKING","FCC",IF(OR($H4319="HYDROCRACKING",$H4319="RESID_HYDROCRACKING"),"Hydrocracker",IF($H4319="REFORMING","Reformer",""))))</f>
        <v>Reformer</v>
      </c>
      <c r="H4319" s="6" t="s">
        <v>421</v>
      </c>
      <c r="I4319" s="6" t="s">
        <v>1112</v>
      </c>
      <c r="J4319" s="6" t="s">
        <v>345</v>
      </c>
      <c r="K4319" s="10">
        <v>16.1</v>
      </c>
      <c r="L4319" s="10">
        <v>70</v>
      </c>
      <c r="M4319" s="6" t="s">
        <v>375</v>
      </c>
    </row>
    <row r="4320" spans="1:13">
      <c r="A4320" s="6">
        <v>2024</v>
      </c>
      <c r="B4320" s="6">
        <v>9</v>
      </c>
      <c r="C4320" s="6" t="s">
        <v>67</v>
      </c>
      <c r="D4320" s="6" t="s">
        <v>803</v>
      </c>
      <c r="E4320" s="6" t="s">
        <v>388</v>
      </c>
      <c r="F4320" s="6" t="str">
        <f>IF($M4320="PADD I","PADD 1",IF($M4320="PADD II","PADD 2",IF($M4320="PADD III","PADD 3",IF($M4320="PADD IV","PADD 4",IF($M4320="PADD V","PADD 5","")))))</f>
        <v>PADD 2</v>
      </c>
      <c r="G4320" s="6">
        <f>IF(AND($H4320="ATMOS DISTILLATION",ISNUMBER(SEARCH("VPS",$I4320))=FALSE,LEFT($I4320,6)&lt;&gt;"VACUUM"),"CDU",IF($H4320="FLUID CAT CRACKING","FCC",IF(OR($H4320="HYDROCRACKING",$H4320="RESID_HYDROCRACKING"),"Hydrocracker",IF($H4320="REFORMING","Reformer",""))))</f>
        <v/>
      </c>
      <c r="H4320" s="6" t="s">
        <v>43</v>
      </c>
      <c r="I4320" s="6" t="s">
        <v>918</v>
      </c>
      <c r="J4320" s="6" t="s">
        <v>345</v>
      </c>
      <c r="K4320" s="10">
        <v>15.04</v>
      </c>
      <c r="L4320" s="10">
        <v>32</v>
      </c>
      <c r="M4320" s="6" t="s">
        <v>375</v>
      </c>
    </row>
    <row r="4321" spans="1:13">
      <c r="A4321" s="6">
        <v>2024</v>
      </c>
      <c r="B4321" s="6">
        <v>9</v>
      </c>
      <c r="C4321" s="6" t="s">
        <v>67</v>
      </c>
      <c r="D4321" s="6" t="s">
        <v>408</v>
      </c>
      <c r="E4321" s="6" t="s">
        <v>409</v>
      </c>
      <c r="F4321" s="6" t="str">
        <f>IF($M4321="PADD I","PADD 1",IF($M4321="PADD II","PADD 2",IF($M4321="PADD III","PADD 3",IF($M4321="PADD IV","PADD 4",IF($M4321="PADD V","PADD 5","")))))</f>
        <v>PADD 3</v>
      </c>
      <c r="G4321" s="6" t="str">
        <f>IF(AND($H4321="ATMOS DISTILLATION",ISNUMBER(SEARCH("VPS",$I4321))=FALSE,LEFT($I4321,6)&lt;&gt;"VACUUM"),"CDU",IF($H4321="FLUID CAT CRACKING","FCC",IF(OR($H4321="HYDROCRACKING",$H4321="RESID_HYDROCRACKING"),"Hydrocracker",IF($H4321="REFORMING","Reformer",""))))</f>
        <v>CDU</v>
      </c>
      <c r="H4321" s="6" t="s">
        <v>38</v>
      </c>
      <c r="I4321" s="6" t="s">
        <v>410</v>
      </c>
      <c r="J4321" s="6" t="s">
        <v>349</v>
      </c>
      <c r="K4321" s="10">
        <v>15</v>
      </c>
      <c r="L4321" s="10">
        <v>150</v>
      </c>
      <c r="M4321" s="6" t="s">
        <v>371</v>
      </c>
    </row>
    <row r="4322" spans="1:13">
      <c r="A4322" s="6">
        <v>2024</v>
      </c>
      <c r="B4322" s="6">
        <v>9</v>
      </c>
      <c r="C4322" s="6" t="s">
        <v>67</v>
      </c>
      <c r="D4322" s="6" t="s">
        <v>723</v>
      </c>
      <c r="E4322" s="6" t="s">
        <v>724</v>
      </c>
      <c r="F4322" s="6" t="str">
        <f>IF($M4322="PADD I","PADD 1",IF($M4322="PADD II","PADD 2",IF($M4322="PADD III","PADD 3",IF($M4322="PADD IV","PADD 4",IF($M4322="PADD V","PADD 5","")))))</f>
        <v>PADD 4</v>
      </c>
      <c r="G4322" s="6">
        <f>IF(AND($H4322="ATMOS DISTILLATION",ISNUMBER(SEARCH("VPS",$I4322))=FALSE,LEFT($I4322,6)&lt;&gt;"VACUUM"),"CDU",IF($H4322="FLUID CAT CRACKING","FCC",IF(OR($H4322="HYDROCRACKING",$H4322="RESID_HYDROCRACKING"),"Hydrocracker",IF($H4322="REFORMING","Reformer",""))))</f>
        <v/>
      </c>
      <c r="H4322" s="6" t="s">
        <v>43</v>
      </c>
      <c r="I4322" s="6" t="s">
        <v>1225</v>
      </c>
      <c r="J4322" s="6" t="s">
        <v>349</v>
      </c>
      <c r="K4322" s="10">
        <v>15</v>
      </c>
      <c r="L4322" s="10">
        <v>15</v>
      </c>
      <c r="M4322" s="6" t="s">
        <v>430</v>
      </c>
    </row>
    <row r="4323" spans="1:13">
      <c r="A4323" s="6">
        <v>2024</v>
      </c>
      <c r="B4323" s="6">
        <v>9</v>
      </c>
      <c r="C4323" s="6" t="s">
        <v>67</v>
      </c>
      <c r="D4323" s="6" t="s">
        <v>333</v>
      </c>
      <c r="E4323" s="6" t="s">
        <v>381</v>
      </c>
      <c r="F4323" s="6" t="str">
        <f>IF($M4323="PADD I","PADD 1",IF($M4323="PADD II","PADD 2",IF($M4323="PADD III","PADD 3",IF($M4323="PADD IV","PADD 4",IF($M4323="PADD V","PADD 5","")))))</f>
        <v>PADD 3</v>
      </c>
      <c r="G4323" s="6" t="str">
        <f>IF(AND($H4323="ATMOS DISTILLATION",ISNUMBER(SEARCH("VPS",$I4323))=FALSE,LEFT($I4323,6)&lt;&gt;"VACUUM"),"CDU",IF($H4323="FLUID CAT CRACKING","FCC",IF(OR($H4323="HYDROCRACKING",$H4323="RESID_HYDROCRACKING"),"Hydrocracker",IF($H4323="REFORMING","Reformer",""))))</f>
        <v>Hydrocracker</v>
      </c>
      <c r="H4323" s="6" t="s">
        <v>444</v>
      </c>
      <c r="I4323" s="6" t="s">
        <v>14</v>
      </c>
      <c r="J4323" s="6" t="s">
        <v>345</v>
      </c>
      <c r="K4323" s="10">
        <v>14.95</v>
      </c>
      <c r="L4323" s="10">
        <v>65</v>
      </c>
      <c r="M4323" s="6" t="s">
        <v>371</v>
      </c>
    </row>
    <row r="4324" spans="1:13">
      <c r="A4324" s="6">
        <v>2024</v>
      </c>
      <c r="B4324" s="6">
        <v>9</v>
      </c>
      <c r="C4324" s="6" t="s">
        <v>67</v>
      </c>
      <c r="D4324" s="6" t="s">
        <v>333</v>
      </c>
      <c r="E4324" s="6" t="s">
        <v>381</v>
      </c>
      <c r="F4324" s="6" t="str">
        <f>IF($M4324="PADD I","PADD 1",IF($M4324="PADD II","PADD 2",IF($M4324="PADD III","PADD 3",IF($M4324="PADD IV","PADD 4",IF($M4324="PADD V","PADD 5","")))))</f>
        <v>PADD 3</v>
      </c>
      <c r="G4324" s="6" t="str">
        <f>IF(AND($H4324="ATMOS DISTILLATION",ISNUMBER(SEARCH("VPS",$I4324))=FALSE,LEFT($I4324,6)&lt;&gt;"VACUUM"),"CDU",IF($H4324="FLUID CAT CRACKING","FCC",IF(OR($H4324="HYDROCRACKING",$H4324="RESID_HYDROCRACKING"),"Hydrocracker",IF($H4324="REFORMING","Reformer",""))))</f>
        <v>Hydrocracker</v>
      </c>
      <c r="H4324" s="6" t="s">
        <v>444</v>
      </c>
      <c r="I4324" s="6" t="s">
        <v>14</v>
      </c>
      <c r="J4324" s="6" t="s">
        <v>345</v>
      </c>
      <c r="K4324" s="10">
        <v>14.95</v>
      </c>
      <c r="L4324" s="10">
        <v>65</v>
      </c>
      <c r="M4324" s="6" t="s">
        <v>371</v>
      </c>
    </row>
    <row r="4325" spans="1:13">
      <c r="A4325" s="6">
        <v>2024</v>
      </c>
      <c r="B4325" s="6">
        <v>9</v>
      </c>
      <c r="C4325" s="6" t="s">
        <v>67</v>
      </c>
      <c r="D4325" s="6" t="s">
        <v>815</v>
      </c>
      <c r="E4325" s="6" t="s">
        <v>452</v>
      </c>
      <c r="F4325" s="6" t="str">
        <f>IF($M4325="PADD I","PADD 1",IF($M4325="PADD II","PADD 2",IF($M4325="PADD III","PADD 3",IF($M4325="PADD IV","PADD 4",IF($M4325="PADD V","PADD 5","")))))</f>
        <v>PADD 4</v>
      </c>
      <c r="G4325" s="6">
        <f>IF(AND($H4325="ATMOS DISTILLATION",ISNUMBER(SEARCH("VPS",$I4325))=FALSE,LEFT($I4325,6)&lt;&gt;"VACUUM"),"CDU",IF($H4325="FLUID CAT CRACKING","FCC",IF(OR($H4325="HYDROCRACKING",$H4325="RESID_HYDROCRACKING"),"Hydrocracker",IF($H4325="REFORMING","Reformer",""))))</f>
        <v/>
      </c>
      <c r="H4325" s="6" t="s">
        <v>435</v>
      </c>
      <c r="I4325" s="6" t="s">
        <v>441</v>
      </c>
      <c r="J4325" s="6" t="s">
        <v>349</v>
      </c>
      <c r="K4325" s="10">
        <v>14.88</v>
      </c>
      <c r="L4325" s="10">
        <v>16</v>
      </c>
      <c r="M4325" s="6" t="s">
        <v>430</v>
      </c>
    </row>
    <row r="4326" spans="1:13">
      <c r="A4326" s="6">
        <v>2024</v>
      </c>
      <c r="B4326" s="6">
        <v>9</v>
      </c>
      <c r="C4326" s="6" t="s">
        <v>67</v>
      </c>
      <c r="D4326" s="6" t="s">
        <v>324</v>
      </c>
      <c r="E4326" s="6" t="s">
        <v>388</v>
      </c>
      <c r="F4326" s="6" t="str">
        <f>IF($M4326="PADD I","PADD 1",IF($M4326="PADD II","PADD 2",IF($M4326="PADD III","PADD 3",IF($M4326="PADD IV","PADD 4",IF($M4326="PADD V","PADD 5","")))))</f>
        <v>PADD 3</v>
      </c>
      <c r="G4326" s="6" t="str">
        <f>IF(AND($H4326="ATMOS DISTILLATION",ISNUMBER(SEARCH("VPS",$I4326))=FALSE,LEFT($I4326,6)&lt;&gt;"VACUUM"),"CDU",IF($H4326="FLUID CAT CRACKING","FCC",IF(OR($H4326="HYDROCRACKING",$H4326="RESID_HYDROCRACKING"),"Hydrocracker",IF($H4326="REFORMING","Reformer",""))))</f>
        <v>CDU</v>
      </c>
      <c r="H4326" s="6" t="s">
        <v>38</v>
      </c>
      <c r="I4326" s="6" t="s">
        <v>96</v>
      </c>
      <c r="J4326" s="6" t="s">
        <v>345</v>
      </c>
      <c r="K4326" s="10">
        <v>14.5</v>
      </c>
      <c r="L4326" s="10">
        <v>145</v>
      </c>
      <c r="M4326" s="6" t="s">
        <v>371</v>
      </c>
    </row>
    <row r="4327" spans="1:13">
      <c r="A4327" s="6">
        <v>2024</v>
      </c>
      <c r="B4327" s="6">
        <v>9</v>
      </c>
      <c r="C4327" s="6" t="s">
        <v>67</v>
      </c>
      <c r="D4327" s="6" t="s">
        <v>324</v>
      </c>
      <c r="E4327" s="6" t="s">
        <v>388</v>
      </c>
      <c r="F4327" s="6" t="str">
        <f>IF($M4327="PADD I","PADD 1",IF($M4327="PADD II","PADD 2",IF($M4327="PADD III","PADD 3",IF($M4327="PADD IV","PADD 4",IF($M4327="PADD V","PADD 5","")))))</f>
        <v>PADD 3</v>
      </c>
      <c r="G4327" s="6" t="str">
        <f>IF(AND($H4327="ATMOS DISTILLATION",ISNUMBER(SEARCH("VPS",$I4327))=FALSE,LEFT($I4327,6)&lt;&gt;"VACUUM"),"CDU",IF($H4327="FLUID CAT CRACKING","FCC",IF(OR($H4327="HYDROCRACKING",$H4327="RESID_HYDROCRACKING"),"Hydrocracker",IF($H4327="REFORMING","Reformer",""))))</f>
        <v>CDU</v>
      </c>
      <c r="H4327" s="6" t="s">
        <v>38</v>
      </c>
      <c r="I4327" s="6" t="s">
        <v>98</v>
      </c>
      <c r="J4327" s="6" t="s">
        <v>345</v>
      </c>
      <c r="K4327" s="10">
        <v>14.5</v>
      </c>
      <c r="L4327" s="10">
        <v>145</v>
      </c>
      <c r="M4327" s="6" t="s">
        <v>371</v>
      </c>
    </row>
    <row r="4328" spans="1:13">
      <c r="A4328" s="6">
        <v>2024</v>
      </c>
      <c r="B4328" s="6">
        <v>9</v>
      </c>
      <c r="C4328" s="6" t="s">
        <v>67</v>
      </c>
      <c r="D4328" s="6" t="s">
        <v>446</v>
      </c>
      <c r="E4328" s="6" t="s">
        <v>391</v>
      </c>
      <c r="F4328" s="6" t="str">
        <f>IF($M4328="PADD I","PADD 1",IF($M4328="PADD II","PADD 2",IF($M4328="PADD III","PADD 3",IF($M4328="PADD IV","PADD 4",IF($M4328="PADD V","PADD 5","")))))</f>
        <v>PADD 3</v>
      </c>
      <c r="G4328" s="6">
        <f>IF(AND($H4328="ATMOS DISTILLATION",ISNUMBER(SEARCH("VPS",$I4328))=FALSE,LEFT($I4328,6)&lt;&gt;"VACUUM"),"CDU",IF($H4328="FLUID CAT CRACKING","FCC",IF(OR($H4328="HYDROCRACKING",$H4328="RESID_HYDROCRACKING"),"Hydrocracker",IF($H4328="REFORMING","Reformer",""))))</f>
        <v/>
      </c>
      <c r="H4328" s="6" t="s">
        <v>378</v>
      </c>
      <c r="I4328" s="6" t="s">
        <v>1041</v>
      </c>
      <c r="J4328" s="6" t="s">
        <v>349</v>
      </c>
      <c r="K4328" s="10">
        <v>14.06</v>
      </c>
      <c r="L4328" s="10">
        <v>38</v>
      </c>
      <c r="M4328" s="6" t="s">
        <v>371</v>
      </c>
    </row>
    <row r="4329" spans="1:13">
      <c r="A4329" s="6">
        <v>2024</v>
      </c>
      <c r="B4329" s="6">
        <v>9</v>
      </c>
      <c r="C4329" s="6" t="s">
        <v>67</v>
      </c>
      <c r="D4329" s="6" t="s">
        <v>985</v>
      </c>
      <c r="E4329" s="6" t="s">
        <v>543</v>
      </c>
      <c r="F4329" s="6" t="str">
        <f>IF($M4329="PADD I","PADD 1",IF($M4329="PADD II","PADD 2",IF($M4329="PADD III","PADD 3",IF($M4329="PADD IV","PADD 4",IF($M4329="PADD V","PADD 5","")))))</f>
        <v>PADD 2</v>
      </c>
      <c r="G4329" s="6">
        <f>IF(AND($H4329="ATMOS DISTILLATION",ISNUMBER(SEARCH("VPS",$I4329))=FALSE,LEFT($I4329,6)&lt;&gt;"VACUUM"),"CDU",IF($H4329="FLUID CAT CRACKING","FCC",IF(OR($H4329="HYDROCRACKING",$H4329="RESID_HYDROCRACKING"),"Hydrocracker",IF($H4329="REFORMING","Reformer",""))))</f>
        <v/>
      </c>
      <c r="H4329" s="6" t="s">
        <v>378</v>
      </c>
      <c r="I4329" s="6" t="s">
        <v>786</v>
      </c>
      <c r="J4329" s="6" t="s">
        <v>345</v>
      </c>
      <c r="K4329" s="10">
        <v>13.8759</v>
      </c>
      <c r="L4329" s="10">
        <v>60.33</v>
      </c>
      <c r="M4329" s="6" t="s">
        <v>375</v>
      </c>
    </row>
    <row r="4330" spans="1:13">
      <c r="A4330" s="6">
        <v>2024</v>
      </c>
      <c r="B4330" s="6">
        <v>9</v>
      </c>
      <c r="C4330" s="6" t="s">
        <v>67</v>
      </c>
      <c r="D4330" s="6" t="s">
        <v>542</v>
      </c>
      <c r="E4330" s="6" t="s">
        <v>543</v>
      </c>
      <c r="F4330" s="6" t="str">
        <f>IF($M4330="PADD I","PADD 1",IF($M4330="PADD II","PADD 2",IF($M4330="PADD III","PADD 3",IF($M4330="PADD IV","PADD 4",IF($M4330="PADD V","PADD 5","")))))</f>
        <v>PADD 2</v>
      </c>
      <c r="G4330" s="6" t="str">
        <f>IF(AND($H4330="ATMOS DISTILLATION",ISNUMBER(SEARCH("VPS",$I4330))=FALSE,LEFT($I4330,6)&lt;&gt;"VACUUM"),"CDU",IF($H4330="FLUID CAT CRACKING","FCC",IF(OR($H4330="HYDROCRACKING",$H4330="RESID_HYDROCRACKING"),"Hydrocracker",IF($H4330="REFORMING","Reformer",""))))</f>
        <v>Reformer</v>
      </c>
      <c r="H4330" s="6" t="s">
        <v>421</v>
      </c>
      <c r="I4330" s="6" t="s">
        <v>1114</v>
      </c>
      <c r="J4330" s="6" t="s">
        <v>349</v>
      </c>
      <c r="K4330" s="10">
        <v>13.8</v>
      </c>
      <c r="L4330" s="10">
        <v>60</v>
      </c>
      <c r="M4330" s="6" t="s">
        <v>375</v>
      </c>
    </row>
    <row r="4331" spans="1:13">
      <c r="A4331" s="6">
        <v>2024</v>
      </c>
      <c r="B4331" s="6">
        <v>9</v>
      </c>
      <c r="C4331" s="6" t="s">
        <v>67</v>
      </c>
      <c r="D4331" s="6" t="s">
        <v>324</v>
      </c>
      <c r="E4331" s="6" t="s">
        <v>388</v>
      </c>
      <c r="F4331" s="6" t="str">
        <f>IF($M4331="PADD I","PADD 1",IF($M4331="PADD II","PADD 2",IF($M4331="PADD III","PADD 3",IF($M4331="PADD IV","PADD 4",IF($M4331="PADD V","PADD 5","")))))</f>
        <v>PADD 3</v>
      </c>
      <c r="G4331" s="6">
        <f>IF(AND($H4331="ATMOS DISTILLATION",ISNUMBER(SEARCH("VPS",$I4331))=FALSE,LEFT($I4331,6)&lt;&gt;"VACUUM"),"CDU",IF($H4331="FLUID CAT CRACKING","FCC",IF(OR($H4331="HYDROCRACKING",$H4331="RESID_HYDROCRACKING"),"Hydrocracker",IF($H4331="REFORMING","Reformer",""))))</f>
        <v/>
      </c>
      <c r="H4331" s="6" t="s">
        <v>43</v>
      </c>
      <c r="I4331" s="6" t="s">
        <v>682</v>
      </c>
      <c r="J4331" s="6" t="s">
        <v>345</v>
      </c>
      <c r="K4331" s="10">
        <v>13.78</v>
      </c>
      <c r="L4331" s="10">
        <v>106</v>
      </c>
      <c r="M4331" s="6" t="s">
        <v>371</v>
      </c>
    </row>
    <row r="4332" spans="1:13">
      <c r="A4332" s="6">
        <v>2024</v>
      </c>
      <c r="B4332" s="6">
        <v>9</v>
      </c>
      <c r="C4332" s="6" t="s">
        <v>67</v>
      </c>
      <c r="D4332" s="6" t="s">
        <v>50</v>
      </c>
      <c r="E4332" s="6" t="s">
        <v>381</v>
      </c>
      <c r="F4332" s="6" t="str">
        <f>IF($M4332="PADD I","PADD 1",IF($M4332="PADD II","PADD 2",IF($M4332="PADD III","PADD 3",IF($M4332="PADD IV","PADD 4",IF($M4332="PADD V","PADD 5","")))))</f>
        <v>PADD 3</v>
      </c>
      <c r="G4332" s="6" t="str">
        <f>IF(AND($H4332="ATMOS DISTILLATION",ISNUMBER(SEARCH("VPS",$I4332))=FALSE,LEFT($I4332,6)&lt;&gt;"VACUUM"),"CDU",IF($H4332="FLUID CAT CRACKING","FCC",IF(OR($H4332="HYDROCRACKING",$H4332="RESID_HYDROCRACKING"),"Hydrocracker",IF($H4332="REFORMING","Reformer",""))))</f>
        <v>Reformer</v>
      </c>
      <c r="H4332" s="6" t="s">
        <v>421</v>
      </c>
      <c r="I4332" s="6" t="s">
        <v>892</v>
      </c>
      <c r="J4332" s="6" t="s">
        <v>349</v>
      </c>
      <c r="K4332" s="10">
        <v>13.4</v>
      </c>
      <c r="L4332" s="10">
        <v>20</v>
      </c>
      <c r="M4332" s="6" t="s">
        <v>371</v>
      </c>
    </row>
    <row r="4333" spans="1:13">
      <c r="A4333" s="6">
        <v>2024</v>
      </c>
      <c r="B4333" s="6">
        <v>9</v>
      </c>
      <c r="C4333" s="6" t="s">
        <v>67</v>
      </c>
      <c r="D4333" s="6" t="s">
        <v>1063</v>
      </c>
      <c r="E4333" s="6" t="s">
        <v>388</v>
      </c>
      <c r="F4333" s="6" t="str">
        <f>IF($M4333="PADD I","PADD 1",IF($M4333="PADD II","PADD 2",IF($M4333="PADD III","PADD 3",IF($M4333="PADD IV","PADD 4",IF($M4333="PADD V","PADD 5","")))))</f>
        <v>PADD 2</v>
      </c>
      <c r="G4333" s="6">
        <f>IF(AND($H4333="ATMOS DISTILLATION",ISNUMBER(SEARCH("VPS",$I4333))=FALSE,LEFT($I4333,6)&lt;&gt;"VACUUM"),"CDU",IF($H4333="FLUID CAT CRACKING","FCC",IF(OR($H4333="HYDROCRACKING",$H4333="RESID_HYDROCRACKING"),"Hydrocracker",IF($H4333="REFORMING","Reformer",""))))</f>
        <v/>
      </c>
      <c r="H4333" s="6" t="s">
        <v>435</v>
      </c>
      <c r="I4333" s="6" t="s">
        <v>441</v>
      </c>
      <c r="J4333" s="6" t="s">
        <v>349</v>
      </c>
      <c r="K4333" s="10">
        <v>13.16</v>
      </c>
      <c r="L4333" s="10">
        <v>28</v>
      </c>
      <c r="M4333" s="6" t="s">
        <v>375</v>
      </c>
    </row>
    <row r="4334" spans="1:13">
      <c r="A4334" s="6">
        <v>2024</v>
      </c>
      <c r="B4334" s="6">
        <v>9</v>
      </c>
      <c r="C4334" s="6" t="s">
        <v>67</v>
      </c>
      <c r="D4334" s="6" t="s">
        <v>1063</v>
      </c>
      <c r="E4334" s="6" t="s">
        <v>388</v>
      </c>
      <c r="F4334" s="6" t="str">
        <f>IF($M4334="PADD I","PADD 1",IF($M4334="PADD II","PADD 2",IF($M4334="PADD III","PADD 3",IF($M4334="PADD IV","PADD 4",IF($M4334="PADD V","PADD 5","")))))</f>
        <v>PADD 2</v>
      </c>
      <c r="G4334" s="6" t="str">
        <f>IF(AND($H4334="ATMOS DISTILLATION",ISNUMBER(SEARCH("VPS",$I4334))=FALSE,LEFT($I4334,6)&lt;&gt;"VACUUM"),"CDU",IF($H4334="FLUID CAT CRACKING","FCC",IF(OR($H4334="HYDROCRACKING",$H4334="RESID_HYDROCRACKING"),"Hydrocracker",IF($H4334="REFORMING","Reformer",""))))</f>
        <v>Reformer</v>
      </c>
      <c r="H4334" s="6" t="s">
        <v>421</v>
      </c>
      <c r="I4334" s="6" t="s">
        <v>1069</v>
      </c>
      <c r="J4334" s="6" t="s">
        <v>345</v>
      </c>
      <c r="K4334" s="10">
        <v>12.9</v>
      </c>
      <c r="L4334" s="10">
        <v>21.5</v>
      </c>
      <c r="M4334" s="6" t="s">
        <v>375</v>
      </c>
    </row>
    <row r="4335" spans="1:13">
      <c r="A4335" s="6">
        <v>2024</v>
      </c>
      <c r="B4335" s="6">
        <v>9</v>
      </c>
      <c r="C4335" s="6" t="s">
        <v>67</v>
      </c>
      <c r="D4335" s="6" t="s">
        <v>1060</v>
      </c>
      <c r="E4335" s="6" t="s">
        <v>1039</v>
      </c>
      <c r="F4335" s="6" t="str">
        <f>IF($M4335="PADD I","PADD 1",IF($M4335="PADD II","PADD 2",IF($M4335="PADD III","PADD 3",IF($M4335="PADD IV","PADD 4",IF($M4335="PADD V","PADD 5","")))))</f>
        <v>PADD 2</v>
      </c>
      <c r="G4335" s="6" t="str">
        <f>IF(AND($H4335="ATMOS DISTILLATION",ISNUMBER(SEARCH("VPS",$I4335))=FALSE,LEFT($I4335,6)&lt;&gt;"VACUUM"),"CDU",IF($H4335="FLUID CAT CRACKING","FCC",IF(OR($H4335="HYDROCRACKING",$H4335="RESID_HYDROCRACKING"),"Hydrocracker",IF($H4335="REFORMING","Reformer",""))))</f>
        <v>FCC</v>
      </c>
      <c r="H4335" s="6" t="s">
        <v>376</v>
      </c>
      <c r="I4335" s="6" t="s">
        <v>105</v>
      </c>
      <c r="J4335" s="6" t="s">
        <v>345</v>
      </c>
      <c r="K4335" s="10">
        <v>12.74</v>
      </c>
      <c r="L4335" s="10">
        <v>98</v>
      </c>
      <c r="M4335" s="6" t="s">
        <v>375</v>
      </c>
    </row>
    <row r="4336" spans="1:13">
      <c r="A4336" s="6">
        <v>2024</v>
      </c>
      <c r="B4336" s="6">
        <v>9</v>
      </c>
      <c r="C4336" s="6" t="s">
        <v>67</v>
      </c>
      <c r="D4336" s="6" t="s">
        <v>51</v>
      </c>
      <c r="E4336" s="6" t="s">
        <v>391</v>
      </c>
      <c r="F4336" s="6" t="str">
        <f>IF($M4336="PADD I","PADD 1",IF($M4336="PADD II","PADD 2",IF($M4336="PADD III","PADD 3",IF($M4336="PADD IV","PADD 4",IF($M4336="PADD V","PADD 5","")))))</f>
        <v>PADD 5</v>
      </c>
      <c r="G4336" s="6" t="str">
        <f>IF(AND($H4336="ATMOS DISTILLATION",ISNUMBER(SEARCH("VPS",$I4336))=FALSE,LEFT($I4336,6)&lt;&gt;"VACUUM"),"CDU",IF($H4336="FLUID CAT CRACKING","FCC",IF(OR($H4336="HYDROCRACKING",$H4336="RESID_HYDROCRACKING"),"Hydrocracker",IF($H4336="REFORMING","Reformer",""))))</f>
        <v>FCC</v>
      </c>
      <c r="H4336" s="6" t="s">
        <v>376</v>
      </c>
      <c r="I4336" s="6" t="s">
        <v>105</v>
      </c>
      <c r="J4336" s="6" t="s">
        <v>345</v>
      </c>
      <c r="K4336" s="10">
        <v>12.325</v>
      </c>
      <c r="L4336" s="10">
        <v>72.5</v>
      </c>
      <c r="M4336" s="6" t="s">
        <v>386</v>
      </c>
    </row>
    <row r="4337" spans="1:13">
      <c r="A4337" s="6">
        <v>2024</v>
      </c>
      <c r="B4337" s="6">
        <v>9</v>
      </c>
      <c r="C4337" s="6" t="s">
        <v>67</v>
      </c>
      <c r="D4337" s="6" t="s">
        <v>714</v>
      </c>
      <c r="E4337" s="6" t="s">
        <v>405</v>
      </c>
      <c r="F4337" s="6" t="str">
        <f>IF($M4337="PADD I","PADD 1",IF($M4337="PADD II","PADD 2",IF($M4337="PADD III","PADD 3",IF($M4337="PADD IV","PADD 4",IF($M4337="PADD V","PADD 5","")))))</f>
        <v>PADD 3</v>
      </c>
      <c r="G4337" s="6" t="str">
        <f>IF(AND($H4337="ATMOS DISTILLATION",ISNUMBER(SEARCH("VPS",$I4337))=FALSE,LEFT($I4337,6)&lt;&gt;"VACUUM"),"CDU",IF($H4337="FLUID CAT CRACKING","FCC",IF(OR($H4337="HYDROCRACKING",$H4337="RESID_HYDROCRACKING"),"Hydrocracker",IF($H4337="REFORMING","Reformer",""))))</f>
        <v>Reformer</v>
      </c>
      <c r="H4337" s="6" t="s">
        <v>421</v>
      </c>
      <c r="I4337" s="6" t="s">
        <v>864</v>
      </c>
      <c r="J4337" s="6" t="s">
        <v>349</v>
      </c>
      <c r="K4337" s="10">
        <v>12.04</v>
      </c>
      <c r="L4337" s="10">
        <v>28</v>
      </c>
      <c r="M4337" s="6" t="s">
        <v>371</v>
      </c>
    </row>
    <row r="4338" spans="1:13">
      <c r="A4338" s="6">
        <v>2024</v>
      </c>
      <c r="B4338" s="6">
        <v>9</v>
      </c>
      <c r="C4338" s="6" t="s">
        <v>67</v>
      </c>
      <c r="D4338" s="6" t="s">
        <v>612</v>
      </c>
      <c r="E4338" s="6" t="s">
        <v>416</v>
      </c>
      <c r="F4338" s="6" t="str">
        <f>IF($M4338="PADD I","PADD 1",IF($M4338="PADD II","PADD 2",IF($M4338="PADD III","PADD 3",IF($M4338="PADD IV","PADD 4",IF($M4338="PADD V","PADD 5","")))))</f>
        <v>PADD 3</v>
      </c>
      <c r="G4338" s="6" t="str">
        <f>IF(AND($H4338="ATMOS DISTILLATION",ISNUMBER(SEARCH("VPS",$I4338))=FALSE,LEFT($I4338,6)&lt;&gt;"VACUUM"),"CDU",IF($H4338="FLUID CAT CRACKING","FCC",IF(OR($H4338="HYDROCRACKING",$H4338="RESID_HYDROCRACKING"),"Hydrocracker",IF($H4338="REFORMING","Reformer",""))))</f>
        <v>CDU</v>
      </c>
      <c r="H4338" s="6" t="s">
        <v>38</v>
      </c>
      <c r="I4338" s="6" t="s">
        <v>81</v>
      </c>
      <c r="J4338" s="6" t="s">
        <v>345</v>
      </c>
      <c r="K4338" s="10">
        <v>11.55</v>
      </c>
      <c r="L4338" s="10">
        <v>165</v>
      </c>
      <c r="M4338" s="6" t="s">
        <v>371</v>
      </c>
    </row>
    <row r="4339" spans="1:13">
      <c r="A4339" s="6">
        <v>2024</v>
      </c>
      <c r="B4339" s="6">
        <v>9</v>
      </c>
      <c r="C4339" s="6" t="s">
        <v>67</v>
      </c>
      <c r="D4339" s="6" t="s">
        <v>415</v>
      </c>
      <c r="E4339" s="6" t="s">
        <v>416</v>
      </c>
      <c r="F4339" s="6" t="str">
        <f>IF($M4339="PADD I","PADD 1",IF($M4339="PADD II","PADD 2",IF($M4339="PADD III","PADD 3",IF($M4339="PADD IV","PADD 4",IF($M4339="PADD V","PADD 5","")))))</f>
        <v>PADD 3</v>
      </c>
      <c r="G4339" s="6">
        <f>IF(AND($H4339="ATMOS DISTILLATION",ISNUMBER(SEARCH("VPS",$I4339))=FALSE,LEFT($I4339,6)&lt;&gt;"VACUUM"),"CDU",IF($H4339="FLUID CAT CRACKING","FCC",IF(OR($H4339="HYDROCRACKING",$H4339="RESID_HYDROCRACKING"),"Hydrocracker",IF($H4339="REFORMING","Reformer",""))))</f>
        <v/>
      </c>
      <c r="H4339" s="6" t="s">
        <v>378</v>
      </c>
      <c r="I4339" s="6" t="s">
        <v>417</v>
      </c>
      <c r="J4339" s="6" t="s">
        <v>345</v>
      </c>
      <c r="K4339" s="10">
        <v>11.5</v>
      </c>
      <c r="L4339" s="10">
        <v>50</v>
      </c>
      <c r="M4339" s="6" t="s">
        <v>371</v>
      </c>
    </row>
    <row r="4340" spans="1:13">
      <c r="A4340" s="6">
        <v>2024</v>
      </c>
      <c r="B4340" s="6">
        <v>9</v>
      </c>
      <c r="C4340" s="6" t="s">
        <v>67</v>
      </c>
      <c r="D4340" s="6" t="s">
        <v>542</v>
      </c>
      <c r="E4340" s="6" t="s">
        <v>543</v>
      </c>
      <c r="F4340" s="6" t="str">
        <f>IF($M4340="PADD I","PADD 1",IF($M4340="PADD II","PADD 2",IF($M4340="PADD III","PADD 3",IF($M4340="PADD IV","PADD 4",IF($M4340="PADD V","PADD 5","")))))</f>
        <v>PADD 2</v>
      </c>
      <c r="G4340" s="6">
        <f>IF(AND($H4340="ATMOS DISTILLATION",ISNUMBER(SEARCH("VPS",$I4340))=FALSE,LEFT($I4340,6)&lt;&gt;"VACUUM"),"CDU",IF($H4340="FLUID CAT CRACKING","FCC",IF(OR($H4340="HYDROCRACKING",$H4340="RESID_HYDROCRACKING"),"Hydrocracker",IF($H4340="REFORMING","Reformer",""))))</f>
        <v/>
      </c>
      <c r="H4340" s="6" t="s">
        <v>43</v>
      </c>
      <c r="I4340" s="6" t="s">
        <v>913</v>
      </c>
      <c r="J4340" s="6" t="s">
        <v>345</v>
      </c>
      <c r="K4340" s="10">
        <v>11.1</v>
      </c>
      <c r="L4340" s="10">
        <v>55.5</v>
      </c>
      <c r="M4340" s="6" t="s">
        <v>375</v>
      </c>
    </row>
    <row r="4341" spans="1:13">
      <c r="A4341" s="6">
        <v>2024</v>
      </c>
      <c r="B4341" s="6">
        <v>9</v>
      </c>
      <c r="C4341" s="6" t="s">
        <v>67</v>
      </c>
      <c r="D4341" s="6" t="s">
        <v>380</v>
      </c>
      <c r="E4341" s="6" t="s">
        <v>381</v>
      </c>
      <c r="F4341" s="6" t="str">
        <f>IF($M4341="PADD I","PADD 1",IF($M4341="PADD II","PADD 2",IF($M4341="PADD III","PADD 3",IF($M4341="PADD IV","PADD 4",IF($M4341="PADD V","PADD 5","")))))</f>
        <v>PADD 3</v>
      </c>
      <c r="G4341" s="6" t="str">
        <f>IF(AND($H4341="ATMOS DISTILLATION",ISNUMBER(SEARCH("VPS",$I4341))=FALSE,LEFT($I4341,6)&lt;&gt;"VACUUM"),"CDU",IF($H4341="FLUID CAT CRACKING","FCC",IF(OR($H4341="HYDROCRACKING",$H4341="RESID_HYDROCRACKING"),"Hydrocracker",IF($H4341="REFORMING","Reformer",""))))</f>
        <v>CDU</v>
      </c>
      <c r="H4341" s="6" t="s">
        <v>38</v>
      </c>
      <c r="I4341" s="6" t="s">
        <v>382</v>
      </c>
      <c r="J4341" s="6" t="s">
        <v>345</v>
      </c>
      <c r="K4341" s="10">
        <v>10.5</v>
      </c>
      <c r="L4341" s="10">
        <v>105</v>
      </c>
      <c r="M4341" s="6" t="s">
        <v>371</v>
      </c>
    </row>
    <row r="4342" spans="1:13">
      <c r="A4342" s="6">
        <v>2024</v>
      </c>
      <c r="B4342" s="6">
        <v>9</v>
      </c>
      <c r="C4342" s="6" t="s">
        <v>67</v>
      </c>
      <c r="D4342" s="6" t="s">
        <v>803</v>
      </c>
      <c r="E4342" s="6" t="s">
        <v>388</v>
      </c>
      <c r="F4342" s="6" t="str">
        <f>IF($M4342="PADD I","PADD 1",IF($M4342="PADD II","PADD 2",IF($M4342="PADD III","PADD 3",IF($M4342="PADD IV","PADD 4",IF($M4342="PADD V","PADD 5","")))))</f>
        <v>PADD 2</v>
      </c>
      <c r="G4342" s="6" t="str">
        <f>IF(AND($H4342="ATMOS DISTILLATION",ISNUMBER(SEARCH("VPS",$I4342))=FALSE,LEFT($I4342,6)&lt;&gt;"VACUUM"),"CDU",IF($H4342="FLUID CAT CRACKING","FCC",IF(OR($H4342="HYDROCRACKING",$H4342="RESID_HYDROCRACKING"),"Hydrocracker",IF($H4342="REFORMING","Reformer",""))))</f>
        <v>CDU</v>
      </c>
      <c r="H4342" s="6" t="s">
        <v>38</v>
      </c>
      <c r="I4342" s="6" t="s">
        <v>135</v>
      </c>
      <c r="J4342" s="6" t="s">
        <v>345</v>
      </c>
      <c r="K4342" s="10">
        <v>10.4</v>
      </c>
      <c r="L4342" s="10">
        <v>52</v>
      </c>
      <c r="M4342" s="6" t="s">
        <v>375</v>
      </c>
    </row>
    <row r="4343" spans="1:13">
      <c r="A4343" s="6">
        <v>2024</v>
      </c>
      <c r="B4343" s="6">
        <v>9</v>
      </c>
      <c r="C4343" s="6" t="s">
        <v>67</v>
      </c>
      <c r="D4343" s="6" t="s">
        <v>408</v>
      </c>
      <c r="E4343" s="6" t="s">
        <v>409</v>
      </c>
      <c r="F4343" s="6" t="str">
        <f>IF($M4343="PADD I","PADD 1",IF($M4343="PADD II","PADD 2",IF($M4343="PADD III","PADD 3",IF($M4343="PADD IV","PADD 4",IF($M4343="PADD V","PADD 5","")))))</f>
        <v>PADD 3</v>
      </c>
      <c r="G4343" s="6" t="str">
        <f>IF(AND($H4343="ATMOS DISTILLATION",ISNUMBER(SEARCH("VPS",$I4343))=FALSE,LEFT($I4343,6)&lt;&gt;"VACUUM"),"CDU",IF($H4343="FLUID CAT CRACKING","FCC",IF(OR($H4343="HYDROCRACKING",$H4343="RESID_HYDROCRACKING"),"Hydrocracker",IF($H4343="REFORMING","Reformer",""))))</f>
        <v>CDU</v>
      </c>
      <c r="H4343" s="6" t="s">
        <v>38</v>
      </c>
      <c r="I4343" s="6" t="s">
        <v>410</v>
      </c>
      <c r="J4343" s="6" t="s">
        <v>345</v>
      </c>
      <c r="K4343" s="10">
        <v>10.4</v>
      </c>
      <c r="L4343" s="10">
        <v>80</v>
      </c>
      <c r="M4343" s="6" t="s">
        <v>371</v>
      </c>
    </row>
    <row r="4344" spans="1:13">
      <c r="A4344" s="6">
        <v>2024</v>
      </c>
      <c r="B4344" s="6">
        <v>9</v>
      </c>
      <c r="C4344" s="6" t="s">
        <v>67</v>
      </c>
      <c r="D4344" s="6" t="s">
        <v>324</v>
      </c>
      <c r="E4344" s="6" t="s">
        <v>388</v>
      </c>
      <c r="F4344" s="6" t="str">
        <f>IF($M4344="PADD I","PADD 1",IF($M4344="PADD II","PADD 2",IF($M4344="PADD III","PADD 3",IF($M4344="PADD IV","PADD 4",IF($M4344="PADD V","PADD 5","")))))</f>
        <v>PADD 3</v>
      </c>
      <c r="G4344" s="6">
        <f>IF(AND($H4344="ATMOS DISTILLATION",ISNUMBER(SEARCH("VPS",$I4344))=FALSE,LEFT($I4344,6)&lt;&gt;"VACUUM"),"CDU",IF($H4344="FLUID CAT CRACKING","FCC",IF(OR($H4344="HYDROCRACKING",$H4344="RESID_HYDROCRACKING"),"Hydrocracker",IF($H4344="REFORMING","Reformer",""))))</f>
        <v/>
      </c>
      <c r="H4344" s="6" t="s">
        <v>378</v>
      </c>
      <c r="I4344" s="6" t="s">
        <v>942</v>
      </c>
      <c r="J4344" s="6" t="s">
        <v>345</v>
      </c>
      <c r="K4344" s="10">
        <v>10.395</v>
      </c>
      <c r="L4344" s="10">
        <v>148.5</v>
      </c>
      <c r="M4344" s="6" t="s">
        <v>371</v>
      </c>
    </row>
    <row r="4345" spans="1:13">
      <c r="A4345" s="6">
        <v>2024</v>
      </c>
      <c r="B4345" s="6">
        <v>9</v>
      </c>
      <c r="C4345" s="6" t="s">
        <v>67</v>
      </c>
      <c r="D4345" s="6" t="s">
        <v>851</v>
      </c>
      <c r="E4345" s="6" t="s">
        <v>852</v>
      </c>
      <c r="F4345" s="6" t="str">
        <f>IF($M4345="PADD I","PADD 1",IF($M4345="PADD II","PADD 2",IF($M4345="PADD III","PADD 3",IF($M4345="PADD IV","PADD 4",IF($M4345="PADD V","PADD 5","")))))</f>
        <v>PADD 3</v>
      </c>
      <c r="G4345" s="6">
        <f>IF(AND($H4345="ATMOS DISTILLATION",ISNUMBER(SEARCH("VPS",$I4345))=FALSE,LEFT($I4345,6)&lt;&gt;"VACUUM"),"CDU",IF($H4345="FLUID CAT CRACKING","FCC",IF(OR($H4345="HYDROCRACKING",$H4345="RESID_HYDROCRACKING"),"Hydrocracker",IF($H4345="REFORMING","Reformer",""))))</f>
        <v/>
      </c>
      <c r="H4345" s="6" t="s">
        <v>378</v>
      </c>
      <c r="I4345" s="6" t="s">
        <v>860</v>
      </c>
      <c r="J4345" s="6" t="s">
        <v>345</v>
      </c>
      <c r="K4345" s="10">
        <v>9.720000000000001</v>
      </c>
      <c r="L4345" s="10">
        <v>36</v>
      </c>
      <c r="M4345" s="6" t="s">
        <v>371</v>
      </c>
    </row>
    <row r="4346" spans="1:13">
      <c r="A4346" s="6">
        <v>2024</v>
      </c>
      <c r="B4346" s="6">
        <v>9</v>
      </c>
      <c r="C4346" s="6" t="s">
        <v>67</v>
      </c>
      <c r="D4346" s="6" t="s">
        <v>511</v>
      </c>
      <c r="E4346" s="6" t="s">
        <v>405</v>
      </c>
      <c r="F4346" s="6" t="str">
        <f>IF($M4346="PADD I","PADD 1",IF($M4346="PADD II","PADD 2",IF($M4346="PADD III","PADD 3",IF($M4346="PADD IV","PADD 4",IF($M4346="PADD V","PADD 5","")))))</f>
        <v>PADD 3</v>
      </c>
      <c r="G4346" s="6" t="str">
        <f>IF(AND($H4346="ATMOS DISTILLATION",ISNUMBER(SEARCH("VPS",$I4346))=FALSE,LEFT($I4346,6)&lt;&gt;"VACUUM"),"CDU",IF($H4346="FLUID CAT CRACKING","FCC",IF(OR($H4346="HYDROCRACKING",$H4346="RESID_HYDROCRACKING"),"Hydrocracker",IF($H4346="REFORMING","Reformer",""))))</f>
        <v>FCC</v>
      </c>
      <c r="H4346" s="6" t="s">
        <v>376</v>
      </c>
      <c r="I4346" s="6" t="s">
        <v>105</v>
      </c>
      <c r="J4346" s="6" t="s">
        <v>349</v>
      </c>
      <c r="K4346" s="10">
        <v>9.699999999999999</v>
      </c>
      <c r="L4346" s="10">
        <v>97</v>
      </c>
      <c r="M4346" s="6" t="s">
        <v>371</v>
      </c>
    </row>
    <row r="4347" spans="1:13">
      <c r="A4347" s="6">
        <v>2024</v>
      </c>
      <c r="B4347" s="6">
        <v>9</v>
      </c>
      <c r="C4347" s="6" t="s">
        <v>67</v>
      </c>
      <c r="D4347" s="6" t="s">
        <v>803</v>
      </c>
      <c r="E4347" s="6" t="s">
        <v>388</v>
      </c>
      <c r="F4347" s="6" t="str">
        <f>IF($M4347="PADD I","PADD 1",IF($M4347="PADD II","PADD 2",IF($M4347="PADD III","PADD 3",IF($M4347="PADD IV","PADD 4",IF($M4347="PADD V","PADD 5","")))))</f>
        <v>PADD 2</v>
      </c>
      <c r="G4347" s="6" t="str">
        <f>IF(AND($H4347="ATMOS DISTILLATION",ISNUMBER(SEARCH("VPS",$I4347))=FALSE,LEFT($I4347,6)&lt;&gt;"VACUUM"),"CDU",IF($H4347="FLUID CAT CRACKING","FCC",IF(OR($H4347="HYDROCRACKING",$H4347="RESID_HYDROCRACKING"),"Hydrocracker",IF($H4347="REFORMING","Reformer",""))))</f>
        <v>CDU</v>
      </c>
      <c r="H4347" s="6" t="s">
        <v>38</v>
      </c>
      <c r="I4347" s="6" t="s">
        <v>135</v>
      </c>
      <c r="J4347" s="6" t="s">
        <v>345</v>
      </c>
      <c r="K4347" s="10">
        <v>9.35</v>
      </c>
      <c r="L4347" s="10">
        <v>55</v>
      </c>
      <c r="M4347" s="6" t="s">
        <v>375</v>
      </c>
    </row>
    <row r="4348" spans="1:13">
      <c r="A4348" s="6">
        <v>2024</v>
      </c>
      <c r="B4348" s="6">
        <v>9</v>
      </c>
      <c r="C4348" s="6" t="s">
        <v>67</v>
      </c>
      <c r="D4348" s="6" t="s">
        <v>408</v>
      </c>
      <c r="E4348" s="6" t="s">
        <v>409</v>
      </c>
      <c r="F4348" s="6" t="str">
        <f>IF($M4348="PADD I","PADD 1",IF($M4348="PADD II","PADD 2",IF($M4348="PADD III","PADD 3",IF($M4348="PADD IV","PADD 4",IF($M4348="PADD V","PADD 5","")))))</f>
        <v>PADD 3</v>
      </c>
      <c r="G4348" s="6" t="str">
        <f>IF(AND($H4348="ATMOS DISTILLATION",ISNUMBER(SEARCH("VPS",$I4348))=FALSE,LEFT($I4348,6)&lt;&gt;"VACUUM"),"CDU",IF($H4348="FLUID CAT CRACKING","FCC",IF(OR($H4348="HYDROCRACKING",$H4348="RESID_HYDROCRACKING"),"Hydrocracker",IF($H4348="REFORMING","Reformer",""))))</f>
        <v>CDU</v>
      </c>
      <c r="H4348" s="6" t="s">
        <v>38</v>
      </c>
      <c r="I4348" s="6" t="s">
        <v>522</v>
      </c>
      <c r="J4348" s="6" t="s">
        <v>345</v>
      </c>
      <c r="K4348" s="10">
        <v>9.199999999999999</v>
      </c>
      <c r="L4348" s="10">
        <v>40</v>
      </c>
      <c r="M4348" s="6" t="s">
        <v>371</v>
      </c>
    </row>
    <row r="4349" spans="1:13">
      <c r="A4349" s="6">
        <v>2024</v>
      </c>
      <c r="B4349" s="6">
        <v>9</v>
      </c>
      <c r="C4349" s="6" t="s">
        <v>67</v>
      </c>
      <c r="D4349" s="6" t="s">
        <v>542</v>
      </c>
      <c r="E4349" s="6" t="s">
        <v>543</v>
      </c>
      <c r="F4349" s="6" t="str">
        <f>IF($M4349="PADD I","PADD 1",IF($M4349="PADD II","PADD 2",IF($M4349="PADD III","PADD 3",IF($M4349="PADD IV","PADD 4",IF($M4349="PADD V","PADD 5","")))))</f>
        <v>PADD 2</v>
      </c>
      <c r="G4349" s="6">
        <f>IF(AND($H4349="ATMOS DISTILLATION",ISNUMBER(SEARCH("VPS",$I4349))=FALSE,LEFT($I4349,6)&lt;&gt;"VACUUM"),"CDU",IF($H4349="FLUID CAT CRACKING","FCC",IF(OR($H4349="HYDROCRACKING",$H4349="RESID_HYDROCRACKING"),"Hydrocracker",IF($H4349="REFORMING","Reformer",""))))</f>
        <v/>
      </c>
      <c r="H4349" s="6" t="s">
        <v>43</v>
      </c>
      <c r="I4349" s="6" t="s">
        <v>915</v>
      </c>
      <c r="J4349" s="6" t="s">
        <v>349</v>
      </c>
      <c r="K4349" s="10">
        <v>9.199999999999999</v>
      </c>
      <c r="L4349" s="10">
        <v>40</v>
      </c>
      <c r="M4349" s="6" t="s">
        <v>375</v>
      </c>
    </row>
    <row r="4350" spans="1:13">
      <c r="A4350" s="6">
        <v>2024</v>
      </c>
      <c r="B4350" s="6">
        <v>9</v>
      </c>
      <c r="C4350" s="6" t="s">
        <v>67</v>
      </c>
      <c r="D4350" s="6" t="s">
        <v>329</v>
      </c>
      <c r="E4350" s="6" t="s">
        <v>427</v>
      </c>
      <c r="F4350" s="6" t="str">
        <f>IF($M4350="PADD I","PADD 1",IF($M4350="PADD II","PADD 2",IF($M4350="PADD III","PADD 3",IF($M4350="PADD IV","PADD 4",IF($M4350="PADD V","PADD 5","")))))</f>
        <v>PADD 3</v>
      </c>
      <c r="G4350" s="6" t="str">
        <f>IF(AND($H4350="ATMOS DISTILLATION",ISNUMBER(SEARCH("VPS",$I4350))=FALSE,LEFT($I4350,6)&lt;&gt;"VACUUM"),"CDU",IF($H4350="FLUID CAT CRACKING","FCC",IF(OR($H4350="HYDROCRACKING",$H4350="RESID_HYDROCRACKING"),"Hydrocracker",IF($H4350="REFORMING","Reformer",""))))</f>
        <v>FCC</v>
      </c>
      <c r="H4350" s="6" t="s">
        <v>376</v>
      </c>
      <c r="I4350" s="6" t="s">
        <v>428</v>
      </c>
      <c r="J4350" s="6" t="s">
        <v>349</v>
      </c>
      <c r="K4350" s="10">
        <v>8.84</v>
      </c>
      <c r="L4350" s="10">
        <v>68</v>
      </c>
      <c r="M4350" s="6" t="s">
        <v>371</v>
      </c>
    </row>
    <row r="4351" spans="1:13">
      <c r="A4351" s="6">
        <v>2024</v>
      </c>
      <c r="B4351" s="6">
        <v>9</v>
      </c>
      <c r="C4351" s="6" t="s">
        <v>67</v>
      </c>
      <c r="D4351" s="6" t="s">
        <v>576</v>
      </c>
      <c r="E4351" s="6" t="s">
        <v>369</v>
      </c>
      <c r="F4351" s="6" t="str">
        <f>IF($M4351="PADD I","PADD 1",IF($M4351="PADD II","PADD 2",IF($M4351="PADD III","PADD 3",IF($M4351="PADD IV","PADD 4",IF($M4351="PADD V","PADD 5","")))))</f>
        <v>PADD 3</v>
      </c>
      <c r="G4351" s="6">
        <f>IF(AND($H4351="ATMOS DISTILLATION",ISNUMBER(SEARCH("VPS",$I4351))=FALSE,LEFT($I4351,6)&lt;&gt;"VACUUM"),"CDU",IF($H4351="FLUID CAT CRACKING","FCC",IF(OR($H4351="HYDROCRACKING",$H4351="RESID_HYDROCRACKING"),"Hydrocracker",IF($H4351="REFORMING","Reformer",""))))</f>
        <v/>
      </c>
      <c r="H4351" s="6" t="s">
        <v>460</v>
      </c>
      <c r="I4351" s="6" t="s">
        <v>461</v>
      </c>
      <c r="J4351" s="6" t="s">
        <v>349</v>
      </c>
      <c r="K4351" s="10">
        <v>8.715</v>
      </c>
      <c r="L4351" s="10">
        <v>10.5</v>
      </c>
      <c r="M4351" s="6" t="s">
        <v>371</v>
      </c>
    </row>
    <row r="4352" spans="1:13">
      <c r="A4352" s="6">
        <v>2024</v>
      </c>
      <c r="B4352" s="6">
        <v>9</v>
      </c>
      <c r="C4352" s="6" t="s">
        <v>67</v>
      </c>
      <c r="D4352" s="6" t="s">
        <v>851</v>
      </c>
      <c r="E4352" s="6" t="s">
        <v>852</v>
      </c>
      <c r="F4352" s="6" t="str">
        <f>IF($M4352="PADD I","PADD 1",IF($M4352="PADD II","PADD 2",IF($M4352="PADD III","PADD 3",IF($M4352="PADD IV","PADD 4",IF($M4352="PADD V","PADD 5","")))))</f>
        <v>PADD 3</v>
      </c>
      <c r="G4352" s="6" t="str">
        <f>IF(AND($H4352="ATMOS DISTILLATION",ISNUMBER(SEARCH("VPS",$I4352))=FALSE,LEFT($I4352,6)&lt;&gt;"VACUUM"),"CDU",IF($H4352="FLUID CAT CRACKING","FCC",IF(OR($H4352="HYDROCRACKING",$H4352="RESID_HYDROCRACKING"),"Hydrocracker",IF($H4352="REFORMING","Reformer",""))))</f>
        <v>CDU</v>
      </c>
      <c r="H4352" s="6" t="s">
        <v>38</v>
      </c>
      <c r="I4352" s="6" t="s">
        <v>854</v>
      </c>
      <c r="J4352" s="6" t="s">
        <v>345</v>
      </c>
      <c r="K4352" s="10">
        <v>8.449999999999999</v>
      </c>
      <c r="L4352" s="10">
        <v>65</v>
      </c>
      <c r="M4352" s="6" t="s">
        <v>371</v>
      </c>
    </row>
    <row r="4353" spans="1:13">
      <c r="A4353" s="6">
        <v>2024</v>
      </c>
      <c r="B4353" s="6">
        <v>9</v>
      </c>
      <c r="C4353" s="6" t="s">
        <v>67</v>
      </c>
      <c r="D4353" s="6" t="s">
        <v>803</v>
      </c>
      <c r="E4353" s="6" t="s">
        <v>388</v>
      </c>
      <c r="F4353" s="6" t="str">
        <f>IF($M4353="PADD I","PADD 1",IF($M4353="PADD II","PADD 2",IF($M4353="PADD III","PADD 3",IF($M4353="PADD IV","PADD 4",IF($M4353="PADD V","PADD 5","")))))</f>
        <v>PADD 2</v>
      </c>
      <c r="G4353" s="6">
        <f>IF(AND($H4353="ATMOS DISTILLATION",ISNUMBER(SEARCH("VPS",$I4353))=FALSE,LEFT($I4353,6)&lt;&gt;"VACUUM"),"CDU",IF($H4353="FLUID CAT CRACKING","FCC",IF(OR($H4353="HYDROCRACKING",$H4353="RESID_HYDROCRACKING"),"Hydrocracker",IF($H4353="REFORMING","Reformer",""))))</f>
        <v/>
      </c>
      <c r="H4353" s="6" t="s">
        <v>43</v>
      </c>
      <c r="I4353" s="6" t="s">
        <v>520</v>
      </c>
      <c r="J4353" s="6" t="s">
        <v>345</v>
      </c>
      <c r="K4353" s="10">
        <v>8.4</v>
      </c>
      <c r="L4353" s="10">
        <v>28</v>
      </c>
      <c r="M4353" s="6" t="s">
        <v>375</v>
      </c>
    </row>
    <row r="4354" spans="1:13">
      <c r="A4354" s="6">
        <v>2024</v>
      </c>
      <c r="B4354" s="6">
        <v>9</v>
      </c>
      <c r="C4354" s="6" t="s">
        <v>67</v>
      </c>
      <c r="D4354" s="6" t="s">
        <v>321</v>
      </c>
      <c r="E4354" s="6" t="s">
        <v>381</v>
      </c>
      <c r="F4354" s="6" t="str">
        <f>IF($M4354="PADD I","PADD 1",IF($M4354="PADD II","PADD 2",IF($M4354="PADD III","PADD 3",IF($M4354="PADD IV","PADD 4",IF($M4354="PADD V","PADD 5","")))))</f>
        <v>PADD 2</v>
      </c>
      <c r="G4354" s="6">
        <f>IF(AND($H4354="ATMOS DISTILLATION",ISNUMBER(SEARCH("VPS",$I4354))=FALSE,LEFT($I4354,6)&lt;&gt;"VACUUM"),"CDU",IF($H4354="FLUID CAT CRACKING","FCC",IF(OR($H4354="HYDROCRACKING",$H4354="RESID_HYDROCRACKING"),"Hydrocracker",IF($H4354="REFORMING","Reformer",""))))</f>
        <v/>
      </c>
      <c r="H4354" s="6" t="s">
        <v>43</v>
      </c>
      <c r="I4354" s="6" t="s">
        <v>1170</v>
      </c>
      <c r="J4354" s="6" t="s">
        <v>345</v>
      </c>
      <c r="K4354" s="10">
        <v>8.25</v>
      </c>
      <c r="L4354" s="10">
        <v>25</v>
      </c>
      <c r="M4354" s="6" t="s">
        <v>375</v>
      </c>
    </row>
    <row r="4355" spans="1:13">
      <c r="A4355" s="6">
        <v>2024</v>
      </c>
      <c r="B4355" s="6">
        <v>9</v>
      </c>
      <c r="C4355" s="6" t="s">
        <v>67</v>
      </c>
      <c r="D4355" s="6" t="s">
        <v>331</v>
      </c>
      <c r="E4355" s="6" t="s">
        <v>373</v>
      </c>
      <c r="F4355" s="6" t="str">
        <f>IF($M4355="PADD I","PADD 1",IF($M4355="PADD II","PADD 2",IF($M4355="PADD III","PADD 3",IF($M4355="PADD IV","PADD 4",IF($M4355="PADD V","PADD 5","")))))</f>
        <v>PADD 2</v>
      </c>
      <c r="G4355" s="6" t="str">
        <f>IF(AND($H4355="ATMOS DISTILLATION",ISNUMBER(SEARCH("VPS",$I4355))=FALSE,LEFT($I4355,6)&lt;&gt;"VACUUM"),"CDU",IF($H4355="FLUID CAT CRACKING","FCC",IF(OR($H4355="HYDROCRACKING",$H4355="RESID_HYDROCRACKING"),"Hydrocracker",IF($H4355="REFORMING","Reformer",""))))</f>
        <v>Reformer</v>
      </c>
      <c r="H4355" s="6" t="s">
        <v>421</v>
      </c>
      <c r="I4355" s="6" t="s">
        <v>916</v>
      </c>
      <c r="J4355" s="6" t="s">
        <v>349</v>
      </c>
      <c r="K4355" s="10">
        <v>8</v>
      </c>
      <c r="L4355" s="10">
        <v>40</v>
      </c>
      <c r="M4355" s="6" t="s">
        <v>375</v>
      </c>
    </row>
    <row r="4356" spans="1:13">
      <c r="A4356" s="6">
        <v>2024</v>
      </c>
      <c r="B4356" s="6">
        <v>9</v>
      </c>
      <c r="C4356" s="6" t="s">
        <v>67</v>
      </c>
      <c r="D4356" s="6" t="s">
        <v>547</v>
      </c>
      <c r="E4356" s="6" t="s">
        <v>391</v>
      </c>
      <c r="F4356" s="6" t="str">
        <f>IF($M4356="PADD I","PADD 1",IF($M4356="PADD II","PADD 2",IF($M4356="PADD III","PADD 3",IF($M4356="PADD IV","PADD 4",IF($M4356="PADD V","PADD 5","")))))</f>
        <v>PADD 5</v>
      </c>
      <c r="G4356" s="6" t="str">
        <f>IF(AND($H4356="ATMOS DISTILLATION",ISNUMBER(SEARCH("VPS",$I4356))=FALSE,LEFT($I4356,6)&lt;&gt;"VACUUM"),"CDU",IF($H4356="FLUID CAT CRACKING","FCC",IF(OR($H4356="HYDROCRACKING",$H4356="RESID_HYDROCRACKING"),"Hydrocracker",IF($H4356="REFORMING","Reformer",""))))</f>
        <v>FCC</v>
      </c>
      <c r="H4356" s="6" t="s">
        <v>376</v>
      </c>
      <c r="I4356" s="6" t="s">
        <v>105</v>
      </c>
      <c r="J4356" s="6" t="s">
        <v>345</v>
      </c>
      <c r="K4356" s="10">
        <v>8</v>
      </c>
      <c r="L4356" s="10">
        <v>80</v>
      </c>
      <c r="M4356" s="6" t="s">
        <v>386</v>
      </c>
    </row>
    <row r="4357" spans="1:13">
      <c r="A4357" s="6">
        <v>2024</v>
      </c>
      <c r="B4357" s="6">
        <v>9</v>
      </c>
      <c r="C4357" s="6" t="s">
        <v>67</v>
      </c>
      <c r="D4357" s="6" t="s">
        <v>408</v>
      </c>
      <c r="E4357" s="6" t="s">
        <v>409</v>
      </c>
      <c r="F4357" s="6" t="str">
        <f>IF($M4357="PADD I","PADD 1",IF($M4357="PADD II","PADD 2",IF($M4357="PADD III","PADD 3",IF($M4357="PADD IV","PADD 4",IF($M4357="PADD V","PADD 5","")))))</f>
        <v>PADD 3</v>
      </c>
      <c r="G4357" s="6" t="str">
        <f>IF(AND($H4357="ATMOS DISTILLATION",ISNUMBER(SEARCH("VPS",$I4357))=FALSE,LEFT($I4357,6)&lt;&gt;"VACUUM"),"CDU",IF($H4357="FLUID CAT CRACKING","FCC",IF(OR($H4357="HYDROCRACKING",$H4357="RESID_HYDROCRACKING"),"Hydrocracker",IF($H4357="REFORMING","Reformer",""))))</f>
        <v>CDU</v>
      </c>
      <c r="H4357" s="6" t="s">
        <v>38</v>
      </c>
      <c r="I4357" s="6" t="s">
        <v>522</v>
      </c>
      <c r="J4357" s="6" t="s">
        <v>345</v>
      </c>
      <c r="K4357" s="10">
        <v>8</v>
      </c>
      <c r="L4357" s="10">
        <v>40</v>
      </c>
      <c r="M4357" s="6" t="s">
        <v>371</v>
      </c>
    </row>
    <row r="4358" spans="1:13">
      <c r="A4358" s="6">
        <v>2024</v>
      </c>
      <c r="B4358" s="6">
        <v>9</v>
      </c>
      <c r="C4358" s="6" t="s">
        <v>67</v>
      </c>
      <c r="D4358" s="6" t="s">
        <v>526</v>
      </c>
      <c r="E4358" s="6" t="s">
        <v>405</v>
      </c>
      <c r="F4358" s="6" t="str">
        <f>IF($M4358="PADD I","PADD 1",IF($M4358="PADD II","PADD 2",IF($M4358="PADD III","PADD 3",IF($M4358="PADD IV","PADD 4",IF($M4358="PADD V","PADD 5","")))))</f>
        <v>PADD 3</v>
      </c>
      <c r="G4358" s="6">
        <f>IF(AND($H4358="ATMOS DISTILLATION",ISNUMBER(SEARCH("VPS",$I4358))=FALSE,LEFT($I4358,6)&lt;&gt;"VACUUM"),"CDU",IF($H4358="FLUID CAT CRACKING","FCC",IF(OR($H4358="HYDROCRACKING",$H4358="RESID_HYDROCRACKING"),"Hydrocracker",IF($H4358="REFORMING","Reformer",""))))</f>
        <v/>
      </c>
      <c r="H4358" s="6" t="s">
        <v>43</v>
      </c>
      <c r="I4358" s="6" t="s">
        <v>1076</v>
      </c>
      <c r="J4358" s="6" t="s">
        <v>345</v>
      </c>
      <c r="K4358" s="10">
        <v>7.99</v>
      </c>
      <c r="L4358" s="10">
        <v>47</v>
      </c>
      <c r="M4358" s="6" t="s">
        <v>371</v>
      </c>
    </row>
    <row r="4359" spans="1:13">
      <c r="A4359" s="6">
        <v>2024</v>
      </c>
      <c r="B4359" s="6">
        <v>9</v>
      </c>
      <c r="C4359" s="6" t="s">
        <v>67</v>
      </c>
      <c r="D4359" s="6" t="s">
        <v>774</v>
      </c>
      <c r="E4359" s="6" t="s">
        <v>775</v>
      </c>
      <c r="F4359" s="6" t="str">
        <f>IF($M4359="PADD I","PADD 1",IF($M4359="PADD II","PADD 2",IF($M4359="PADD III","PADD 3",IF($M4359="PADD IV","PADD 4",IF($M4359="PADD V","PADD 5","")))))</f>
        <v>PADD 1</v>
      </c>
      <c r="G4359" s="6">
        <f>IF(AND($H4359="ATMOS DISTILLATION",ISNUMBER(SEARCH("VPS",$I4359))=FALSE,LEFT($I4359,6)&lt;&gt;"VACUUM"),"CDU",IF($H4359="FLUID CAT CRACKING","FCC",IF(OR($H4359="HYDROCRACKING",$H4359="RESID_HYDROCRACKING"),"Hydrocracker",IF($H4359="REFORMING","Reformer",""))))</f>
        <v/>
      </c>
      <c r="H4359" s="6" t="s">
        <v>43</v>
      </c>
      <c r="I4359" s="6" t="s">
        <v>1144</v>
      </c>
      <c r="J4359" s="6" t="s">
        <v>345</v>
      </c>
      <c r="K4359" s="10">
        <v>7.31</v>
      </c>
      <c r="L4359" s="10">
        <v>43</v>
      </c>
      <c r="M4359" s="6" t="s">
        <v>413</v>
      </c>
    </row>
    <row r="4360" spans="1:13">
      <c r="A4360" s="6">
        <v>2024</v>
      </c>
      <c r="B4360" s="6">
        <v>9</v>
      </c>
      <c r="C4360" s="6" t="s">
        <v>67</v>
      </c>
      <c r="D4360" s="6" t="s">
        <v>446</v>
      </c>
      <c r="E4360" s="6" t="s">
        <v>391</v>
      </c>
      <c r="F4360" s="6" t="str">
        <f>IF($M4360="PADD I","PADD 1",IF($M4360="PADD II","PADD 2",IF($M4360="PADD III","PADD 3",IF($M4360="PADD IV","PADD 4",IF($M4360="PADD V","PADD 5","")))))</f>
        <v>PADD 3</v>
      </c>
      <c r="G4360" s="6">
        <f>IF(AND($H4360="ATMOS DISTILLATION",ISNUMBER(SEARCH("VPS",$I4360))=FALSE,LEFT($I4360,6)&lt;&gt;"VACUUM"),"CDU",IF($H4360="FLUID CAT CRACKING","FCC",IF(OR($H4360="HYDROCRACKING",$H4360="RESID_HYDROCRACKING"),"Hydrocracker",IF($H4360="REFORMING","Reformer",""))))</f>
        <v/>
      </c>
      <c r="H4360" s="6" t="s">
        <v>460</v>
      </c>
      <c r="I4360" s="6" t="s">
        <v>1075</v>
      </c>
      <c r="J4360" s="6" t="s">
        <v>345</v>
      </c>
      <c r="K4360" s="10">
        <v>7.2</v>
      </c>
      <c r="L4360" s="10">
        <v>7.2</v>
      </c>
      <c r="M4360" s="6" t="s">
        <v>371</v>
      </c>
    </row>
    <row r="4361" spans="1:13">
      <c r="A4361" s="6">
        <v>2024</v>
      </c>
      <c r="B4361" s="6">
        <v>9</v>
      </c>
      <c r="C4361" s="6" t="s">
        <v>67</v>
      </c>
      <c r="D4361" s="6" t="s">
        <v>1038</v>
      </c>
      <c r="E4361" s="6" t="s">
        <v>1039</v>
      </c>
      <c r="F4361" s="6" t="str">
        <f>IF($M4361="PADD I","PADD 1",IF($M4361="PADD II","PADD 2",IF($M4361="PADD III","PADD 3",IF($M4361="PADD IV","PADD 4",IF($M4361="PADD V","PADD 5","")))))</f>
        <v>PADD 2</v>
      </c>
      <c r="G4361" s="6" t="str">
        <f>IF(AND($H4361="ATMOS DISTILLATION",ISNUMBER(SEARCH("VPS",$I4361))=FALSE,LEFT($I4361,6)&lt;&gt;"VACUUM"),"CDU",IF($H4361="FLUID CAT CRACKING","FCC",IF(OR($H4361="HYDROCRACKING",$H4361="RESID_HYDROCRACKING"),"Hydrocracker",IF($H4361="REFORMING","Reformer",""))))</f>
        <v>CDU</v>
      </c>
      <c r="H4361" s="6" t="s">
        <v>38</v>
      </c>
      <c r="I4361" s="6" t="s">
        <v>917</v>
      </c>
      <c r="J4361" s="6" t="s">
        <v>345</v>
      </c>
      <c r="K4361" s="10">
        <v>7</v>
      </c>
      <c r="L4361" s="10">
        <v>35</v>
      </c>
      <c r="M4361" s="6" t="s">
        <v>375</v>
      </c>
    </row>
    <row r="4362" spans="1:13">
      <c r="A4362" s="6">
        <v>2024</v>
      </c>
      <c r="B4362" s="6">
        <v>9</v>
      </c>
      <c r="C4362" s="6" t="s">
        <v>67</v>
      </c>
      <c r="D4362" s="6" t="s">
        <v>319</v>
      </c>
      <c r="E4362" s="6" t="s">
        <v>665</v>
      </c>
      <c r="F4362" s="6" t="str">
        <f>IF($M4362="PADD I","PADD 1",IF($M4362="PADD II","PADD 2",IF($M4362="PADD III","PADD 3",IF($M4362="PADD IV","PADD 4",IF($M4362="PADD V","PADD 5","")))))</f>
        <v>PADD 3</v>
      </c>
      <c r="G4362" s="6">
        <f>IF(AND($H4362="ATMOS DISTILLATION",ISNUMBER(SEARCH("VPS",$I4362))=FALSE,LEFT($I4362,6)&lt;&gt;"VACUUM"),"CDU",IF($H4362="FLUID CAT CRACKING","FCC",IF(OR($H4362="HYDROCRACKING",$H4362="RESID_HYDROCRACKING"),"Hydrocracker",IF($H4362="REFORMING","Reformer",""))))</f>
        <v/>
      </c>
      <c r="H4362" s="6" t="s">
        <v>43</v>
      </c>
      <c r="I4362" s="6" t="s">
        <v>888</v>
      </c>
      <c r="J4362" s="6" t="s">
        <v>345</v>
      </c>
      <c r="K4362" s="10">
        <v>6.8</v>
      </c>
      <c r="L4362" s="10">
        <v>40</v>
      </c>
      <c r="M4362" s="6" t="s">
        <v>371</v>
      </c>
    </row>
    <row r="4363" spans="1:13">
      <c r="A4363" s="6">
        <v>2024</v>
      </c>
      <c r="B4363" s="6">
        <v>9</v>
      </c>
      <c r="C4363" s="6" t="s">
        <v>67</v>
      </c>
      <c r="D4363" s="6" t="s">
        <v>408</v>
      </c>
      <c r="E4363" s="6" t="s">
        <v>409</v>
      </c>
      <c r="F4363" s="6" t="str">
        <f>IF($M4363="PADD I","PADD 1",IF($M4363="PADD II","PADD 2",IF($M4363="PADD III","PADD 3",IF($M4363="PADD IV","PADD 4",IF($M4363="PADD V","PADD 5","")))))</f>
        <v>PADD 3</v>
      </c>
      <c r="G4363" s="6">
        <f>IF(AND($H4363="ATMOS DISTILLATION",ISNUMBER(SEARCH("VPS",$I4363))=FALSE,LEFT($I4363,6)&lt;&gt;"VACUUM"),"CDU",IF($H4363="FLUID CAT CRACKING","FCC",IF(OR($H4363="HYDROCRACKING",$H4363="RESID_HYDROCRACKING"),"Hydrocracker",IF($H4363="REFORMING","Reformer",""))))</f>
        <v/>
      </c>
      <c r="H4363" s="6" t="s">
        <v>378</v>
      </c>
      <c r="I4363" s="6" t="s">
        <v>506</v>
      </c>
      <c r="J4363" s="6" t="s">
        <v>345</v>
      </c>
      <c r="K4363" s="10">
        <v>6.76</v>
      </c>
      <c r="L4363" s="10">
        <v>52</v>
      </c>
      <c r="M4363" s="6" t="s">
        <v>371</v>
      </c>
    </row>
    <row r="4364" spans="1:13">
      <c r="A4364" s="6">
        <v>2024</v>
      </c>
      <c r="B4364" s="6">
        <v>9</v>
      </c>
      <c r="C4364" s="6" t="s">
        <v>67</v>
      </c>
      <c r="D4364" s="6" t="s">
        <v>334</v>
      </c>
      <c r="E4364" s="6" t="s">
        <v>552</v>
      </c>
      <c r="F4364" s="6" t="str">
        <f>IF($M4364="PADD I","PADD 1",IF($M4364="PADD II","PADD 2",IF($M4364="PADD III","PADD 3",IF($M4364="PADD IV","PADD 4",IF($M4364="PADD V","PADD 5","")))))</f>
        <v>PADD 3</v>
      </c>
      <c r="G4364" s="6" t="str">
        <f>IF(AND($H4364="ATMOS DISTILLATION",ISNUMBER(SEARCH("VPS",$I4364))=FALSE,LEFT($I4364,6)&lt;&gt;"VACUUM"),"CDU",IF($H4364="FLUID CAT CRACKING","FCC",IF(OR($H4364="HYDROCRACKING",$H4364="RESID_HYDROCRACKING"),"Hydrocracker",IF($H4364="REFORMING","Reformer",""))))</f>
        <v>CDU</v>
      </c>
      <c r="H4364" s="6" t="s">
        <v>38</v>
      </c>
      <c r="I4364" s="6" t="s">
        <v>137</v>
      </c>
      <c r="J4364" s="6" t="s">
        <v>349</v>
      </c>
      <c r="K4364" s="10">
        <v>6.64</v>
      </c>
      <c r="L4364" s="10">
        <v>8</v>
      </c>
      <c r="M4364" s="6" t="s">
        <v>371</v>
      </c>
    </row>
    <row r="4365" spans="1:13">
      <c r="A4365" s="6">
        <v>2024</v>
      </c>
      <c r="B4365" s="6">
        <v>9</v>
      </c>
      <c r="C4365" s="6" t="s">
        <v>67</v>
      </c>
      <c r="D4365" s="6" t="s">
        <v>675</v>
      </c>
      <c r="E4365" s="6" t="s">
        <v>452</v>
      </c>
      <c r="F4365" s="6" t="str">
        <f>IF($M4365="PADD I","PADD 1",IF($M4365="PADD II","PADD 2",IF($M4365="PADD III","PADD 3",IF($M4365="PADD IV","PADD 4",IF($M4365="PADD V","PADD 5","")))))</f>
        <v>PADD 2</v>
      </c>
      <c r="G4365" s="6" t="str">
        <f>IF(AND($H4365="ATMOS DISTILLATION",ISNUMBER(SEARCH("VPS",$I4365))=FALSE,LEFT($I4365,6)&lt;&gt;"VACUUM"),"CDU",IF($H4365="FLUID CAT CRACKING","FCC",IF(OR($H4365="HYDROCRACKING",$H4365="RESID_HYDROCRACKING"),"Hydrocracker",IF($H4365="REFORMING","Reformer",""))))</f>
        <v>FCC</v>
      </c>
      <c r="H4365" s="6" t="s">
        <v>376</v>
      </c>
      <c r="I4365" s="6" t="s">
        <v>105</v>
      </c>
      <c r="J4365" s="6" t="s">
        <v>349</v>
      </c>
      <c r="K4365" s="10">
        <v>6.63</v>
      </c>
      <c r="L4365" s="10">
        <v>39</v>
      </c>
      <c r="M4365" s="6" t="s">
        <v>375</v>
      </c>
    </row>
    <row r="4366" spans="1:13">
      <c r="A4366" s="6">
        <v>2024</v>
      </c>
      <c r="B4366" s="6">
        <v>9</v>
      </c>
      <c r="C4366" s="6" t="s">
        <v>67</v>
      </c>
      <c r="D4366" s="6" t="s">
        <v>788</v>
      </c>
      <c r="E4366" s="6" t="s">
        <v>405</v>
      </c>
      <c r="F4366" s="6" t="str">
        <f>IF($M4366="PADD I","PADD 1",IF($M4366="PADD II","PADD 2",IF($M4366="PADD III","PADD 3",IF($M4366="PADD IV","PADD 4",IF($M4366="PADD V","PADD 5","")))))</f>
        <v>PADD 3</v>
      </c>
      <c r="G4366" s="6">
        <f>IF(AND($H4366="ATMOS DISTILLATION",ISNUMBER(SEARCH("VPS",$I4366))=FALSE,LEFT($I4366,6)&lt;&gt;"VACUUM"),"CDU",IF($H4366="FLUID CAT CRACKING","FCC",IF(OR($H4366="HYDROCRACKING",$H4366="RESID_HYDROCRACKING"),"Hydrocracker",IF($H4366="REFORMING","Reformer",""))))</f>
        <v/>
      </c>
      <c r="H4366" s="6" t="s">
        <v>378</v>
      </c>
      <c r="I4366" s="6" t="s">
        <v>812</v>
      </c>
      <c r="J4366" s="6" t="s">
        <v>345</v>
      </c>
      <c r="K4366" s="10">
        <v>6.5</v>
      </c>
      <c r="L4366" s="10">
        <v>50</v>
      </c>
      <c r="M4366" s="6" t="s">
        <v>371</v>
      </c>
    </row>
    <row r="4367" spans="1:13">
      <c r="A4367" s="6">
        <v>2024</v>
      </c>
      <c r="B4367" s="6">
        <v>9</v>
      </c>
      <c r="C4367" s="6" t="s">
        <v>67</v>
      </c>
      <c r="D4367" s="6" t="s">
        <v>547</v>
      </c>
      <c r="E4367" s="6" t="s">
        <v>391</v>
      </c>
      <c r="F4367" s="6" t="str">
        <f>IF($M4367="PADD I","PADD 1",IF($M4367="PADD II","PADD 2",IF($M4367="PADD III","PADD 3",IF($M4367="PADD IV","PADD 4",IF($M4367="PADD V","PADD 5","")))))</f>
        <v>PADD 5</v>
      </c>
      <c r="G4367" s="6">
        <f>IF(AND($H4367="ATMOS DISTILLATION",ISNUMBER(SEARCH("VPS",$I4367))=FALSE,LEFT($I4367,6)&lt;&gt;"VACUUM"),"CDU",IF($H4367="FLUID CAT CRACKING","FCC",IF(OR($H4367="HYDROCRACKING",$H4367="RESID_HYDROCRACKING"),"Hydrocracker",IF($H4367="REFORMING","Reformer",""))))</f>
        <v/>
      </c>
      <c r="H4367" s="6" t="s">
        <v>43</v>
      </c>
      <c r="I4367" s="6" t="s">
        <v>105</v>
      </c>
      <c r="J4367" s="6" t="s">
        <v>345</v>
      </c>
      <c r="K4367" s="10">
        <v>6.5</v>
      </c>
      <c r="L4367" s="10">
        <v>65</v>
      </c>
      <c r="M4367" s="6" t="s">
        <v>386</v>
      </c>
    </row>
    <row r="4368" spans="1:13">
      <c r="A4368" s="6">
        <v>2024</v>
      </c>
      <c r="B4368" s="6">
        <v>9</v>
      </c>
      <c r="C4368" s="6" t="s">
        <v>67</v>
      </c>
      <c r="D4368" s="6" t="s">
        <v>1139</v>
      </c>
      <c r="E4368" s="6" t="s">
        <v>452</v>
      </c>
      <c r="F4368" s="6" t="str">
        <f>IF($M4368="PADD I","PADD 1",IF($M4368="PADD II","PADD 2",IF($M4368="PADD III","PADD 3",IF($M4368="PADD IV","PADD 4",IF($M4368="PADD V","PADD 5","")))))</f>
        <v>PADD 5</v>
      </c>
      <c r="G4368" s="6">
        <f>IF(AND($H4368="ATMOS DISTILLATION",ISNUMBER(SEARCH("VPS",$I4368))=FALSE,LEFT($I4368,6)&lt;&gt;"VACUUM"),"CDU",IF($H4368="FLUID CAT CRACKING","FCC",IF(OR($H4368="HYDROCRACKING",$H4368="RESID_HYDROCRACKING"),"Hydrocracker",IF($H4368="REFORMING","Reformer",""))))</f>
        <v/>
      </c>
      <c r="H4368" s="6" t="s">
        <v>43</v>
      </c>
      <c r="I4368" s="6" t="s">
        <v>930</v>
      </c>
      <c r="J4368" s="6" t="s">
        <v>345</v>
      </c>
      <c r="K4368" s="10">
        <v>6.435</v>
      </c>
      <c r="L4368" s="10">
        <v>49.5</v>
      </c>
      <c r="M4368" s="6" t="s">
        <v>386</v>
      </c>
    </row>
    <row r="4369" spans="1:13">
      <c r="A4369" s="6">
        <v>2024</v>
      </c>
      <c r="B4369" s="6">
        <v>9</v>
      </c>
      <c r="C4369" s="6" t="s">
        <v>67</v>
      </c>
      <c r="D4369" s="6" t="s">
        <v>851</v>
      </c>
      <c r="E4369" s="6" t="s">
        <v>852</v>
      </c>
      <c r="F4369" s="6" t="str">
        <f>IF($M4369="PADD I","PADD 1",IF($M4369="PADD II","PADD 2",IF($M4369="PADD III","PADD 3",IF($M4369="PADD IV","PADD 4",IF($M4369="PADD V","PADD 5","")))))</f>
        <v>PADD 3</v>
      </c>
      <c r="G4369" s="6" t="str">
        <f>IF(AND($H4369="ATMOS DISTILLATION",ISNUMBER(SEARCH("VPS",$I4369))=FALSE,LEFT($I4369,6)&lt;&gt;"VACUUM"),"CDU",IF($H4369="FLUID CAT CRACKING","FCC",IF(OR($H4369="HYDROCRACKING",$H4369="RESID_HYDROCRACKING"),"Hydrocracker",IF($H4369="REFORMING","Reformer",""))))</f>
        <v>CDU</v>
      </c>
      <c r="H4369" s="6" t="s">
        <v>38</v>
      </c>
      <c r="I4369" s="6" t="s">
        <v>853</v>
      </c>
      <c r="J4369" s="6" t="s">
        <v>345</v>
      </c>
      <c r="K4369" s="10">
        <v>6.4</v>
      </c>
      <c r="L4369" s="10">
        <v>64</v>
      </c>
      <c r="M4369" s="6" t="s">
        <v>371</v>
      </c>
    </row>
    <row r="4370" spans="1:13">
      <c r="A4370" s="6">
        <v>2024</v>
      </c>
      <c r="B4370" s="6">
        <v>9</v>
      </c>
      <c r="C4370" s="6" t="s">
        <v>67</v>
      </c>
      <c r="D4370" s="6" t="s">
        <v>329</v>
      </c>
      <c r="E4370" s="6" t="s">
        <v>427</v>
      </c>
      <c r="F4370" s="6" t="str">
        <f>IF($M4370="PADD I","PADD 1",IF($M4370="PADD II","PADD 2",IF($M4370="PADD III","PADD 3",IF($M4370="PADD IV","PADD 4",IF($M4370="PADD V","PADD 5","")))))</f>
        <v>PADD 3</v>
      </c>
      <c r="G4370" s="6" t="str">
        <f>IF(AND($H4370="ATMOS DISTILLATION",ISNUMBER(SEARCH("VPS",$I4370))=FALSE,LEFT($I4370,6)&lt;&gt;"VACUUM"),"CDU",IF($H4370="FLUID CAT CRACKING","FCC",IF(OR($H4370="HYDROCRACKING",$H4370="RESID_HYDROCRACKING"),"Hydrocracker",IF($H4370="REFORMING","Reformer",""))))</f>
        <v>CDU</v>
      </c>
      <c r="H4370" s="6" t="s">
        <v>38</v>
      </c>
      <c r="I4370" s="6" t="s">
        <v>123</v>
      </c>
      <c r="J4370" s="6" t="s">
        <v>349</v>
      </c>
      <c r="K4370" s="10">
        <v>6.24</v>
      </c>
      <c r="L4370" s="10">
        <v>48</v>
      </c>
      <c r="M4370" s="6" t="s">
        <v>371</v>
      </c>
    </row>
    <row r="4371" spans="1:13">
      <c r="A4371" s="6">
        <v>2024</v>
      </c>
      <c r="B4371" s="6">
        <v>9</v>
      </c>
      <c r="C4371" s="6" t="s">
        <v>67</v>
      </c>
      <c r="D4371" s="6" t="s">
        <v>329</v>
      </c>
      <c r="E4371" s="6" t="s">
        <v>427</v>
      </c>
      <c r="F4371" s="6" t="str">
        <f>IF($M4371="PADD I","PADD 1",IF($M4371="PADD II","PADD 2",IF($M4371="PADD III","PADD 3",IF($M4371="PADD IV","PADD 4",IF($M4371="PADD V","PADD 5","")))))</f>
        <v>PADD 3</v>
      </c>
      <c r="G4371" s="6" t="str">
        <f>IF(AND($H4371="ATMOS DISTILLATION",ISNUMBER(SEARCH("VPS",$I4371))=FALSE,LEFT($I4371,6)&lt;&gt;"VACUUM"),"CDU",IF($H4371="FLUID CAT CRACKING","FCC",IF(OR($H4371="HYDROCRACKING",$H4371="RESID_HYDROCRACKING"),"Hydrocracker",IF($H4371="REFORMING","Reformer",""))))</f>
        <v>CDU</v>
      </c>
      <c r="H4371" s="6" t="s">
        <v>38</v>
      </c>
      <c r="I4371" s="6" t="s">
        <v>330</v>
      </c>
      <c r="J4371" s="6" t="s">
        <v>349</v>
      </c>
      <c r="K4371" s="10">
        <v>6.24</v>
      </c>
      <c r="L4371" s="10">
        <v>48</v>
      </c>
      <c r="M4371" s="6" t="s">
        <v>371</v>
      </c>
    </row>
    <row r="4372" spans="1:13">
      <c r="A4372" s="6">
        <v>2024</v>
      </c>
      <c r="B4372" s="6">
        <v>9</v>
      </c>
      <c r="C4372" s="6" t="s">
        <v>67</v>
      </c>
      <c r="D4372" s="6" t="s">
        <v>1060</v>
      </c>
      <c r="E4372" s="6" t="s">
        <v>1039</v>
      </c>
      <c r="F4372" s="6" t="str">
        <f>IF($M4372="PADD I","PADD 1",IF($M4372="PADD II","PADD 2",IF($M4372="PADD III","PADD 3",IF($M4372="PADD IV","PADD 4",IF($M4372="PADD V","PADD 5","")))))</f>
        <v>PADD 2</v>
      </c>
      <c r="G4372" s="6" t="str">
        <f>IF(AND($H4372="ATMOS DISTILLATION",ISNUMBER(SEARCH("VPS",$I4372))=FALSE,LEFT($I4372,6)&lt;&gt;"VACUUM"),"CDU",IF($H4372="FLUID CAT CRACKING","FCC",IF(OR($H4372="HYDROCRACKING",$H4372="RESID_HYDROCRACKING"),"Hydrocracker",IF($H4372="REFORMING","Reformer",""))))</f>
        <v>Reformer</v>
      </c>
      <c r="H4372" s="6" t="s">
        <v>421</v>
      </c>
      <c r="I4372" s="6" t="s">
        <v>1190</v>
      </c>
      <c r="J4372" s="6" t="s">
        <v>345</v>
      </c>
      <c r="K4372" s="10">
        <v>6.2</v>
      </c>
      <c r="L4372" s="10">
        <v>31</v>
      </c>
      <c r="M4372" s="6" t="s">
        <v>375</v>
      </c>
    </row>
    <row r="4373" spans="1:13">
      <c r="A4373" s="6">
        <v>2024</v>
      </c>
      <c r="B4373" s="6">
        <v>9</v>
      </c>
      <c r="C4373" s="6" t="s">
        <v>67</v>
      </c>
      <c r="D4373" s="6" t="s">
        <v>408</v>
      </c>
      <c r="E4373" s="6" t="s">
        <v>409</v>
      </c>
      <c r="F4373" s="6" t="str">
        <f>IF($M4373="PADD I","PADD 1",IF($M4373="PADD II","PADD 2",IF($M4373="PADD III","PADD 3",IF($M4373="PADD IV","PADD 4",IF($M4373="PADD V","PADD 5","")))))</f>
        <v>PADD 3</v>
      </c>
      <c r="G4373" s="6">
        <f>IF(AND($H4373="ATMOS DISTILLATION",ISNUMBER(SEARCH("VPS",$I4373))=FALSE,LEFT($I4373,6)&lt;&gt;"VACUUM"),"CDU",IF($H4373="FLUID CAT CRACKING","FCC",IF(OR($H4373="HYDROCRACKING",$H4373="RESID_HYDROCRACKING"),"Hydrocracker",IF($H4373="REFORMING","Reformer",""))))</f>
        <v/>
      </c>
      <c r="H4373" s="6" t="s">
        <v>378</v>
      </c>
      <c r="I4373" s="6" t="s">
        <v>489</v>
      </c>
      <c r="J4373" s="6" t="s">
        <v>345</v>
      </c>
      <c r="K4373" s="10">
        <v>6</v>
      </c>
      <c r="L4373" s="10">
        <v>60</v>
      </c>
      <c r="M4373" s="6" t="s">
        <v>371</v>
      </c>
    </row>
    <row r="4374" spans="1:13">
      <c r="A4374" s="6">
        <v>2024</v>
      </c>
      <c r="B4374" s="6">
        <v>9</v>
      </c>
      <c r="C4374" s="6" t="s">
        <v>67</v>
      </c>
      <c r="D4374" s="6" t="s">
        <v>542</v>
      </c>
      <c r="E4374" s="6" t="s">
        <v>543</v>
      </c>
      <c r="F4374" s="6" t="str">
        <f>IF($M4374="PADD I","PADD 1",IF($M4374="PADD II","PADD 2",IF($M4374="PADD III","PADD 3",IF($M4374="PADD IV","PADD 4",IF($M4374="PADD V","PADD 5","")))))</f>
        <v>PADD 2</v>
      </c>
      <c r="G4374" s="6" t="str">
        <f>IF(AND($H4374="ATMOS DISTILLATION",ISNUMBER(SEARCH("VPS",$I4374))=FALSE,LEFT($I4374,6)&lt;&gt;"VACUUM"),"CDU",IF($H4374="FLUID CAT CRACKING","FCC",IF(OR($H4374="HYDROCRACKING",$H4374="RESID_HYDROCRACKING"),"Hydrocracker",IF($H4374="REFORMING","Reformer",""))))</f>
        <v>Reformer</v>
      </c>
      <c r="H4374" s="6" t="s">
        <v>421</v>
      </c>
      <c r="I4374" s="6" t="s">
        <v>1114</v>
      </c>
      <c r="J4374" s="6" t="s">
        <v>349</v>
      </c>
      <c r="K4374" s="10">
        <v>6</v>
      </c>
      <c r="L4374" s="10">
        <v>30</v>
      </c>
      <c r="M4374" s="6" t="s">
        <v>375</v>
      </c>
    </row>
    <row r="4375" spans="1:13">
      <c r="A4375" s="6">
        <v>2024</v>
      </c>
      <c r="B4375" s="6">
        <v>9</v>
      </c>
      <c r="C4375" s="6" t="s">
        <v>67</v>
      </c>
      <c r="D4375" s="6" t="s">
        <v>612</v>
      </c>
      <c r="E4375" s="6" t="s">
        <v>416</v>
      </c>
      <c r="F4375" s="6" t="str">
        <f>IF($M4375="PADD I","PADD 1",IF($M4375="PADD II","PADD 2",IF($M4375="PADD III","PADD 3",IF($M4375="PADD IV","PADD 4",IF($M4375="PADD V","PADD 5","")))))</f>
        <v>PADD 3</v>
      </c>
      <c r="G4375" s="6" t="str">
        <f>IF(AND($H4375="ATMOS DISTILLATION",ISNUMBER(SEARCH("VPS",$I4375))=FALSE,LEFT($I4375,6)&lt;&gt;"VACUUM"),"CDU",IF($H4375="FLUID CAT CRACKING","FCC",IF(OR($H4375="HYDROCRACKING",$H4375="RESID_HYDROCRACKING"),"Hydrocracker",IF($H4375="REFORMING","Reformer",""))))</f>
        <v>Reformer</v>
      </c>
      <c r="H4375" s="6" t="s">
        <v>421</v>
      </c>
      <c r="I4375" s="6" t="s">
        <v>755</v>
      </c>
      <c r="J4375" s="6" t="s">
        <v>345</v>
      </c>
      <c r="K4375" s="10">
        <v>6</v>
      </c>
      <c r="L4375" s="10">
        <v>30</v>
      </c>
      <c r="M4375" s="6" t="s">
        <v>371</v>
      </c>
    </row>
    <row r="4376" spans="1:13">
      <c r="A4376" s="6">
        <v>2024</v>
      </c>
      <c r="B4376" s="6">
        <v>9</v>
      </c>
      <c r="C4376" s="6" t="s">
        <v>67</v>
      </c>
      <c r="D4376" s="6" t="s">
        <v>329</v>
      </c>
      <c r="E4376" s="6" t="s">
        <v>427</v>
      </c>
      <c r="F4376" s="6" t="str">
        <f>IF($M4376="PADD I","PADD 1",IF($M4376="PADD II","PADD 2",IF($M4376="PADD III","PADD 3",IF($M4376="PADD IV","PADD 4",IF($M4376="PADD V","PADD 5","")))))</f>
        <v>PADD 3</v>
      </c>
      <c r="G4376" s="6">
        <f>IF(AND($H4376="ATMOS DISTILLATION",ISNUMBER(SEARCH("VPS",$I4376))=FALSE,LEFT($I4376,6)&lt;&gt;"VACUUM"),"CDU",IF($H4376="FLUID CAT CRACKING","FCC",IF(OR($H4376="HYDROCRACKING",$H4376="RESID_HYDROCRACKING"),"Hydrocracker",IF($H4376="REFORMING","Reformer",""))))</f>
        <v/>
      </c>
      <c r="H4376" s="6" t="s">
        <v>43</v>
      </c>
      <c r="I4376" s="6" t="s">
        <v>1208</v>
      </c>
      <c r="J4376" s="6" t="s">
        <v>349</v>
      </c>
      <c r="K4376" s="10">
        <v>5.85</v>
      </c>
      <c r="L4376" s="10">
        <v>45</v>
      </c>
      <c r="M4376" s="6" t="s">
        <v>371</v>
      </c>
    </row>
    <row r="4377" spans="1:13">
      <c r="A4377" s="6">
        <v>2024</v>
      </c>
      <c r="B4377" s="6">
        <v>9</v>
      </c>
      <c r="C4377" s="6" t="s">
        <v>67</v>
      </c>
      <c r="D4377" s="6" t="s">
        <v>612</v>
      </c>
      <c r="E4377" s="6" t="s">
        <v>416</v>
      </c>
      <c r="F4377" s="6" t="str">
        <f>IF($M4377="PADD I","PADD 1",IF($M4377="PADD II","PADD 2",IF($M4377="PADD III","PADD 3",IF($M4377="PADD IV","PADD 4",IF($M4377="PADD V","PADD 5","")))))</f>
        <v>PADD 3</v>
      </c>
      <c r="G4377" s="6">
        <f>IF(AND($H4377="ATMOS DISTILLATION",ISNUMBER(SEARCH("VPS",$I4377))=FALSE,LEFT($I4377,6)&lt;&gt;"VACUUM"),"CDU",IF($H4377="FLUID CAT CRACKING","FCC",IF(OR($H4377="HYDROCRACKING",$H4377="RESID_HYDROCRACKING"),"Hydrocracker",IF($H4377="REFORMING","Reformer",""))))</f>
        <v/>
      </c>
      <c r="H4377" s="6" t="s">
        <v>378</v>
      </c>
      <c r="I4377" s="6" t="s">
        <v>431</v>
      </c>
      <c r="J4377" s="6" t="s">
        <v>345</v>
      </c>
      <c r="K4377" s="10">
        <v>5.6</v>
      </c>
      <c r="L4377" s="10">
        <v>80</v>
      </c>
      <c r="M4377" s="6" t="s">
        <v>371</v>
      </c>
    </row>
    <row r="4378" spans="1:13">
      <c r="A4378" s="6">
        <v>2024</v>
      </c>
      <c r="B4378" s="6">
        <v>9</v>
      </c>
      <c r="C4378" s="6" t="s">
        <v>67</v>
      </c>
      <c r="D4378" s="6" t="s">
        <v>408</v>
      </c>
      <c r="E4378" s="6" t="s">
        <v>409</v>
      </c>
      <c r="F4378" s="6" t="str">
        <f>IF($M4378="PADD I","PADD 1",IF($M4378="PADD II","PADD 2",IF($M4378="PADD III","PADD 3",IF($M4378="PADD IV","PADD 4",IF($M4378="PADD V","PADD 5","")))))</f>
        <v>PADD 3</v>
      </c>
      <c r="G4378" s="6" t="str">
        <f>IF(AND($H4378="ATMOS DISTILLATION",ISNUMBER(SEARCH("VPS",$I4378))=FALSE,LEFT($I4378,6)&lt;&gt;"VACUUM"),"CDU",IF($H4378="FLUID CAT CRACKING","FCC",IF(OR($H4378="HYDROCRACKING",$H4378="RESID_HYDROCRACKING"),"Hydrocracker",IF($H4378="REFORMING","Reformer",""))))</f>
        <v>FCC</v>
      </c>
      <c r="H4378" s="6" t="s">
        <v>376</v>
      </c>
      <c r="I4378" s="6" t="s">
        <v>426</v>
      </c>
      <c r="J4378" s="6" t="s">
        <v>345</v>
      </c>
      <c r="K4378" s="10">
        <v>5.6</v>
      </c>
      <c r="L4378" s="10">
        <v>80</v>
      </c>
      <c r="M4378" s="6" t="s">
        <v>371</v>
      </c>
    </row>
    <row r="4379" spans="1:13">
      <c r="A4379" s="6">
        <v>2024</v>
      </c>
      <c r="B4379" s="6">
        <v>9</v>
      </c>
      <c r="C4379" s="6" t="s">
        <v>67</v>
      </c>
      <c r="D4379" s="6" t="s">
        <v>526</v>
      </c>
      <c r="E4379" s="6" t="s">
        <v>405</v>
      </c>
      <c r="F4379" s="6" t="str">
        <f>IF($M4379="PADD I","PADD 1",IF($M4379="PADD II","PADD 2",IF($M4379="PADD III","PADD 3",IF($M4379="PADD IV","PADD 4",IF($M4379="PADD V","PADD 5","")))))</f>
        <v>PADD 3</v>
      </c>
      <c r="G4379" s="6">
        <f>IF(AND($H4379="ATMOS DISTILLATION",ISNUMBER(SEARCH("VPS",$I4379))=FALSE,LEFT($I4379,6)&lt;&gt;"VACUUM"),"CDU",IF($H4379="FLUID CAT CRACKING","FCC",IF(OR($H4379="HYDROCRACKING",$H4379="RESID_HYDROCRACKING"),"Hydrocracker",IF($H4379="REFORMING","Reformer",""))))</f>
        <v/>
      </c>
      <c r="H4379" s="6" t="s">
        <v>43</v>
      </c>
      <c r="I4379" s="6" t="s">
        <v>1226</v>
      </c>
      <c r="J4379" s="6" t="s">
        <v>345</v>
      </c>
      <c r="K4379" s="10">
        <v>5.55</v>
      </c>
      <c r="L4379" s="10">
        <v>18.5</v>
      </c>
      <c r="M4379" s="6" t="s">
        <v>371</v>
      </c>
    </row>
    <row r="4380" spans="1:13">
      <c r="A4380" s="6">
        <v>2024</v>
      </c>
      <c r="B4380" s="6">
        <v>9</v>
      </c>
      <c r="C4380" s="6" t="s">
        <v>67</v>
      </c>
      <c r="D4380" s="6" t="s">
        <v>380</v>
      </c>
      <c r="E4380" s="6" t="s">
        <v>381</v>
      </c>
      <c r="F4380" s="6" t="str">
        <f>IF($M4380="PADD I","PADD 1",IF($M4380="PADD II","PADD 2",IF($M4380="PADD III","PADD 3",IF($M4380="PADD IV","PADD 4",IF($M4380="PADD V","PADD 5","")))))</f>
        <v>PADD 3</v>
      </c>
      <c r="G4380" s="6" t="str">
        <f>IF(AND($H4380="ATMOS DISTILLATION",ISNUMBER(SEARCH("VPS",$I4380))=FALSE,LEFT($I4380,6)&lt;&gt;"VACUUM"),"CDU",IF($H4380="FLUID CAT CRACKING","FCC",IF(OR($H4380="HYDROCRACKING",$H4380="RESID_HYDROCRACKING"),"Hydrocracker",IF($H4380="REFORMING","Reformer",""))))</f>
        <v>FCC</v>
      </c>
      <c r="H4380" s="6" t="s">
        <v>376</v>
      </c>
      <c r="I4380" s="6" t="s">
        <v>652</v>
      </c>
      <c r="J4380" s="6" t="s">
        <v>345</v>
      </c>
      <c r="K4380" s="10">
        <v>5.5</v>
      </c>
      <c r="L4380" s="10">
        <v>55</v>
      </c>
      <c r="M4380" s="6" t="s">
        <v>371</v>
      </c>
    </row>
    <row r="4381" spans="1:13">
      <c r="A4381" s="6">
        <v>2024</v>
      </c>
      <c r="B4381" s="6">
        <v>9</v>
      </c>
      <c r="C4381" s="6" t="s">
        <v>67</v>
      </c>
      <c r="D4381" s="6" t="s">
        <v>380</v>
      </c>
      <c r="E4381" s="6" t="s">
        <v>381</v>
      </c>
      <c r="F4381" s="6" t="str">
        <f>IF($M4381="PADD I","PADD 1",IF($M4381="PADD II","PADD 2",IF($M4381="PADD III","PADD 3",IF($M4381="PADD IV","PADD 4",IF($M4381="PADD V","PADD 5","")))))</f>
        <v>PADD 3</v>
      </c>
      <c r="G4381" s="6" t="str">
        <f>IF(AND($H4381="ATMOS DISTILLATION",ISNUMBER(SEARCH("VPS",$I4381))=FALSE,LEFT($I4381,6)&lt;&gt;"VACUUM"),"CDU",IF($H4381="FLUID CAT CRACKING","FCC",IF(OR($H4381="HYDROCRACKING",$H4381="RESID_HYDROCRACKING"),"Hydrocracker",IF($H4381="REFORMING","Reformer",""))))</f>
        <v>FCC</v>
      </c>
      <c r="H4381" s="6" t="s">
        <v>376</v>
      </c>
      <c r="I4381" s="6" t="s">
        <v>850</v>
      </c>
      <c r="J4381" s="6" t="s">
        <v>345</v>
      </c>
      <c r="K4381" s="10">
        <v>5.5</v>
      </c>
      <c r="L4381" s="10">
        <v>55</v>
      </c>
      <c r="M4381" s="6" t="s">
        <v>371</v>
      </c>
    </row>
    <row r="4382" spans="1:13">
      <c r="A4382" s="6">
        <v>2024</v>
      </c>
      <c r="B4382" s="6">
        <v>9</v>
      </c>
      <c r="C4382" s="6" t="s">
        <v>67</v>
      </c>
      <c r="D4382" s="6" t="s">
        <v>380</v>
      </c>
      <c r="E4382" s="6" t="s">
        <v>381</v>
      </c>
      <c r="F4382" s="6" t="str">
        <f>IF($M4382="PADD I","PADD 1",IF($M4382="PADD II","PADD 2",IF($M4382="PADD III","PADD 3",IF($M4382="PADD IV","PADD 4",IF($M4382="PADD V","PADD 5","")))))</f>
        <v>PADD 3</v>
      </c>
      <c r="G4382" s="6" t="str">
        <f>IF(AND($H4382="ATMOS DISTILLATION",ISNUMBER(SEARCH("VPS",$I4382))=FALSE,LEFT($I4382,6)&lt;&gt;"VACUUM"),"CDU",IF($H4382="FLUID CAT CRACKING","FCC",IF(OR($H4382="HYDROCRACKING",$H4382="RESID_HYDROCRACKING"),"Hydrocracker",IF($H4382="REFORMING","Reformer",""))))</f>
        <v>CDU</v>
      </c>
      <c r="H4382" s="6" t="s">
        <v>38</v>
      </c>
      <c r="I4382" s="6" t="s">
        <v>114</v>
      </c>
      <c r="J4382" s="6" t="s">
        <v>345</v>
      </c>
      <c r="K4382" s="10">
        <v>5.5</v>
      </c>
      <c r="L4382" s="10">
        <v>55</v>
      </c>
      <c r="M4382" s="6" t="s">
        <v>371</v>
      </c>
    </row>
    <row r="4383" spans="1:13">
      <c r="A4383" s="6">
        <v>2024</v>
      </c>
      <c r="B4383" s="6">
        <v>9</v>
      </c>
      <c r="C4383" s="6" t="s">
        <v>67</v>
      </c>
      <c r="D4383" s="6" t="s">
        <v>372</v>
      </c>
      <c r="E4383" s="6" t="s">
        <v>373</v>
      </c>
      <c r="F4383" s="6" t="str">
        <f>IF($M4383="PADD I","PADD 1",IF($M4383="PADD II","PADD 2",IF($M4383="PADD III","PADD 3",IF($M4383="PADD IV","PADD 4",IF($M4383="PADD V","PADD 5","")))))</f>
        <v>PADD 2</v>
      </c>
      <c r="G4383" s="6" t="str">
        <f>IF(AND($H4383="ATMOS DISTILLATION",ISNUMBER(SEARCH("VPS",$I4383))=FALSE,LEFT($I4383,6)&lt;&gt;"VACUUM"),"CDU",IF($H4383="FLUID CAT CRACKING","FCC",IF(OR($H4383="HYDROCRACKING",$H4383="RESID_HYDROCRACKING"),"Hydrocracker",IF($H4383="REFORMING","Reformer",""))))</f>
        <v>FCC</v>
      </c>
      <c r="H4383" s="6" t="s">
        <v>376</v>
      </c>
      <c r="I4383" s="6" t="s">
        <v>407</v>
      </c>
      <c r="J4383" s="6" t="s">
        <v>345</v>
      </c>
      <c r="K4383" s="10">
        <v>5.5</v>
      </c>
      <c r="L4383" s="10">
        <v>55</v>
      </c>
      <c r="M4383" s="6" t="s">
        <v>375</v>
      </c>
    </row>
    <row r="4384" spans="1:13">
      <c r="A4384" s="6">
        <v>2024</v>
      </c>
      <c r="B4384" s="6">
        <v>9</v>
      </c>
      <c r="C4384" s="6" t="s">
        <v>67</v>
      </c>
      <c r="D4384" s="6" t="s">
        <v>615</v>
      </c>
      <c r="E4384" s="6" t="s">
        <v>405</v>
      </c>
      <c r="F4384" s="6" t="str">
        <f>IF($M4384="PADD I","PADD 1",IF($M4384="PADD II","PADD 2",IF($M4384="PADD III","PADD 3",IF($M4384="PADD IV","PADD 4",IF($M4384="PADD V","PADD 5","")))))</f>
        <v>PADD 5</v>
      </c>
      <c r="G4384" s="6">
        <f>IF(AND($H4384="ATMOS DISTILLATION",ISNUMBER(SEARCH("VPS",$I4384))=FALSE,LEFT($I4384,6)&lt;&gt;"VACUUM"),"CDU",IF($H4384="FLUID CAT CRACKING","FCC",IF(OR($H4384="HYDROCRACKING",$H4384="RESID_HYDROCRACKING"),"Hydrocracker",IF($H4384="REFORMING","Reformer",""))))</f>
        <v/>
      </c>
      <c r="H4384" s="6" t="s">
        <v>43</v>
      </c>
      <c r="I4384" s="6" t="s">
        <v>1238</v>
      </c>
      <c r="J4384" s="6" t="s">
        <v>349</v>
      </c>
      <c r="K4384" s="10">
        <v>5.33</v>
      </c>
      <c r="L4384" s="10">
        <v>41</v>
      </c>
      <c r="M4384" s="6" t="s">
        <v>386</v>
      </c>
    </row>
    <row r="4385" spans="1:13">
      <c r="A4385" s="6">
        <v>2024</v>
      </c>
      <c r="B4385" s="6">
        <v>9</v>
      </c>
      <c r="C4385" s="6" t="s">
        <v>67</v>
      </c>
      <c r="D4385" s="6" t="s">
        <v>328</v>
      </c>
      <c r="E4385" s="6" t="s">
        <v>416</v>
      </c>
      <c r="F4385" s="6" t="str">
        <f>IF($M4385="PADD I","PADD 1",IF($M4385="PADD II","PADD 2",IF($M4385="PADD III","PADD 3",IF($M4385="PADD IV","PADD 4",IF($M4385="PADD V","PADD 5","")))))</f>
        <v>PADD 2</v>
      </c>
      <c r="G4385" s="6" t="str">
        <f>IF(AND($H4385="ATMOS DISTILLATION",ISNUMBER(SEARCH("VPS",$I4385))=FALSE,LEFT($I4385,6)&lt;&gt;"VACUUM"),"CDU",IF($H4385="FLUID CAT CRACKING","FCC",IF(OR($H4385="HYDROCRACKING",$H4385="RESID_HYDROCRACKING"),"Hydrocracker",IF($H4385="REFORMING","Reformer",""))))</f>
        <v>CDU</v>
      </c>
      <c r="H4385" s="6" t="s">
        <v>38</v>
      </c>
      <c r="I4385" s="6" t="s">
        <v>91</v>
      </c>
      <c r="J4385" s="6" t="s">
        <v>345</v>
      </c>
      <c r="K4385" s="10">
        <v>5.25</v>
      </c>
      <c r="L4385" s="10">
        <v>175</v>
      </c>
      <c r="M4385" s="6" t="s">
        <v>375</v>
      </c>
    </row>
    <row r="4386" spans="1:13">
      <c r="A4386" s="6">
        <v>2024</v>
      </c>
      <c r="B4386" s="6">
        <v>9</v>
      </c>
      <c r="C4386" s="6" t="s">
        <v>67</v>
      </c>
      <c r="D4386" s="6" t="s">
        <v>934</v>
      </c>
      <c r="E4386" s="6" t="s">
        <v>388</v>
      </c>
      <c r="F4386" s="6" t="str">
        <f>IF($M4386="PADD I","PADD 1",IF($M4386="PADD II","PADD 2",IF($M4386="PADD III","PADD 3",IF($M4386="PADD IV","PADD 4",IF($M4386="PADD V","PADD 5","")))))</f>
        <v>PADD 3</v>
      </c>
      <c r="G4386" s="6" t="str">
        <f>IF(AND($H4386="ATMOS DISTILLATION",ISNUMBER(SEARCH("VPS",$I4386))=FALSE,LEFT($I4386,6)&lt;&gt;"VACUUM"),"CDU",IF($H4386="FLUID CAT CRACKING","FCC",IF(OR($H4386="HYDROCRACKING",$H4386="RESID_HYDROCRACKING"),"Hydrocracker",IF($H4386="REFORMING","Reformer",""))))</f>
        <v>CDU</v>
      </c>
      <c r="H4386" s="6" t="s">
        <v>38</v>
      </c>
      <c r="I4386" s="6" t="s">
        <v>135</v>
      </c>
      <c r="J4386" s="6" t="s">
        <v>345</v>
      </c>
      <c r="K4386" s="10">
        <v>5.25</v>
      </c>
      <c r="L4386" s="10">
        <v>75</v>
      </c>
      <c r="M4386" s="6" t="s">
        <v>371</v>
      </c>
    </row>
    <row r="4387" spans="1:13">
      <c r="A4387" s="6">
        <v>2024</v>
      </c>
      <c r="B4387" s="6">
        <v>9</v>
      </c>
      <c r="C4387" s="6" t="s">
        <v>67</v>
      </c>
      <c r="D4387" s="6" t="s">
        <v>468</v>
      </c>
      <c r="E4387" s="6" t="s">
        <v>369</v>
      </c>
      <c r="F4387" s="6" t="str">
        <f>IF($M4387="PADD I","PADD 1",IF($M4387="PADD II","PADD 2",IF($M4387="PADD III","PADD 3",IF($M4387="PADD IV","PADD 4",IF($M4387="PADD V","PADD 5","")))))</f>
        <v>PADD 3</v>
      </c>
      <c r="G4387" s="6">
        <f>IF(AND($H4387="ATMOS DISTILLATION",ISNUMBER(SEARCH("VPS",$I4387))=FALSE,LEFT($I4387,6)&lt;&gt;"VACUUM"),"CDU",IF($H4387="FLUID CAT CRACKING","FCC",IF(OR($H4387="HYDROCRACKING",$H4387="RESID_HYDROCRACKING"),"Hydrocracker",IF($H4387="REFORMING","Reformer",""))))</f>
        <v/>
      </c>
      <c r="H4387" s="6" t="s">
        <v>460</v>
      </c>
      <c r="I4387" s="6" t="s">
        <v>890</v>
      </c>
      <c r="J4387" s="6" t="s">
        <v>345</v>
      </c>
      <c r="K4387" s="10">
        <v>5.18</v>
      </c>
      <c r="L4387" s="10">
        <v>14</v>
      </c>
      <c r="M4387" s="6" t="s">
        <v>371</v>
      </c>
    </row>
    <row r="4388" spans="1:13">
      <c r="A4388" s="6">
        <v>2024</v>
      </c>
      <c r="B4388" s="6">
        <v>9</v>
      </c>
      <c r="C4388" s="6" t="s">
        <v>67</v>
      </c>
      <c r="D4388" s="6" t="s">
        <v>408</v>
      </c>
      <c r="E4388" s="6" t="s">
        <v>409</v>
      </c>
      <c r="F4388" s="6" t="str">
        <f>IF($M4388="PADD I","PADD 1",IF($M4388="PADD II","PADD 2",IF($M4388="PADD III","PADD 3",IF($M4388="PADD IV","PADD 4",IF($M4388="PADD V","PADD 5","")))))</f>
        <v>PADD 3</v>
      </c>
      <c r="G4388" s="6">
        <f>IF(AND($H4388="ATMOS DISTILLATION",ISNUMBER(SEARCH("VPS",$I4388))=FALSE,LEFT($I4388,6)&lt;&gt;"VACUUM"),"CDU",IF($H4388="FLUID CAT CRACKING","FCC",IF(OR($H4388="HYDROCRACKING",$H4388="RESID_HYDROCRACKING"),"Hydrocracker",IF($H4388="REFORMING","Reformer",""))))</f>
        <v/>
      </c>
      <c r="H4388" s="6" t="s">
        <v>378</v>
      </c>
      <c r="I4388" s="6" t="s">
        <v>506</v>
      </c>
      <c r="J4388" s="6" t="s">
        <v>345</v>
      </c>
      <c r="K4388" s="10">
        <v>5.1</v>
      </c>
      <c r="L4388" s="10">
        <v>51</v>
      </c>
      <c r="M4388" s="6" t="s">
        <v>371</v>
      </c>
    </row>
    <row r="4389" spans="1:13">
      <c r="A4389" s="6">
        <v>2024</v>
      </c>
      <c r="B4389" s="6">
        <v>9</v>
      </c>
      <c r="C4389" s="6" t="s">
        <v>67</v>
      </c>
      <c r="D4389" s="6" t="s">
        <v>408</v>
      </c>
      <c r="E4389" s="6" t="s">
        <v>409</v>
      </c>
      <c r="F4389" s="6" t="str">
        <f>IF($M4389="PADD I","PADD 1",IF($M4389="PADD II","PADD 2",IF($M4389="PADD III","PADD 3",IF($M4389="PADD IV","PADD 4",IF($M4389="PADD V","PADD 5","")))))</f>
        <v>PADD 3</v>
      </c>
      <c r="G4389" s="6">
        <f>IF(AND($H4389="ATMOS DISTILLATION",ISNUMBER(SEARCH("VPS",$I4389))=FALSE,LEFT($I4389,6)&lt;&gt;"VACUUM"),"CDU",IF($H4389="FLUID CAT CRACKING","FCC",IF(OR($H4389="HYDROCRACKING",$H4389="RESID_HYDROCRACKING"),"Hydrocracker",IF($H4389="REFORMING","Reformer",""))))</f>
        <v/>
      </c>
      <c r="H4389" s="6" t="s">
        <v>378</v>
      </c>
      <c r="I4389" s="6" t="s">
        <v>506</v>
      </c>
      <c r="J4389" s="6" t="s">
        <v>349</v>
      </c>
      <c r="K4389" s="10">
        <v>5.1</v>
      </c>
      <c r="L4389" s="10">
        <v>51</v>
      </c>
      <c r="M4389" s="6" t="s">
        <v>371</v>
      </c>
    </row>
    <row r="4390" spans="1:13">
      <c r="A4390" s="6">
        <v>2024</v>
      </c>
      <c r="B4390" s="6">
        <v>9</v>
      </c>
      <c r="C4390" s="6" t="s">
        <v>67</v>
      </c>
      <c r="D4390" s="6" t="s">
        <v>714</v>
      </c>
      <c r="E4390" s="6" t="s">
        <v>405</v>
      </c>
      <c r="F4390" s="6" t="str">
        <f>IF($M4390="PADD I","PADD 1",IF($M4390="PADD II","PADD 2",IF($M4390="PADD III","PADD 3",IF($M4390="PADD IV","PADD 4",IF($M4390="PADD V","PADD 5","")))))</f>
        <v>PADD 3</v>
      </c>
      <c r="G4390" s="6">
        <f>IF(AND($H4390="ATMOS DISTILLATION",ISNUMBER(SEARCH("VPS",$I4390))=FALSE,LEFT($I4390,6)&lt;&gt;"VACUUM"),"CDU",IF($H4390="FLUID CAT CRACKING","FCC",IF(OR($H4390="HYDROCRACKING",$H4390="RESID_HYDROCRACKING"),"Hydrocracker",IF($H4390="REFORMING","Reformer",""))))</f>
        <v/>
      </c>
      <c r="H4390" s="6" t="s">
        <v>378</v>
      </c>
      <c r="I4390" s="6" t="s">
        <v>494</v>
      </c>
      <c r="J4390" s="6" t="s">
        <v>349</v>
      </c>
      <c r="K4390" s="10">
        <v>5.1</v>
      </c>
      <c r="L4390" s="10">
        <v>30</v>
      </c>
      <c r="M4390" s="6" t="s">
        <v>371</v>
      </c>
    </row>
    <row r="4391" spans="1:13">
      <c r="A4391" s="6">
        <v>2024</v>
      </c>
      <c r="B4391" s="6">
        <v>9</v>
      </c>
      <c r="C4391" s="6" t="s">
        <v>67</v>
      </c>
      <c r="D4391" s="6" t="s">
        <v>1239</v>
      </c>
      <c r="E4391" s="6" t="s">
        <v>872</v>
      </c>
      <c r="F4391" s="6" t="str">
        <f>IF($M4391="PADD I","PADD 1",IF($M4391="PADD II","PADD 2",IF($M4391="PADD III","PADD 3",IF($M4391="PADD IV","PADD 4",IF($M4391="PADD V","PADD 5","")))))</f>
        <v>PADD 4</v>
      </c>
      <c r="G4391" s="6" t="str">
        <f>IF(AND($H4391="ATMOS DISTILLATION",ISNUMBER(SEARCH("VPS",$I4391))=FALSE,LEFT($I4391,6)&lt;&gt;"VACUUM"),"CDU",IF($H4391="FLUID CAT CRACKING","FCC",IF(OR($H4391="HYDROCRACKING",$H4391="RESID_HYDROCRACKING"),"Hydrocracker",IF($H4391="REFORMING","Reformer",""))))</f>
        <v>CDU</v>
      </c>
      <c r="H4391" s="6" t="s">
        <v>38</v>
      </c>
      <c r="I4391" s="6" t="s">
        <v>81</v>
      </c>
      <c r="J4391" s="6" t="s">
        <v>349</v>
      </c>
      <c r="K4391" s="10">
        <v>5</v>
      </c>
      <c r="L4391" s="10">
        <v>12.5</v>
      </c>
      <c r="M4391" s="6" t="s">
        <v>430</v>
      </c>
    </row>
    <row r="4392" spans="1:13">
      <c r="A4392" s="6">
        <v>2024</v>
      </c>
      <c r="B4392" s="6">
        <v>9</v>
      </c>
      <c r="C4392" s="6" t="s">
        <v>67</v>
      </c>
      <c r="D4392" s="6" t="s">
        <v>321</v>
      </c>
      <c r="E4392" s="6" t="s">
        <v>381</v>
      </c>
      <c r="F4392" s="6" t="str">
        <f>IF($M4392="PADD I","PADD 1",IF($M4392="PADD II","PADD 2",IF($M4392="PADD III","PADD 3",IF($M4392="PADD IV","PADD 4",IF($M4392="PADD V","PADD 5","")))))</f>
        <v>PADD 2</v>
      </c>
      <c r="G4392" s="6">
        <f>IF(AND($H4392="ATMOS DISTILLATION",ISNUMBER(SEARCH("VPS",$I4392))=FALSE,LEFT($I4392,6)&lt;&gt;"VACUUM"),"CDU",IF($H4392="FLUID CAT CRACKING","FCC",IF(OR($H4392="HYDROCRACKING",$H4392="RESID_HYDROCRACKING"),"Hydrocracker",IF($H4392="REFORMING","Reformer",""))))</f>
        <v/>
      </c>
      <c r="H4392" s="6" t="s">
        <v>43</v>
      </c>
      <c r="I4392" s="6" t="s">
        <v>1164</v>
      </c>
      <c r="J4392" s="6" t="s">
        <v>345</v>
      </c>
      <c r="K4392" s="10">
        <v>4.95</v>
      </c>
      <c r="L4392" s="10">
        <v>15</v>
      </c>
      <c r="M4392" s="6" t="s">
        <v>375</v>
      </c>
    </row>
    <row r="4393" spans="1:13">
      <c r="A4393" s="6">
        <v>2024</v>
      </c>
      <c r="B4393" s="6">
        <v>9</v>
      </c>
      <c r="C4393" s="6" t="s">
        <v>67</v>
      </c>
      <c r="D4393" s="6" t="s">
        <v>51</v>
      </c>
      <c r="E4393" s="6" t="s">
        <v>391</v>
      </c>
      <c r="F4393" s="6" t="str">
        <f>IF($M4393="PADD I","PADD 1",IF($M4393="PADD II","PADD 2",IF($M4393="PADD III","PADD 3",IF($M4393="PADD IV","PADD 4",IF($M4393="PADD V","PADD 5","")))))</f>
        <v>PADD 5</v>
      </c>
      <c r="G4393" s="6">
        <f>IF(AND($H4393="ATMOS DISTILLATION",ISNUMBER(SEARCH("VPS",$I4393))=FALSE,LEFT($I4393,6)&lt;&gt;"VACUUM"),"CDU",IF($H4393="FLUID CAT CRACKING","FCC",IF(OR($H4393="HYDROCRACKING",$H4393="RESID_HYDROCRACKING"),"Hydrocracker",IF($H4393="REFORMING","Reformer",""))))</f>
        <v/>
      </c>
      <c r="H4393" s="6" t="s">
        <v>378</v>
      </c>
      <c r="I4393" s="6" t="s">
        <v>1035</v>
      </c>
      <c r="J4393" s="6" t="s">
        <v>345</v>
      </c>
      <c r="K4393" s="10">
        <v>4.83</v>
      </c>
      <c r="L4393" s="10">
        <v>161</v>
      </c>
      <c r="M4393" s="6" t="s">
        <v>386</v>
      </c>
    </row>
    <row r="4394" spans="1:13">
      <c r="A4394" s="6">
        <v>2024</v>
      </c>
      <c r="B4394" s="6">
        <v>9</v>
      </c>
      <c r="C4394" s="6" t="s">
        <v>67</v>
      </c>
      <c r="D4394" s="6" t="s">
        <v>675</v>
      </c>
      <c r="E4394" s="6" t="s">
        <v>452</v>
      </c>
      <c r="F4394" s="6" t="str">
        <f>IF($M4394="PADD I","PADD 1",IF($M4394="PADD II","PADD 2",IF($M4394="PADD III","PADD 3",IF($M4394="PADD IV","PADD 4",IF($M4394="PADD V","PADD 5","")))))</f>
        <v>PADD 2</v>
      </c>
      <c r="G4394" s="6">
        <f>IF(AND($H4394="ATMOS DISTILLATION",ISNUMBER(SEARCH("VPS",$I4394))=FALSE,LEFT($I4394,6)&lt;&gt;"VACUUM"),"CDU",IF($H4394="FLUID CAT CRACKING","FCC",IF(OR($H4394="HYDROCRACKING",$H4394="RESID_HYDROCRACKING"),"Hydrocracker",IF($H4394="REFORMING","Reformer",""))))</f>
        <v/>
      </c>
      <c r="H4394" s="6" t="s">
        <v>435</v>
      </c>
      <c r="I4394" s="6" t="s">
        <v>441</v>
      </c>
      <c r="J4394" s="6" t="s">
        <v>349</v>
      </c>
      <c r="K4394" s="10">
        <v>4.715</v>
      </c>
      <c r="L4394" s="10">
        <v>20.5</v>
      </c>
      <c r="M4394" s="6" t="s">
        <v>375</v>
      </c>
    </row>
    <row r="4395" spans="1:13">
      <c r="A4395" s="6">
        <v>2024</v>
      </c>
      <c r="B4395" s="6">
        <v>9</v>
      </c>
      <c r="C4395" s="6" t="s">
        <v>67</v>
      </c>
      <c r="D4395" s="6" t="s">
        <v>851</v>
      </c>
      <c r="E4395" s="6" t="s">
        <v>852</v>
      </c>
      <c r="F4395" s="6" t="str">
        <f>IF($M4395="PADD I","PADD 1",IF($M4395="PADD II","PADD 2",IF($M4395="PADD III","PADD 3",IF($M4395="PADD IV","PADD 4",IF($M4395="PADD V","PADD 5","")))))</f>
        <v>PADD 3</v>
      </c>
      <c r="G4395" s="6">
        <f>IF(AND($H4395="ATMOS DISTILLATION",ISNUMBER(SEARCH("VPS",$I4395))=FALSE,LEFT($I4395,6)&lt;&gt;"VACUUM"),"CDU",IF($H4395="FLUID CAT CRACKING","FCC",IF(OR($H4395="HYDROCRACKING",$H4395="RESID_HYDROCRACKING"),"Hydrocracker",IF($H4395="REFORMING","Reformer",""))))</f>
        <v/>
      </c>
      <c r="H4395" s="6" t="s">
        <v>378</v>
      </c>
      <c r="I4395" s="6" t="s">
        <v>860</v>
      </c>
      <c r="J4395" s="6" t="s">
        <v>345</v>
      </c>
      <c r="K4395" s="10">
        <v>4.68</v>
      </c>
      <c r="L4395" s="10">
        <v>36</v>
      </c>
      <c r="M4395" s="6" t="s">
        <v>371</v>
      </c>
    </row>
    <row r="4396" spans="1:13">
      <c r="A4396" s="6">
        <v>2024</v>
      </c>
      <c r="B4396" s="6">
        <v>9</v>
      </c>
      <c r="C4396" s="6" t="s">
        <v>67</v>
      </c>
      <c r="D4396" s="6" t="s">
        <v>531</v>
      </c>
      <c r="E4396" s="6" t="s">
        <v>532</v>
      </c>
      <c r="F4396" s="6" t="str">
        <f>IF($M4396="PADD I","PADD 1",IF($M4396="PADD II","PADD 2",IF($M4396="PADD III","PADD 3",IF($M4396="PADD IV","PADD 4",IF($M4396="PADD V","PADD 5","")))))</f>
        <v>PADD 5</v>
      </c>
      <c r="G4396" s="6" t="str">
        <f>IF(AND($H4396="ATMOS DISTILLATION",ISNUMBER(SEARCH("VPS",$I4396))=FALSE,LEFT($I4396,6)&lt;&gt;"VACUUM"),"CDU",IF($H4396="FLUID CAT CRACKING","FCC",IF(OR($H4396="HYDROCRACKING",$H4396="RESID_HYDROCRACKING"),"Hydrocracker",IF($H4396="REFORMING","Reformer",""))))</f>
        <v>CDU</v>
      </c>
      <c r="H4396" s="6" t="s">
        <v>38</v>
      </c>
      <c r="I4396" s="6" t="s">
        <v>81</v>
      </c>
      <c r="J4396" s="6" t="s">
        <v>345</v>
      </c>
      <c r="K4396" s="10">
        <v>4.65</v>
      </c>
      <c r="L4396" s="10">
        <v>155</v>
      </c>
      <c r="M4396" s="6" t="s">
        <v>386</v>
      </c>
    </row>
    <row r="4397" spans="1:13">
      <c r="A4397" s="6">
        <v>2024</v>
      </c>
      <c r="B4397" s="6">
        <v>9</v>
      </c>
      <c r="C4397" s="6" t="s">
        <v>67</v>
      </c>
      <c r="D4397" s="6" t="s">
        <v>380</v>
      </c>
      <c r="E4397" s="6" t="s">
        <v>381</v>
      </c>
      <c r="F4397" s="6" t="str">
        <f>IF($M4397="PADD I","PADD 1",IF($M4397="PADD II","PADD 2",IF($M4397="PADD III","PADD 3",IF($M4397="PADD IV","PADD 4",IF($M4397="PADD V","PADD 5","")))))</f>
        <v>PADD 3</v>
      </c>
      <c r="G4397" s="6" t="str">
        <f>IF(AND($H4397="ATMOS DISTILLATION",ISNUMBER(SEARCH("VPS",$I4397))=FALSE,LEFT($I4397,6)&lt;&gt;"VACUUM"),"CDU",IF($H4397="FLUID CAT CRACKING","FCC",IF(OR($H4397="HYDROCRACKING",$H4397="RESID_HYDROCRACKING"),"Hydrocracker",IF($H4397="REFORMING","Reformer",""))))</f>
        <v>CDU</v>
      </c>
      <c r="H4397" s="6" t="s">
        <v>38</v>
      </c>
      <c r="I4397" s="6" t="s">
        <v>978</v>
      </c>
      <c r="J4397" s="6" t="s">
        <v>345</v>
      </c>
      <c r="K4397" s="10">
        <v>4.5</v>
      </c>
      <c r="L4397" s="10">
        <v>45</v>
      </c>
      <c r="M4397" s="6" t="s">
        <v>371</v>
      </c>
    </row>
    <row r="4398" spans="1:13">
      <c r="A4398" s="6">
        <v>2024</v>
      </c>
      <c r="B4398" s="6">
        <v>9</v>
      </c>
      <c r="C4398" s="6" t="s">
        <v>67</v>
      </c>
      <c r="D4398" s="6" t="s">
        <v>380</v>
      </c>
      <c r="E4398" s="6" t="s">
        <v>381</v>
      </c>
      <c r="F4398" s="6" t="str">
        <f>IF($M4398="PADD I","PADD 1",IF($M4398="PADD II","PADD 2",IF($M4398="PADD III","PADD 3",IF($M4398="PADD IV","PADD 4",IF($M4398="PADD V","PADD 5","")))))</f>
        <v>PADD 3</v>
      </c>
      <c r="G4398" s="6" t="str">
        <f>IF(AND($H4398="ATMOS DISTILLATION",ISNUMBER(SEARCH("VPS",$I4398))=FALSE,LEFT($I4398,6)&lt;&gt;"VACUUM"),"CDU",IF($H4398="FLUID CAT CRACKING","FCC",IF(OR($H4398="HYDROCRACKING",$H4398="RESID_HYDROCRACKING"),"Hydrocracker",IF($H4398="REFORMING","Reformer",""))))</f>
        <v>CDU</v>
      </c>
      <c r="H4398" s="6" t="s">
        <v>38</v>
      </c>
      <c r="I4398" s="6" t="s">
        <v>846</v>
      </c>
      <c r="J4398" s="6" t="s">
        <v>345</v>
      </c>
      <c r="K4398" s="10">
        <v>4.5</v>
      </c>
      <c r="L4398" s="10">
        <v>45</v>
      </c>
      <c r="M4398" s="6" t="s">
        <v>371</v>
      </c>
    </row>
    <row r="4399" spans="1:13">
      <c r="A4399" s="6">
        <v>2024</v>
      </c>
      <c r="B4399" s="6">
        <v>9</v>
      </c>
      <c r="C4399" s="6" t="s">
        <v>67</v>
      </c>
      <c r="D4399" s="6" t="s">
        <v>675</v>
      </c>
      <c r="E4399" s="6" t="s">
        <v>452</v>
      </c>
      <c r="F4399" s="6" t="str">
        <f>IF($M4399="PADD I","PADD 1",IF($M4399="PADD II","PADD 2",IF($M4399="PADD III","PADD 3",IF($M4399="PADD IV","PADD 4",IF($M4399="PADD V","PADD 5","")))))</f>
        <v>PADD 2</v>
      </c>
      <c r="G4399" s="6">
        <f>IF(AND($H4399="ATMOS DISTILLATION",ISNUMBER(SEARCH("VPS",$I4399))=FALSE,LEFT($I4399,6)&lt;&gt;"VACUUM"),"CDU",IF($H4399="FLUID CAT CRACKING","FCC",IF(OR($H4399="HYDROCRACKING",$H4399="RESID_HYDROCRACKING"),"Hydrocracker",IF($H4399="REFORMING","Reformer",""))))</f>
        <v/>
      </c>
      <c r="H4399" s="6" t="s">
        <v>43</v>
      </c>
      <c r="I4399" s="6" t="s">
        <v>1142</v>
      </c>
      <c r="J4399" s="6" t="s">
        <v>345</v>
      </c>
      <c r="K4399" s="10">
        <v>4.5</v>
      </c>
      <c r="L4399" s="10">
        <v>45</v>
      </c>
      <c r="M4399" s="6" t="s">
        <v>375</v>
      </c>
    </row>
    <row r="4400" spans="1:13">
      <c r="A4400" s="6">
        <v>2024</v>
      </c>
      <c r="B4400" s="6">
        <v>9</v>
      </c>
      <c r="C4400" s="6" t="s">
        <v>67</v>
      </c>
      <c r="D4400" s="6" t="s">
        <v>1063</v>
      </c>
      <c r="E4400" s="6" t="s">
        <v>388</v>
      </c>
      <c r="F4400" s="6" t="str">
        <f>IF($M4400="PADD I","PADD 1",IF($M4400="PADD II","PADD 2",IF($M4400="PADD III","PADD 3",IF($M4400="PADD IV","PADD 4",IF($M4400="PADD V","PADD 5","")))))</f>
        <v>PADD 2</v>
      </c>
      <c r="G4400" s="6">
        <f>IF(AND($H4400="ATMOS DISTILLATION",ISNUMBER(SEARCH("VPS",$I4400))=FALSE,LEFT($I4400,6)&lt;&gt;"VACUUM"),"CDU",IF($H4400="FLUID CAT CRACKING","FCC",IF(OR($H4400="HYDROCRACKING",$H4400="RESID_HYDROCRACKING"),"Hydrocracker",IF($H4400="REFORMING","Reformer",""))))</f>
        <v/>
      </c>
      <c r="H4400" s="6" t="s">
        <v>43</v>
      </c>
      <c r="I4400" s="6" t="s">
        <v>1072</v>
      </c>
      <c r="J4400" s="6" t="s">
        <v>349</v>
      </c>
      <c r="K4400" s="10">
        <v>4.41</v>
      </c>
      <c r="L4400" s="10">
        <v>7</v>
      </c>
      <c r="M4400" s="6" t="s">
        <v>375</v>
      </c>
    </row>
    <row r="4401" spans="1:13">
      <c r="A4401" s="6">
        <v>2024</v>
      </c>
      <c r="B4401" s="6">
        <v>9</v>
      </c>
      <c r="C4401" s="6" t="s">
        <v>67</v>
      </c>
      <c r="D4401" s="6" t="s">
        <v>774</v>
      </c>
      <c r="E4401" s="6" t="s">
        <v>775</v>
      </c>
      <c r="F4401" s="6" t="str">
        <f>IF($M4401="PADD I","PADD 1",IF($M4401="PADD II","PADD 2",IF($M4401="PADD III","PADD 3",IF($M4401="PADD IV","PADD 4",IF($M4401="PADD V","PADD 5","")))))</f>
        <v>PADD 1</v>
      </c>
      <c r="G4401" s="6" t="str">
        <f>IF(AND($H4401="ATMOS DISTILLATION",ISNUMBER(SEARCH("VPS",$I4401))=FALSE,LEFT($I4401,6)&lt;&gt;"VACUUM"),"CDU",IF($H4401="FLUID CAT CRACKING","FCC",IF(OR($H4401="HYDROCRACKING",$H4401="RESID_HYDROCRACKING"),"Hydrocracker",IF($H4401="REFORMING","Reformer",""))))</f>
        <v>Reformer</v>
      </c>
      <c r="H4401" s="6" t="s">
        <v>421</v>
      </c>
      <c r="I4401" s="6" t="s">
        <v>1070</v>
      </c>
      <c r="J4401" s="6" t="s">
        <v>345</v>
      </c>
      <c r="K4401" s="10">
        <v>4.3</v>
      </c>
      <c r="L4401" s="10">
        <v>43</v>
      </c>
      <c r="M4401" s="6" t="s">
        <v>413</v>
      </c>
    </row>
    <row r="4402" spans="1:13">
      <c r="A4402" s="6">
        <v>2024</v>
      </c>
      <c r="B4402" s="6">
        <v>9</v>
      </c>
      <c r="C4402" s="6" t="s">
        <v>67</v>
      </c>
      <c r="D4402" s="6" t="s">
        <v>380</v>
      </c>
      <c r="E4402" s="6" t="s">
        <v>381</v>
      </c>
      <c r="F4402" s="6" t="str">
        <f>IF($M4402="PADD I","PADD 1",IF($M4402="PADD II","PADD 2",IF($M4402="PADD III","PADD 3",IF($M4402="PADD IV","PADD 4",IF($M4402="PADD V","PADD 5","")))))</f>
        <v>PADD 3</v>
      </c>
      <c r="G4402" s="6">
        <f>IF(AND($H4402="ATMOS DISTILLATION",ISNUMBER(SEARCH("VPS",$I4402))=FALSE,LEFT($I4402,6)&lt;&gt;"VACUUM"),"CDU",IF($H4402="FLUID CAT CRACKING","FCC",IF(OR($H4402="HYDROCRACKING",$H4402="RESID_HYDROCRACKING"),"Hydrocracker",IF($H4402="REFORMING","Reformer",""))))</f>
        <v/>
      </c>
      <c r="H4402" s="6" t="s">
        <v>43</v>
      </c>
      <c r="I4402" s="6" t="s">
        <v>1240</v>
      </c>
      <c r="J4402" s="6" t="s">
        <v>345</v>
      </c>
      <c r="K4402" s="10">
        <v>4.241</v>
      </c>
      <c r="L4402" s="10">
        <v>42.41</v>
      </c>
      <c r="M4402" s="6" t="s">
        <v>371</v>
      </c>
    </row>
    <row r="4403" spans="1:13">
      <c r="A4403" s="6">
        <v>2024</v>
      </c>
      <c r="B4403" s="6">
        <v>9</v>
      </c>
      <c r="C4403" s="6" t="s">
        <v>67</v>
      </c>
      <c r="D4403" s="6" t="s">
        <v>333</v>
      </c>
      <c r="E4403" s="6" t="s">
        <v>381</v>
      </c>
      <c r="F4403" s="6" t="str">
        <f>IF($M4403="PADD I","PADD 1",IF($M4403="PADD II","PADD 2",IF($M4403="PADD III","PADD 3",IF($M4403="PADD IV","PADD 4",IF($M4403="PADD V","PADD 5","")))))</f>
        <v>PADD 3</v>
      </c>
      <c r="G4403" s="6">
        <f>IF(AND($H4403="ATMOS DISTILLATION",ISNUMBER(SEARCH("VPS",$I4403))=FALSE,LEFT($I4403,6)&lt;&gt;"VACUUM"),"CDU",IF($H4403="FLUID CAT CRACKING","FCC",IF(OR($H4403="HYDROCRACKING",$H4403="RESID_HYDROCRACKING"),"Hydrocracker",IF($H4403="REFORMING","Reformer",""))))</f>
        <v/>
      </c>
      <c r="H4403" s="6" t="s">
        <v>435</v>
      </c>
      <c r="I4403" s="6" t="s">
        <v>441</v>
      </c>
      <c r="J4403" s="6" t="s">
        <v>345</v>
      </c>
      <c r="K4403" s="10">
        <v>4.2</v>
      </c>
      <c r="L4403" s="10">
        <v>60</v>
      </c>
      <c r="M4403" s="6" t="s">
        <v>371</v>
      </c>
    </row>
    <row r="4404" spans="1:13">
      <c r="A4404" s="6">
        <v>2024</v>
      </c>
      <c r="B4404" s="6">
        <v>9</v>
      </c>
      <c r="C4404" s="6" t="s">
        <v>67</v>
      </c>
      <c r="D4404" s="6" t="s">
        <v>714</v>
      </c>
      <c r="E4404" s="6" t="s">
        <v>405</v>
      </c>
      <c r="F4404" s="6" t="str">
        <f>IF($M4404="PADD I","PADD 1",IF($M4404="PADD II","PADD 2",IF($M4404="PADD III","PADD 3",IF($M4404="PADD IV","PADD 4",IF($M4404="PADD V","PADD 5","")))))</f>
        <v>PADD 3</v>
      </c>
      <c r="G4404" s="6">
        <f>IF(AND($H4404="ATMOS DISTILLATION",ISNUMBER(SEARCH("VPS",$I4404))=FALSE,LEFT($I4404,6)&lt;&gt;"VACUUM"),"CDU",IF($H4404="FLUID CAT CRACKING","FCC",IF(OR($H4404="HYDROCRACKING",$H4404="RESID_HYDROCRACKING"),"Hydrocracker",IF($H4404="REFORMING","Reformer",""))))</f>
        <v/>
      </c>
      <c r="H4404" s="6" t="s">
        <v>460</v>
      </c>
      <c r="I4404" s="6" t="s">
        <v>461</v>
      </c>
      <c r="J4404" s="6" t="s">
        <v>349</v>
      </c>
      <c r="K4404" s="10">
        <v>4.085</v>
      </c>
      <c r="L4404" s="10">
        <v>9.5</v>
      </c>
      <c r="M4404" s="6" t="s">
        <v>371</v>
      </c>
    </row>
    <row r="4405" spans="1:13">
      <c r="A4405" s="6">
        <v>2024</v>
      </c>
      <c r="B4405" s="6">
        <v>9</v>
      </c>
      <c r="C4405" s="6" t="s">
        <v>67</v>
      </c>
      <c r="D4405" s="6" t="s">
        <v>328</v>
      </c>
      <c r="E4405" s="6" t="s">
        <v>416</v>
      </c>
      <c r="F4405" s="6" t="str">
        <f>IF($M4405="PADD I","PADD 1",IF($M4405="PADD II","PADD 2",IF($M4405="PADD III","PADD 3",IF($M4405="PADD IV","PADD 4",IF($M4405="PADD V","PADD 5","")))))</f>
        <v>PADD 2</v>
      </c>
      <c r="G4405" s="6" t="str">
        <f>IF(AND($H4405="ATMOS DISTILLATION",ISNUMBER(SEARCH("VPS",$I4405))=FALSE,LEFT($I4405,6)&lt;&gt;"VACUUM"),"CDU",IF($H4405="FLUID CAT CRACKING","FCC",IF(OR($H4405="HYDROCRACKING",$H4405="RESID_HYDROCRACKING"),"Hydrocracker",IF($H4405="REFORMING","Reformer",""))))</f>
        <v>FCC</v>
      </c>
      <c r="H4405" s="6" t="s">
        <v>376</v>
      </c>
      <c r="I4405" s="6" t="s">
        <v>1241</v>
      </c>
      <c r="J4405" s="6" t="s">
        <v>345</v>
      </c>
      <c r="K4405" s="10">
        <v>4.06</v>
      </c>
      <c r="L4405" s="10">
        <v>58</v>
      </c>
      <c r="M4405" s="6" t="s">
        <v>375</v>
      </c>
    </row>
    <row r="4406" spans="1:13">
      <c r="A4406" s="6">
        <v>2024</v>
      </c>
      <c r="B4406" s="6">
        <v>9</v>
      </c>
      <c r="C4406" s="6" t="s">
        <v>67</v>
      </c>
      <c r="D4406" s="6" t="s">
        <v>542</v>
      </c>
      <c r="E4406" s="6" t="s">
        <v>543</v>
      </c>
      <c r="F4406" s="6" t="str">
        <f>IF($M4406="PADD I","PADD 1",IF($M4406="PADD II","PADD 2",IF($M4406="PADD III","PADD 3",IF($M4406="PADD IV","PADD 4",IF($M4406="PADD V","PADD 5","")))))</f>
        <v>PADD 2</v>
      </c>
      <c r="G4406" s="6">
        <f>IF(AND($H4406="ATMOS DISTILLATION",ISNUMBER(SEARCH("VPS",$I4406))=FALSE,LEFT($I4406,6)&lt;&gt;"VACUUM"),"CDU",IF($H4406="FLUID CAT CRACKING","FCC",IF(OR($H4406="HYDROCRACKING",$H4406="RESID_HYDROCRACKING"),"Hydrocracker",IF($H4406="REFORMING","Reformer",""))))</f>
        <v/>
      </c>
      <c r="H4406" s="6" t="s">
        <v>43</v>
      </c>
      <c r="I4406" s="6" t="s">
        <v>915</v>
      </c>
      <c r="J4406" s="6" t="s">
        <v>349</v>
      </c>
      <c r="K4406" s="10">
        <v>4</v>
      </c>
      <c r="L4406" s="10">
        <v>20</v>
      </c>
      <c r="M4406" s="6" t="s">
        <v>375</v>
      </c>
    </row>
    <row r="4407" spans="1:13">
      <c r="A4407" s="6">
        <v>2024</v>
      </c>
      <c r="B4407" s="6">
        <v>9</v>
      </c>
      <c r="C4407" s="6" t="s">
        <v>67</v>
      </c>
      <c r="D4407" s="6" t="s">
        <v>329</v>
      </c>
      <c r="E4407" s="6" t="s">
        <v>427</v>
      </c>
      <c r="F4407" s="6" t="str">
        <f>IF($M4407="PADD I","PADD 1",IF($M4407="PADD II","PADD 2",IF($M4407="PADD III","PADD 3",IF($M4407="PADD IV","PADD 4",IF($M4407="PADD V","PADD 5","")))))</f>
        <v>PADD 3</v>
      </c>
      <c r="G4407" s="6">
        <f>IF(AND($H4407="ATMOS DISTILLATION",ISNUMBER(SEARCH("VPS",$I4407))=FALSE,LEFT($I4407,6)&lt;&gt;"VACUUM"),"CDU",IF($H4407="FLUID CAT CRACKING","FCC",IF(OR($H4407="HYDROCRACKING",$H4407="RESID_HYDROCRACKING"),"Hydrocracker",IF($H4407="REFORMING","Reformer",""))))</f>
        <v/>
      </c>
      <c r="H4407" s="6" t="s">
        <v>43</v>
      </c>
      <c r="I4407" s="6" t="s">
        <v>1242</v>
      </c>
      <c r="J4407" s="6" t="s">
        <v>349</v>
      </c>
      <c r="K4407" s="10">
        <v>3.9</v>
      </c>
      <c r="L4407" s="10">
        <v>30</v>
      </c>
      <c r="M4407" s="6" t="s">
        <v>371</v>
      </c>
    </row>
    <row r="4408" spans="1:13">
      <c r="A4408" s="6">
        <v>2024</v>
      </c>
      <c r="B4408" s="6">
        <v>9</v>
      </c>
      <c r="C4408" s="6" t="s">
        <v>67</v>
      </c>
      <c r="D4408" s="6" t="s">
        <v>851</v>
      </c>
      <c r="E4408" s="6" t="s">
        <v>852</v>
      </c>
      <c r="F4408" s="6" t="str">
        <f>IF($M4408="PADD I","PADD 1",IF($M4408="PADD II","PADD 2",IF($M4408="PADD III","PADD 3",IF($M4408="PADD IV","PADD 4",IF($M4408="PADD V","PADD 5","")))))</f>
        <v>PADD 3</v>
      </c>
      <c r="G4408" s="6">
        <f>IF(AND($H4408="ATMOS DISTILLATION",ISNUMBER(SEARCH("VPS",$I4408))=FALSE,LEFT($I4408,6)&lt;&gt;"VACUUM"),"CDU",IF($H4408="FLUID CAT CRACKING","FCC",IF(OR($H4408="HYDROCRACKING",$H4408="RESID_HYDROCRACKING"),"Hydrocracker",IF($H4408="REFORMING","Reformer",""))))</f>
        <v/>
      </c>
      <c r="H4408" s="6" t="s">
        <v>378</v>
      </c>
      <c r="I4408" s="6" t="s">
        <v>860</v>
      </c>
      <c r="J4408" s="6" t="s">
        <v>345</v>
      </c>
      <c r="K4408" s="10">
        <v>3.6</v>
      </c>
      <c r="L4408" s="10">
        <v>36</v>
      </c>
      <c r="M4408" s="6" t="s">
        <v>371</v>
      </c>
    </row>
    <row r="4409" spans="1:13">
      <c r="A4409" s="6">
        <v>2024</v>
      </c>
      <c r="B4409" s="6">
        <v>9</v>
      </c>
      <c r="C4409" s="6" t="s">
        <v>67</v>
      </c>
      <c r="D4409" s="6" t="s">
        <v>1063</v>
      </c>
      <c r="E4409" s="6" t="s">
        <v>388</v>
      </c>
      <c r="F4409" s="6" t="str">
        <f>IF($M4409="PADD I","PADD 1",IF($M4409="PADD II","PADD 2",IF($M4409="PADD III","PADD 3",IF($M4409="PADD IV","PADD 4",IF($M4409="PADD V","PADD 5","")))))</f>
        <v>PADD 2</v>
      </c>
      <c r="G4409" s="6">
        <f>IF(AND($H4409="ATMOS DISTILLATION",ISNUMBER(SEARCH("VPS",$I4409))=FALSE,LEFT($I4409,6)&lt;&gt;"VACUUM"),"CDU",IF($H4409="FLUID CAT CRACKING","FCC",IF(OR($H4409="HYDROCRACKING",$H4409="RESID_HYDROCRACKING"),"Hydrocracker",IF($H4409="REFORMING","Reformer",""))))</f>
        <v/>
      </c>
      <c r="H4409" s="6" t="s">
        <v>43</v>
      </c>
      <c r="I4409" s="6" t="s">
        <v>689</v>
      </c>
      <c r="J4409" s="6" t="s">
        <v>345</v>
      </c>
      <c r="K4409" s="10">
        <v>3.5</v>
      </c>
      <c r="L4409" s="10">
        <v>7</v>
      </c>
      <c r="M4409" s="6" t="s">
        <v>375</v>
      </c>
    </row>
    <row r="4410" spans="1:13">
      <c r="A4410" s="6">
        <v>2024</v>
      </c>
      <c r="B4410" s="6">
        <v>9</v>
      </c>
      <c r="C4410" s="6" t="s">
        <v>67</v>
      </c>
      <c r="D4410" s="6" t="s">
        <v>878</v>
      </c>
      <c r="E4410" s="6" t="s">
        <v>452</v>
      </c>
      <c r="F4410" s="6" t="str">
        <f>IF($M4410="PADD I","PADD 1",IF($M4410="PADD II","PADD 2",IF($M4410="PADD III","PADD 3",IF($M4410="PADD IV","PADD 4",IF($M4410="PADD V","PADD 5","")))))</f>
        <v>PADD 2</v>
      </c>
      <c r="G4410" s="6">
        <f>IF(AND($H4410="ATMOS DISTILLATION",ISNUMBER(SEARCH("VPS",$I4410))=FALSE,LEFT($I4410,6)&lt;&gt;"VACUUM"),"CDU",IF($H4410="FLUID CAT CRACKING","FCC",IF(OR($H4410="HYDROCRACKING",$H4410="RESID_HYDROCRACKING"),"Hydrocracker",IF($H4410="REFORMING","Reformer",""))))</f>
        <v/>
      </c>
      <c r="H4410" s="6" t="s">
        <v>435</v>
      </c>
      <c r="I4410" s="6" t="s">
        <v>441</v>
      </c>
      <c r="J4410" s="6" t="s">
        <v>345</v>
      </c>
      <c r="K4410" s="10">
        <v>3.4</v>
      </c>
      <c r="L4410" s="10">
        <v>8.5</v>
      </c>
      <c r="M4410" s="6" t="s">
        <v>375</v>
      </c>
    </row>
    <row r="4411" spans="1:13">
      <c r="A4411" s="6">
        <v>2024</v>
      </c>
      <c r="B4411" s="6">
        <v>9</v>
      </c>
      <c r="C4411" s="6" t="s">
        <v>67</v>
      </c>
      <c r="D4411" s="6" t="s">
        <v>457</v>
      </c>
      <c r="E4411" s="6" t="s">
        <v>388</v>
      </c>
      <c r="F4411" s="6" t="str">
        <f>IF($M4411="PADD I","PADD 1",IF($M4411="PADD II","PADD 2",IF($M4411="PADD III","PADD 3",IF($M4411="PADD IV","PADD 4",IF($M4411="PADD V","PADD 5","")))))</f>
        <v>PADD 5</v>
      </c>
      <c r="G4411" s="6" t="str">
        <f>IF(AND($H4411="ATMOS DISTILLATION",ISNUMBER(SEARCH("VPS",$I4411))=FALSE,LEFT($I4411,6)&lt;&gt;"VACUUM"),"CDU",IF($H4411="FLUID CAT CRACKING","FCC",IF(OR($H4411="HYDROCRACKING",$H4411="RESID_HYDROCRACKING"),"Hydrocracker",IF($H4411="REFORMING","Reformer",""))))</f>
        <v>Reformer</v>
      </c>
      <c r="H4411" s="6" t="s">
        <v>421</v>
      </c>
      <c r="I4411" s="6" t="s">
        <v>557</v>
      </c>
      <c r="J4411" s="6" t="s">
        <v>345</v>
      </c>
      <c r="K4411" s="10">
        <v>3.4</v>
      </c>
      <c r="L4411" s="10">
        <v>20</v>
      </c>
      <c r="M4411" s="6" t="s">
        <v>386</v>
      </c>
    </row>
    <row r="4412" spans="1:13">
      <c r="A4412" s="6">
        <v>2024</v>
      </c>
      <c r="B4412" s="6">
        <v>9</v>
      </c>
      <c r="C4412" s="6" t="s">
        <v>67</v>
      </c>
      <c r="D4412" s="6" t="s">
        <v>329</v>
      </c>
      <c r="E4412" s="6" t="s">
        <v>427</v>
      </c>
      <c r="F4412" s="6" t="str">
        <f>IF($M4412="PADD I","PADD 1",IF($M4412="PADD II","PADD 2",IF($M4412="PADD III","PADD 3",IF($M4412="PADD IV","PADD 4",IF($M4412="PADD V","PADD 5","")))))</f>
        <v>PADD 3</v>
      </c>
      <c r="G4412" s="6">
        <f>IF(AND($H4412="ATMOS DISTILLATION",ISNUMBER(SEARCH("VPS",$I4412))=FALSE,LEFT($I4412,6)&lt;&gt;"VACUUM"),"CDU",IF($H4412="FLUID CAT CRACKING","FCC",IF(OR($H4412="HYDROCRACKING",$H4412="RESID_HYDROCRACKING"),"Hydrocracker",IF($H4412="REFORMING","Reformer",""))))</f>
        <v/>
      </c>
      <c r="H4412" s="6" t="s">
        <v>460</v>
      </c>
      <c r="I4412" s="6" t="s">
        <v>1075</v>
      </c>
      <c r="J4412" s="6" t="s">
        <v>345</v>
      </c>
      <c r="K4412" s="10">
        <v>3.375</v>
      </c>
      <c r="L4412" s="10">
        <v>12.5</v>
      </c>
      <c r="M4412" s="6" t="s">
        <v>371</v>
      </c>
    </row>
    <row r="4413" spans="1:13">
      <c r="A4413" s="6">
        <v>2024</v>
      </c>
      <c r="B4413" s="6">
        <v>9</v>
      </c>
      <c r="C4413" s="6" t="s">
        <v>67</v>
      </c>
      <c r="D4413" s="6" t="s">
        <v>531</v>
      </c>
      <c r="E4413" s="6" t="s">
        <v>532</v>
      </c>
      <c r="F4413" s="6" t="str">
        <f>IF($M4413="PADD I","PADD 1",IF($M4413="PADD II","PADD 2",IF($M4413="PADD III","PADD 3",IF($M4413="PADD IV","PADD 4",IF($M4413="PADD V","PADD 5","")))))</f>
        <v>PADD 5</v>
      </c>
      <c r="G4413" s="6">
        <f>IF(AND($H4413="ATMOS DISTILLATION",ISNUMBER(SEARCH("VPS",$I4413))=FALSE,LEFT($I4413,6)&lt;&gt;"VACUUM"),"CDU",IF($H4413="FLUID CAT CRACKING","FCC",IF(OR($H4413="HYDROCRACKING",$H4413="RESID_HYDROCRACKING"),"Hydrocracker",IF($H4413="REFORMING","Reformer",""))))</f>
        <v/>
      </c>
      <c r="H4413" s="6" t="s">
        <v>43</v>
      </c>
      <c r="I4413" s="6" t="s">
        <v>567</v>
      </c>
      <c r="J4413" s="6" t="s">
        <v>345</v>
      </c>
      <c r="K4413" s="10">
        <v>3.15</v>
      </c>
      <c r="L4413" s="10">
        <v>105</v>
      </c>
      <c r="M4413" s="6" t="s">
        <v>386</v>
      </c>
    </row>
    <row r="4414" spans="1:13">
      <c r="A4414" s="6">
        <v>2024</v>
      </c>
      <c r="B4414" s="6">
        <v>9</v>
      </c>
      <c r="C4414" s="6" t="s">
        <v>67</v>
      </c>
      <c r="D4414" s="6" t="s">
        <v>328</v>
      </c>
      <c r="E4414" s="6" t="s">
        <v>416</v>
      </c>
      <c r="F4414" s="6" t="str">
        <f>IF($M4414="PADD I","PADD 1",IF($M4414="PADD II","PADD 2",IF($M4414="PADD III","PADD 3",IF($M4414="PADD IV","PADD 4",IF($M4414="PADD V","PADD 5","")))))</f>
        <v>PADD 2</v>
      </c>
      <c r="G4414" s="6">
        <f>IF(AND($H4414="ATMOS DISTILLATION",ISNUMBER(SEARCH("VPS",$I4414))=FALSE,LEFT($I4414,6)&lt;&gt;"VACUUM"),"CDU",IF($H4414="FLUID CAT CRACKING","FCC",IF(OR($H4414="HYDROCRACKING",$H4414="RESID_HYDROCRACKING"),"Hydrocracker",IF($H4414="REFORMING","Reformer",""))))</f>
        <v/>
      </c>
      <c r="H4414" s="6" t="s">
        <v>43</v>
      </c>
      <c r="I4414" s="6" t="s">
        <v>520</v>
      </c>
      <c r="J4414" s="6" t="s">
        <v>345</v>
      </c>
      <c r="K4414" s="10">
        <v>3.15</v>
      </c>
      <c r="L4414" s="10">
        <v>45</v>
      </c>
      <c r="M4414" s="6" t="s">
        <v>375</v>
      </c>
    </row>
    <row r="4415" spans="1:13">
      <c r="A4415" s="6">
        <v>2024</v>
      </c>
      <c r="B4415" s="6">
        <v>9</v>
      </c>
      <c r="C4415" s="6" t="s">
        <v>67</v>
      </c>
      <c r="D4415" s="6" t="s">
        <v>51</v>
      </c>
      <c r="E4415" s="6" t="s">
        <v>391</v>
      </c>
      <c r="F4415" s="6" t="str">
        <f>IF($M4415="PADD I","PADD 1",IF($M4415="PADD II","PADD 2",IF($M4415="PADD III","PADD 3",IF($M4415="PADD IV","PADD 4",IF($M4415="PADD V","PADD 5","")))))</f>
        <v>PADD 5</v>
      </c>
      <c r="G4415" s="6">
        <f>IF(AND($H4415="ATMOS DISTILLATION",ISNUMBER(SEARCH("VPS",$I4415))=FALSE,LEFT($I4415,6)&lt;&gt;"VACUUM"),"CDU",IF($H4415="FLUID CAT CRACKING","FCC",IF(OR($H4415="HYDROCRACKING",$H4415="RESID_HYDROCRACKING"),"Hydrocracker",IF($H4415="REFORMING","Reformer",""))))</f>
        <v/>
      </c>
      <c r="H4415" s="6" t="s">
        <v>378</v>
      </c>
      <c r="I4415" s="6" t="s">
        <v>1035</v>
      </c>
      <c r="J4415" s="6" t="s">
        <v>345</v>
      </c>
      <c r="K4415" s="10">
        <v>3.15</v>
      </c>
      <c r="L4415" s="10">
        <v>105</v>
      </c>
      <c r="M4415" s="6" t="s">
        <v>386</v>
      </c>
    </row>
    <row r="4416" spans="1:13">
      <c r="A4416" s="6">
        <v>2024</v>
      </c>
      <c r="B4416" s="6">
        <v>9</v>
      </c>
      <c r="C4416" s="6" t="s">
        <v>67</v>
      </c>
      <c r="D4416" s="6" t="s">
        <v>675</v>
      </c>
      <c r="E4416" s="6" t="s">
        <v>452</v>
      </c>
      <c r="F4416" s="6" t="str">
        <f>IF($M4416="PADD I","PADD 1",IF($M4416="PADD II","PADD 2",IF($M4416="PADD III","PADD 3",IF($M4416="PADD IV","PADD 4",IF($M4416="PADD V","PADD 5","")))))</f>
        <v>PADD 2</v>
      </c>
      <c r="G4416" s="6">
        <f>IF(AND($H4416="ATMOS DISTILLATION",ISNUMBER(SEARCH("VPS",$I4416))=FALSE,LEFT($I4416,6)&lt;&gt;"VACUUM"),"CDU",IF($H4416="FLUID CAT CRACKING","FCC",IF(OR($H4416="HYDROCRACKING",$H4416="RESID_HYDROCRACKING"),"Hydrocracker",IF($H4416="REFORMING","Reformer",""))))</f>
        <v/>
      </c>
      <c r="H4416" s="6" t="s">
        <v>460</v>
      </c>
      <c r="I4416" s="6" t="s">
        <v>616</v>
      </c>
      <c r="J4416" s="6" t="s">
        <v>349</v>
      </c>
      <c r="K4416" s="10">
        <v>3.105</v>
      </c>
      <c r="L4416" s="10">
        <v>11.5</v>
      </c>
      <c r="M4416" s="6" t="s">
        <v>375</v>
      </c>
    </row>
    <row r="4417" spans="1:13">
      <c r="A4417" s="6">
        <v>2024</v>
      </c>
      <c r="B4417" s="6">
        <v>9</v>
      </c>
      <c r="C4417" s="6" t="s">
        <v>67</v>
      </c>
      <c r="D4417" s="6" t="s">
        <v>822</v>
      </c>
      <c r="E4417" s="6" t="s">
        <v>416</v>
      </c>
      <c r="F4417" s="6" t="str">
        <f>IF($M4417="PADD I","PADD 1",IF($M4417="PADD II","PADD 2",IF($M4417="PADD III","PADD 3",IF($M4417="PADD IV","PADD 4",IF($M4417="PADD V","PADD 5","")))))</f>
        <v>PADD 3</v>
      </c>
      <c r="G4417" s="6">
        <f>IF(AND($H4417="ATMOS DISTILLATION",ISNUMBER(SEARCH("VPS",$I4417))=FALSE,LEFT($I4417,6)&lt;&gt;"VACUUM"),"CDU",IF($H4417="FLUID CAT CRACKING","FCC",IF(OR($H4417="HYDROCRACKING",$H4417="RESID_HYDROCRACKING"),"Hydrocracker",IF($H4417="REFORMING","Reformer",""))))</f>
        <v/>
      </c>
      <c r="H4417" s="6" t="s">
        <v>435</v>
      </c>
      <c r="I4417" s="6" t="s">
        <v>441</v>
      </c>
      <c r="J4417" s="6" t="s">
        <v>345</v>
      </c>
      <c r="K4417" s="10">
        <v>3.08</v>
      </c>
      <c r="L4417" s="10">
        <v>44</v>
      </c>
      <c r="M4417" s="6" t="s">
        <v>371</v>
      </c>
    </row>
    <row r="4418" spans="1:13">
      <c r="A4418" s="6">
        <v>2024</v>
      </c>
      <c r="B4418" s="6">
        <v>9</v>
      </c>
      <c r="C4418" s="6" t="s">
        <v>67</v>
      </c>
      <c r="D4418" s="6" t="s">
        <v>531</v>
      </c>
      <c r="E4418" s="6" t="s">
        <v>532</v>
      </c>
      <c r="F4418" s="6" t="str">
        <f>IF($M4418="PADD I","PADD 1",IF($M4418="PADD II","PADD 2",IF($M4418="PADD III","PADD 3",IF($M4418="PADD IV","PADD 4",IF($M4418="PADD V","PADD 5","")))))</f>
        <v>PADD 5</v>
      </c>
      <c r="G4418" s="6" t="str">
        <f>IF(AND($H4418="ATMOS DISTILLATION",ISNUMBER(SEARCH("VPS",$I4418))=FALSE,LEFT($I4418,6)&lt;&gt;"VACUUM"),"CDU",IF($H4418="FLUID CAT CRACKING","FCC",IF(OR($H4418="HYDROCRACKING",$H4418="RESID_HYDROCRACKING"),"Hydrocracker",IF($H4418="REFORMING","Reformer",""))))</f>
        <v>FCC</v>
      </c>
      <c r="H4418" s="6" t="s">
        <v>376</v>
      </c>
      <c r="I4418" s="6" t="s">
        <v>105</v>
      </c>
      <c r="J4418" s="6" t="s">
        <v>345</v>
      </c>
      <c r="K4418" s="10">
        <v>3</v>
      </c>
      <c r="L4418" s="10">
        <v>100</v>
      </c>
      <c r="M4418" s="6" t="s">
        <v>386</v>
      </c>
    </row>
    <row r="4419" spans="1:13">
      <c r="A4419" s="6">
        <v>2024</v>
      </c>
      <c r="B4419" s="6">
        <v>9</v>
      </c>
      <c r="C4419" s="6" t="s">
        <v>67</v>
      </c>
      <c r="D4419" s="6" t="s">
        <v>531</v>
      </c>
      <c r="E4419" s="6" t="s">
        <v>532</v>
      </c>
      <c r="F4419" s="6" t="str">
        <f>IF($M4419="PADD I","PADD 1",IF($M4419="PADD II","PADD 2",IF($M4419="PADD III","PADD 3",IF($M4419="PADD IV","PADD 4",IF($M4419="PADD V","PADD 5","")))))</f>
        <v>PADD 5</v>
      </c>
      <c r="G4419" s="6">
        <f>IF(AND($H4419="ATMOS DISTILLATION",ISNUMBER(SEARCH("VPS",$I4419))=FALSE,LEFT($I4419,6)&lt;&gt;"VACUUM"),"CDU",IF($H4419="FLUID CAT CRACKING","FCC",IF(OR($H4419="HYDROCRACKING",$H4419="RESID_HYDROCRACKING"),"Hydrocracker",IF($H4419="REFORMING","Reformer",""))))</f>
        <v/>
      </c>
      <c r="H4419" s="6" t="s">
        <v>378</v>
      </c>
      <c r="I4419" s="6" t="s">
        <v>379</v>
      </c>
      <c r="J4419" s="6" t="s">
        <v>345</v>
      </c>
      <c r="K4419" s="10">
        <v>2.94</v>
      </c>
      <c r="L4419" s="10">
        <v>98</v>
      </c>
      <c r="M4419" s="6" t="s">
        <v>386</v>
      </c>
    </row>
    <row r="4420" spans="1:13">
      <c r="A4420" s="6">
        <v>2024</v>
      </c>
      <c r="B4420" s="6">
        <v>9</v>
      </c>
      <c r="C4420" s="6" t="s">
        <v>67</v>
      </c>
      <c r="D4420" s="6" t="s">
        <v>380</v>
      </c>
      <c r="E4420" s="6" t="s">
        <v>381</v>
      </c>
      <c r="F4420" s="6" t="str">
        <f>IF($M4420="PADD I","PADD 1",IF($M4420="PADD II","PADD 2",IF($M4420="PADD III","PADD 3",IF($M4420="PADD IV","PADD 4",IF($M4420="PADD V","PADD 5","")))))</f>
        <v>PADD 3</v>
      </c>
      <c r="G4420" s="6">
        <f>IF(AND($H4420="ATMOS DISTILLATION",ISNUMBER(SEARCH("VPS",$I4420))=FALSE,LEFT($I4420,6)&lt;&gt;"VACUUM"),"CDU",IF($H4420="FLUID CAT CRACKING","FCC",IF(OR($H4420="HYDROCRACKING",$H4420="RESID_HYDROCRACKING"),"Hydrocracker",IF($H4420="REFORMING","Reformer",""))))</f>
        <v/>
      </c>
      <c r="H4420" s="6" t="s">
        <v>43</v>
      </c>
      <c r="I4420" s="6" t="s">
        <v>1243</v>
      </c>
      <c r="J4420" s="6" t="s">
        <v>345</v>
      </c>
      <c r="K4420" s="10">
        <v>2.9</v>
      </c>
      <c r="L4420" s="10">
        <v>29</v>
      </c>
      <c r="M4420" s="6" t="s">
        <v>371</v>
      </c>
    </row>
    <row r="4421" spans="1:13">
      <c r="A4421" s="6">
        <v>2024</v>
      </c>
      <c r="B4421" s="6">
        <v>9</v>
      </c>
      <c r="C4421" s="6" t="s">
        <v>67</v>
      </c>
      <c r="D4421" s="6" t="s">
        <v>675</v>
      </c>
      <c r="E4421" s="6" t="s">
        <v>452</v>
      </c>
      <c r="F4421" s="6" t="str">
        <f>IF($M4421="PADD I","PADD 1",IF($M4421="PADD II","PADD 2",IF($M4421="PADD III","PADD 3",IF($M4421="PADD IV","PADD 4",IF($M4421="PADD V","PADD 5","")))))</f>
        <v>PADD 2</v>
      </c>
      <c r="G4421" s="6" t="str">
        <f>IF(AND($H4421="ATMOS DISTILLATION",ISNUMBER(SEARCH("VPS",$I4421))=FALSE,LEFT($I4421,6)&lt;&gt;"VACUUM"),"CDU",IF($H4421="FLUID CAT CRACKING","FCC",IF(OR($H4421="HYDROCRACKING",$H4421="RESID_HYDROCRACKING"),"Hydrocracker",IF($H4421="REFORMING","Reformer",""))))</f>
        <v>Reformer</v>
      </c>
      <c r="H4421" s="6" t="s">
        <v>421</v>
      </c>
      <c r="I4421" s="6" t="s">
        <v>698</v>
      </c>
      <c r="J4421" s="6" t="s">
        <v>349</v>
      </c>
      <c r="K4421" s="10">
        <v>2.86</v>
      </c>
      <c r="L4421" s="10">
        <v>22</v>
      </c>
      <c r="M4421" s="6" t="s">
        <v>375</v>
      </c>
    </row>
    <row r="4422" spans="1:13">
      <c r="A4422" s="6">
        <v>2024</v>
      </c>
      <c r="B4422" s="6">
        <v>9</v>
      </c>
      <c r="C4422" s="6" t="s">
        <v>67</v>
      </c>
      <c r="D4422" s="6" t="s">
        <v>799</v>
      </c>
      <c r="E4422" s="6" t="s">
        <v>391</v>
      </c>
      <c r="F4422" s="6" t="str">
        <f>IF($M4422="PADD I","PADD 1",IF($M4422="PADD II","PADD 2",IF($M4422="PADD III","PADD 3",IF($M4422="PADD IV","PADD 4",IF($M4422="PADD V","PADD 5","")))))</f>
        <v>PADD 4</v>
      </c>
      <c r="G4422" s="6">
        <f>IF(AND($H4422="ATMOS DISTILLATION",ISNUMBER(SEARCH("VPS",$I4422))=FALSE,LEFT($I4422,6)&lt;&gt;"VACUUM"),"CDU",IF($H4422="FLUID CAT CRACKING","FCC",IF(OR($H4422="HYDROCRACKING",$H4422="RESID_HYDROCRACKING"),"Hydrocracker",IF($H4422="REFORMING","Reformer",""))))</f>
        <v/>
      </c>
      <c r="H4422" s="6" t="s">
        <v>43</v>
      </c>
      <c r="I4422" s="6" t="s">
        <v>800</v>
      </c>
      <c r="J4422" s="6" t="s">
        <v>345</v>
      </c>
      <c r="K4422" s="10">
        <v>2.79</v>
      </c>
      <c r="L4422" s="10">
        <v>27.9</v>
      </c>
      <c r="M4422" s="6" t="s">
        <v>430</v>
      </c>
    </row>
    <row r="4423" spans="1:13">
      <c r="A4423" s="6">
        <v>2024</v>
      </c>
      <c r="B4423" s="6">
        <v>9</v>
      </c>
      <c r="C4423" s="6" t="s">
        <v>67</v>
      </c>
      <c r="D4423" s="6" t="s">
        <v>328</v>
      </c>
      <c r="E4423" s="6" t="s">
        <v>416</v>
      </c>
      <c r="F4423" s="6" t="str">
        <f>IF($M4423="PADD I","PADD 1",IF($M4423="PADD II","PADD 2",IF($M4423="PADD III","PADD 3",IF($M4423="PADD IV","PADD 4",IF($M4423="PADD V","PADD 5","")))))</f>
        <v>PADD 2</v>
      </c>
      <c r="G4423" s="6">
        <f>IF(AND($H4423="ATMOS DISTILLATION",ISNUMBER(SEARCH("VPS",$I4423))=FALSE,LEFT($I4423,6)&lt;&gt;"VACUUM"),"CDU",IF($H4423="FLUID CAT CRACKING","FCC",IF(OR($H4423="HYDROCRACKING",$H4423="RESID_HYDROCRACKING"),"Hydrocracker",IF($H4423="REFORMING","Reformer",""))))</f>
        <v/>
      </c>
      <c r="H4423" s="6" t="s">
        <v>435</v>
      </c>
      <c r="I4423" s="6" t="s">
        <v>1059</v>
      </c>
      <c r="J4423" s="6" t="s">
        <v>345</v>
      </c>
      <c r="K4423" s="10">
        <v>2.66</v>
      </c>
      <c r="L4423" s="10">
        <v>38</v>
      </c>
      <c r="M4423" s="6" t="s">
        <v>375</v>
      </c>
    </row>
    <row r="4424" spans="1:13">
      <c r="A4424" s="6">
        <v>2024</v>
      </c>
      <c r="B4424" s="6">
        <v>9</v>
      </c>
      <c r="C4424" s="6" t="s">
        <v>67</v>
      </c>
      <c r="D4424" s="6" t="s">
        <v>803</v>
      </c>
      <c r="E4424" s="6" t="s">
        <v>388</v>
      </c>
      <c r="F4424" s="6" t="str">
        <f>IF($M4424="PADD I","PADD 1",IF($M4424="PADD II","PADD 2",IF($M4424="PADD III","PADD 3",IF($M4424="PADD IV","PADD 4",IF($M4424="PADD V","PADD 5","")))))</f>
        <v>PADD 2</v>
      </c>
      <c r="G4424" s="6">
        <f>IF(AND($H4424="ATMOS DISTILLATION",ISNUMBER(SEARCH("VPS",$I4424))=FALSE,LEFT($I4424,6)&lt;&gt;"VACUUM"),"CDU",IF($H4424="FLUID CAT CRACKING","FCC",IF(OR($H4424="HYDROCRACKING",$H4424="RESID_HYDROCRACKING"),"Hydrocracker",IF($H4424="REFORMING","Reformer",""))))</f>
        <v/>
      </c>
      <c r="H4424" s="6" t="s">
        <v>378</v>
      </c>
      <c r="I4424" s="6" t="s">
        <v>494</v>
      </c>
      <c r="J4424" s="6" t="s">
        <v>345</v>
      </c>
      <c r="K4424" s="10">
        <v>2.635</v>
      </c>
      <c r="L4424" s="10">
        <v>15.5</v>
      </c>
      <c r="M4424" s="6" t="s">
        <v>375</v>
      </c>
    </row>
    <row r="4425" spans="1:13">
      <c r="A4425" s="6">
        <v>2024</v>
      </c>
      <c r="B4425" s="6">
        <v>9</v>
      </c>
      <c r="C4425" s="6" t="s">
        <v>67</v>
      </c>
      <c r="D4425" s="6" t="s">
        <v>803</v>
      </c>
      <c r="E4425" s="6" t="s">
        <v>388</v>
      </c>
      <c r="F4425" s="6" t="str">
        <f>IF($M4425="PADD I","PADD 1",IF($M4425="PADD II","PADD 2",IF($M4425="PADD III","PADD 3",IF($M4425="PADD IV","PADD 4",IF($M4425="PADD V","PADD 5","")))))</f>
        <v>PADD 2</v>
      </c>
      <c r="G4425" s="6">
        <f>IF(AND($H4425="ATMOS DISTILLATION",ISNUMBER(SEARCH("VPS",$I4425))=FALSE,LEFT($I4425,6)&lt;&gt;"VACUUM"),"CDU",IF($H4425="FLUID CAT CRACKING","FCC",IF(OR($H4425="HYDROCRACKING",$H4425="RESID_HYDROCRACKING"),"Hydrocracker",IF($H4425="REFORMING","Reformer",""))))</f>
        <v/>
      </c>
      <c r="H4425" s="6" t="s">
        <v>43</v>
      </c>
      <c r="I4425" s="6" t="s">
        <v>1177</v>
      </c>
      <c r="J4425" s="6" t="s">
        <v>349</v>
      </c>
      <c r="K4425" s="10">
        <v>2.6</v>
      </c>
      <c r="L4425" s="10">
        <v>20</v>
      </c>
      <c r="M4425" s="6" t="s">
        <v>375</v>
      </c>
    </row>
    <row r="4426" spans="1:13">
      <c r="A4426" s="6">
        <v>2024</v>
      </c>
      <c r="B4426" s="6">
        <v>9</v>
      </c>
      <c r="C4426" s="6" t="s">
        <v>67</v>
      </c>
      <c r="D4426" s="6" t="s">
        <v>803</v>
      </c>
      <c r="E4426" s="6" t="s">
        <v>388</v>
      </c>
      <c r="F4426" s="6" t="str">
        <f>IF($M4426="PADD I","PADD 1",IF($M4426="PADD II","PADD 2",IF($M4426="PADD III","PADD 3",IF($M4426="PADD IV","PADD 4",IF($M4426="PADD V","PADD 5","")))))</f>
        <v>PADD 2</v>
      </c>
      <c r="G4426" s="6" t="str">
        <f>IF(AND($H4426="ATMOS DISTILLATION",ISNUMBER(SEARCH("VPS",$I4426))=FALSE,LEFT($I4426,6)&lt;&gt;"VACUUM"),"CDU",IF($H4426="FLUID CAT CRACKING","FCC",IF(OR($H4426="HYDROCRACKING",$H4426="RESID_HYDROCRACKING"),"Hydrocracker",IF($H4426="REFORMING","Reformer",""))))</f>
        <v>Reformer</v>
      </c>
      <c r="H4426" s="6" t="s">
        <v>421</v>
      </c>
      <c r="I4426" s="6" t="s">
        <v>559</v>
      </c>
      <c r="J4426" s="6" t="s">
        <v>345</v>
      </c>
      <c r="K4426" s="10">
        <v>2.5875</v>
      </c>
      <c r="L4426" s="10">
        <v>11.25</v>
      </c>
      <c r="M4426" s="6" t="s">
        <v>375</v>
      </c>
    </row>
    <row r="4427" spans="1:13">
      <c r="A4427" s="6">
        <v>2024</v>
      </c>
      <c r="B4427" s="6">
        <v>9</v>
      </c>
      <c r="C4427" s="6" t="s">
        <v>67</v>
      </c>
      <c r="D4427" s="6" t="s">
        <v>1063</v>
      </c>
      <c r="E4427" s="6" t="s">
        <v>388</v>
      </c>
      <c r="F4427" s="6" t="str">
        <f>IF($M4427="PADD I","PADD 1",IF($M4427="PADD II","PADD 2",IF($M4427="PADD III","PADD 3",IF($M4427="PADD IV","PADD 4",IF($M4427="PADD V","PADD 5","")))))</f>
        <v>PADD 2</v>
      </c>
      <c r="G4427" s="6">
        <f>IF(AND($H4427="ATMOS DISTILLATION",ISNUMBER(SEARCH("VPS",$I4427))=FALSE,LEFT($I4427,6)&lt;&gt;"VACUUM"),"CDU",IF($H4427="FLUID CAT CRACKING","FCC",IF(OR($H4427="HYDROCRACKING",$H4427="RESID_HYDROCRACKING"),"Hydrocracker",IF($H4427="REFORMING","Reformer",""))))</f>
        <v/>
      </c>
      <c r="H4427" s="6" t="s">
        <v>460</v>
      </c>
      <c r="I4427" s="6" t="s">
        <v>461</v>
      </c>
      <c r="J4427" s="6" t="s">
        <v>349</v>
      </c>
      <c r="K4427" s="10">
        <v>2.52</v>
      </c>
      <c r="L4427" s="10">
        <v>4</v>
      </c>
      <c r="M4427" s="6" t="s">
        <v>375</v>
      </c>
    </row>
    <row r="4428" spans="1:13">
      <c r="A4428" s="6">
        <v>2024</v>
      </c>
      <c r="B4428" s="6">
        <v>9</v>
      </c>
      <c r="C4428" s="6" t="s">
        <v>67</v>
      </c>
      <c r="D4428" s="6" t="s">
        <v>319</v>
      </c>
      <c r="E4428" s="6" t="s">
        <v>665</v>
      </c>
      <c r="F4428" s="6" t="str">
        <f>IF($M4428="PADD I","PADD 1",IF($M4428="PADD II","PADD 2",IF($M4428="PADD III","PADD 3",IF($M4428="PADD IV","PADD 4",IF($M4428="PADD V","PADD 5","")))))</f>
        <v>PADD 3</v>
      </c>
      <c r="G4428" s="6">
        <f>IF(AND($H4428="ATMOS DISTILLATION",ISNUMBER(SEARCH("VPS",$I4428))=FALSE,LEFT($I4428,6)&lt;&gt;"VACUUM"),"CDU",IF($H4428="FLUID CAT CRACKING","FCC",IF(OR($H4428="HYDROCRACKING",$H4428="RESID_HYDROCRACKING"),"Hydrocracker",IF($H4428="REFORMING","Reformer",""))))</f>
        <v/>
      </c>
      <c r="H4428" s="6" t="s">
        <v>460</v>
      </c>
      <c r="I4428" s="6" t="s">
        <v>461</v>
      </c>
      <c r="J4428" s="6" t="s">
        <v>345</v>
      </c>
      <c r="K4428" s="10">
        <v>2.516</v>
      </c>
      <c r="L4428" s="10">
        <v>14.8</v>
      </c>
      <c r="M4428" s="6" t="s">
        <v>371</v>
      </c>
    </row>
    <row r="4429" spans="1:13">
      <c r="A4429" s="6">
        <v>2024</v>
      </c>
      <c r="B4429" s="6">
        <v>9</v>
      </c>
      <c r="C4429" s="6" t="s">
        <v>67</v>
      </c>
      <c r="D4429" s="6" t="s">
        <v>380</v>
      </c>
      <c r="E4429" s="6" t="s">
        <v>381</v>
      </c>
      <c r="F4429" s="6" t="str">
        <f>IF($M4429="PADD I","PADD 1",IF($M4429="PADD II","PADD 2",IF($M4429="PADD III","PADD 3",IF($M4429="PADD IV","PADD 4",IF($M4429="PADD V","PADD 5","")))))</f>
        <v>PADD 3</v>
      </c>
      <c r="G4429" s="6">
        <f>IF(AND($H4429="ATMOS DISTILLATION",ISNUMBER(SEARCH("VPS",$I4429))=FALSE,LEFT($I4429,6)&lt;&gt;"VACUUM"),"CDU",IF($H4429="FLUID CAT CRACKING","FCC",IF(OR($H4429="HYDROCRACKING",$H4429="RESID_HYDROCRACKING"),"Hydrocracker",IF($H4429="REFORMING","Reformer",""))))</f>
        <v/>
      </c>
      <c r="H4429" s="6" t="s">
        <v>435</v>
      </c>
      <c r="I4429" s="6" t="s">
        <v>477</v>
      </c>
      <c r="J4429" s="6" t="s">
        <v>345</v>
      </c>
      <c r="K4429" s="10">
        <v>2.5</v>
      </c>
      <c r="L4429" s="10">
        <v>25</v>
      </c>
      <c r="M4429" s="6" t="s">
        <v>371</v>
      </c>
    </row>
    <row r="4430" spans="1:13">
      <c r="A4430" s="6">
        <v>2024</v>
      </c>
      <c r="B4430" s="6">
        <v>9</v>
      </c>
      <c r="C4430" s="6" t="s">
        <v>67</v>
      </c>
      <c r="D4430" s="6" t="s">
        <v>380</v>
      </c>
      <c r="E4430" s="6" t="s">
        <v>381</v>
      </c>
      <c r="F4430" s="6" t="str">
        <f>IF($M4430="PADD I","PADD 1",IF($M4430="PADD II","PADD 2",IF($M4430="PADD III","PADD 3",IF($M4430="PADD IV","PADD 4",IF($M4430="PADD V","PADD 5","")))))</f>
        <v>PADD 3</v>
      </c>
      <c r="G4430" s="6">
        <f>IF(AND($H4430="ATMOS DISTILLATION",ISNUMBER(SEARCH("VPS",$I4430))=FALSE,LEFT($I4430,6)&lt;&gt;"VACUUM"),"CDU",IF($H4430="FLUID CAT CRACKING","FCC",IF(OR($H4430="HYDROCRACKING",$H4430="RESID_HYDROCRACKING"),"Hydrocracker",IF($H4430="REFORMING","Reformer",""))))</f>
        <v/>
      </c>
      <c r="H4430" s="6" t="s">
        <v>43</v>
      </c>
      <c r="I4430" s="6" t="s">
        <v>1128</v>
      </c>
      <c r="J4430" s="6" t="s">
        <v>345</v>
      </c>
      <c r="K4430" s="10">
        <v>2.5</v>
      </c>
      <c r="L4430" s="10">
        <v>25</v>
      </c>
      <c r="M4430" s="6" t="s">
        <v>371</v>
      </c>
    </row>
    <row r="4431" spans="1:13">
      <c r="A4431" s="6">
        <v>2024</v>
      </c>
      <c r="B4431" s="6">
        <v>9</v>
      </c>
      <c r="C4431" s="6" t="s">
        <v>67</v>
      </c>
      <c r="D4431" s="6" t="s">
        <v>774</v>
      </c>
      <c r="E4431" s="6" t="s">
        <v>775</v>
      </c>
      <c r="F4431" s="6" t="str">
        <f>IF($M4431="PADD I","PADD 1",IF($M4431="PADD II","PADD 2",IF($M4431="PADD III","PADD 3",IF($M4431="PADD IV","PADD 4",IF($M4431="PADD V","PADD 5","")))))</f>
        <v>PADD 1</v>
      </c>
      <c r="G4431" s="6" t="str">
        <f>IF(AND($H4431="ATMOS DISTILLATION",ISNUMBER(SEARCH("VPS",$I4431))=FALSE,LEFT($I4431,6)&lt;&gt;"VACUUM"),"CDU",IF($H4431="FLUID CAT CRACKING","FCC",IF(OR($H4431="HYDROCRACKING",$H4431="RESID_HYDROCRACKING"),"Hydrocracker",IF($H4431="REFORMING","Reformer",""))))</f>
        <v>FCC</v>
      </c>
      <c r="H4431" s="6" t="s">
        <v>376</v>
      </c>
      <c r="I4431" s="6" t="s">
        <v>105</v>
      </c>
      <c r="J4431" s="6" t="s">
        <v>345</v>
      </c>
      <c r="K4431" s="10">
        <v>2.46</v>
      </c>
      <c r="L4431" s="10">
        <v>82</v>
      </c>
      <c r="M4431" s="6" t="s">
        <v>413</v>
      </c>
    </row>
    <row r="4432" spans="1:13">
      <c r="A4432" s="6">
        <v>2024</v>
      </c>
      <c r="B4432" s="6">
        <v>9</v>
      </c>
      <c r="C4432" s="6" t="s">
        <v>67</v>
      </c>
      <c r="D4432" s="6" t="s">
        <v>328</v>
      </c>
      <c r="E4432" s="6" t="s">
        <v>416</v>
      </c>
      <c r="F4432" s="6" t="str">
        <f>IF($M4432="PADD I","PADD 1",IF($M4432="PADD II","PADD 2",IF($M4432="PADD III","PADD 3",IF($M4432="PADD IV","PADD 4",IF($M4432="PADD V","PADD 5","")))))</f>
        <v>PADD 2</v>
      </c>
      <c r="G4432" s="6">
        <f>IF(AND($H4432="ATMOS DISTILLATION",ISNUMBER(SEARCH("VPS",$I4432))=FALSE,LEFT($I4432,6)&lt;&gt;"VACUUM"),"CDU",IF($H4432="FLUID CAT CRACKING","FCC",IF(OR($H4432="HYDROCRACKING",$H4432="RESID_HYDROCRACKING"),"Hydrocracker",IF($H4432="REFORMING","Reformer",""))))</f>
        <v/>
      </c>
      <c r="H4432" s="6" t="s">
        <v>43</v>
      </c>
      <c r="I4432" s="6" t="s">
        <v>1018</v>
      </c>
      <c r="J4432" s="6" t="s">
        <v>345</v>
      </c>
      <c r="K4432" s="10">
        <v>2.45</v>
      </c>
      <c r="L4432" s="10">
        <v>35</v>
      </c>
      <c r="M4432" s="6" t="s">
        <v>375</v>
      </c>
    </row>
    <row r="4433" spans="1:13">
      <c r="A4433" s="6">
        <v>2024</v>
      </c>
      <c r="B4433" s="6">
        <v>9</v>
      </c>
      <c r="C4433" s="6" t="s">
        <v>67</v>
      </c>
      <c r="D4433" s="6" t="s">
        <v>1239</v>
      </c>
      <c r="E4433" s="6" t="s">
        <v>872</v>
      </c>
      <c r="F4433" s="6" t="str">
        <f>IF($M4433="PADD I","PADD 1",IF($M4433="PADD II","PADD 2",IF($M4433="PADD III","PADD 3",IF($M4433="PADD IV","PADD 4",IF($M4433="PADD V","PADD 5","")))))</f>
        <v>PADD 4</v>
      </c>
      <c r="G4433" s="6">
        <f>IF(AND($H4433="ATMOS DISTILLATION",ISNUMBER(SEARCH("VPS",$I4433))=FALSE,LEFT($I4433,6)&lt;&gt;"VACUUM"),"CDU",IF($H4433="FLUID CAT CRACKING","FCC",IF(OR($H4433="HYDROCRACKING",$H4433="RESID_HYDROCRACKING"),"Hydrocracker",IF($H4433="REFORMING","Reformer",""))))</f>
        <v/>
      </c>
      <c r="H4433" s="6" t="s">
        <v>378</v>
      </c>
      <c r="I4433" s="6" t="s">
        <v>431</v>
      </c>
      <c r="J4433" s="6" t="s">
        <v>349</v>
      </c>
      <c r="K4433" s="10">
        <v>2.4</v>
      </c>
      <c r="L4433" s="10">
        <v>6</v>
      </c>
      <c r="M4433" s="6" t="s">
        <v>430</v>
      </c>
    </row>
    <row r="4434" spans="1:13">
      <c r="A4434" s="6">
        <v>2024</v>
      </c>
      <c r="B4434" s="6">
        <v>9</v>
      </c>
      <c r="C4434" s="6" t="s">
        <v>67</v>
      </c>
      <c r="D4434" s="6" t="s">
        <v>801</v>
      </c>
      <c r="E4434" s="6" t="s">
        <v>779</v>
      </c>
      <c r="F4434" s="6" t="str">
        <f>IF($M4434="PADD I","PADD 1",IF($M4434="PADD II","PADD 2",IF($M4434="PADD III","PADD 3",IF($M4434="PADD IV","PADD 4",IF($M4434="PADD V","PADD 5","")))))</f>
        <v>PADD 2</v>
      </c>
      <c r="G4434" s="6">
        <f>IF(AND($H4434="ATMOS DISTILLATION",ISNUMBER(SEARCH("VPS",$I4434))=FALSE,LEFT($I4434,6)&lt;&gt;"VACUUM"),"CDU",IF($H4434="FLUID CAT CRACKING","FCC",IF(OR($H4434="HYDROCRACKING",$H4434="RESID_HYDROCRACKING"),"Hydrocracker",IF($H4434="REFORMING","Reformer",""))))</f>
        <v/>
      </c>
      <c r="H4434" s="6" t="s">
        <v>435</v>
      </c>
      <c r="I4434" s="6" t="s">
        <v>802</v>
      </c>
      <c r="J4434" s="6" t="s">
        <v>345</v>
      </c>
      <c r="K4434" s="10">
        <v>2.4</v>
      </c>
      <c r="L4434" s="10">
        <v>24</v>
      </c>
      <c r="M4434" s="6" t="s">
        <v>375</v>
      </c>
    </row>
    <row r="4435" spans="1:13">
      <c r="A4435" s="6">
        <v>2024</v>
      </c>
      <c r="B4435" s="6">
        <v>9</v>
      </c>
      <c r="C4435" s="6" t="s">
        <v>67</v>
      </c>
      <c r="D4435" s="6" t="s">
        <v>801</v>
      </c>
      <c r="E4435" s="6" t="s">
        <v>779</v>
      </c>
      <c r="F4435" s="6" t="str">
        <f>IF($M4435="PADD I","PADD 1",IF($M4435="PADD II","PADD 2",IF($M4435="PADD III","PADD 3",IF($M4435="PADD IV","PADD 4",IF($M4435="PADD V","PADD 5","")))))</f>
        <v>PADD 2</v>
      </c>
      <c r="G4435" s="6">
        <f>IF(AND($H4435="ATMOS DISTILLATION",ISNUMBER(SEARCH("VPS",$I4435))=FALSE,LEFT($I4435,6)&lt;&gt;"VACUUM"),"CDU",IF($H4435="FLUID CAT CRACKING","FCC",IF(OR($H4435="HYDROCRACKING",$H4435="RESID_HYDROCRACKING"),"Hydrocracker",IF($H4435="REFORMING","Reformer",""))))</f>
        <v/>
      </c>
      <c r="H4435" s="6" t="s">
        <v>435</v>
      </c>
      <c r="I4435" s="6" t="s">
        <v>894</v>
      </c>
      <c r="J4435" s="6" t="s">
        <v>345</v>
      </c>
      <c r="K4435" s="10">
        <v>2.4</v>
      </c>
      <c r="L4435" s="10">
        <v>24</v>
      </c>
      <c r="M4435" s="6" t="s">
        <v>375</v>
      </c>
    </row>
    <row r="4436" spans="1:13">
      <c r="A4436" s="6">
        <v>2024</v>
      </c>
      <c r="B4436" s="6">
        <v>9</v>
      </c>
      <c r="C4436" s="6" t="s">
        <v>67</v>
      </c>
      <c r="D4436" s="6" t="s">
        <v>380</v>
      </c>
      <c r="E4436" s="6" t="s">
        <v>381</v>
      </c>
      <c r="F4436" s="6" t="str">
        <f>IF($M4436="PADD I","PADD 1",IF($M4436="PADD II","PADD 2",IF($M4436="PADD III","PADD 3",IF($M4436="PADD IV","PADD 4",IF($M4436="PADD V","PADD 5","")))))</f>
        <v>PADD 3</v>
      </c>
      <c r="G4436" s="6">
        <f>IF(AND($H4436="ATMOS DISTILLATION",ISNUMBER(SEARCH("VPS",$I4436))=FALSE,LEFT($I4436,6)&lt;&gt;"VACUUM"),"CDU",IF($H4436="FLUID CAT CRACKING","FCC",IF(OR($H4436="HYDROCRACKING",$H4436="RESID_HYDROCRACKING"),"Hydrocracker",IF($H4436="REFORMING","Reformer",""))))</f>
        <v/>
      </c>
      <c r="H4436" s="6" t="s">
        <v>435</v>
      </c>
      <c r="I4436" s="6" t="s">
        <v>986</v>
      </c>
      <c r="J4436" s="6" t="s">
        <v>345</v>
      </c>
      <c r="K4436" s="10">
        <v>2.25</v>
      </c>
      <c r="L4436" s="10">
        <v>22.5</v>
      </c>
      <c r="M4436" s="6" t="s">
        <v>371</v>
      </c>
    </row>
    <row r="4437" spans="1:13">
      <c r="A4437" s="6">
        <v>2024</v>
      </c>
      <c r="B4437" s="6">
        <v>9</v>
      </c>
      <c r="C4437" s="6" t="s">
        <v>67</v>
      </c>
      <c r="D4437" s="6" t="s">
        <v>380</v>
      </c>
      <c r="E4437" s="6" t="s">
        <v>381</v>
      </c>
      <c r="F4437" s="6" t="str">
        <f>IF($M4437="PADD I","PADD 1",IF($M4437="PADD II","PADD 2",IF($M4437="PADD III","PADD 3",IF($M4437="PADD IV","PADD 4",IF($M4437="PADD V","PADD 5","")))))</f>
        <v>PADD 3</v>
      </c>
      <c r="G4437" s="6">
        <f>IF(AND($H4437="ATMOS DISTILLATION",ISNUMBER(SEARCH("VPS",$I4437))=FALSE,LEFT($I4437,6)&lt;&gt;"VACUUM"),"CDU",IF($H4437="FLUID CAT CRACKING","FCC",IF(OR($H4437="HYDROCRACKING",$H4437="RESID_HYDROCRACKING"),"Hydrocracker",IF($H4437="REFORMING","Reformer",""))))</f>
        <v/>
      </c>
      <c r="H4437" s="6" t="s">
        <v>43</v>
      </c>
      <c r="I4437" s="6" t="s">
        <v>1203</v>
      </c>
      <c r="J4437" s="6" t="s">
        <v>345</v>
      </c>
      <c r="K4437" s="10">
        <v>2.25</v>
      </c>
      <c r="L4437" s="10">
        <v>22.5</v>
      </c>
      <c r="M4437" s="6" t="s">
        <v>371</v>
      </c>
    </row>
    <row r="4438" spans="1:13">
      <c r="A4438" s="6">
        <v>2024</v>
      </c>
      <c r="B4438" s="6">
        <v>9</v>
      </c>
      <c r="C4438" s="6" t="s">
        <v>67</v>
      </c>
      <c r="D4438" s="6" t="s">
        <v>328</v>
      </c>
      <c r="E4438" s="6" t="s">
        <v>416</v>
      </c>
      <c r="F4438" s="6" t="str">
        <f>IF($M4438="PADD I","PADD 1",IF($M4438="PADD II","PADD 2",IF($M4438="PADD III","PADD 3",IF($M4438="PADD IV","PADD 4",IF($M4438="PADD V","PADD 5","")))))</f>
        <v>PADD 2</v>
      </c>
      <c r="G4438" s="6">
        <f>IF(AND($H4438="ATMOS DISTILLATION",ISNUMBER(SEARCH("VPS",$I4438))=FALSE,LEFT($I4438,6)&lt;&gt;"VACUUM"),"CDU",IF($H4438="FLUID CAT CRACKING","FCC",IF(OR($H4438="HYDROCRACKING",$H4438="RESID_HYDROCRACKING"),"Hydrocracker",IF($H4438="REFORMING","Reformer",""))))</f>
        <v/>
      </c>
      <c r="H4438" s="6" t="s">
        <v>378</v>
      </c>
      <c r="I4438" s="6" t="s">
        <v>1244</v>
      </c>
      <c r="J4438" s="6" t="s">
        <v>345</v>
      </c>
      <c r="K4438" s="10">
        <v>2.25</v>
      </c>
      <c r="L4438" s="10">
        <v>75</v>
      </c>
      <c r="M4438" s="6" t="s">
        <v>375</v>
      </c>
    </row>
    <row r="4439" spans="1:13">
      <c r="A4439" s="6">
        <v>2024</v>
      </c>
      <c r="B4439" s="6">
        <v>9</v>
      </c>
      <c r="C4439" s="6" t="s">
        <v>67</v>
      </c>
      <c r="D4439" s="6" t="s">
        <v>807</v>
      </c>
      <c r="E4439" s="6" t="s">
        <v>779</v>
      </c>
      <c r="F4439" s="6" t="str">
        <f>IF($M4439="PADD I","PADD 1",IF($M4439="PADD II","PADD 2",IF($M4439="PADD III","PADD 3",IF($M4439="PADD IV","PADD 4",IF($M4439="PADD V","PADD 5","")))))</f>
        <v>PADD 3</v>
      </c>
      <c r="G4439" s="6" t="str">
        <f>IF(AND($H4439="ATMOS DISTILLATION",ISNUMBER(SEARCH("VPS",$I4439))=FALSE,LEFT($I4439,6)&lt;&gt;"VACUUM"),"CDU",IF($H4439="FLUID CAT CRACKING","FCC",IF(OR($H4439="HYDROCRACKING",$H4439="RESID_HYDROCRACKING"),"Hydrocracker",IF($H4439="REFORMING","Reformer",""))))</f>
        <v>CDU</v>
      </c>
      <c r="H4439" s="6" t="s">
        <v>38</v>
      </c>
      <c r="I4439" s="6" t="s">
        <v>135</v>
      </c>
      <c r="J4439" s="6" t="s">
        <v>345</v>
      </c>
      <c r="K4439" s="10">
        <v>2.25</v>
      </c>
      <c r="L4439" s="10">
        <v>75</v>
      </c>
      <c r="M4439" s="6" t="s">
        <v>371</v>
      </c>
    </row>
    <row r="4440" spans="1:13">
      <c r="A4440" s="6">
        <v>2024</v>
      </c>
      <c r="B4440" s="6">
        <v>9</v>
      </c>
      <c r="C4440" s="6" t="s">
        <v>67</v>
      </c>
      <c r="D4440" s="6" t="s">
        <v>803</v>
      </c>
      <c r="E4440" s="6" t="s">
        <v>388</v>
      </c>
      <c r="F4440" s="6" t="str">
        <f>IF($M4440="PADD I","PADD 1",IF($M4440="PADD II","PADD 2",IF($M4440="PADD III","PADD 3",IF($M4440="PADD IV","PADD 4",IF($M4440="PADD V","PADD 5","")))))</f>
        <v>PADD 2</v>
      </c>
      <c r="G4440" s="6" t="str">
        <f>IF(AND($H4440="ATMOS DISTILLATION",ISNUMBER(SEARCH("VPS",$I4440))=FALSE,LEFT($I4440,6)&lt;&gt;"VACUUM"),"CDU",IF($H4440="FLUID CAT CRACKING","FCC",IF(OR($H4440="HYDROCRACKING",$H4440="RESID_HYDROCRACKING"),"Hydrocracker",IF($H4440="REFORMING","Reformer",""))))</f>
        <v>Reformer</v>
      </c>
      <c r="H4440" s="6" t="s">
        <v>421</v>
      </c>
      <c r="I4440" s="6" t="s">
        <v>557</v>
      </c>
      <c r="J4440" s="6" t="s">
        <v>345</v>
      </c>
      <c r="K4440" s="10">
        <v>2.25</v>
      </c>
      <c r="L4440" s="10">
        <v>11.25</v>
      </c>
      <c r="M4440" s="6" t="s">
        <v>375</v>
      </c>
    </row>
    <row r="4441" spans="1:13">
      <c r="A4441" s="6">
        <v>2024</v>
      </c>
      <c r="B4441" s="6">
        <v>9</v>
      </c>
      <c r="C4441" s="6" t="s">
        <v>67</v>
      </c>
      <c r="D4441" s="6" t="s">
        <v>468</v>
      </c>
      <c r="E4441" s="6" t="s">
        <v>369</v>
      </c>
      <c r="F4441" s="6" t="str">
        <f>IF($M4441="PADD I","PADD 1",IF($M4441="PADD II","PADD 2",IF($M4441="PADD III","PADD 3",IF($M4441="PADD IV","PADD 4",IF($M4441="PADD V","PADD 5","")))))</f>
        <v>PADD 3</v>
      </c>
      <c r="G4441" s="6" t="str">
        <f>IF(AND($H4441="ATMOS DISTILLATION",ISNUMBER(SEARCH("VPS",$I4441))=FALSE,LEFT($I4441,6)&lt;&gt;"VACUUM"),"CDU",IF($H4441="FLUID CAT CRACKING","FCC",IF(OR($H4441="HYDROCRACKING",$H4441="RESID_HYDROCRACKING"),"Hydrocracker",IF($H4441="REFORMING","Reformer",""))))</f>
        <v>FCC</v>
      </c>
      <c r="H4441" s="6" t="s">
        <v>376</v>
      </c>
      <c r="I4441" s="6" t="s">
        <v>473</v>
      </c>
      <c r="J4441" s="6" t="s">
        <v>345</v>
      </c>
      <c r="K4441" s="10">
        <v>2.1</v>
      </c>
      <c r="L4441" s="10">
        <v>30</v>
      </c>
      <c r="M4441" s="6" t="s">
        <v>371</v>
      </c>
    </row>
    <row r="4442" spans="1:13">
      <c r="A4442" s="6">
        <v>2024</v>
      </c>
      <c r="B4442" s="6">
        <v>9</v>
      </c>
      <c r="C4442" s="6" t="s">
        <v>67</v>
      </c>
      <c r="D4442" s="6" t="s">
        <v>1239</v>
      </c>
      <c r="E4442" s="6" t="s">
        <v>872</v>
      </c>
      <c r="F4442" s="6" t="str">
        <f>IF($M4442="PADD I","PADD 1",IF($M4442="PADD II","PADD 2",IF($M4442="PADD III","PADD 3",IF($M4442="PADD IV","PADD 4",IF($M4442="PADD V","PADD 5","")))))</f>
        <v>PADD 4</v>
      </c>
      <c r="G4442" s="6" t="str">
        <f>IF(AND($H4442="ATMOS DISTILLATION",ISNUMBER(SEARCH("VPS",$I4442))=FALSE,LEFT($I4442,6)&lt;&gt;"VACUUM"),"CDU",IF($H4442="FLUID CAT CRACKING","FCC",IF(OR($H4442="HYDROCRACKING",$H4442="RESID_HYDROCRACKING"),"Hydrocracker",IF($H4442="REFORMING","Reformer",""))))</f>
        <v>Hydrocracker</v>
      </c>
      <c r="H4442" s="6" t="s">
        <v>444</v>
      </c>
      <c r="I4442" s="6" t="s">
        <v>1245</v>
      </c>
      <c r="J4442" s="6" t="s">
        <v>349</v>
      </c>
      <c r="K4442" s="10">
        <v>2</v>
      </c>
      <c r="L4442" s="10">
        <v>5</v>
      </c>
      <c r="M4442" s="6" t="s">
        <v>430</v>
      </c>
    </row>
    <row r="4443" spans="1:13">
      <c r="A4443" s="6">
        <v>2024</v>
      </c>
      <c r="B4443" s="6">
        <v>9</v>
      </c>
      <c r="C4443" s="6" t="s">
        <v>67</v>
      </c>
      <c r="D4443" s="6" t="s">
        <v>380</v>
      </c>
      <c r="E4443" s="6" t="s">
        <v>381</v>
      </c>
      <c r="F4443" s="6" t="str">
        <f>IF($M4443="PADD I","PADD 1",IF($M4443="PADD II","PADD 2",IF($M4443="PADD III","PADD 3",IF($M4443="PADD IV","PADD 4",IF($M4443="PADD V","PADD 5","")))))</f>
        <v>PADD 3</v>
      </c>
      <c r="G4443" s="6">
        <f>IF(AND($H4443="ATMOS DISTILLATION",ISNUMBER(SEARCH("VPS",$I4443))=FALSE,LEFT($I4443,6)&lt;&gt;"VACUUM"),"CDU",IF($H4443="FLUID CAT CRACKING","FCC",IF(OR($H4443="HYDROCRACKING",$H4443="RESID_HYDROCRACKING"),"Hydrocracker",IF($H4443="REFORMING","Reformer",""))))</f>
        <v/>
      </c>
      <c r="H4443" s="6" t="s">
        <v>43</v>
      </c>
      <c r="I4443" s="6" t="s">
        <v>1246</v>
      </c>
      <c r="J4443" s="6" t="s">
        <v>345</v>
      </c>
      <c r="K4443" s="10">
        <v>2</v>
      </c>
      <c r="L4443" s="10">
        <v>20</v>
      </c>
      <c r="M4443" s="6" t="s">
        <v>371</v>
      </c>
    </row>
    <row r="4444" spans="1:13">
      <c r="A4444" s="6">
        <v>2024</v>
      </c>
      <c r="B4444" s="6">
        <v>9</v>
      </c>
      <c r="C4444" s="6" t="s">
        <v>67</v>
      </c>
      <c r="D4444" s="6" t="s">
        <v>380</v>
      </c>
      <c r="E4444" s="6" t="s">
        <v>381</v>
      </c>
      <c r="F4444" s="6" t="str">
        <f>IF($M4444="PADD I","PADD 1",IF($M4444="PADD II","PADD 2",IF($M4444="PADD III","PADD 3",IF($M4444="PADD IV","PADD 4",IF($M4444="PADD V","PADD 5","")))))</f>
        <v>PADD 3</v>
      </c>
      <c r="G4444" s="6">
        <f>IF(AND($H4444="ATMOS DISTILLATION",ISNUMBER(SEARCH("VPS",$I4444))=FALSE,LEFT($I4444,6)&lt;&gt;"VACUUM"),"CDU",IF($H4444="FLUID CAT CRACKING","FCC",IF(OR($H4444="HYDROCRACKING",$H4444="RESID_HYDROCRACKING"),"Hydrocracker",IF($H4444="REFORMING","Reformer",""))))</f>
        <v/>
      </c>
      <c r="H4444" s="6" t="s">
        <v>43</v>
      </c>
      <c r="I4444" s="6" t="s">
        <v>1247</v>
      </c>
      <c r="J4444" s="6" t="s">
        <v>345</v>
      </c>
      <c r="K4444" s="10">
        <v>2</v>
      </c>
      <c r="L4444" s="10">
        <v>20</v>
      </c>
      <c r="M4444" s="6" t="s">
        <v>371</v>
      </c>
    </row>
    <row r="4445" spans="1:13">
      <c r="A4445" s="6">
        <v>2024</v>
      </c>
      <c r="B4445" s="6">
        <v>9</v>
      </c>
      <c r="C4445" s="6" t="s">
        <v>67</v>
      </c>
      <c r="D4445" s="6" t="s">
        <v>380</v>
      </c>
      <c r="E4445" s="6" t="s">
        <v>381</v>
      </c>
      <c r="F4445" s="6" t="str">
        <f>IF($M4445="PADD I","PADD 1",IF($M4445="PADD II","PADD 2",IF($M4445="PADD III","PADD 3",IF($M4445="PADD IV","PADD 4",IF($M4445="PADD V","PADD 5","")))))</f>
        <v>PADD 3</v>
      </c>
      <c r="G4445" s="6" t="str">
        <f>IF(AND($H4445="ATMOS DISTILLATION",ISNUMBER(SEARCH("VPS",$I4445))=FALSE,LEFT($I4445,6)&lt;&gt;"VACUUM"),"CDU",IF($H4445="FLUID CAT CRACKING","FCC",IF(OR($H4445="HYDROCRACKING",$H4445="RESID_HYDROCRACKING"),"Hydrocracker",IF($H4445="REFORMING","Reformer",""))))</f>
        <v>Reformer</v>
      </c>
      <c r="H4445" s="6" t="s">
        <v>421</v>
      </c>
      <c r="I4445" s="6" t="s">
        <v>1126</v>
      </c>
      <c r="J4445" s="6" t="s">
        <v>345</v>
      </c>
      <c r="K4445" s="10">
        <v>1.95</v>
      </c>
      <c r="L4445" s="10">
        <v>19.5</v>
      </c>
      <c r="M4445" s="6" t="s">
        <v>371</v>
      </c>
    </row>
    <row r="4446" spans="1:13">
      <c r="A4446" s="6">
        <v>2024</v>
      </c>
      <c r="B4446" s="6">
        <v>9</v>
      </c>
      <c r="C4446" s="6" t="s">
        <v>67</v>
      </c>
      <c r="D4446" s="6" t="s">
        <v>380</v>
      </c>
      <c r="E4446" s="6" t="s">
        <v>381</v>
      </c>
      <c r="F4446" s="6" t="str">
        <f>IF($M4446="PADD I","PADD 1",IF($M4446="PADD II","PADD 2",IF($M4446="PADD III","PADD 3",IF($M4446="PADD IV","PADD 4",IF($M4446="PADD V","PADD 5","")))))</f>
        <v>PADD 3</v>
      </c>
      <c r="G4446" s="6" t="str">
        <f>IF(AND($H4446="ATMOS DISTILLATION",ISNUMBER(SEARCH("VPS",$I4446))=FALSE,LEFT($I4446,6)&lt;&gt;"VACUUM"),"CDU",IF($H4446="FLUID CAT CRACKING","FCC",IF(OR($H4446="HYDROCRACKING",$H4446="RESID_HYDROCRACKING"),"Hydrocracker",IF($H4446="REFORMING","Reformer",""))))</f>
        <v>Reformer</v>
      </c>
      <c r="H4446" s="6" t="s">
        <v>421</v>
      </c>
      <c r="I4446" s="6" t="s">
        <v>1125</v>
      </c>
      <c r="J4446" s="6" t="s">
        <v>345</v>
      </c>
      <c r="K4446" s="10">
        <v>1.95</v>
      </c>
      <c r="L4446" s="10">
        <v>19.5</v>
      </c>
      <c r="M4446" s="6" t="s">
        <v>371</v>
      </c>
    </row>
    <row r="4447" spans="1:13">
      <c r="A4447" s="6">
        <v>2024</v>
      </c>
      <c r="B4447" s="6">
        <v>9</v>
      </c>
      <c r="C4447" s="6" t="s">
        <v>67</v>
      </c>
      <c r="D4447" s="6" t="s">
        <v>329</v>
      </c>
      <c r="E4447" s="6" t="s">
        <v>427</v>
      </c>
      <c r="F4447" s="6" t="str">
        <f>IF($M4447="PADD I","PADD 1",IF($M4447="PADD II","PADD 2",IF($M4447="PADD III","PADD 3",IF($M4447="PADD IV","PADD 4",IF($M4447="PADD V","PADD 5","")))))</f>
        <v>PADD 3</v>
      </c>
      <c r="G4447" s="6">
        <f>IF(AND($H4447="ATMOS DISTILLATION",ISNUMBER(SEARCH("VPS",$I4447))=FALSE,LEFT($I4447,6)&lt;&gt;"VACUUM"),"CDU",IF($H4447="FLUID CAT CRACKING","FCC",IF(OR($H4447="HYDROCRACKING",$H4447="RESID_HYDROCRACKING"),"Hydrocracker",IF($H4447="REFORMING","Reformer",""))))</f>
        <v/>
      </c>
      <c r="H4447" s="6" t="s">
        <v>435</v>
      </c>
      <c r="I4447" s="6" t="s">
        <v>1248</v>
      </c>
      <c r="J4447" s="6" t="s">
        <v>349</v>
      </c>
      <c r="K4447" s="10">
        <v>1.95</v>
      </c>
      <c r="L4447" s="10">
        <v>15</v>
      </c>
      <c r="M4447" s="6" t="s">
        <v>371</v>
      </c>
    </row>
    <row r="4448" spans="1:13">
      <c r="A4448" s="6">
        <v>2024</v>
      </c>
      <c r="B4448" s="6">
        <v>9</v>
      </c>
      <c r="C4448" s="6" t="s">
        <v>67</v>
      </c>
      <c r="D4448" s="6" t="s">
        <v>799</v>
      </c>
      <c r="E4448" s="6" t="s">
        <v>391</v>
      </c>
      <c r="F4448" s="6" t="str">
        <f>IF($M4448="PADD I","PADD 1",IF($M4448="PADD II","PADD 2",IF($M4448="PADD III","PADD 3",IF($M4448="PADD IV","PADD 4",IF($M4448="PADD V","PADD 5","")))))</f>
        <v>PADD 4</v>
      </c>
      <c r="G4448" s="6">
        <f>IF(AND($H4448="ATMOS DISTILLATION",ISNUMBER(SEARCH("VPS",$I4448))=FALSE,LEFT($I4448,6)&lt;&gt;"VACUUM"),"CDU",IF($H4448="FLUID CAT CRACKING","FCC",IF(OR($H4448="HYDROCRACKING",$H4448="RESID_HYDROCRACKING"),"Hydrocracker",IF($H4448="REFORMING","Reformer",""))))</f>
        <v/>
      </c>
      <c r="H4448" s="6" t="s">
        <v>43</v>
      </c>
      <c r="I4448" s="6" t="s">
        <v>1067</v>
      </c>
      <c r="J4448" s="6" t="s">
        <v>345</v>
      </c>
      <c r="K4448" s="10">
        <v>1.95</v>
      </c>
      <c r="L4448" s="10">
        <v>15</v>
      </c>
      <c r="M4448" s="6" t="s">
        <v>430</v>
      </c>
    </row>
    <row r="4449" spans="1:13">
      <c r="A4449" s="6">
        <v>2024</v>
      </c>
      <c r="B4449" s="6">
        <v>9</v>
      </c>
      <c r="C4449" s="6" t="s">
        <v>67</v>
      </c>
      <c r="D4449" s="6" t="s">
        <v>602</v>
      </c>
      <c r="E4449" s="6" t="s">
        <v>369</v>
      </c>
      <c r="F4449" s="6" t="str">
        <f>IF($M4449="PADD I","PADD 1",IF($M4449="PADD II","PADD 2",IF($M4449="PADD III","PADD 3",IF($M4449="PADD IV","PADD 4",IF($M4449="PADD V","PADD 5","")))))</f>
        <v>PADD 2</v>
      </c>
      <c r="G4449" s="6" t="str">
        <f>IF(AND($H4449="ATMOS DISTILLATION",ISNUMBER(SEARCH("VPS",$I4449))=FALSE,LEFT($I4449,6)&lt;&gt;"VACUUM"),"CDU",IF($H4449="FLUID CAT CRACKING","FCC",IF(OR($H4449="HYDROCRACKING",$H4449="RESID_HYDROCRACKING"),"Hydrocracker",IF($H4449="REFORMING","Reformer",""))))</f>
        <v>Reformer</v>
      </c>
      <c r="H4449" s="6" t="s">
        <v>421</v>
      </c>
      <c r="I4449" s="6" t="s">
        <v>697</v>
      </c>
      <c r="J4449" s="6" t="s">
        <v>345</v>
      </c>
      <c r="K4449" s="10">
        <v>1.89</v>
      </c>
      <c r="L4449" s="10">
        <v>27</v>
      </c>
      <c r="M4449" s="6" t="s">
        <v>375</v>
      </c>
    </row>
    <row r="4450" spans="1:13">
      <c r="A4450" s="6">
        <v>2024</v>
      </c>
      <c r="B4450" s="6">
        <v>9</v>
      </c>
      <c r="C4450" s="6" t="s">
        <v>67</v>
      </c>
      <c r="D4450" s="6" t="s">
        <v>329</v>
      </c>
      <c r="E4450" s="6" t="s">
        <v>427</v>
      </c>
      <c r="F4450" s="6" t="str">
        <f>IF($M4450="PADD I","PADD 1",IF($M4450="PADD II","PADD 2",IF($M4450="PADD III","PADD 3",IF($M4450="PADD IV","PADD 4",IF($M4450="PADD V","PADD 5","")))))</f>
        <v>PADD 3</v>
      </c>
      <c r="G4450" s="6">
        <f>IF(AND($H4450="ATMOS DISTILLATION",ISNUMBER(SEARCH("VPS",$I4450))=FALSE,LEFT($I4450,6)&lt;&gt;"VACUUM"),"CDU",IF($H4450="FLUID CAT CRACKING","FCC",IF(OR($H4450="HYDROCRACKING",$H4450="RESID_HYDROCRACKING"),"Hydrocracker",IF($H4450="REFORMING","Reformer",""))))</f>
        <v/>
      </c>
      <c r="H4450" s="6" t="s">
        <v>43</v>
      </c>
      <c r="I4450" s="6" t="s">
        <v>562</v>
      </c>
      <c r="J4450" s="6" t="s">
        <v>349</v>
      </c>
      <c r="K4450" s="10">
        <v>1.755</v>
      </c>
      <c r="L4450" s="10">
        <v>13.5</v>
      </c>
      <c r="M4450" s="6" t="s">
        <v>371</v>
      </c>
    </row>
    <row r="4451" spans="1:13">
      <c r="A4451" s="6">
        <v>2024</v>
      </c>
      <c r="B4451" s="6">
        <v>9</v>
      </c>
      <c r="C4451" s="6" t="s">
        <v>67</v>
      </c>
      <c r="D4451" s="6" t="s">
        <v>328</v>
      </c>
      <c r="E4451" s="6" t="s">
        <v>416</v>
      </c>
      <c r="F4451" s="6" t="str">
        <f>IF($M4451="PADD I","PADD 1",IF($M4451="PADD II","PADD 2",IF($M4451="PADD III","PADD 3",IF($M4451="PADD IV","PADD 4",IF($M4451="PADD V","PADD 5","")))))</f>
        <v>PADD 2</v>
      </c>
      <c r="G4451" s="6">
        <f>IF(AND($H4451="ATMOS DISTILLATION",ISNUMBER(SEARCH("VPS",$I4451))=FALSE,LEFT($I4451,6)&lt;&gt;"VACUUM"),"CDU",IF($H4451="FLUID CAT CRACKING","FCC",IF(OR($H4451="HYDROCRACKING",$H4451="RESID_HYDROCRACKING"),"Hydrocracker",IF($H4451="REFORMING","Reformer",""))))</f>
        <v/>
      </c>
      <c r="H4451" s="6" t="s">
        <v>43</v>
      </c>
      <c r="I4451" s="6" t="s">
        <v>1249</v>
      </c>
      <c r="J4451" s="6" t="s">
        <v>345</v>
      </c>
      <c r="K4451" s="10">
        <v>1.75</v>
      </c>
      <c r="L4451" s="10">
        <v>25</v>
      </c>
      <c r="M4451" s="6" t="s">
        <v>375</v>
      </c>
    </row>
    <row r="4452" spans="1:13">
      <c r="A4452" s="6">
        <v>2024</v>
      </c>
      <c r="B4452" s="6">
        <v>9</v>
      </c>
      <c r="C4452" s="6" t="s">
        <v>67</v>
      </c>
      <c r="D4452" s="6" t="s">
        <v>934</v>
      </c>
      <c r="E4452" s="6" t="s">
        <v>388</v>
      </c>
      <c r="F4452" s="6" t="str">
        <f>IF($M4452="PADD I","PADD 1",IF($M4452="PADD II","PADD 2",IF($M4452="PADD III","PADD 3",IF($M4452="PADD IV","PADD 4",IF($M4452="PADD V","PADD 5","")))))</f>
        <v>PADD 3</v>
      </c>
      <c r="G4452" s="6">
        <f>IF(AND($H4452="ATMOS DISTILLATION",ISNUMBER(SEARCH("VPS",$I4452))=FALSE,LEFT($I4452,6)&lt;&gt;"VACUUM"),"CDU",IF($H4452="FLUID CAT CRACKING","FCC",IF(OR($H4452="HYDROCRACKING",$H4452="RESID_HYDROCRACKING"),"Hydrocracker",IF($H4452="REFORMING","Reformer",""))))</f>
        <v/>
      </c>
      <c r="H4452" s="6" t="s">
        <v>43</v>
      </c>
      <c r="I4452" s="6" t="s">
        <v>458</v>
      </c>
      <c r="J4452" s="6" t="s">
        <v>345</v>
      </c>
      <c r="K4452" s="10">
        <v>1.75</v>
      </c>
      <c r="L4452" s="10">
        <v>25</v>
      </c>
      <c r="M4452" s="6" t="s">
        <v>371</v>
      </c>
    </row>
    <row r="4453" spans="1:13">
      <c r="A4453" s="6">
        <v>2024</v>
      </c>
      <c r="B4453" s="6">
        <v>9</v>
      </c>
      <c r="C4453" s="6" t="s">
        <v>67</v>
      </c>
      <c r="D4453" s="6" t="s">
        <v>434</v>
      </c>
      <c r="E4453" s="6" t="s">
        <v>388</v>
      </c>
      <c r="F4453" s="6" t="str">
        <f>IF($M4453="PADD I","PADD 1",IF($M4453="PADD II","PADD 2",IF($M4453="PADD III","PADD 3",IF($M4453="PADD IV","PADD 4",IF($M4453="PADD V","PADD 5","")))))</f>
        <v>PADD 5</v>
      </c>
      <c r="G4453" s="6">
        <f>IF(AND($H4453="ATMOS DISTILLATION",ISNUMBER(SEARCH("VPS",$I4453))=FALSE,LEFT($I4453,6)&lt;&gt;"VACUUM"),"CDU",IF($H4453="FLUID CAT CRACKING","FCC",IF(OR($H4453="HYDROCRACKING",$H4453="RESID_HYDROCRACKING"),"Hydrocracker",IF($H4453="REFORMING","Reformer",""))))</f>
        <v/>
      </c>
      <c r="H4453" s="6" t="s">
        <v>43</v>
      </c>
      <c r="I4453" s="6" t="s">
        <v>905</v>
      </c>
      <c r="J4453" s="6" t="s">
        <v>345</v>
      </c>
      <c r="K4453" s="10">
        <v>1.75</v>
      </c>
      <c r="L4453" s="10">
        <v>25</v>
      </c>
      <c r="M4453" s="6" t="s">
        <v>386</v>
      </c>
    </row>
    <row r="4454" spans="1:13">
      <c r="A4454" s="6">
        <v>2024</v>
      </c>
      <c r="B4454" s="6">
        <v>9</v>
      </c>
      <c r="C4454" s="6" t="s">
        <v>67</v>
      </c>
      <c r="D4454" s="6" t="s">
        <v>662</v>
      </c>
      <c r="E4454" s="6" t="s">
        <v>552</v>
      </c>
      <c r="F4454" s="6" t="str">
        <f>IF($M4454="PADD I","PADD 1",IF($M4454="PADD II","PADD 2",IF($M4454="PADD III","PADD 3",IF($M4454="PADD IV","PADD 4",IF($M4454="PADD V","PADD 5","")))))</f>
        <v>PADD 3</v>
      </c>
      <c r="G4454" s="6" t="str">
        <f>IF(AND($H4454="ATMOS DISTILLATION",ISNUMBER(SEARCH("VPS",$I4454))=FALSE,LEFT($I4454,6)&lt;&gt;"VACUUM"),"CDU",IF($H4454="FLUID CAT CRACKING","FCC",IF(OR($H4454="HYDROCRACKING",$H4454="RESID_HYDROCRACKING"),"Hydrocracker",IF($H4454="REFORMING","Reformer",""))))</f>
        <v>FCC</v>
      </c>
      <c r="H4454" s="6" t="s">
        <v>376</v>
      </c>
      <c r="I4454" s="6" t="s">
        <v>105</v>
      </c>
      <c r="J4454" s="6" t="s">
        <v>349</v>
      </c>
      <c r="K4454" s="10">
        <v>1.75</v>
      </c>
      <c r="L4454" s="10">
        <v>25</v>
      </c>
      <c r="M4454" s="6" t="s">
        <v>371</v>
      </c>
    </row>
    <row r="4455" spans="1:13">
      <c r="A4455" s="6">
        <v>2024</v>
      </c>
      <c r="B4455" s="6">
        <v>9</v>
      </c>
      <c r="C4455" s="6" t="s">
        <v>67</v>
      </c>
      <c r="D4455" s="6" t="s">
        <v>799</v>
      </c>
      <c r="E4455" s="6" t="s">
        <v>391</v>
      </c>
      <c r="F4455" s="6" t="str">
        <f>IF($M4455="PADD I","PADD 1",IF($M4455="PADD II","PADD 2",IF($M4455="PADD III","PADD 3",IF($M4455="PADD IV","PADD 4",IF($M4455="PADD V","PADD 5","")))))</f>
        <v>PADD 4</v>
      </c>
      <c r="G4455" s="6" t="str">
        <f>IF(AND($H4455="ATMOS DISTILLATION",ISNUMBER(SEARCH("VPS",$I4455))=FALSE,LEFT($I4455,6)&lt;&gt;"VACUUM"),"CDU",IF($H4455="FLUID CAT CRACKING","FCC",IF(OR($H4455="HYDROCRACKING",$H4455="RESID_HYDROCRACKING"),"Hydrocracker",IF($H4455="REFORMING","Reformer",""))))</f>
        <v>CDU</v>
      </c>
      <c r="H4455" s="6" t="s">
        <v>38</v>
      </c>
      <c r="I4455" s="6" t="s">
        <v>1104</v>
      </c>
      <c r="J4455" s="6" t="s">
        <v>345</v>
      </c>
      <c r="K4455" s="10">
        <v>1.728</v>
      </c>
      <c r="L4455" s="10">
        <v>57.6</v>
      </c>
      <c r="M4455" s="6" t="s">
        <v>430</v>
      </c>
    </row>
    <row r="4456" spans="1:13">
      <c r="A4456" s="6">
        <v>2024</v>
      </c>
      <c r="B4456" s="6">
        <v>9</v>
      </c>
      <c r="C4456" s="6" t="s">
        <v>67</v>
      </c>
      <c r="D4456" s="6" t="s">
        <v>328</v>
      </c>
      <c r="E4456" s="6" t="s">
        <v>416</v>
      </c>
      <c r="F4456" s="6" t="str">
        <f>IF($M4456="PADD I","PADD 1",IF($M4456="PADD II","PADD 2",IF($M4456="PADD III","PADD 3",IF($M4456="PADD IV","PADD 4",IF($M4456="PADD V","PADD 5","")))))</f>
        <v>PADD 2</v>
      </c>
      <c r="G4456" s="6">
        <f>IF(AND($H4456="ATMOS DISTILLATION",ISNUMBER(SEARCH("VPS",$I4456))=FALSE,LEFT($I4456,6)&lt;&gt;"VACUUM"),"CDU",IF($H4456="FLUID CAT CRACKING","FCC",IF(OR($H4456="HYDROCRACKING",$H4456="RESID_HYDROCRACKING"),"Hydrocracker",IF($H4456="REFORMING","Reformer",""))))</f>
        <v/>
      </c>
      <c r="H4456" s="6" t="s">
        <v>43</v>
      </c>
      <c r="I4456" s="6" t="s">
        <v>1250</v>
      </c>
      <c r="J4456" s="6" t="s">
        <v>345</v>
      </c>
      <c r="K4456" s="10">
        <v>1.638</v>
      </c>
      <c r="L4456" s="10">
        <v>23.4</v>
      </c>
      <c r="M4456" s="6" t="s">
        <v>375</v>
      </c>
    </row>
    <row r="4457" spans="1:13">
      <c r="A4457" s="6">
        <v>2024</v>
      </c>
      <c r="B4457" s="6">
        <v>9</v>
      </c>
      <c r="C4457" s="6" t="s">
        <v>67</v>
      </c>
      <c r="D4457" s="6" t="s">
        <v>380</v>
      </c>
      <c r="E4457" s="6" t="s">
        <v>381</v>
      </c>
      <c r="F4457" s="6" t="str">
        <f>IF($M4457="PADD I","PADD 1",IF($M4457="PADD II","PADD 2",IF($M4457="PADD III","PADD 3",IF($M4457="PADD IV","PADD 4",IF($M4457="PADD V","PADD 5","")))))</f>
        <v>PADD 3</v>
      </c>
      <c r="G4457" s="6">
        <f>IF(AND($H4457="ATMOS DISTILLATION",ISNUMBER(SEARCH("VPS",$I4457))=FALSE,LEFT($I4457,6)&lt;&gt;"VACUUM"),"CDU",IF($H4457="FLUID CAT CRACKING","FCC",IF(OR($H4457="HYDROCRACKING",$H4457="RESID_HYDROCRACKING"),"Hydrocracker",IF($H4457="REFORMING","Reformer",""))))</f>
        <v/>
      </c>
      <c r="H4457" s="6" t="s">
        <v>43</v>
      </c>
      <c r="I4457" s="6" t="s">
        <v>1251</v>
      </c>
      <c r="J4457" s="6" t="s">
        <v>345</v>
      </c>
      <c r="K4457" s="10">
        <v>1.5</v>
      </c>
      <c r="L4457" s="10">
        <v>15</v>
      </c>
      <c r="M4457" s="6" t="s">
        <v>371</v>
      </c>
    </row>
    <row r="4458" spans="1:13">
      <c r="A4458" s="6">
        <v>2024</v>
      </c>
      <c r="B4458" s="6">
        <v>9</v>
      </c>
      <c r="C4458" s="6" t="s">
        <v>67</v>
      </c>
      <c r="D4458" s="6" t="s">
        <v>380</v>
      </c>
      <c r="E4458" s="6" t="s">
        <v>381</v>
      </c>
      <c r="F4458" s="6" t="str">
        <f>IF($M4458="PADD I","PADD 1",IF($M4458="PADD II","PADD 2",IF($M4458="PADD III","PADD 3",IF($M4458="PADD IV","PADD 4",IF($M4458="PADD V","PADD 5","")))))</f>
        <v>PADD 3</v>
      </c>
      <c r="G4458" s="6">
        <f>IF(AND($H4458="ATMOS DISTILLATION",ISNUMBER(SEARCH("VPS",$I4458))=FALSE,LEFT($I4458,6)&lt;&gt;"VACUUM"),"CDU",IF($H4458="FLUID CAT CRACKING","FCC",IF(OR($H4458="HYDROCRACKING",$H4458="RESID_HYDROCRACKING"),"Hydrocracker",IF($H4458="REFORMING","Reformer",""))))</f>
        <v/>
      </c>
      <c r="H4458" s="6" t="s">
        <v>43</v>
      </c>
      <c r="I4458" s="6" t="s">
        <v>1252</v>
      </c>
      <c r="J4458" s="6" t="s">
        <v>345</v>
      </c>
      <c r="K4458" s="10">
        <v>1.5</v>
      </c>
      <c r="L4458" s="10">
        <v>15</v>
      </c>
      <c r="M4458" s="6" t="s">
        <v>371</v>
      </c>
    </row>
    <row r="4459" spans="1:13">
      <c r="A4459" s="6">
        <v>2024</v>
      </c>
      <c r="B4459" s="6">
        <v>9</v>
      </c>
      <c r="C4459" s="6" t="s">
        <v>67</v>
      </c>
      <c r="D4459" s="6" t="s">
        <v>756</v>
      </c>
      <c r="E4459" s="6" t="s">
        <v>757</v>
      </c>
      <c r="F4459" s="6" t="str">
        <f>IF($M4459="PADD I","PADD 1",IF($M4459="PADD II","PADD 2",IF($M4459="PADD III","PADD 3",IF($M4459="PADD IV","PADD 4",IF($M4459="PADD V","PADD 5","")))))</f>
        <v>PADD 3</v>
      </c>
      <c r="G4459" s="6" t="str">
        <f>IF(AND($H4459="ATMOS DISTILLATION",ISNUMBER(SEARCH("VPS",$I4459))=FALSE,LEFT($I4459,6)&lt;&gt;"VACUUM"),"CDU",IF($H4459="FLUID CAT CRACKING","FCC",IF(OR($H4459="HYDROCRACKING",$H4459="RESID_HYDROCRACKING"),"Hydrocracker",IF($H4459="REFORMING","Reformer",""))))</f>
        <v>CDU</v>
      </c>
      <c r="H4459" s="6" t="s">
        <v>38</v>
      </c>
      <c r="I4459" s="6" t="s">
        <v>81</v>
      </c>
      <c r="J4459" s="6" t="s">
        <v>345</v>
      </c>
      <c r="K4459" s="10">
        <v>1.5</v>
      </c>
      <c r="L4459" s="10">
        <v>15</v>
      </c>
      <c r="M4459" s="6" t="s">
        <v>371</v>
      </c>
    </row>
    <row r="4460" spans="1:13">
      <c r="A4460" s="6">
        <v>2024</v>
      </c>
      <c r="B4460" s="6">
        <v>9</v>
      </c>
      <c r="C4460" s="6" t="s">
        <v>67</v>
      </c>
      <c r="D4460" s="6" t="s">
        <v>434</v>
      </c>
      <c r="E4460" s="6" t="s">
        <v>388</v>
      </c>
      <c r="F4460" s="6" t="str">
        <f>IF($M4460="PADD I","PADD 1",IF($M4460="PADD II","PADD 2",IF($M4460="PADD III","PADD 3",IF($M4460="PADD IV","PADD 4",IF($M4460="PADD V","PADD 5","")))))</f>
        <v>PADD 5</v>
      </c>
      <c r="G4460" s="6" t="str">
        <f>IF(AND($H4460="ATMOS DISTILLATION",ISNUMBER(SEARCH("VPS",$I4460))=FALSE,LEFT($I4460,6)&lt;&gt;"VACUUM"),"CDU",IF($H4460="FLUID CAT CRACKING","FCC",IF(OR($H4460="HYDROCRACKING",$H4460="RESID_HYDROCRACKING"),"Hydrocracker",IF($H4460="REFORMING","Reformer",""))))</f>
        <v>Reformer</v>
      </c>
      <c r="H4460" s="6" t="s">
        <v>421</v>
      </c>
      <c r="I4460" s="6" t="s">
        <v>671</v>
      </c>
      <c r="J4460" s="6" t="s">
        <v>345</v>
      </c>
      <c r="K4460" s="10">
        <v>1.5</v>
      </c>
      <c r="L4460" s="10">
        <v>15</v>
      </c>
      <c r="M4460" s="6" t="s">
        <v>386</v>
      </c>
    </row>
    <row r="4461" spans="1:13">
      <c r="A4461" s="6">
        <v>2024</v>
      </c>
      <c r="B4461" s="6">
        <v>9</v>
      </c>
      <c r="C4461" s="6" t="s">
        <v>67</v>
      </c>
      <c r="D4461" s="6" t="s">
        <v>1239</v>
      </c>
      <c r="E4461" s="6" t="s">
        <v>872</v>
      </c>
      <c r="F4461" s="6" t="str">
        <f>IF($M4461="PADD I","PADD 1",IF($M4461="PADD II","PADD 2",IF($M4461="PADD III","PADD 3",IF($M4461="PADD IV","PADD 4",IF($M4461="PADD V","PADD 5","")))))</f>
        <v>PADD 4</v>
      </c>
      <c r="G4461" s="6">
        <f>IF(AND($H4461="ATMOS DISTILLATION",ISNUMBER(SEARCH("VPS",$I4461))=FALSE,LEFT($I4461,6)&lt;&gt;"VACUUM"),"CDU",IF($H4461="FLUID CAT CRACKING","FCC",IF(OR($H4461="HYDROCRACKING",$H4461="RESID_HYDROCRACKING"),"Hydrocracker",IF($H4461="REFORMING","Reformer",""))))</f>
        <v/>
      </c>
      <c r="H4461" s="6" t="s">
        <v>43</v>
      </c>
      <c r="I4461" s="6" t="s">
        <v>929</v>
      </c>
      <c r="J4461" s="6" t="s">
        <v>349</v>
      </c>
      <c r="K4461" s="10">
        <v>1.4</v>
      </c>
      <c r="L4461" s="10">
        <v>3.5</v>
      </c>
      <c r="M4461" s="6" t="s">
        <v>430</v>
      </c>
    </row>
    <row r="4462" spans="1:13">
      <c r="A4462" s="6">
        <v>2024</v>
      </c>
      <c r="B4462" s="6">
        <v>9</v>
      </c>
      <c r="C4462" s="6" t="s">
        <v>67</v>
      </c>
      <c r="D4462" s="6" t="s">
        <v>380</v>
      </c>
      <c r="E4462" s="6" t="s">
        <v>381</v>
      </c>
      <c r="F4462" s="6" t="str">
        <f>IF($M4462="PADD I","PADD 1",IF($M4462="PADD II","PADD 2",IF($M4462="PADD III","PADD 3",IF($M4462="PADD IV","PADD 4",IF($M4462="PADD V","PADD 5","")))))</f>
        <v>PADD 3</v>
      </c>
      <c r="G4462" s="6">
        <f>IF(AND($H4462="ATMOS DISTILLATION",ISNUMBER(SEARCH("VPS",$I4462))=FALSE,LEFT($I4462,6)&lt;&gt;"VACUUM"),"CDU",IF($H4462="FLUID CAT CRACKING","FCC",IF(OR($H4462="HYDROCRACKING",$H4462="RESID_HYDROCRACKING"),"Hydrocracker",IF($H4462="REFORMING","Reformer",""))))</f>
        <v/>
      </c>
      <c r="H4462" s="6" t="s">
        <v>435</v>
      </c>
      <c r="I4462" s="6" t="s">
        <v>515</v>
      </c>
      <c r="J4462" s="6" t="s">
        <v>345</v>
      </c>
      <c r="K4462" s="10">
        <v>1.375</v>
      </c>
      <c r="L4462" s="10">
        <v>13.75</v>
      </c>
      <c r="M4462" s="6" t="s">
        <v>371</v>
      </c>
    </row>
    <row r="4463" spans="1:13">
      <c r="A4463" s="6">
        <v>2024</v>
      </c>
      <c r="B4463" s="6">
        <v>9</v>
      </c>
      <c r="C4463" s="6" t="s">
        <v>67</v>
      </c>
      <c r="D4463" s="6" t="s">
        <v>531</v>
      </c>
      <c r="E4463" s="6" t="s">
        <v>532</v>
      </c>
      <c r="F4463" s="6" t="str">
        <f>IF($M4463="PADD I","PADD 1",IF($M4463="PADD II","PADD 2",IF($M4463="PADD III","PADD 3",IF($M4463="PADD IV","PADD 4",IF($M4463="PADD V","PADD 5","")))))</f>
        <v>PADD 5</v>
      </c>
      <c r="G4463" s="6" t="str">
        <f>IF(AND($H4463="ATMOS DISTILLATION",ISNUMBER(SEARCH("VPS",$I4463))=FALSE,LEFT($I4463,6)&lt;&gt;"VACUUM"),"CDU",IF($H4463="FLUID CAT CRACKING","FCC",IF(OR($H4463="HYDROCRACKING",$H4463="RESID_HYDROCRACKING"),"Hydrocracker",IF($H4463="REFORMING","Reformer",""))))</f>
        <v>Reformer</v>
      </c>
      <c r="H4463" s="6" t="s">
        <v>421</v>
      </c>
      <c r="I4463" s="6" t="s">
        <v>557</v>
      </c>
      <c r="J4463" s="6" t="s">
        <v>345</v>
      </c>
      <c r="K4463" s="10">
        <v>1.35</v>
      </c>
      <c r="L4463" s="10">
        <v>45</v>
      </c>
      <c r="M4463" s="6" t="s">
        <v>386</v>
      </c>
    </row>
    <row r="4464" spans="1:13">
      <c r="A4464" s="6">
        <v>2024</v>
      </c>
      <c r="B4464" s="6">
        <v>9</v>
      </c>
      <c r="C4464" s="6" t="s">
        <v>67</v>
      </c>
      <c r="D4464" s="6" t="s">
        <v>662</v>
      </c>
      <c r="E4464" s="6" t="s">
        <v>552</v>
      </c>
      <c r="F4464" s="6" t="str">
        <f>IF($M4464="PADD I","PADD 1",IF($M4464="PADD II","PADD 2",IF($M4464="PADD III","PADD 3",IF($M4464="PADD IV","PADD 4",IF($M4464="PADD V","PADD 5","")))))</f>
        <v>PADD 3</v>
      </c>
      <c r="G4464" s="6">
        <f>IF(AND($H4464="ATMOS DISTILLATION",ISNUMBER(SEARCH("VPS",$I4464))=FALSE,LEFT($I4464,6)&lt;&gt;"VACUUM"),"CDU",IF($H4464="FLUID CAT CRACKING","FCC",IF(OR($H4464="HYDROCRACKING",$H4464="RESID_HYDROCRACKING"),"Hydrocracker",IF($H4464="REFORMING","Reformer",""))))</f>
        <v/>
      </c>
      <c r="H4464" s="6" t="s">
        <v>43</v>
      </c>
      <c r="I4464" s="6" t="s">
        <v>844</v>
      </c>
      <c r="J4464" s="6" t="s">
        <v>345</v>
      </c>
      <c r="K4464" s="10">
        <v>1.35</v>
      </c>
      <c r="L4464" s="10">
        <v>5</v>
      </c>
      <c r="M4464" s="6" t="s">
        <v>371</v>
      </c>
    </row>
    <row r="4465" spans="1:13">
      <c r="A4465" s="6">
        <v>2024</v>
      </c>
      <c r="B4465" s="6">
        <v>9</v>
      </c>
      <c r="C4465" s="6" t="s">
        <v>67</v>
      </c>
      <c r="D4465" s="6" t="s">
        <v>612</v>
      </c>
      <c r="E4465" s="6" t="s">
        <v>416</v>
      </c>
      <c r="F4465" s="6" t="str">
        <f>IF($M4465="PADD I","PADD 1",IF($M4465="PADD II","PADD 2",IF($M4465="PADD III","PADD 3",IF($M4465="PADD IV","PADD 4",IF($M4465="PADD V","PADD 5","")))))</f>
        <v>PADD 3</v>
      </c>
      <c r="G4465" s="6">
        <f>IF(AND($H4465="ATMOS DISTILLATION",ISNUMBER(SEARCH("VPS",$I4465))=FALSE,LEFT($I4465,6)&lt;&gt;"VACUUM"),"CDU",IF($H4465="FLUID CAT CRACKING","FCC",IF(OR($H4465="HYDROCRACKING",$H4465="RESID_HYDROCRACKING"),"Hydrocracker",IF($H4465="REFORMING","Reformer",""))))</f>
        <v/>
      </c>
      <c r="H4465" s="6" t="s">
        <v>435</v>
      </c>
      <c r="I4465" s="6" t="s">
        <v>441</v>
      </c>
      <c r="J4465" s="6" t="s">
        <v>345</v>
      </c>
      <c r="K4465" s="10">
        <v>1.32</v>
      </c>
      <c r="L4465" s="10">
        <v>44</v>
      </c>
      <c r="M4465" s="6" t="s">
        <v>371</v>
      </c>
    </row>
    <row r="4466" spans="1:13">
      <c r="A4466" s="6">
        <v>2024</v>
      </c>
      <c r="B4466" s="6">
        <v>9</v>
      </c>
      <c r="C4466" s="6" t="s">
        <v>67</v>
      </c>
      <c r="D4466" s="6" t="s">
        <v>329</v>
      </c>
      <c r="E4466" s="6" t="s">
        <v>427</v>
      </c>
      <c r="F4466" s="6" t="str">
        <f>IF($M4466="PADD I","PADD 1",IF($M4466="PADD II","PADD 2",IF($M4466="PADD III","PADD 3",IF($M4466="PADD IV","PADD 4",IF($M4466="PADD V","PADD 5","")))))</f>
        <v>PADD 3</v>
      </c>
      <c r="G4466" s="6">
        <f>IF(AND($H4466="ATMOS DISTILLATION",ISNUMBER(SEARCH("VPS",$I4466))=FALSE,LEFT($I4466,6)&lt;&gt;"VACUUM"),"CDU",IF($H4466="FLUID CAT CRACKING","FCC",IF(OR($H4466="HYDROCRACKING",$H4466="RESID_HYDROCRACKING"),"Hydrocracker",IF($H4466="REFORMING","Reformer",""))))</f>
        <v/>
      </c>
      <c r="H4466" s="6" t="s">
        <v>568</v>
      </c>
      <c r="I4466" s="6" t="s">
        <v>604</v>
      </c>
      <c r="J4466" s="6" t="s">
        <v>349</v>
      </c>
      <c r="K4466" s="10">
        <v>1.3</v>
      </c>
      <c r="L4466" s="10">
        <v>10</v>
      </c>
      <c r="M4466" s="6" t="s">
        <v>371</v>
      </c>
    </row>
    <row r="4467" spans="1:13">
      <c r="A4467" s="6">
        <v>2024</v>
      </c>
      <c r="B4467" s="6">
        <v>9</v>
      </c>
      <c r="C4467" s="6" t="s">
        <v>67</v>
      </c>
      <c r="D4467" s="6" t="s">
        <v>762</v>
      </c>
      <c r="E4467" s="6" t="s">
        <v>763</v>
      </c>
      <c r="F4467" s="6" t="str">
        <f>IF($M4467="PADD I","PADD 1",IF($M4467="PADD II","PADD 2",IF($M4467="PADD III","PADD 3",IF($M4467="PADD IV","PADD 4",IF($M4467="PADD V","PADD 5","")))))</f>
        <v>PADD 2</v>
      </c>
      <c r="G4467" s="6">
        <f>IF(AND($H4467="ATMOS DISTILLATION",ISNUMBER(SEARCH("VPS",$I4467))=FALSE,LEFT($I4467,6)&lt;&gt;"VACUUM"),"CDU",IF($H4467="FLUID CAT CRACKING","FCC",IF(OR($H4467="HYDROCRACKING",$H4467="RESID_HYDROCRACKING"),"Hydrocracker",IF($H4467="REFORMING","Reformer",""))))</f>
        <v/>
      </c>
      <c r="H4467" s="6" t="s">
        <v>43</v>
      </c>
      <c r="I4467" s="6" t="s">
        <v>458</v>
      </c>
      <c r="J4467" s="6" t="s">
        <v>345</v>
      </c>
      <c r="K4467" s="10">
        <v>1.3</v>
      </c>
      <c r="L4467" s="10">
        <v>13</v>
      </c>
      <c r="M4467" s="6" t="s">
        <v>375</v>
      </c>
    </row>
    <row r="4468" spans="1:13">
      <c r="A4468" s="6">
        <v>2024</v>
      </c>
      <c r="B4468" s="6">
        <v>9</v>
      </c>
      <c r="C4468" s="6" t="s">
        <v>67</v>
      </c>
      <c r="D4468" s="6" t="s">
        <v>1239</v>
      </c>
      <c r="E4468" s="6" t="s">
        <v>872</v>
      </c>
      <c r="F4468" s="6" t="str">
        <f>IF($M4468="PADD I","PADD 1",IF($M4468="PADD II","PADD 2",IF($M4468="PADD III","PADD 3",IF($M4468="PADD IV","PADD 4",IF($M4468="PADD V","PADD 5","")))))</f>
        <v>PADD 4</v>
      </c>
      <c r="G4468" s="6">
        <f>IF(AND($H4468="ATMOS DISTILLATION",ISNUMBER(SEARCH("VPS",$I4468))=FALSE,LEFT($I4468,6)&lt;&gt;"VACUUM"),"CDU",IF($H4468="FLUID CAT CRACKING","FCC",IF(OR($H4468="HYDROCRACKING",$H4468="RESID_HYDROCRACKING"),"Hydrocracker",IF($H4468="REFORMING","Reformer",""))))</f>
        <v/>
      </c>
      <c r="H4468" s="6" t="s">
        <v>43</v>
      </c>
      <c r="I4468" s="6" t="s">
        <v>501</v>
      </c>
      <c r="J4468" s="6" t="s">
        <v>349</v>
      </c>
      <c r="K4468" s="10">
        <v>1.2</v>
      </c>
      <c r="L4468" s="10">
        <v>3</v>
      </c>
      <c r="M4468" s="6" t="s">
        <v>430</v>
      </c>
    </row>
    <row r="4469" spans="1:13">
      <c r="A4469" s="6">
        <v>2024</v>
      </c>
      <c r="B4469" s="6">
        <v>9</v>
      </c>
      <c r="C4469" s="6" t="s">
        <v>67</v>
      </c>
      <c r="D4469" s="6" t="s">
        <v>934</v>
      </c>
      <c r="E4469" s="6" t="s">
        <v>388</v>
      </c>
      <c r="F4469" s="6" t="str">
        <f>IF($M4469="PADD I","PADD 1",IF($M4469="PADD II","PADD 2",IF($M4469="PADD III","PADD 3",IF($M4469="PADD IV","PADD 4",IF($M4469="PADD V","PADD 5","")))))</f>
        <v>PADD 3</v>
      </c>
      <c r="G4469" s="6">
        <f>IF(AND($H4469="ATMOS DISTILLATION",ISNUMBER(SEARCH("VPS",$I4469))=FALSE,LEFT($I4469,6)&lt;&gt;"VACUUM"),"CDU",IF($H4469="FLUID CAT CRACKING","FCC",IF(OR($H4469="HYDROCRACKING",$H4469="RESID_HYDROCRACKING"),"Hydrocracker",IF($H4469="REFORMING","Reformer",""))))</f>
        <v/>
      </c>
      <c r="H4469" s="6" t="s">
        <v>378</v>
      </c>
      <c r="I4469" s="6" t="s">
        <v>964</v>
      </c>
      <c r="J4469" s="6" t="s">
        <v>345</v>
      </c>
      <c r="K4469" s="10">
        <v>1.19</v>
      </c>
      <c r="L4469" s="10">
        <v>17</v>
      </c>
      <c r="M4469" s="6" t="s">
        <v>371</v>
      </c>
    </row>
    <row r="4470" spans="1:13">
      <c r="A4470" s="6">
        <v>2024</v>
      </c>
      <c r="B4470" s="6">
        <v>9</v>
      </c>
      <c r="C4470" s="6" t="s">
        <v>67</v>
      </c>
      <c r="D4470" s="6" t="s">
        <v>380</v>
      </c>
      <c r="E4470" s="6" t="s">
        <v>381</v>
      </c>
      <c r="F4470" s="6" t="str">
        <f>IF($M4470="PADD I","PADD 1",IF($M4470="PADD II","PADD 2",IF($M4470="PADD III","PADD 3",IF($M4470="PADD IV","PADD 4",IF($M4470="PADD V","PADD 5","")))))</f>
        <v>PADD 3</v>
      </c>
      <c r="G4470" s="6" t="str">
        <f>IF(AND($H4470="ATMOS DISTILLATION",ISNUMBER(SEARCH("VPS",$I4470))=FALSE,LEFT($I4470,6)&lt;&gt;"VACUUM"),"CDU",IF($H4470="FLUID CAT CRACKING","FCC",IF(OR($H4470="HYDROCRACKING",$H4470="RESID_HYDROCRACKING"),"Hydrocracker",IF($H4470="REFORMING","Reformer",""))))</f>
        <v>Hydrocracker</v>
      </c>
      <c r="H4470" s="6" t="s">
        <v>444</v>
      </c>
      <c r="I4470" s="6" t="s">
        <v>1221</v>
      </c>
      <c r="J4470" s="6" t="s">
        <v>345</v>
      </c>
      <c r="K4470" s="10">
        <v>1.15</v>
      </c>
      <c r="L4470" s="10">
        <v>11.5</v>
      </c>
      <c r="M4470" s="6" t="s">
        <v>371</v>
      </c>
    </row>
    <row r="4471" spans="1:13">
      <c r="A4471" s="6">
        <v>2024</v>
      </c>
      <c r="B4471" s="6">
        <v>9</v>
      </c>
      <c r="C4471" s="6" t="s">
        <v>67</v>
      </c>
      <c r="D4471" s="6" t="s">
        <v>662</v>
      </c>
      <c r="E4471" s="6" t="s">
        <v>552</v>
      </c>
      <c r="F4471" s="6" t="str">
        <f>IF($M4471="PADD I","PADD 1",IF($M4471="PADD II","PADD 2",IF($M4471="PADD III","PADD 3",IF($M4471="PADD IV","PADD 4",IF($M4471="PADD V","PADD 5","")))))</f>
        <v>PADD 3</v>
      </c>
      <c r="G4471" s="6">
        <f>IF(AND($H4471="ATMOS DISTILLATION",ISNUMBER(SEARCH("VPS",$I4471))=FALSE,LEFT($I4471,6)&lt;&gt;"VACUUM"),"CDU",IF($H4471="FLUID CAT CRACKING","FCC",IF(OR($H4471="HYDROCRACKING",$H4471="RESID_HYDROCRACKING"),"Hydrocracker",IF($H4471="REFORMING","Reformer",""))))</f>
        <v/>
      </c>
      <c r="H4471" s="6" t="s">
        <v>43</v>
      </c>
      <c r="I4471" s="6" t="s">
        <v>844</v>
      </c>
      <c r="J4471" s="6" t="s">
        <v>349</v>
      </c>
      <c r="K4471" s="10">
        <v>1.15</v>
      </c>
      <c r="L4471" s="10">
        <v>5</v>
      </c>
      <c r="M4471" s="6" t="s">
        <v>371</v>
      </c>
    </row>
    <row r="4472" spans="1:13">
      <c r="A4472" s="6">
        <v>2024</v>
      </c>
      <c r="B4472" s="6">
        <v>9</v>
      </c>
      <c r="C4472" s="6" t="s">
        <v>67</v>
      </c>
      <c r="D4472" s="6" t="s">
        <v>329</v>
      </c>
      <c r="E4472" s="6" t="s">
        <v>427</v>
      </c>
      <c r="F4472" s="6" t="str">
        <f>IF($M4472="PADD I","PADD 1",IF($M4472="PADD II","PADD 2",IF($M4472="PADD III","PADD 3",IF($M4472="PADD IV","PADD 4",IF($M4472="PADD V","PADD 5","")))))</f>
        <v>PADD 3</v>
      </c>
      <c r="G4472" s="6" t="str">
        <f>IF(AND($H4472="ATMOS DISTILLATION",ISNUMBER(SEARCH("VPS",$I4472))=FALSE,LEFT($I4472,6)&lt;&gt;"VACUUM"),"CDU",IF($H4472="FLUID CAT CRACKING","FCC",IF(OR($H4472="HYDROCRACKING",$H4472="RESID_HYDROCRACKING"),"Hydrocracker",IF($H4472="REFORMING","Reformer",""))))</f>
        <v>Reformer</v>
      </c>
      <c r="H4472" s="6" t="s">
        <v>421</v>
      </c>
      <c r="I4472" s="6" t="s">
        <v>1162</v>
      </c>
      <c r="J4472" s="6" t="s">
        <v>349</v>
      </c>
      <c r="K4472" s="10">
        <v>1.1375</v>
      </c>
      <c r="L4472" s="10">
        <v>8.75</v>
      </c>
      <c r="M4472" s="6" t="s">
        <v>371</v>
      </c>
    </row>
    <row r="4473" spans="1:13">
      <c r="A4473" s="6">
        <v>2024</v>
      </c>
      <c r="B4473" s="6">
        <v>9</v>
      </c>
      <c r="C4473" s="6" t="s">
        <v>67</v>
      </c>
      <c r="D4473" s="6" t="s">
        <v>329</v>
      </c>
      <c r="E4473" s="6" t="s">
        <v>427</v>
      </c>
      <c r="F4473" s="6" t="str">
        <f>IF($M4473="PADD I","PADD 1",IF($M4473="PADD II","PADD 2",IF($M4473="PADD III","PADD 3",IF($M4473="PADD IV","PADD 4",IF($M4473="PADD V","PADD 5","")))))</f>
        <v>PADD 3</v>
      </c>
      <c r="G4473" s="6">
        <f>IF(AND($H4473="ATMOS DISTILLATION",ISNUMBER(SEARCH("VPS",$I4473))=FALSE,LEFT($I4473,6)&lt;&gt;"VACUUM"),"CDU",IF($H4473="FLUID CAT CRACKING","FCC",IF(OR($H4473="HYDROCRACKING",$H4473="RESID_HYDROCRACKING"),"Hydrocracker",IF($H4473="REFORMING","Reformer",""))))</f>
        <v/>
      </c>
      <c r="H4473" s="6" t="s">
        <v>637</v>
      </c>
      <c r="I4473" s="6" t="s">
        <v>1253</v>
      </c>
      <c r="J4473" s="6" t="s">
        <v>349</v>
      </c>
      <c r="K4473" s="10">
        <v>1.105</v>
      </c>
      <c r="L4473" s="10">
        <v>8.5</v>
      </c>
      <c r="M4473" s="6" t="s">
        <v>371</v>
      </c>
    </row>
    <row r="4474" spans="1:13">
      <c r="A4474" s="6">
        <v>2024</v>
      </c>
      <c r="B4474" s="6">
        <v>9</v>
      </c>
      <c r="C4474" s="6" t="s">
        <v>67</v>
      </c>
      <c r="D4474" s="6" t="s">
        <v>380</v>
      </c>
      <c r="E4474" s="6" t="s">
        <v>381</v>
      </c>
      <c r="F4474" s="6" t="str">
        <f>IF($M4474="PADD I","PADD 1",IF($M4474="PADD II","PADD 2",IF($M4474="PADD III","PADD 3",IF($M4474="PADD IV","PADD 4",IF($M4474="PADD V","PADD 5","")))))</f>
        <v>PADD 3</v>
      </c>
      <c r="G4474" s="6">
        <f>IF(AND($H4474="ATMOS DISTILLATION",ISNUMBER(SEARCH("VPS",$I4474))=FALSE,LEFT($I4474,6)&lt;&gt;"VACUUM"),"CDU",IF($H4474="FLUID CAT CRACKING","FCC",IF(OR($H4474="HYDROCRACKING",$H4474="RESID_HYDROCRACKING"),"Hydrocracker",IF($H4474="REFORMING","Reformer",""))))</f>
        <v/>
      </c>
      <c r="H4474" s="6" t="s">
        <v>43</v>
      </c>
      <c r="I4474" s="6" t="s">
        <v>1254</v>
      </c>
      <c r="J4474" s="6" t="s">
        <v>345</v>
      </c>
      <c r="K4474" s="10">
        <v>1.1</v>
      </c>
      <c r="L4474" s="10">
        <v>11</v>
      </c>
      <c r="M4474" s="6" t="s">
        <v>371</v>
      </c>
    </row>
    <row r="4475" spans="1:13">
      <c r="A4475" s="6">
        <v>2024</v>
      </c>
      <c r="B4475" s="6">
        <v>9</v>
      </c>
      <c r="C4475" s="6" t="s">
        <v>67</v>
      </c>
      <c r="D4475" s="6" t="s">
        <v>328</v>
      </c>
      <c r="E4475" s="6" t="s">
        <v>416</v>
      </c>
      <c r="F4475" s="6" t="str">
        <f>IF($M4475="PADD I","PADD 1",IF($M4475="PADD II","PADD 2",IF($M4475="PADD III","PADD 3",IF($M4475="PADD IV","PADD 4",IF($M4475="PADD V","PADD 5","")))))</f>
        <v>PADD 2</v>
      </c>
      <c r="G4475" s="6">
        <f>IF(AND($H4475="ATMOS DISTILLATION",ISNUMBER(SEARCH("VPS",$I4475))=FALSE,LEFT($I4475,6)&lt;&gt;"VACUUM"),"CDU",IF($H4475="FLUID CAT CRACKING","FCC",IF(OR($H4475="HYDROCRACKING",$H4475="RESID_HYDROCRACKING"),"Hydrocracker",IF($H4475="REFORMING","Reformer",""))))</f>
        <v/>
      </c>
      <c r="H4475" s="6" t="s">
        <v>43</v>
      </c>
      <c r="I4475" s="6" t="s">
        <v>1026</v>
      </c>
      <c r="J4475" s="6" t="s">
        <v>345</v>
      </c>
      <c r="K4475" s="10">
        <v>1.05</v>
      </c>
      <c r="L4475" s="10">
        <v>15</v>
      </c>
      <c r="M4475" s="6" t="s">
        <v>375</v>
      </c>
    </row>
    <row r="4476" spans="1:13">
      <c r="A4476" s="6">
        <v>2024</v>
      </c>
      <c r="B4476" s="6">
        <v>9</v>
      </c>
      <c r="C4476" s="6" t="s">
        <v>67</v>
      </c>
      <c r="D4476" s="6" t="s">
        <v>722</v>
      </c>
      <c r="E4476" s="6" t="s">
        <v>452</v>
      </c>
      <c r="F4476" s="6" t="str">
        <f>IF($M4476="PADD I","PADD 1",IF($M4476="PADD II","PADD 2",IF($M4476="PADD III","PADD 3",IF($M4476="PADD IV","PADD 4",IF($M4476="PADD V","PADD 5","")))))</f>
        <v>PADD 4</v>
      </c>
      <c r="G4476" s="6" t="str">
        <f>IF(AND($H4476="ATMOS DISTILLATION",ISNUMBER(SEARCH("VPS",$I4476))=FALSE,LEFT($I4476,6)&lt;&gt;"VACUUM"),"CDU",IF($H4476="FLUID CAT CRACKING","FCC",IF(OR($H4476="HYDROCRACKING",$H4476="RESID_HYDROCRACKING"),"Hydrocracker",IF($H4476="REFORMING","Reformer",""))))</f>
        <v>Hydrocracker</v>
      </c>
      <c r="H4476" s="6" t="s">
        <v>444</v>
      </c>
      <c r="I4476" s="6" t="s">
        <v>1147</v>
      </c>
      <c r="J4476" s="6" t="s">
        <v>345</v>
      </c>
      <c r="K4476" s="10">
        <v>1.05</v>
      </c>
      <c r="L4476" s="10">
        <v>15</v>
      </c>
      <c r="M4476" s="6" t="s">
        <v>430</v>
      </c>
    </row>
    <row r="4477" spans="1:13">
      <c r="A4477" s="6">
        <v>2024</v>
      </c>
      <c r="B4477" s="6">
        <v>9</v>
      </c>
      <c r="C4477" s="6" t="s">
        <v>67</v>
      </c>
      <c r="D4477" s="6" t="s">
        <v>329</v>
      </c>
      <c r="E4477" s="6" t="s">
        <v>427</v>
      </c>
      <c r="F4477" s="6" t="str">
        <f>IF($M4477="PADD I","PADD 1",IF($M4477="PADD II","PADD 2",IF($M4477="PADD III","PADD 3",IF($M4477="PADD IV","PADD 4",IF($M4477="PADD V","PADD 5","")))))</f>
        <v>PADD 3</v>
      </c>
      <c r="G4477" s="6">
        <f>IF(AND($H4477="ATMOS DISTILLATION",ISNUMBER(SEARCH("VPS",$I4477))=FALSE,LEFT($I4477,6)&lt;&gt;"VACUUM"),"CDU",IF($H4477="FLUID CAT CRACKING","FCC",IF(OR($H4477="HYDROCRACKING",$H4477="RESID_HYDROCRACKING"),"Hydrocracker",IF($H4477="REFORMING","Reformer",""))))</f>
        <v/>
      </c>
      <c r="H4477" s="6" t="s">
        <v>1108</v>
      </c>
      <c r="I4477" s="6" t="s">
        <v>1255</v>
      </c>
      <c r="J4477" s="6" t="s">
        <v>349</v>
      </c>
      <c r="K4477" s="10">
        <v>0.975</v>
      </c>
      <c r="L4477" s="10">
        <v>7.5</v>
      </c>
      <c r="M4477" s="6" t="s">
        <v>371</v>
      </c>
    </row>
    <row r="4478" spans="1:13">
      <c r="A4478" s="6">
        <v>2024</v>
      </c>
      <c r="B4478" s="6">
        <v>9</v>
      </c>
      <c r="C4478" s="6" t="s">
        <v>67</v>
      </c>
      <c r="D4478" s="6" t="s">
        <v>380</v>
      </c>
      <c r="E4478" s="6" t="s">
        <v>381</v>
      </c>
      <c r="F4478" s="6" t="str">
        <f>IF($M4478="PADD I","PADD 1",IF($M4478="PADD II","PADD 2",IF($M4478="PADD III","PADD 3",IF($M4478="PADD IV","PADD 4",IF($M4478="PADD V","PADD 5","")))))</f>
        <v>PADD 3</v>
      </c>
      <c r="G4478" s="6">
        <f>IF(AND($H4478="ATMOS DISTILLATION",ISNUMBER(SEARCH("VPS",$I4478))=FALSE,LEFT($I4478,6)&lt;&gt;"VACUUM"),"CDU",IF($H4478="FLUID CAT CRACKING","FCC",IF(OR($H4478="HYDROCRACKING",$H4478="RESID_HYDROCRACKING"),"Hydrocracker",IF($H4478="REFORMING","Reformer",""))))</f>
        <v/>
      </c>
      <c r="H4478" s="6" t="s">
        <v>460</v>
      </c>
      <c r="I4478" s="6" t="s">
        <v>1256</v>
      </c>
      <c r="J4478" s="6" t="s">
        <v>345</v>
      </c>
      <c r="K4478" s="10">
        <v>0.9379999999999999</v>
      </c>
      <c r="L4478" s="10">
        <v>9.380000000000001</v>
      </c>
      <c r="M4478" s="6" t="s">
        <v>371</v>
      </c>
    </row>
    <row r="4479" spans="1:13">
      <c r="A4479" s="6">
        <v>2024</v>
      </c>
      <c r="B4479" s="6">
        <v>9</v>
      </c>
      <c r="C4479" s="6" t="s">
        <v>67</v>
      </c>
      <c r="D4479" s="6" t="s">
        <v>380</v>
      </c>
      <c r="E4479" s="6" t="s">
        <v>381</v>
      </c>
      <c r="F4479" s="6" t="str">
        <f>IF($M4479="PADD I","PADD 1",IF($M4479="PADD II","PADD 2",IF($M4479="PADD III","PADD 3",IF($M4479="PADD IV","PADD 4",IF($M4479="PADD V","PADD 5","")))))</f>
        <v>PADD 3</v>
      </c>
      <c r="G4479" s="6">
        <f>IF(AND($H4479="ATMOS DISTILLATION",ISNUMBER(SEARCH("VPS",$I4479))=FALSE,LEFT($I4479,6)&lt;&gt;"VACUUM"),"CDU",IF($H4479="FLUID CAT CRACKING","FCC",IF(OR($H4479="HYDROCRACKING",$H4479="RESID_HYDROCRACKING"),"Hydrocracker",IF($H4479="REFORMING","Reformer",""))))</f>
        <v/>
      </c>
      <c r="H4479" s="6" t="s">
        <v>460</v>
      </c>
      <c r="I4479" s="6" t="s">
        <v>1257</v>
      </c>
      <c r="J4479" s="6" t="s">
        <v>345</v>
      </c>
      <c r="K4479" s="10">
        <v>0.9379999999999999</v>
      </c>
      <c r="L4479" s="10">
        <v>9.380000000000001</v>
      </c>
      <c r="M4479" s="6" t="s">
        <v>371</v>
      </c>
    </row>
    <row r="4480" spans="1:13">
      <c r="A4480" s="6">
        <v>2024</v>
      </c>
      <c r="B4480" s="6">
        <v>9</v>
      </c>
      <c r="C4480" s="6" t="s">
        <v>67</v>
      </c>
      <c r="D4480" s="6" t="s">
        <v>799</v>
      </c>
      <c r="E4480" s="6" t="s">
        <v>391</v>
      </c>
      <c r="F4480" s="6" t="str">
        <f>IF($M4480="PADD I","PADD 1",IF($M4480="PADD II","PADD 2",IF($M4480="PADD III","PADD 3",IF($M4480="PADD IV","PADD 4",IF($M4480="PADD V","PADD 5","")))))</f>
        <v>PADD 4</v>
      </c>
      <c r="G4480" s="6">
        <f>IF(AND($H4480="ATMOS DISTILLATION",ISNUMBER(SEARCH("VPS",$I4480))=FALSE,LEFT($I4480,6)&lt;&gt;"VACUUM"),"CDU",IF($H4480="FLUID CAT CRACKING","FCC",IF(OR($H4480="HYDROCRACKING",$H4480="RESID_HYDROCRACKING"),"Hydrocracker",IF($H4480="REFORMING","Reformer",""))))</f>
        <v/>
      </c>
      <c r="H4480" s="6" t="s">
        <v>43</v>
      </c>
      <c r="I4480" s="6" t="s">
        <v>1064</v>
      </c>
      <c r="J4480" s="6" t="s">
        <v>345</v>
      </c>
      <c r="K4480" s="10">
        <v>0.931</v>
      </c>
      <c r="L4480" s="10">
        <v>13.3</v>
      </c>
      <c r="M4480" s="6" t="s">
        <v>430</v>
      </c>
    </row>
    <row r="4481" spans="1:13">
      <c r="A4481" s="6">
        <v>2024</v>
      </c>
      <c r="B4481" s="6">
        <v>9</v>
      </c>
      <c r="C4481" s="6" t="s">
        <v>67</v>
      </c>
      <c r="D4481" s="6" t="s">
        <v>434</v>
      </c>
      <c r="E4481" s="6" t="s">
        <v>388</v>
      </c>
      <c r="F4481" s="6" t="str">
        <f>IF($M4481="PADD I","PADD 1",IF($M4481="PADD II","PADD 2",IF($M4481="PADD III","PADD 3",IF($M4481="PADD IV","PADD 4",IF($M4481="PADD V","PADD 5","")))))</f>
        <v>PADD 5</v>
      </c>
      <c r="G4481" s="6" t="str">
        <f>IF(AND($H4481="ATMOS DISTILLATION",ISNUMBER(SEARCH("VPS",$I4481))=FALSE,LEFT($I4481,6)&lt;&gt;"VACUUM"),"CDU",IF($H4481="FLUID CAT CRACKING","FCC",IF(OR($H4481="HYDROCRACKING",$H4481="RESID_HYDROCRACKING"),"Hydrocracker",IF($H4481="REFORMING","Reformer",""))))</f>
        <v>Reformer</v>
      </c>
      <c r="H4481" s="6" t="s">
        <v>421</v>
      </c>
      <c r="I4481" s="6" t="s">
        <v>671</v>
      </c>
      <c r="J4481" s="6" t="s">
        <v>345</v>
      </c>
      <c r="K4481" s="10">
        <v>0.91</v>
      </c>
      <c r="L4481" s="10">
        <v>13</v>
      </c>
      <c r="M4481" s="6" t="s">
        <v>386</v>
      </c>
    </row>
    <row r="4482" spans="1:13">
      <c r="A4482" s="6">
        <v>2024</v>
      </c>
      <c r="B4482" s="6">
        <v>9</v>
      </c>
      <c r="C4482" s="6" t="s">
        <v>67</v>
      </c>
      <c r="D4482" s="6" t="s">
        <v>468</v>
      </c>
      <c r="E4482" s="6" t="s">
        <v>369</v>
      </c>
      <c r="F4482" s="6" t="str">
        <f>IF($M4482="PADD I","PADD 1",IF($M4482="PADD II","PADD 2",IF($M4482="PADD III","PADD 3",IF($M4482="PADD IV","PADD 4",IF($M4482="PADD V","PADD 5","")))))</f>
        <v>PADD 3</v>
      </c>
      <c r="G4482" s="6" t="str">
        <f>IF(AND($H4482="ATMOS DISTILLATION",ISNUMBER(SEARCH("VPS",$I4482))=FALSE,LEFT($I4482,6)&lt;&gt;"VACUUM"),"CDU",IF($H4482="FLUID CAT CRACKING","FCC",IF(OR($H4482="HYDROCRACKING",$H4482="RESID_HYDROCRACKING"),"Hydrocracker",IF($H4482="REFORMING","Reformer",""))))</f>
        <v>FCC</v>
      </c>
      <c r="H4482" s="6" t="s">
        <v>376</v>
      </c>
      <c r="I4482" s="6" t="s">
        <v>469</v>
      </c>
      <c r="J4482" s="6" t="s">
        <v>345</v>
      </c>
      <c r="K4482" s="10">
        <v>0.9</v>
      </c>
      <c r="L4482" s="10">
        <v>30</v>
      </c>
      <c r="M4482" s="6" t="s">
        <v>371</v>
      </c>
    </row>
    <row r="4483" spans="1:13">
      <c r="A4483" s="6">
        <v>2024</v>
      </c>
      <c r="B4483" s="6">
        <v>9</v>
      </c>
      <c r="C4483" s="6" t="s">
        <v>67</v>
      </c>
      <c r="D4483" s="6" t="s">
        <v>468</v>
      </c>
      <c r="E4483" s="6" t="s">
        <v>369</v>
      </c>
      <c r="F4483" s="6" t="str">
        <f>IF($M4483="PADD I","PADD 1",IF($M4483="PADD II","PADD 2",IF($M4483="PADD III","PADD 3",IF($M4483="PADD IV","PADD 4",IF($M4483="PADD V","PADD 5","")))))</f>
        <v>PADD 3</v>
      </c>
      <c r="G4483" s="6" t="str">
        <f>IF(AND($H4483="ATMOS DISTILLATION",ISNUMBER(SEARCH("VPS",$I4483))=FALSE,LEFT($I4483,6)&lt;&gt;"VACUUM"),"CDU",IF($H4483="FLUID CAT CRACKING","FCC",IF(OR($H4483="HYDROCRACKING",$H4483="RESID_HYDROCRACKING"),"Hydrocracker",IF($H4483="REFORMING","Reformer",""))))</f>
        <v>FCC</v>
      </c>
      <c r="H4483" s="6" t="s">
        <v>376</v>
      </c>
      <c r="I4483" s="6" t="s">
        <v>473</v>
      </c>
      <c r="J4483" s="6" t="s">
        <v>345</v>
      </c>
      <c r="K4483" s="10">
        <v>0.9</v>
      </c>
      <c r="L4483" s="10">
        <v>30</v>
      </c>
      <c r="M4483" s="6" t="s">
        <v>371</v>
      </c>
    </row>
    <row r="4484" spans="1:13">
      <c r="A4484" s="6">
        <v>2024</v>
      </c>
      <c r="B4484" s="6">
        <v>9</v>
      </c>
      <c r="C4484" s="6" t="s">
        <v>67</v>
      </c>
      <c r="D4484" s="6" t="s">
        <v>531</v>
      </c>
      <c r="E4484" s="6" t="s">
        <v>532</v>
      </c>
      <c r="F4484" s="6" t="str">
        <f>IF($M4484="PADD I","PADD 1",IF($M4484="PADD II","PADD 2",IF($M4484="PADD III","PADD 3",IF($M4484="PADD IV","PADD 4",IF($M4484="PADD V","PADD 5","")))))</f>
        <v>PADD 5</v>
      </c>
      <c r="G4484" s="6">
        <f>IF(AND($H4484="ATMOS DISTILLATION",ISNUMBER(SEARCH("VPS",$I4484))=FALSE,LEFT($I4484,6)&lt;&gt;"VACUUM"),"CDU",IF($H4484="FLUID CAT CRACKING","FCC",IF(OR($H4484="HYDROCRACKING",$H4484="RESID_HYDROCRACKING"),"Hydrocracker",IF($H4484="REFORMING","Reformer",""))))</f>
        <v/>
      </c>
      <c r="H4484" s="6" t="s">
        <v>43</v>
      </c>
      <c r="I4484" s="6" t="s">
        <v>1129</v>
      </c>
      <c r="J4484" s="6" t="s">
        <v>345</v>
      </c>
      <c r="K4484" s="10">
        <v>0.9</v>
      </c>
      <c r="L4484" s="10">
        <v>30</v>
      </c>
      <c r="M4484" s="6" t="s">
        <v>386</v>
      </c>
    </row>
    <row r="4485" spans="1:13">
      <c r="A4485" s="6">
        <v>2024</v>
      </c>
      <c r="B4485" s="6">
        <v>9</v>
      </c>
      <c r="C4485" s="6" t="s">
        <v>67</v>
      </c>
      <c r="D4485" s="6" t="s">
        <v>1239</v>
      </c>
      <c r="E4485" s="6" t="s">
        <v>872</v>
      </c>
      <c r="F4485" s="6" t="str">
        <f>IF($M4485="PADD I","PADD 1",IF($M4485="PADD II","PADD 2",IF($M4485="PADD III","PADD 3",IF($M4485="PADD IV","PADD 4",IF($M4485="PADD V","PADD 5","")))))</f>
        <v>PADD 4</v>
      </c>
      <c r="G4485" s="6" t="str">
        <f>IF(AND($H4485="ATMOS DISTILLATION",ISNUMBER(SEARCH("VPS",$I4485))=FALSE,LEFT($I4485,6)&lt;&gt;"VACUUM"),"CDU",IF($H4485="FLUID CAT CRACKING","FCC",IF(OR($H4485="HYDROCRACKING",$H4485="RESID_HYDROCRACKING"),"Hydrocracker",IF($H4485="REFORMING","Reformer",""))))</f>
        <v>Reformer</v>
      </c>
      <c r="H4485" s="6" t="s">
        <v>421</v>
      </c>
      <c r="I4485" s="6" t="s">
        <v>15</v>
      </c>
      <c r="J4485" s="6" t="s">
        <v>349</v>
      </c>
      <c r="K4485" s="10">
        <v>0.88</v>
      </c>
      <c r="L4485" s="10">
        <v>2.2</v>
      </c>
      <c r="M4485" s="6" t="s">
        <v>430</v>
      </c>
    </row>
    <row r="4486" spans="1:13">
      <c r="A4486" s="6">
        <v>2024</v>
      </c>
      <c r="B4486" s="6">
        <v>9</v>
      </c>
      <c r="C4486" s="6" t="s">
        <v>67</v>
      </c>
      <c r="D4486" s="6" t="s">
        <v>632</v>
      </c>
      <c r="E4486" s="6" t="s">
        <v>633</v>
      </c>
      <c r="F4486" s="6" t="str">
        <f>IF($M4486="PADD I","PADD 1",IF($M4486="PADD II","PADD 2",IF($M4486="PADD III","PADD 3",IF($M4486="PADD IV","PADD 4",IF($M4486="PADD V","PADD 5","")))))</f>
        <v>PADD 4</v>
      </c>
      <c r="G4486" s="6" t="str">
        <f>IF(AND($H4486="ATMOS DISTILLATION",ISNUMBER(SEARCH("VPS",$I4486))=FALSE,LEFT($I4486,6)&lt;&gt;"VACUUM"),"CDU",IF($H4486="FLUID CAT CRACKING","FCC",IF(OR($H4486="HYDROCRACKING",$H4486="RESID_HYDROCRACKING"),"Hydrocracker",IF($H4486="REFORMING","Reformer",""))))</f>
        <v>FCC</v>
      </c>
      <c r="H4486" s="6" t="s">
        <v>376</v>
      </c>
      <c r="I4486" s="6" t="s">
        <v>634</v>
      </c>
      <c r="J4486" s="6" t="s">
        <v>345</v>
      </c>
      <c r="K4486" s="10">
        <v>0.875</v>
      </c>
      <c r="L4486" s="10">
        <v>12.5</v>
      </c>
      <c r="M4486" s="6" t="s">
        <v>430</v>
      </c>
    </row>
    <row r="4487" spans="1:13">
      <c r="A4487" s="6">
        <v>2024</v>
      </c>
      <c r="B4487" s="6">
        <v>9</v>
      </c>
      <c r="C4487" s="6" t="s">
        <v>67</v>
      </c>
      <c r="D4487" s="6" t="s">
        <v>878</v>
      </c>
      <c r="E4487" s="6" t="s">
        <v>452</v>
      </c>
      <c r="F4487" s="6" t="str">
        <f>IF($M4487="PADD I","PADD 1",IF($M4487="PADD II","PADD 2",IF($M4487="PADD III","PADD 3",IF($M4487="PADD IV","PADD 4",IF($M4487="PADD V","PADD 5","")))))</f>
        <v>PADD 2</v>
      </c>
      <c r="G4487" s="6">
        <f>IF(AND($H4487="ATMOS DISTILLATION",ISNUMBER(SEARCH("VPS",$I4487))=FALSE,LEFT($I4487,6)&lt;&gt;"VACUUM"),"CDU",IF($H4487="FLUID CAT CRACKING","FCC",IF(OR($H4487="HYDROCRACKING",$H4487="RESID_HYDROCRACKING"),"Hydrocracker",IF($H4487="REFORMING","Reformer",""))))</f>
        <v/>
      </c>
      <c r="H4487" s="6" t="s">
        <v>435</v>
      </c>
      <c r="I4487" s="6" t="s">
        <v>441</v>
      </c>
      <c r="J4487" s="6" t="s">
        <v>345</v>
      </c>
      <c r="K4487" s="10">
        <v>0.85</v>
      </c>
      <c r="L4487" s="10">
        <v>8.5</v>
      </c>
      <c r="M4487" s="6" t="s">
        <v>375</v>
      </c>
    </row>
    <row r="4488" spans="1:13">
      <c r="A4488" s="6">
        <v>2024</v>
      </c>
      <c r="B4488" s="6">
        <v>9</v>
      </c>
      <c r="C4488" s="6" t="s">
        <v>67</v>
      </c>
      <c r="D4488" s="6" t="s">
        <v>799</v>
      </c>
      <c r="E4488" s="6" t="s">
        <v>391</v>
      </c>
      <c r="F4488" s="6" t="str">
        <f>IF($M4488="PADD I","PADD 1",IF($M4488="PADD II","PADD 2",IF($M4488="PADD III","PADD 3",IF($M4488="PADD IV","PADD 4",IF($M4488="PADD V","PADD 5","")))))</f>
        <v>PADD 4</v>
      </c>
      <c r="G4488" s="6">
        <f>IF(AND($H4488="ATMOS DISTILLATION",ISNUMBER(SEARCH("VPS",$I4488))=FALSE,LEFT($I4488,6)&lt;&gt;"VACUUM"),"CDU",IF($H4488="FLUID CAT CRACKING","FCC",IF(OR($H4488="HYDROCRACKING",$H4488="RESID_HYDROCRACKING"),"Hydrocracker",IF($H4488="REFORMING","Reformer",""))))</f>
        <v/>
      </c>
      <c r="H4488" s="6" t="s">
        <v>378</v>
      </c>
      <c r="I4488" s="6" t="s">
        <v>379</v>
      </c>
      <c r="J4488" s="6" t="s">
        <v>345</v>
      </c>
      <c r="K4488" s="10">
        <v>0.825</v>
      </c>
      <c r="L4488" s="10">
        <v>27.5</v>
      </c>
      <c r="M4488" s="6" t="s">
        <v>430</v>
      </c>
    </row>
    <row r="4489" spans="1:13">
      <c r="A4489" s="6">
        <v>2024</v>
      </c>
      <c r="B4489" s="6">
        <v>9</v>
      </c>
      <c r="C4489" s="6" t="s">
        <v>67</v>
      </c>
      <c r="D4489" s="6" t="s">
        <v>531</v>
      </c>
      <c r="E4489" s="6" t="s">
        <v>532</v>
      </c>
      <c r="F4489" s="6" t="str">
        <f>IF($M4489="PADD I","PADD 1",IF($M4489="PADD II","PADD 2",IF($M4489="PADD III","PADD 3",IF($M4489="PADD IV","PADD 4",IF($M4489="PADD V","PADD 5","")))))</f>
        <v>PADD 5</v>
      </c>
      <c r="G4489" s="6">
        <f>IF(AND($H4489="ATMOS DISTILLATION",ISNUMBER(SEARCH("VPS",$I4489))=FALSE,LEFT($I4489,6)&lt;&gt;"VACUUM"),"CDU",IF($H4489="FLUID CAT CRACKING","FCC",IF(OR($H4489="HYDROCRACKING",$H4489="RESID_HYDROCRACKING"),"Hydrocracker",IF($H4489="REFORMING","Reformer",""))))</f>
        <v/>
      </c>
      <c r="H4489" s="6" t="s">
        <v>435</v>
      </c>
      <c r="I4489" s="6" t="s">
        <v>614</v>
      </c>
      <c r="J4489" s="6" t="s">
        <v>345</v>
      </c>
      <c r="K4489" s="10">
        <v>0.8100000000000001</v>
      </c>
      <c r="L4489" s="10">
        <v>27</v>
      </c>
      <c r="M4489" s="6" t="s">
        <v>386</v>
      </c>
    </row>
    <row r="4490" spans="1:13">
      <c r="A4490" s="6">
        <v>2024</v>
      </c>
      <c r="B4490" s="6">
        <v>9</v>
      </c>
      <c r="C4490" s="6" t="s">
        <v>67</v>
      </c>
      <c r="D4490" s="6" t="s">
        <v>632</v>
      </c>
      <c r="E4490" s="6" t="s">
        <v>633</v>
      </c>
      <c r="F4490" s="6" t="str">
        <f>IF($M4490="PADD I","PADD 1",IF($M4490="PADD II","PADD 2",IF($M4490="PADD III","PADD 3",IF($M4490="PADD IV","PADD 4",IF($M4490="PADD V","PADD 5","")))))</f>
        <v>PADD 4</v>
      </c>
      <c r="G4490" s="6" t="str">
        <f>IF(AND($H4490="ATMOS DISTILLATION",ISNUMBER(SEARCH("VPS",$I4490))=FALSE,LEFT($I4490,6)&lt;&gt;"VACUUM"),"CDU",IF($H4490="FLUID CAT CRACKING","FCC",IF(OR($H4490="HYDROCRACKING",$H4490="RESID_HYDROCRACKING"),"Hydrocracker",IF($H4490="REFORMING","Reformer",""))))</f>
        <v>FCC</v>
      </c>
      <c r="H4490" s="6" t="s">
        <v>376</v>
      </c>
      <c r="I4490" s="6" t="s">
        <v>634</v>
      </c>
      <c r="J4490" s="6" t="s">
        <v>345</v>
      </c>
      <c r="K4490" s="10">
        <v>0.805</v>
      </c>
      <c r="L4490" s="10">
        <v>11.5</v>
      </c>
      <c r="M4490" s="6" t="s">
        <v>430</v>
      </c>
    </row>
    <row r="4491" spans="1:13">
      <c r="A4491" s="6">
        <v>2024</v>
      </c>
      <c r="B4491" s="6">
        <v>9</v>
      </c>
      <c r="C4491" s="6" t="s">
        <v>67</v>
      </c>
      <c r="D4491" s="6" t="s">
        <v>632</v>
      </c>
      <c r="E4491" s="6" t="s">
        <v>633</v>
      </c>
      <c r="F4491" s="6" t="str">
        <f>IF($M4491="PADD I","PADD 1",IF($M4491="PADD II","PADD 2",IF($M4491="PADD III","PADD 3",IF($M4491="PADD IV","PADD 4",IF($M4491="PADD V","PADD 5","")))))</f>
        <v>PADD 4</v>
      </c>
      <c r="G4491" s="6">
        <f>IF(AND($H4491="ATMOS DISTILLATION",ISNUMBER(SEARCH("VPS",$I4491))=FALSE,LEFT($I4491,6)&lt;&gt;"VACUUM"),"CDU",IF($H4491="FLUID CAT CRACKING","FCC",IF(OR($H4491="HYDROCRACKING",$H4491="RESID_HYDROCRACKING"),"Hydrocracker",IF($H4491="REFORMING","Reformer",""))))</f>
        <v/>
      </c>
      <c r="H4491" s="6" t="s">
        <v>43</v>
      </c>
      <c r="I4491" s="6" t="s">
        <v>674</v>
      </c>
      <c r="J4491" s="6" t="s">
        <v>345</v>
      </c>
      <c r="K4491" s="10">
        <v>0.805</v>
      </c>
      <c r="L4491" s="10">
        <v>11.5</v>
      </c>
      <c r="M4491" s="6" t="s">
        <v>430</v>
      </c>
    </row>
    <row r="4492" spans="1:13">
      <c r="A4492" s="6">
        <v>2024</v>
      </c>
      <c r="B4492" s="6">
        <v>9</v>
      </c>
      <c r="C4492" s="6" t="s">
        <v>67</v>
      </c>
      <c r="D4492" s="6" t="s">
        <v>329</v>
      </c>
      <c r="E4492" s="6" t="s">
        <v>427</v>
      </c>
      <c r="F4492" s="6" t="str">
        <f>IF($M4492="PADD I","PADD 1",IF($M4492="PADD II","PADD 2",IF($M4492="PADD III","PADD 3",IF($M4492="PADD IV","PADD 4",IF($M4492="PADD V","PADD 5","")))))</f>
        <v>PADD 3</v>
      </c>
      <c r="G4492" s="6">
        <f>IF(AND($H4492="ATMOS DISTILLATION",ISNUMBER(SEARCH("VPS",$I4492))=FALSE,LEFT($I4492,6)&lt;&gt;"VACUUM"),"CDU",IF($H4492="FLUID CAT CRACKING","FCC",IF(OR($H4492="HYDROCRACKING",$H4492="RESID_HYDROCRACKING"),"Hydrocracker",IF($H4492="REFORMING","Reformer",""))))</f>
        <v/>
      </c>
      <c r="H4492" s="6" t="s">
        <v>435</v>
      </c>
      <c r="I4492" s="6" t="s">
        <v>1258</v>
      </c>
      <c r="J4492" s="6" t="s">
        <v>349</v>
      </c>
      <c r="K4492" s="10">
        <v>0.78</v>
      </c>
      <c r="L4492" s="10">
        <v>6</v>
      </c>
      <c r="M4492" s="6" t="s">
        <v>371</v>
      </c>
    </row>
    <row r="4493" spans="1:13">
      <c r="A4493" s="6">
        <v>2024</v>
      </c>
      <c r="B4493" s="6">
        <v>9</v>
      </c>
      <c r="C4493" s="6" t="s">
        <v>67</v>
      </c>
      <c r="D4493" s="6" t="s">
        <v>531</v>
      </c>
      <c r="E4493" s="6" t="s">
        <v>532</v>
      </c>
      <c r="F4493" s="6" t="str">
        <f>IF($M4493="PADD I","PADD 1",IF($M4493="PADD II","PADD 2",IF($M4493="PADD III","PADD 3",IF($M4493="PADD IV","PADD 4",IF($M4493="PADD V","PADD 5","")))))</f>
        <v>PADD 5</v>
      </c>
      <c r="G4493" s="6">
        <f>IF(AND($H4493="ATMOS DISTILLATION",ISNUMBER(SEARCH("VPS",$I4493))=FALSE,LEFT($I4493,6)&lt;&gt;"VACUUM"),"CDU",IF($H4493="FLUID CAT CRACKING","FCC",IF(OR($H4493="HYDROCRACKING",$H4493="RESID_HYDROCRACKING"),"Hydrocracker",IF($H4493="REFORMING","Reformer",""))))</f>
        <v/>
      </c>
      <c r="H4493" s="6" t="s">
        <v>460</v>
      </c>
      <c r="I4493" s="6" t="s">
        <v>616</v>
      </c>
      <c r="J4493" s="6" t="s">
        <v>345</v>
      </c>
      <c r="K4493" s="10">
        <v>0.765</v>
      </c>
      <c r="L4493" s="10">
        <v>25.5</v>
      </c>
      <c r="M4493" s="6" t="s">
        <v>386</v>
      </c>
    </row>
    <row r="4494" spans="1:13">
      <c r="A4494" s="6">
        <v>2024</v>
      </c>
      <c r="B4494" s="6">
        <v>9</v>
      </c>
      <c r="C4494" s="6" t="s">
        <v>67</v>
      </c>
      <c r="D4494" s="6" t="s">
        <v>531</v>
      </c>
      <c r="E4494" s="6" t="s">
        <v>532</v>
      </c>
      <c r="F4494" s="6" t="str">
        <f>IF($M4494="PADD I","PADD 1",IF($M4494="PADD II","PADD 2",IF($M4494="PADD III","PADD 3",IF($M4494="PADD IV","PADD 4",IF($M4494="PADD V","PADD 5","")))))</f>
        <v>PADD 5</v>
      </c>
      <c r="G4494" s="6">
        <f>IF(AND($H4494="ATMOS DISTILLATION",ISNUMBER(SEARCH("VPS",$I4494))=FALSE,LEFT($I4494,6)&lt;&gt;"VACUUM"),"CDU",IF($H4494="FLUID CAT CRACKING","FCC",IF(OR($H4494="HYDROCRACKING",$H4494="RESID_HYDROCRACKING"),"Hydrocracker",IF($H4494="REFORMING","Reformer",""))))</f>
        <v/>
      </c>
      <c r="H4494" s="6" t="s">
        <v>435</v>
      </c>
      <c r="I4494" s="6" t="s">
        <v>599</v>
      </c>
      <c r="J4494" s="6" t="s">
        <v>345</v>
      </c>
      <c r="K4494" s="10">
        <v>0.75</v>
      </c>
      <c r="L4494" s="10">
        <v>25</v>
      </c>
      <c r="M4494" s="6" t="s">
        <v>386</v>
      </c>
    </row>
    <row r="4495" spans="1:13">
      <c r="A4495" s="6">
        <v>2024</v>
      </c>
      <c r="B4495" s="6">
        <v>9</v>
      </c>
      <c r="C4495" s="6" t="s">
        <v>67</v>
      </c>
      <c r="D4495" s="6" t="s">
        <v>531</v>
      </c>
      <c r="E4495" s="6" t="s">
        <v>532</v>
      </c>
      <c r="F4495" s="6" t="str">
        <f>IF($M4495="PADD I","PADD 1",IF($M4495="PADD II","PADD 2",IF($M4495="PADD III","PADD 3",IF($M4495="PADD IV","PADD 4",IF($M4495="PADD V","PADD 5","")))))</f>
        <v>PADD 5</v>
      </c>
      <c r="G4495" s="6" t="str">
        <f>IF(AND($H4495="ATMOS DISTILLATION",ISNUMBER(SEARCH("VPS",$I4495))=FALSE,LEFT($I4495,6)&lt;&gt;"VACUUM"),"CDU",IF($H4495="FLUID CAT CRACKING","FCC",IF(OR($H4495="HYDROCRACKING",$H4495="RESID_HYDROCRACKING"),"Hydrocracker",IF($H4495="REFORMING","Reformer",""))))</f>
        <v>Hydrocracker</v>
      </c>
      <c r="H4495" s="6" t="s">
        <v>444</v>
      </c>
      <c r="I4495" s="6" t="s">
        <v>14</v>
      </c>
      <c r="J4495" s="6" t="s">
        <v>345</v>
      </c>
      <c r="K4495" s="10">
        <v>0.72</v>
      </c>
      <c r="L4495" s="10">
        <v>24</v>
      </c>
      <c r="M4495" s="6" t="s">
        <v>386</v>
      </c>
    </row>
    <row r="4496" spans="1:13">
      <c r="A4496" s="6">
        <v>2024</v>
      </c>
      <c r="B4496" s="6">
        <v>9</v>
      </c>
      <c r="C4496" s="6" t="s">
        <v>67</v>
      </c>
      <c r="D4496" s="6" t="s">
        <v>531</v>
      </c>
      <c r="E4496" s="6" t="s">
        <v>532</v>
      </c>
      <c r="F4496" s="6" t="str">
        <f>IF($M4496="PADD I","PADD 1",IF($M4496="PADD II","PADD 2",IF($M4496="PADD III","PADD 3",IF($M4496="PADD IV","PADD 4",IF($M4496="PADD V","PADD 5","")))))</f>
        <v>PADD 5</v>
      </c>
      <c r="G4496" s="6">
        <f>IF(AND($H4496="ATMOS DISTILLATION",ISNUMBER(SEARCH("VPS",$I4496))=FALSE,LEFT($I4496,6)&lt;&gt;"VACUUM"),"CDU",IF($H4496="FLUID CAT CRACKING","FCC",IF(OR($H4496="HYDROCRACKING",$H4496="RESID_HYDROCRACKING"),"Hydrocracker",IF($H4496="REFORMING","Reformer",""))))</f>
        <v/>
      </c>
      <c r="H4496" s="6" t="s">
        <v>43</v>
      </c>
      <c r="I4496" s="6" t="s">
        <v>618</v>
      </c>
      <c r="J4496" s="6" t="s">
        <v>345</v>
      </c>
      <c r="K4496" s="10">
        <v>0.6</v>
      </c>
      <c r="L4496" s="10">
        <v>20</v>
      </c>
      <c r="M4496" s="6" t="s">
        <v>386</v>
      </c>
    </row>
    <row r="4497" spans="1:13">
      <c r="A4497" s="6">
        <v>2024</v>
      </c>
      <c r="B4497" s="6">
        <v>9</v>
      </c>
      <c r="C4497" s="6" t="s">
        <v>67</v>
      </c>
      <c r="D4497" s="6" t="s">
        <v>380</v>
      </c>
      <c r="E4497" s="6" t="s">
        <v>381</v>
      </c>
      <c r="F4497" s="6" t="str">
        <f>IF($M4497="PADD I","PADD 1",IF($M4497="PADD II","PADD 2",IF($M4497="PADD III","PADD 3",IF($M4497="PADD IV","PADD 4",IF($M4497="PADD V","PADD 5","")))))</f>
        <v>PADD 3</v>
      </c>
      <c r="G4497" s="6">
        <f>IF(AND($H4497="ATMOS DISTILLATION",ISNUMBER(SEARCH("VPS",$I4497))=FALSE,LEFT($I4497,6)&lt;&gt;"VACUUM"),"CDU",IF($H4497="FLUID CAT CRACKING","FCC",IF(OR($H4497="HYDROCRACKING",$H4497="RESID_HYDROCRACKING"),"Hydrocracker",IF($H4497="REFORMING","Reformer",""))))</f>
        <v/>
      </c>
      <c r="H4497" s="6" t="s">
        <v>637</v>
      </c>
      <c r="I4497" s="6" t="s">
        <v>1259</v>
      </c>
      <c r="J4497" s="6" t="s">
        <v>345</v>
      </c>
      <c r="K4497" s="10">
        <v>0.5</v>
      </c>
      <c r="L4497" s="10">
        <v>5</v>
      </c>
      <c r="M4497" s="6" t="s">
        <v>371</v>
      </c>
    </row>
    <row r="4498" spans="1:13">
      <c r="A4498" s="6">
        <v>2024</v>
      </c>
      <c r="B4498" s="6">
        <v>9</v>
      </c>
      <c r="C4498" s="6" t="s">
        <v>67</v>
      </c>
      <c r="D4498" s="6" t="s">
        <v>1239</v>
      </c>
      <c r="E4498" s="6" t="s">
        <v>872</v>
      </c>
      <c r="F4498" s="6" t="str">
        <f>IF($M4498="PADD I","PADD 1",IF($M4498="PADD II","PADD 2",IF($M4498="PADD III","PADD 3",IF($M4498="PADD IV","PADD 4",IF($M4498="PADD V","PADD 5","")))))</f>
        <v>PADD 4</v>
      </c>
      <c r="G4498" s="6">
        <f>IF(AND($H4498="ATMOS DISTILLATION",ISNUMBER(SEARCH("VPS",$I4498))=FALSE,LEFT($I4498,6)&lt;&gt;"VACUUM"),"CDU",IF($H4498="FLUID CAT CRACKING","FCC",IF(OR($H4498="HYDROCRACKING",$H4498="RESID_HYDROCRACKING"),"Hydrocracker",IF($H4498="REFORMING","Reformer",""))))</f>
        <v/>
      </c>
      <c r="H4498" s="6" t="s">
        <v>568</v>
      </c>
      <c r="I4498" s="6" t="s">
        <v>604</v>
      </c>
      <c r="J4498" s="6" t="s">
        <v>349</v>
      </c>
      <c r="K4498" s="10">
        <v>0.4</v>
      </c>
      <c r="L4498" s="10">
        <v>1</v>
      </c>
      <c r="M4498" s="6" t="s">
        <v>430</v>
      </c>
    </row>
    <row r="4499" spans="1:13">
      <c r="A4499" s="6">
        <v>2024</v>
      </c>
      <c r="B4499" s="6">
        <v>9</v>
      </c>
      <c r="C4499" s="6" t="s">
        <v>67</v>
      </c>
      <c r="D4499" s="6" t="s">
        <v>799</v>
      </c>
      <c r="E4499" s="6" t="s">
        <v>391</v>
      </c>
      <c r="F4499" s="6" t="str">
        <f>IF($M4499="PADD I","PADD 1",IF($M4499="PADD II","PADD 2",IF($M4499="PADD III","PADD 3",IF($M4499="PADD IV","PADD 4",IF($M4499="PADD V","PADD 5","")))))</f>
        <v>PADD 4</v>
      </c>
      <c r="G4499" s="6">
        <f>IF(AND($H4499="ATMOS DISTILLATION",ISNUMBER(SEARCH("VPS",$I4499))=FALSE,LEFT($I4499,6)&lt;&gt;"VACUUM"),"CDU",IF($H4499="FLUID CAT CRACKING","FCC",IF(OR($H4499="HYDROCRACKING",$H4499="RESID_HYDROCRACKING"),"Hydrocracker",IF($H4499="REFORMING","Reformer",""))))</f>
        <v/>
      </c>
      <c r="H4499" s="6" t="s">
        <v>43</v>
      </c>
      <c r="I4499" s="6" t="s">
        <v>1064</v>
      </c>
      <c r="J4499" s="6" t="s">
        <v>345</v>
      </c>
      <c r="K4499" s="10">
        <v>0.399</v>
      </c>
      <c r="L4499" s="10">
        <v>13.3</v>
      </c>
      <c r="M4499" s="6" t="s">
        <v>430</v>
      </c>
    </row>
    <row r="4500" spans="1:13">
      <c r="A4500" s="6">
        <v>2024</v>
      </c>
      <c r="B4500" s="6">
        <v>9</v>
      </c>
      <c r="C4500" s="6" t="s">
        <v>67</v>
      </c>
      <c r="D4500" s="6" t="s">
        <v>48</v>
      </c>
      <c r="E4500" s="6" t="s">
        <v>388</v>
      </c>
      <c r="F4500" s="6" t="str">
        <f>IF($M4500="PADD I","PADD 1",IF($M4500="PADD II","PADD 2",IF($M4500="PADD III","PADD 3",IF($M4500="PADD IV","PADD 4",IF($M4500="PADD V","PADD 5","")))))</f>
        <v>PADD 2</v>
      </c>
      <c r="G4500" s="6">
        <f>IF(AND($H4500="ATMOS DISTILLATION",ISNUMBER(SEARCH("VPS",$I4500))=FALSE,LEFT($I4500,6)&lt;&gt;"VACUUM"),"CDU",IF($H4500="FLUID CAT CRACKING","FCC",IF(OR($H4500="HYDROCRACKING",$H4500="RESID_HYDROCRACKING"),"Hydrocracker",IF($H4500="REFORMING","Reformer",""))))</f>
        <v/>
      </c>
      <c r="H4500" s="6" t="s">
        <v>435</v>
      </c>
      <c r="I4500" s="6" t="s">
        <v>631</v>
      </c>
      <c r="J4500" s="6" t="s">
        <v>345</v>
      </c>
      <c r="K4500" s="10">
        <v>0.36</v>
      </c>
      <c r="L4500" s="10">
        <v>12</v>
      </c>
      <c r="M4500" s="6" t="s">
        <v>375</v>
      </c>
    </row>
    <row r="4501" spans="1:13">
      <c r="A4501" s="6">
        <v>2024</v>
      </c>
      <c r="B4501" s="6">
        <v>9</v>
      </c>
      <c r="C4501" s="6" t="s">
        <v>67</v>
      </c>
      <c r="D4501" s="6" t="s">
        <v>380</v>
      </c>
      <c r="E4501" s="6" t="s">
        <v>381</v>
      </c>
      <c r="F4501" s="6" t="str">
        <f>IF($M4501="PADD I","PADD 1",IF($M4501="PADD II","PADD 2",IF($M4501="PADD III","PADD 3",IF($M4501="PADD IV","PADD 4",IF($M4501="PADD V","PADD 5","")))))</f>
        <v>PADD 3</v>
      </c>
      <c r="G4501" s="6">
        <f>IF(AND($H4501="ATMOS DISTILLATION",ISNUMBER(SEARCH("VPS",$I4501))=FALSE,LEFT($I4501,6)&lt;&gt;"VACUUM"),"CDU",IF($H4501="FLUID CAT CRACKING","FCC",IF(OR($H4501="HYDROCRACKING",$H4501="RESID_HYDROCRACKING"),"Hydrocracker",IF($H4501="REFORMING","Reformer",""))))</f>
        <v/>
      </c>
      <c r="H4501" s="6" t="s">
        <v>897</v>
      </c>
      <c r="I4501" s="6" t="s">
        <v>1260</v>
      </c>
      <c r="J4501" s="6" t="s">
        <v>345</v>
      </c>
      <c r="K4501" s="10">
        <v>0.35</v>
      </c>
      <c r="L4501" s="10">
        <v>3.5</v>
      </c>
      <c r="M4501" s="6" t="s">
        <v>371</v>
      </c>
    </row>
    <row r="4502" spans="1:13">
      <c r="A4502" s="6">
        <v>2024</v>
      </c>
      <c r="B4502" s="6">
        <v>9</v>
      </c>
      <c r="C4502" s="6" t="s">
        <v>67</v>
      </c>
      <c r="D4502" s="6" t="s">
        <v>722</v>
      </c>
      <c r="E4502" s="6" t="s">
        <v>452</v>
      </c>
      <c r="F4502" s="6" t="str">
        <f>IF($M4502="PADD I","PADD 1",IF($M4502="PADD II","PADD 2",IF($M4502="PADD III","PADD 3",IF($M4502="PADD IV","PADD 4",IF($M4502="PADD V","PADD 5","")))))</f>
        <v>PADD 4</v>
      </c>
      <c r="G4502" s="6">
        <f>IF(AND($H4502="ATMOS DISTILLATION",ISNUMBER(SEARCH("VPS",$I4502))=FALSE,LEFT($I4502,6)&lt;&gt;"VACUUM"),"CDU",IF($H4502="FLUID CAT CRACKING","FCC",IF(OR($H4502="HYDROCRACKING",$H4502="RESID_HYDROCRACKING"),"Hydrocracker",IF($H4502="REFORMING","Reformer",""))))</f>
        <v/>
      </c>
      <c r="H4502" s="6" t="s">
        <v>460</v>
      </c>
      <c r="I4502" s="6" t="s">
        <v>1109</v>
      </c>
      <c r="J4502" s="6" t="s">
        <v>345</v>
      </c>
      <c r="K4502" s="10">
        <v>0.203</v>
      </c>
      <c r="L4502" s="10">
        <v>2.9</v>
      </c>
      <c r="M4502" s="6" t="s">
        <v>430</v>
      </c>
    </row>
    <row r="4503" spans="1:13">
      <c r="A4503" s="6">
        <v>2024</v>
      </c>
      <c r="B4503" s="6">
        <v>9</v>
      </c>
      <c r="C4503" s="6" t="s">
        <v>67</v>
      </c>
      <c r="D4503" s="6" t="s">
        <v>380</v>
      </c>
      <c r="E4503" s="6" t="s">
        <v>381</v>
      </c>
      <c r="F4503" s="6" t="str">
        <f>IF($M4503="PADD I","PADD 1",IF($M4503="PADD II","PADD 2",IF($M4503="PADD III","PADD 3",IF($M4503="PADD IV","PADD 4",IF($M4503="PADD V","PADD 5","")))))</f>
        <v>PADD 3</v>
      </c>
      <c r="G4503" s="6">
        <f>IF(AND($H4503="ATMOS DISTILLATION",ISNUMBER(SEARCH("VPS",$I4503))=FALSE,LEFT($I4503,6)&lt;&gt;"VACUUM"),"CDU",IF($H4503="FLUID CAT CRACKING","FCC",IF(OR($H4503="HYDROCRACKING",$H4503="RESID_HYDROCRACKING"),"Hydrocracker",IF($H4503="REFORMING","Reformer",""))))</f>
        <v/>
      </c>
      <c r="H4503" s="6" t="s">
        <v>43</v>
      </c>
      <c r="I4503" s="6" t="s">
        <v>1261</v>
      </c>
      <c r="J4503" s="6" t="s">
        <v>345</v>
      </c>
      <c r="K4503" s="10">
        <v>0.15</v>
      </c>
      <c r="L4503" s="10">
        <v>1.5</v>
      </c>
      <c r="M4503" s="6" t="s">
        <v>371</v>
      </c>
    </row>
    <row r="4504" spans="1:13">
      <c r="A4504" s="6">
        <v>2024</v>
      </c>
      <c r="B4504" s="6">
        <v>10</v>
      </c>
      <c r="C4504" s="6" t="s">
        <v>68</v>
      </c>
      <c r="D4504" s="6" t="s">
        <v>542</v>
      </c>
      <c r="E4504" s="6" t="s">
        <v>543</v>
      </c>
      <c r="F4504" s="6" t="str">
        <f>IF($M4504="PADD I","PADD 1",IF($M4504="PADD II","PADD 2",IF($M4504="PADD III","PADD 3",IF($M4504="PADD IV","PADD 4",IF($M4504="PADD V","PADD 5","")))))</f>
        <v>PADD 2</v>
      </c>
      <c r="G4504" s="6" t="str">
        <f>IF(AND($H4504="ATMOS DISTILLATION",ISNUMBER(SEARCH("VPS",$I4504))=FALSE,LEFT($I4504,6)&lt;&gt;"VACUUM"),"CDU",IF($H4504="FLUID CAT CRACKING","FCC",IF(OR($H4504="HYDROCRACKING",$H4504="RESID_HYDROCRACKING"),"Hydrocracker",IF($H4504="REFORMING","Reformer",""))))</f>
        <v>CDU</v>
      </c>
      <c r="H4504" s="6" t="s">
        <v>38</v>
      </c>
      <c r="I4504" s="6" t="s">
        <v>874</v>
      </c>
      <c r="J4504" s="6" t="s">
        <v>349</v>
      </c>
      <c r="K4504" s="10">
        <v>250</v>
      </c>
      <c r="L4504" s="10">
        <v>250</v>
      </c>
      <c r="M4504" s="6" t="s">
        <v>375</v>
      </c>
    </row>
    <row r="4505" spans="1:13">
      <c r="A4505" s="6">
        <v>2024</v>
      </c>
      <c r="B4505" s="6">
        <v>10</v>
      </c>
      <c r="C4505" s="6" t="s">
        <v>68</v>
      </c>
      <c r="D4505" s="6" t="s">
        <v>51</v>
      </c>
      <c r="E4505" s="6" t="s">
        <v>391</v>
      </c>
      <c r="F4505" s="6" t="str">
        <f>IF($M4505="PADD I","PADD 1",IF($M4505="PADD II","PADD 2",IF($M4505="PADD III","PADD 3",IF($M4505="PADD IV","PADD 4",IF($M4505="PADD V","PADD 5","")))))</f>
        <v>PADD 5</v>
      </c>
      <c r="G4505" s="6">
        <f>IF(AND($H4505="ATMOS DISTILLATION",ISNUMBER(SEARCH("VPS",$I4505))=FALSE,LEFT($I4505,6)&lt;&gt;"VACUUM"),"CDU",IF($H4505="FLUID CAT CRACKING","FCC",IF(OR($H4505="HYDROCRACKING",$H4505="RESID_HYDROCRACKING"),"Hydrocracker",IF($H4505="REFORMING","Reformer",""))))</f>
        <v/>
      </c>
      <c r="H4505" s="6" t="s">
        <v>378</v>
      </c>
      <c r="I4505" s="6" t="s">
        <v>1035</v>
      </c>
      <c r="J4505" s="6" t="s">
        <v>345</v>
      </c>
      <c r="K4505" s="10">
        <v>161</v>
      </c>
      <c r="L4505" s="10">
        <v>161</v>
      </c>
      <c r="M4505" s="6" t="s">
        <v>386</v>
      </c>
    </row>
    <row r="4506" spans="1:13">
      <c r="A4506" s="6">
        <v>2024</v>
      </c>
      <c r="B4506" s="6">
        <v>10</v>
      </c>
      <c r="C4506" s="6" t="s">
        <v>68</v>
      </c>
      <c r="D4506" s="6" t="s">
        <v>1063</v>
      </c>
      <c r="E4506" s="6" t="s">
        <v>388</v>
      </c>
      <c r="F4506" s="6" t="str">
        <f>IF($M4506="PADD I","PADD 1",IF($M4506="PADD II","PADD 2",IF($M4506="PADD III","PADD 3",IF($M4506="PADD IV","PADD 4",IF($M4506="PADD V","PADD 5","")))))</f>
        <v>PADD 2</v>
      </c>
      <c r="G4506" s="6" t="str">
        <f>IF(AND($H4506="ATMOS DISTILLATION",ISNUMBER(SEARCH("VPS",$I4506))=FALSE,LEFT($I4506,6)&lt;&gt;"VACUUM"),"CDU",IF($H4506="FLUID CAT CRACKING","FCC",IF(OR($H4506="HYDROCRACKING",$H4506="RESID_HYDROCRACKING"),"Hydrocracker",IF($H4506="REFORMING","Reformer",""))))</f>
        <v>CDU</v>
      </c>
      <c r="H4506" s="6" t="s">
        <v>38</v>
      </c>
      <c r="I4506" s="6" t="s">
        <v>81</v>
      </c>
      <c r="J4506" s="6" t="s">
        <v>349</v>
      </c>
      <c r="K4506" s="10">
        <v>103.95</v>
      </c>
      <c r="L4506" s="10">
        <v>135</v>
      </c>
      <c r="M4506" s="6" t="s">
        <v>375</v>
      </c>
    </row>
    <row r="4507" spans="1:13">
      <c r="A4507" s="6">
        <v>2024</v>
      </c>
      <c r="B4507" s="6">
        <v>10</v>
      </c>
      <c r="C4507" s="6" t="s">
        <v>68</v>
      </c>
      <c r="D4507" s="6" t="s">
        <v>542</v>
      </c>
      <c r="E4507" s="6" t="s">
        <v>543</v>
      </c>
      <c r="F4507" s="6" t="str">
        <f>IF($M4507="PADD I","PADD 1",IF($M4507="PADD II","PADD 2",IF($M4507="PADD III","PADD 3",IF($M4507="PADD IV","PADD 4",IF($M4507="PADD V","PADD 5","")))))</f>
        <v>PADD 2</v>
      </c>
      <c r="G4507" s="6">
        <f>IF(AND($H4507="ATMOS DISTILLATION",ISNUMBER(SEARCH("VPS",$I4507))=FALSE,LEFT($I4507,6)&lt;&gt;"VACUUM"),"CDU",IF($H4507="FLUID CAT CRACKING","FCC",IF(OR($H4507="HYDROCRACKING",$H4507="RESID_HYDROCRACKING"),"Hydrocracker",IF($H4507="REFORMING","Reformer",""))))</f>
        <v/>
      </c>
      <c r="H4507" s="6" t="s">
        <v>435</v>
      </c>
      <c r="I4507" s="6" t="s">
        <v>441</v>
      </c>
      <c r="J4507" s="6" t="s">
        <v>345</v>
      </c>
      <c r="K4507" s="10">
        <v>102</v>
      </c>
      <c r="L4507" s="10">
        <v>102</v>
      </c>
      <c r="M4507" s="6" t="s">
        <v>375</v>
      </c>
    </row>
    <row r="4508" spans="1:13">
      <c r="A4508" s="6">
        <v>2024</v>
      </c>
      <c r="B4508" s="6">
        <v>10</v>
      </c>
      <c r="C4508" s="6" t="s">
        <v>68</v>
      </c>
      <c r="D4508" s="6" t="s">
        <v>446</v>
      </c>
      <c r="E4508" s="6" t="s">
        <v>391</v>
      </c>
      <c r="F4508" s="6" t="str">
        <f>IF($M4508="PADD I","PADD 1",IF($M4508="PADD II","PADD 2",IF($M4508="PADD III","PADD 3",IF($M4508="PADD IV","PADD 4",IF($M4508="PADD V","PADD 5","")))))</f>
        <v>PADD 3</v>
      </c>
      <c r="G4508" s="6" t="str">
        <f>IF(AND($H4508="ATMOS DISTILLATION",ISNUMBER(SEARCH("VPS",$I4508))=FALSE,LEFT($I4508,6)&lt;&gt;"VACUUM"),"CDU",IF($H4508="FLUID CAT CRACKING","FCC",IF(OR($H4508="HYDROCRACKING",$H4508="RESID_HYDROCRACKING"),"Hydrocracker",IF($H4508="REFORMING","Reformer",""))))</f>
        <v>CDU</v>
      </c>
      <c r="H4508" s="6" t="s">
        <v>38</v>
      </c>
      <c r="I4508" s="6" t="s">
        <v>81</v>
      </c>
      <c r="J4508" s="6" t="s">
        <v>349</v>
      </c>
      <c r="K4508" s="10">
        <v>100</v>
      </c>
      <c r="L4508" s="10">
        <v>100</v>
      </c>
      <c r="M4508" s="6" t="s">
        <v>371</v>
      </c>
    </row>
    <row r="4509" spans="1:13">
      <c r="A4509" s="6">
        <v>2024</v>
      </c>
      <c r="B4509" s="6">
        <v>10</v>
      </c>
      <c r="C4509" s="6" t="s">
        <v>68</v>
      </c>
      <c r="D4509" s="6" t="s">
        <v>542</v>
      </c>
      <c r="E4509" s="6" t="s">
        <v>543</v>
      </c>
      <c r="F4509" s="6" t="str">
        <f>IF($M4509="PADD I","PADD 1",IF($M4509="PADD II","PADD 2",IF($M4509="PADD III","PADD 3",IF($M4509="PADD IV","PADD 4",IF($M4509="PADD V","PADD 5","")))))</f>
        <v>PADD 2</v>
      </c>
      <c r="G4509" s="6">
        <f>IF(AND($H4509="ATMOS DISTILLATION",ISNUMBER(SEARCH("VPS",$I4509))=FALSE,LEFT($I4509,6)&lt;&gt;"VACUUM"),"CDU",IF($H4509="FLUID CAT CRACKING","FCC",IF(OR($H4509="HYDROCRACKING",$H4509="RESID_HYDROCRACKING"),"Hydrocracker",IF($H4509="REFORMING","Reformer",""))))</f>
        <v/>
      </c>
      <c r="H4509" s="6" t="s">
        <v>43</v>
      </c>
      <c r="I4509" s="6" t="s">
        <v>551</v>
      </c>
      <c r="J4509" s="6" t="s">
        <v>349</v>
      </c>
      <c r="K4509" s="10">
        <v>100</v>
      </c>
      <c r="L4509" s="10">
        <v>100</v>
      </c>
      <c r="M4509" s="6" t="s">
        <v>375</v>
      </c>
    </row>
    <row r="4510" spans="1:13">
      <c r="A4510" s="6">
        <v>2024</v>
      </c>
      <c r="B4510" s="6">
        <v>10</v>
      </c>
      <c r="C4510" s="6" t="s">
        <v>68</v>
      </c>
      <c r="D4510" s="6" t="s">
        <v>675</v>
      </c>
      <c r="E4510" s="6" t="s">
        <v>452</v>
      </c>
      <c r="F4510" s="6" t="str">
        <f>IF($M4510="PADD I","PADD 1",IF($M4510="PADD II","PADD 2",IF($M4510="PADD III","PADD 3",IF($M4510="PADD IV","PADD 4",IF($M4510="PADD V","PADD 5","")))))</f>
        <v>PADD 2</v>
      </c>
      <c r="G4510" s="6" t="str">
        <f>IF(AND($H4510="ATMOS DISTILLATION",ISNUMBER(SEARCH("VPS",$I4510))=FALSE,LEFT($I4510,6)&lt;&gt;"VACUUM"),"CDU",IF($H4510="FLUID CAT CRACKING","FCC",IF(OR($H4510="HYDROCRACKING",$H4510="RESID_HYDROCRACKING"),"Hydrocracker",IF($H4510="REFORMING","Reformer",""))))</f>
        <v>CDU</v>
      </c>
      <c r="H4510" s="6" t="s">
        <v>38</v>
      </c>
      <c r="I4510" s="6" t="s">
        <v>81</v>
      </c>
      <c r="J4510" s="6" t="s">
        <v>349</v>
      </c>
      <c r="K4510" s="10">
        <v>87.48</v>
      </c>
      <c r="L4510" s="10">
        <v>87.48</v>
      </c>
      <c r="M4510" s="6" t="s">
        <v>375</v>
      </c>
    </row>
    <row r="4511" spans="1:13">
      <c r="A4511" s="6">
        <v>2024</v>
      </c>
      <c r="B4511" s="6">
        <v>10</v>
      </c>
      <c r="C4511" s="6" t="s">
        <v>68</v>
      </c>
      <c r="D4511" s="6" t="s">
        <v>542</v>
      </c>
      <c r="E4511" s="6" t="s">
        <v>543</v>
      </c>
      <c r="F4511" s="6" t="str">
        <f>IF($M4511="PADD I","PADD 1",IF($M4511="PADD II","PADD 2",IF($M4511="PADD III","PADD 3",IF($M4511="PADD IV","PADD 4",IF($M4511="PADD V","PADD 5","")))))</f>
        <v>PADD 2</v>
      </c>
      <c r="G4511" s="6" t="str">
        <f>IF(AND($H4511="ATMOS DISTILLATION",ISNUMBER(SEARCH("VPS",$I4511))=FALSE,LEFT($I4511,6)&lt;&gt;"VACUUM"),"CDU",IF($H4511="FLUID CAT CRACKING","FCC",IF(OR($H4511="HYDROCRACKING",$H4511="RESID_HYDROCRACKING"),"Hydrocracker",IF($H4511="REFORMING","Reformer",""))))</f>
        <v>Reformer</v>
      </c>
      <c r="H4511" s="6" t="s">
        <v>421</v>
      </c>
      <c r="I4511" s="6" t="s">
        <v>1112</v>
      </c>
      <c r="J4511" s="6" t="s">
        <v>345</v>
      </c>
      <c r="K4511" s="10">
        <v>70</v>
      </c>
      <c r="L4511" s="10">
        <v>70</v>
      </c>
      <c r="M4511" s="6" t="s">
        <v>375</v>
      </c>
    </row>
    <row r="4512" spans="1:13">
      <c r="A4512" s="6">
        <v>2024</v>
      </c>
      <c r="B4512" s="6">
        <v>10</v>
      </c>
      <c r="C4512" s="6" t="s">
        <v>68</v>
      </c>
      <c r="D4512" s="6" t="s">
        <v>51</v>
      </c>
      <c r="E4512" s="6" t="s">
        <v>391</v>
      </c>
      <c r="F4512" s="6" t="str">
        <f>IF($M4512="PADD I","PADD 1",IF($M4512="PADD II","PADD 2",IF($M4512="PADD III","PADD 3",IF($M4512="PADD IV","PADD 4",IF($M4512="PADD V","PADD 5","")))))</f>
        <v>PADD 5</v>
      </c>
      <c r="G4512" s="6">
        <f>IF(AND($H4512="ATMOS DISTILLATION",ISNUMBER(SEARCH("VPS",$I4512))=FALSE,LEFT($I4512,6)&lt;&gt;"VACUUM"),"CDU",IF($H4512="FLUID CAT CRACKING","FCC",IF(OR($H4512="HYDROCRACKING",$H4512="RESID_HYDROCRACKING"),"Hydrocracker",IF($H4512="REFORMING","Reformer",""))))</f>
        <v/>
      </c>
      <c r="H4512" s="6" t="s">
        <v>43</v>
      </c>
      <c r="I4512" s="6" t="s">
        <v>1230</v>
      </c>
      <c r="J4512" s="6" t="s">
        <v>349</v>
      </c>
      <c r="K4512" s="10">
        <v>68</v>
      </c>
      <c r="L4512" s="10">
        <v>68</v>
      </c>
      <c r="M4512" s="6" t="s">
        <v>386</v>
      </c>
    </row>
    <row r="4513" spans="1:13">
      <c r="A4513" s="6">
        <v>2024</v>
      </c>
      <c r="B4513" s="6">
        <v>10</v>
      </c>
      <c r="C4513" s="6" t="s">
        <v>68</v>
      </c>
      <c r="D4513" s="6" t="s">
        <v>329</v>
      </c>
      <c r="E4513" s="6" t="s">
        <v>427</v>
      </c>
      <c r="F4513" s="6" t="str">
        <f>IF($M4513="PADD I","PADD 1",IF($M4513="PADD II","PADD 2",IF($M4513="PADD III","PADD 3",IF($M4513="PADD IV","PADD 4",IF($M4513="PADD V","PADD 5","")))))</f>
        <v>PADD 3</v>
      </c>
      <c r="G4513" s="6" t="str">
        <f>IF(AND($H4513="ATMOS DISTILLATION",ISNUMBER(SEARCH("VPS",$I4513))=FALSE,LEFT($I4513,6)&lt;&gt;"VACUUM"),"CDU",IF($H4513="FLUID CAT CRACKING","FCC",IF(OR($H4513="HYDROCRACKING",$H4513="RESID_HYDROCRACKING"),"Hydrocracker",IF($H4513="REFORMING","Reformer",""))))</f>
        <v>FCC</v>
      </c>
      <c r="H4513" s="6" t="s">
        <v>376</v>
      </c>
      <c r="I4513" s="6" t="s">
        <v>428</v>
      </c>
      <c r="J4513" s="6" t="s">
        <v>349</v>
      </c>
      <c r="K4513" s="10">
        <v>68</v>
      </c>
      <c r="L4513" s="10">
        <v>68</v>
      </c>
      <c r="M4513" s="6" t="s">
        <v>371</v>
      </c>
    </row>
    <row r="4514" spans="1:13">
      <c r="A4514" s="6">
        <v>2024</v>
      </c>
      <c r="B4514" s="6">
        <v>10</v>
      </c>
      <c r="C4514" s="6" t="s">
        <v>68</v>
      </c>
      <c r="D4514" s="6" t="s">
        <v>408</v>
      </c>
      <c r="E4514" s="6" t="s">
        <v>409</v>
      </c>
      <c r="F4514" s="6" t="str">
        <f>IF($M4514="PADD I","PADD 1",IF($M4514="PADD II","PADD 2",IF($M4514="PADD III","PADD 3",IF($M4514="PADD IV","PADD 4",IF($M4514="PADD V","PADD 5","")))))</f>
        <v>PADD 3</v>
      </c>
      <c r="G4514" s="6" t="str">
        <f>IF(AND($H4514="ATMOS DISTILLATION",ISNUMBER(SEARCH("VPS",$I4514))=FALSE,LEFT($I4514,6)&lt;&gt;"VACUUM"),"CDU",IF($H4514="FLUID CAT CRACKING","FCC",IF(OR($H4514="HYDROCRACKING",$H4514="RESID_HYDROCRACKING"),"Hydrocracker",IF($H4514="REFORMING","Reformer",""))))</f>
        <v>CDU</v>
      </c>
      <c r="H4514" s="6" t="s">
        <v>38</v>
      </c>
      <c r="I4514" s="6" t="s">
        <v>410</v>
      </c>
      <c r="J4514" s="6" t="s">
        <v>345</v>
      </c>
      <c r="K4514" s="10">
        <v>67.5</v>
      </c>
      <c r="L4514" s="10">
        <v>150</v>
      </c>
      <c r="M4514" s="6" t="s">
        <v>371</v>
      </c>
    </row>
    <row r="4515" spans="1:13">
      <c r="A4515" s="6">
        <v>2024</v>
      </c>
      <c r="B4515" s="6">
        <v>10</v>
      </c>
      <c r="C4515" s="6" t="s">
        <v>68</v>
      </c>
      <c r="D4515" s="6" t="s">
        <v>395</v>
      </c>
      <c r="E4515" s="6" t="s">
        <v>396</v>
      </c>
      <c r="F4515" s="6" t="str">
        <f>IF($M4515="PADD I","PADD 1",IF($M4515="PADD II","PADD 2",IF($M4515="PADD III","PADD 3",IF($M4515="PADD IV","PADD 4",IF($M4515="PADD V","PADD 5","")))))</f>
        <v>PADD 3</v>
      </c>
      <c r="G4515" s="6">
        <f>IF(AND($H4515="ATMOS DISTILLATION",ISNUMBER(SEARCH("VPS",$I4515))=FALSE,LEFT($I4515,6)&lt;&gt;"VACUUM"),"CDU",IF($H4515="FLUID CAT CRACKING","FCC",IF(OR($H4515="HYDROCRACKING",$H4515="RESID_HYDROCRACKING"),"Hydrocracker",IF($H4515="REFORMING","Reformer",""))))</f>
        <v/>
      </c>
      <c r="H4515" s="6" t="s">
        <v>435</v>
      </c>
      <c r="I4515" s="6" t="s">
        <v>441</v>
      </c>
      <c r="J4515" s="6" t="s">
        <v>345</v>
      </c>
      <c r="K4515" s="10">
        <v>62.56</v>
      </c>
      <c r="L4515" s="10">
        <v>92</v>
      </c>
      <c r="M4515" s="6" t="s">
        <v>371</v>
      </c>
    </row>
    <row r="4516" spans="1:13">
      <c r="A4516" s="6">
        <v>2024</v>
      </c>
      <c r="B4516" s="6">
        <v>10</v>
      </c>
      <c r="C4516" s="6" t="s">
        <v>68</v>
      </c>
      <c r="D4516" s="6" t="s">
        <v>324</v>
      </c>
      <c r="E4516" s="6" t="s">
        <v>388</v>
      </c>
      <c r="F4516" s="6" t="str">
        <f>IF($M4516="PADD I","PADD 1",IF($M4516="PADD II","PADD 2",IF($M4516="PADD III","PADD 3",IF($M4516="PADD IV","PADD 4",IF($M4516="PADD V","PADD 5","")))))</f>
        <v>PADD 3</v>
      </c>
      <c r="G4516" s="6">
        <f>IF(AND($H4516="ATMOS DISTILLATION",ISNUMBER(SEARCH("VPS",$I4516))=FALSE,LEFT($I4516,6)&lt;&gt;"VACUUM"),"CDU",IF($H4516="FLUID CAT CRACKING","FCC",IF(OR($H4516="HYDROCRACKING",$H4516="RESID_HYDROCRACKING"),"Hydrocracker",IF($H4516="REFORMING","Reformer",""))))</f>
        <v/>
      </c>
      <c r="H4516" s="6" t="s">
        <v>378</v>
      </c>
      <c r="I4516" s="6" t="s">
        <v>942</v>
      </c>
      <c r="J4516" s="6" t="s">
        <v>345</v>
      </c>
      <c r="K4516" s="10">
        <v>62.37</v>
      </c>
      <c r="L4516" s="10">
        <v>148.5</v>
      </c>
      <c r="M4516" s="6" t="s">
        <v>371</v>
      </c>
    </row>
    <row r="4517" spans="1:13">
      <c r="A4517" s="6">
        <v>2024</v>
      </c>
      <c r="B4517" s="6">
        <v>10</v>
      </c>
      <c r="C4517" s="6" t="s">
        <v>68</v>
      </c>
      <c r="D4517" s="6" t="s">
        <v>547</v>
      </c>
      <c r="E4517" s="6" t="s">
        <v>391</v>
      </c>
      <c r="F4517" s="6" t="str">
        <f>IF($M4517="PADD I","PADD 1",IF($M4517="PADD II","PADD 2",IF($M4517="PADD III","PADD 3",IF($M4517="PADD IV","PADD 4",IF($M4517="PADD V","PADD 5","")))))</f>
        <v>PADD 5</v>
      </c>
      <c r="G4517" s="6" t="str">
        <f>IF(AND($H4517="ATMOS DISTILLATION",ISNUMBER(SEARCH("VPS",$I4517))=FALSE,LEFT($I4517,6)&lt;&gt;"VACUUM"),"CDU",IF($H4517="FLUID CAT CRACKING","FCC",IF(OR($H4517="HYDROCRACKING",$H4517="RESID_HYDROCRACKING"),"Hydrocracker",IF($H4517="REFORMING","Reformer",""))))</f>
        <v>FCC</v>
      </c>
      <c r="H4517" s="6" t="s">
        <v>376</v>
      </c>
      <c r="I4517" s="6" t="s">
        <v>105</v>
      </c>
      <c r="J4517" s="6" t="s">
        <v>345</v>
      </c>
      <c r="K4517" s="10">
        <v>61.2</v>
      </c>
      <c r="L4517" s="10">
        <v>90</v>
      </c>
      <c r="M4517" s="6" t="s">
        <v>386</v>
      </c>
    </row>
    <row r="4518" spans="1:13">
      <c r="A4518" s="6">
        <v>2024</v>
      </c>
      <c r="B4518" s="6">
        <v>10</v>
      </c>
      <c r="C4518" s="6" t="s">
        <v>68</v>
      </c>
      <c r="D4518" s="6" t="s">
        <v>985</v>
      </c>
      <c r="E4518" s="6" t="s">
        <v>543</v>
      </c>
      <c r="F4518" s="6" t="str">
        <f>IF($M4518="PADD I","PADD 1",IF($M4518="PADD II","PADD 2",IF($M4518="PADD III","PADD 3",IF($M4518="PADD IV","PADD 4",IF($M4518="PADD V","PADD 5","")))))</f>
        <v>PADD 2</v>
      </c>
      <c r="G4518" s="6">
        <f>IF(AND($H4518="ATMOS DISTILLATION",ISNUMBER(SEARCH("VPS",$I4518))=FALSE,LEFT($I4518,6)&lt;&gt;"VACUUM"),"CDU",IF($H4518="FLUID CAT CRACKING","FCC",IF(OR($H4518="HYDROCRACKING",$H4518="RESID_HYDROCRACKING"),"Hydrocracker",IF($H4518="REFORMING","Reformer",""))))</f>
        <v/>
      </c>
      <c r="H4518" s="6" t="s">
        <v>378</v>
      </c>
      <c r="I4518" s="6" t="s">
        <v>786</v>
      </c>
      <c r="J4518" s="6" t="s">
        <v>345</v>
      </c>
      <c r="K4518" s="10">
        <v>60.33</v>
      </c>
      <c r="L4518" s="10">
        <v>60.33</v>
      </c>
      <c r="M4518" s="6" t="s">
        <v>375</v>
      </c>
    </row>
    <row r="4519" spans="1:13">
      <c r="A4519" s="6">
        <v>2024</v>
      </c>
      <c r="B4519" s="6">
        <v>10</v>
      </c>
      <c r="C4519" s="6" t="s">
        <v>68</v>
      </c>
      <c r="D4519" s="6" t="s">
        <v>542</v>
      </c>
      <c r="E4519" s="6" t="s">
        <v>543</v>
      </c>
      <c r="F4519" s="6" t="str">
        <f>IF($M4519="PADD I","PADD 1",IF($M4519="PADD II","PADD 2",IF($M4519="PADD III","PADD 3",IF($M4519="PADD IV","PADD 4",IF($M4519="PADD V","PADD 5","")))))</f>
        <v>PADD 2</v>
      </c>
      <c r="G4519" s="6" t="str">
        <f>IF(AND($H4519="ATMOS DISTILLATION",ISNUMBER(SEARCH("VPS",$I4519))=FALSE,LEFT($I4519,6)&lt;&gt;"VACUUM"),"CDU",IF($H4519="FLUID CAT CRACKING","FCC",IF(OR($H4519="HYDROCRACKING",$H4519="RESID_HYDROCRACKING"),"Hydrocracker",IF($H4519="REFORMING","Reformer",""))))</f>
        <v>Reformer</v>
      </c>
      <c r="H4519" s="6" t="s">
        <v>421</v>
      </c>
      <c r="I4519" s="6" t="s">
        <v>1114</v>
      </c>
      <c r="J4519" s="6" t="s">
        <v>349</v>
      </c>
      <c r="K4519" s="10">
        <v>60</v>
      </c>
      <c r="L4519" s="10">
        <v>60</v>
      </c>
      <c r="M4519" s="6" t="s">
        <v>375</v>
      </c>
    </row>
    <row r="4520" spans="1:13">
      <c r="A4520" s="6">
        <v>2024</v>
      </c>
      <c r="B4520" s="6">
        <v>10</v>
      </c>
      <c r="C4520" s="6" t="s">
        <v>68</v>
      </c>
      <c r="D4520" s="6" t="s">
        <v>387</v>
      </c>
      <c r="E4520" s="6" t="s">
        <v>388</v>
      </c>
      <c r="F4520" s="6" t="str">
        <f>IF($M4520="PADD I","PADD 1",IF($M4520="PADD II","PADD 2",IF($M4520="PADD III","PADD 3",IF($M4520="PADD IV","PADD 4",IF($M4520="PADD V","PADD 5","")))))</f>
        <v>PADD 3</v>
      </c>
      <c r="G4520" s="6" t="str">
        <f>IF(AND($H4520="ATMOS DISTILLATION",ISNUMBER(SEARCH("VPS",$I4520))=FALSE,LEFT($I4520,6)&lt;&gt;"VACUUM"),"CDU",IF($H4520="FLUID CAT CRACKING","FCC",IF(OR($H4520="HYDROCRACKING",$H4520="RESID_HYDROCRACKING"),"Hydrocracker",IF($H4520="REFORMING","Reformer",""))))</f>
        <v>Hydrocracker</v>
      </c>
      <c r="H4520" s="6" t="s">
        <v>444</v>
      </c>
      <c r="I4520" s="6" t="s">
        <v>476</v>
      </c>
      <c r="J4520" s="6" t="s">
        <v>349</v>
      </c>
      <c r="K4520" s="10">
        <v>60</v>
      </c>
      <c r="L4520" s="10">
        <v>60</v>
      </c>
      <c r="M4520" s="6" t="s">
        <v>371</v>
      </c>
    </row>
    <row r="4521" spans="1:13">
      <c r="A4521" s="6">
        <v>2024</v>
      </c>
      <c r="B4521" s="6">
        <v>10</v>
      </c>
      <c r="C4521" s="6" t="s">
        <v>68</v>
      </c>
      <c r="D4521" s="6" t="s">
        <v>51</v>
      </c>
      <c r="E4521" s="6" t="s">
        <v>391</v>
      </c>
      <c r="F4521" s="6" t="str">
        <f>IF($M4521="PADD I","PADD 1",IF($M4521="PADD II","PADD 2",IF($M4521="PADD III","PADD 3",IF($M4521="PADD IV","PADD 4",IF($M4521="PADD V","PADD 5","")))))</f>
        <v>PADD 5</v>
      </c>
      <c r="G4521" s="6" t="str">
        <f>IF(AND($H4521="ATMOS DISTILLATION",ISNUMBER(SEARCH("VPS",$I4521))=FALSE,LEFT($I4521,6)&lt;&gt;"VACUUM"),"CDU",IF($H4521="FLUID CAT CRACKING","FCC",IF(OR($H4521="HYDROCRACKING",$H4521="RESID_HYDROCRACKING"),"Hydrocracker",IF($H4521="REFORMING","Reformer",""))))</f>
        <v>Reformer</v>
      </c>
      <c r="H4521" s="6" t="s">
        <v>421</v>
      </c>
      <c r="I4521" s="6" t="s">
        <v>539</v>
      </c>
      <c r="J4521" s="6" t="s">
        <v>345</v>
      </c>
      <c r="K4521" s="10">
        <v>60</v>
      </c>
      <c r="L4521" s="10">
        <v>60</v>
      </c>
      <c r="M4521" s="6" t="s">
        <v>386</v>
      </c>
    </row>
    <row r="4522" spans="1:13">
      <c r="A4522" s="6">
        <v>2024</v>
      </c>
      <c r="B4522" s="6">
        <v>10</v>
      </c>
      <c r="C4522" s="6" t="s">
        <v>68</v>
      </c>
      <c r="D4522" s="6" t="s">
        <v>542</v>
      </c>
      <c r="E4522" s="6" t="s">
        <v>543</v>
      </c>
      <c r="F4522" s="6" t="str">
        <f>IF($M4522="PADD I","PADD 1",IF($M4522="PADD II","PADD 2",IF($M4522="PADD III","PADD 3",IF($M4522="PADD IV","PADD 4",IF($M4522="PADD V","PADD 5","")))))</f>
        <v>PADD 2</v>
      </c>
      <c r="G4522" s="6">
        <f>IF(AND($H4522="ATMOS DISTILLATION",ISNUMBER(SEARCH("VPS",$I4522))=FALSE,LEFT($I4522,6)&lt;&gt;"VACUUM"),"CDU",IF($H4522="FLUID CAT CRACKING","FCC",IF(OR($H4522="HYDROCRACKING",$H4522="RESID_HYDROCRACKING"),"Hydrocracker",IF($H4522="REFORMING","Reformer",""))))</f>
        <v/>
      </c>
      <c r="H4522" s="6" t="s">
        <v>43</v>
      </c>
      <c r="I4522" s="6" t="s">
        <v>913</v>
      </c>
      <c r="J4522" s="6" t="s">
        <v>345</v>
      </c>
      <c r="K4522" s="10">
        <v>55.5</v>
      </c>
      <c r="L4522" s="10">
        <v>55.5</v>
      </c>
      <c r="M4522" s="6" t="s">
        <v>375</v>
      </c>
    </row>
    <row r="4523" spans="1:13">
      <c r="A4523" s="6">
        <v>2024</v>
      </c>
      <c r="B4523" s="6">
        <v>10</v>
      </c>
      <c r="C4523" s="6" t="s">
        <v>68</v>
      </c>
      <c r="D4523" s="6" t="s">
        <v>615</v>
      </c>
      <c r="E4523" s="6" t="s">
        <v>405</v>
      </c>
      <c r="F4523" s="6" t="str">
        <f>IF($M4523="PADD I","PADD 1",IF($M4523="PADD II","PADD 2",IF($M4523="PADD III","PADD 3",IF($M4523="PADD IV","PADD 4",IF($M4523="PADD V","PADD 5","")))))</f>
        <v>PADD 5</v>
      </c>
      <c r="G4523" s="6" t="str">
        <f>IF(AND($H4523="ATMOS DISTILLATION",ISNUMBER(SEARCH("VPS",$I4523))=FALSE,LEFT($I4523,6)&lt;&gt;"VACUUM"),"CDU",IF($H4523="FLUID CAT CRACKING","FCC",IF(OR($H4523="HYDROCRACKING",$H4523="RESID_HYDROCRACKING"),"Hydrocracker",IF($H4523="REFORMING","Reformer",""))))</f>
        <v>FCC</v>
      </c>
      <c r="H4523" s="6" t="s">
        <v>376</v>
      </c>
      <c r="I4523" s="6" t="s">
        <v>105</v>
      </c>
      <c r="J4523" s="6" t="s">
        <v>349</v>
      </c>
      <c r="K4523" s="10">
        <v>52.36</v>
      </c>
      <c r="L4523" s="10">
        <v>77</v>
      </c>
      <c r="M4523" s="6" t="s">
        <v>386</v>
      </c>
    </row>
    <row r="4524" spans="1:13">
      <c r="A4524" s="6">
        <v>2024</v>
      </c>
      <c r="B4524" s="6">
        <v>10</v>
      </c>
      <c r="C4524" s="6" t="s">
        <v>68</v>
      </c>
      <c r="D4524" s="6" t="s">
        <v>415</v>
      </c>
      <c r="E4524" s="6" t="s">
        <v>416</v>
      </c>
      <c r="F4524" s="6" t="str">
        <f>IF($M4524="PADD I","PADD 1",IF($M4524="PADD II","PADD 2",IF($M4524="PADD III","PADD 3",IF($M4524="PADD IV","PADD 4",IF($M4524="PADD V","PADD 5","")))))</f>
        <v>PADD 3</v>
      </c>
      <c r="G4524" s="6" t="str">
        <f>IF(AND($H4524="ATMOS DISTILLATION",ISNUMBER(SEARCH("VPS",$I4524))=FALSE,LEFT($I4524,6)&lt;&gt;"VACUUM"),"CDU",IF($H4524="FLUID CAT CRACKING","FCC",IF(OR($H4524="HYDROCRACKING",$H4524="RESID_HYDROCRACKING"),"Hydrocracker",IF($H4524="REFORMING","Reformer",""))))</f>
        <v>Reformer</v>
      </c>
      <c r="H4524" s="6" t="s">
        <v>421</v>
      </c>
      <c r="I4524" s="6" t="s">
        <v>454</v>
      </c>
      <c r="J4524" s="6" t="s">
        <v>349</v>
      </c>
      <c r="K4524" s="10">
        <v>52</v>
      </c>
      <c r="L4524" s="10">
        <v>52</v>
      </c>
      <c r="M4524" s="6" t="s">
        <v>371</v>
      </c>
    </row>
    <row r="4525" spans="1:13">
      <c r="A4525" s="6">
        <v>2024</v>
      </c>
      <c r="B4525" s="6">
        <v>10</v>
      </c>
      <c r="C4525" s="6" t="s">
        <v>68</v>
      </c>
      <c r="D4525" s="6" t="s">
        <v>788</v>
      </c>
      <c r="E4525" s="6" t="s">
        <v>405</v>
      </c>
      <c r="F4525" s="6" t="str">
        <f>IF($M4525="PADD I","PADD 1",IF($M4525="PADD II","PADD 2",IF($M4525="PADD III","PADD 3",IF($M4525="PADD IV","PADD 4",IF($M4525="PADD V","PADD 5","")))))</f>
        <v>PADD 3</v>
      </c>
      <c r="G4525" s="6" t="str">
        <f>IF(AND($H4525="ATMOS DISTILLATION",ISNUMBER(SEARCH("VPS",$I4525))=FALSE,LEFT($I4525,6)&lt;&gt;"VACUUM"),"CDU",IF($H4525="FLUID CAT CRACKING","FCC",IF(OR($H4525="HYDROCRACKING",$H4525="RESID_HYDROCRACKING"),"Hydrocracker",IF($H4525="REFORMING","Reformer",""))))</f>
        <v>Hydrocracker</v>
      </c>
      <c r="H4525" s="6" t="s">
        <v>444</v>
      </c>
      <c r="I4525" s="6" t="s">
        <v>831</v>
      </c>
      <c r="J4525" s="6" t="s">
        <v>345</v>
      </c>
      <c r="K4525" s="10">
        <v>49.5</v>
      </c>
      <c r="L4525" s="10">
        <v>55</v>
      </c>
      <c r="M4525" s="6" t="s">
        <v>371</v>
      </c>
    </row>
    <row r="4526" spans="1:13">
      <c r="A4526" s="6">
        <v>2024</v>
      </c>
      <c r="B4526" s="6">
        <v>10</v>
      </c>
      <c r="C4526" s="6" t="s">
        <v>68</v>
      </c>
      <c r="D4526" s="6" t="s">
        <v>576</v>
      </c>
      <c r="E4526" s="6" t="s">
        <v>369</v>
      </c>
      <c r="F4526" s="6" t="str">
        <f>IF($M4526="PADD I","PADD 1",IF($M4526="PADD II","PADD 2",IF($M4526="PADD III","PADD 3",IF($M4526="PADD IV","PADD 4",IF($M4526="PADD V","PADD 5","")))))</f>
        <v>PADD 3</v>
      </c>
      <c r="G4526" s="6">
        <f>IF(AND($H4526="ATMOS DISTILLATION",ISNUMBER(SEARCH("VPS",$I4526))=FALSE,LEFT($I4526,6)&lt;&gt;"VACUUM"),"CDU",IF($H4526="FLUID CAT CRACKING","FCC",IF(OR($H4526="HYDROCRACKING",$H4526="RESID_HYDROCRACKING"),"Hydrocracker",IF($H4526="REFORMING","Reformer",""))))</f>
        <v/>
      </c>
      <c r="H4526" s="6" t="s">
        <v>43</v>
      </c>
      <c r="I4526" s="6" t="s">
        <v>1233</v>
      </c>
      <c r="J4526" s="6" t="s">
        <v>349</v>
      </c>
      <c r="K4526" s="10">
        <v>49</v>
      </c>
      <c r="L4526" s="10">
        <v>49</v>
      </c>
      <c r="M4526" s="6" t="s">
        <v>371</v>
      </c>
    </row>
    <row r="4527" spans="1:13">
      <c r="A4527" s="6">
        <v>2024</v>
      </c>
      <c r="B4527" s="6">
        <v>10</v>
      </c>
      <c r="C4527" s="6" t="s">
        <v>68</v>
      </c>
      <c r="D4527" s="6" t="s">
        <v>738</v>
      </c>
      <c r="E4527" s="6" t="s">
        <v>552</v>
      </c>
      <c r="F4527" s="6" t="str">
        <f>IF($M4527="PADD I","PADD 1",IF($M4527="PADD II","PADD 2",IF($M4527="PADD III","PADD 3",IF($M4527="PADD IV","PADD 4",IF($M4527="PADD V","PADD 5","")))))</f>
        <v>PADD 3</v>
      </c>
      <c r="G4527" s="6" t="str">
        <f>IF(AND($H4527="ATMOS DISTILLATION",ISNUMBER(SEARCH("VPS",$I4527))=FALSE,LEFT($I4527,6)&lt;&gt;"VACUUM"),"CDU",IF($H4527="FLUID CAT CRACKING","FCC",IF(OR($H4527="HYDROCRACKING",$H4527="RESID_HYDROCRACKING"),"Hydrocracker",IF($H4527="REFORMING","Reformer",""))))</f>
        <v>CDU</v>
      </c>
      <c r="H4527" s="6" t="s">
        <v>38</v>
      </c>
      <c r="I4527" s="6" t="s">
        <v>81</v>
      </c>
      <c r="J4527" s="6" t="s">
        <v>349</v>
      </c>
      <c r="K4527" s="10">
        <v>48.1</v>
      </c>
      <c r="L4527" s="10">
        <v>74</v>
      </c>
      <c r="M4527" s="6" t="s">
        <v>371</v>
      </c>
    </row>
    <row r="4528" spans="1:13">
      <c r="A4528" s="6">
        <v>2024</v>
      </c>
      <c r="B4528" s="6">
        <v>10</v>
      </c>
      <c r="C4528" s="6" t="s">
        <v>68</v>
      </c>
      <c r="D4528" s="6" t="s">
        <v>329</v>
      </c>
      <c r="E4528" s="6" t="s">
        <v>427</v>
      </c>
      <c r="F4528" s="6" t="str">
        <f>IF($M4528="PADD I","PADD 1",IF($M4528="PADD II","PADD 2",IF($M4528="PADD III","PADD 3",IF($M4528="PADD IV","PADD 4",IF($M4528="PADD V","PADD 5","")))))</f>
        <v>PADD 3</v>
      </c>
      <c r="G4528" s="6" t="str">
        <f>IF(AND($H4528="ATMOS DISTILLATION",ISNUMBER(SEARCH("VPS",$I4528))=FALSE,LEFT($I4528,6)&lt;&gt;"VACUUM"),"CDU",IF($H4528="FLUID CAT CRACKING","FCC",IF(OR($H4528="HYDROCRACKING",$H4528="RESID_HYDROCRACKING"),"Hydrocracker",IF($H4528="REFORMING","Reformer",""))))</f>
        <v>CDU</v>
      </c>
      <c r="H4528" s="6" t="s">
        <v>38</v>
      </c>
      <c r="I4528" s="6" t="s">
        <v>123</v>
      </c>
      <c r="J4528" s="6" t="s">
        <v>349</v>
      </c>
      <c r="K4528" s="10">
        <v>48</v>
      </c>
      <c r="L4528" s="10">
        <v>48</v>
      </c>
      <c r="M4528" s="6" t="s">
        <v>371</v>
      </c>
    </row>
    <row r="4529" spans="1:13">
      <c r="A4529" s="6">
        <v>2024</v>
      </c>
      <c r="B4529" s="6">
        <v>10</v>
      </c>
      <c r="C4529" s="6" t="s">
        <v>68</v>
      </c>
      <c r="D4529" s="6" t="s">
        <v>329</v>
      </c>
      <c r="E4529" s="6" t="s">
        <v>427</v>
      </c>
      <c r="F4529" s="6" t="str">
        <f>IF($M4529="PADD I","PADD 1",IF($M4529="PADD II","PADD 2",IF($M4529="PADD III","PADD 3",IF($M4529="PADD IV","PADD 4",IF($M4529="PADD V","PADD 5","")))))</f>
        <v>PADD 3</v>
      </c>
      <c r="G4529" s="6" t="str">
        <f>IF(AND($H4529="ATMOS DISTILLATION",ISNUMBER(SEARCH("VPS",$I4529))=FALSE,LEFT($I4529,6)&lt;&gt;"VACUUM"),"CDU",IF($H4529="FLUID CAT CRACKING","FCC",IF(OR($H4529="HYDROCRACKING",$H4529="RESID_HYDROCRACKING"),"Hydrocracker",IF($H4529="REFORMING","Reformer",""))))</f>
        <v>CDU</v>
      </c>
      <c r="H4529" s="6" t="s">
        <v>38</v>
      </c>
      <c r="I4529" s="6" t="s">
        <v>330</v>
      </c>
      <c r="J4529" s="6" t="s">
        <v>349</v>
      </c>
      <c r="K4529" s="10">
        <v>48</v>
      </c>
      <c r="L4529" s="10">
        <v>48</v>
      </c>
      <c r="M4529" s="6" t="s">
        <v>371</v>
      </c>
    </row>
    <row r="4530" spans="1:13">
      <c r="A4530" s="6">
        <v>2024</v>
      </c>
      <c r="B4530" s="6">
        <v>10</v>
      </c>
      <c r="C4530" s="6" t="s">
        <v>68</v>
      </c>
      <c r="D4530" s="6" t="s">
        <v>572</v>
      </c>
      <c r="E4530" s="6" t="s">
        <v>573</v>
      </c>
      <c r="F4530" s="6" t="str">
        <f>IF($M4530="PADD I","PADD 1",IF($M4530="PADD II","PADD 2",IF($M4530="PADD III","PADD 3",IF($M4530="PADD IV","PADD 4",IF($M4530="PADD V","PADD 5","")))))</f>
        <v>PADD 3</v>
      </c>
      <c r="G4530" s="6" t="str">
        <f>IF(AND($H4530="ATMOS DISTILLATION",ISNUMBER(SEARCH("VPS",$I4530))=FALSE,LEFT($I4530,6)&lt;&gt;"VACUUM"),"CDU",IF($H4530="FLUID CAT CRACKING","FCC",IF(OR($H4530="HYDROCRACKING",$H4530="RESID_HYDROCRACKING"),"Hydrocracker",IF($H4530="REFORMING","Reformer",""))))</f>
        <v>CDU</v>
      </c>
      <c r="H4530" s="6" t="s">
        <v>38</v>
      </c>
      <c r="I4530" s="6" t="s">
        <v>574</v>
      </c>
      <c r="J4530" s="6" t="s">
        <v>345</v>
      </c>
      <c r="K4530" s="10">
        <v>47</v>
      </c>
      <c r="L4530" s="10">
        <v>50</v>
      </c>
      <c r="M4530" s="6" t="s">
        <v>371</v>
      </c>
    </row>
    <row r="4531" spans="1:13">
      <c r="A4531" s="6">
        <v>2024</v>
      </c>
      <c r="B4531" s="6">
        <v>10</v>
      </c>
      <c r="C4531" s="6" t="s">
        <v>68</v>
      </c>
      <c r="D4531" s="6" t="s">
        <v>576</v>
      </c>
      <c r="E4531" s="6" t="s">
        <v>369</v>
      </c>
      <c r="F4531" s="6" t="str">
        <f>IF($M4531="PADD I","PADD 1",IF($M4531="PADD II","PADD 2",IF($M4531="PADD III","PADD 3",IF($M4531="PADD IV","PADD 4",IF($M4531="PADD V","PADD 5","")))))</f>
        <v>PADD 3</v>
      </c>
      <c r="G4531" s="6" t="str">
        <f>IF(AND($H4531="ATMOS DISTILLATION",ISNUMBER(SEARCH("VPS",$I4531))=FALSE,LEFT($I4531,6)&lt;&gt;"VACUUM"),"CDU",IF($H4531="FLUID CAT CRACKING","FCC",IF(OR($H4531="HYDROCRACKING",$H4531="RESID_HYDROCRACKING"),"Hydrocracker",IF($H4531="REFORMING","Reformer",""))))</f>
        <v>FCC</v>
      </c>
      <c r="H4531" s="6" t="s">
        <v>376</v>
      </c>
      <c r="I4531" s="6" t="s">
        <v>105</v>
      </c>
      <c r="J4531" s="6" t="s">
        <v>349</v>
      </c>
      <c r="K4531" s="10">
        <v>46.2</v>
      </c>
      <c r="L4531" s="10">
        <v>46.2</v>
      </c>
      <c r="M4531" s="6" t="s">
        <v>371</v>
      </c>
    </row>
    <row r="4532" spans="1:13">
      <c r="A4532" s="6">
        <v>2024</v>
      </c>
      <c r="B4532" s="6">
        <v>10</v>
      </c>
      <c r="C4532" s="6" t="s">
        <v>68</v>
      </c>
      <c r="D4532" s="6" t="s">
        <v>329</v>
      </c>
      <c r="E4532" s="6" t="s">
        <v>427</v>
      </c>
      <c r="F4532" s="6" t="str">
        <f>IF($M4532="PADD I","PADD 1",IF($M4532="PADD II","PADD 2",IF($M4532="PADD III","PADD 3",IF($M4532="PADD IV","PADD 4",IF($M4532="PADD V","PADD 5","")))))</f>
        <v>PADD 3</v>
      </c>
      <c r="G4532" s="6">
        <f>IF(AND($H4532="ATMOS DISTILLATION",ISNUMBER(SEARCH("VPS",$I4532))=FALSE,LEFT($I4532,6)&lt;&gt;"VACUUM"),"CDU",IF($H4532="FLUID CAT CRACKING","FCC",IF(OR($H4532="HYDROCRACKING",$H4532="RESID_HYDROCRACKING"),"Hydrocracker",IF($H4532="REFORMING","Reformer",""))))</f>
        <v/>
      </c>
      <c r="H4532" s="6" t="s">
        <v>43</v>
      </c>
      <c r="I4532" s="6" t="s">
        <v>1208</v>
      </c>
      <c r="J4532" s="6" t="s">
        <v>349</v>
      </c>
      <c r="K4532" s="10">
        <v>45</v>
      </c>
      <c r="L4532" s="10">
        <v>45</v>
      </c>
      <c r="M4532" s="6" t="s">
        <v>371</v>
      </c>
    </row>
    <row r="4533" spans="1:13">
      <c r="A4533" s="6">
        <v>2024</v>
      </c>
      <c r="B4533" s="6">
        <v>10</v>
      </c>
      <c r="C4533" s="6" t="s">
        <v>68</v>
      </c>
      <c r="D4533" s="6" t="s">
        <v>51</v>
      </c>
      <c r="E4533" s="6" t="s">
        <v>391</v>
      </c>
      <c r="F4533" s="6" t="str">
        <f>IF($M4533="PADD I","PADD 1",IF($M4533="PADD II","PADD 2",IF($M4533="PADD III","PADD 3",IF($M4533="PADD IV","PADD 4",IF($M4533="PADD V","PADD 5","")))))</f>
        <v>PADD 5</v>
      </c>
      <c r="G4533" s="6" t="str">
        <f>IF(AND($H4533="ATMOS DISTILLATION",ISNUMBER(SEARCH("VPS",$I4533))=FALSE,LEFT($I4533,6)&lt;&gt;"VACUUM"),"CDU",IF($H4533="FLUID CAT CRACKING","FCC",IF(OR($H4533="HYDROCRACKING",$H4533="RESID_HYDROCRACKING"),"Hydrocracker",IF($H4533="REFORMING","Reformer",""))))</f>
        <v>Hydrocracker</v>
      </c>
      <c r="H4533" s="6" t="s">
        <v>444</v>
      </c>
      <c r="I4533" s="6" t="s">
        <v>1074</v>
      </c>
      <c r="J4533" s="6" t="s">
        <v>345</v>
      </c>
      <c r="K4533" s="10">
        <v>45</v>
      </c>
      <c r="L4533" s="10">
        <v>45</v>
      </c>
      <c r="M4533" s="6" t="s">
        <v>386</v>
      </c>
    </row>
    <row r="4534" spans="1:13">
      <c r="A4534" s="6">
        <v>2024</v>
      </c>
      <c r="B4534" s="6">
        <v>10</v>
      </c>
      <c r="C4534" s="6" t="s">
        <v>68</v>
      </c>
      <c r="D4534" s="6" t="s">
        <v>675</v>
      </c>
      <c r="E4534" s="6" t="s">
        <v>452</v>
      </c>
      <c r="F4534" s="6" t="str">
        <f>IF($M4534="PADD I","PADD 1",IF($M4534="PADD II","PADD 2",IF($M4534="PADD III","PADD 3",IF($M4534="PADD IV","PADD 4",IF($M4534="PADD V","PADD 5","")))))</f>
        <v>PADD 2</v>
      </c>
      <c r="G4534" s="6">
        <f>IF(AND($H4534="ATMOS DISTILLATION",ISNUMBER(SEARCH("VPS",$I4534))=FALSE,LEFT($I4534,6)&lt;&gt;"VACUUM"),"CDU",IF($H4534="FLUID CAT CRACKING","FCC",IF(OR($H4534="HYDROCRACKING",$H4534="RESID_HYDROCRACKING"),"Hydrocracker",IF($H4534="REFORMING","Reformer",""))))</f>
        <v/>
      </c>
      <c r="H4534" s="6" t="s">
        <v>43</v>
      </c>
      <c r="I4534" s="6" t="s">
        <v>1142</v>
      </c>
      <c r="J4534" s="6" t="s">
        <v>345</v>
      </c>
      <c r="K4534" s="10">
        <v>45</v>
      </c>
      <c r="L4534" s="10">
        <v>45</v>
      </c>
      <c r="M4534" s="6" t="s">
        <v>375</v>
      </c>
    </row>
    <row r="4535" spans="1:13">
      <c r="A4535" s="6">
        <v>2024</v>
      </c>
      <c r="B4535" s="6">
        <v>10</v>
      </c>
      <c r="C4535" s="6" t="s">
        <v>68</v>
      </c>
      <c r="D4535" s="6" t="s">
        <v>395</v>
      </c>
      <c r="E4535" s="6" t="s">
        <v>396</v>
      </c>
      <c r="F4535" s="6" t="str">
        <f>IF($M4535="PADD I","PADD 1",IF($M4535="PADD II","PADD 2",IF($M4535="PADD III","PADD 3",IF($M4535="PADD IV","PADD 4",IF($M4535="PADD V","PADD 5","")))))</f>
        <v>PADD 3</v>
      </c>
      <c r="G4535" s="6" t="str">
        <f>IF(AND($H4535="ATMOS DISTILLATION",ISNUMBER(SEARCH("VPS",$I4535))=FALSE,LEFT($I4535,6)&lt;&gt;"VACUUM"),"CDU",IF($H4535="FLUID CAT CRACKING","FCC",IF(OR($H4535="HYDROCRACKING",$H4535="RESID_HYDROCRACKING"),"Hydrocracker",IF($H4535="REFORMING","Reformer",""))))</f>
        <v>CDU</v>
      </c>
      <c r="H4535" s="6" t="s">
        <v>38</v>
      </c>
      <c r="I4535" s="6" t="s">
        <v>397</v>
      </c>
      <c r="J4535" s="6" t="s">
        <v>345</v>
      </c>
      <c r="K4535" s="10">
        <v>43.2</v>
      </c>
      <c r="L4535" s="10">
        <v>270</v>
      </c>
      <c r="M4535" s="6" t="s">
        <v>371</v>
      </c>
    </row>
    <row r="4536" spans="1:13">
      <c r="A4536" s="6">
        <v>2024</v>
      </c>
      <c r="B4536" s="6">
        <v>10</v>
      </c>
      <c r="C4536" s="6" t="s">
        <v>68</v>
      </c>
      <c r="D4536" s="6" t="s">
        <v>615</v>
      </c>
      <c r="E4536" s="6" t="s">
        <v>405</v>
      </c>
      <c r="F4536" s="6" t="str">
        <f>IF($M4536="PADD I","PADD 1",IF($M4536="PADD II","PADD 2",IF($M4536="PADD III","PADD 3",IF($M4536="PADD IV","PADD 4",IF($M4536="PADD V","PADD 5","")))))</f>
        <v>PADD 5</v>
      </c>
      <c r="G4536" s="6">
        <f>IF(AND($H4536="ATMOS DISTILLATION",ISNUMBER(SEARCH("VPS",$I4536))=FALSE,LEFT($I4536,6)&lt;&gt;"VACUUM"),"CDU",IF($H4536="FLUID CAT CRACKING","FCC",IF(OR($H4536="HYDROCRACKING",$H4536="RESID_HYDROCRACKING"),"Hydrocracker",IF($H4536="REFORMING","Reformer",""))))</f>
        <v/>
      </c>
      <c r="H4536" s="6" t="s">
        <v>43</v>
      </c>
      <c r="I4536" s="6" t="s">
        <v>1238</v>
      </c>
      <c r="J4536" s="6" t="s">
        <v>349</v>
      </c>
      <c r="K4536" s="10">
        <v>41</v>
      </c>
      <c r="L4536" s="10">
        <v>41</v>
      </c>
      <c r="M4536" s="6" t="s">
        <v>386</v>
      </c>
    </row>
    <row r="4537" spans="1:13">
      <c r="A4537" s="6">
        <v>2024</v>
      </c>
      <c r="B4537" s="6">
        <v>10</v>
      </c>
      <c r="C4537" s="6" t="s">
        <v>68</v>
      </c>
      <c r="D4537" s="6" t="s">
        <v>446</v>
      </c>
      <c r="E4537" s="6" t="s">
        <v>391</v>
      </c>
      <c r="F4537" s="6" t="str">
        <f>IF($M4537="PADD I","PADD 1",IF($M4537="PADD II","PADD 2",IF($M4537="PADD III","PADD 3",IF($M4537="PADD IV","PADD 4",IF($M4537="PADD V","PADD 5","")))))</f>
        <v>PADD 3</v>
      </c>
      <c r="G4537" s="6">
        <f>IF(AND($H4537="ATMOS DISTILLATION",ISNUMBER(SEARCH("VPS",$I4537))=FALSE,LEFT($I4537,6)&lt;&gt;"VACUUM"),"CDU",IF($H4537="FLUID CAT CRACKING","FCC",IF(OR($H4537="HYDROCRACKING",$H4537="RESID_HYDROCRACKING"),"Hydrocracker",IF($H4537="REFORMING","Reformer",""))))</f>
        <v/>
      </c>
      <c r="H4537" s="6" t="s">
        <v>378</v>
      </c>
      <c r="I4537" s="6" t="s">
        <v>1041</v>
      </c>
      <c r="J4537" s="6" t="s">
        <v>345</v>
      </c>
      <c r="K4537" s="10">
        <v>41</v>
      </c>
      <c r="L4537" s="10">
        <v>41</v>
      </c>
      <c r="M4537" s="6" t="s">
        <v>371</v>
      </c>
    </row>
    <row r="4538" spans="1:13">
      <c r="A4538" s="6">
        <v>2024</v>
      </c>
      <c r="B4538" s="6">
        <v>10</v>
      </c>
      <c r="C4538" s="6" t="s">
        <v>68</v>
      </c>
      <c r="D4538" s="6" t="s">
        <v>839</v>
      </c>
      <c r="E4538" s="6" t="s">
        <v>840</v>
      </c>
      <c r="F4538" s="6" t="str">
        <f>IF($M4538="PADD I","PADD 1",IF($M4538="PADD II","PADD 2",IF($M4538="PADD III","PADD 3",IF($M4538="PADD IV","PADD 4",IF($M4538="PADD V","PADD 5","")))))</f>
        <v>PADD 1</v>
      </c>
      <c r="G4538" s="6" t="str">
        <f>IF(AND($H4538="ATMOS DISTILLATION",ISNUMBER(SEARCH("VPS",$I4538))=FALSE,LEFT($I4538,6)&lt;&gt;"VACUUM"),"CDU",IF($H4538="FLUID CAT CRACKING","FCC",IF(OR($H4538="HYDROCRACKING",$H4538="RESID_HYDROCRACKING"),"Hydrocracker",IF($H4538="REFORMING","Reformer",""))))</f>
        <v>CDU</v>
      </c>
      <c r="H4538" s="6" t="s">
        <v>38</v>
      </c>
      <c r="I4538" s="6" t="s">
        <v>133</v>
      </c>
      <c r="J4538" s="6" t="s">
        <v>345</v>
      </c>
      <c r="K4538" s="10">
        <v>40.6</v>
      </c>
      <c r="L4538" s="10">
        <v>70</v>
      </c>
      <c r="M4538" s="6" t="s">
        <v>413</v>
      </c>
    </row>
    <row r="4539" spans="1:13">
      <c r="A4539" s="6">
        <v>2024</v>
      </c>
      <c r="B4539" s="6">
        <v>10</v>
      </c>
      <c r="C4539" s="6" t="s">
        <v>68</v>
      </c>
      <c r="D4539" s="6" t="s">
        <v>331</v>
      </c>
      <c r="E4539" s="6" t="s">
        <v>373</v>
      </c>
      <c r="F4539" s="6" t="str">
        <f>IF($M4539="PADD I","PADD 1",IF($M4539="PADD II","PADD 2",IF($M4539="PADD III","PADD 3",IF($M4539="PADD IV","PADD 4",IF($M4539="PADD V","PADD 5","")))))</f>
        <v>PADD 2</v>
      </c>
      <c r="G4539" s="6" t="str">
        <f>IF(AND($H4539="ATMOS DISTILLATION",ISNUMBER(SEARCH("VPS",$I4539))=FALSE,LEFT($I4539,6)&lt;&gt;"VACUUM"),"CDU",IF($H4539="FLUID CAT CRACKING","FCC",IF(OR($H4539="HYDROCRACKING",$H4539="RESID_HYDROCRACKING"),"Hydrocracker",IF($H4539="REFORMING","Reformer",""))))</f>
        <v>FCC</v>
      </c>
      <c r="H4539" s="6" t="s">
        <v>376</v>
      </c>
      <c r="I4539" s="6" t="s">
        <v>105</v>
      </c>
      <c r="J4539" s="6" t="s">
        <v>349</v>
      </c>
      <c r="K4539" s="10">
        <v>40</v>
      </c>
      <c r="L4539" s="10">
        <v>40</v>
      </c>
      <c r="M4539" s="6" t="s">
        <v>375</v>
      </c>
    </row>
    <row r="4540" spans="1:13">
      <c r="A4540" s="6">
        <v>2024</v>
      </c>
      <c r="B4540" s="6">
        <v>10</v>
      </c>
      <c r="C4540" s="6" t="s">
        <v>68</v>
      </c>
      <c r="D4540" s="6" t="s">
        <v>576</v>
      </c>
      <c r="E4540" s="6" t="s">
        <v>369</v>
      </c>
      <c r="F4540" s="6" t="str">
        <f>IF($M4540="PADD I","PADD 1",IF($M4540="PADD II","PADD 2",IF($M4540="PADD III","PADD 3",IF($M4540="PADD IV","PADD 4",IF($M4540="PADD V","PADD 5","")))))</f>
        <v>PADD 3</v>
      </c>
      <c r="G4540" s="6">
        <f>IF(AND($H4540="ATMOS DISTILLATION",ISNUMBER(SEARCH("VPS",$I4540))=FALSE,LEFT($I4540,6)&lt;&gt;"VACUUM"),"CDU",IF($H4540="FLUID CAT CRACKING","FCC",IF(OR($H4540="HYDROCRACKING",$H4540="RESID_HYDROCRACKING"),"Hydrocracker",IF($H4540="REFORMING","Reformer",""))))</f>
        <v/>
      </c>
      <c r="H4540" s="6" t="s">
        <v>43</v>
      </c>
      <c r="I4540" s="6" t="s">
        <v>1234</v>
      </c>
      <c r="J4540" s="6" t="s">
        <v>349</v>
      </c>
      <c r="K4540" s="10">
        <v>40</v>
      </c>
      <c r="L4540" s="10">
        <v>40</v>
      </c>
      <c r="M4540" s="6" t="s">
        <v>371</v>
      </c>
    </row>
    <row r="4541" spans="1:13">
      <c r="A4541" s="6">
        <v>2024</v>
      </c>
      <c r="B4541" s="6">
        <v>10</v>
      </c>
      <c r="C4541" s="6" t="s">
        <v>68</v>
      </c>
      <c r="D4541" s="6" t="s">
        <v>542</v>
      </c>
      <c r="E4541" s="6" t="s">
        <v>543</v>
      </c>
      <c r="F4541" s="6" t="str">
        <f>IF($M4541="PADD I","PADD 1",IF($M4541="PADD II","PADD 2",IF($M4541="PADD III","PADD 3",IF($M4541="PADD IV","PADD 4",IF($M4541="PADD V","PADD 5","")))))</f>
        <v>PADD 2</v>
      </c>
      <c r="G4541" s="6">
        <f>IF(AND($H4541="ATMOS DISTILLATION",ISNUMBER(SEARCH("VPS",$I4541))=FALSE,LEFT($I4541,6)&lt;&gt;"VACUUM"),"CDU",IF($H4541="FLUID CAT CRACKING","FCC",IF(OR($H4541="HYDROCRACKING",$H4541="RESID_HYDROCRACKING"),"Hydrocracker",IF($H4541="REFORMING","Reformer",""))))</f>
        <v/>
      </c>
      <c r="H4541" s="6" t="s">
        <v>43</v>
      </c>
      <c r="I4541" s="6" t="s">
        <v>915</v>
      </c>
      <c r="J4541" s="6" t="s">
        <v>349</v>
      </c>
      <c r="K4541" s="10">
        <v>40</v>
      </c>
      <c r="L4541" s="10">
        <v>40</v>
      </c>
      <c r="M4541" s="6" t="s">
        <v>375</v>
      </c>
    </row>
    <row r="4542" spans="1:13">
      <c r="A4542" s="6">
        <v>2024</v>
      </c>
      <c r="B4542" s="6">
        <v>10</v>
      </c>
      <c r="C4542" s="6" t="s">
        <v>68</v>
      </c>
      <c r="D4542" s="6" t="s">
        <v>675</v>
      </c>
      <c r="E4542" s="6" t="s">
        <v>452</v>
      </c>
      <c r="F4542" s="6" t="str">
        <f>IF($M4542="PADD I","PADD 1",IF($M4542="PADD II","PADD 2",IF($M4542="PADD III","PADD 3",IF($M4542="PADD IV","PADD 4",IF($M4542="PADD V","PADD 5","")))))</f>
        <v>PADD 2</v>
      </c>
      <c r="G4542" s="6" t="str">
        <f>IF(AND($H4542="ATMOS DISTILLATION",ISNUMBER(SEARCH("VPS",$I4542))=FALSE,LEFT($I4542,6)&lt;&gt;"VACUUM"),"CDU",IF($H4542="FLUID CAT CRACKING","FCC",IF(OR($H4542="HYDROCRACKING",$H4542="RESID_HYDROCRACKING"),"Hydrocracker",IF($H4542="REFORMING","Reformer",""))))</f>
        <v>FCC</v>
      </c>
      <c r="H4542" s="6" t="s">
        <v>376</v>
      </c>
      <c r="I4542" s="6" t="s">
        <v>105</v>
      </c>
      <c r="J4542" s="6" t="s">
        <v>349</v>
      </c>
      <c r="K4542" s="10">
        <v>39</v>
      </c>
      <c r="L4542" s="10">
        <v>39</v>
      </c>
      <c r="M4542" s="6" t="s">
        <v>375</v>
      </c>
    </row>
    <row r="4543" spans="1:13">
      <c r="A4543" s="6">
        <v>2024</v>
      </c>
      <c r="B4543" s="6">
        <v>10</v>
      </c>
      <c r="C4543" s="6" t="s">
        <v>68</v>
      </c>
      <c r="D4543" s="6" t="s">
        <v>395</v>
      </c>
      <c r="E4543" s="6" t="s">
        <v>396</v>
      </c>
      <c r="F4543" s="6" t="str">
        <f>IF($M4543="PADD I","PADD 1",IF($M4543="PADD II","PADD 2",IF($M4543="PADD III","PADD 3",IF($M4543="PADD IV","PADD 4",IF($M4543="PADD V","PADD 5","")))))</f>
        <v>PADD 3</v>
      </c>
      <c r="G4543" s="6" t="str">
        <f>IF(AND($H4543="ATMOS DISTILLATION",ISNUMBER(SEARCH("VPS",$I4543))=FALSE,LEFT($I4543,6)&lt;&gt;"VACUUM"),"CDU",IF($H4543="FLUID CAT CRACKING","FCC",IF(OR($H4543="HYDROCRACKING",$H4543="RESID_HYDROCRACKING"),"Hydrocracker",IF($H4543="REFORMING","Reformer",""))))</f>
        <v>Reformer</v>
      </c>
      <c r="H4543" s="6" t="s">
        <v>421</v>
      </c>
      <c r="I4543" s="6" t="s">
        <v>538</v>
      </c>
      <c r="J4543" s="6" t="s">
        <v>349</v>
      </c>
      <c r="K4543" s="10">
        <v>38.556</v>
      </c>
      <c r="L4543" s="10">
        <v>45.9</v>
      </c>
      <c r="M4543" s="6" t="s">
        <v>371</v>
      </c>
    </row>
    <row r="4544" spans="1:13">
      <c r="A4544" s="6">
        <v>2024</v>
      </c>
      <c r="B4544" s="6">
        <v>10</v>
      </c>
      <c r="C4544" s="6" t="s">
        <v>68</v>
      </c>
      <c r="D4544" s="6" t="s">
        <v>1063</v>
      </c>
      <c r="E4544" s="6" t="s">
        <v>388</v>
      </c>
      <c r="F4544" s="6" t="str">
        <f>IF($M4544="PADD I","PADD 1",IF($M4544="PADD II","PADD 2",IF($M4544="PADD III","PADD 3",IF($M4544="PADD IV","PADD 4",IF($M4544="PADD V","PADD 5","")))))</f>
        <v>PADD 2</v>
      </c>
      <c r="G4544" s="6" t="str">
        <f>IF(AND($H4544="ATMOS DISTILLATION",ISNUMBER(SEARCH("VPS",$I4544))=FALSE,LEFT($I4544,6)&lt;&gt;"VACUUM"),"CDU",IF($H4544="FLUID CAT CRACKING","FCC",IF(OR($H4544="HYDROCRACKING",$H4544="RESID_HYDROCRACKING"),"Hydrocracker",IF($H4544="REFORMING","Reformer",""))))</f>
        <v>FCC</v>
      </c>
      <c r="H4544" s="6" t="s">
        <v>376</v>
      </c>
      <c r="I4544" s="6" t="s">
        <v>105</v>
      </c>
      <c r="J4544" s="6" t="s">
        <v>349</v>
      </c>
      <c r="K4544" s="10">
        <v>38.5</v>
      </c>
      <c r="L4544" s="10">
        <v>50</v>
      </c>
      <c r="M4544" s="6" t="s">
        <v>375</v>
      </c>
    </row>
    <row r="4545" spans="1:13">
      <c r="A4545" s="6">
        <v>2024</v>
      </c>
      <c r="B4545" s="6">
        <v>10</v>
      </c>
      <c r="C4545" s="6" t="s">
        <v>68</v>
      </c>
      <c r="D4545" s="6" t="s">
        <v>415</v>
      </c>
      <c r="E4545" s="6" t="s">
        <v>416</v>
      </c>
      <c r="F4545" s="6" t="str">
        <f>IF($M4545="PADD I","PADD 1",IF($M4545="PADD II","PADD 2",IF($M4545="PADD III","PADD 3",IF($M4545="PADD IV","PADD 4",IF($M4545="PADD V","PADD 5","")))))</f>
        <v>PADD 3</v>
      </c>
      <c r="G4545" s="6" t="str">
        <f>IF(AND($H4545="ATMOS DISTILLATION",ISNUMBER(SEARCH("VPS",$I4545))=FALSE,LEFT($I4545,6)&lt;&gt;"VACUUM"),"CDU",IF($H4545="FLUID CAT CRACKING","FCC",IF(OR($H4545="HYDROCRACKING",$H4545="RESID_HYDROCRACKING"),"Hydrocracker",IF($H4545="REFORMING","Reformer",""))))</f>
        <v>Hydrocracker</v>
      </c>
      <c r="H4545" s="6" t="s">
        <v>444</v>
      </c>
      <c r="I4545" s="6" t="s">
        <v>940</v>
      </c>
      <c r="J4545" s="6" t="s">
        <v>349</v>
      </c>
      <c r="K4545" s="10">
        <v>38</v>
      </c>
      <c r="L4545" s="10">
        <v>38</v>
      </c>
      <c r="M4545" s="6" t="s">
        <v>371</v>
      </c>
    </row>
    <row r="4546" spans="1:13">
      <c r="A4546" s="6">
        <v>2024</v>
      </c>
      <c r="B4546" s="6">
        <v>10</v>
      </c>
      <c r="C4546" s="6" t="s">
        <v>68</v>
      </c>
      <c r="D4546" s="6" t="s">
        <v>446</v>
      </c>
      <c r="E4546" s="6" t="s">
        <v>391</v>
      </c>
      <c r="F4546" s="6" t="str">
        <f>IF($M4546="PADD I","PADD 1",IF($M4546="PADD II","PADD 2",IF($M4546="PADD III","PADD 3",IF($M4546="PADD IV","PADD 4",IF($M4546="PADD V","PADD 5","")))))</f>
        <v>PADD 3</v>
      </c>
      <c r="G4546" s="6">
        <f>IF(AND($H4546="ATMOS DISTILLATION",ISNUMBER(SEARCH("VPS",$I4546))=FALSE,LEFT($I4546,6)&lt;&gt;"VACUUM"),"CDU",IF($H4546="FLUID CAT CRACKING","FCC",IF(OR($H4546="HYDROCRACKING",$H4546="RESID_HYDROCRACKING"),"Hydrocracker",IF($H4546="REFORMING","Reformer",""))))</f>
        <v/>
      </c>
      <c r="H4546" s="6" t="s">
        <v>378</v>
      </c>
      <c r="I4546" s="6" t="s">
        <v>1041</v>
      </c>
      <c r="J4546" s="6" t="s">
        <v>349</v>
      </c>
      <c r="K4546" s="10">
        <v>38</v>
      </c>
      <c r="L4546" s="10">
        <v>38</v>
      </c>
      <c r="M4546" s="6" t="s">
        <v>371</v>
      </c>
    </row>
    <row r="4547" spans="1:13">
      <c r="A4547" s="6">
        <v>2024</v>
      </c>
      <c r="B4547" s="6">
        <v>10</v>
      </c>
      <c r="C4547" s="6" t="s">
        <v>68</v>
      </c>
      <c r="D4547" s="6" t="s">
        <v>1141</v>
      </c>
      <c r="E4547" s="6" t="s">
        <v>1079</v>
      </c>
      <c r="F4547" s="6" t="str">
        <f>IF($M4547="PADD I","PADD 1",IF($M4547="PADD II","PADD 2",IF($M4547="PADD III","PADD 3",IF($M4547="PADD IV","PADD 4",IF($M4547="PADD V","PADD 5","")))))</f>
        <v>PADD 3</v>
      </c>
      <c r="G4547" s="6" t="str">
        <f>IF(AND($H4547="ATMOS DISTILLATION",ISNUMBER(SEARCH("VPS",$I4547))=FALSE,LEFT($I4547,6)&lt;&gt;"VACUUM"),"CDU",IF($H4547="FLUID CAT CRACKING","FCC",IF(OR($H4547="HYDROCRACKING",$H4547="RESID_HYDROCRACKING"),"Hydrocracker",IF($H4547="REFORMING","Reformer",""))))</f>
        <v>CDU</v>
      </c>
      <c r="H4547" s="6" t="s">
        <v>38</v>
      </c>
      <c r="I4547" s="6" t="s">
        <v>131</v>
      </c>
      <c r="J4547" s="6" t="s">
        <v>349</v>
      </c>
      <c r="K4547" s="10">
        <v>36</v>
      </c>
      <c r="L4547" s="10">
        <v>40</v>
      </c>
      <c r="M4547" s="6" t="s">
        <v>371</v>
      </c>
    </row>
    <row r="4548" spans="1:13">
      <c r="A4548" s="6">
        <v>2024</v>
      </c>
      <c r="B4548" s="6">
        <v>10</v>
      </c>
      <c r="C4548" s="6" t="s">
        <v>68</v>
      </c>
      <c r="D4548" s="6" t="s">
        <v>319</v>
      </c>
      <c r="E4548" s="6" t="s">
        <v>665</v>
      </c>
      <c r="F4548" s="6" t="str">
        <f>IF($M4548="PADD I","PADD 1",IF($M4548="PADD II","PADD 2",IF($M4548="PADD III","PADD 3",IF($M4548="PADD IV","PADD 4",IF($M4548="PADD V","PADD 5","")))))</f>
        <v>PADD 3</v>
      </c>
      <c r="G4548" s="6" t="str">
        <f>IF(AND($H4548="ATMOS DISTILLATION",ISNUMBER(SEARCH("VPS",$I4548))=FALSE,LEFT($I4548,6)&lt;&gt;"VACUUM"),"CDU",IF($H4548="FLUID CAT CRACKING","FCC",IF(OR($H4548="HYDROCRACKING",$H4548="RESID_HYDROCRACKING"),"Hydrocracker",IF($H4548="REFORMING","Reformer",""))))</f>
        <v>Hydrocracker</v>
      </c>
      <c r="H4548" s="6" t="s">
        <v>444</v>
      </c>
      <c r="I4548" s="6" t="s">
        <v>14</v>
      </c>
      <c r="J4548" s="6" t="s">
        <v>345</v>
      </c>
      <c r="K4548" s="10">
        <v>35.64</v>
      </c>
      <c r="L4548" s="10">
        <v>44</v>
      </c>
      <c r="M4548" s="6" t="s">
        <v>371</v>
      </c>
    </row>
    <row r="4549" spans="1:13">
      <c r="A4549" s="6">
        <v>2024</v>
      </c>
      <c r="B4549" s="6">
        <v>10</v>
      </c>
      <c r="C4549" s="6" t="s">
        <v>68</v>
      </c>
      <c r="D4549" s="6" t="s">
        <v>51</v>
      </c>
      <c r="E4549" s="6" t="s">
        <v>391</v>
      </c>
      <c r="F4549" s="6" t="str">
        <f>IF($M4549="PADD I","PADD 1",IF($M4549="PADD II","PADD 2",IF($M4549="PADD III","PADD 3",IF($M4549="PADD IV","PADD 4",IF($M4549="PADD V","PADD 5","")))))</f>
        <v>PADD 5</v>
      </c>
      <c r="G4549" s="6">
        <f>IF(AND($H4549="ATMOS DISTILLATION",ISNUMBER(SEARCH("VPS",$I4549))=FALSE,LEFT($I4549,6)&lt;&gt;"VACUUM"),"CDU",IF($H4549="FLUID CAT CRACKING","FCC",IF(OR($H4549="HYDROCRACKING",$H4549="RESID_HYDROCRACKING"),"Hydrocracker",IF($H4549="REFORMING","Reformer",""))))</f>
        <v/>
      </c>
      <c r="H4549" s="6" t="s">
        <v>43</v>
      </c>
      <c r="I4549" s="6" t="s">
        <v>1220</v>
      </c>
      <c r="J4549" s="6" t="s">
        <v>349</v>
      </c>
      <c r="K4549" s="10">
        <v>35</v>
      </c>
      <c r="L4549" s="10">
        <v>35</v>
      </c>
      <c r="M4549" s="6" t="s">
        <v>386</v>
      </c>
    </row>
    <row r="4550" spans="1:13">
      <c r="A4550" s="6">
        <v>2024</v>
      </c>
      <c r="B4550" s="6">
        <v>10</v>
      </c>
      <c r="C4550" s="6" t="s">
        <v>68</v>
      </c>
      <c r="D4550" s="6" t="s">
        <v>448</v>
      </c>
      <c r="E4550" s="6" t="s">
        <v>391</v>
      </c>
      <c r="F4550" s="6" t="str">
        <f>IF($M4550="PADD I","PADD 1",IF($M4550="PADD II","PADD 2",IF($M4550="PADD III","PADD 3",IF($M4550="PADD IV","PADD 4",IF($M4550="PADD V","PADD 5","")))))</f>
        <v>PADD 3</v>
      </c>
      <c r="G4550" s="6">
        <f>IF(AND($H4550="ATMOS DISTILLATION",ISNUMBER(SEARCH("VPS",$I4550))=FALSE,LEFT($I4550,6)&lt;&gt;"VACUUM"),"CDU",IF($H4550="FLUID CAT CRACKING","FCC",IF(OR($H4550="HYDROCRACKING",$H4550="RESID_HYDROCRACKING"),"Hydrocracker",IF($H4550="REFORMING","Reformer",""))))</f>
        <v/>
      </c>
      <c r="H4550" s="6" t="s">
        <v>43</v>
      </c>
      <c r="I4550" s="6" t="s">
        <v>449</v>
      </c>
      <c r="J4550" s="6" t="s">
        <v>345</v>
      </c>
      <c r="K4550" s="10">
        <v>35</v>
      </c>
      <c r="L4550" s="10">
        <v>35</v>
      </c>
      <c r="M4550" s="6" t="s">
        <v>371</v>
      </c>
    </row>
    <row r="4551" spans="1:13">
      <c r="A4551" s="6">
        <v>2024</v>
      </c>
      <c r="B4551" s="6">
        <v>10</v>
      </c>
      <c r="C4551" s="6" t="s">
        <v>68</v>
      </c>
      <c r="D4551" s="6" t="s">
        <v>395</v>
      </c>
      <c r="E4551" s="6" t="s">
        <v>396</v>
      </c>
      <c r="F4551" s="6" t="str">
        <f>IF($M4551="PADD I","PADD 1",IF($M4551="PADD II","PADD 2",IF($M4551="PADD III","PADD 3",IF($M4551="PADD IV","PADD 4",IF($M4551="PADD V","PADD 5","")))))</f>
        <v>PADD 3</v>
      </c>
      <c r="G4551" s="6">
        <f>IF(AND($H4551="ATMOS DISTILLATION",ISNUMBER(SEARCH("VPS",$I4551))=FALSE,LEFT($I4551,6)&lt;&gt;"VACUUM"),"CDU",IF($H4551="FLUID CAT CRACKING","FCC",IF(OR($H4551="HYDROCRACKING",$H4551="RESID_HYDROCRACKING"),"Hydrocracker",IF($H4551="REFORMING","Reformer",""))))</f>
        <v/>
      </c>
      <c r="H4551" s="6" t="s">
        <v>43</v>
      </c>
      <c r="I4551" s="6" t="s">
        <v>551</v>
      </c>
      <c r="J4551" s="6" t="s">
        <v>349</v>
      </c>
      <c r="K4551" s="10">
        <v>34.356</v>
      </c>
      <c r="L4551" s="10">
        <v>40.9</v>
      </c>
      <c r="M4551" s="6" t="s">
        <v>371</v>
      </c>
    </row>
    <row r="4552" spans="1:13">
      <c r="A4552" s="6">
        <v>2024</v>
      </c>
      <c r="B4552" s="6">
        <v>10</v>
      </c>
      <c r="C4552" s="6" t="s">
        <v>68</v>
      </c>
      <c r="D4552" s="6" t="s">
        <v>387</v>
      </c>
      <c r="E4552" s="6" t="s">
        <v>388</v>
      </c>
      <c r="F4552" s="6" t="str">
        <f>IF($M4552="PADD I","PADD 1",IF($M4552="PADD II","PADD 2",IF($M4552="PADD III","PADD 3",IF($M4552="PADD IV","PADD 4",IF($M4552="PADD V","PADD 5","")))))</f>
        <v>PADD 3</v>
      </c>
      <c r="G4552" s="6" t="str">
        <f>IF(AND($H4552="ATMOS DISTILLATION",ISNUMBER(SEARCH("VPS",$I4552))=FALSE,LEFT($I4552,6)&lt;&gt;"VACUUM"),"CDU",IF($H4552="FLUID CAT CRACKING","FCC",IF(OR($H4552="HYDROCRACKING",$H4552="RESID_HYDROCRACKING"),"Hydrocracker",IF($H4552="REFORMING","Reformer",""))))</f>
        <v>Reformer</v>
      </c>
      <c r="H4552" s="6" t="s">
        <v>421</v>
      </c>
      <c r="I4552" s="6" t="s">
        <v>583</v>
      </c>
      <c r="J4552" s="6" t="s">
        <v>345</v>
      </c>
      <c r="K4552" s="10">
        <v>34.06</v>
      </c>
      <c r="L4552" s="10">
        <v>65.5</v>
      </c>
      <c r="M4552" s="6" t="s">
        <v>371</v>
      </c>
    </row>
    <row r="4553" spans="1:13">
      <c r="A4553" s="6">
        <v>2024</v>
      </c>
      <c r="B4553" s="6">
        <v>10</v>
      </c>
      <c r="C4553" s="6" t="s">
        <v>68</v>
      </c>
      <c r="D4553" s="6" t="s">
        <v>1063</v>
      </c>
      <c r="E4553" s="6" t="s">
        <v>388</v>
      </c>
      <c r="F4553" s="6" t="str">
        <f>IF($M4553="PADD I","PADD 1",IF($M4553="PADD II","PADD 2",IF($M4553="PADD III","PADD 3",IF($M4553="PADD IV","PADD 4",IF($M4553="PADD V","PADD 5","")))))</f>
        <v>PADD 2</v>
      </c>
      <c r="G4553" s="6">
        <f>IF(AND($H4553="ATMOS DISTILLATION",ISNUMBER(SEARCH("VPS",$I4553))=FALSE,LEFT($I4553,6)&lt;&gt;"VACUUM"),"CDU",IF($H4553="FLUID CAT CRACKING","FCC",IF(OR($H4553="HYDROCRACKING",$H4553="RESID_HYDROCRACKING"),"Hydrocracker",IF($H4553="REFORMING","Reformer",""))))</f>
        <v/>
      </c>
      <c r="H4553" s="6" t="s">
        <v>43</v>
      </c>
      <c r="I4553" s="6" t="s">
        <v>493</v>
      </c>
      <c r="J4553" s="6" t="s">
        <v>345</v>
      </c>
      <c r="K4553" s="10">
        <v>34</v>
      </c>
      <c r="L4553" s="10">
        <v>34</v>
      </c>
      <c r="M4553" s="6" t="s">
        <v>375</v>
      </c>
    </row>
    <row r="4554" spans="1:13">
      <c r="A4554" s="6">
        <v>2024</v>
      </c>
      <c r="B4554" s="6">
        <v>10</v>
      </c>
      <c r="C4554" s="6" t="s">
        <v>68</v>
      </c>
      <c r="D4554" s="6" t="s">
        <v>602</v>
      </c>
      <c r="E4554" s="6" t="s">
        <v>369</v>
      </c>
      <c r="F4554" s="6" t="str">
        <f>IF($M4554="PADD I","PADD 1",IF($M4554="PADD II","PADD 2",IF($M4554="PADD III","PADD 3",IF($M4554="PADD IV","PADD 4",IF($M4554="PADD V","PADD 5","")))))</f>
        <v>PADD 2</v>
      </c>
      <c r="G4554" s="6" t="str">
        <f>IF(AND($H4554="ATMOS DISTILLATION",ISNUMBER(SEARCH("VPS",$I4554))=FALSE,LEFT($I4554,6)&lt;&gt;"VACUUM"),"CDU",IF($H4554="FLUID CAT CRACKING","FCC",IF(OR($H4554="HYDROCRACKING",$H4554="RESID_HYDROCRACKING"),"Hydrocracker",IF($H4554="REFORMING","Reformer",""))))</f>
        <v>CDU</v>
      </c>
      <c r="H4554" s="6" t="s">
        <v>38</v>
      </c>
      <c r="I4554" s="6" t="s">
        <v>129</v>
      </c>
      <c r="J4554" s="6" t="s">
        <v>349</v>
      </c>
      <c r="K4554" s="10">
        <v>33.25</v>
      </c>
      <c r="L4554" s="10">
        <v>95</v>
      </c>
      <c r="M4554" s="6" t="s">
        <v>375</v>
      </c>
    </row>
    <row r="4555" spans="1:13">
      <c r="A4555" s="6">
        <v>2024</v>
      </c>
      <c r="B4555" s="6">
        <v>10</v>
      </c>
      <c r="C4555" s="6" t="s">
        <v>68</v>
      </c>
      <c r="D4555" s="6" t="s">
        <v>788</v>
      </c>
      <c r="E4555" s="6" t="s">
        <v>405</v>
      </c>
      <c r="F4555" s="6" t="str">
        <f>IF($M4555="PADD I","PADD 1",IF($M4555="PADD II","PADD 2",IF($M4555="PADD III","PADD 3",IF($M4555="PADD IV","PADD 4",IF($M4555="PADD V","PADD 5","")))))</f>
        <v>PADD 3</v>
      </c>
      <c r="G4555" s="6" t="str">
        <f>IF(AND($H4555="ATMOS DISTILLATION",ISNUMBER(SEARCH("VPS",$I4555))=FALSE,LEFT($I4555,6)&lt;&gt;"VACUUM"),"CDU",IF($H4555="FLUID CAT CRACKING","FCC",IF(OR($H4555="HYDROCRACKING",$H4555="RESID_HYDROCRACKING"),"Hydrocracker",IF($H4555="REFORMING","Reformer",""))))</f>
        <v>Reformer</v>
      </c>
      <c r="H4555" s="6" t="s">
        <v>421</v>
      </c>
      <c r="I4555" s="6" t="s">
        <v>782</v>
      </c>
      <c r="J4555" s="6" t="s">
        <v>345</v>
      </c>
      <c r="K4555" s="10">
        <v>32</v>
      </c>
      <c r="L4555" s="10">
        <v>32</v>
      </c>
      <c r="M4555" s="6" t="s">
        <v>371</v>
      </c>
    </row>
    <row r="4556" spans="1:13">
      <c r="A4556" s="6">
        <v>2024</v>
      </c>
      <c r="B4556" s="6">
        <v>10</v>
      </c>
      <c r="C4556" s="6" t="s">
        <v>68</v>
      </c>
      <c r="D4556" s="6" t="s">
        <v>446</v>
      </c>
      <c r="E4556" s="6" t="s">
        <v>391</v>
      </c>
      <c r="F4556" s="6" t="str">
        <f>IF($M4556="PADD I","PADD 1",IF($M4556="PADD II","PADD 2",IF($M4556="PADD III","PADD 3",IF($M4556="PADD IV","PADD 4",IF($M4556="PADD V","PADD 5","")))))</f>
        <v>PADD 3</v>
      </c>
      <c r="G4556" s="6">
        <f>IF(AND($H4556="ATMOS DISTILLATION",ISNUMBER(SEARCH("VPS",$I4556))=FALSE,LEFT($I4556,6)&lt;&gt;"VACUUM"),"CDU",IF($H4556="FLUID CAT CRACKING","FCC",IF(OR($H4556="HYDROCRACKING",$H4556="RESID_HYDROCRACKING"),"Hydrocracker",IF($H4556="REFORMING","Reformer",""))))</f>
        <v/>
      </c>
      <c r="H4556" s="6" t="s">
        <v>43</v>
      </c>
      <c r="I4556" s="6" t="s">
        <v>447</v>
      </c>
      <c r="J4556" s="6" t="s">
        <v>349</v>
      </c>
      <c r="K4556" s="10">
        <v>31.5</v>
      </c>
      <c r="L4556" s="10">
        <v>35</v>
      </c>
      <c r="M4556" s="6" t="s">
        <v>371</v>
      </c>
    </row>
    <row r="4557" spans="1:13">
      <c r="A4557" s="6">
        <v>2024</v>
      </c>
      <c r="B4557" s="6">
        <v>10</v>
      </c>
      <c r="C4557" s="6" t="s">
        <v>68</v>
      </c>
      <c r="D4557" s="6" t="s">
        <v>51</v>
      </c>
      <c r="E4557" s="6" t="s">
        <v>391</v>
      </c>
      <c r="F4557" s="6" t="str">
        <f>IF($M4557="PADD I","PADD 1",IF($M4557="PADD II","PADD 2",IF($M4557="PADD III","PADD 3",IF($M4557="PADD IV","PADD 4",IF($M4557="PADD V","PADD 5","")))))</f>
        <v>PADD 5</v>
      </c>
      <c r="G4557" s="6">
        <f>IF(AND($H4557="ATMOS DISTILLATION",ISNUMBER(SEARCH("VPS",$I4557))=FALSE,LEFT($I4557,6)&lt;&gt;"VACUUM"),"CDU",IF($H4557="FLUID CAT CRACKING","FCC",IF(OR($H4557="HYDROCRACKING",$H4557="RESID_HYDROCRACKING"),"Hydrocracker",IF($H4557="REFORMING","Reformer",""))))</f>
        <v/>
      </c>
      <c r="H4557" s="6" t="s">
        <v>43</v>
      </c>
      <c r="I4557" s="6" t="s">
        <v>859</v>
      </c>
      <c r="J4557" s="6" t="s">
        <v>345</v>
      </c>
      <c r="K4557" s="10">
        <v>30.45</v>
      </c>
      <c r="L4557" s="10">
        <v>35</v>
      </c>
      <c r="M4557" s="6" t="s">
        <v>386</v>
      </c>
    </row>
    <row r="4558" spans="1:13">
      <c r="A4558" s="6">
        <v>2024</v>
      </c>
      <c r="B4558" s="6">
        <v>10</v>
      </c>
      <c r="C4558" s="6" t="s">
        <v>68</v>
      </c>
      <c r="D4558" s="6" t="s">
        <v>1139</v>
      </c>
      <c r="E4558" s="6" t="s">
        <v>452</v>
      </c>
      <c r="F4558" s="6" t="str">
        <f>IF($M4558="PADD I","PADD 1",IF($M4558="PADD II","PADD 2",IF($M4558="PADD III","PADD 3",IF($M4558="PADD IV","PADD 4",IF($M4558="PADD V","PADD 5","")))))</f>
        <v>PADD 5</v>
      </c>
      <c r="G4558" s="6">
        <f>IF(AND($H4558="ATMOS DISTILLATION",ISNUMBER(SEARCH("VPS",$I4558))=FALSE,LEFT($I4558,6)&lt;&gt;"VACUUM"),"CDU",IF($H4558="FLUID CAT CRACKING","FCC",IF(OR($H4558="HYDROCRACKING",$H4558="RESID_HYDROCRACKING"),"Hydrocracker",IF($H4558="REFORMING","Reformer",""))))</f>
        <v/>
      </c>
      <c r="H4558" s="6" t="s">
        <v>43</v>
      </c>
      <c r="I4558" s="6" t="s">
        <v>930</v>
      </c>
      <c r="J4558" s="6" t="s">
        <v>345</v>
      </c>
      <c r="K4558" s="10">
        <v>30.195</v>
      </c>
      <c r="L4558" s="10">
        <v>49.5</v>
      </c>
      <c r="M4558" s="6" t="s">
        <v>386</v>
      </c>
    </row>
    <row r="4559" spans="1:13">
      <c r="A4559" s="6">
        <v>2024</v>
      </c>
      <c r="B4559" s="6">
        <v>10</v>
      </c>
      <c r="C4559" s="6" t="s">
        <v>68</v>
      </c>
      <c r="D4559" s="6" t="s">
        <v>329</v>
      </c>
      <c r="E4559" s="6" t="s">
        <v>427</v>
      </c>
      <c r="F4559" s="6" t="str">
        <f>IF($M4559="PADD I","PADD 1",IF($M4559="PADD II","PADD 2",IF($M4559="PADD III","PADD 3",IF($M4559="PADD IV","PADD 4",IF($M4559="PADD V","PADD 5","")))))</f>
        <v>PADD 3</v>
      </c>
      <c r="G4559" s="6">
        <f>IF(AND($H4559="ATMOS DISTILLATION",ISNUMBER(SEARCH("VPS",$I4559))=FALSE,LEFT($I4559,6)&lt;&gt;"VACUUM"),"CDU",IF($H4559="FLUID CAT CRACKING","FCC",IF(OR($H4559="HYDROCRACKING",$H4559="RESID_HYDROCRACKING"),"Hydrocracker",IF($H4559="REFORMING","Reformer",""))))</f>
        <v/>
      </c>
      <c r="H4559" s="6" t="s">
        <v>43</v>
      </c>
      <c r="I4559" s="6" t="s">
        <v>1242</v>
      </c>
      <c r="J4559" s="6" t="s">
        <v>349</v>
      </c>
      <c r="K4559" s="10">
        <v>30</v>
      </c>
      <c r="L4559" s="10">
        <v>30</v>
      </c>
      <c r="M4559" s="6" t="s">
        <v>371</v>
      </c>
    </row>
    <row r="4560" spans="1:13">
      <c r="A4560" s="6">
        <v>2024</v>
      </c>
      <c r="B4560" s="6">
        <v>10</v>
      </c>
      <c r="C4560" s="6" t="s">
        <v>68</v>
      </c>
      <c r="D4560" s="6" t="s">
        <v>526</v>
      </c>
      <c r="E4560" s="6" t="s">
        <v>405</v>
      </c>
      <c r="F4560" s="6" t="str">
        <f>IF($M4560="PADD I","PADD 1",IF($M4560="PADD II","PADD 2",IF($M4560="PADD III","PADD 3",IF($M4560="PADD IV","PADD 4",IF($M4560="PADD V","PADD 5","")))))</f>
        <v>PADD 3</v>
      </c>
      <c r="G4560" s="6">
        <f>IF(AND($H4560="ATMOS DISTILLATION",ISNUMBER(SEARCH("VPS",$I4560))=FALSE,LEFT($I4560,6)&lt;&gt;"VACUUM"),"CDU",IF($H4560="FLUID CAT CRACKING","FCC",IF(OR($H4560="HYDROCRACKING",$H4560="RESID_HYDROCRACKING"),"Hydrocracker",IF($H4560="REFORMING","Reformer",""))))</f>
        <v/>
      </c>
      <c r="H4560" s="6" t="s">
        <v>435</v>
      </c>
      <c r="I4560" s="6" t="s">
        <v>954</v>
      </c>
      <c r="J4560" s="6" t="s">
        <v>345</v>
      </c>
      <c r="K4560" s="10">
        <v>30</v>
      </c>
      <c r="L4560" s="10">
        <v>30</v>
      </c>
      <c r="M4560" s="6" t="s">
        <v>371</v>
      </c>
    </row>
    <row r="4561" spans="1:13">
      <c r="A4561" s="6">
        <v>2024</v>
      </c>
      <c r="B4561" s="6">
        <v>10</v>
      </c>
      <c r="C4561" s="6" t="s">
        <v>68</v>
      </c>
      <c r="D4561" s="6" t="s">
        <v>1063</v>
      </c>
      <c r="E4561" s="6" t="s">
        <v>388</v>
      </c>
      <c r="F4561" s="6" t="str">
        <f>IF($M4561="PADD I","PADD 1",IF($M4561="PADD II","PADD 2",IF($M4561="PADD III","PADD 3",IF($M4561="PADD IV","PADD 4",IF($M4561="PADD V","PADD 5","")))))</f>
        <v>PADD 2</v>
      </c>
      <c r="G4561" s="6">
        <f>IF(AND($H4561="ATMOS DISTILLATION",ISNUMBER(SEARCH("VPS",$I4561))=FALSE,LEFT($I4561,6)&lt;&gt;"VACUUM"),"CDU",IF($H4561="FLUID CAT CRACKING","FCC",IF(OR($H4561="HYDROCRACKING",$H4561="RESID_HYDROCRACKING"),"Hydrocracker",IF($H4561="REFORMING","Reformer",""))))</f>
        <v/>
      </c>
      <c r="H4561" s="6" t="s">
        <v>378</v>
      </c>
      <c r="I4561" s="6" t="s">
        <v>431</v>
      </c>
      <c r="J4561" s="6" t="s">
        <v>349</v>
      </c>
      <c r="K4561" s="10">
        <v>29.26</v>
      </c>
      <c r="L4561" s="10">
        <v>38</v>
      </c>
      <c r="M4561" s="6" t="s">
        <v>375</v>
      </c>
    </row>
    <row r="4562" spans="1:13">
      <c r="A4562" s="6">
        <v>2024</v>
      </c>
      <c r="B4562" s="6">
        <v>10</v>
      </c>
      <c r="C4562" s="6" t="s">
        <v>68</v>
      </c>
      <c r="D4562" s="6" t="s">
        <v>446</v>
      </c>
      <c r="E4562" s="6" t="s">
        <v>391</v>
      </c>
      <c r="F4562" s="6" t="str">
        <f>IF($M4562="PADD I","PADD 1",IF($M4562="PADD II","PADD 2",IF($M4562="PADD III","PADD 3",IF($M4562="PADD IV","PADD 4",IF($M4562="PADD V","PADD 5","")))))</f>
        <v>PADD 3</v>
      </c>
      <c r="G4562" s="6">
        <f>IF(AND($H4562="ATMOS DISTILLATION",ISNUMBER(SEARCH("VPS",$I4562))=FALSE,LEFT($I4562,6)&lt;&gt;"VACUUM"),"CDU",IF($H4562="FLUID CAT CRACKING","FCC",IF(OR($H4562="HYDROCRACKING",$H4562="RESID_HYDROCRACKING"),"Hydrocracker",IF($H4562="REFORMING","Reformer",""))))</f>
        <v/>
      </c>
      <c r="H4562" s="6" t="s">
        <v>43</v>
      </c>
      <c r="I4562" s="6" t="s">
        <v>1143</v>
      </c>
      <c r="J4562" s="6" t="s">
        <v>349</v>
      </c>
      <c r="K4562" s="10">
        <v>28.8</v>
      </c>
      <c r="L4562" s="10">
        <v>32</v>
      </c>
      <c r="M4562" s="6" t="s">
        <v>371</v>
      </c>
    </row>
    <row r="4563" spans="1:13">
      <c r="A4563" s="6">
        <v>2024</v>
      </c>
      <c r="B4563" s="6">
        <v>10</v>
      </c>
      <c r="C4563" s="6" t="s">
        <v>68</v>
      </c>
      <c r="D4563" s="6" t="s">
        <v>324</v>
      </c>
      <c r="E4563" s="6" t="s">
        <v>388</v>
      </c>
      <c r="F4563" s="6" t="str">
        <f>IF($M4563="PADD I","PADD 1",IF($M4563="PADD II","PADD 2",IF($M4563="PADD III","PADD 3",IF($M4563="PADD IV","PADD 4",IF($M4563="PADD V","PADD 5","")))))</f>
        <v>PADD 3</v>
      </c>
      <c r="G4563" s="6" t="str">
        <f>IF(AND($H4563="ATMOS DISTILLATION",ISNUMBER(SEARCH("VPS",$I4563))=FALSE,LEFT($I4563,6)&lt;&gt;"VACUUM"),"CDU",IF($H4563="FLUID CAT CRACKING","FCC",IF(OR($H4563="HYDROCRACKING",$H4563="RESID_HYDROCRACKING"),"Hydrocracker",IF($H4563="REFORMING","Reformer",""))))</f>
        <v>CDU</v>
      </c>
      <c r="H4563" s="6" t="s">
        <v>38</v>
      </c>
      <c r="I4563" s="6" t="s">
        <v>96</v>
      </c>
      <c r="J4563" s="6" t="s">
        <v>349</v>
      </c>
      <c r="K4563" s="10">
        <v>27.55</v>
      </c>
      <c r="L4563" s="10">
        <v>145</v>
      </c>
      <c r="M4563" s="6" t="s">
        <v>371</v>
      </c>
    </row>
    <row r="4564" spans="1:13">
      <c r="A4564" s="6">
        <v>2024</v>
      </c>
      <c r="B4564" s="6">
        <v>10</v>
      </c>
      <c r="C4564" s="6" t="s">
        <v>68</v>
      </c>
      <c r="D4564" s="6" t="s">
        <v>1063</v>
      </c>
      <c r="E4564" s="6" t="s">
        <v>388</v>
      </c>
      <c r="F4564" s="6" t="str">
        <f>IF($M4564="PADD I","PADD 1",IF($M4564="PADD II","PADD 2",IF($M4564="PADD III","PADD 3",IF($M4564="PADD IV","PADD 4",IF($M4564="PADD V","PADD 5","")))))</f>
        <v>PADD 2</v>
      </c>
      <c r="G4564" s="6">
        <f>IF(AND($H4564="ATMOS DISTILLATION",ISNUMBER(SEARCH("VPS",$I4564))=FALSE,LEFT($I4564,6)&lt;&gt;"VACUUM"),"CDU",IF($H4564="FLUID CAT CRACKING","FCC",IF(OR($H4564="HYDROCRACKING",$H4564="RESID_HYDROCRACKING"),"Hydrocracker",IF($H4564="REFORMING","Reformer",""))))</f>
        <v/>
      </c>
      <c r="H4564" s="6" t="s">
        <v>43</v>
      </c>
      <c r="I4564" s="6" t="s">
        <v>449</v>
      </c>
      <c r="J4564" s="6" t="s">
        <v>349</v>
      </c>
      <c r="K4564" s="10">
        <v>25.41</v>
      </c>
      <c r="L4564" s="10">
        <v>33</v>
      </c>
      <c r="M4564" s="6" t="s">
        <v>375</v>
      </c>
    </row>
    <row r="4565" spans="1:13">
      <c r="A4565" s="6">
        <v>2024</v>
      </c>
      <c r="B4565" s="6">
        <v>10</v>
      </c>
      <c r="C4565" s="6" t="s">
        <v>68</v>
      </c>
      <c r="D4565" s="6" t="s">
        <v>395</v>
      </c>
      <c r="E4565" s="6" t="s">
        <v>396</v>
      </c>
      <c r="F4565" s="6" t="str">
        <f>IF($M4565="PADD I","PADD 1",IF($M4565="PADD II","PADD 2",IF($M4565="PADD III","PADD 3",IF($M4565="PADD IV","PADD 4",IF($M4565="PADD V","PADD 5","")))))</f>
        <v>PADD 3</v>
      </c>
      <c r="G4565" s="6" t="str">
        <f>IF(AND($H4565="ATMOS DISTILLATION",ISNUMBER(SEARCH("VPS",$I4565))=FALSE,LEFT($I4565,6)&lt;&gt;"VACUUM"),"CDU",IF($H4565="FLUID CAT CRACKING","FCC",IF(OR($H4565="HYDROCRACKING",$H4565="RESID_HYDROCRACKING"),"Hydrocracker",IF($H4565="REFORMING","Reformer",""))))</f>
        <v>Reformer</v>
      </c>
      <c r="H4565" s="6" t="s">
        <v>421</v>
      </c>
      <c r="I4565" s="6" t="s">
        <v>540</v>
      </c>
      <c r="J4565" s="6" t="s">
        <v>345</v>
      </c>
      <c r="K4565" s="10">
        <v>25.2</v>
      </c>
      <c r="L4565" s="10">
        <v>30</v>
      </c>
      <c r="M4565" s="6" t="s">
        <v>371</v>
      </c>
    </row>
    <row r="4566" spans="1:13">
      <c r="A4566" s="6">
        <v>2024</v>
      </c>
      <c r="B4566" s="6">
        <v>10</v>
      </c>
      <c r="C4566" s="6" t="s">
        <v>68</v>
      </c>
      <c r="D4566" s="6" t="s">
        <v>1063</v>
      </c>
      <c r="E4566" s="6" t="s">
        <v>388</v>
      </c>
      <c r="F4566" s="6" t="str">
        <f>IF($M4566="PADD I","PADD 1",IF($M4566="PADD II","PADD 2",IF($M4566="PADD III","PADD 3",IF($M4566="PADD IV","PADD 4",IF($M4566="PADD V","PADD 5","")))))</f>
        <v>PADD 2</v>
      </c>
      <c r="G4566" s="6">
        <f>IF(AND($H4566="ATMOS DISTILLATION",ISNUMBER(SEARCH("VPS",$I4566))=FALSE,LEFT($I4566,6)&lt;&gt;"VACUUM"),"CDU",IF($H4566="FLUID CAT CRACKING","FCC",IF(OR($H4566="HYDROCRACKING",$H4566="RESID_HYDROCRACKING"),"Hydrocracker",IF($H4566="REFORMING","Reformer",""))))</f>
        <v/>
      </c>
      <c r="H4566" s="6" t="s">
        <v>43</v>
      </c>
      <c r="I4566" s="6" t="s">
        <v>1068</v>
      </c>
      <c r="J4566" s="6" t="s">
        <v>349</v>
      </c>
      <c r="K4566" s="10">
        <v>23.87</v>
      </c>
      <c r="L4566" s="10">
        <v>31</v>
      </c>
      <c r="M4566" s="6" t="s">
        <v>375</v>
      </c>
    </row>
    <row r="4567" spans="1:13">
      <c r="A4567" s="6">
        <v>2024</v>
      </c>
      <c r="B4567" s="6">
        <v>10</v>
      </c>
      <c r="C4567" s="6" t="s">
        <v>68</v>
      </c>
      <c r="D4567" s="6" t="s">
        <v>331</v>
      </c>
      <c r="E4567" s="6" t="s">
        <v>373</v>
      </c>
      <c r="F4567" s="6" t="str">
        <f>IF($M4567="PADD I","PADD 1",IF($M4567="PADD II","PADD 2",IF($M4567="PADD III","PADD 3",IF($M4567="PADD IV","PADD 4",IF($M4567="PADD V","PADD 5","")))))</f>
        <v>PADD 2</v>
      </c>
      <c r="G4567" s="6">
        <f>IF(AND($H4567="ATMOS DISTILLATION",ISNUMBER(SEARCH("VPS",$I4567))=FALSE,LEFT($I4567,6)&lt;&gt;"VACUUM"),"CDU",IF($H4567="FLUID CAT CRACKING","FCC",IF(OR($H4567="HYDROCRACKING",$H4567="RESID_HYDROCRACKING"),"Hydrocracker",IF($H4567="REFORMING","Reformer",""))))</f>
        <v/>
      </c>
      <c r="H4567" s="6" t="s">
        <v>435</v>
      </c>
      <c r="I4567" s="6" t="s">
        <v>441</v>
      </c>
      <c r="J4567" s="6" t="s">
        <v>345</v>
      </c>
      <c r="K4567" s="10">
        <v>23</v>
      </c>
      <c r="L4567" s="10">
        <v>23</v>
      </c>
      <c r="M4567" s="6" t="s">
        <v>375</v>
      </c>
    </row>
    <row r="4568" spans="1:13">
      <c r="A4568" s="6">
        <v>2024</v>
      </c>
      <c r="B4568" s="6">
        <v>10</v>
      </c>
      <c r="C4568" s="6" t="s">
        <v>68</v>
      </c>
      <c r="D4568" s="6" t="s">
        <v>408</v>
      </c>
      <c r="E4568" s="6" t="s">
        <v>409</v>
      </c>
      <c r="F4568" s="6" t="str">
        <f>IF($M4568="PADD I","PADD 1",IF($M4568="PADD II","PADD 2",IF($M4568="PADD III","PADD 3",IF($M4568="PADD IV","PADD 4",IF($M4568="PADD V","PADD 5","")))))</f>
        <v>PADD 3</v>
      </c>
      <c r="G4568" s="6">
        <f>IF(AND($H4568="ATMOS DISTILLATION",ISNUMBER(SEARCH("VPS",$I4568))=FALSE,LEFT($I4568,6)&lt;&gt;"VACUUM"),"CDU",IF($H4568="FLUID CAT CRACKING","FCC",IF(OR($H4568="HYDROCRACKING",$H4568="RESID_HYDROCRACKING"),"Hydrocracker",IF($H4568="REFORMING","Reformer",""))))</f>
        <v/>
      </c>
      <c r="H4568" s="6" t="s">
        <v>378</v>
      </c>
      <c r="I4568" s="6" t="s">
        <v>506</v>
      </c>
      <c r="J4568" s="6" t="s">
        <v>345</v>
      </c>
      <c r="K4568" s="10">
        <v>22.95</v>
      </c>
      <c r="L4568" s="10">
        <v>51</v>
      </c>
      <c r="M4568" s="6" t="s">
        <v>371</v>
      </c>
    </row>
    <row r="4569" spans="1:13">
      <c r="A4569" s="6">
        <v>2024</v>
      </c>
      <c r="B4569" s="6">
        <v>10</v>
      </c>
      <c r="C4569" s="6" t="s">
        <v>68</v>
      </c>
      <c r="D4569" s="6" t="s">
        <v>602</v>
      </c>
      <c r="E4569" s="6" t="s">
        <v>369</v>
      </c>
      <c r="F4569" s="6" t="str">
        <f>IF($M4569="PADD I","PADD 1",IF($M4569="PADD II","PADD 2",IF($M4569="PADD III","PADD 3",IF($M4569="PADD IV","PADD 4",IF($M4569="PADD V","PADD 5","")))))</f>
        <v>PADD 2</v>
      </c>
      <c r="G4569" s="6" t="str">
        <f>IF(AND($H4569="ATMOS DISTILLATION",ISNUMBER(SEARCH("VPS",$I4569))=FALSE,LEFT($I4569,6)&lt;&gt;"VACUUM"),"CDU",IF($H4569="FLUID CAT CRACKING","FCC",IF(OR($H4569="HYDROCRACKING",$H4569="RESID_HYDROCRACKING"),"Hydrocracker",IF($H4569="REFORMING","Reformer",""))))</f>
        <v>Reformer</v>
      </c>
      <c r="H4569" s="6" t="s">
        <v>421</v>
      </c>
      <c r="I4569" s="6" t="s">
        <v>697</v>
      </c>
      <c r="J4569" s="6" t="s">
        <v>345</v>
      </c>
      <c r="K4569" s="10">
        <v>22.68</v>
      </c>
      <c r="L4569" s="10">
        <v>27</v>
      </c>
      <c r="M4569" s="6" t="s">
        <v>375</v>
      </c>
    </row>
    <row r="4570" spans="1:13">
      <c r="A4570" s="6">
        <v>2024</v>
      </c>
      <c r="B4570" s="6">
        <v>10</v>
      </c>
      <c r="C4570" s="6" t="s">
        <v>68</v>
      </c>
      <c r="D4570" s="6" t="s">
        <v>446</v>
      </c>
      <c r="E4570" s="6" t="s">
        <v>391</v>
      </c>
      <c r="F4570" s="6" t="str">
        <f>IF($M4570="PADD I","PADD 1",IF($M4570="PADD II","PADD 2",IF($M4570="PADD III","PADD 3",IF($M4570="PADD IV","PADD 4",IF($M4570="PADD V","PADD 5","")))))</f>
        <v>PADD 3</v>
      </c>
      <c r="G4570" s="6" t="str">
        <f>IF(AND($H4570="ATMOS DISTILLATION",ISNUMBER(SEARCH("VPS",$I4570))=FALSE,LEFT($I4570,6)&lt;&gt;"VACUUM"),"CDU",IF($H4570="FLUID CAT CRACKING","FCC",IF(OR($H4570="HYDROCRACKING",$H4570="RESID_HYDROCRACKING"),"Hydrocracker",IF($H4570="REFORMING","Reformer",""))))</f>
        <v>Reformer</v>
      </c>
      <c r="H4570" s="6" t="s">
        <v>421</v>
      </c>
      <c r="I4570" s="6" t="s">
        <v>483</v>
      </c>
      <c r="J4570" s="6" t="s">
        <v>349</v>
      </c>
      <c r="K4570" s="10">
        <v>22.56</v>
      </c>
      <c r="L4570" s="10">
        <v>24</v>
      </c>
      <c r="M4570" s="6" t="s">
        <v>371</v>
      </c>
    </row>
    <row r="4571" spans="1:13">
      <c r="A4571" s="6">
        <v>2024</v>
      </c>
      <c r="B4571" s="6">
        <v>10</v>
      </c>
      <c r="C4571" s="6" t="s">
        <v>68</v>
      </c>
      <c r="D4571" s="6" t="s">
        <v>1141</v>
      </c>
      <c r="E4571" s="6" t="s">
        <v>1079</v>
      </c>
      <c r="F4571" s="6" t="str">
        <f>IF($M4571="PADD I","PADD 1",IF($M4571="PADD II","PADD 2",IF($M4571="PADD III","PADD 3",IF($M4571="PADD IV","PADD 4",IF($M4571="PADD V","PADD 5","")))))</f>
        <v>PADD 3</v>
      </c>
      <c r="G4571" s="6">
        <f>IF(AND($H4571="ATMOS DISTILLATION",ISNUMBER(SEARCH("VPS",$I4571))=FALSE,LEFT($I4571,6)&lt;&gt;"VACUUM"),"CDU",IF($H4571="FLUID CAT CRACKING","FCC",IF(OR($H4571="HYDROCRACKING",$H4571="RESID_HYDROCRACKING"),"Hydrocracker",IF($H4571="REFORMING","Reformer",""))))</f>
        <v/>
      </c>
      <c r="H4571" s="6" t="s">
        <v>43</v>
      </c>
      <c r="I4571" s="6" t="s">
        <v>927</v>
      </c>
      <c r="J4571" s="6" t="s">
        <v>349</v>
      </c>
      <c r="K4571" s="10">
        <v>22.5</v>
      </c>
      <c r="L4571" s="10">
        <v>25</v>
      </c>
      <c r="M4571" s="6" t="s">
        <v>371</v>
      </c>
    </row>
    <row r="4572" spans="1:13">
      <c r="A4572" s="6">
        <v>2024</v>
      </c>
      <c r="B4572" s="6">
        <v>10</v>
      </c>
      <c r="C4572" s="6" t="s">
        <v>68</v>
      </c>
      <c r="D4572" s="6" t="s">
        <v>563</v>
      </c>
      <c r="E4572" s="6" t="s">
        <v>396</v>
      </c>
      <c r="F4572" s="6" t="str">
        <f>IF($M4572="PADD I","PADD 1",IF($M4572="PADD II","PADD 2",IF($M4572="PADD III","PADD 3",IF($M4572="PADD IV","PADD 4",IF($M4572="PADD V","PADD 5","")))))</f>
        <v>PADD 3</v>
      </c>
      <c r="G4572" s="6">
        <f>IF(AND($H4572="ATMOS DISTILLATION",ISNUMBER(SEARCH("VPS",$I4572))=FALSE,LEFT($I4572,6)&lt;&gt;"VACUUM"),"CDU",IF($H4572="FLUID CAT CRACKING","FCC",IF(OR($H4572="HYDROCRACKING",$H4572="RESID_HYDROCRACKING"),"Hydrocracker",IF($H4572="REFORMING","Reformer",""))))</f>
        <v/>
      </c>
      <c r="H4572" s="6" t="s">
        <v>43</v>
      </c>
      <c r="I4572" s="6" t="s">
        <v>564</v>
      </c>
      <c r="J4572" s="6" t="s">
        <v>345</v>
      </c>
      <c r="K4572" s="10">
        <v>22.495</v>
      </c>
      <c r="L4572" s="10">
        <v>40.9</v>
      </c>
      <c r="M4572" s="6" t="s">
        <v>371</v>
      </c>
    </row>
    <row r="4573" spans="1:13">
      <c r="A4573" s="6">
        <v>2024</v>
      </c>
      <c r="B4573" s="6">
        <v>10</v>
      </c>
      <c r="C4573" s="6" t="s">
        <v>68</v>
      </c>
      <c r="D4573" s="6" t="s">
        <v>40</v>
      </c>
      <c r="E4573" s="6" t="s">
        <v>736</v>
      </c>
      <c r="F4573" s="6" t="str">
        <f>IF($M4573="PADD I","PADD 1",IF($M4573="PADD II","PADD 2",IF($M4573="PADD III","PADD 3",IF($M4573="PADD IV","PADD 4",IF($M4573="PADD V","PADD 5","")))))</f>
        <v>PADD 1</v>
      </c>
      <c r="G4573" s="6" t="str">
        <f>IF(AND($H4573="ATMOS DISTILLATION",ISNUMBER(SEARCH("VPS",$I4573))=FALSE,LEFT($I4573,6)&lt;&gt;"VACUUM"),"CDU",IF($H4573="FLUID CAT CRACKING","FCC",IF(OR($H4573="HYDROCRACKING",$H4573="RESID_HYDROCRACKING"),"Hydrocracker",IF($H4573="REFORMING","Reformer",""))))</f>
        <v>FCC</v>
      </c>
      <c r="H4573" s="6" t="s">
        <v>376</v>
      </c>
      <c r="I4573" s="6" t="s">
        <v>737</v>
      </c>
      <c r="J4573" s="6" t="s">
        <v>349</v>
      </c>
      <c r="K4573" s="10">
        <v>22.26</v>
      </c>
      <c r="L4573" s="10">
        <v>53</v>
      </c>
      <c r="M4573" s="6" t="s">
        <v>413</v>
      </c>
    </row>
    <row r="4574" spans="1:13">
      <c r="A4574" s="6">
        <v>2024</v>
      </c>
      <c r="B4574" s="6">
        <v>10</v>
      </c>
      <c r="C4574" s="6" t="s">
        <v>68</v>
      </c>
      <c r="D4574" s="6" t="s">
        <v>675</v>
      </c>
      <c r="E4574" s="6" t="s">
        <v>452</v>
      </c>
      <c r="F4574" s="6" t="str">
        <f>IF($M4574="PADD I","PADD 1",IF($M4574="PADD II","PADD 2",IF($M4574="PADD III","PADD 3",IF($M4574="PADD IV","PADD 4",IF($M4574="PADD V","PADD 5","")))))</f>
        <v>PADD 2</v>
      </c>
      <c r="G4574" s="6" t="str">
        <f>IF(AND($H4574="ATMOS DISTILLATION",ISNUMBER(SEARCH("VPS",$I4574))=FALSE,LEFT($I4574,6)&lt;&gt;"VACUUM"),"CDU",IF($H4574="FLUID CAT CRACKING","FCC",IF(OR($H4574="HYDROCRACKING",$H4574="RESID_HYDROCRACKING"),"Hydrocracker",IF($H4574="REFORMING","Reformer",""))))</f>
        <v>Reformer</v>
      </c>
      <c r="H4574" s="6" t="s">
        <v>421</v>
      </c>
      <c r="I4574" s="6" t="s">
        <v>698</v>
      </c>
      <c r="J4574" s="6" t="s">
        <v>349</v>
      </c>
      <c r="K4574" s="10">
        <v>22</v>
      </c>
      <c r="L4574" s="10">
        <v>22</v>
      </c>
      <c r="M4574" s="6" t="s">
        <v>375</v>
      </c>
    </row>
    <row r="4575" spans="1:13">
      <c r="A4575" s="6">
        <v>2024</v>
      </c>
      <c r="B4575" s="6">
        <v>10</v>
      </c>
      <c r="C4575" s="6" t="s">
        <v>68</v>
      </c>
      <c r="D4575" s="6" t="s">
        <v>675</v>
      </c>
      <c r="E4575" s="6" t="s">
        <v>452</v>
      </c>
      <c r="F4575" s="6" t="str">
        <f>IF($M4575="PADD I","PADD 1",IF($M4575="PADD II","PADD 2",IF($M4575="PADD III","PADD 3",IF($M4575="PADD IV","PADD 4",IF($M4575="PADD V","PADD 5","")))))</f>
        <v>PADD 2</v>
      </c>
      <c r="G4575" s="6" t="str">
        <f>IF(AND($H4575="ATMOS DISTILLATION",ISNUMBER(SEARCH("VPS",$I4575))=FALSE,LEFT($I4575,6)&lt;&gt;"VACUUM"),"CDU",IF($H4575="FLUID CAT CRACKING","FCC",IF(OR($H4575="HYDROCRACKING",$H4575="RESID_HYDROCRACKING"),"Hydrocracker",IF($H4575="REFORMING","Reformer",""))))</f>
        <v>Reformer</v>
      </c>
      <c r="H4575" s="6" t="s">
        <v>421</v>
      </c>
      <c r="I4575" s="6" t="s">
        <v>698</v>
      </c>
      <c r="J4575" s="6" t="s">
        <v>349</v>
      </c>
      <c r="K4575" s="10">
        <v>22</v>
      </c>
      <c r="L4575" s="10">
        <v>22</v>
      </c>
      <c r="M4575" s="6" t="s">
        <v>375</v>
      </c>
    </row>
    <row r="4576" spans="1:13">
      <c r="A4576" s="6">
        <v>2024</v>
      </c>
      <c r="B4576" s="6">
        <v>10</v>
      </c>
      <c r="C4576" s="6" t="s">
        <v>68</v>
      </c>
      <c r="D4576" s="6" t="s">
        <v>1063</v>
      </c>
      <c r="E4576" s="6" t="s">
        <v>388</v>
      </c>
      <c r="F4576" s="6" t="str">
        <f>IF($M4576="PADD I","PADD 1",IF($M4576="PADD II","PADD 2",IF($M4576="PADD III","PADD 3",IF($M4576="PADD IV","PADD 4",IF($M4576="PADD V","PADD 5","")))))</f>
        <v>PADD 2</v>
      </c>
      <c r="G4576" s="6">
        <f>IF(AND($H4576="ATMOS DISTILLATION",ISNUMBER(SEARCH("VPS",$I4576))=FALSE,LEFT($I4576,6)&lt;&gt;"VACUUM"),"CDU",IF($H4576="FLUID CAT CRACKING","FCC",IF(OR($H4576="HYDROCRACKING",$H4576="RESID_HYDROCRACKING"),"Hydrocracker",IF($H4576="REFORMING","Reformer",""))))</f>
        <v/>
      </c>
      <c r="H4576" s="6" t="s">
        <v>435</v>
      </c>
      <c r="I4576" s="6" t="s">
        <v>441</v>
      </c>
      <c r="J4576" s="6" t="s">
        <v>349</v>
      </c>
      <c r="K4576" s="10">
        <v>21.56</v>
      </c>
      <c r="L4576" s="10">
        <v>28</v>
      </c>
      <c r="M4576" s="6" t="s">
        <v>375</v>
      </c>
    </row>
    <row r="4577" spans="1:13">
      <c r="A4577" s="6">
        <v>2024</v>
      </c>
      <c r="B4577" s="6">
        <v>10</v>
      </c>
      <c r="C4577" s="6" t="s">
        <v>68</v>
      </c>
      <c r="D4577" s="6" t="s">
        <v>1063</v>
      </c>
      <c r="E4577" s="6" t="s">
        <v>388</v>
      </c>
      <c r="F4577" s="6" t="str">
        <f>IF($M4577="PADD I","PADD 1",IF($M4577="PADD II","PADD 2",IF($M4577="PADD III","PADD 3",IF($M4577="PADD IV","PADD 4",IF($M4577="PADD V","PADD 5","")))))</f>
        <v>PADD 2</v>
      </c>
      <c r="G4577" s="6" t="str">
        <f>IF(AND($H4577="ATMOS DISTILLATION",ISNUMBER(SEARCH("VPS",$I4577))=FALSE,LEFT($I4577,6)&lt;&gt;"VACUUM"),"CDU",IF($H4577="FLUID CAT CRACKING","FCC",IF(OR($H4577="HYDROCRACKING",$H4577="RESID_HYDROCRACKING"),"Hydrocracker",IF($H4577="REFORMING","Reformer",""))))</f>
        <v>Reformer</v>
      </c>
      <c r="H4577" s="6" t="s">
        <v>421</v>
      </c>
      <c r="I4577" s="6" t="s">
        <v>1069</v>
      </c>
      <c r="J4577" s="6" t="s">
        <v>345</v>
      </c>
      <c r="K4577" s="10">
        <v>21.5</v>
      </c>
      <c r="L4577" s="10">
        <v>21.5</v>
      </c>
      <c r="M4577" s="6" t="s">
        <v>375</v>
      </c>
    </row>
    <row r="4578" spans="1:13">
      <c r="A4578" s="6">
        <v>2024</v>
      </c>
      <c r="B4578" s="6">
        <v>10</v>
      </c>
      <c r="C4578" s="6" t="s">
        <v>68</v>
      </c>
      <c r="D4578" s="6" t="s">
        <v>738</v>
      </c>
      <c r="E4578" s="6" t="s">
        <v>552</v>
      </c>
      <c r="F4578" s="6" t="str">
        <f>IF($M4578="PADD I","PADD 1",IF($M4578="PADD II","PADD 2",IF($M4578="PADD III","PADD 3",IF($M4578="PADD IV","PADD 4",IF($M4578="PADD V","PADD 5","")))))</f>
        <v>PADD 3</v>
      </c>
      <c r="G4578" s="6" t="str">
        <f>IF(AND($H4578="ATMOS DISTILLATION",ISNUMBER(SEARCH("VPS",$I4578))=FALSE,LEFT($I4578,6)&lt;&gt;"VACUUM"),"CDU",IF($H4578="FLUID CAT CRACKING","FCC",IF(OR($H4578="HYDROCRACKING",$H4578="RESID_HYDROCRACKING"),"Hydrocracker",IF($H4578="REFORMING","Reformer",""))))</f>
        <v>FCC</v>
      </c>
      <c r="H4578" s="6" t="s">
        <v>376</v>
      </c>
      <c r="I4578" s="6" t="s">
        <v>105</v>
      </c>
      <c r="J4578" s="6" t="s">
        <v>349</v>
      </c>
      <c r="K4578" s="10">
        <v>21.125</v>
      </c>
      <c r="L4578" s="10">
        <v>32.5</v>
      </c>
      <c r="M4578" s="6" t="s">
        <v>371</v>
      </c>
    </row>
    <row r="4579" spans="1:13">
      <c r="A4579" s="6">
        <v>2024</v>
      </c>
      <c r="B4579" s="6">
        <v>10</v>
      </c>
      <c r="C4579" s="6" t="s">
        <v>68</v>
      </c>
      <c r="D4579" s="6" t="s">
        <v>408</v>
      </c>
      <c r="E4579" s="6" t="s">
        <v>409</v>
      </c>
      <c r="F4579" s="6" t="str">
        <f>IF($M4579="PADD I","PADD 1",IF($M4579="PADD II","PADD 2",IF($M4579="PADD III","PADD 3",IF($M4579="PADD IV","PADD 4",IF($M4579="PADD V","PADD 5","")))))</f>
        <v>PADD 3</v>
      </c>
      <c r="G4579" s="6">
        <f>IF(AND($H4579="ATMOS DISTILLATION",ISNUMBER(SEARCH("VPS",$I4579))=FALSE,LEFT($I4579,6)&lt;&gt;"VACUUM"),"CDU",IF($H4579="FLUID CAT CRACKING","FCC",IF(OR($H4579="HYDROCRACKING",$H4579="RESID_HYDROCRACKING"),"Hydrocracker",IF($H4579="REFORMING","Reformer",""))))</f>
        <v/>
      </c>
      <c r="H4579" s="6" t="s">
        <v>435</v>
      </c>
      <c r="I4579" s="6" t="s">
        <v>459</v>
      </c>
      <c r="J4579" s="6" t="s">
        <v>345</v>
      </c>
      <c r="K4579" s="10">
        <v>21</v>
      </c>
      <c r="L4579" s="10">
        <v>60</v>
      </c>
      <c r="M4579" s="6" t="s">
        <v>371</v>
      </c>
    </row>
    <row r="4580" spans="1:13">
      <c r="A4580" s="6">
        <v>2024</v>
      </c>
      <c r="B4580" s="6">
        <v>10</v>
      </c>
      <c r="C4580" s="6" t="s">
        <v>68</v>
      </c>
      <c r="D4580" s="6" t="s">
        <v>675</v>
      </c>
      <c r="E4580" s="6" t="s">
        <v>452</v>
      </c>
      <c r="F4580" s="6" t="str">
        <f>IF($M4580="PADD I","PADD 1",IF($M4580="PADD II","PADD 2",IF($M4580="PADD III","PADD 3",IF($M4580="PADD IV","PADD 4",IF($M4580="PADD V","PADD 5","")))))</f>
        <v>PADD 2</v>
      </c>
      <c r="G4580" s="6">
        <f>IF(AND($H4580="ATMOS DISTILLATION",ISNUMBER(SEARCH("VPS",$I4580))=FALSE,LEFT($I4580,6)&lt;&gt;"VACUUM"),"CDU",IF($H4580="FLUID CAT CRACKING","FCC",IF(OR($H4580="HYDROCRACKING",$H4580="RESID_HYDROCRACKING"),"Hydrocracker",IF($H4580="REFORMING","Reformer",""))))</f>
        <v/>
      </c>
      <c r="H4580" s="6" t="s">
        <v>435</v>
      </c>
      <c r="I4580" s="6" t="s">
        <v>441</v>
      </c>
      <c r="J4580" s="6" t="s">
        <v>349</v>
      </c>
      <c r="K4580" s="10">
        <v>20.5</v>
      </c>
      <c r="L4580" s="10">
        <v>20.5</v>
      </c>
      <c r="M4580" s="6" t="s">
        <v>375</v>
      </c>
    </row>
    <row r="4581" spans="1:13">
      <c r="A4581" s="6">
        <v>2024</v>
      </c>
      <c r="B4581" s="6">
        <v>10</v>
      </c>
      <c r="C4581" s="6" t="s">
        <v>68</v>
      </c>
      <c r="D4581" s="6" t="s">
        <v>815</v>
      </c>
      <c r="E4581" s="6" t="s">
        <v>452</v>
      </c>
      <c r="F4581" s="6" t="str">
        <f>IF($M4581="PADD I","PADD 1",IF($M4581="PADD II","PADD 2",IF($M4581="PADD III","PADD 3",IF($M4581="PADD IV","PADD 4",IF($M4581="PADD V","PADD 5","")))))</f>
        <v>PADD 4</v>
      </c>
      <c r="G4581" s="6" t="str">
        <f>IF(AND($H4581="ATMOS DISTILLATION",ISNUMBER(SEARCH("VPS",$I4581))=FALSE,LEFT($I4581,6)&lt;&gt;"VACUUM"),"CDU",IF($H4581="FLUID CAT CRACKING","FCC",IF(OR($H4581="HYDROCRACKING",$H4581="RESID_HYDROCRACKING"),"Hydrocracker",IF($H4581="REFORMING","Reformer",""))))</f>
        <v>CDU</v>
      </c>
      <c r="H4581" s="6" t="s">
        <v>38</v>
      </c>
      <c r="I4581" s="6" t="s">
        <v>1231</v>
      </c>
      <c r="J4581" s="6" t="s">
        <v>349</v>
      </c>
      <c r="K4581" s="10">
        <v>19.84</v>
      </c>
      <c r="L4581" s="10">
        <v>62</v>
      </c>
      <c r="M4581" s="6" t="s">
        <v>430</v>
      </c>
    </row>
    <row r="4582" spans="1:13">
      <c r="A4582" s="6">
        <v>2024</v>
      </c>
      <c r="B4582" s="6">
        <v>10</v>
      </c>
      <c r="C4582" s="6" t="s">
        <v>68</v>
      </c>
      <c r="D4582" s="6" t="s">
        <v>395</v>
      </c>
      <c r="E4582" s="6" t="s">
        <v>396</v>
      </c>
      <c r="F4582" s="6" t="str">
        <f>IF($M4582="PADD I","PADD 1",IF($M4582="PADD II","PADD 2",IF($M4582="PADD III","PADD 3",IF($M4582="PADD IV","PADD 4",IF($M4582="PADD V","PADD 5","")))))</f>
        <v>PADD 3</v>
      </c>
      <c r="G4582" s="6">
        <f>IF(AND($H4582="ATMOS DISTILLATION",ISNUMBER(SEARCH("VPS",$I4582))=FALSE,LEFT($I4582,6)&lt;&gt;"VACUUM"),"CDU",IF($H4582="FLUID CAT CRACKING","FCC",IF(OR($H4582="HYDROCRACKING",$H4582="RESID_HYDROCRACKING"),"Hydrocracker",IF($H4582="REFORMING","Reformer",""))))</f>
        <v/>
      </c>
      <c r="H4582" s="6" t="s">
        <v>378</v>
      </c>
      <c r="I4582" s="6" t="s">
        <v>474</v>
      </c>
      <c r="J4582" s="6" t="s">
        <v>345</v>
      </c>
      <c r="K4582" s="10">
        <v>18.4</v>
      </c>
      <c r="L4582" s="10">
        <v>115</v>
      </c>
      <c r="M4582" s="6" t="s">
        <v>371</v>
      </c>
    </row>
    <row r="4583" spans="1:13">
      <c r="A4583" s="6">
        <v>2024</v>
      </c>
      <c r="B4583" s="6">
        <v>10</v>
      </c>
      <c r="C4583" s="6" t="s">
        <v>68</v>
      </c>
      <c r="D4583" s="6" t="s">
        <v>446</v>
      </c>
      <c r="E4583" s="6" t="s">
        <v>391</v>
      </c>
      <c r="F4583" s="6" t="str">
        <f>IF($M4583="PADD I","PADD 1",IF($M4583="PADD II","PADD 2",IF($M4583="PADD III","PADD 3",IF($M4583="PADD IV","PADD 4",IF($M4583="PADD V","PADD 5","")))))</f>
        <v>PADD 3</v>
      </c>
      <c r="G4583" s="6">
        <f>IF(AND($H4583="ATMOS DISTILLATION",ISNUMBER(SEARCH("VPS",$I4583))=FALSE,LEFT($I4583,6)&lt;&gt;"VACUUM"),"CDU",IF($H4583="FLUID CAT CRACKING","FCC",IF(OR($H4583="HYDROCRACKING",$H4583="RESID_HYDROCRACKING"),"Hydrocracker",IF($H4583="REFORMING","Reformer",""))))</f>
        <v/>
      </c>
      <c r="H4583" s="6" t="s">
        <v>43</v>
      </c>
      <c r="I4583" s="6" t="s">
        <v>394</v>
      </c>
      <c r="J4583" s="6" t="s">
        <v>349</v>
      </c>
      <c r="K4583" s="10">
        <v>18</v>
      </c>
      <c r="L4583" s="10">
        <v>20</v>
      </c>
      <c r="M4583" s="6" t="s">
        <v>371</v>
      </c>
    </row>
    <row r="4584" spans="1:13">
      <c r="A4584" s="6">
        <v>2024</v>
      </c>
      <c r="B4584" s="6">
        <v>10</v>
      </c>
      <c r="C4584" s="6" t="s">
        <v>68</v>
      </c>
      <c r="D4584" s="6" t="s">
        <v>839</v>
      </c>
      <c r="E4584" s="6" t="s">
        <v>840</v>
      </c>
      <c r="F4584" s="6" t="str">
        <f>IF($M4584="PADD I","PADD 1",IF($M4584="PADD II","PADD 2",IF($M4584="PADD III","PADD 3",IF($M4584="PADD IV","PADD 4",IF($M4584="PADD V","PADD 5","")))))</f>
        <v>PADD 1</v>
      </c>
      <c r="G4584" s="6">
        <f>IF(AND($H4584="ATMOS DISTILLATION",ISNUMBER(SEARCH("VPS",$I4584))=FALSE,LEFT($I4584,6)&lt;&gt;"VACUUM"),"CDU",IF($H4584="FLUID CAT CRACKING","FCC",IF(OR($H4584="HYDROCRACKING",$H4584="RESID_HYDROCRACKING"),"Hydrocracker",IF($H4584="REFORMING","Reformer",""))))</f>
        <v/>
      </c>
      <c r="H4584" s="6" t="s">
        <v>43</v>
      </c>
      <c r="I4584" s="6" t="s">
        <v>841</v>
      </c>
      <c r="J4584" s="6" t="s">
        <v>345</v>
      </c>
      <c r="K4584" s="10">
        <v>17</v>
      </c>
      <c r="L4584" s="10">
        <v>25</v>
      </c>
      <c r="M4584" s="6" t="s">
        <v>413</v>
      </c>
    </row>
    <row r="4585" spans="1:13">
      <c r="A4585" s="6">
        <v>2024</v>
      </c>
      <c r="B4585" s="6">
        <v>10</v>
      </c>
      <c r="C4585" s="6" t="s">
        <v>68</v>
      </c>
      <c r="D4585" s="6" t="s">
        <v>1214</v>
      </c>
      <c r="E4585" s="6" t="s">
        <v>1215</v>
      </c>
      <c r="F4585" s="6" t="str">
        <f>IF($M4585="PADD I","PADD 1",IF($M4585="PADD II","PADD 2",IF($M4585="PADD III","PADD 3",IF($M4585="PADD IV","PADD 4",IF($M4585="PADD V","PADD 5","")))))</f>
        <v>PADD 1</v>
      </c>
      <c r="G4585" s="6" t="str">
        <f>IF(AND($H4585="ATMOS DISTILLATION",ISNUMBER(SEARCH("VPS",$I4585))=FALSE,LEFT($I4585,6)&lt;&gt;"VACUUM"),"CDU",IF($H4585="FLUID CAT CRACKING","FCC",IF(OR($H4585="HYDROCRACKING",$H4585="RESID_HYDROCRACKING"),"Hydrocracker",IF($H4585="REFORMING","Reformer",""))))</f>
        <v>CDU</v>
      </c>
      <c r="H4585" s="6" t="s">
        <v>38</v>
      </c>
      <c r="I4585" s="6" t="s">
        <v>131</v>
      </c>
      <c r="J4585" s="6" t="s">
        <v>345</v>
      </c>
      <c r="K4585" s="10">
        <v>16.24</v>
      </c>
      <c r="L4585" s="10">
        <v>56</v>
      </c>
      <c r="M4585" s="6" t="s">
        <v>413</v>
      </c>
    </row>
    <row r="4586" spans="1:13">
      <c r="A4586" s="6">
        <v>2024</v>
      </c>
      <c r="B4586" s="6">
        <v>10</v>
      </c>
      <c r="C4586" s="6" t="s">
        <v>68</v>
      </c>
      <c r="D4586" s="6" t="s">
        <v>676</v>
      </c>
      <c r="E4586" s="6" t="s">
        <v>677</v>
      </c>
      <c r="F4586" s="6" t="str">
        <f>IF($M4586="PADD I","PADD 1",IF($M4586="PADD II","PADD 2",IF($M4586="PADD III","PADD 3",IF($M4586="PADD IV","PADD 4",IF($M4586="PADD V","PADD 5","")))))</f>
        <v>PADD 1</v>
      </c>
      <c r="G4586" s="6" t="str">
        <f>IF(AND($H4586="ATMOS DISTILLATION",ISNUMBER(SEARCH("VPS",$I4586))=FALSE,LEFT($I4586,6)&lt;&gt;"VACUUM"),"CDU",IF($H4586="FLUID CAT CRACKING","FCC",IF(OR($H4586="HYDROCRACKING",$H4586="RESID_HYDROCRACKING"),"Hydrocracker",IF($H4586="REFORMING","Reformer",""))))</f>
        <v>CDU</v>
      </c>
      <c r="H4586" s="6" t="s">
        <v>38</v>
      </c>
      <c r="I4586" s="6" t="s">
        <v>678</v>
      </c>
      <c r="J4586" s="6" t="s">
        <v>345</v>
      </c>
      <c r="K4586" s="10">
        <v>16.24</v>
      </c>
      <c r="L4586" s="10">
        <v>56</v>
      </c>
      <c r="M4586" s="6" t="s">
        <v>413</v>
      </c>
    </row>
    <row r="4587" spans="1:13">
      <c r="A4587" s="6">
        <v>2024</v>
      </c>
      <c r="B4587" s="6">
        <v>10</v>
      </c>
      <c r="C4587" s="6" t="s">
        <v>68</v>
      </c>
      <c r="D4587" s="6" t="s">
        <v>738</v>
      </c>
      <c r="E4587" s="6" t="s">
        <v>552</v>
      </c>
      <c r="F4587" s="6" t="str">
        <f>IF($M4587="PADD I","PADD 1",IF($M4587="PADD II","PADD 2",IF($M4587="PADD III","PADD 3",IF($M4587="PADD IV","PADD 4",IF($M4587="PADD V","PADD 5","")))))</f>
        <v>PADD 3</v>
      </c>
      <c r="G4587" s="6">
        <f>IF(AND($H4587="ATMOS DISTILLATION",ISNUMBER(SEARCH("VPS",$I4587))=FALSE,LEFT($I4587,6)&lt;&gt;"VACUUM"),"CDU",IF($H4587="FLUID CAT CRACKING","FCC",IF(OR($H4587="HYDROCRACKING",$H4587="RESID_HYDROCRACKING"),"Hydrocracker",IF($H4587="REFORMING","Reformer",""))))</f>
        <v/>
      </c>
      <c r="H4587" s="6" t="s">
        <v>378</v>
      </c>
      <c r="I4587" s="6" t="s">
        <v>431</v>
      </c>
      <c r="J4587" s="6" t="s">
        <v>349</v>
      </c>
      <c r="K4587" s="10">
        <v>15.6</v>
      </c>
      <c r="L4587" s="10">
        <v>24</v>
      </c>
      <c r="M4587" s="6" t="s">
        <v>371</v>
      </c>
    </row>
    <row r="4588" spans="1:13">
      <c r="A4588" s="6">
        <v>2024</v>
      </c>
      <c r="B4588" s="6">
        <v>10</v>
      </c>
      <c r="C4588" s="6" t="s">
        <v>68</v>
      </c>
      <c r="D4588" s="6" t="s">
        <v>329</v>
      </c>
      <c r="E4588" s="6" t="s">
        <v>427</v>
      </c>
      <c r="F4588" s="6" t="str">
        <f>IF($M4588="PADD I","PADD 1",IF($M4588="PADD II","PADD 2",IF($M4588="PADD III","PADD 3",IF($M4588="PADD IV","PADD 4",IF($M4588="PADD V","PADD 5","")))))</f>
        <v>PADD 3</v>
      </c>
      <c r="G4588" s="6">
        <f>IF(AND($H4588="ATMOS DISTILLATION",ISNUMBER(SEARCH("VPS",$I4588))=FALSE,LEFT($I4588,6)&lt;&gt;"VACUUM"),"CDU",IF($H4588="FLUID CAT CRACKING","FCC",IF(OR($H4588="HYDROCRACKING",$H4588="RESID_HYDROCRACKING"),"Hydrocracker",IF($H4588="REFORMING","Reformer",""))))</f>
        <v/>
      </c>
      <c r="H4588" s="6" t="s">
        <v>435</v>
      </c>
      <c r="I4588" s="6" t="s">
        <v>1248</v>
      </c>
      <c r="J4588" s="6" t="s">
        <v>349</v>
      </c>
      <c r="K4588" s="10">
        <v>15</v>
      </c>
      <c r="L4588" s="10">
        <v>15</v>
      </c>
      <c r="M4588" s="6" t="s">
        <v>371</v>
      </c>
    </row>
    <row r="4589" spans="1:13">
      <c r="A4589" s="6">
        <v>2024</v>
      </c>
      <c r="B4589" s="6">
        <v>10</v>
      </c>
      <c r="C4589" s="6" t="s">
        <v>68</v>
      </c>
      <c r="D4589" s="6" t="s">
        <v>468</v>
      </c>
      <c r="E4589" s="6" t="s">
        <v>369</v>
      </c>
      <c r="F4589" s="6" t="str">
        <f>IF($M4589="PADD I","PADD 1",IF($M4589="PADD II","PADD 2",IF($M4589="PADD III","PADD 3",IF($M4589="PADD IV","PADD 4",IF($M4589="PADD V","PADD 5","")))))</f>
        <v>PADD 3</v>
      </c>
      <c r="G4589" s="6">
        <f>IF(AND($H4589="ATMOS DISTILLATION",ISNUMBER(SEARCH("VPS",$I4589))=FALSE,LEFT($I4589,6)&lt;&gt;"VACUUM"),"CDU",IF($H4589="FLUID CAT CRACKING","FCC",IF(OR($H4589="HYDROCRACKING",$H4589="RESID_HYDROCRACKING"),"Hydrocracker",IF($H4589="REFORMING","Reformer",""))))</f>
        <v/>
      </c>
      <c r="H4589" s="6" t="s">
        <v>460</v>
      </c>
      <c r="I4589" s="6" t="s">
        <v>890</v>
      </c>
      <c r="J4589" s="6" t="s">
        <v>345</v>
      </c>
      <c r="K4589" s="10">
        <v>14</v>
      </c>
      <c r="L4589" s="10">
        <v>14</v>
      </c>
      <c r="M4589" s="6" t="s">
        <v>371</v>
      </c>
    </row>
    <row r="4590" spans="1:13">
      <c r="A4590" s="6">
        <v>2024</v>
      </c>
      <c r="B4590" s="6">
        <v>10</v>
      </c>
      <c r="C4590" s="6" t="s">
        <v>68</v>
      </c>
      <c r="D4590" s="6" t="s">
        <v>851</v>
      </c>
      <c r="E4590" s="6" t="s">
        <v>852</v>
      </c>
      <c r="F4590" s="6" t="str">
        <f>IF($M4590="PADD I","PADD 1",IF($M4590="PADD II","PADD 2",IF($M4590="PADD III","PADD 3",IF($M4590="PADD IV","PADD 4",IF($M4590="PADD V","PADD 5","")))))</f>
        <v>PADD 3</v>
      </c>
      <c r="G4590" s="6" t="str">
        <f>IF(AND($H4590="ATMOS DISTILLATION",ISNUMBER(SEARCH("VPS",$I4590))=FALSE,LEFT($I4590,6)&lt;&gt;"VACUUM"),"CDU",IF($H4590="FLUID CAT CRACKING","FCC",IF(OR($H4590="HYDROCRACKING",$H4590="RESID_HYDROCRACKING"),"Hydrocracker",IF($H4590="REFORMING","Reformer",""))))</f>
        <v>CDU</v>
      </c>
      <c r="H4590" s="6" t="s">
        <v>38</v>
      </c>
      <c r="I4590" s="6" t="s">
        <v>854</v>
      </c>
      <c r="J4590" s="6" t="s">
        <v>345</v>
      </c>
      <c r="K4590" s="10">
        <v>13.87</v>
      </c>
      <c r="L4590" s="10">
        <v>73</v>
      </c>
      <c r="M4590" s="6" t="s">
        <v>371</v>
      </c>
    </row>
    <row r="4591" spans="1:13">
      <c r="A4591" s="6">
        <v>2024</v>
      </c>
      <c r="B4591" s="6">
        <v>10</v>
      </c>
      <c r="C4591" s="6" t="s">
        <v>68</v>
      </c>
      <c r="D4591" s="6" t="s">
        <v>51</v>
      </c>
      <c r="E4591" s="6" t="s">
        <v>391</v>
      </c>
      <c r="F4591" s="6" t="str">
        <f>IF($M4591="PADD I","PADD 1",IF($M4591="PADD II","PADD 2",IF($M4591="PADD III","PADD 3",IF($M4591="PADD IV","PADD 4",IF($M4591="PADD V","PADD 5","")))))</f>
        <v>PADD 5</v>
      </c>
      <c r="G4591" s="6" t="str">
        <f>IF(AND($H4591="ATMOS DISTILLATION",ISNUMBER(SEARCH("VPS",$I4591))=FALSE,LEFT($I4591,6)&lt;&gt;"VACUUM"),"CDU",IF($H4591="FLUID CAT CRACKING","FCC",IF(OR($H4591="HYDROCRACKING",$H4591="RESID_HYDROCRACKING"),"Hydrocracker",IF($H4591="REFORMING","Reformer",""))))</f>
        <v>FCC</v>
      </c>
      <c r="H4591" s="6" t="s">
        <v>376</v>
      </c>
      <c r="I4591" s="6" t="s">
        <v>105</v>
      </c>
      <c r="J4591" s="6" t="s">
        <v>345</v>
      </c>
      <c r="K4591" s="10">
        <v>13.775</v>
      </c>
      <c r="L4591" s="10">
        <v>72.5</v>
      </c>
      <c r="M4591" s="6" t="s">
        <v>386</v>
      </c>
    </row>
    <row r="4592" spans="1:13">
      <c r="A4592" s="6">
        <v>2024</v>
      </c>
      <c r="B4592" s="6">
        <v>10</v>
      </c>
      <c r="C4592" s="6" t="s">
        <v>68</v>
      </c>
      <c r="D4592" s="6" t="s">
        <v>602</v>
      </c>
      <c r="E4592" s="6" t="s">
        <v>369</v>
      </c>
      <c r="F4592" s="6" t="str">
        <f>IF($M4592="PADD I","PADD 1",IF($M4592="PADD II","PADD 2",IF($M4592="PADD III","PADD 3",IF($M4592="PADD IV","PADD 4",IF($M4592="PADD V","PADD 5","")))))</f>
        <v>PADD 2</v>
      </c>
      <c r="G4592" s="6" t="str">
        <f>IF(AND($H4592="ATMOS DISTILLATION",ISNUMBER(SEARCH("VPS",$I4592))=FALSE,LEFT($I4592,6)&lt;&gt;"VACUUM"),"CDU",IF($H4592="FLUID CAT CRACKING","FCC",IF(OR($H4592="HYDROCRACKING",$H4592="RESID_HYDROCRACKING"),"Hydrocracker",IF($H4592="REFORMING","Reformer",""))))</f>
        <v>Reformer</v>
      </c>
      <c r="H4592" s="6" t="s">
        <v>421</v>
      </c>
      <c r="I4592" s="6" t="s">
        <v>1123</v>
      </c>
      <c r="J4592" s="6" t="s">
        <v>349</v>
      </c>
      <c r="K4592" s="10">
        <v>13.6</v>
      </c>
      <c r="L4592" s="10">
        <v>20</v>
      </c>
      <c r="M4592" s="6" t="s">
        <v>375</v>
      </c>
    </row>
    <row r="4593" spans="1:13">
      <c r="A4593" s="6">
        <v>2024</v>
      </c>
      <c r="B4593" s="6">
        <v>10</v>
      </c>
      <c r="C4593" s="6" t="s">
        <v>68</v>
      </c>
      <c r="D4593" s="6" t="s">
        <v>329</v>
      </c>
      <c r="E4593" s="6" t="s">
        <v>427</v>
      </c>
      <c r="F4593" s="6" t="str">
        <f>IF($M4593="PADD I","PADD 1",IF($M4593="PADD II","PADD 2",IF($M4593="PADD III","PADD 3",IF($M4593="PADD IV","PADD 4",IF($M4593="PADD V","PADD 5","")))))</f>
        <v>PADD 3</v>
      </c>
      <c r="G4593" s="6">
        <f>IF(AND($H4593="ATMOS DISTILLATION",ISNUMBER(SEARCH("VPS",$I4593))=FALSE,LEFT($I4593,6)&lt;&gt;"VACUUM"),"CDU",IF($H4593="FLUID CAT CRACKING","FCC",IF(OR($H4593="HYDROCRACKING",$H4593="RESID_HYDROCRACKING"),"Hydrocracker",IF($H4593="REFORMING","Reformer",""))))</f>
        <v/>
      </c>
      <c r="H4593" s="6" t="s">
        <v>43</v>
      </c>
      <c r="I4593" s="6" t="s">
        <v>562</v>
      </c>
      <c r="J4593" s="6" t="s">
        <v>349</v>
      </c>
      <c r="K4593" s="10">
        <v>13.5</v>
      </c>
      <c r="L4593" s="10">
        <v>13.5</v>
      </c>
      <c r="M4593" s="6" t="s">
        <v>371</v>
      </c>
    </row>
    <row r="4594" spans="1:13">
      <c r="A4594" s="6">
        <v>2024</v>
      </c>
      <c r="B4594" s="6">
        <v>10</v>
      </c>
      <c r="C4594" s="6" t="s">
        <v>68</v>
      </c>
      <c r="D4594" s="6" t="s">
        <v>329</v>
      </c>
      <c r="E4594" s="6" t="s">
        <v>427</v>
      </c>
      <c r="F4594" s="6" t="str">
        <f>IF($M4594="PADD I","PADD 1",IF($M4594="PADD II","PADD 2",IF($M4594="PADD III","PADD 3",IF($M4594="PADD IV","PADD 4",IF($M4594="PADD V","PADD 5","")))))</f>
        <v>PADD 3</v>
      </c>
      <c r="G4594" s="6">
        <f>IF(AND($H4594="ATMOS DISTILLATION",ISNUMBER(SEARCH("VPS",$I4594))=FALSE,LEFT($I4594,6)&lt;&gt;"VACUUM"),"CDU",IF($H4594="FLUID CAT CRACKING","FCC",IF(OR($H4594="HYDROCRACKING",$H4594="RESID_HYDROCRACKING"),"Hydrocracker",IF($H4594="REFORMING","Reformer",""))))</f>
        <v/>
      </c>
      <c r="H4594" s="6" t="s">
        <v>460</v>
      </c>
      <c r="I4594" s="6" t="s">
        <v>1075</v>
      </c>
      <c r="J4594" s="6" t="s">
        <v>345</v>
      </c>
      <c r="K4594" s="10">
        <v>12.5</v>
      </c>
      <c r="L4594" s="10">
        <v>12.5</v>
      </c>
      <c r="M4594" s="6" t="s">
        <v>371</v>
      </c>
    </row>
    <row r="4595" spans="1:13">
      <c r="A4595" s="6">
        <v>2024</v>
      </c>
      <c r="B4595" s="6">
        <v>10</v>
      </c>
      <c r="C4595" s="6" t="s">
        <v>68</v>
      </c>
      <c r="D4595" s="6" t="s">
        <v>547</v>
      </c>
      <c r="E4595" s="6" t="s">
        <v>391</v>
      </c>
      <c r="F4595" s="6" t="str">
        <f>IF($M4595="PADD I","PADD 1",IF($M4595="PADD II","PADD 2",IF($M4595="PADD III","PADD 3",IF($M4595="PADD IV","PADD 4",IF($M4595="PADD V","PADD 5","")))))</f>
        <v>PADD 5</v>
      </c>
      <c r="G4595" s="6">
        <f>IF(AND($H4595="ATMOS DISTILLATION",ISNUMBER(SEARCH("VPS",$I4595))=FALSE,LEFT($I4595,6)&lt;&gt;"VACUUM"),"CDU",IF($H4595="FLUID CAT CRACKING","FCC",IF(OR($H4595="HYDROCRACKING",$H4595="RESID_HYDROCRACKING"),"Hydrocracker",IF($H4595="REFORMING","Reformer",""))))</f>
        <v/>
      </c>
      <c r="H4595" s="6" t="s">
        <v>43</v>
      </c>
      <c r="I4595" s="6" t="s">
        <v>105</v>
      </c>
      <c r="J4595" s="6" t="s">
        <v>345</v>
      </c>
      <c r="K4595" s="10">
        <v>12.35</v>
      </c>
      <c r="L4595" s="10">
        <v>65</v>
      </c>
      <c r="M4595" s="6" t="s">
        <v>386</v>
      </c>
    </row>
    <row r="4596" spans="1:13">
      <c r="A4596" s="6">
        <v>2024</v>
      </c>
      <c r="B4596" s="6">
        <v>10</v>
      </c>
      <c r="C4596" s="6" t="s">
        <v>68</v>
      </c>
      <c r="D4596" s="6" t="s">
        <v>839</v>
      </c>
      <c r="E4596" s="6" t="s">
        <v>840</v>
      </c>
      <c r="F4596" s="6" t="str">
        <f>IF($M4596="PADD I","PADD 1",IF($M4596="PADD II","PADD 2",IF($M4596="PADD III","PADD 3",IF($M4596="PADD IV","PADD 4",IF($M4596="PADD V","PADD 5","")))))</f>
        <v>PADD 1</v>
      </c>
      <c r="G4596" s="6">
        <f>IF(AND($H4596="ATMOS DISTILLATION",ISNUMBER(SEARCH("VPS",$I4596))=FALSE,LEFT($I4596,6)&lt;&gt;"VACUUM"),"CDU",IF($H4596="FLUID CAT CRACKING","FCC",IF(OR($H4596="HYDROCRACKING",$H4596="RESID_HYDROCRACKING"),"Hydrocracker",IF($H4596="REFORMING","Reformer",""))))</f>
        <v/>
      </c>
      <c r="H4596" s="6" t="s">
        <v>378</v>
      </c>
      <c r="I4596" s="6" t="s">
        <v>431</v>
      </c>
      <c r="J4596" s="6" t="s">
        <v>345</v>
      </c>
      <c r="K4596" s="10">
        <v>12.2</v>
      </c>
      <c r="L4596" s="10">
        <v>20</v>
      </c>
      <c r="M4596" s="6" t="s">
        <v>413</v>
      </c>
    </row>
    <row r="4597" spans="1:13">
      <c r="A4597" s="6">
        <v>2024</v>
      </c>
      <c r="B4597" s="6">
        <v>10</v>
      </c>
      <c r="C4597" s="6" t="s">
        <v>68</v>
      </c>
      <c r="D4597" s="6" t="s">
        <v>1141</v>
      </c>
      <c r="E4597" s="6" t="s">
        <v>1079</v>
      </c>
      <c r="F4597" s="6" t="str">
        <f>IF($M4597="PADD I","PADD 1",IF($M4597="PADD II","PADD 2",IF($M4597="PADD III","PADD 3",IF($M4597="PADD IV","PADD 4",IF($M4597="PADD V","PADD 5","")))))</f>
        <v>PADD 3</v>
      </c>
      <c r="G4597" s="6" t="str">
        <f>IF(AND($H4597="ATMOS DISTILLATION",ISNUMBER(SEARCH("VPS",$I4597))=FALSE,LEFT($I4597,6)&lt;&gt;"VACUUM"),"CDU",IF($H4597="FLUID CAT CRACKING","FCC",IF(OR($H4597="HYDROCRACKING",$H4597="RESID_HYDROCRACKING"),"Hydrocracker",IF($H4597="REFORMING","Reformer",""))))</f>
        <v>Reformer</v>
      </c>
      <c r="H4597" s="6" t="s">
        <v>421</v>
      </c>
      <c r="I4597" s="6" t="s">
        <v>559</v>
      </c>
      <c r="J4597" s="6" t="s">
        <v>349</v>
      </c>
      <c r="K4597" s="10">
        <v>12.15</v>
      </c>
      <c r="L4597" s="10">
        <v>13.5</v>
      </c>
      <c r="M4597" s="6" t="s">
        <v>371</v>
      </c>
    </row>
    <row r="4598" spans="1:13">
      <c r="A4598" s="6">
        <v>2024</v>
      </c>
      <c r="B4598" s="6">
        <v>10</v>
      </c>
      <c r="C4598" s="6" t="s">
        <v>68</v>
      </c>
      <c r="D4598" s="6" t="s">
        <v>738</v>
      </c>
      <c r="E4598" s="6" t="s">
        <v>552</v>
      </c>
      <c r="F4598" s="6" t="str">
        <f>IF($M4598="PADD I","PADD 1",IF($M4598="PADD II","PADD 2",IF($M4598="PADD III","PADD 3",IF($M4598="PADD IV","PADD 4",IF($M4598="PADD V","PADD 5","")))))</f>
        <v>PADD 3</v>
      </c>
      <c r="G4598" s="6">
        <f>IF(AND($H4598="ATMOS DISTILLATION",ISNUMBER(SEARCH("VPS",$I4598))=FALSE,LEFT($I4598,6)&lt;&gt;"VACUUM"),"CDU",IF($H4598="FLUID CAT CRACKING","FCC",IF(OR($H4598="HYDROCRACKING",$H4598="RESID_HYDROCRACKING"),"Hydrocracker",IF($H4598="REFORMING","Reformer",""))))</f>
        <v/>
      </c>
      <c r="H4598" s="6" t="s">
        <v>43</v>
      </c>
      <c r="I4598" s="6" t="s">
        <v>458</v>
      </c>
      <c r="J4598" s="6" t="s">
        <v>349</v>
      </c>
      <c r="K4598" s="10">
        <v>11.7</v>
      </c>
      <c r="L4598" s="10">
        <v>18</v>
      </c>
      <c r="M4598" s="6" t="s">
        <v>371</v>
      </c>
    </row>
    <row r="4599" spans="1:13">
      <c r="A4599" s="6">
        <v>2024</v>
      </c>
      <c r="B4599" s="6">
        <v>10</v>
      </c>
      <c r="C4599" s="6" t="s">
        <v>68</v>
      </c>
      <c r="D4599" s="6" t="s">
        <v>395</v>
      </c>
      <c r="E4599" s="6" t="s">
        <v>396</v>
      </c>
      <c r="F4599" s="6" t="str">
        <f>IF($M4599="PADD I","PADD 1",IF($M4599="PADD II","PADD 2",IF($M4599="PADD III","PADD 3",IF($M4599="PADD IV","PADD 4",IF($M4599="PADD V","PADD 5","")))))</f>
        <v>PADD 3</v>
      </c>
      <c r="G4599" s="6">
        <f>IF(AND($H4599="ATMOS DISTILLATION",ISNUMBER(SEARCH("VPS",$I4599))=FALSE,LEFT($I4599,6)&lt;&gt;"VACUUM"),"CDU",IF($H4599="FLUID CAT CRACKING","FCC",IF(OR($H4599="HYDROCRACKING",$H4599="RESID_HYDROCRACKING"),"Hydrocracker",IF($H4599="REFORMING","Reformer",""))))</f>
        <v/>
      </c>
      <c r="H4599" s="6" t="s">
        <v>43</v>
      </c>
      <c r="I4599" s="6" t="s">
        <v>499</v>
      </c>
      <c r="J4599" s="6" t="s">
        <v>345</v>
      </c>
      <c r="K4599" s="10">
        <v>11.52</v>
      </c>
      <c r="L4599" s="10">
        <v>72</v>
      </c>
      <c r="M4599" s="6" t="s">
        <v>371</v>
      </c>
    </row>
    <row r="4600" spans="1:13">
      <c r="A4600" s="6">
        <v>2024</v>
      </c>
      <c r="B4600" s="6">
        <v>10</v>
      </c>
      <c r="C4600" s="6" t="s">
        <v>68</v>
      </c>
      <c r="D4600" s="6" t="s">
        <v>675</v>
      </c>
      <c r="E4600" s="6" t="s">
        <v>452</v>
      </c>
      <c r="F4600" s="6" t="str">
        <f>IF($M4600="PADD I","PADD 1",IF($M4600="PADD II","PADD 2",IF($M4600="PADD III","PADD 3",IF($M4600="PADD IV","PADD 4",IF($M4600="PADD V","PADD 5","")))))</f>
        <v>PADD 2</v>
      </c>
      <c r="G4600" s="6">
        <f>IF(AND($H4600="ATMOS DISTILLATION",ISNUMBER(SEARCH("VPS",$I4600))=FALSE,LEFT($I4600,6)&lt;&gt;"VACUUM"),"CDU",IF($H4600="FLUID CAT CRACKING","FCC",IF(OR($H4600="HYDROCRACKING",$H4600="RESID_HYDROCRACKING"),"Hydrocracker",IF($H4600="REFORMING","Reformer",""))))</f>
        <v/>
      </c>
      <c r="H4600" s="6" t="s">
        <v>460</v>
      </c>
      <c r="I4600" s="6" t="s">
        <v>616</v>
      </c>
      <c r="J4600" s="6" t="s">
        <v>349</v>
      </c>
      <c r="K4600" s="10">
        <v>11.5</v>
      </c>
      <c r="L4600" s="10">
        <v>11.5</v>
      </c>
      <c r="M4600" s="6" t="s">
        <v>375</v>
      </c>
    </row>
    <row r="4601" spans="1:13">
      <c r="A4601" s="6">
        <v>2024</v>
      </c>
      <c r="B4601" s="6">
        <v>10</v>
      </c>
      <c r="C4601" s="6" t="s">
        <v>68</v>
      </c>
      <c r="D4601" s="6" t="s">
        <v>395</v>
      </c>
      <c r="E4601" s="6" t="s">
        <v>396</v>
      </c>
      <c r="F4601" s="6" t="str">
        <f>IF($M4601="PADD I","PADD 1",IF($M4601="PADD II","PADD 2",IF($M4601="PADD III","PADD 3",IF($M4601="PADD IV","PADD 4",IF($M4601="PADD V","PADD 5","")))))</f>
        <v>PADD 3</v>
      </c>
      <c r="G4601" s="6" t="str">
        <f>IF(AND($H4601="ATMOS DISTILLATION",ISNUMBER(SEARCH("VPS",$I4601))=FALSE,LEFT($I4601,6)&lt;&gt;"VACUUM"),"CDU",IF($H4601="FLUID CAT CRACKING","FCC",IF(OR($H4601="HYDROCRACKING",$H4601="RESID_HYDROCRACKING"),"Hydrocracker",IF($H4601="REFORMING","Reformer",""))))</f>
        <v>CDU</v>
      </c>
      <c r="H4601" s="6" t="s">
        <v>38</v>
      </c>
      <c r="I4601" s="6" t="s">
        <v>510</v>
      </c>
      <c r="J4601" s="6" t="s">
        <v>345</v>
      </c>
      <c r="K4601" s="10">
        <v>11.2</v>
      </c>
      <c r="L4601" s="10">
        <v>70</v>
      </c>
      <c r="M4601" s="6" t="s">
        <v>371</v>
      </c>
    </row>
    <row r="4602" spans="1:13">
      <c r="A4602" s="6">
        <v>2024</v>
      </c>
      <c r="B4602" s="6">
        <v>10</v>
      </c>
      <c r="C4602" s="6" t="s">
        <v>68</v>
      </c>
      <c r="D4602" s="6" t="s">
        <v>395</v>
      </c>
      <c r="E4602" s="6" t="s">
        <v>396</v>
      </c>
      <c r="F4602" s="6" t="str">
        <f>IF($M4602="PADD I","PADD 1",IF($M4602="PADD II","PADD 2",IF($M4602="PADD III","PADD 3",IF($M4602="PADD IV","PADD 4",IF($M4602="PADD V","PADD 5","")))))</f>
        <v>PADD 3</v>
      </c>
      <c r="G4602" s="6" t="str">
        <f>IF(AND($H4602="ATMOS DISTILLATION",ISNUMBER(SEARCH("VPS",$I4602))=FALSE,LEFT($I4602,6)&lt;&gt;"VACUUM"),"CDU",IF($H4602="FLUID CAT CRACKING","FCC",IF(OR($H4602="HYDROCRACKING",$H4602="RESID_HYDROCRACKING"),"Hydrocracker",IF($H4602="REFORMING","Reformer",""))))</f>
        <v>FCC</v>
      </c>
      <c r="H4602" s="6" t="s">
        <v>376</v>
      </c>
      <c r="I4602" s="6" t="s">
        <v>105</v>
      </c>
      <c r="J4602" s="6" t="s">
        <v>345</v>
      </c>
      <c r="K4602" s="10">
        <v>11.2</v>
      </c>
      <c r="L4602" s="10">
        <v>70</v>
      </c>
      <c r="M4602" s="6" t="s">
        <v>371</v>
      </c>
    </row>
    <row r="4603" spans="1:13">
      <c r="A4603" s="6">
        <v>2024</v>
      </c>
      <c r="B4603" s="6">
        <v>10</v>
      </c>
      <c r="C4603" s="6" t="s">
        <v>68</v>
      </c>
      <c r="D4603" s="6" t="s">
        <v>395</v>
      </c>
      <c r="E4603" s="6" t="s">
        <v>396</v>
      </c>
      <c r="F4603" s="6" t="str">
        <f>IF($M4603="PADD I","PADD 1",IF($M4603="PADD II","PADD 2",IF($M4603="PADD III","PADD 3",IF($M4603="PADD IV","PADD 4",IF($M4603="PADD V","PADD 5","")))))</f>
        <v>PADD 3</v>
      </c>
      <c r="G4603" s="6" t="str">
        <f>IF(AND($H4603="ATMOS DISTILLATION",ISNUMBER(SEARCH("VPS",$I4603))=FALSE,LEFT($I4603,6)&lt;&gt;"VACUUM"),"CDU",IF($H4603="FLUID CAT CRACKING","FCC",IF(OR($H4603="HYDROCRACKING",$H4603="RESID_HYDROCRACKING"),"Hydrocracker",IF($H4603="REFORMING","Reformer",""))))</f>
        <v>Hydrocracker</v>
      </c>
      <c r="H4603" s="6" t="s">
        <v>444</v>
      </c>
      <c r="I4603" s="6" t="s">
        <v>512</v>
      </c>
      <c r="J4603" s="6" t="s">
        <v>345</v>
      </c>
      <c r="K4603" s="10">
        <v>11.2</v>
      </c>
      <c r="L4603" s="10">
        <v>70</v>
      </c>
      <c r="M4603" s="6" t="s">
        <v>371</v>
      </c>
    </row>
    <row r="4604" spans="1:13">
      <c r="A4604" s="6">
        <v>2024</v>
      </c>
      <c r="B4604" s="6">
        <v>10</v>
      </c>
      <c r="C4604" s="6" t="s">
        <v>68</v>
      </c>
      <c r="D4604" s="6" t="s">
        <v>602</v>
      </c>
      <c r="E4604" s="6" t="s">
        <v>369</v>
      </c>
      <c r="F4604" s="6" t="str">
        <f>IF($M4604="PADD I","PADD 1",IF($M4604="PADD II","PADD 2",IF($M4604="PADD III","PADD 3",IF($M4604="PADD IV","PADD 4",IF($M4604="PADD V","PADD 5","")))))</f>
        <v>PADD 2</v>
      </c>
      <c r="G4604" s="6" t="str">
        <f>IF(AND($H4604="ATMOS DISTILLATION",ISNUMBER(SEARCH("VPS",$I4604))=FALSE,LEFT($I4604,6)&lt;&gt;"VACUUM"),"CDU",IF($H4604="FLUID CAT CRACKING","FCC",IF(OR($H4604="HYDROCRACKING",$H4604="RESID_HYDROCRACKING"),"Hydrocracker",IF($H4604="REFORMING","Reformer",""))))</f>
        <v>CDU</v>
      </c>
      <c r="H4604" s="6" t="s">
        <v>38</v>
      </c>
      <c r="I4604" s="6" t="s">
        <v>1235</v>
      </c>
      <c r="J4604" s="6" t="s">
        <v>345</v>
      </c>
      <c r="K4604" s="10">
        <v>11.05</v>
      </c>
      <c r="L4604" s="10">
        <v>85</v>
      </c>
      <c r="M4604" s="6" t="s">
        <v>375</v>
      </c>
    </row>
    <row r="4605" spans="1:13">
      <c r="A4605" s="6">
        <v>2024</v>
      </c>
      <c r="B4605" s="6">
        <v>10</v>
      </c>
      <c r="C4605" s="6" t="s">
        <v>68</v>
      </c>
      <c r="D4605" s="6" t="s">
        <v>576</v>
      </c>
      <c r="E4605" s="6" t="s">
        <v>369</v>
      </c>
      <c r="F4605" s="6" t="str">
        <f>IF($M4605="PADD I","PADD 1",IF($M4605="PADD II","PADD 2",IF($M4605="PADD III","PADD 3",IF($M4605="PADD IV","PADD 4",IF($M4605="PADD V","PADD 5","")))))</f>
        <v>PADD 3</v>
      </c>
      <c r="G4605" s="6">
        <f>IF(AND($H4605="ATMOS DISTILLATION",ISNUMBER(SEARCH("VPS",$I4605))=FALSE,LEFT($I4605,6)&lt;&gt;"VACUUM"),"CDU",IF($H4605="FLUID CAT CRACKING","FCC",IF(OR($H4605="HYDROCRACKING",$H4605="RESID_HYDROCRACKING"),"Hydrocracker",IF($H4605="REFORMING","Reformer",""))))</f>
        <v/>
      </c>
      <c r="H4605" s="6" t="s">
        <v>460</v>
      </c>
      <c r="I4605" s="6" t="s">
        <v>461</v>
      </c>
      <c r="J4605" s="6" t="s">
        <v>349</v>
      </c>
      <c r="K4605" s="10">
        <v>10.5</v>
      </c>
      <c r="L4605" s="10">
        <v>10.5</v>
      </c>
      <c r="M4605" s="6" t="s">
        <v>371</v>
      </c>
    </row>
    <row r="4606" spans="1:13">
      <c r="A4606" s="6">
        <v>2024</v>
      </c>
      <c r="B4606" s="6">
        <v>10</v>
      </c>
      <c r="C4606" s="6" t="s">
        <v>68</v>
      </c>
      <c r="D4606" s="6" t="s">
        <v>50</v>
      </c>
      <c r="E4606" s="6" t="s">
        <v>381</v>
      </c>
      <c r="F4606" s="6" t="str">
        <f>IF($M4606="PADD I","PADD 1",IF($M4606="PADD II","PADD 2",IF($M4606="PADD III","PADD 3",IF($M4606="PADD IV","PADD 4",IF($M4606="PADD V","PADD 5","")))))</f>
        <v>PADD 3</v>
      </c>
      <c r="G4606" s="6" t="str">
        <f>IF(AND($H4606="ATMOS DISTILLATION",ISNUMBER(SEARCH("VPS",$I4606))=FALSE,LEFT($I4606,6)&lt;&gt;"VACUUM"),"CDU",IF($H4606="FLUID CAT CRACKING","FCC",IF(OR($H4606="HYDROCRACKING",$H4606="RESID_HYDROCRACKING"),"Hydrocracker",IF($H4606="REFORMING","Reformer",""))))</f>
        <v>Reformer</v>
      </c>
      <c r="H4606" s="6" t="s">
        <v>421</v>
      </c>
      <c r="I4606" s="6" t="s">
        <v>892</v>
      </c>
      <c r="J4606" s="6" t="s">
        <v>349</v>
      </c>
      <c r="K4606" s="10">
        <v>10.4</v>
      </c>
      <c r="L4606" s="10">
        <v>20</v>
      </c>
      <c r="M4606" s="6" t="s">
        <v>371</v>
      </c>
    </row>
    <row r="4607" spans="1:13">
      <c r="A4607" s="6">
        <v>2024</v>
      </c>
      <c r="B4607" s="6">
        <v>10</v>
      </c>
      <c r="C4607" s="6" t="s">
        <v>68</v>
      </c>
      <c r="D4607" s="6" t="s">
        <v>329</v>
      </c>
      <c r="E4607" s="6" t="s">
        <v>427</v>
      </c>
      <c r="F4607" s="6" t="str">
        <f>IF($M4607="PADD I","PADD 1",IF($M4607="PADD II","PADD 2",IF($M4607="PADD III","PADD 3",IF($M4607="PADD IV","PADD 4",IF($M4607="PADD V","PADD 5","")))))</f>
        <v>PADD 3</v>
      </c>
      <c r="G4607" s="6">
        <f>IF(AND($H4607="ATMOS DISTILLATION",ISNUMBER(SEARCH("VPS",$I4607))=FALSE,LEFT($I4607,6)&lt;&gt;"VACUUM"),"CDU",IF($H4607="FLUID CAT CRACKING","FCC",IF(OR($H4607="HYDROCRACKING",$H4607="RESID_HYDROCRACKING"),"Hydrocracker",IF($H4607="REFORMING","Reformer",""))))</f>
        <v/>
      </c>
      <c r="H4607" s="6" t="s">
        <v>568</v>
      </c>
      <c r="I4607" s="6" t="s">
        <v>604</v>
      </c>
      <c r="J4607" s="6" t="s">
        <v>349</v>
      </c>
      <c r="K4607" s="10">
        <v>10</v>
      </c>
      <c r="L4607" s="10">
        <v>10</v>
      </c>
      <c r="M4607" s="6" t="s">
        <v>371</v>
      </c>
    </row>
    <row r="4608" spans="1:13">
      <c r="A4608" s="6">
        <v>2024</v>
      </c>
      <c r="B4608" s="6">
        <v>10</v>
      </c>
      <c r="C4608" s="6" t="s">
        <v>68</v>
      </c>
      <c r="D4608" s="6" t="s">
        <v>324</v>
      </c>
      <c r="E4608" s="6" t="s">
        <v>388</v>
      </c>
      <c r="F4608" s="6" t="str">
        <f>IF($M4608="PADD I","PADD 1",IF($M4608="PADD II","PADD 2",IF($M4608="PADD III","PADD 3",IF($M4608="PADD IV","PADD 4",IF($M4608="PADD V","PADD 5","")))))</f>
        <v>PADD 3</v>
      </c>
      <c r="G4608" s="6" t="str">
        <f>IF(AND($H4608="ATMOS DISTILLATION",ISNUMBER(SEARCH("VPS",$I4608))=FALSE,LEFT($I4608,6)&lt;&gt;"VACUUM"),"CDU",IF($H4608="FLUID CAT CRACKING","FCC",IF(OR($H4608="HYDROCRACKING",$H4608="RESID_HYDROCRACKING"),"Hydrocracker",IF($H4608="REFORMING","Reformer",""))))</f>
        <v>CDU</v>
      </c>
      <c r="H4608" s="6" t="s">
        <v>38</v>
      </c>
      <c r="I4608" s="6" t="s">
        <v>99</v>
      </c>
      <c r="J4608" s="6" t="s">
        <v>345</v>
      </c>
      <c r="K4608" s="10">
        <v>9.75</v>
      </c>
      <c r="L4608" s="10">
        <v>325</v>
      </c>
      <c r="M4608" s="6" t="s">
        <v>371</v>
      </c>
    </row>
    <row r="4609" spans="1:13">
      <c r="A4609" s="6">
        <v>2024</v>
      </c>
      <c r="B4609" s="6">
        <v>10</v>
      </c>
      <c r="C4609" s="6" t="s">
        <v>68</v>
      </c>
      <c r="D4609" s="6" t="s">
        <v>815</v>
      </c>
      <c r="E4609" s="6" t="s">
        <v>452</v>
      </c>
      <c r="F4609" s="6" t="str">
        <f>IF($M4609="PADD I","PADD 1",IF($M4609="PADD II","PADD 2",IF($M4609="PADD III","PADD 3",IF($M4609="PADD IV","PADD 4",IF($M4609="PADD V","PADD 5","")))))</f>
        <v>PADD 4</v>
      </c>
      <c r="G4609" s="6">
        <f>IF(AND($H4609="ATMOS DISTILLATION",ISNUMBER(SEARCH("VPS",$I4609))=FALSE,LEFT($I4609,6)&lt;&gt;"VACUUM"),"CDU",IF($H4609="FLUID CAT CRACKING","FCC",IF(OR($H4609="HYDROCRACKING",$H4609="RESID_HYDROCRACKING"),"Hydrocracker",IF($H4609="REFORMING","Reformer",""))))</f>
        <v/>
      </c>
      <c r="H4609" s="6" t="s">
        <v>378</v>
      </c>
      <c r="I4609" s="6" t="s">
        <v>1236</v>
      </c>
      <c r="J4609" s="6" t="s">
        <v>349</v>
      </c>
      <c r="K4609" s="10">
        <v>9.6</v>
      </c>
      <c r="L4609" s="10">
        <v>30</v>
      </c>
      <c r="M4609" s="6" t="s">
        <v>430</v>
      </c>
    </row>
    <row r="4610" spans="1:13">
      <c r="A4610" s="6">
        <v>2024</v>
      </c>
      <c r="B4610" s="6">
        <v>10</v>
      </c>
      <c r="C4610" s="6" t="s">
        <v>68</v>
      </c>
      <c r="D4610" s="6" t="s">
        <v>321</v>
      </c>
      <c r="E4610" s="6" t="s">
        <v>381</v>
      </c>
      <c r="F4610" s="6" t="str">
        <f>IF($M4610="PADD I","PADD 1",IF($M4610="PADD II","PADD 2",IF($M4610="PADD III","PADD 3",IF($M4610="PADD IV","PADD 4",IF($M4610="PADD V","PADD 5","")))))</f>
        <v>PADD 2</v>
      </c>
      <c r="G4610" s="6" t="str">
        <f>IF(AND($H4610="ATMOS DISTILLATION",ISNUMBER(SEARCH("VPS",$I4610))=FALSE,LEFT($I4610,6)&lt;&gt;"VACUUM"),"CDU",IF($H4610="FLUID CAT CRACKING","FCC",IF(OR($H4610="HYDROCRACKING",$H4610="RESID_HYDROCRACKING"),"Hydrocracker",IF($H4610="REFORMING","Reformer",""))))</f>
        <v>CDU</v>
      </c>
      <c r="H4610" s="6" t="s">
        <v>38</v>
      </c>
      <c r="I4610" s="6" t="s">
        <v>81</v>
      </c>
      <c r="J4610" s="6" t="s">
        <v>345</v>
      </c>
      <c r="K4610" s="10">
        <v>9.6</v>
      </c>
      <c r="L4610" s="10">
        <v>60</v>
      </c>
      <c r="M4610" s="6" t="s">
        <v>375</v>
      </c>
    </row>
    <row r="4611" spans="1:13">
      <c r="A4611" s="6">
        <v>2024</v>
      </c>
      <c r="B4611" s="6">
        <v>10</v>
      </c>
      <c r="C4611" s="6" t="s">
        <v>68</v>
      </c>
      <c r="D4611" s="6" t="s">
        <v>803</v>
      </c>
      <c r="E4611" s="6" t="s">
        <v>388</v>
      </c>
      <c r="F4611" s="6" t="str">
        <f>IF($M4611="PADD I","PADD 1",IF($M4611="PADD II","PADD 2",IF($M4611="PADD III","PADD 3",IF($M4611="PADD IV","PADD 4",IF($M4611="PADD V","PADD 5","")))))</f>
        <v>PADD 2</v>
      </c>
      <c r="G4611" s="6">
        <f>IF(AND($H4611="ATMOS DISTILLATION",ISNUMBER(SEARCH("VPS",$I4611))=FALSE,LEFT($I4611,6)&lt;&gt;"VACUUM"),"CDU",IF($H4611="FLUID CAT CRACKING","FCC",IF(OR($H4611="HYDROCRACKING",$H4611="RESID_HYDROCRACKING"),"Hydrocracker",IF($H4611="REFORMING","Reformer",""))))</f>
        <v/>
      </c>
      <c r="H4611" s="6" t="s">
        <v>43</v>
      </c>
      <c r="I4611" s="6" t="s">
        <v>918</v>
      </c>
      <c r="J4611" s="6" t="s">
        <v>345</v>
      </c>
      <c r="K4611" s="10">
        <v>9.279999999999999</v>
      </c>
      <c r="L4611" s="10">
        <v>32</v>
      </c>
      <c r="M4611" s="6" t="s">
        <v>375</v>
      </c>
    </row>
    <row r="4612" spans="1:13">
      <c r="A4612" s="6">
        <v>2024</v>
      </c>
      <c r="B4612" s="6">
        <v>10</v>
      </c>
      <c r="C4612" s="6" t="s">
        <v>68</v>
      </c>
      <c r="D4612" s="6" t="s">
        <v>676</v>
      </c>
      <c r="E4612" s="6" t="s">
        <v>677</v>
      </c>
      <c r="F4612" s="6" t="str">
        <f>IF($M4612="PADD I","PADD 1",IF($M4612="PADD II","PADD 2",IF($M4612="PADD III","PADD 3",IF($M4612="PADD IV","PADD 4",IF($M4612="PADD V","PADD 5","")))))</f>
        <v>PADD 1</v>
      </c>
      <c r="G4612" s="6">
        <f>IF(AND($H4612="ATMOS DISTILLATION",ISNUMBER(SEARCH("VPS",$I4612))=FALSE,LEFT($I4612,6)&lt;&gt;"VACUUM"),"CDU",IF($H4612="FLUID CAT CRACKING","FCC",IF(OR($H4612="HYDROCRACKING",$H4612="RESID_HYDROCRACKING"),"Hydrocracker",IF($H4612="REFORMING","Reformer",""))))</f>
        <v/>
      </c>
      <c r="H4612" s="6" t="s">
        <v>378</v>
      </c>
      <c r="I4612" s="6" t="s">
        <v>1262</v>
      </c>
      <c r="J4612" s="6" t="s">
        <v>345</v>
      </c>
      <c r="K4612" s="10">
        <v>8.99</v>
      </c>
      <c r="L4612" s="10">
        <v>31</v>
      </c>
      <c r="M4612" s="6" t="s">
        <v>413</v>
      </c>
    </row>
    <row r="4613" spans="1:13">
      <c r="A4613" s="6">
        <v>2024</v>
      </c>
      <c r="B4613" s="6">
        <v>10</v>
      </c>
      <c r="C4613" s="6" t="s">
        <v>68</v>
      </c>
      <c r="D4613" s="6" t="s">
        <v>329</v>
      </c>
      <c r="E4613" s="6" t="s">
        <v>427</v>
      </c>
      <c r="F4613" s="6" t="str">
        <f>IF($M4613="PADD I","PADD 1",IF($M4613="PADD II","PADD 2",IF($M4613="PADD III","PADD 3",IF($M4613="PADD IV","PADD 4",IF($M4613="PADD V","PADD 5","")))))</f>
        <v>PADD 3</v>
      </c>
      <c r="G4613" s="6" t="str">
        <f>IF(AND($H4613="ATMOS DISTILLATION",ISNUMBER(SEARCH("VPS",$I4613))=FALSE,LEFT($I4613,6)&lt;&gt;"VACUUM"),"CDU",IF($H4613="FLUID CAT CRACKING","FCC",IF(OR($H4613="HYDROCRACKING",$H4613="RESID_HYDROCRACKING"),"Hydrocracker",IF($H4613="REFORMING","Reformer",""))))</f>
        <v>Reformer</v>
      </c>
      <c r="H4613" s="6" t="s">
        <v>421</v>
      </c>
      <c r="I4613" s="6" t="s">
        <v>1162</v>
      </c>
      <c r="J4613" s="6" t="s">
        <v>349</v>
      </c>
      <c r="K4613" s="10">
        <v>8.75</v>
      </c>
      <c r="L4613" s="10">
        <v>8.75</v>
      </c>
      <c r="M4613" s="6" t="s">
        <v>371</v>
      </c>
    </row>
    <row r="4614" spans="1:13">
      <c r="A4614" s="6">
        <v>2024</v>
      </c>
      <c r="B4614" s="6">
        <v>10</v>
      </c>
      <c r="C4614" s="6" t="s">
        <v>68</v>
      </c>
      <c r="D4614" s="6" t="s">
        <v>329</v>
      </c>
      <c r="E4614" s="6" t="s">
        <v>427</v>
      </c>
      <c r="F4614" s="6" t="str">
        <f>IF($M4614="PADD I","PADD 1",IF($M4614="PADD II","PADD 2",IF($M4614="PADD III","PADD 3",IF($M4614="PADD IV","PADD 4",IF($M4614="PADD V","PADD 5","")))))</f>
        <v>PADD 3</v>
      </c>
      <c r="G4614" s="6">
        <f>IF(AND($H4614="ATMOS DISTILLATION",ISNUMBER(SEARCH("VPS",$I4614))=FALSE,LEFT($I4614,6)&lt;&gt;"VACUUM"),"CDU",IF($H4614="FLUID CAT CRACKING","FCC",IF(OR($H4614="HYDROCRACKING",$H4614="RESID_HYDROCRACKING"),"Hydrocracker",IF($H4614="REFORMING","Reformer",""))))</f>
        <v/>
      </c>
      <c r="H4614" s="6" t="s">
        <v>637</v>
      </c>
      <c r="I4614" s="6" t="s">
        <v>1253</v>
      </c>
      <c r="J4614" s="6" t="s">
        <v>349</v>
      </c>
      <c r="K4614" s="10">
        <v>8.5</v>
      </c>
      <c r="L4614" s="10">
        <v>8.5</v>
      </c>
      <c r="M4614" s="6" t="s">
        <v>371</v>
      </c>
    </row>
    <row r="4615" spans="1:13">
      <c r="A4615" s="6">
        <v>2024</v>
      </c>
      <c r="B4615" s="6">
        <v>10</v>
      </c>
      <c r="C4615" s="6" t="s">
        <v>68</v>
      </c>
      <c r="D4615" s="6" t="s">
        <v>738</v>
      </c>
      <c r="E4615" s="6" t="s">
        <v>552</v>
      </c>
      <c r="F4615" s="6" t="str">
        <f>IF($M4615="PADD I","PADD 1",IF($M4615="PADD II","PADD 2",IF($M4615="PADD III","PADD 3",IF($M4615="PADD IV","PADD 4",IF($M4615="PADD V","PADD 5","")))))</f>
        <v>PADD 3</v>
      </c>
      <c r="G4615" s="6" t="str">
        <f>IF(AND($H4615="ATMOS DISTILLATION",ISNUMBER(SEARCH("VPS",$I4615))=FALSE,LEFT($I4615,6)&lt;&gt;"VACUUM"),"CDU",IF($H4615="FLUID CAT CRACKING","FCC",IF(OR($H4615="HYDROCRACKING",$H4615="RESID_HYDROCRACKING"),"Hydrocracker",IF($H4615="REFORMING","Reformer",""))))</f>
        <v>Reformer</v>
      </c>
      <c r="H4615" s="6" t="s">
        <v>421</v>
      </c>
      <c r="I4615" s="6" t="s">
        <v>15</v>
      </c>
      <c r="J4615" s="6" t="s">
        <v>349</v>
      </c>
      <c r="K4615" s="10">
        <v>8.449999999999999</v>
      </c>
      <c r="L4615" s="10">
        <v>13</v>
      </c>
      <c r="M4615" s="6" t="s">
        <v>371</v>
      </c>
    </row>
    <row r="4616" spans="1:13">
      <c r="A4616" s="6">
        <v>2024</v>
      </c>
      <c r="B4616" s="6">
        <v>10</v>
      </c>
      <c r="C4616" s="6" t="s">
        <v>68</v>
      </c>
      <c r="D4616" s="6" t="s">
        <v>839</v>
      </c>
      <c r="E4616" s="6" t="s">
        <v>840</v>
      </c>
      <c r="F4616" s="6" t="str">
        <f>IF($M4616="PADD I","PADD 1",IF($M4616="PADD II","PADD 2",IF($M4616="PADD III","PADD 3",IF($M4616="PADD IV","PADD 4",IF($M4616="PADD V","PADD 5","")))))</f>
        <v>PADD 1</v>
      </c>
      <c r="G4616" s="6" t="str">
        <f>IF(AND($H4616="ATMOS DISTILLATION",ISNUMBER(SEARCH("VPS",$I4616))=FALSE,LEFT($I4616,6)&lt;&gt;"VACUUM"),"CDU",IF($H4616="FLUID CAT CRACKING","FCC",IF(OR($H4616="HYDROCRACKING",$H4616="RESID_HYDROCRACKING"),"Hydrocracker",IF($H4616="REFORMING","Reformer",""))))</f>
        <v>FCC</v>
      </c>
      <c r="H4616" s="6" t="s">
        <v>376</v>
      </c>
      <c r="I4616" s="6" t="s">
        <v>105</v>
      </c>
      <c r="J4616" s="6" t="s">
        <v>345</v>
      </c>
      <c r="K4616" s="10">
        <v>8</v>
      </c>
      <c r="L4616" s="10">
        <v>25</v>
      </c>
      <c r="M4616" s="6" t="s">
        <v>413</v>
      </c>
    </row>
    <row r="4617" spans="1:13">
      <c r="A4617" s="6">
        <v>2024</v>
      </c>
      <c r="B4617" s="6">
        <v>10</v>
      </c>
      <c r="C4617" s="6" t="s">
        <v>68</v>
      </c>
      <c r="D4617" s="6" t="s">
        <v>1229</v>
      </c>
      <c r="E4617" s="6" t="s">
        <v>416</v>
      </c>
      <c r="F4617" s="6" t="str">
        <f>IF($M4617="PADD I","PADD 1",IF($M4617="PADD II","PADD 2",IF($M4617="PADD III","PADD 3",IF($M4617="PADD IV","PADD 4",IF($M4617="PADD V","PADD 5","")))))</f>
        <v>PADD 3</v>
      </c>
      <c r="G4617" s="6" t="str">
        <f>IF(AND($H4617="ATMOS DISTILLATION",ISNUMBER(SEARCH("VPS",$I4617))=FALSE,LEFT($I4617,6)&lt;&gt;"VACUUM"),"CDU",IF($H4617="FLUID CAT CRACKING","FCC",IF(OR($H4617="HYDROCRACKING",$H4617="RESID_HYDROCRACKING"),"Hydrocracker",IF($H4617="REFORMING","Reformer",""))))</f>
        <v>Reformer</v>
      </c>
      <c r="H4617" s="6" t="s">
        <v>421</v>
      </c>
      <c r="I4617" s="6" t="s">
        <v>15</v>
      </c>
      <c r="J4617" s="6" t="s">
        <v>345</v>
      </c>
      <c r="K4617" s="10">
        <v>7.8</v>
      </c>
      <c r="L4617" s="10">
        <v>60</v>
      </c>
      <c r="M4617" s="6" t="s">
        <v>371</v>
      </c>
    </row>
    <row r="4618" spans="1:13">
      <c r="A4618" s="6">
        <v>2024</v>
      </c>
      <c r="B4618" s="6">
        <v>10</v>
      </c>
      <c r="C4618" s="6" t="s">
        <v>68</v>
      </c>
      <c r="D4618" s="6" t="s">
        <v>387</v>
      </c>
      <c r="E4618" s="6" t="s">
        <v>388</v>
      </c>
      <c r="F4618" s="6" t="str">
        <f>IF($M4618="PADD I","PADD 1",IF($M4618="PADD II","PADD 2",IF($M4618="PADD III","PADD 3",IF($M4618="PADD IV","PADD 4",IF($M4618="PADD V","PADD 5","")))))</f>
        <v>PADD 3</v>
      </c>
      <c r="G4618" s="6" t="str">
        <f>IF(AND($H4618="ATMOS DISTILLATION",ISNUMBER(SEARCH("VPS",$I4618))=FALSE,LEFT($I4618,6)&lt;&gt;"VACUUM"),"CDU",IF($H4618="FLUID CAT CRACKING","FCC",IF(OR($H4618="HYDROCRACKING",$H4618="RESID_HYDROCRACKING"),"Hydrocracker",IF($H4618="REFORMING","Reformer",""))))</f>
        <v>Reformer</v>
      </c>
      <c r="H4618" s="6" t="s">
        <v>421</v>
      </c>
      <c r="I4618" s="6" t="s">
        <v>443</v>
      </c>
      <c r="J4618" s="6" t="s">
        <v>345</v>
      </c>
      <c r="K4618" s="10">
        <v>7.75</v>
      </c>
      <c r="L4618" s="10">
        <v>77.5</v>
      </c>
      <c r="M4618" s="6" t="s">
        <v>371</v>
      </c>
    </row>
    <row r="4619" spans="1:13">
      <c r="A4619" s="6">
        <v>2024</v>
      </c>
      <c r="B4619" s="6">
        <v>10</v>
      </c>
      <c r="C4619" s="6" t="s">
        <v>68</v>
      </c>
      <c r="D4619" s="6" t="s">
        <v>934</v>
      </c>
      <c r="E4619" s="6" t="s">
        <v>388</v>
      </c>
      <c r="F4619" s="6" t="str">
        <f>IF($M4619="PADD I","PADD 1",IF($M4619="PADD II","PADD 2",IF($M4619="PADD III","PADD 3",IF($M4619="PADD IV","PADD 4",IF($M4619="PADD V","PADD 5","")))))</f>
        <v>PADD 3</v>
      </c>
      <c r="G4619" s="6" t="str">
        <f>IF(AND($H4619="ATMOS DISTILLATION",ISNUMBER(SEARCH("VPS",$I4619))=FALSE,LEFT($I4619,6)&lt;&gt;"VACUUM"),"CDU",IF($H4619="FLUID CAT CRACKING","FCC",IF(OR($H4619="HYDROCRACKING",$H4619="RESID_HYDROCRACKING"),"Hydrocracker",IF($H4619="REFORMING","Reformer",""))))</f>
        <v>CDU</v>
      </c>
      <c r="H4619" s="6" t="s">
        <v>38</v>
      </c>
      <c r="I4619" s="6" t="s">
        <v>135</v>
      </c>
      <c r="J4619" s="6" t="s">
        <v>345</v>
      </c>
      <c r="K4619" s="10">
        <v>7.5</v>
      </c>
      <c r="L4619" s="10">
        <v>75</v>
      </c>
      <c r="M4619" s="6" t="s">
        <v>371</v>
      </c>
    </row>
    <row r="4620" spans="1:13">
      <c r="A4620" s="6">
        <v>2024</v>
      </c>
      <c r="B4620" s="6">
        <v>10</v>
      </c>
      <c r="C4620" s="6" t="s">
        <v>68</v>
      </c>
      <c r="D4620" s="6" t="s">
        <v>329</v>
      </c>
      <c r="E4620" s="6" t="s">
        <v>427</v>
      </c>
      <c r="F4620" s="6" t="str">
        <f>IF($M4620="PADD I","PADD 1",IF($M4620="PADD II","PADD 2",IF($M4620="PADD III","PADD 3",IF($M4620="PADD IV","PADD 4",IF($M4620="PADD V","PADD 5","")))))</f>
        <v>PADD 3</v>
      </c>
      <c r="G4620" s="6">
        <f>IF(AND($H4620="ATMOS DISTILLATION",ISNUMBER(SEARCH("VPS",$I4620))=FALSE,LEFT($I4620,6)&lt;&gt;"VACUUM"),"CDU",IF($H4620="FLUID CAT CRACKING","FCC",IF(OR($H4620="HYDROCRACKING",$H4620="RESID_HYDROCRACKING"),"Hydrocracker",IF($H4620="REFORMING","Reformer",""))))</f>
        <v/>
      </c>
      <c r="H4620" s="6" t="s">
        <v>1108</v>
      </c>
      <c r="I4620" s="6" t="s">
        <v>1255</v>
      </c>
      <c r="J4620" s="6" t="s">
        <v>349</v>
      </c>
      <c r="K4620" s="10">
        <v>7.5</v>
      </c>
      <c r="L4620" s="10">
        <v>7.5</v>
      </c>
      <c r="M4620" s="6" t="s">
        <v>371</v>
      </c>
    </row>
    <row r="4621" spans="1:13">
      <c r="A4621" s="6">
        <v>2024</v>
      </c>
      <c r="B4621" s="6">
        <v>10</v>
      </c>
      <c r="C4621" s="6" t="s">
        <v>68</v>
      </c>
      <c r="D4621" s="6" t="s">
        <v>675</v>
      </c>
      <c r="E4621" s="6" t="s">
        <v>452</v>
      </c>
      <c r="F4621" s="6" t="str">
        <f>IF($M4621="PADD I","PADD 1",IF($M4621="PADD II","PADD 2",IF($M4621="PADD III","PADD 3",IF($M4621="PADD IV","PADD 4",IF($M4621="PADD V","PADD 5","")))))</f>
        <v>PADD 2</v>
      </c>
      <c r="G4621" s="6" t="str">
        <f>IF(AND($H4621="ATMOS DISTILLATION",ISNUMBER(SEARCH("VPS",$I4621))=FALSE,LEFT($I4621,6)&lt;&gt;"VACUUM"),"CDU",IF($H4621="FLUID CAT CRACKING","FCC",IF(OR($H4621="HYDROCRACKING",$H4621="RESID_HYDROCRACKING"),"Hydrocracker",IF($H4621="REFORMING","Reformer",""))))</f>
        <v>Reformer</v>
      </c>
      <c r="H4621" s="6" t="s">
        <v>421</v>
      </c>
      <c r="I4621" s="6" t="s">
        <v>348</v>
      </c>
      <c r="J4621" s="6" t="s">
        <v>349</v>
      </c>
      <c r="K4621" s="10">
        <v>7.5</v>
      </c>
      <c r="L4621" s="10">
        <v>7.5</v>
      </c>
      <c r="M4621" s="6" t="s">
        <v>375</v>
      </c>
    </row>
    <row r="4622" spans="1:13">
      <c r="A4622" s="6">
        <v>2024</v>
      </c>
      <c r="B4622" s="6">
        <v>10</v>
      </c>
      <c r="C4622" s="6" t="s">
        <v>68</v>
      </c>
      <c r="D4622" s="6" t="s">
        <v>887</v>
      </c>
      <c r="E4622" s="6" t="s">
        <v>405</v>
      </c>
      <c r="F4622" s="6" t="str">
        <f>IF($M4622="PADD I","PADD 1",IF($M4622="PADD II","PADD 2",IF($M4622="PADD III","PADD 3",IF($M4622="PADD IV","PADD 4",IF($M4622="PADD V","PADD 5","")))))</f>
        <v>PADD 3</v>
      </c>
      <c r="G4622" s="6" t="str">
        <f>IF(AND($H4622="ATMOS DISTILLATION",ISNUMBER(SEARCH("VPS",$I4622))=FALSE,LEFT($I4622,6)&lt;&gt;"VACUUM"),"CDU",IF($H4622="FLUID CAT CRACKING","FCC",IF(OR($H4622="HYDROCRACKING",$H4622="RESID_HYDROCRACKING"),"Hydrocracker",IF($H4622="REFORMING","Reformer",""))))</f>
        <v>Reformer</v>
      </c>
      <c r="H4622" s="6" t="s">
        <v>421</v>
      </c>
      <c r="I4622" s="6" t="s">
        <v>539</v>
      </c>
      <c r="J4622" s="6" t="s">
        <v>345</v>
      </c>
      <c r="K4622" s="10">
        <v>7.36</v>
      </c>
      <c r="L4622" s="10">
        <v>23</v>
      </c>
      <c r="M4622" s="6" t="s">
        <v>371</v>
      </c>
    </row>
    <row r="4623" spans="1:13">
      <c r="A4623" s="6">
        <v>2024</v>
      </c>
      <c r="B4623" s="6">
        <v>10</v>
      </c>
      <c r="C4623" s="6" t="s">
        <v>68</v>
      </c>
      <c r="D4623" s="6" t="s">
        <v>851</v>
      </c>
      <c r="E4623" s="6" t="s">
        <v>852</v>
      </c>
      <c r="F4623" s="6" t="str">
        <f>IF($M4623="PADD I","PADD 1",IF($M4623="PADD II","PADD 2",IF($M4623="PADD III","PADD 3",IF($M4623="PADD IV","PADD 4",IF($M4623="PADD V","PADD 5","")))))</f>
        <v>PADD 3</v>
      </c>
      <c r="G4623" s="6" t="str">
        <f>IF(AND($H4623="ATMOS DISTILLATION",ISNUMBER(SEARCH("VPS",$I4623))=FALSE,LEFT($I4623,6)&lt;&gt;"VACUUM"),"CDU",IF($H4623="FLUID CAT CRACKING","FCC",IF(OR($H4623="HYDROCRACKING",$H4623="RESID_HYDROCRACKING"),"Hydrocracker",IF($H4623="REFORMING","Reformer",""))))</f>
        <v>CDU</v>
      </c>
      <c r="H4623" s="6" t="s">
        <v>38</v>
      </c>
      <c r="I4623" s="6" t="s">
        <v>854</v>
      </c>
      <c r="J4623" s="6" t="s">
        <v>345</v>
      </c>
      <c r="K4623" s="10">
        <v>7.3</v>
      </c>
      <c r="L4623" s="10">
        <v>73</v>
      </c>
      <c r="M4623" s="6" t="s">
        <v>371</v>
      </c>
    </row>
    <row r="4624" spans="1:13">
      <c r="A4624" s="6">
        <v>2024</v>
      </c>
      <c r="B4624" s="6">
        <v>10</v>
      </c>
      <c r="C4624" s="6" t="s">
        <v>68</v>
      </c>
      <c r="D4624" s="6" t="s">
        <v>50</v>
      </c>
      <c r="E4624" s="6" t="s">
        <v>381</v>
      </c>
      <c r="F4624" s="6" t="str">
        <f>IF($M4624="PADD I","PADD 1",IF($M4624="PADD II","PADD 2",IF($M4624="PADD III","PADD 3",IF($M4624="PADD IV","PADD 4",IF($M4624="PADD V","PADD 5","")))))</f>
        <v>PADD 3</v>
      </c>
      <c r="G4624" s="6" t="str">
        <f>IF(AND($H4624="ATMOS DISTILLATION",ISNUMBER(SEARCH("VPS",$I4624))=FALSE,LEFT($I4624,6)&lt;&gt;"VACUUM"),"CDU",IF($H4624="FLUID CAT CRACKING","FCC",IF(OR($H4624="HYDROCRACKING",$H4624="RESID_HYDROCRACKING"),"Hydrocracker",IF($H4624="REFORMING","Reformer",""))))</f>
        <v>Reformer</v>
      </c>
      <c r="H4624" s="6" t="s">
        <v>421</v>
      </c>
      <c r="I4624" s="6" t="s">
        <v>1086</v>
      </c>
      <c r="J4624" s="6" t="s">
        <v>349</v>
      </c>
      <c r="K4624" s="10">
        <v>7.25</v>
      </c>
      <c r="L4624" s="10">
        <v>25</v>
      </c>
      <c r="M4624" s="6" t="s">
        <v>371</v>
      </c>
    </row>
    <row r="4625" spans="1:13">
      <c r="A4625" s="6">
        <v>2024</v>
      </c>
      <c r="B4625" s="6">
        <v>10</v>
      </c>
      <c r="C4625" s="6" t="s">
        <v>68</v>
      </c>
      <c r="D4625" s="6" t="s">
        <v>446</v>
      </c>
      <c r="E4625" s="6" t="s">
        <v>391</v>
      </c>
      <c r="F4625" s="6" t="str">
        <f>IF($M4625="PADD I","PADD 1",IF($M4625="PADD II","PADD 2",IF($M4625="PADD III","PADD 3",IF($M4625="PADD IV","PADD 4",IF($M4625="PADD V","PADD 5","")))))</f>
        <v>PADD 3</v>
      </c>
      <c r="G4625" s="6">
        <f>IF(AND($H4625="ATMOS DISTILLATION",ISNUMBER(SEARCH("VPS",$I4625))=FALSE,LEFT($I4625,6)&lt;&gt;"VACUUM"),"CDU",IF($H4625="FLUID CAT CRACKING","FCC",IF(OR($H4625="HYDROCRACKING",$H4625="RESID_HYDROCRACKING"),"Hydrocracker",IF($H4625="REFORMING","Reformer",""))))</f>
        <v/>
      </c>
      <c r="H4625" s="6" t="s">
        <v>460</v>
      </c>
      <c r="I4625" s="6" t="s">
        <v>1075</v>
      </c>
      <c r="J4625" s="6" t="s">
        <v>345</v>
      </c>
      <c r="K4625" s="10">
        <v>7.2</v>
      </c>
      <c r="L4625" s="10">
        <v>7.2</v>
      </c>
      <c r="M4625" s="6" t="s">
        <v>371</v>
      </c>
    </row>
    <row r="4626" spans="1:13">
      <c r="A4626" s="6">
        <v>2024</v>
      </c>
      <c r="B4626" s="6">
        <v>10</v>
      </c>
      <c r="C4626" s="6" t="s">
        <v>68</v>
      </c>
      <c r="D4626" s="6" t="s">
        <v>40</v>
      </c>
      <c r="E4626" s="6" t="s">
        <v>736</v>
      </c>
      <c r="F4626" s="6" t="str">
        <f>IF($M4626="PADD I","PADD 1",IF($M4626="PADD II","PADD 2",IF($M4626="PADD III","PADD 3",IF($M4626="PADD IV","PADD 4",IF($M4626="PADD V","PADD 5","")))))</f>
        <v>PADD 1</v>
      </c>
      <c r="G4626" s="6">
        <f>IF(AND($H4626="ATMOS DISTILLATION",ISNUMBER(SEARCH("VPS",$I4626))=FALSE,LEFT($I4626,6)&lt;&gt;"VACUUM"),"CDU",IF($H4626="FLUID CAT CRACKING","FCC",IF(OR($H4626="HYDROCRACKING",$H4626="RESID_HYDROCRACKING"),"Hydrocracker",IF($H4626="REFORMING","Reformer",""))))</f>
        <v/>
      </c>
      <c r="H4626" s="6" t="s">
        <v>378</v>
      </c>
      <c r="I4626" s="6" t="s">
        <v>1010</v>
      </c>
      <c r="J4626" s="6" t="s">
        <v>349</v>
      </c>
      <c r="K4626" s="10">
        <v>7.0557</v>
      </c>
      <c r="L4626" s="10">
        <v>24.33</v>
      </c>
      <c r="M4626" s="6" t="s">
        <v>413</v>
      </c>
    </row>
    <row r="4627" spans="1:13">
      <c r="A4627" s="6">
        <v>2024</v>
      </c>
      <c r="B4627" s="6">
        <v>10</v>
      </c>
      <c r="C4627" s="6" t="s">
        <v>68</v>
      </c>
      <c r="D4627" s="6" t="s">
        <v>946</v>
      </c>
      <c r="E4627" s="6" t="s">
        <v>405</v>
      </c>
      <c r="F4627" s="6" t="str">
        <f>IF($M4627="PADD I","PADD 1",IF($M4627="PADD II","PADD 2",IF($M4627="PADD III","PADD 3",IF($M4627="PADD IV","PADD 4",IF($M4627="PADD V","PADD 5","")))))</f>
        <v>PADD 5</v>
      </c>
      <c r="G4627" s="6" t="str">
        <f>IF(AND($H4627="ATMOS DISTILLATION",ISNUMBER(SEARCH("VPS",$I4627))=FALSE,LEFT($I4627,6)&lt;&gt;"VACUUM"),"CDU",IF($H4627="FLUID CAT CRACKING","FCC",IF(OR($H4627="HYDROCRACKING",$H4627="RESID_HYDROCRACKING"),"Hydrocracker",IF($H4627="REFORMING","Reformer",""))))</f>
        <v>FCC</v>
      </c>
      <c r="H4627" s="6" t="s">
        <v>376</v>
      </c>
      <c r="I4627" s="6" t="s">
        <v>947</v>
      </c>
      <c r="J4627" s="6" t="s">
        <v>345</v>
      </c>
      <c r="K4627" s="10">
        <v>7.02</v>
      </c>
      <c r="L4627" s="10">
        <v>54</v>
      </c>
      <c r="M4627" s="6" t="s">
        <v>386</v>
      </c>
    </row>
    <row r="4628" spans="1:13">
      <c r="A4628" s="6">
        <v>2024</v>
      </c>
      <c r="B4628" s="6">
        <v>10</v>
      </c>
      <c r="C4628" s="6" t="s">
        <v>68</v>
      </c>
      <c r="D4628" s="6" t="s">
        <v>1063</v>
      </c>
      <c r="E4628" s="6" t="s">
        <v>388</v>
      </c>
      <c r="F4628" s="6" t="str">
        <f>IF($M4628="PADD I","PADD 1",IF($M4628="PADD II","PADD 2",IF($M4628="PADD III","PADD 3",IF($M4628="PADD IV","PADD 4",IF($M4628="PADD V","PADD 5","")))))</f>
        <v>PADD 2</v>
      </c>
      <c r="G4628" s="6">
        <f>IF(AND($H4628="ATMOS DISTILLATION",ISNUMBER(SEARCH("VPS",$I4628))=FALSE,LEFT($I4628,6)&lt;&gt;"VACUUM"),"CDU",IF($H4628="FLUID CAT CRACKING","FCC",IF(OR($H4628="HYDROCRACKING",$H4628="RESID_HYDROCRACKING"),"Hydrocracker",IF($H4628="REFORMING","Reformer",""))))</f>
        <v/>
      </c>
      <c r="H4628" s="6" t="s">
        <v>43</v>
      </c>
      <c r="I4628" s="6" t="s">
        <v>689</v>
      </c>
      <c r="J4628" s="6" t="s">
        <v>345</v>
      </c>
      <c r="K4628" s="10">
        <v>7</v>
      </c>
      <c r="L4628" s="10">
        <v>7</v>
      </c>
      <c r="M4628" s="6" t="s">
        <v>375</v>
      </c>
    </row>
    <row r="4629" spans="1:13">
      <c r="A4629" s="6">
        <v>2024</v>
      </c>
      <c r="B4629" s="6">
        <v>10</v>
      </c>
      <c r="C4629" s="6" t="s">
        <v>68</v>
      </c>
      <c r="D4629" s="6" t="s">
        <v>395</v>
      </c>
      <c r="E4629" s="6" t="s">
        <v>396</v>
      </c>
      <c r="F4629" s="6" t="str">
        <f>IF($M4629="PADD I","PADD 1",IF($M4629="PADD II","PADD 2",IF($M4629="PADD III","PADD 3",IF($M4629="PADD IV","PADD 4",IF($M4629="PADD V","PADD 5","")))))</f>
        <v>PADD 3</v>
      </c>
      <c r="G4629" s="6">
        <f>IF(AND($H4629="ATMOS DISTILLATION",ISNUMBER(SEARCH("VPS",$I4629))=FALSE,LEFT($I4629,6)&lt;&gt;"VACUUM"),"CDU",IF($H4629="FLUID CAT CRACKING","FCC",IF(OR($H4629="HYDROCRACKING",$H4629="RESID_HYDROCRACKING"),"Hydrocracker",IF($H4629="REFORMING","Reformer",""))))</f>
        <v/>
      </c>
      <c r="H4629" s="6" t="s">
        <v>43</v>
      </c>
      <c r="I4629" s="6" t="s">
        <v>545</v>
      </c>
      <c r="J4629" s="6" t="s">
        <v>345</v>
      </c>
      <c r="K4629" s="10">
        <v>6.88</v>
      </c>
      <c r="L4629" s="10">
        <v>43</v>
      </c>
      <c r="M4629" s="6" t="s">
        <v>371</v>
      </c>
    </row>
    <row r="4630" spans="1:13">
      <c r="A4630" s="6">
        <v>2024</v>
      </c>
      <c r="B4630" s="6">
        <v>10</v>
      </c>
      <c r="C4630" s="6" t="s">
        <v>68</v>
      </c>
      <c r="D4630" s="6" t="s">
        <v>395</v>
      </c>
      <c r="E4630" s="6" t="s">
        <v>396</v>
      </c>
      <c r="F4630" s="6" t="str">
        <f>IF($M4630="PADD I","PADD 1",IF($M4630="PADD II","PADD 2",IF($M4630="PADD III","PADD 3",IF($M4630="PADD IV","PADD 4",IF($M4630="PADD V","PADD 5","")))))</f>
        <v>PADD 3</v>
      </c>
      <c r="G4630" s="6">
        <f>IF(AND($H4630="ATMOS DISTILLATION",ISNUMBER(SEARCH("VPS",$I4630))=FALSE,LEFT($I4630,6)&lt;&gt;"VACUUM"),"CDU",IF($H4630="FLUID CAT CRACKING","FCC",IF(OR($H4630="HYDROCRACKING",$H4630="RESID_HYDROCRACKING"),"Hydrocracker",IF($H4630="REFORMING","Reformer",""))))</f>
        <v/>
      </c>
      <c r="H4630" s="6" t="s">
        <v>43</v>
      </c>
      <c r="I4630" s="6" t="s">
        <v>549</v>
      </c>
      <c r="J4630" s="6" t="s">
        <v>345</v>
      </c>
      <c r="K4630" s="10">
        <v>6.64</v>
      </c>
      <c r="L4630" s="10">
        <v>41.5</v>
      </c>
      <c r="M4630" s="6" t="s">
        <v>371</v>
      </c>
    </row>
    <row r="4631" spans="1:13">
      <c r="A4631" s="6">
        <v>2024</v>
      </c>
      <c r="B4631" s="6">
        <v>10</v>
      </c>
      <c r="C4631" s="6" t="s">
        <v>68</v>
      </c>
      <c r="D4631" s="6" t="s">
        <v>395</v>
      </c>
      <c r="E4631" s="6" t="s">
        <v>396</v>
      </c>
      <c r="F4631" s="6" t="str">
        <f>IF($M4631="PADD I","PADD 1",IF($M4631="PADD II","PADD 2",IF($M4631="PADD III","PADD 3",IF($M4631="PADD IV","PADD 4",IF($M4631="PADD V","PADD 5","")))))</f>
        <v>PADD 3</v>
      </c>
      <c r="G4631" s="6">
        <f>IF(AND($H4631="ATMOS DISTILLATION",ISNUMBER(SEARCH("VPS",$I4631))=FALSE,LEFT($I4631,6)&lt;&gt;"VACUUM"),"CDU",IF($H4631="FLUID CAT CRACKING","FCC",IF(OR($H4631="HYDROCRACKING",$H4631="RESID_HYDROCRACKING"),"Hydrocracker",IF($H4631="REFORMING","Reformer",""))))</f>
        <v/>
      </c>
      <c r="H4631" s="6" t="s">
        <v>43</v>
      </c>
      <c r="I4631" s="6" t="s">
        <v>550</v>
      </c>
      <c r="J4631" s="6" t="s">
        <v>345</v>
      </c>
      <c r="K4631" s="10">
        <v>6.576</v>
      </c>
      <c r="L4631" s="10">
        <v>41.1</v>
      </c>
      <c r="M4631" s="6" t="s">
        <v>371</v>
      </c>
    </row>
    <row r="4632" spans="1:13">
      <c r="A4632" s="6">
        <v>2024</v>
      </c>
      <c r="B4632" s="6">
        <v>10</v>
      </c>
      <c r="C4632" s="6" t="s">
        <v>68</v>
      </c>
      <c r="D4632" s="6" t="s">
        <v>446</v>
      </c>
      <c r="E4632" s="6" t="s">
        <v>391</v>
      </c>
      <c r="F4632" s="6" t="str">
        <f>IF($M4632="PADD I","PADD 1",IF($M4632="PADD II","PADD 2",IF($M4632="PADD III","PADD 3",IF($M4632="PADD IV","PADD 4",IF($M4632="PADD V","PADD 5","")))))</f>
        <v>PADD 3</v>
      </c>
      <c r="G4632" s="6">
        <f>IF(AND($H4632="ATMOS DISTILLATION",ISNUMBER(SEARCH("VPS",$I4632))=FALSE,LEFT($I4632,6)&lt;&gt;"VACUUM"),"CDU",IF($H4632="FLUID CAT CRACKING","FCC",IF(OR($H4632="HYDROCRACKING",$H4632="RESID_HYDROCRACKING"),"Hydrocracker",IF($H4632="REFORMING","Reformer",""))))</f>
        <v/>
      </c>
      <c r="H4632" s="6" t="s">
        <v>460</v>
      </c>
      <c r="I4632" s="6" t="s">
        <v>580</v>
      </c>
      <c r="J4632" s="6" t="s">
        <v>345</v>
      </c>
      <c r="K4632" s="10">
        <v>6.48</v>
      </c>
      <c r="L4632" s="10">
        <v>7.2</v>
      </c>
      <c r="M4632" s="6" t="s">
        <v>371</v>
      </c>
    </row>
    <row r="4633" spans="1:13">
      <c r="A4633" s="6">
        <v>2024</v>
      </c>
      <c r="B4633" s="6">
        <v>10</v>
      </c>
      <c r="C4633" s="6" t="s">
        <v>68</v>
      </c>
      <c r="D4633" s="6" t="s">
        <v>526</v>
      </c>
      <c r="E4633" s="6" t="s">
        <v>405</v>
      </c>
      <c r="F4633" s="6" t="str">
        <f>IF($M4633="PADD I","PADD 1",IF($M4633="PADD II","PADD 2",IF($M4633="PADD III","PADD 3",IF($M4633="PADD IV","PADD 4",IF($M4633="PADD V","PADD 5","")))))</f>
        <v>PADD 3</v>
      </c>
      <c r="G4633" s="6" t="str">
        <f>IF(AND($H4633="ATMOS DISTILLATION",ISNUMBER(SEARCH("VPS",$I4633))=FALSE,LEFT($I4633,6)&lt;&gt;"VACUUM"),"CDU",IF($H4633="FLUID CAT CRACKING","FCC",IF(OR($H4633="HYDROCRACKING",$H4633="RESID_HYDROCRACKING"),"Hydrocracker",IF($H4633="REFORMING","Reformer",""))))</f>
        <v>CDU</v>
      </c>
      <c r="H4633" s="6" t="s">
        <v>38</v>
      </c>
      <c r="I4633" s="6" t="s">
        <v>350</v>
      </c>
      <c r="J4633" s="6" t="s">
        <v>345</v>
      </c>
      <c r="K4633" s="10">
        <v>6.3</v>
      </c>
      <c r="L4633" s="10">
        <v>210</v>
      </c>
      <c r="M4633" s="6" t="s">
        <v>371</v>
      </c>
    </row>
    <row r="4634" spans="1:13">
      <c r="A4634" s="6">
        <v>2024</v>
      </c>
      <c r="B4634" s="6">
        <v>10</v>
      </c>
      <c r="C4634" s="6" t="s">
        <v>68</v>
      </c>
      <c r="D4634" s="6" t="s">
        <v>51</v>
      </c>
      <c r="E4634" s="6" t="s">
        <v>391</v>
      </c>
      <c r="F4634" s="6" t="str">
        <f>IF($M4634="PADD I","PADD 1",IF($M4634="PADD II","PADD 2",IF($M4634="PADD III","PADD 3",IF($M4634="PADD IV","PADD 4",IF($M4634="PADD V","PADD 5","")))))</f>
        <v>PADD 5</v>
      </c>
      <c r="G4634" s="6">
        <f>IF(AND($H4634="ATMOS DISTILLATION",ISNUMBER(SEARCH("VPS",$I4634))=FALSE,LEFT($I4634,6)&lt;&gt;"VACUUM"),"CDU",IF($H4634="FLUID CAT CRACKING","FCC",IF(OR($H4634="HYDROCRACKING",$H4634="RESID_HYDROCRACKING"),"Hydrocracker",IF($H4634="REFORMING","Reformer",""))))</f>
        <v/>
      </c>
      <c r="H4634" s="6" t="s">
        <v>378</v>
      </c>
      <c r="I4634" s="6" t="s">
        <v>1035</v>
      </c>
      <c r="J4634" s="6" t="s">
        <v>345</v>
      </c>
      <c r="K4634" s="10">
        <v>6.3</v>
      </c>
      <c r="L4634" s="10">
        <v>105</v>
      </c>
      <c r="M4634" s="6" t="s">
        <v>386</v>
      </c>
    </row>
    <row r="4635" spans="1:13">
      <c r="A4635" s="6">
        <v>2024</v>
      </c>
      <c r="B4635" s="6">
        <v>10</v>
      </c>
      <c r="C4635" s="6" t="s">
        <v>68</v>
      </c>
      <c r="D4635" s="6" t="s">
        <v>395</v>
      </c>
      <c r="E4635" s="6" t="s">
        <v>396</v>
      </c>
      <c r="F4635" s="6" t="str">
        <f>IF($M4635="PADD I","PADD 1",IF($M4635="PADD II","PADD 2",IF($M4635="PADD III","PADD 3",IF($M4635="PADD IV","PADD 4",IF($M4635="PADD V","PADD 5","")))))</f>
        <v>PADD 3</v>
      </c>
      <c r="G4635" s="6">
        <f>IF(AND($H4635="ATMOS DISTILLATION",ISNUMBER(SEARCH("VPS",$I4635))=FALSE,LEFT($I4635,6)&lt;&gt;"VACUUM"),"CDU",IF($H4635="FLUID CAT CRACKING","FCC",IF(OR($H4635="HYDROCRACKING",$H4635="RESID_HYDROCRACKING"),"Hydrocracker",IF($H4635="REFORMING","Reformer",""))))</f>
        <v/>
      </c>
      <c r="H4635" s="6" t="s">
        <v>43</v>
      </c>
      <c r="I4635" s="6" t="s">
        <v>554</v>
      </c>
      <c r="J4635" s="6" t="s">
        <v>345</v>
      </c>
      <c r="K4635" s="10">
        <v>6.16</v>
      </c>
      <c r="L4635" s="10">
        <v>38.5</v>
      </c>
      <c r="M4635" s="6" t="s">
        <v>371</v>
      </c>
    </row>
    <row r="4636" spans="1:13">
      <c r="A4636" s="6">
        <v>2024</v>
      </c>
      <c r="B4636" s="6">
        <v>10</v>
      </c>
      <c r="C4636" s="6" t="s">
        <v>68</v>
      </c>
      <c r="D4636" s="6" t="s">
        <v>465</v>
      </c>
      <c r="E4636" s="6" t="s">
        <v>369</v>
      </c>
      <c r="F4636" s="6" t="str">
        <f>IF($M4636="PADD I","PADD 1",IF($M4636="PADD II","PADD 2",IF($M4636="PADD III","PADD 3",IF($M4636="PADD IV","PADD 4",IF($M4636="PADD V","PADD 5","")))))</f>
        <v>PADD 5</v>
      </c>
      <c r="G4636" s="6">
        <f>IF(AND($H4636="ATMOS DISTILLATION",ISNUMBER(SEARCH("VPS",$I4636))=FALSE,LEFT($I4636,6)&lt;&gt;"VACUUM"),"CDU",IF($H4636="FLUID CAT CRACKING","FCC",IF(OR($H4636="HYDROCRACKING",$H4636="RESID_HYDROCRACKING"),"Hydrocracker",IF($H4636="REFORMING","Reformer",""))))</f>
        <v/>
      </c>
      <c r="H4636" s="6" t="s">
        <v>43</v>
      </c>
      <c r="I4636" s="6" t="s">
        <v>669</v>
      </c>
      <c r="J4636" s="6" t="s">
        <v>349</v>
      </c>
      <c r="K4636" s="10">
        <v>6.08</v>
      </c>
      <c r="L4636" s="10">
        <v>19</v>
      </c>
      <c r="M4636" s="6" t="s">
        <v>386</v>
      </c>
    </row>
    <row r="4637" spans="1:13">
      <c r="A4637" s="6">
        <v>2024</v>
      </c>
      <c r="B4637" s="6">
        <v>10</v>
      </c>
      <c r="C4637" s="6" t="s">
        <v>68</v>
      </c>
      <c r="D4637" s="6" t="s">
        <v>329</v>
      </c>
      <c r="E4637" s="6" t="s">
        <v>427</v>
      </c>
      <c r="F4637" s="6" t="str">
        <f>IF($M4637="PADD I","PADD 1",IF($M4637="PADD II","PADD 2",IF($M4637="PADD III","PADD 3",IF($M4637="PADD IV","PADD 4",IF($M4637="PADD V","PADD 5","")))))</f>
        <v>PADD 3</v>
      </c>
      <c r="G4637" s="6">
        <f>IF(AND($H4637="ATMOS DISTILLATION",ISNUMBER(SEARCH("VPS",$I4637))=FALSE,LEFT($I4637,6)&lt;&gt;"VACUUM"),"CDU",IF($H4637="FLUID CAT CRACKING","FCC",IF(OR($H4637="HYDROCRACKING",$H4637="RESID_HYDROCRACKING"),"Hydrocracker",IF($H4637="REFORMING","Reformer",""))))</f>
        <v/>
      </c>
      <c r="H4637" s="6" t="s">
        <v>435</v>
      </c>
      <c r="I4637" s="6" t="s">
        <v>1258</v>
      </c>
      <c r="J4637" s="6" t="s">
        <v>349</v>
      </c>
      <c r="K4637" s="10">
        <v>6</v>
      </c>
      <c r="L4637" s="10">
        <v>6</v>
      </c>
      <c r="M4637" s="6" t="s">
        <v>371</v>
      </c>
    </row>
    <row r="4638" spans="1:13">
      <c r="A4638" s="6">
        <v>2024</v>
      </c>
      <c r="B4638" s="6">
        <v>10</v>
      </c>
      <c r="C4638" s="6" t="s">
        <v>68</v>
      </c>
      <c r="D4638" s="6" t="s">
        <v>602</v>
      </c>
      <c r="E4638" s="6" t="s">
        <v>369</v>
      </c>
      <c r="F4638" s="6" t="str">
        <f>IF($M4638="PADD I","PADD 1",IF($M4638="PADD II","PADD 2",IF($M4638="PADD III","PADD 3",IF($M4638="PADD IV","PADD 4",IF($M4638="PADD V","PADD 5","")))))</f>
        <v>PADD 2</v>
      </c>
      <c r="G4638" s="6" t="str">
        <f>IF(AND($H4638="ATMOS DISTILLATION",ISNUMBER(SEARCH("VPS",$I4638))=FALSE,LEFT($I4638,6)&lt;&gt;"VACUUM"),"CDU",IF($H4638="FLUID CAT CRACKING","FCC",IF(OR($H4638="HYDROCRACKING",$H4638="RESID_HYDROCRACKING"),"Hydrocracker",IF($H4638="REFORMING","Reformer",""))))</f>
        <v>FCC</v>
      </c>
      <c r="H4638" s="6" t="s">
        <v>376</v>
      </c>
      <c r="I4638" s="6" t="s">
        <v>654</v>
      </c>
      <c r="J4638" s="6" t="s">
        <v>345</v>
      </c>
      <c r="K4638" s="10">
        <v>5.98</v>
      </c>
      <c r="L4638" s="10">
        <v>26</v>
      </c>
      <c r="M4638" s="6" t="s">
        <v>375</v>
      </c>
    </row>
    <row r="4639" spans="1:13">
      <c r="A4639" s="6">
        <v>2024</v>
      </c>
      <c r="B4639" s="6">
        <v>10</v>
      </c>
      <c r="C4639" s="6" t="s">
        <v>68</v>
      </c>
      <c r="D4639" s="6" t="s">
        <v>1060</v>
      </c>
      <c r="E4639" s="6" t="s">
        <v>1039</v>
      </c>
      <c r="F4639" s="6" t="str">
        <f>IF($M4639="PADD I","PADD 1",IF($M4639="PADD II","PADD 2",IF($M4639="PADD III","PADD 3",IF($M4639="PADD IV","PADD 4",IF($M4639="PADD V","PADD 5","")))))</f>
        <v>PADD 2</v>
      </c>
      <c r="G4639" s="6">
        <f>IF(AND($H4639="ATMOS DISTILLATION",ISNUMBER(SEARCH("VPS",$I4639))=FALSE,LEFT($I4639,6)&lt;&gt;"VACUUM"),"CDU",IF($H4639="FLUID CAT CRACKING","FCC",IF(OR($H4639="HYDROCRACKING",$H4639="RESID_HYDROCRACKING"),"Hydrocracker",IF($H4639="REFORMING","Reformer",""))))</f>
        <v/>
      </c>
      <c r="H4639" s="6" t="s">
        <v>43</v>
      </c>
      <c r="I4639" s="6" t="s">
        <v>1187</v>
      </c>
      <c r="J4639" s="6" t="s">
        <v>349</v>
      </c>
      <c r="K4639" s="10">
        <v>5.6</v>
      </c>
      <c r="L4639" s="10">
        <v>35</v>
      </c>
      <c r="M4639" s="6" t="s">
        <v>375</v>
      </c>
    </row>
    <row r="4640" spans="1:13">
      <c r="A4640" s="6">
        <v>2024</v>
      </c>
      <c r="B4640" s="6">
        <v>10</v>
      </c>
      <c r="C4640" s="6" t="s">
        <v>68</v>
      </c>
      <c r="D4640" s="6" t="s">
        <v>390</v>
      </c>
      <c r="E4640" s="6" t="s">
        <v>391</v>
      </c>
      <c r="F4640" s="6" t="str">
        <f>IF($M4640="PADD I","PADD 1",IF($M4640="PADD II","PADD 2",IF($M4640="PADD III","PADD 3",IF($M4640="PADD IV","PADD 4",IF($M4640="PADD V","PADD 5","")))))</f>
        <v>PADD 3</v>
      </c>
      <c r="G4640" s="6" t="str">
        <f>IF(AND($H4640="ATMOS DISTILLATION",ISNUMBER(SEARCH("VPS",$I4640))=FALSE,LEFT($I4640,6)&lt;&gt;"VACUUM"),"CDU",IF($H4640="FLUID CAT CRACKING","FCC",IF(OR($H4640="HYDROCRACKING",$H4640="RESID_HYDROCRACKING"),"Hydrocracker",IF($H4640="REFORMING","Reformer",""))))</f>
        <v>Hydrocracker</v>
      </c>
      <c r="H4640" s="6" t="s">
        <v>444</v>
      </c>
      <c r="I4640" s="6" t="s">
        <v>1263</v>
      </c>
      <c r="J4640" s="6" t="s">
        <v>349</v>
      </c>
      <c r="K4640" s="10">
        <v>5.44</v>
      </c>
      <c r="L4640" s="10">
        <v>34</v>
      </c>
      <c r="M4640" s="6" t="s">
        <v>371</v>
      </c>
    </row>
    <row r="4641" spans="1:13">
      <c r="A4641" s="6">
        <v>2024</v>
      </c>
      <c r="B4641" s="6">
        <v>10</v>
      </c>
      <c r="C4641" s="6" t="s">
        <v>68</v>
      </c>
      <c r="D4641" s="6" t="s">
        <v>799</v>
      </c>
      <c r="E4641" s="6" t="s">
        <v>391</v>
      </c>
      <c r="F4641" s="6" t="str">
        <f>IF($M4641="PADD I","PADD 1",IF($M4641="PADD II","PADD 2",IF($M4641="PADD III","PADD 3",IF($M4641="PADD IV","PADD 4",IF($M4641="PADD V","PADD 5","")))))</f>
        <v>PADD 4</v>
      </c>
      <c r="G4641" s="6">
        <f>IF(AND($H4641="ATMOS DISTILLATION",ISNUMBER(SEARCH("VPS",$I4641))=FALSE,LEFT($I4641,6)&lt;&gt;"VACUUM"),"CDU",IF($H4641="FLUID CAT CRACKING","FCC",IF(OR($H4641="HYDROCRACKING",$H4641="RESID_HYDROCRACKING"),"Hydrocracker",IF($H4641="REFORMING","Reformer",""))))</f>
        <v/>
      </c>
      <c r="H4641" s="6" t="s">
        <v>460</v>
      </c>
      <c r="I4641" s="6" t="s">
        <v>908</v>
      </c>
      <c r="J4641" s="6" t="s">
        <v>345</v>
      </c>
      <c r="K4641" s="10">
        <v>5.432</v>
      </c>
      <c r="L4641" s="10">
        <v>5.6</v>
      </c>
      <c r="M4641" s="6" t="s">
        <v>430</v>
      </c>
    </row>
    <row r="4642" spans="1:13">
      <c r="A4642" s="6">
        <v>2024</v>
      </c>
      <c r="B4642" s="6">
        <v>10</v>
      </c>
      <c r="C4642" s="6" t="s">
        <v>68</v>
      </c>
      <c r="D4642" s="6" t="s">
        <v>1063</v>
      </c>
      <c r="E4642" s="6" t="s">
        <v>388</v>
      </c>
      <c r="F4642" s="6" t="str">
        <f>IF($M4642="PADD I","PADD 1",IF($M4642="PADD II","PADD 2",IF($M4642="PADD III","PADD 3",IF($M4642="PADD IV","PADD 4",IF($M4642="PADD V","PADD 5","")))))</f>
        <v>PADD 2</v>
      </c>
      <c r="G4642" s="6">
        <f>IF(AND($H4642="ATMOS DISTILLATION",ISNUMBER(SEARCH("VPS",$I4642))=FALSE,LEFT($I4642,6)&lt;&gt;"VACUUM"),"CDU",IF($H4642="FLUID CAT CRACKING","FCC",IF(OR($H4642="HYDROCRACKING",$H4642="RESID_HYDROCRACKING"),"Hydrocracker",IF($H4642="REFORMING","Reformer",""))))</f>
        <v/>
      </c>
      <c r="H4642" s="6" t="s">
        <v>43</v>
      </c>
      <c r="I4642" s="6" t="s">
        <v>1072</v>
      </c>
      <c r="J4642" s="6" t="s">
        <v>349</v>
      </c>
      <c r="K4642" s="10">
        <v>5.39</v>
      </c>
      <c r="L4642" s="10">
        <v>7</v>
      </c>
      <c r="M4642" s="6" t="s">
        <v>375</v>
      </c>
    </row>
    <row r="4643" spans="1:13">
      <c r="A4643" s="6">
        <v>2024</v>
      </c>
      <c r="B4643" s="6">
        <v>10</v>
      </c>
      <c r="C4643" s="6" t="s">
        <v>68</v>
      </c>
      <c r="D4643" s="6" t="s">
        <v>723</v>
      </c>
      <c r="E4643" s="6" t="s">
        <v>724</v>
      </c>
      <c r="F4643" s="6" t="str">
        <f>IF($M4643="PADD I","PADD 1",IF($M4643="PADD II","PADD 2",IF($M4643="PADD III","PADD 3",IF($M4643="PADD IV","PADD 4",IF($M4643="PADD V","PADD 5","")))))</f>
        <v>PADD 4</v>
      </c>
      <c r="G4643" s="6">
        <f>IF(AND($H4643="ATMOS DISTILLATION",ISNUMBER(SEARCH("VPS",$I4643))=FALSE,LEFT($I4643,6)&lt;&gt;"VACUUM"),"CDU",IF($H4643="FLUID CAT CRACKING","FCC",IF(OR($H4643="HYDROCRACKING",$H4643="RESID_HYDROCRACKING"),"Hydrocracker",IF($H4643="REFORMING","Reformer",""))))</f>
        <v/>
      </c>
      <c r="H4643" s="6" t="s">
        <v>43</v>
      </c>
      <c r="I4643" s="6" t="s">
        <v>1225</v>
      </c>
      <c r="J4643" s="6" t="s">
        <v>349</v>
      </c>
      <c r="K4643" s="10">
        <v>5.25</v>
      </c>
      <c r="L4643" s="10">
        <v>15</v>
      </c>
      <c r="M4643" s="6" t="s">
        <v>430</v>
      </c>
    </row>
    <row r="4644" spans="1:13">
      <c r="A4644" s="6">
        <v>2024</v>
      </c>
      <c r="B4644" s="6">
        <v>10</v>
      </c>
      <c r="C4644" s="6" t="s">
        <v>68</v>
      </c>
      <c r="D4644" s="6" t="s">
        <v>738</v>
      </c>
      <c r="E4644" s="6" t="s">
        <v>552</v>
      </c>
      <c r="F4644" s="6" t="str">
        <f>IF($M4644="PADD I","PADD 1",IF($M4644="PADD II","PADD 2",IF($M4644="PADD III","PADD 3",IF($M4644="PADD IV","PADD 4",IF($M4644="PADD V","PADD 5","")))))</f>
        <v>PADD 3</v>
      </c>
      <c r="G4644" s="6">
        <f>IF(AND($H4644="ATMOS DISTILLATION",ISNUMBER(SEARCH("VPS",$I4644))=FALSE,LEFT($I4644,6)&lt;&gt;"VACUUM"),"CDU",IF($H4644="FLUID CAT CRACKING","FCC",IF(OR($H4644="HYDROCRACKING",$H4644="RESID_HYDROCRACKING"),"Hydrocracker",IF($H4644="REFORMING","Reformer",""))))</f>
        <v/>
      </c>
      <c r="H4644" s="6" t="s">
        <v>43</v>
      </c>
      <c r="I4644" s="6" t="s">
        <v>501</v>
      </c>
      <c r="J4644" s="6" t="s">
        <v>349</v>
      </c>
      <c r="K4644" s="10">
        <v>5.2</v>
      </c>
      <c r="L4644" s="10">
        <v>8</v>
      </c>
      <c r="M4644" s="6" t="s">
        <v>371</v>
      </c>
    </row>
    <row r="4645" spans="1:13">
      <c r="A4645" s="6">
        <v>2024</v>
      </c>
      <c r="B4645" s="6">
        <v>10</v>
      </c>
      <c r="C4645" s="6" t="s">
        <v>68</v>
      </c>
      <c r="D4645" s="6" t="s">
        <v>878</v>
      </c>
      <c r="E4645" s="6" t="s">
        <v>452</v>
      </c>
      <c r="F4645" s="6" t="str">
        <f>IF($M4645="PADD I","PADD 1",IF($M4645="PADD II","PADD 2",IF($M4645="PADD III","PADD 3",IF($M4645="PADD IV","PADD 4",IF($M4645="PADD V","PADD 5","")))))</f>
        <v>PADD 2</v>
      </c>
      <c r="G4645" s="6">
        <f>IF(AND($H4645="ATMOS DISTILLATION",ISNUMBER(SEARCH("VPS",$I4645))=FALSE,LEFT($I4645,6)&lt;&gt;"VACUUM"),"CDU",IF($H4645="FLUID CAT CRACKING","FCC",IF(OR($H4645="HYDROCRACKING",$H4645="RESID_HYDROCRACKING"),"Hydrocracker",IF($H4645="REFORMING","Reformer",""))))</f>
        <v/>
      </c>
      <c r="H4645" s="6" t="s">
        <v>435</v>
      </c>
      <c r="I4645" s="6" t="s">
        <v>441</v>
      </c>
      <c r="J4645" s="6" t="s">
        <v>345</v>
      </c>
      <c r="K4645" s="10">
        <v>5.185</v>
      </c>
      <c r="L4645" s="10">
        <v>8.5</v>
      </c>
      <c r="M4645" s="6" t="s">
        <v>375</v>
      </c>
    </row>
    <row r="4646" spans="1:13">
      <c r="A4646" s="6">
        <v>2024</v>
      </c>
      <c r="B4646" s="6">
        <v>10</v>
      </c>
      <c r="C4646" s="6" t="s">
        <v>68</v>
      </c>
      <c r="D4646" s="6" t="s">
        <v>526</v>
      </c>
      <c r="E4646" s="6" t="s">
        <v>405</v>
      </c>
      <c r="F4646" s="6" t="str">
        <f>IF($M4646="PADD I","PADD 1",IF($M4646="PADD II","PADD 2",IF($M4646="PADD III","PADD 3",IF($M4646="PADD IV","PADD 4",IF($M4646="PADD V","PADD 5","")))))</f>
        <v>PADD 3</v>
      </c>
      <c r="G4646" s="6">
        <f>IF(AND($H4646="ATMOS DISTILLATION",ISNUMBER(SEARCH("VPS",$I4646))=FALSE,LEFT($I4646,6)&lt;&gt;"VACUUM"),"CDU",IF($H4646="FLUID CAT CRACKING","FCC",IF(OR($H4646="HYDROCRACKING",$H4646="RESID_HYDROCRACKING"),"Hydrocracker",IF($H4646="REFORMING","Reformer",""))))</f>
        <v/>
      </c>
      <c r="H4646" s="6" t="s">
        <v>378</v>
      </c>
      <c r="I4646" s="6" t="s">
        <v>649</v>
      </c>
      <c r="J4646" s="6" t="s">
        <v>345</v>
      </c>
      <c r="K4646" s="10">
        <v>5.16</v>
      </c>
      <c r="L4646" s="10">
        <v>172</v>
      </c>
      <c r="M4646" s="6" t="s">
        <v>371</v>
      </c>
    </row>
    <row r="4647" spans="1:13">
      <c r="A4647" s="6">
        <v>2024</v>
      </c>
      <c r="B4647" s="6">
        <v>10</v>
      </c>
      <c r="C4647" s="6" t="s">
        <v>68</v>
      </c>
      <c r="D4647" s="6" t="s">
        <v>465</v>
      </c>
      <c r="E4647" s="6" t="s">
        <v>369</v>
      </c>
      <c r="F4647" s="6" t="str">
        <f>IF($M4647="PADD I","PADD 1",IF($M4647="PADD II","PADD 2",IF($M4647="PADD III","PADD 3",IF($M4647="PADD IV","PADD 4",IF($M4647="PADD V","PADD 5","")))))</f>
        <v>PADD 5</v>
      </c>
      <c r="G4647" s="6" t="str">
        <f>IF(AND($H4647="ATMOS DISTILLATION",ISNUMBER(SEARCH("VPS",$I4647))=FALSE,LEFT($I4647,6)&lt;&gt;"VACUUM"),"CDU",IF($H4647="FLUID CAT CRACKING","FCC",IF(OR($H4647="HYDROCRACKING",$H4647="RESID_HYDROCRACKING"),"Hydrocracker",IF($H4647="REFORMING","Reformer",""))))</f>
        <v>Reformer</v>
      </c>
      <c r="H4647" s="6" t="s">
        <v>421</v>
      </c>
      <c r="I4647" s="6" t="s">
        <v>673</v>
      </c>
      <c r="J4647" s="6" t="s">
        <v>349</v>
      </c>
      <c r="K4647" s="10">
        <v>5.12</v>
      </c>
      <c r="L4647" s="10">
        <v>16</v>
      </c>
      <c r="M4647" s="6" t="s">
        <v>386</v>
      </c>
    </row>
    <row r="4648" spans="1:13">
      <c r="A4648" s="6">
        <v>2024</v>
      </c>
      <c r="B4648" s="6">
        <v>10</v>
      </c>
      <c r="C4648" s="6" t="s">
        <v>68</v>
      </c>
      <c r="D4648" s="6" t="s">
        <v>395</v>
      </c>
      <c r="E4648" s="6" t="s">
        <v>396</v>
      </c>
      <c r="F4648" s="6" t="str">
        <f>IF($M4648="PADD I","PADD 1",IF($M4648="PADD II","PADD 2",IF($M4648="PADD III","PADD 3",IF($M4648="PADD IV","PADD 4",IF($M4648="PADD V","PADD 5","")))))</f>
        <v>PADD 3</v>
      </c>
      <c r="G4648" s="6">
        <f>IF(AND($H4648="ATMOS DISTILLATION",ISNUMBER(SEARCH("VPS",$I4648))=FALSE,LEFT($I4648,6)&lt;&gt;"VACUUM"),"CDU",IF($H4648="FLUID CAT CRACKING","FCC",IF(OR($H4648="HYDROCRACKING",$H4648="RESID_HYDROCRACKING"),"Hydrocracker",IF($H4648="REFORMING","Reformer",""))))</f>
        <v/>
      </c>
      <c r="H4648" s="6" t="s">
        <v>378</v>
      </c>
      <c r="I4648" s="6" t="s">
        <v>575</v>
      </c>
      <c r="J4648" s="6" t="s">
        <v>345</v>
      </c>
      <c r="K4648" s="10">
        <v>4.8</v>
      </c>
      <c r="L4648" s="10">
        <v>30</v>
      </c>
      <c r="M4648" s="6" t="s">
        <v>371</v>
      </c>
    </row>
    <row r="4649" spans="1:13">
      <c r="A4649" s="6">
        <v>2024</v>
      </c>
      <c r="B4649" s="6">
        <v>10</v>
      </c>
      <c r="C4649" s="6" t="s">
        <v>68</v>
      </c>
      <c r="D4649" s="6" t="s">
        <v>531</v>
      </c>
      <c r="E4649" s="6" t="s">
        <v>532</v>
      </c>
      <c r="F4649" s="6" t="str">
        <f>IF($M4649="PADD I","PADD 1",IF($M4649="PADD II","PADD 2",IF($M4649="PADD III","PADD 3",IF($M4649="PADD IV","PADD 4",IF($M4649="PADD V","PADD 5","")))))</f>
        <v>PADD 5</v>
      </c>
      <c r="G4649" s="6">
        <f>IF(AND($H4649="ATMOS DISTILLATION",ISNUMBER(SEARCH("VPS",$I4649))=FALSE,LEFT($I4649,6)&lt;&gt;"VACUUM"),"CDU",IF($H4649="FLUID CAT CRACKING","FCC",IF(OR($H4649="HYDROCRACKING",$H4649="RESID_HYDROCRACKING"),"Hydrocracker",IF($H4649="REFORMING","Reformer",""))))</f>
        <v/>
      </c>
      <c r="H4649" s="6" t="s">
        <v>435</v>
      </c>
      <c r="I4649" s="6" t="s">
        <v>599</v>
      </c>
      <c r="J4649" s="6" t="s">
        <v>349</v>
      </c>
      <c r="K4649" s="10">
        <v>4.785</v>
      </c>
      <c r="L4649" s="10">
        <v>8.25</v>
      </c>
      <c r="M4649" s="6" t="s">
        <v>386</v>
      </c>
    </row>
    <row r="4650" spans="1:13">
      <c r="A4650" s="6">
        <v>2024</v>
      </c>
      <c r="B4650" s="6">
        <v>10</v>
      </c>
      <c r="C4650" s="6" t="s">
        <v>68</v>
      </c>
      <c r="D4650" s="6" t="s">
        <v>675</v>
      </c>
      <c r="E4650" s="6" t="s">
        <v>452</v>
      </c>
      <c r="F4650" s="6" t="str">
        <f>IF($M4650="PADD I","PADD 1",IF($M4650="PADD II","PADD 2",IF($M4650="PADD III","PADD 3",IF($M4650="PADD IV","PADD 4",IF($M4650="PADD V","PADD 5","")))))</f>
        <v>PADD 2</v>
      </c>
      <c r="G4650" s="6" t="str">
        <f>IF(AND($H4650="ATMOS DISTILLATION",ISNUMBER(SEARCH("VPS",$I4650))=FALSE,LEFT($I4650,6)&lt;&gt;"VACUUM"),"CDU",IF($H4650="FLUID CAT CRACKING","FCC",IF(OR($H4650="HYDROCRACKING",$H4650="RESID_HYDROCRACKING"),"Hydrocracker",IF($H4650="REFORMING","Reformer",""))))</f>
        <v>Reformer</v>
      </c>
      <c r="H4650" s="6" t="s">
        <v>421</v>
      </c>
      <c r="I4650" s="6" t="s">
        <v>698</v>
      </c>
      <c r="J4650" s="6" t="s">
        <v>349</v>
      </c>
      <c r="K4650" s="10">
        <v>4.18</v>
      </c>
      <c r="L4650" s="10">
        <v>22</v>
      </c>
      <c r="M4650" s="6" t="s">
        <v>375</v>
      </c>
    </row>
    <row r="4651" spans="1:13">
      <c r="A4651" s="6">
        <v>2024</v>
      </c>
      <c r="B4651" s="6">
        <v>10</v>
      </c>
      <c r="C4651" s="6" t="s">
        <v>68</v>
      </c>
      <c r="D4651" s="6" t="s">
        <v>321</v>
      </c>
      <c r="E4651" s="6" t="s">
        <v>381</v>
      </c>
      <c r="F4651" s="6" t="str">
        <f>IF($M4651="PADD I","PADD 1",IF($M4651="PADD II","PADD 2",IF($M4651="PADD III","PADD 3",IF($M4651="PADD IV","PADD 4",IF($M4651="PADD V","PADD 5","")))))</f>
        <v>PADD 2</v>
      </c>
      <c r="G4651" s="6">
        <f>IF(AND($H4651="ATMOS DISTILLATION",ISNUMBER(SEARCH("VPS",$I4651))=FALSE,LEFT($I4651,6)&lt;&gt;"VACUUM"),"CDU",IF($H4651="FLUID CAT CRACKING","FCC",IF(OR($H4651="HYDROCRACKING",$H4651="RESID_HYDROCRACKING"),"Hydrocracker",IF($H4651="REFORMING","Reformer",""))))</f>
        <v/>
      </c>
      <c r="H4651" s="6" t="s">
        <v>43</v>
      </c>
      <c r="I4651" s="6" t="s">
        <v>1170</v>
      </c>
      <c r="J4651" s="6" t="s">
        <v>345</v>
      </c>
      <c r="K4651" s="10">
        <v>4</v>
      </c>
      <c r="L4651" s="10">
        <v>25</v>
      </c>
      <c r="M4651" s="6" t="s">
        <v>375</v>
      </c>
    </row>
    <row r="4652" spans="1:13">
      <c r="A4652" s="6">
        <v>2024</v>
      </c>
      <c r="B4652" s="6">
        <v>10</v>
      </c>
      <c r="C4652" s="6" t="s">
        <v>68</v>
      </c>
      <c r="D4652" s="6" t="s">
        <v>326</v>
      </c>
      <c r="E4652" s="6" t="s">
        <v>385</v>
      </c>
      <c r="F4652" s="6" t="str">
        <f>IF($M4652="PADD I","PADD 1",IF($M4652="PADD II","PADD 2",IF($M4652="PADD III","PADD 3",IF($M4652="PADD IV","PADD 4",IF($M4652="PADD V","PADD 5","")))))</f>
        <v>PADD 5</v>
      </c>
      <c r="G4652" s="6">
        <f>IF(AND($H4652="ATMOS DISTILLATION",ISNUMBER(SEARCH("VPS",$I4652))=FALSE,LEFT($I4652,6)&lt;&gt;"VACUUM"),"CDU",IF($H4652="FLUID CAT CRACKING","FCC",IF(OR($H4652="HYDROCRACKING",$H4652="RESID_HYDROCRACKING"),"Hydrocracker",IF($H4652="REFORMING","Reformer",""))))</f>
        <v/>
      </c>
      <c r="H4652" s="6" t="s">
        <v>435</v>
      </c>
      <c r="I4652" s="6" t="s">
        <v>813</v>
      </c>
      <c r="J4652" s="6" t="s">
        <v>345</v>
      </c>
      <c r="K4652" s="10">
        <v>4</v>
      </c>
      <c r="L4652" s="10">
        <v>25</v>
      </c>
      <c r="M4652" s="6" t="s">
        <v>386</v>
      </c>
    </row>
    <row r="4653" spans="1:13">
      <c r="A4653" s="6">
        <v>2024</v>
      </c>
      <c r="B4653" s="6">
        <v>10</v>
      </c>
      <c r="C4653" s="6" t="s">
        <v>68</v>
      </c>
      <c r="D4653" s="6" t="s">
        <v>437</v>
      </c>
      <c r="E4653" s="6" t="s">
        <v>438</v>
      </c>
      <c r="F4653" s="6" t="str">
        <f>IF($M4653="PADD I","PADD 1",IF($M4653="PADD II","PADD 2",IF($M4653="PADD III","PADD 3",IF($M4653="PADD IV","PADD 4",IF($M4653="PADD V","PADD 5","")))))</f>
        <v>PADD 4</v>
      </c>
      <c r="G4653" s="6" t="str">
        <f>IF(AND($H4653="ATMOS DISTILLATION",ISNUMBER(SEARCH("VPS",$I4653))=FALSE,LEFT($I4653,6)&lt;&gt;"VACUUM"),"CDU",IF($H4653="FLUID CAT CRACKING","FCC",IF(OR($H4653="HYDROCRACKING",$H4653="RESID_HYDROCRACKING"),"Hydrocracker",IF($H4653="REFORMING","Reformer",""))))</f>
        <v>FCC</v>
      </c>
      <c r="H4653" s="6" t="s">
        <v>376</v>
      </c>
      <c r="I4653" s="6" t="s">
        <v>428</v>
      </c>
      <c r="J4653" s="6" t="s">
        <v>345</v>
      </c>
      <c r="K4653" s="10">
        <v>3.906</v>
      </c>
      <c r="L4653" s="10">
        <v>9.300000000000001</v>
      </c>
      <c r="M4653" s="6" t="s">
        <v>430</v>
      </c>
    </row>
    <row r="4654" spans="1:13">
      <c r="A4654" s="6">
        <v>2024</v>
      </c>
      <c r="B4654" s="6">
        <v>10</v>
      </c>
      <c r="C4654" s="6" t="s">
        <v>68</v>
      </c>
      <c r="D4654" s="6" t="s">
        <v>738</v>
      </c>
      <c r="E4654" s="6" t="s">
        <v>552</v>
      </c>
      <c r="F4654" s="6" t="str">
        <f>IF($M4654="PADD I","PADD 1",IF($M4654="PADD II","PADD 2",IF($M4654="PADD III","PADD 3",IF($M4654="PADD IV","PADD 4",IF($M4654="PADD V","PADD 5","")))))</f>
        <v>PADD 3</v>
      </c>
      <c r="G4654" s="6">
        <f>IF(AND($H4654="ATMOS DISTILLATION",ISNUMBER(SEARCH("VPS",$I4654))=FALSE,LEFT($I4654,6)&lt;&gt;"VACUUM"),"CDU",IF($H4654="FLUID CAT CRACKING","FCC",IF(OR($H4654="HYDROCRACKING",$H4654="RESID_HYDROCRACKING"),"Hydrocracker",IF($H4654="REFORMING","Reformer",""))))</f>
        <v/>
      </c>
      <c r="H4654" s="6" t="s">
        <v>460</v>
      </c>
      <c r="I4654" s="6" t="s">
        <v>461</v>
      </c>
      <c r="J4654" s="6" t="s">
        <v>349</v>
      </c>
      <c r="K4654" s="10">
        <v>3.9</v>
      </c>
      <c r="L4654" s="10">
        <v>6</v>
      </c>
      <c r="M4654" s="6" t="s">
        <v>371</v>
      </c>
    </row>
    <row r="4655" spans="1:13">
      <c r="A4655" s="6">
        <v>2024</v>
      </c>
      <c r="B4655" s="6">
        <v>10</v>
      </c>
      <c r="C4655" s="6" t="s">
        <v>68</v>
      </c>
      <c r="D4655" s="6" t="s">
        <v>40</v>
      </c>
      <c r="E4655" s="6" t="s">
        <v>736</v>
      </c>
      <c r="F4655" s="6" t="str">
        <f>IF($M4655="PADD I","PADD 1",IF($M4655="PADD II","PADD 2",IF($M4655="PADD III","PADD 3",IF($M4655="PADD IV","PADD 4",IF($M4655="PADD V","PADD 5","")))))</f>
        <v>PADD 1</v>
      </c>
      <c r="G4655" s="6">
        <f>IF(AND($H4655="ATMOS DISTILLATION",ISNUMBER(SEARCH("VPS",$I4655))=FALSE,LEFT($I4655,6)&lt;&gt;"VACUUM"),"CDU",IF($H4655="FLUID CAT CRACKING","FCC",IF(OR($H4655="HYDROCRACKING",$H4655="RESID_HYDROCRACKING"),"Hydrocracker",IF($H4655="REFORMING","Reformer",""))))</f>
        <v/>
      </c>
      <c r="H4655" s="6" t="s">
        <v>378</v>
      </c>
      <c r="I4655" s="6" t="s">
        <v>963</v>
      </c>
      <c r="J4655" s="6" t="s">
        <v>349</v>
      </c>
      <c r="K4655" s="10">
        <v>3.8928</v>
      </c>
      <c r="L4655" s="10">
        <v>24.33</v>
      </c>
      <c r="M4655" s="6" t="s">
        <v>413</v>
      </c>
    </row>
    <row r="4656" spans="1:13">
      <c r="A4656" s="6">
        <v>2024</v>
      </c>
      <c r="B4656" s="6">
        <v>10</v>
      </c>
      <c r="C4656" s="6" t="s">
        <v>68</v>
      </c>
      <c r="D4656" s="6" t="s">
        <v>801</v>
      </c>
      <c r="E4656" s="6" t="s">
        <v>779</v>
      </c>
      <c r="F4656" s="6" t="str">
        <f>IF($M4656="PADD I","PADD 1",IF($M4656="PADD II","PADD 2",IF($M4656="PADD III","PADD 3",IF($M4656="PADD IV","PADD 4",IF($M4656="PADD V","PADD 5","")))))</f>
        <v>PADD 2</v>
      </c>
      <c r="G4656" s="6">
        <f>IF(AND($H4656="ATMOS DISTILLATION",ISNUMBER(SEARCH("VPS",$I4656))=FALSE,LEFT($I4656,6)&lt;&gt;"VACUUM"),"CDU",IF($H4656="FLUID CAT CRACKING","FCC",IF(OR($H4656="HYDROCRACKING",$H4656="RESID_HYDROCRACKING"),"Hydrocracker",IF($H4656="REFORMING","Reformer",""))))</f>
        <v/>
      </c>
      <c r="H4656" s="6" t="s">
        <v>435</v>
      </c>
      <c r="I4656" s="6" t="s">
        <v>802</v>
      </c>
      <c r="J4656" s="6" t="s">
        <v>345</v>
      </c>
      <c r="K4656" s="10">
        <v>3.84</v>
      </c>
      <c r="L4656" s="10">
        <v>24</v>
      </c>
      <c r="M4656" s="6" t="s">
        <v>375</v>
      </c>
    </row>
    <row r="4657" spans="1:13">
      <c r="A4657" s="6">
        <v>2024</v>
      </c>
      <c r="B4657" s="6">
        <v>10</v>
      </c>
      <c r="C4657" s="6" t="s">
        <v>68</v>
      </c>
      <c r="D4657" s="6" t="s">
        <v>851</v>
      </c>
      <c r="E4657" s="6" t="s">
        <v>852</v>
      </c>
      <c r="F4657" s="6" t="str">
        <f>IF($M4657="PADD I","PADD 1",IF($M4657="PADD II","PADD 2",IF($M4657="PADD III","PADD 3",IF($M4657="PADD IV","PADD 4",IF($M4657="PADD V","PADD 5","")))))</f>
        <v>PADD 3</v>
      </c>
      <c r="G4657" s="6" t="str">
        <f>IF(AND($H4657="ATMOS DISTILLATION",ISNUMBER(SEARCH("VPS",$I4657))=FALSE,LEFT($I4657,6)&lt;&gt;"VACUUM"),"CDU",IF($H4657="FLUID CAT CRACKING","FCC",IF(OR($H4657="HYDROCRACKING",$H4657="RESID_HYDROCRACKING"),"Hydrocracker",IF($H4657="REFORMING","Reformer",""))))</f>
        <v>CDU</v>
      </c>
      <c r="H4657" s="6" t="s">
        <v>38</v>
      </c>
      <c r="I4657" s="6" t="s">
        <v>853</v>
      </c>
      <c r="J4657" s="6" t="s">
        <v>345</v>
      </c>
      <c r="K4657" s="10">
        <v>3.84</v>
      </c>
      <c r="L4657" s="10">
        <v>64</v>
      </c>
      <c r="M4657" s="6" t="s">
        <v>371</v>
      </c>
    </row>
    <row r="4658" spans="1:13">
      <c r="A4658" s="6">
        <v>2024</v>
      </c>
      <c r="B4658" s="6">
        <v>10</v>
      </c>
      <c r="C4658" s="6" t="s">
        <v>68</v>
      </c>
      <c r="D4658" s="6" t="s">
        <v>803</v>
      </c>
      <c r="E4658" s="6" t="s">
        <v>388</v>
      </c>
      <c r="F4658" s="6" t="str">
        <f>IF($M4658="PADD I","PADD 1",IF($M4658="PADD II","PADD 2",IF($M4658="PADD III","PADD 3",IF($M4658="PADD IV","PADD 4",IF($M4658="PADD V","PADD 5","")))))</f>
        <v>PADD 2</v>
      </c>
      <c r="G4658" s="6">
        <f>IF(AND($H4658="ATMOS DISTILLATION",ISNUMBER(SEARCH("VPS",$I4658))=FALSE,LEFT($I4658,6)&lt;&gt;"VACUUM"),"CDU",IF($H4658="FLUID CAT CRACKING","FCC",IF(OR($H4658="HYDROCRACKING",$H4658="RESID_HYDROCRACKING"),"Hydrocracker",IF($H4658="REFORMING","Reformer",""))))</f>
        <v/>
      </c>
      <c r="H4658" s="6" t="s">
        <v>43</v>
      </c>
      <c r="I4658" s="6" t="s">
        <v>1177</v>
      </c>
      <c r="J4658" s="6" t="s">
        <v>349</v>
      </c>
      <c r="K4658" s="10">
        <v>3.8</v>
      </c>
      <c r="L4658" s="10">
        <v>20</v>
      </c>
      <c r="M4658" s="6" t="s">
        <v>375</v>
      </c>
    </row>
    <row r="4659" spans="1:13">
      <c r="A4659" s="6">
        <v>2024</v>
      </c>
      <c r="B4659" s="6">
        <v>10</v>
      </c>
      <c r="C4659" s="6" t="s">
        <v>68</v>
      </c>
      <c r="D4659" s="6" t="s">
        <v>815</v>
      </c>
      <c r="E4659" s="6" t="s">
        <v>452</v>
      </c>
      <c r="F4659" s="6" t="str">
        <f>IF($M4659="PADD I","PADD 1",IF($M4659="PADD II","PADD 2",IF($M4659="PADD III","PADD 3",IF($M4659="PADD IV","PADD 4",IF($M4659="PADD V","PADD 5","")))))</f>
        <v>PADD 4</v>
      </c>
      <c r="G4659" s="6">
        <f>IF(AND($H4659="ATMOS DISTILLATION",ISNUMBER(SEARCH("VPS",$I4659))=FALSE,LEFT($I4659,6)&lt;&gt;"VACUUM"),"CDU",IF($H4659="FLUID CAT CRACKING","FCC",IF(OR($H4659="HYDROCRACKING",$H4659="RESID_HYDROCRACKING"),"Hydrocracker",IF($H4659="REFORMING","Reformer",""))))</f>
        <v/>
      </c>
      <c r="H4659" s="6" t="s">
        <v>435</v>
      </c>
      <c r="I4659" s="6" t="s">
        <v>441</v>
      </c>
      <c r="J4659" s="6" t="s">
        <v>349</v>
      </c>
      <c r="K4659" s="10">
        <v>3.68</v>
      </c>
      <c r="L4659" s="10">
        <v>16</v>
      </c>
      <c r="M4659" s="6" t="s">
        <v>430</v>
      </c>
    </row>
    <row r="4660" spans="1:13">
      <c r="A4660" s="6">
        <v>2024</v>
      </c>
      <c r="B4660" s="6">
        <v>10</v>
      </c>
      <c r="C4660" s="6" t="s">
        <v>68</v>
      </c>
      <c r="D4660" s="6" t="s">
        <v>446</v>
      </c>
      <c r="E4660" s="6" t="s">
        <v>391</v>
      </c>
      <c r="F4660" s="6" t="str">
        <f>IF($M4660="PADD I","PADD 1",IF($M4660="PADD II","PADD 2",IF($M4660="PADD III","PADD 3",IF($M4660="PADD IV","PADD 4",IF($M4660="PADD V","PADD 5","")))))</f>
        <v>PADD 3</v>
      </c>
      <c r="G4660" s="6">
        <f>IF(AND($H4660="ATMOS DISTILLATION",ISNUMBER(SEARCH("VPS",$I4660))=FALSE,LEFT($I4660,6)&lt;&gt;"VACUUM"),"CDU",IF($H4660="FLUID CAT CRACKING","FCC",IF(OR($H4660="HYDROCRACKING",$H4660="RESID_HYDROCRACKING"),"Hydrocracker",IF($H4660="REFORMING","Reformer",""))))</f>
        <v/>
      </c>
      <c r="H4660" s="6" t="s">
        <v>43</v>
      </c>
      <c r="I4660" s="6" t="s">
        <v>447</v>
      </c>
      <c r="J4660" s="6" t="s">
        <v>349</v>
      </c>
      <c r="K4660" s="10">
        <v>3.5</v>
      </c>
      <c r="L4660" s="10">
        <v>35</v>
      </c>
      <c r="M4660" s="6" t="s">
        <v>371</v>
      </c>
    </row>
    <row r="4661" spans="1:13">
      <c r="A4661" s="6">
        <v>2024</v>
      </c>
      <c r="B4661" s="6">
        <v>10</v>
      </c>
      <c r="C4661" s="6" t="s">
        <v>68</v>
      </c>
      <c r="D4661" s="6" t="s">
        <v>576</v>
      </c>
      <c r="E4661" s="6" t="s">
        <v>369</v>
      </c>
      <c r="F4661" s="6" t="str">
        <f>IF($M4661="PADD I","PADD 1",IF($M4661="PADD II","PADD 2",IF($M4661="PADD III","PADD 3",IF($M4661="PADD IV","PADD 4",IF($M4661="PADD V","PADD 5","")))))</f>
        <v>PADD 3</v>
      </c>
      <c r="G4661" s="6" t="str">
        <f>IF(AND($H4661="ATMOS DISTILLATION",ISNUMBER(SEARCH("VPS",$I4661))=FALSE,LEFT($I4661,6)&lt;&gt;"VACUUM"),"CDU",IF($H4661="FLUID CAT CRACKING","FCC",IF(OR($H4661="HYDROCRACKING",$H4661="RESID_HYDROCRACKING"),"Hydrocracker",IF($H4661="REFORMING","Reformer",""))))</f>
        <v>Reformer</v>
      </c>
      <c r="H4661" s="6" t="s">
        <v>421</v>
      </c>
      <c r="I4661" s="6" t="s">
        <v>483</v>
      </c>
      <c r="J4661" s="6" t="s">
        <v>345</v>
      </c>
      <c r="K4661" s="10">
        <v>3.48</v>
      </c>
      <c r="L4661" s="10">
        <v>12</v>
      </c>
      <c r="M4661" s="6" t="s">
        <v>371</v>
      </c>
    </row>
    <row r="4662" spans="1:13">
      <c r="A4662" s="6">
        <v>2024</v>
      </c>
      <c r="B4662" s="6">
        <v>10</v>
      </c>
      <c r="C4662" s="6" t="s">
        <v>68</v>
      </c>
      <c r="D4662" s="6" t="s">
        <v>756</v>
      </c>
      <c r="E4662" s="6" t="s">
        <v>757</v>
      </c>
      <c r="F4662" s="6" t="str">
        <f>IF($M4662="PADD I","PADD 1",IF($M4662="PADD II","PADD 2",IF($M4662="PADD III","PADD 3",IF($M4662="PADD IV","PADD 4",IF($M4662="PADD V","PADD 5","")))))</f>
        <v>PADD 3</v>
      </c>
      <c r="G4662" s="6" t="str">
        <f>IF(AND($H4662="ATMOS DISTILLATION",ISNUMBER(SEARCH("VPS",$I4662))=FALSE,LEFT($I4662,6)&lt;&gt;"VACUUM"),"CDU",IF($H4662="FLUID CAT CRACKING","FCC",IF(OR($H4662="HYDROCRACKING",$H4662="RESID_HYDROCRACKING"),"Hydrocracker",IF($H4662="REFORMING","Reformer",""))))</f>
        <v>CDU</v>
      </c>
      <c r="H4662" s="6" t="s">
        <v>38</v>
      </c>
      <c r="I4662" s="6" t="s">
        <v>81</v>
      </c>
      <c r="J4662" s="6" t="s">
        <v>345</v>
      </c>
      <c r="K4662" s="10">
        <v>3.45</v>
      </c>
      <c r="L4662" s="10">
        <v>15</v>
      </c>
      <c r="M4662" s="6" t="s">
        <v>371</v>
      </c>
    </row>
    <row r="4663" spans="1:13">
      <c r="A4663" s="6">
        <v>2024</v>
      </c>
      <c r="B4663" s="6">
        <v>10</v>
      </c>
      <c r="C4663" s="6" t="s">
        <v>68</v>
      </c>
      <c r="D4663" s="6" t="s">
        <v>722</v>
      </c>
      <c r="E4663" s="6" t="s">
        <v>452</v>
      </c>
      <c r="F4663" s="6" t="str">
        <f>IF($M4663="PADD I","PADD 1",IF($M4663="PADD II","PADD 2",IF($M4663="PADD III","PADD 3",IF($M4663="PADD IV","PADD 4",IF($M4663="PADD V","PADD 5","")))))</f>
        <v>PADD 4</v>
      </c>
      <c r="G4663" s="6" t="str">
        <f>IF(AND($H4663="ATMOS DISTILLATION",ISNUMBER(SEARCH("VPS",$I4663))=FALSE,LEFT($I4663,6)&lt;&gt;"VACUUM"),"CDU",IF($H4663="FLUID CAT CRACKING","FCC",IF(OR($H4663="HYDROCRACKING",$H4663="RESID_HYDROCRACKING"),"Hydrocracker",IF($H4663="REFORMING","Reformer",""))))</f>
        <v>FCC</v>
      </c>
      <c r="H4663" s="6" t="s">
        <v>376</v>
      </c>
      <c r="I4663" s="6" t="s">
        <v>428</v>
      </c>
      <c r="J4663" s="6" t="s">
        <v>345</v>
      </c>
      <c r="K4663" s="10">
        <v>3.315</v>
      </c>
      <c r="L4663" s="10">
        <v>8.5</v>
      </c>
      <c r="M4663" s="6" t="s">
        <v>430</v>
      </c>
    </row>
    <row r="4664" spans="1:13">
      <c r="A4664" s="6">
        <v>2024</v>
      </c>
      <c r="B4664" s="6">
        <v>10</v>
      </c>
      <c r="C4664" s="6" t="s">
        <v>68</v>
      </c>
      <c r="D4664" s="6" t="s">
        <v>490</v>
      </c>
      <c r="E4664" s="6" t="s">
        <v>491</v>
      </c>
      <c r="F4664" s="6" t="str">
        <f>IF($M4664="PADD I","PADD 1",IF($M4664="PADD II","PADD 2",IF($M4664="PADD III","PADD 3",IF($M4664="PADD IV","PADD 4",IF($M4664="PADD V","PADD 5","")))))</f>
        <v>PADD 3</v>
      </c>
      <c r="G4664" s="6">
        <f>IF(AND($H4664="ATMOS DISTILLATION",ISNUMBER(SEARCH("VPS",$I4664))=FALSE,LEFT($I4664,6)&lt;&gt;"VACUUM"),"CDU",IF($H4664="FLUID CAT CRACKING","FCC",IF(OR($H4664="HYDROCRACKING",$H4664="RESID_HYDROCRACKING"),"Hydrocracker",IF($H4664="REFORMING","Reformer",""))))</f>
        <v/>
      </c>
      <c r="H4664" s="6" t="s">
        <v>435</v>
      </c>
      <c r="I4664" s="6" t="s">
        <v>643</v>
      </c>
      <c r="J4664" s="6" t="s">
        <v>345</v>
      </c>
      <c r="K4664" s="10">
        <v>3.3</v>
      </c>
      <c r="L4664" s="10">
        <v>55</v>
      </c>
      <c r="M4664" s="6" t="s">
        <v>371</v>
      </c>
    </row>
    <row r="4665" spans="1:13">
      <c r="A4665" s="6">
        <v>2024</v>
      </c>
      <c r="B4665" s="6">
        <v>10</v>
      </c>
      <c r="C4665" s="6" t="s">
        <v>68</v>
      </c>
      <c r="D4665" s="6" t="s">
        <v>334</v>
      </c>
      <c r="E4665" s="6" t="s">
        <v>552</v>
      </c>
      <c r="F4665" s="6" t="str">
        <f>IF($M4665="PADD I","PADD 1",IF($M4665="PADD II","PADD 2",IF($M4665="PADD III","PADD 3",IF($M4665="PADD IV","PADD 4",IF($M4665="PADD V","PADD 5","")))))</f>
        <v>PADD 3</v>
      </c>
      <c r="G4665" s="6" t="str">
        <f>IF(AND($H4665="ATMOS DISTILLATION",ISNUMBER(SEARCH("VPS",$I4665))=FALSE,LEFT($I4665,6)&lt;&gt;"VACUUM"),"CDU",IF($H4665="FLUID CAT CRACKING","FCC",IF(OR($H4665="HYDROCRACKING",$H4665="RESID_HYDROCRACKING"),"Hydrocracker",IF($H4665="REFORMING","Reformer",""))))</f>
        <v>FCC</v>
      </c>
      <c r="H4665" s="6" t="s">
        <v>376</v>
      </c>
      <c r="I4665" s="6" t="s">
        <v>613</v>
      </c>
      <c r="J4665" s="6" t="s">
        <v>349</v>
      </c>
      <c r="K4665" s="10">
        <v>3.2</v>
      </c>
      <c r="L4665" s="10">
        <v>20</v>
      </c>
      <c r="M4665" s="6" t="s">
        <v>371</v>
      </c>
    </row>
    <row r="4666" spans="1:13">
      <c r="A4666" s="6">
        <v>2024</v>
      </c>
      <c r="B4666" s="6">
        <v>10</v>
      </c>
      <c r="C4666" s="6" t="s">
        <v>68</v>
      </c>
      <c r="D4666" s="6" t="s">
        <v>801</v>
      </c>
      <c r="E4666" s="6" t="s">
        <v>779</v>
      </c>
      <c r="F4666" s="6" t="str">
        <f>IF($M4666="PADD I","PADD 1",IF($M4666="PADD II","PADD 2",IF($M4666="PADD III","PADD 3",IF($M4666="PADD IV","PADD 4",IF($M4666="PADD V","PADD 5","")))))</f>
        <v>PADD 2</v>
      </c>
      <c r="G4666" s="6">
        <f>IF(AND($H4666="ATMOS DISTILLATION",ISNUMBER(SEARCH("VPS",$I4666))=FALSE,LEFT($I4666,6)&lt;&gt;"VACUUM"),"CDU",IF($H4666="FLUID CAT CRACKING","FCC",IF(OR($H4666="HYDROCRACKING",$H4666="RESID_HYDROCRACKING"),"Hydrocracker",IF($H4666="REFORMING","Reformer",""))))</f>
        <v/>
      </c>
      <c r="H4666" s="6" t="s">
        <v>435</v>
      </c>
      <c r="I4666" s="6" t="s">
        <v>894</v>
      </c>
      <c r="J4666" s="6" t="s">
        <v>345</v>
      </c>
      <c r="K4666" s="10">
        <v>3.12</v>
      </c>
      <c r="L4666" s="10">
        <v>24</v>
      </c>
      <c r="M4666" s="6" t="s">
        <v>375</v>
      </c>
    </row>
    <row r="4667" spans="1:13">
      <c r="A4667" s="6">
        <v>2024</v>
      </c>
      <c r="B4667" s="6">
        <v>10</v>
      </c>
      <c r="C4667" s="6" t="s">
        <v>68</v>
      </c>
      <c r="D4667" s="6" t="s">
        <v>1063</v>
      </c>
      <c r="E4667" s="6" t="s">
        <v>388</v>
      </c>
      <c r="F4667" s="6" t="str">
        <f>IF($M4667="PADD I","PADD 1",IF($M4667="PADD II","PADD 2",IF($M4667="PADD III","PADD 3",IF($M4667="PADD IV","PADD 4",IF($M4667="PADD V","PADD 5","")))))</f>
        <v>PADD 2</v>
      </c>
      <c r="G4667" s="6">
        <f>IF(AND($H4667="ATMOS DISTILLATION",ISNUMBER(SEARCH("VPS",$I4667))=FALSE,LEFT($I4667,6)&lt;&gt;"VACUUM"),"CDU",IF($H4667="FLUID CAT CRACKING","FCC",IF(OR($H4667="HYDROCRACKING",$H4667="RESID_HYDROCRACKING"),"Hydrocracker",IF($H4667="REFORMING","Reformer",""))))</f>
        <v/>
      </c>
      <c r="H4667" s="6" t="s">
        <v>460</v>
      </c>
      <c r="I4667" s="6" t="s">
        <v>461</v>
      </c>
      <c r="J4667" s="6" t="s">
        <v>349</v>
      </c>
      <c r="K4667" s="10">
        <v>3.08</v>
      </c>
      <c r="L4667" s="10">
        <v>4</v>
      </c>
      <c r="M4667" s="6" t="s">
        <v>375</v>
      </c>
    </row>
    <row r="4668" spans="1:13">
      <c r="A4668" s="6">
        <v>2024</v>
      </c>
      <c r="B4668" s="6">
        <v>10</v>
      </c>
      <c r="C4668" s="6" t="s">
        <v>68</v>
      </c>
      <c r="D4668" s="6" t="s">
        <v>321</v>
      </c>
      <c r="E4668" s="6" t="s">
        <v>381</v>
      </c>
      <c r="F4668" s="6" t="str">
        <f>IF($M4668="PADD I","PADD 1",IF($M4668="PADD II","PADD 2",IF($M4668="PADD III","PADD 3",IF($M4668="PADD IV","PADD 4",IF($M4668="PADD V","PADD 5","")))))</f>
        <v>PADD 2</v>
      </c>
      <c r="G4668" s="6" t="str">
        <f>IF(AND($H4668="ATMOS DISTILLATION",ISNUMBER(SEARCH("VPS",$I4668))=FALSE,LEFT($I4668,6)&lt;&gt;"VACUUM"),"CDU",IF($H4668="FLUID CAT CRACKING","FCC",IF(OR($H4668="HYDROCRACKING",$H4668="RESID_HYDROCRACKING"),"Hydrocracker",IF($H4668="REFORMING","Reformer",""))))</f>
        <v>FCC</v>
      </c>
      <c r="H4668" s="6" t="s">
        <v>376</v>
      </c>
      <c r="I4668" s="6" t="s">
        <v>105</v>
      </c>
      <c r="J4668" s="6" t="s">
        <v>345</v>
      </c>
      <c r="K4668" s="10">
        <v>2.94</v>
      </c>
      <c r="L4668" s="10">
        <v>98</v>
      </c>
      <c r="M4668" s="6" t="s">
        <v>375</v>
      </c>
    </row>
    <row r="4669" spans="1:13">
      <c r="A4669" s="6">
        <v>2024</v>
      </c>
      <c r="B4669" s="6">
        <v>10</v>
      </c>
      <c r="C4669" s="6" t="s">
        <v>68</v>
      </c>
      <c r="D4669" s="6" t="s">
        <v>946</v>
      </c>
      <c r="E4669" s="6" t="s">
        <v>405</v>
      </c>
      <c r="F4669" s="6" t="str">
        <f>IF($M4669="PADD I","PADD 1",IF($M4669="PADD II","PADD 2",IF($M4669="PADD III","PADD 3",IF($M4669="PADD IV","PADD 4",IF($M4669="PADD V","PADD 5","")))))</f>
        <v>PADD 5</v>
      </c>
      <c r="G4669" s="6">
        <f>IF(AND($H4669="ATMOS DISTILLATION",ISNUMBER(SEARCH("VPS",$I4669))=FALSE,LEFT($I4669,6)&lt;&gt;"VACUUM"),"CDU",IF($H4669="FLUID CAT CRACKING","FCC",IF(OR($H4669="HYDROCRACKING",$H4669="RESID_HYDROCRACKING"),"Hydrocracker",IF($H4669="REFORMING","Reformer",""))))</f>
        <v/>
      </c>
      <c r="H4669" s="6" t="s">
        <v>460</v>
      </c>
      <c r="I4669" s="6" t="s">
        <v>952</v>
      </c>
      <c r="J4669" s="6" t="s">
        <v>345</v>
      </c>
      <c r="K4669" s="10">
        <v>2.86</v>
      </c>
      <c r="L4669" s="10">
        <v>22</v>
      </c>
      <c r="M4669" s="6" t="s">
        <v>386</v>
      </c>
    </row>
    <row r="4670" spans="1:13">
      <c r="A4670" s="6">
        <v>2024</v>
      </c>
      <c r="B4670" s="6">
        <v>10</v>
      </c>
      <c r="C4670" s="6" t="s">
        <v>68</v>
      </c>
      <c r="D4670" s="6" t="s">
        <v>395</v>
      </c>
      <c r="E4670" s="6" t="s">
        <v>396</v>
      </c>
      <c r="F4670" s="6" t="str">
        <f>IF($M4670="PADD I","PADD 1",IF($M4670="PADD II","PADD 2",IF($M4670="PADD III","PADD 3",IF($M4670="PADD IV","PADD 4",IF($M4670="PADD V","PADD 5","")))))</f>
        <v>PADD 3</v>
      </c>
      <c r="G4670" s="6">
        <f>IF(AND($H4670="ATMOS DISTILLATION",ISNUMBER(SEARCH("VPS",$I4670))=FALSE,LEFT($I4670,6)&lt;&gt;"VACUUM"),"CDU",IF($H4670="FLUID CAT CRACKING","FCC",IF(OR($H4670="HYDROCRACKING",$H4670="RESID_HYDROCRACKING"),"Hydrocracker",IF($H4670="REFORMING","Reformer",""))))</f>
        <v/>
      </c>
      <c r="H4670" s="6" t="s">
        <v>460</v>
      </c>
      <c r="I4670" s="6" t="s">
        <v>461</v>
      </c>
      <c r="J4670" s="6" t="s">
        <v>345</v>
      </c>
      <c r="K4670" s="10">
        <v>2.688</v>
      </c>
      <c r="L4670" s="10">
        <v>16.8</v>
      </c>
      <c r="M4670" s="6" t="s">
        <v>371</v>
      </c>
    </row>
    <row r="4671" spans="1:13">
      <c r="A4671" s="6">
        <v>2024</v>
      </c>
      <c r="B4671" s="6">
        <v>10</v>
      </c>
      <c r="C4671" s="6" t="s">
        <v>68</v>
      </c>
      <c r="D4671" s="6" t="s">
        <v>934</v>
      </c>
      <c r="E4671" s="6" t="s">
        <v>388</v>
      </c>
      <c r="F4671" s="6" t="str">
        <f>IF($M4671="PADD I","PADD 1",IF($M4671="PADD II","PADD 2",IF($M4671="PADD III","PADD 3",IF($M4671="PADD IV","PADD 4",IF($M4671="PADD V","PADD 5","")))))</f>
        <v>PADD 3</v>
      </c>
      <c r="G4671" s="6">
        <f>IF(AND($H4671="ATMOS DISTILLATION",ISNUMBER(SEARCH("VPS",$I4671))=FALSE,LEFT($I4671,6)&lt;&gt;"VACUUM"),"CDU",IF($H4671="FLUID CAT CRACKING","FCC",IF(OR($H4671="HYDROCRACKING",$H4671="RESID_HYDROCRACKING"),"Hydrocracker",IF($H4671="REFORMING","Reformer",""))))</f>
        <v/>
      </c>
      <c r="H4671" s="6" t="s">
        <v>43</v>
      </c>
      <c r="I4671" s="6" t="s">
        <v>458</v>
      </c>
      <c r="J4671" s="6" t="s">
        <v>345</v>
      </c>
      <c r="K4671" s="10">
        <v>2.5</v>
      </c>
      <c r="L4671" s="10">
        <v>25</v>
      </c>
      <c r="M4671" s="6" t="s">
        <v>371</v>
      </c>
    </row>
    <row r="4672" spans="1:13">
      <c r="A4672" s="6">
        <v>2024</v>
      </c>
      <c r="B4672" s="6">
        <v>10</v>
      </c>
      <c r="C4672" s="6" t="s">
        <v>68</v>
      </c>
      <c r="D4672" s="6" t="s">
        <v>490</v>
      </c>
      <c r="E4672" s="6" t="s">
        <v>491</v>
      </c>
      <c r="F4672" s="6" t="str">
        <f>IF($M4672="PADD I","PADD 1",IF($M4672="PADD II","PADD 2",IF($M4672="PADD III","PADD 3",IF($M4672="PADD IV","PADD 4",IF($M4672="PADD V","PADD 5","")))))</f>
        <v>PADD 3</v>
      </c>
      <c r="G4672" s="6" t="str">
        <f>IF(AND($H4672="ATMOS DISTILLATION",ISNUMBER(SEARCH("VPS",$I4672))=FALSE,LEFT($I4672,6)&lt;&gt;"VACUUM"),"CDU",IF($H4672="FLUID CAT CRACKING","FCC",IF(OR($H4672="HYDROCRACKING",$H4672="RESID_HYDROCRACKING"),"Hydrocracker",IF($H4672="REFORMING","Reformer",""))))</f>
        <v>FCC</v>
      </c>
      <c r="H4672" s="6" t="s">
        <v>376</v>
      </c>
      <c r="I4672" s="6" t="s">
        <v>472</v>
      </c>
      <c r="J4672" s="6" t="s">
        <v>345</v>
      </c>
      <c r="K4672" s="10">
        <v>2.43</v>
      </c>
      <c r="L4672" s="10">
        <v>81</v>
      </c>
      <c r="M4672" s="6" t="s">
        <v>371</v>
      </c>
    </row>
    <row r="4673" spans="1:13">
      <c r="A4673" s="6">
        <v>2024</v>
      </c>
      <c r="B4673" s="6">
        <v>10</v>
      </c>
      <c r="C4673" s="6" t="s">
        <v>68</v>
      </c>
      <c r="D4673" s="6" t="s">
        <v>321</v>
      </c>
      <c r="E4673" s="6" t="s">
        <v>381</v>
      </c>
      <c r="F4673" s="6" t="str">
        <f>IF($M4673="PADD I","PADD 1",IF($M4673="PADD II","PADD 2",IF($M4673="PADD III","PADD 3",IF($M4673="PADD IV","PADD 4",IF($M4673="PADD V","PADD 5","")))))</f>
        <v>PADD 2</v>
      </c>
      <c r="G4673" s="6">
        <f>IF(AND($H4673="ATMOS DISTILLATION",ISNUMBER(SEARCH("VPS",$I4673))=FALSE,LEFT($I4673,6)&lt;&gt;"VACUUM"),"CDU",IF($H4673="FLUID CAT CRACKING","FCC",IF(OR($H4673="HYDROCRACKING",$H4673="RESID_HYDROCRACKING"),"Hydrocracker",IF($H4673="REFORMING","Reformer",""))))</f>
        <v/>
      </c>
      <c r="H4673" s="6" t="s">
        <v>43</v>
      </c>
      <c r="I4673" s="6" t="s">
        <v>1164</v>
      </c>
      <c r="J4673" s="6" t="s">
        <v>345</v>
      </c>
      <c r="K4673" s="10">
        <v>2.4</v>
      </c>
      <c r="L4673" s="10">
        <v>15</v>
      </c>
      <c r="M4673" s="6" t="s">
        <v>375</v>
      </c>
    </row>
    <row r="4674" spans="1:13">
      <c r="A4674" s="6">
        <v>2024</v>
      </c>
      <c r="B4674" s="6">
        <v>10</v>
      </c>
      <c r="C4674" s="6" t="s">
        <v>68</v>
      </c>
      <c r="D4674" s="6" t="s">
        <v>738</v>
      </c>
      <c r="E4674" s="6" t="s">
        <v>552</v>
      </c>
      <c r="F4674" s="6" t="str">
        <f>IF($M4674="PADD I","PADD 1",IF($M4674="PADD II","PADD 2",IF($M4674="PADD III","PADD 3",IF($M4674="PADD IV","PADD 4",IF($M4674="PADD V","PADD 5","")))))</f>
        <v>PADD 3</v>
      </c>
      <c r="G4674" s="6">
        <f>IF(AND($H4674="ATMOS DISTILLATION",ISNUMBER(SEARCH("VPS",$I4674))=FALSE,LEFT($I4674,6)&lt;&gt;"VACUUM"),"CDU",IF($H4674="FLUID CAT CRACKING","FCC",IF(OR($H4674="HYDROCRACKING",$H4674="RESID_HYDROCRACKING"),"Hydrocracker",IF($H4674="REFORMING","Reformer",""))))</f>
        <v/>
      </c>
      <c r="H4674" s="6" t="s">
        <v>568</v>
      </c>
      <c r="I4674" s="6" t="s">
        <v>1264</v>
      </c>
      <c r="J4674" s="6" t="s">
        <v>349</v>
      </c>
      <c r="K4674" s="10">
        <v>2.21</v>
      </c>
      <c r="L4674" s="10">
        <v>3.4</v>
      </c>
      <c r="M4674" s="6" t="s">
        <v>371</v>
      </c>
    </row>
    <row r="4675" spans="1:13">
      <c r="A4675" s="6">
        <v>2024</v>
      </c>
      <c r="B4675" s="6">
        <v>10</v>
      </c>
      <c r="C4675" s="6" t="s">
        <v>68</v>
      </c>
      <c r="D4675" s="6" t="s">
        <v>851</v>
      </c>
      <c r="E4675" s="6" t="s">
        <v>852</v>
      </c>
      <c r="F4675" s="6" t="str">
        <f>IF($M4675="PADD I","PADD 1",IF($M4675="PADD II","PADD 2",IF($M4675="PADD III","PADD 3",IF($M4675="PADD IV","PADD 4",IF($M4675="PADD V","PADD 5","")))))</f>
        <v>PADD 3</v>
      </c>
      <c r="G4675" s="6">
        <f>IF(AND($H4675="ATMOS DISTILLATION",ISNUMBER(SEARCH("VPS",$I4675))=FALSE,LEFT($I4675,6)&lt;&gt;"VACUUM"),"CDU",IF($H4675="FLUID CAT CRACKING","FCC",IF(OR($H4675="HYDROCRACKING",$H4675="RESID_HYDROCRACKING"),"Hydrocracker",IF($H4675="REFORMING","Reformer",""))))</f>
        <v/>
      </c>
      <c r="H4675" s="6" t="s">
        <v>378</v>
      </c>
      <c r="I4675" s="6" t="s">
        <v>860</v>
      </c>
      <c r="J4675" s="6" t="s">
        <v>345</v>
      </c>
      <c r="K4675" s="10">
        <v>2.16</v>
      </c>
      <c r="L4675" s="10">
        <v>36</v>
      </c>
      <c r="M4675" s="6" t="s">
        <v>371</v>
      </c>
    </row>
    <row r="4676" spans="1:13">
      <c r="A4676" s="6">
        <v>2024</v>
      </c>
      <c r="B4676" s="6">
        <v>10</v>
      </c>
      <c r="C4676" s="6" t="s">
        <v>68</v>
      </c>
      <c r="D4676" s="6" t="s">
        <v>851</v>
      </c>
      <c r="E4676" s="6" t="s">
        <v>852</v>
      </c>
      <c r="F4676" s="6" t="str">
        <f>IF($M4676="PADD I","PADD 1",IF($M4676="PADD II","PADD 2",IF($M4676="PADD III","PADD 3",IF($M4676="PADD IV","PADD 4",IF($M4676="PADD V","PADD 5","")))))</f>
        <v>PADD 3</v>
      </c>
      <c r="G4676" s="6" t="str">
        <f>IF(AND($H4676="ATMOS DISTILLATION",ISNUMBER(SEARCH("VPS",$I4676))=FALSE,LEFT($I4676,6)&lt;&gt;"VACUUM"),"CDU",IF($H4676="FLUID CAT CRACKING","FCC",IF(OR($H4676="HYDROCRACKING",$H4676="RESID_HYDROCRACKING"),"Hydrocracker",IF($H4676="REFORMING","Reformer",""))))</f>
        <v>CDU</v>
      </c>
      <c r="H4676" s="6" t="s">
        <v>38</v>
      </c>
      <c r="I4676" s="6" t="s">
        <v>854</v>
      </c>
      <c r="J4676" s="6" t="s">
        <v>345</v>
      </c>
      <c r="K4676" s="10">
        <v>1.95</v>
      </c>
      <c r="L4676" s="10">
        <v>65</v>
      </c>
      <c r="M4676" s="6" t="s">
        <v>371</v>
      </c>
    </row>
    <row r="4677" spans="1:13">
      <c r="A4677" s="6">
        <v>2024</v>
      </c>
      <c r="B4677" s="6">
        <v>10</v>
      </c>
      <c r="C4677" s="6" t="s">
        <v>68</v>
      </c>
      <c r="D4677" s="6" t="s">
        <v>934</v>
      </c>
      <c r="E4677" s="6" t="s">
        <v>388</v>
      </c>
      <c r="F4677" s="6" t="str">
        <f>IF($M4677="PADD I","PADD 1",IF($M4677="PADD II","PADD 2",IF($M4677="PADD III","PADD 3",IF($M4677="PADD IV","PADD 4",IF($M4677="PADD V","PADD 5","")))))</f>
        <v>PADD 3</v>
      </c>
      <c r="G4677" s="6">
        <f>IF(AND($H4677="ATMOS DISTILLATION",ISNUMBER(SEARCH("VPS",$I4677))=FALSE,LEFT($I4677,6)&lt;&gt;"VACUUM"),"CDU",IF($H4677="FLUID CAT CRACKING","FCC",IF(OR($H4677="HYDROCRACKING",$H4677="RESID_HYDROCRACKING"),"Hydrocracker",IF($H4677="REFORMING","Reformer",""))))</f>
        <v/>
      </c>
      <c r="H4677" s="6" t="s">
        <v>378</v>
      </c>
      <c r="I4677" s="6" t="s">
        <v>964</v>
      </c>
      <c r="J4677" s="6" t="s">
        <v>345</v>
      </c>
      <c r="K4677" s="10">
        <v>1.7</v>
      </c>
      <c r="L4677" s="10">
        <v>17</v>
      </c>
      <c r="M4677" s="6" t="s">
        <v>371</v>
      </c>
    </row>
    <row r="4678" spans="1:13">
      <c r="A4678" s="6">
        <v>2024</v>
      </c>
      <c r="B4678" s="6">
        <v>10</v>
      </c>
      <c r="C4678" s="6" t="s">
        <v>68</v>
      </c>
      <c r="D4678" s="6" t="s">
        <v>40</v>
      </c>
      <c r="E4678" s="6" t="s">
        <v>736</v>
      </c>
      <c r="F4678" s="6" t="str">
        <f>IF($M4678="PADD I","PADD 1",IF($M4678="PADD II","PADD 2",IF($M4678="PADD III","PADD 3",IF($M4678="PADD IV","PADD 4",IF($M4678="PADD V","PADD 5","")))))</f>
        <v>PADD 1</v>
      </c>
      <c r="G4678" s="6" t="str">
        <f>IF(AND($H4678="ATMOS DISTILLATION",ISNUMBER(SEARCH("VPS",$I4678))=FALSE,LEFT($I4678,6)&lt;&gt;"VACUUM"),"CDU",IF($H4678="FLUID CAT CRACKING","FCC",IF(OR($H4678="HYDROCRACKING",$H4678="RESID_HYDROCRACKING"),"Hydrocracker",IF($H4678="REFORMING","Reformer",""))))</f>
        <v>FCC</v>
      </c>
      <c r="H4678" s="6" t="s">
        <v>376</v>
      </c>
      <c r="I4678" s="6" t="s">
        <v>737</v>
      </c>
      <c r="J4678" s="6" t="s">
        <v>345</v>
      </c>
      <c r="K4678" s="10">
        <v>1.59</v>
      </c>
      <c r="L4678" s="10">
        <v>53</v>
      </c>
      <c r="M4678" s="6" t="s">
        <v>413</v>
      </c>
    </row>
    <row r="4679" spans="1:13">
      <c r="A4679" s="6">
        <v>2024</v>
      </c>
      <c r="B4679" s="6">
        <v>10</v>
      </c>
      <c r="C4679" s="6" t="s">
        <v>68</v>
      </c>
      <c r="D4679" s="6" t="s">
        <v>871</v>
      </c>
      <c r="E4679" s="6" t="s">
        <v>872</v>
      </c>
      <c r="F4679" s="6" t="str">
        <f>IF($M4679="PADD I","PADD 1",IF($M4679="PADD II","PADD 2",IF($M4679="PADD III","PADD 3",IF($M4679="PADD IV","PADD 4",IF($M4679="PADD V","PADD 5","")))))</f>
        <v>PADD 4</v>
      </c>
      <c r="G4679" s="6" t="str">
        <f>IF(AND($H4679="ATMOS DISTILLATION",ISNUMBER(SEARCH("VPS",$I4679))=FALSE,LEFT($I4679,6)&lt;&gt;"VACUUM"),"CDU",IF($H4679="FLUID CAT CRACKING","FCC",IF(OR($H4679="HYDROCRACKING",$H4679="RESID_HYDROCRACKING"),"Hydrocracker",IF($H4679="REFORMING","Reformer",""))))</f>
        <v>CDU</v>
      </c>
      <c r="H4679" s="6" t="s">
        <v>38</v>
      </c>
      <c r="I4679" s="6" t="s">
        <v>81</v>
      </c>
      <c r="J4679" s="6" t="s">
        <v>349</v>
      </c>
      <c r="K4679" s="10">
        <v>1.53</v>
      </c>
      <c r="L4679" s="10">
        <v>3.4</v>
      </c>
      <c r="M4679" s="6" t="s">
        <v>430</v>
      </c>
    </row>
    <row r="4680" spans="1:13">
      <c r="A4680" s="6">
        <v>2024</v>
      </c>
      <c r="B4680" s="6">
        <v>10</v>
      </c>
      <c r="C4680" s="6" t="s">
        <v>68</v>
      </c>
      <c r="D4680" s="6" t="s">
        <v>490</v>
      </c>
      <c r="E4680" s="6" t="s">
        <v>491</v>
      </c>
      <c r="F4680" s="6" t="str">
        <f>IF($M4680="PADD I","PADD 1",IF($M4680="PADD II","PADD 2",IF($M4680="PADD III","PADD 3",IF($M4680="PADD IV","PADD 4",IF($M4680="PADD V","PADD 5","")))))</f>
        <v>PADD 3</v>
      </c>
      <c r="G4680" s="6">
        <f>IF(AND($H4680="ATMOS DISTILLATION",ISNUMBER(SEARCH("VPS",$I4680))=FALSE,LEFT($I4680,6)&lt;&gt;"VACUUM"),"CDU",IF($H4680="FLUID CAT CRACKING","FCC",IF(OR($H4680="HYDROCRACKING",$H4680="RESID_HYDROCRACKING"),"Hydrocracker",IF($H4680="REFORMING","Reformer",""))))</f>
        <v/>
      </c>
      <c r="H4680" s="6" t="s">
        <v>43</v>
      </c>
      <c r="I4680" s="6" t="s">
        <v>847</v>
      </c>
      <c r="J4680" s="6" t="s">
        <v>345</v>
      </c>
      <c r="K4680" s="10">
        <v>1.5</v>
      </c>
      <c r="L4680" s="10">
        <v>25</v>
      </c>
      <c r="M4680" s="6" t="s">
        <v>371</v>
      </c>
    </row>
    <row r="4681" spans="1:13">
      <c r="A4681" s="6">
        <v>2024</v>
      </c>
      <c r="B4681" s="6">
        <v>10</v>
      </c>
      <c r="C4681" s="6" t="s">
        <v>68</v>
      </c>
      <c r="D4681" s="6" t="s">
        <v>662</v>
      </c>
      <c r="E4681" s="6" t="s">
        <v>552</v>
      </c>
      <c r="F4681" s="6" t="str">
        <f>IF($M4681="PADD I","PADD 1",IF($M4681="PADD II","PADD 2",IF($M4681="PADD III","PADD 3",IF($M4681="PADD IV","PADD 4",IF($M4681="PADD V","PADD 5","")))))</f>
        <v>PADD 3</v>
      </c>
      <c r="G4681" s="6" t="str">
        <f>IF(AND($H4681="ATMOS DISTILLATION",ISNUMBER(SEARCH("VPS",$I4681))=FALSE,LEFT($I4681,6)&lt;&gt;"VACUUM"),"CDU",IF($H4681="FLUID CAT CRACKING","FCC",IF(OR($H4681="HYDROCRACKING",$H4681="RESID_HYDROCRACKING"),"Hydrocracker",IF($H4681="REFORMING","Reformer",""))))</f>
        <v>FCC</v>
      </c>
      <c r="H4681" s="6" t="s">
        <v>376</v>
      </c>
      <c r="I4681" s="6" t="s">
        <v>105</v>
      </c>
      <c r="J4681" s="6" t="s">
        <v>349</v>
      </c>
      <c r="K4681" s="10">
        <v>1.5</v>
      </c>
      <c r="L4681" s="10">
        <v>25</v>
      </c>
      <c r="M4681" s="6" t="s">
        <v>371</v>
      </c>
    </row>
    <row r="4682" spans="1:13">
      <c r="A4682" s="6">
        <v>2024</v>
      </c>
      <c r="B4682" s="6">
        <v>10</v>
      </c>
      <c r="C4682" s="6" t="s">
        <v>68</v>
      </c>
      <c r="D4682" s="6" t="s">
        <v>42</v>
      </c>
      <c r="E4682" s="6" t="s">
        <v>405</v>
      </c>
      <c r="F4682" s="6" t="str">
        <f>IF($M4682="PADD I","PADD 1",IF($M4682="PADD II","PADD 2",IF($M4682="PADD III","PADD 3",IF($M4682="PADD IV","PADD 4",IF($M4682="PADD V","PADD 5","")))))</f>
        <v>PADD 3</v>
      </c>
      <c r="G4682" s="6">
        <f>IF(AND($H4682="ATMOS DISTILLATION",ISNUMBER(SEARCH("VPS",$I4682))=FALSE,LEFT($I4682,6)&lt;&gt;"VACUUM"),"CDU",IF($H4682="FLUID CAT CRACKING","FCC",IF(OR($H4682="HYDROCRACKING",$H4682="RESID_HYDROCRACKING"),"Hydrocracker",IF($H4682="REFORMING","Reformer",""))))</f>
        <v/>
      </c>
      <c r="H4682" s="6" t="s">
        <v>43</v>
      </c>
      <c r="I4682" s="6" t="s">
        <v>1232</v>
      </c>
      <c r="J4682" s="6" t="s">
        <v>349</v>
      </c>
      <c r="K4682" s="10">
        <v>1.44</v>
      </c>
      <c r="L4682" s="10">
        <v>48</v>
      </c>
      <c r="M4682" s="6" t="s">
        <v>371</v>
      </c>
    </row>
    <row r="4683" spans="1:13">
      <c r="A4683" s="6">
        <v>2024</v>
      </c>
      <c r="B4683" s="6">
        <v>10</v>
      </c>
      <c r="C4683" s="6" t="s">
        <v>68</v>
      </c>
      <c r="D4683" s="6" t="s">
        <v>602</v>
      </c>
      <c r="E4683" s="6" t="s">
        <v>369</v>
      </c>
      <c r="F4683" s="6" t="str">
        <f>IF($M4683="PADD I","PADD 1",IF($M4683="PADD II","PADD 2",IF($M4683="PADD III","PADD 3",IF($M4683="PADD IV","PADD 4",IF($M4683="PADD V","PADD 5","")))))</f>
        <v>PADD 2</v>
      </c>
      <c r="G4683" s="6">
        <f>IF(AND($H4683="ATMOS DISTILLATION",ISNUMBER(SEARCH("VPS",$I4683))=FALSE,LEFT($I4683,6)&lt;&gt;"VACUUM"),"CDU",IF($H4683="FLUID CAT CRACKING","FCC",IF(OR($H4683="HYDROCRACKING",$H4683="RESID_HYDROCRACKING"),"Hydrocracker",IF($H4683="REFORMING","Reformer",""))))</f>
        <v/>
      </c>
      <c r="H4683" s="6" t="s">
        <v>435</v>
      </c>
      <c r="I4683" s="6" t="s">
        <v>441</v>
      </c>
      <c r="J4683" s="6" t="s">
        <v>345</v>
      </c>
      <c r="K4683" s="10">
        <v>1.386</v>
      </c>
      <c r="L4683" s="10">
        <v>23.1</v>
      </c>
      <c r="M4683" s="6" t="s">
        <v>375</v>
      </c>
    </row>
    <row r="4684" spans="1:13">
      <c r="A4684" s="6">
        <v>2024</v>
      </c>
      <c r="B4684" s="6">
        <v>10</v>
      </c>
      <c r="C4684" s="6" t="s">
        <v>68</v>
      </c>
      <c r="D4684" s="6" t="s">
        <v>871</v>
      </c>
      <c r="E4684" s="6" t="s">
        <v>872</v>
      </c>
      <c r="F4684" s="6" t="str">
        <f>IF($M4684="PADD I","PADD 1",IF($M4684="PADD II","PADD 2",IF($M4684="PADD III","PADD 3",IF($M4684="PADD IV","PADD 4",IF($M4684="PADD V","PADD 5","")))))</f>
        <v>PADD 4</v>
      </c>
      <c r="G4684" s="6" t="str">
        <f>IF(AND($H4684="ATMOS DISTILLATION",ISNUMBER(SEARCH("VPS",$I4684))=FALSE,LEFT($I4684,6)&lt;&gt;"VACUUM"),"CDU",IF($H4684="FLUID CAT CRACKING","FCC",IF(OR($H4684="HYDROCRACKING",$H4684="RESID_HYDROCRACKING"),"Hydrocracker",IF($H4684="REFORMING","Reformer",""))))</f>
        <v>Reformer</v>
      </c>
      <c r="H4684" s="6" t="s">
        <v>421</v>
      </c>
      <c r="I4684" s="6" t="s">
        <v>15</v>
      </c>
      <c r="J4684" s="6" t="s">
        <v>349</v>
      </c>
      <c r="K4684" s="10">
        <v>1.35</v>
      </c>
      <c r="L4684" s="10">
        <v>3</v>
      </c>
      <c r="M4684" s="6" t="s">
        <v>430</v>
      </c>
    </row>
    <row r="4685" spans="1:13">
      <c r="A4685" s="6">
        <v>2024</v>
      </c>
      <c r="B4685" s="6">
        <v>10</v>
      </c>
      <c r="C4685" s="6" t="s">
        <v>68</v>
      </c>
      <c r="D4685" s="6" t="s">
        <v>871</v>
      </c>
      <c r="E4685" s="6" t="s">
        <v>872</v>
      </c>
      <c r="F4685" s="6" t="str">
        <f>IF($M4685="PADD I","PADD 1",IF($M4685="PADD II","PADD 2",IF($M4685="PADD III","PADD 3",IF($M4685="PADD IV","PADD 4",IF($M4685="PADD V","PADD 5","")))))</f>
        <v>PADD 4</v>
      </c>
      <c r="G4685" s="6">
        <f>IF(AND($H4685="ATMOS DISTILLATION",ISNUMBER(SEARCH("VPS",$I4685))=FALSE,LEFT($I4685,6)&lt;&gt;"VACUUM"),"CDU",IF($H4685="FLUID CAT CRACKING","FCC",IF(OR($H4685="HYDROCRACKING",$H4685="RESID_HYDROCRACKING"),"Hydrocracker",IF($H4685="REFORMING","Reformer",""))))</f>
        <v/>
      </c>
      <c r="H4685" s="6" t="s">
        <v>43</v>
      </c>
      <c r="I4685" s="6" t="s">
        <v>873</v>
      </c>
      <c r="J4685" s="6" t="s">
        <v>349</v>
      </c>
      <c r="K4685" s="10">
        <v>1.35</v>
      </c>
      <c r="L4685" s="10">
        <v>3</v>
      </c>
      <c r="M4685" s="6" t="s">
        <v>430</v>
      </c>
    </row>
    <row r="4686" spans="1:13">
      <c r="A4686" s="6">
        <v>2024</v>
      </c>
      <c r="B4686" s="6">
        <v>10</v>
      </c>
      <c r="C4686" s="6" t="s">
        <v>68</v>
      </c>
      <c r="D4686" s="6" t="s">
        <v>334</v>
      </c>
      <c r="E4686" s="6" t="s">
        <v>552</v>
      </c>
      <c r="F4686" s="6" t="str">
        <f>IF($M4686="PADD I","PADD 1",IF($M4686="PADD II","PADD 2",IF($M4686="PADD III","PADD 3",IF($M4686="PADD IV","PADD 4",IF($M4686="PADD V","PADD 5","")))))</f>
        <v>PADD 3</v>
      </c>
      <c r="G4686" s="6" t="str">
        <f>IF(AND($H4686="ATMOS DISTILLATION",ISNUMBER(SEARCH("VPS",$I4686))=FALSE,LEFT($I4686,6)&lt;&gt;"VACUUM"),"CDU",IF($H4686="FLUID CAT CRACKING","FCC",IF(OR($H4686="HYDROCRACKING",$H4686="RESID_HYDROCRACKING"),"Hydrocracker",IF($H4686="REFORMING","Reformer",""))))</f>
        <v>CDU</v>
      </c>
      <c r="H4686" s="6" t="s">
        <v>38</v>
      </c>
      <c r="I4686" s="6" t="s">
        <v>137</v>
      </c>
      <c r="J4686" s="6" t="s">
        <v>349</v>
      </c>
      <c r="K4686" s="10">
        <v>1.28</v>
      </c>
      <c r="L4686" s="10">
        <v>8</v>
      </c>
      <c r="M4686" s="6" t="s">
        <v>371</v>
      </c>
    </row>
    <row r="4687" spans="1:13">
      <c r="A4687" s="6">
        <v>2024</v>
      </c>
      <c r="B4687" s="6">
        <v>10</v>
      </c>
      <c r="C4687" s="6" t="s">
        <v>68</v>
      </c>
      <c r="D4687" s="6" t="s">
        <v>437</v>
      </c>
      <c r="E4687" s="6" t="s">
        <v>438</v>
      </c>
      <c r="F4687" s="6" t="str">
        <f>IF($M4687="PADD I","PADD 1",IF($M4687="PADD II","PADD 2",IF($M4687="PADD III","PADD 3",IF($M4687="PADD IV","PADD 4",IF($M4687="PADD V","PADD 5","")))))</f>
        <v>PADD 4</v>
      </c>
      <c r="G4687" s="6">
        <f>IF(AND($H4687="ATMOS DISTILLATION",ISNUMBER(SEARCH("VPS",$I4687))=FALSE,LEFT($I4687,6)&lt;&gt;"VACUUM"),"CDU",IF($H4687="FLUID CAT CRACKING","FCC",IF(OR($H4687="HYDROCRACKING",$H4687="RESID_HYDROCRACKING"),"Hydrocracker",IF($H4687="REFORMING","Reformer",""))))</f>
        <v/>
      </c>
      <c r="H4687" s="6" t="s">
        <v>43</v>
      </c>
      <c r="I4687" s="6" t="s">
        <v>493</v>
      </c>
      <c r="J4687" s="6" t="s">
        <v>345</v>
      </c>
      <c r="K4687" s="10">
        <v>1.26</v>
      </c>
      <c r="L4687" s="10">
        <v>21</v>
      </c>
      <c r="M4687" s="6" t="s">
        <v>430</v>
      </c>
    </row>
    <row r="4688" spans="1:13">
      <c r="A4688" s="6">
        <v>2024</v>
      </c>
      <c r="B4688" s="6">
        <v>10</v>
      </c>
      <c r="C4688" s="6" t="s">
        <v>68</v>
      </c>
      <c r="D4688" s="6" t="s">
        <v>440</v>
      </c>
      <c r="E4688" s="6" t="s">
        <v>369</v>
      </c>
      <c r="F4688" s="6" t="str">
        <f>IF($M4688="PADD I","PADD 1",IF($M4688="PADD II","PADD 2",IF($M4688="PADD III","PADD 3",IF($M4688="PADD IV","PADD 4",IF($M4688="PADD V","PADD 5","")))))</f>
        <v>PADD 5</v>
      </c>
      <c r="G4688" s="6">
        <f>IF(AND($H4688="ATMOS DISTILLATION",ISNUMBER(SEARCH("VPS",$I4688))=FALSE,LEFT($I4688,6)&lt;&gt;"VACUUM"),"CDU",IF($H4688="FLUID CAT CRACKING","FCC",IF(OR($H4688="HYDROCRACKING",$H4688="RESID_HYDROCRACKING"),"Hydrocracker",IF($H4688="REFORMING","Reformer",""))))</f>
        <v/>
      </c>
      <c r="H4688" s="6" t="s">
        <v>43</v>
      </c>
      <c r="I4688" s="6" t="s">
        <v>667</v>
      </c>
      <c r="J4688" s="6" t="s">
        <v>349</v>
      </c>
      <c r="K4688" s="10">
        <v>1.2</v>
      </c>
      <c r="L4688" s="10">
        <v>40</v>
      </c>
      <c r="M4688" s="6" t="s">
        <v>386</v>
      </c>
    </row>
    <row r="4689" spans="1:13">
      <c r="A4689" s="6">
        <v>2024</v>
      </c>
      <c r="B4689" s="6">
        <v>10</v>
      </c>
      <c r="C4689" s="6" t="s">
        <v>68</v>
      </c>
      <c r="D4689" s="6" t="s">
        <v>48</v>
      </c>
      <c r="E4689" s="6" t="s">
        <v>388</v>
      </c>
      <c r="F4689" s="6" t="str">
        <f>IF($M4689="PADD I","PADD 1",IF($M4689="PADD II","PADD 2",IF($M4689="PADD III","PADD 3",IF($M4689="PADD IV","PADD 4",IF($M4689="PADD V","PADD 5","")))))</f>
        <v>PADD 2</v>
      </c>
      <c r="G4689" s="6">
        <f>IF(AND($H4689="ATMOS DISTILLATION",ISNUMBER(SEARCH("VPS",$I4689))=FALSE,LEFT($I4689,6)&lt;&gt;"VACUUM"),"CDU",IF($H4689="FLUID CAT CRACKING","FCC",IF(OR($H4689="HYDROCRACKING",$H4689="RESID_HYDROCRACKING"),"Hydrocracker",IF($H4689="REFORMING","Reformer",""))))</f>
        <v/>
      </c>
      <c r="H4689" s="6" t="s">
        <v>435</v>
      </c>
      <c r="I4689" s="6" t="s">
        <v>631</v>
      </c>
      <c r="J4689" s="6" t="s">
        <v>345</v>
      </c>
      <c r="K4689" s="10">
        <v>1.2</v>
      </c>
      <c r="L4689" s="10">
        <v>12</v>
      </c>
      <c r="M4689" s="6" t="s">
        <v>375</v>
      </c>
    </row>
    <row r="4690" spans="1:13">
      <c r="A4690" s="6">
        <v>2024</v>
      </c>
      <c r="B4690" s="6">
        <v>10</v>
      </c>
      <c r="C4690" s="6" t="s">
        <v>68</v>
      </c>
      <c r="D4690" s="6" t="s">
        <v>738</v>
      </c>
      <c r="E4690" s="6" t="s">
        <v>552</v>
      </c>
      <c r="F4690" s="6" t="str">
        <f>IF($M4690="PADD I","PADD 1",IF($M4690="PADD II","PADD 2",IF($M4690="PADD III","PADD 3",IF($M4690="PADD IV","PADD 4",IF($M4690="PADD V","PADD 5","")))))</f>
        <v>PADD 3</v>
      </c>
      <c r="G4690" s="6">
        <f>IF(AND($H4690="ATMOS DISTILLATION",ISNUMBER(SEARCH("VPS",$I4690))=FALSE,LEFT($I4690,6)&lt;&gt;"VACUUM"),"CDU",IF($H4690="FLUID CAT CRACKING","FCC",IF(OR($H4690="HYDROCRACKING",$H4690="RESID_HYDROCRACKING"),"Hydrocracker",IF($H4690="REFORMING","Reformer",""))))</f>
        <v/>
      </c>
      <c r="H4690" s="6" t="s">
        <v>897</v>
      </c>
      <c r="I4690" s="6" t="s">
        <v>897</v>
      </c>
      <c r="J4690" s="6" t="s">
        <v>349</v>
      </c>
      <c r="K4690" s="10">
        <v>1.17</v>
      </c>
      <c r="L4690" s="10">
        <v>1.8</v>
      </c>
      <c r="M4690" s="6" t="s">
        <v>371</v>
      </c>
    </row>
    <row r="4691" spans="1:13">
      <c r="A4691" s="6">
        <v>2024</v>
      </c>
      <c r="B4691" s="6">
        <v>10</v>
      </c>
      <c r="C4691" s="6" t="s">
        <v>68</v>
      </c>
      <c r="D4691" s="6" t="s">
        <v>446</v>
      </c>
      <c r="E4691" s="6" t="s">
        <v>391</v>
      </c>
      <c r="F4691" s="6" t="str">
        <f>IF($M4691="PADD I","PADD 1",IF($M4691="PADD II","PADD 2",IF($M4691="PADD III","PADD 3",IF($M4691="PADD IV","PADD 4",IF($M4691="PADD V","PADD 5","")))))</f>
        <v>PADD 3</v>
      </c>
      <c r="G4691" s="6">
        <f>IF(AND($H4691="ATMOS DISTILLATION",ISNUMBER(SEARCH("VPS",$I4691))=FALSE,LEFT($I4691,6)&lt;&gt;"VACUUM"),"CDU",IF($H4691="FLUID CAT CRACKING","FCC",IF(OR($H4691="HYDROCRACKING",$H4691="RESID_HYDROCRACKING"),"Hydrocracker",IF($H4691="REFORMING","Reformer",""))))</f>
        <v/>
      </c>
      <c r="H4691" s="6" t="s">
        <v>637</v>
      </c>
      <c r="I4691" s="6" t="s">
        <v>1265</v>
      </c>
      <c r="J4691" s="6" t="s">
        <v>349</v>
      </c>
      <c r="K4691" s="10">
        <v>0.9</v>
      </c>
      <c r="L4691" s="10">
        <v>1</v>
      </c>
      <c r="M4691" s="6" t="s">
        <v>371</v>
      </c>
    </row>
    <row r="4692" spans="1:13">
      <c r="A4692" s="6">
        <v>2024</v>
      </c>
      <c r="B4692" s="6">
        <v>10</v>
      </c>
      <c r="C4692" s="6" t="s">
        <v>68</v>
      </c>
      <c r="D4692" s="6" t="s">
        <v>1239</v>
      </c>
      <c r="E4692" s="6" t="s">
        <v>872</v>
      </c>
      <c r="F4692" s="6" t="str">
        <f>IF($M4692="PADD I","PADD 1",IF($M4692="PADD II","PADD 2",IF($M4692="PADD III","PADD 3",IF($M4692="PADD IV","PADD 4",IF($M4692="PADD V","PADD 5","")))))</f>
        <v>PADD 4</v>
      </c>
      <c r="G4692" s="6" t="str">
        <f>IF(AND($H4692="ATMOS DISTILLATION",ISNUMBER(SEARCH("VPS",$I4692))=FALSE,LEFT($I4692,6)&lt;&gt;"VACUUM"),"CDU",IF($H4692="FLUID CAT CRACKING","FCC",IF(OR($H4692="HYDROCRACKING",$H4692="RESID_HYDROCRACKING"),"Hydrocracker",IF($H4692="REFORMING","Reformer",""))))</f>
        <v>CDU</v>
      </c>
      <c r="H4692" s="6" t="s">
        <v>38</v>
      </c>
      <c r="I4692" s="6" t="s">
        <v>81</v>
      </c>
      <c r="J4692" s="6" t="s">
        <v>349</v>
      </c>
      <c r="K4692" s="10">
        <v>0.75</v>
      </c>
      <c r="L4692" s="10">
        <v>12.5</v>
      </c>
      <c r="M4692" s="6" t="s">
        <v>430</v>
      </c>
    </row>
    <row r="4693" spans="1:13">
      <c r="A4693" s="6">
        <v>2024</v>
      </c>
      <c r="B4693" s="6">
        <v>10</v>
      </c>
      <c r="C4693" s="6" t="s">
        <v>68</v>
      </c>
      <c r="D4693" s="6" t="s">
        <v>395</v>
      </c>
      <c r="E4693" s="6" t="s">
        <v>396</v>
      </c>
      <c r="F4693" s="6" t="str">
        <f>IF($M4693="PADD I","PADD 1",IF($M4693="PADD II","PADD 2",IF($M4693="PADD III","PADD 3",IF($M4693="PADD IV","PADD 4",IF($M4693="PADD V","PADD 5","")))))</f>
        <v>PADD 3</v>
      </c>
      <c r="G4693" s="6">
        <f>IF(AND($H4693="ATMOS DISTILLATION",ISNUMBER(SEARCH("VPS",$I4693))=FALSE,LEFT($I4693,6)&lt;&gt;"VACUUM"),"CDU",IF($H4693="FLUID CAT CRACKING","FCC",IF(OR($H4693="HYDROCRACKING",$H4693="RESID_HYDROCRACKING"),"Hydrocracker",IF($H4693="REFORMING","Reformer",""))))</f>
        <v/>
      </c>
      <c r="H4693" s="6" t="s">
        <v>43</v>
      </c>
      <c r="I4693" s="6" t="s">
        <v>621</v>
      </c>
      <c r="J4693" s="6" t="s">
        <v>345</v>
      </c>
      <c r="K4693" s="10">
        <v>0.72</v>
      </c>
      <c r="L4693" s="10">
        <v>4.5</v>
      </c>
      <c r="M4693" s="6" t="s">
        <v>371</v>
      </c>
    </row>
    <row r="4694" spans="1:13">
      <c r="A4694" s="6">
        <v>2024</v>
      </c>
      <c r="B4694" s="6">
        <v>10</v>
      </c>
      <c r="C4694" s="6" t="s">
        <v>68</v>
      </c>
      <c r="D4694" s="6" t="s">
        <v>395</v>
      </c>
      <c r="E4694" s="6" t="s">
        <v>396</v>
      </c>
      <c r="F4694" s="6" t="str">
        <f>IF($M4694="PADD I","PADD 1",IF($M4694="PADD II","PADD 2",IF($M4694="PADD III","PADD 3",IF($M4694="PADD IV","PADD 4",IF($M4694="PADD V","PADD 5","")))))</f>
        <v>PADD 3</v>
      </c>
      <c r="G4694" s="6">
        <f>IF(AND($H4694="ATMOS DISTILLATION",ISNUMBER(SEARCH("VPS",$I4694))=FALSE,LEFT($I4694,6)&lt;&gt;"VACUUM"),"CDU",IF($H4694="FLUID CAT CRACKING","FCC",IF(OR($H4694="HYDROCRACKING",$H4694="RESID_HYDROCRACKING"),"Hydrocracker",IF($H4694="REFORMING","Reformer",""))))</f>
        <v/>
      </c>
      <c r="H4694" s="6" t="s">
        <v>43</v>
      </c>
      <c r="I4694" s="6" t="s">
        <v>625</v>
      </c>
      <c r="J4694" s="6" t="s">
        <v>345</v>
      </c>
      <c r="K4694" s="10">
        <v>0.5600000000000001</v>
      </c>
      <c r="L4694" s="10">
        <v>3.5</v>
      </c>
      <c r="M4694" s="6" t="s">
        <v>371</v>
      </c>
    </row>
    <row r="4695" spans="1:13">
      <c r="A4695" s="6">
        <v>2024</v>
      </c>
      <c r="B4695" s="6">
        <v>10</v>
      </c>
      <c r="C4695" s="6" t="s">
        <v>68</v>
      </c>
      <c r="D4695" s="6" t="s">
        <v>490</v>
      </c>
      <c r="E4695" s="6" t="s">
        <v>491</v>
      </c>
      <c r="F4695" s="6" t="str">
        <f>IF($M4695="PADD I","PADD 1",IF($M4695="PADD II","PADD 2",IF($M4695="PADD III","PADD 3",IF($M4695="PADD IV","PADD 4",IF($M4695="PADD V","PADD 5","")))))</f>
        <v>PADD 3</v>
      </c>
      <c r="G4695" s="6">
        <f>IF(AND($H4695="ATMOS DISTILLATION",ISNUMBER(SEARCH("VPS",$I4695))=FALSE,LEFT($I4695,6)&lt;&gt;"VACUUM"),"CDU",IF($H4695="FLUID CAT CRACKING","FCC",IF(OR($H4695="HYDROCRACKING",$H4695="RESID_HYDROCRACKING"),"Hydrocracker",IF($H4695="REFORMING","Reformer",""))))</f>
        <v/>
      </c>
      <c r="H4695" s="6" t="s">
        <v>460</v>
      </c>
      <c r="I4695" s="6" t="s">
        <v>1193</v>
      </c>
      <c r="J4695" s="6" t="s">
        <v>345</v>
      </c>
      <c r="K4695" s="10">
        <v>0.54</v>
      </c>
      <c r="L4695" s="10">
        <v>9</v>
      </c>
      <c r="M4695" s="6" t="s">
        <v>371</v>
      </c>
    </row>
    <row r="4696" spans="1:13">
      <c r="A4696" s="6">
        <v>2024</v>
      </c>
      <c r="B4696" s="6">
        <v>10</v>
      </c>
      <c r="C4696" s="6" t="s">
        <v>68</v>
      </c>
      <c r="D4696" s="6" t="s">
        <v>871</v>
      </c>
      <c r="E4696" s="6" t="s">
        <v>872</v>
      </c>
      <c r="F4696" s="6" t="str">
        <f>IF($M4696="PADD I","PADD 1",IF($M4696="PADD II","PADD 2",IF($M4696="PADD III","PADD 3",IF($M4696="PADD IV","PADD 4",IF($M4696="PADD V","PADD 5","")))))</f>
        <v>PADD 4</v>
      </c>
      <c r="G4696" s="6">
        <f>IF(AND($H4696="ATMOS DISTILLATION",ISNUMBER(SEARCH("VPS",$I4696))=FALSE,LEFT($I4696,6)&lt;&gt;"VACUUM"),"CDU",IF($H4696="FLUID CAT CRACKING","FCC",IF(OR($H4696="HYDROCRACKING",$H4696="RESID_HYDROCRACKING"),"Hydrocracker",IF($H4696="REFORMING","Reformer",""))))</f>
        <v/>
      </c>
      <c r="H4696" s="6" t="s">
        <v>568</v>
      </c>
      <c r="I4696" s="6" t="s">
        <v>1202</v>
      </c>
      <c r="J4696" s="6" t="s">
        <v>349</v>
      </c>
      <c r="K4696" s="10">
        <v>0.45</v>
      </c>
      <c r="L4696" s="10">
        <v>1</v>
      </c>
      <c r="M4696" s="6" t="s">
        <v>430</v>
      </c>
    </row>
    <row r="4697" spans="1:13">
      <c r="A4697" s="6">
        <v>2024</v>
      </c>
      <c r="B4697" s="6">
        <v>10</v>
      </c>
      <c r="C4697" s="6" t="s">
        <v>68</v>
      </c>
      <c r="D4697" s="6" t="s">
        <v>1239</v>
      </c>
      <c r="E4697" s="6" t="s">
        <v>872</v>
      </c>
      <c r="F4697" s="6" t="str">
        <f>IF($M4697="PADD I","PADD 1",IF($M4697="PADD II","PADD 2",IF($M4697="PADD III","PADD 3",IF($M4697="PADD IV","PADD 4",IF($M4697="PADD V","PADD 5","")))))</f>
        <v>PADD 4</v>
      </c>
      <c r="G4697" s="6">
        <f>IF(AND($H4697="ATMOS DISTILLATION",ISNUMBER(SEARCH("VPS",$I4697))=FALSE,LEFT($I4697,6)&lt;&gt;"VACUUM"),"CDU",IF($H4697="FLUID CAT CRACKING","FCC",IF(OR($H4697="HYDROCRACKING",$H4697="RESID_HYDROCRACKING"),"Hydrocracker",IF($H4697="REFORMING","Reformer",""))))</f>
        <v/>
      </c>
      <c r="H4697" s="6" t="s">
        <v>378</v>
      </c>
      <c r="I4697" s="6" t="s">
        <v>431</v>
      </c>
      <c r="J4697" s="6" t="s">
        <v>349</v>
      </c>
      <c r="K4697" s="10">
        <v>0.36</v>
      </c>
      <c r="L4697" s="10">
        <v>6</v>
      </c>
      <c r="M4697" s="6" t="s">
        <v>430</v>
      </c>
    </row>
    <row r="4698" spans="1:13">
      <c r="A4698" s="6">
        <v>2024</v>
      </c>
      <c r="B4698" s="6">
        <v>10</v>
      </c>
      <c r="C4698" s="6" t="s">
        <v>68</v>
      </c>
      <c r="D4698" s="6" t="s">
        <v>630</v>
      </c>
      <c r="E4698" s="6" t="s">
        <v>491</v>
      </c>
      <c r="F4698" s="6" t="str">
        <f>IF($M4698="PADD I","PADD 1",IF($M4698="PADD II","PADD 2",IF($M4698="PADD III","PADD 3",IF($M4698="PADD IV","PADD 4",IF($M4698="PADD V","PADD 5","")))))</f>
        <v>PADD 3</v>
      </c>
      <c r="G4698" s="6">
        <f>IF(AND($H4698="ATMOS DISTILLATION",ISNUMBER(SEARCH("VPS",$I4698))=FALSE,LEFT($I4698,6)&lt;&gt;"VACUUM"),"CDU",IF($H4698="FLUID CAT CRACKING","FCC",IF(OR($H4698="HYDROCRACKING",$H4698="RESID_HYDROCRACKING"),"Hydrocracker",IF($H4698="REFORMING","Reformer",""))))</f>
        <v/>
      </c>
      <c r="H4698" s="6" t="s">
        <v>43</v>
      </c>
      <c r="I4698" s="6" t="s">
        <v>464</v>
      </c>
      <c r="J4698" s="6" t="s">
        <v>345</v>
      </c>
      <c r="K4698" s="10">
        <v>0.36</v>
      </c>
      <c r="L4698" s="10">
        <v>12</v>
      </c>
      <c r="M4698" s="6" t="s">
        <v>371</v>
      </c>
    </row>
    <row r="4699" spans="1:13">
      <c r="A4699" s="6">
        <v>2024</v>
      </c>
      <c r="B4699" s="6">
        <v>10</v>
      </c>
      <c r="C4699" s="6" t="s">
        <v>68</v>
      </c>
      <c r="D4699" s="6" t="s">
        <v>1239</v>
      </c>
      <c r="E4699" s="6" t="s">
        <v>872</v>
      </c>
      <c r="F4699" s="6" t="str">
        <f>IF($M4699="PADD I","PADD 1",IF($M4699="PADD II","PADD 2",IF($M4699="PADD III","PADD 3",IF($M4699="PADD IV","PADD 4",IF($M4699="PADD V","PADD 5","")))))</f>
        <v>PADD 4</v>
      </c>
      <c r="G4699" s="6" t="str">
        <f>IF(AND($H4699="ATMOS DISTILLATION",ISNUMBER(SEARCH("VPS",$I4699))=FALSE,LEFT($I4699,6)&lt;&gt;"VACUUM"),"CDU",IF($H4699="FLUID CAT CRACKING","FCC",IF(OR($H4699="HYDROCRACKING",$H4699="RESID_HYDROCRACKING"),"Hydrocracker",IF($H4699="REFORMING","Reformer",""))))</f>
        <v>Hydrocracker</v>
      </c>
      <c r="H4699" s="6" t="s">
        <v>444</v>
      </c>
      <c r="I4699" s="6" t="s">
        <v>1245</v>
      </c>
      <c r="J4699" s="6" t="s">
        <v>349</v>
      </c>
      <c r="K4699" s="10">
        <v>0.3</v>
      </c>
      <c r="L4699" s="10">
        <v>5</v>
      </c>
      <c r="M4699" s="6" t="s">
        <v>430</v>
      </c>
    </row>
    <row r="4700" spans="1:13">
      <c r="A4700" s="6">
        <v>2024</v>
      </c>
      <c r="B4700" s="6">
        <v>10</v>
      </c>
      <c r="C4700" s="6" t="s">
        <v>68</v>
      </c>
      <c r="D4700" s="6" t="s">
        <v>662</v>
      </c>
      <c r="E4700" s="6" t="s">
        <v>552</v>
      </c>
      <c r="F4700" s="6" t="str">
        <f>IF($M4700="PADD I","PADD 1",IF($M4700="PADD II","PADD 2",IF($M4700="PADD III","PADD 3",IF($M4700="PADD IV","PADD 4",IF($M4700="PADD V","PADD 5","")))))</f>
        <v>PADD 3</v>
      </c>
      <c r="G4700" s="6">
        <f>IF(AND($H4700="ATMOS DISTILLATION",ISNUMBER(SEARCH("VPS",$I4700))=FALSE,LEFT($I4700,6)&lt;&gt;"VACUUM"),"CDU",IF($H4700="FLUID CAT CRACKING","FCC",IF(OR($H4700="HYDROCRACKING",$H4700="RESID_HYDROCRACKING"),"Hydrocracker",IF($H4700="REFORMING","Reformer",""))))</f>
        <v/>
      </c>
      <c r="H4700" s="6" t="s">
        <v>43</v>
      </c>
      <c r="I4700" s="6" t="s">
        <v>844</v>
      </c>
      <c r="J4700" s="6" t="s">
        <v>349</v>
      </c>
      <c r="K4700" s="10">
        <v>0.3</v>
      </c>
      <c r="L4700" s="10">
        <v>5</v>
      </c>
      <c r="M4700" s="6" t="s">
        <v>371</v>
      </c>
    </row>
    <row r="4701" spans="1:13">
      <c r="A4701" s="6">
        <v>2024</v>
      </c>
      <c r="B4701" s="6">
        <v>10</v>
      </c>
      <c r="C4701" s="6" t="s">
        <v>68</v>
      </c>
      <c r="D4701" s="6" t="s">
        <v>1239</v>
      </c>
      <c r="E4701" s="6" t="s">
        <v>872</v>
      </c>
      <c r="F4701" s="6" t="str">
        <f>IF($M4701="PADD I","PADD 1",IF($M4701="PADD II","PADD 2",IF($M4701="PADD III","PADD 3",IF($M4701="PADD IV","PADD 4",IF($M4701="PADD V","PADD 5","")))))</f>
        <v>PADD 4</v>
      </c>
      <c r="G4701" s="6">
        <f>IF(AND($H4701="ATMOS DISTILLATION",ISNUMBER(SEARCH("VPS",$I4701))=FALSE,LEFT($I4701,6)&lt;&gt;"VACUUM"),"CDU",IF($H4701="FLUID CAT CRACKING","FCC",IF(OR($H4701="HYDROCRACKING",$H4701="RESID_HYDROCRACKING"),"Hydrocracker",IF($H4701="REFORMING","Reformer",""))))</f>
        <v/>
      </c>
      <c r="H4701" s="6" t="s">
        <v>43</v>
      </c>
      <c r="I4701" s="6" t="s">
        <v>929</v>
      </c>
      <c r="J4701" s="6" t="s">
        <v>349</v>
      </c>
      <c r="K4701" s="10">
        <v>0.21</v>
      </c>
      <c r="L4701" s="10">
        <v>3.5</v>
      </c>
      <c r="M4701" s="6" t="s">
        <v>430</v>
      </c>
    </row>
    <row r="4702" spans="1:13">
      <c r="A4702" s="6">
        <v>2024</v>
      </c>
      <c r="B4702" s="6">
        <v>10</v>
      </c>
      <c r="C4702" s="6" t="s">
        <v>68</v>
      </c>
      <c r="D4702" s="6" t="s">
        <v>1239</v>
      </c>
      <c r="E4702" s="6" t="s">
        <v>872</v>
      </c>
      <c r="F4702" s="6" t="str">
        <f>IF($M4702="PADD I","PADD 1",IF($M4702="PADD II","PADD 2",IF($M4702="PADD III","PADD 3",IF($M4702="PADD IV","PADD 4",IF($M4702="PADD V","PADD 5","")))))</f>
        <v>PADD 4</v>
      </c>
      <c r="G4702" s="6">
        <f>IF(AND($H4702="ATMOS DISTILLATION",ISNUMBER(SEARCH("VPS",$I4702))=FALSE,LEFT($I4702,6)&lt;&gt;"VACUUM"),"CDU",IF($H4702="FLUID CAT CRACKING","FCC",IF(OR($H4702="HYDROCRACKING",$H4702="RESID_HYDROCRACKING"),"Hydrocracker",IF($H4702="REFORMING","Reformer",""))))</f>
        <v/>
      </c>
      <c r="H4702" s="6" t="s">
        <v>43</v>
      </c>
      <c r="I4702" s="6" t="s">
        <v>501</v>
      </c>
      <c r="J4702" s="6" t="s">
        <v>349</v>
      </c>
      <c r="K4702" s="10">
        <v>0.18</v>
      </c>
      <c r="L4702" s="10">
        <v>3</v>
      </c>
      <c r="M4702" s="6" t="s">
        <v>430</v>
      </c>
    </row>
    <row r="4703" spans="1:13">
      <c r="A4703" s="6">
        <v>2024</v>
      </c>
      <c r="B4703" s="6">
        <v>10</v>
      </c>
      <c r="C4703" s="6" t="s">
        <v>68</v>
      </c>
      <c r="D4703" s="6" t="s">
        <v>1239</v>
      </c>
      <c r="E4703" s="6" t="s">
        <v>872</v>
      </c>
      <c r="F4703" s="6" t="str">
        <f>IF($M4703="PADD I","PADD 1",IF($M4703="PADD II","PADD 2",IF($M4703="PADD III","PADD 3",IF($M4703="PADD IV","PADD 4",IF($M4703="PADD V","PADD 5","")))))</f>
        <v>PADD 4</v>
      </c>
      <c r="G4703" s="6" t="str">
        <f>IF(AND($H4703="ATMOS DISTILLATION",ISNUMBER(SEARCH("VPS",$I4703))=FALSE,LEFT($I4703,6)&lt;&gt;"VACUUM"),"CDU",IF($H4703="FLUID CAT CRACKING","FCC",IF(OR($H4703="HYDROCRACKING",$H4703="RESID_HYDROCRACKING"),"Hydrocracker",IF($H4703="REFORMING","Reformer",""))))</f>
        <v>Reformer</v>
      </c>
      <c r="H4703" s="6" t="s">
        <v>421</v>
      </c>
      <c r="I4703" s="6" t="s">
        <v>15</v>
      </c>
      <c r="J4703" s="6" t="s">
        <v>349</v>
      </c>
      <c r="K4703" s="10">
        <v>0.132</v>
      </c>
      <c r="L4703" s="10">
        <v>2.2</v>
      </c>
      <c r="M4703" s="6" t="s">
        <v>430</v>
      </c>
    </row>
    <row r="4704" spans="1:13">
      <c r="A4704" s="6">
        <v>2024</v>
      </c>
      <c r="B4704" s="6">
        <v>10</v>
      </c>
      <c r="C4704" s="6" t="s">
        <v>68</v>
      </c>
      <c r="D4704" s="6" t="s">
        <v>1239</v>
      </c>
      <c r="E4704" s="6" t="s">
        <v>872</v>
      </c>
      <c r="F4704" s="6" t="str">
        <f>IF($M4704="PADD I","PADD 1",IF($M4704="PADD II","PADD 2",IF($M4704="PADD III","PADD 3",IF($M4704="PADD IV","PADD 4",IF($M4704="PADD V","PADD 5","")))))</f>
        <v>PADD 4</v>
      </c>
      <c r="G4704" s="6">
        <f>IF(AND($H4704="ATMOS DISTILLATION",ISNUMBER(SEARCH("VPS",$I4704))=FALSE,LEFT($I4704,6)&lt;&gt;"VACUUM"),"CDU",IF($H4704="FLUID CAT CRACKING","FCC",IF(OR($H4704="HYDROCRACKING",$H4704="RESID_HYDROCRACKING"),"Hydrocracker",IF($H4704="REFORMING","Reformer",""))))</f>
        <v/>
      </c>
      <c r="H4704" s="6" t="s">
        <v>568</v>
      </c>
      <c r="I4704" s="6" t="s">
        <v>604</v>
      </c>
      <c r="J4704" s="6" t="s">
        <v>349</v>
      </c>
      <c r="K4704" s="10">
        <v>0.06</v>
      </c>
      <c r="L4704" s="10">
        <v>1</v>
      </c>
      <c r="M4704" s="6" t="s">
        <v>430</v>
      </c>
    </row>
    <row r="4705" spans="1:13">
      <c r="A4705" s="6">
        <v>2024</v>
      </c>
      <c r="B4705" s="6">
        <v>10</v>
      </c>
      <c r="C4705" s="6" t="s">
        <v>68</v>
      </c>
      <c r="D4705" s="6" t="s">
        <v>420</v>
      </c>
      <c r="E4705" s="6" t="s">
        <v>373</v>
      </c>
      <c r="F4705" s="6" t="str">
        <f>IF($M4705="PADD I","PADD 1",IF($M4705="PADD II","PADD 2",IF($M4705="PADD III","PADD 3",IF($M4705="PADD IV","PADD 4",IF($M4705="PADD V","PADD 5","")))))</f>
        <v>PADD 2</v>
      </c>
      <c r="G4705" s="6">
        <f>IF(AND($H4705="ATMOS DISTILLATION",ISNUMBER(SEARCH("VPS",$I4705))=FALSE,LEFT($I4705,6)&lt;&gt;"VACUUM"),"CDU",IF($H4705="FLUID CAT CRACKING","FCC",IF(OR($H4705="HYDROCRACKING",$H4705="RESID_HYDROCRACKING"),"Hydrocracker",IF($H4705="REFORMING","Reformer",""))))</f>
        <v/>
      </c>
      <c r="H4705" s="6" t="s">
        <v>460</v>
      </c>
      <c r="I4705" s="6" t="s">
        <v>616</v>
      </c>
      <c r="J4705" s="6" t="s">
        <v>345</v>
      </c>
      <c r="K4705" s="10">
        <v>0.045</v>
      </c>
      <c r="L4705" s="10">
        <v>1.5</v>
      </c>
      <c r="M4705" s="6" t="s">
        <v>375</v>
      </c>
    </row>
    <row r="4706" spans="1:13">
      <c r="A4706" s="6">
        <v>2024</v>
      </c>
      <c r="B4706" s="6">
        <v>11</v>
      </c>
      <c r="C4706" s="6" t="s">
        <v>69</v>
      </c>
      <c r="D4706" s="6" t="s">
        <v>542</v>
      </c>
      <c r="E4706" s="6" t="s">
        <v>543</v>
      </c>
      <c r="F4706" s="6" t="str">
        <f>IF($M4706="PADD I","PADD 1",IF($M4706="PADD II","PADD 2",IF($M4706="PADD III","PADD 3",IF($M4706="PADD IV","PADD 4",IF($M4706="PADD V","PADD 5","")))))</f>
        <v>PADD 2</v>
      </c>
      <c r="G4706" s="6" t="str">
        <f>IF(AND($H4706="ATMOS DISTILLATION",ISNUMBER(SEARCH("VPS",$I4706))=FALSE,LEFT($I4706,6)&lt;&gt;"VACUUM"),"CDU",IF($H4706="FLUID CAT CRACKING","FCC",IF(OR($H4706="HYDROCRACKING",$H4706="RESID_HYDROCRACKING"),"Hydrocracker",IF($H4706="REFORMING","Reformer",""))))</f>
        <v>CDU</v>
      </c>
      <c r="H4706" s="6" t="s">
        <v>38</v>
      </c>
      <c r="I4706" s="6" t="s">
        <v>874</v>
      </c>
      <c r="J4706" s="6" t="s">
        <v>349</v>
      </c>
      <c r="K4706" s="10">
        <v>175</v>
      </c>
      <c r="L4706" s="10">
        <v>250</v>
      </c>
      <c r="M4706" s="6" t="s">
        <v>375</v>
      </c>
    </row>
    <row r="4707" spans="1:13">
      <c r="A4707" s="6">
        <v>2024</v>
      </c>
      <c r="B4707" s="6">
        <v>11</v>
      </c>
      <c r="C4707" s="6" t="s">
        <v>69</v>
      </c>
      <c r="D4707" s="6" t="s">
        <v>446</v>
      </c>
      <c r="E4707" s="6" t="s">
        <v>391</v>
      </c>
      <c r="F4707" s="6" t="str">
        <f>IF($M4707="PADD I","PADD 1",IF($M4707="PADD II","PADD 2",IF($M4707="PADD III","PADD 3",IF($M4707="PADD IV","PADD 4",IF($M4707="PADD V","PADD 5","")))))</f>
        <v>PADD 3</v>
      </c>
      <c r="G4707" s="6" t="str">
        <f>IF(AND($H4707="ATMOS DISTILLATION",ISNUMBER(SEARCH("VPS",$I4707))=FALSE,LEFT($I4707,6)&lt;&gt;"VACUUM"),"CDU",IF($H4707="FLUID CAT CRACKING","FCC",IF(OR($H4707="HYDROCRACKING",$H4707="RESID_HYDROCRACKING"),"Hydrocracker",IF($H4707="REFORMING","Reformer",""))))</f>
        <v>CDU</v>
      </c>
      <c r="H4707" s="6" t="s">
        <v>38</v>
      </c>
      <c r="I4707" s="6" t="s">
        <v>81</v>
      </c>
      <c r="J4707" s="6" t="s">
        <v>349</v>
      </c>
      <c r="K4707" s="10">
        <v>100</v>
      </c>
      <c r="L4707" s="10">
        <v>100</v>
      </c>
      <c r="M4707" s="6" t="s">
        <v>371</v>
      </c>
    </row>
    <row r="4708" spans="1:13">
      <c r="A4708" s="6">
        <v>2024</v>
      </c>
      <c r="B4708" s="6">
        <v>11</v>
      </c>
      <c r="C4708" s="6" t="s">
        <v>69</v>
      </c>
      <c r="D4708" s="6" t="s">
        <v>526</v>
      </c>
      <c r="E4708" s="6" t="s">
        <v>405</v>
      </c>
      <c r="F4708" s="6" t="str">
        <f>IF($M4708="PADD I","PADD 1",IF($M4708="PADD II","PADD 2",IF($M4708="PADD III","PADD 3",IF($M4708="PADD IV","PADD 4",IF($M4708="PADD V","PADD 5","")))))</f>
        <v>PADD 3</v>
      </c>
      <c r="G4708" s="6" t="str">
        <f>IF(AND($H4708="ATMOS DISTILLATION",ISNUMBER(SEARCH("VPS",$I4708))=FALSE,LEFT($I4708,6)&lt;&gt;"VACUUM"),"CDU",IF($H4708="FLUID CAT CRACKING","FCC",IF(OR($H4708="HYDROCRACKING",$H4708="RESID_HYDROCRACKING"),"Hydrocracker",IF($H4708="REFORMING","Reformer",""))))</f>
        <v>CDU</v>
      </c>
      <c r="H4708" s="6" t="s">
        <v>38</v>
      </c>
      <c r="I4708" s="6" t="s">
        <v>350</v>
      </c>
      <c r="J4708" s="6" t="s">
        <v>345</v>
      </c>
      <c r="K4708" s="10">
        <v>98.05</v>
      </c>
      <c r="L4708" s="10">
        <v>265</v>
      </c>
      <c r="M4708" s="6" t="s">
        <v>371</v>
      </c>
    </row>
    <row r="4709" spans="1:13">
      <c r="A4709" s="6">
        <v>2024</v>
      </c>
      <c r="B4709" s="6">
        <v>11</v>
      </c>
      <c r="C4709" s="6" t="s">
        <v>69</v>
      </c>
      <c r="D4709" s="6" t="s">
        <v>51</v>
      </c>
      <c r="E4709" s="6" t="s">
        <v>391</v>
      </c>
      <c r="F4709" s="6" t="str">
        <f>IF($M4709="PADD I","PADD 1",IF($M4709="PADD II","PADD 2",IF($M4709="PADD III","PADD 3",IF($M4709="PADD IV","PADD 4",IF($M4709="PADD V","PADD 5","")))))</f>
        <v>PADD 5</v>
      </c>
      <c r="G4709" s="6">
        <f>IF(AND($H4709="ATMOS DISTILLATION",ISNUMBER(SEARCH("VPS",$I4709))=FALSE,LEFT($I4709,6)&lt;&gt;"VACUUM"),"CDU",IF($H4709="FLUID CAT CRACKING","FCC",IF(OR($H4709="HYDROCRACKING",$H4709="RESID_HYDROCRACKING"),"Hydrocracker",IF($H4709="REFORMING","Reformer",""))))</f>
        <v/>
      </c>
      <c r="H4709" s="6" t="s">
        <v>378</v>
      </c>
      <c r="I4709" s="6" t="s">
        <v>1035</v>
      </c>
      <c r="J4709" s="6" t="s">
        <v>345</v>
      </c>
      <c r="K4709" s="10">
        <v>91.77</v>
      </c>
      <c r="L4709" s="10">
        <v>161</v>
      </c>
      <c r="M4709" s="6" t="s">
        <v>386</v>
      </c>
    </row>
    <row r="4710" spans="1:13">
      <c r="A4710" s="6">
        <v>2024</v>
      </c>
      <c r="B4710" s="6">
        <v>11</v>
      </c>
      <c r="C4710" s="6" t="s">
        <v>69</v>
      </c>
      <c r="D4710" s="6" t="s">
        <v>542</v>
      </c>
      <c r="E4710" s="6" t="s">
        <v>543</v>
      </c>
      <c r="F4710" s="6" t="str">
        <f>IF($M4710="PADD I","PADD 1",IF($M4710="PADD II","PADD 2",IF($M4710="PADD III","PADD 3",IF($M4710="PADD IV","PADD 4",IF($M4710="PADD V","PADD 5","")))))</f>
        <v>PADD 2</v>
      </c>
      <c r="G4710" s="6">
        <f>IF(AND($H4710="ATMOS DISTILLATION",ISNUMBER(SEARCH("VPS",$I4710))=FALSE,LEFT($I4710,6)&lt;&gt;"VACUUM"),"CDU",IF($H4710="FLUID CAT CRACKING","FCC",IF(OR($H4710="HYDROCRACKING",$H4710="RESID_HYDROCRACKING"),"Hydrocracker",IF($H4710="REFORMING","Reformer",""))))</f>
        <v/>
      </c>
      <c r="H4710" s="6" t="s">
        <v>435</v>
      </c>
      <c r="I4710" s="6" t="s">
        <v>441</v>
      </c>
      <c r="J4710" s="6" t="s">
        <v>345</v>
      </c>
      <c r="K4710" s="10">
        <v>74.45999999999999</v>
      </c>
      <c r="L4710" s="10">
        <v>102</v>
      </c>
      <c r="M4710" s="6" t="s">
        <v>375</v>
      </c>
    </row>
    <row r="4711" spans="1:13">
      <c r="A4711" s="6">
        <v>2024</v>
      </c>
      <c r="B4711" s="6">
        <v>11</v>
      </c>
      <c r="C4711" s="6" t="s">
        <v>69</v>
      </c>
      <c r="D4711" s="6" t="s">
        <v>738</v>
      </c>
      <c r="E4711" s="6" t="s">
        <v>552</v>
      </c>
      <c r="F4711" s="6" t="str">
        <f>IF($M4711="PADD I","PADD 1",IF($M4711="PADD II","PADD 2",IF($M4711="PADD III","PADD 3",IF($M4711="PADD IV","PADD 4",IF($M4711="PADD V","PADD 5","")))))</f>
        <v>PADD 3</v>
      </c>
      <c r="G4711" s="6" t="str">
        <f>IF(AND($H4711="ATMOS DISTILLATION",ISNUMBER(SEARCH("VPS",$I4711))=FALSE,LEFT($I4711,6)&lt;&gt;"VACUUM"),"CDU",IF($H4711="FLUID CAT CRACKING","FCC",IF(OR($H4711="HYDROCRACKING",$H4711="RESID_HYDROCRACKING"),"Hydrocracker",IF($H4711="REFORMING","Reformer",""))))</f>
        <v>CDU</v>
      </c>
      <c r="H4711" s="6" t="s">
        <v>38</v>
      </c>
      <c r="I4711" s="6" t="s">
        <v>81</v>
      </c>
      <c r="J4711" s="6" t="s">
        <v>349</v>
      </c>
      <c r="K4711" s="10">
        <v>74</v>
      </c>
      <c r="L4711" s="10">
        <v>74</v>
      </c>
      <c r="M4711" s="6" t="s">
        <v>371</v>
      </c>
    </row>
    <row r="4712" spans="1:13">
      <c r="A4712" s="6">
        <v>2024</v>
      </c>
      <c r="B4712" s="6">
        <v>11</v>
      </c>
      <c r="C4712" s="6" t="s">
        <v>69</v>
      </c>
      <c r="D4712" s="6" t="s">
        <v>526</v>
      </c>
      <c r="E4712" s="6" t="s">
        <v>405</v>
      </c>
      <c r="F4712" s="6" t="str">
        <f>IF($M4712="PADD I","PADD 1",IF($M4712="PADD II","PADD 2",IF($M4712="PADD III","PADD 3",IF($M4712="PADD IV","PADD 4",IF($M4712="PADD V","PADD 5","")))))</f>
        <v>PADD 3</v>
      </c>
      <c r="G4712" s="6">
        <f>IF(AND($H4712="ATMOS DISTILLATION",ISNUMBER(SEARCH("VPS",$I4712))=FALSE,LEFT($I4712,6)&lt;&gt;"VACUUM"),"CDU",IF($H4712="FLUID CAT CRACKING","FCC",IF(OR($H4712="HYDROCRACKING",$H4712="RESID_HYDROCRACKING"),"Hydrocracker",IF($H4712="REFORMING","Reformer",""))))</f>
        <v/>
      </c>
      <c r="H4712" s="6" t="s">
        <v>378</v>
      </c>
      <c r="I4712" s="6" t="s">
        <v>649</v>
      </c>
      <c r="J4712" s="6" t="s">
        <v>345</v>
      </c>
      <c r="K4712" s="10">
        <v>63.64</v>
      </c>
      <c r="L4712" s="10">
        <v>172</v>
      </c>
      <c r="M4712" s="6" t="s">
        <v>371</v>
      </c>
    </row>
    <row r="4713" spans="1:13">
      <c r="A4713" s="6">
        <v>2024</v>
      </c>
      <c r="B4713" s="6">
        <v>11</v>
      </c>
      <c r="C4713" s="6" t="s">
        <v>69</v>
      </c>
      <c r="D4713" s="6" t="s">
        <v>1214</v>
      </c>
      <c r="E4713" s="6" t="s">
        <v>1215</v>
      </c>
      <c r="F4713" s="6" t="str">
        <f>IF($M4713="PADD I","PADD 1",IF($M4713="PADD II","PADD 2",IF($M4713="PADD III","PADD 3",IF($M4713="PADD IV","PADD 4",IF($M4713="PADD V","PADD 5","")))))</f>
        <v>PADD 1</v>
      </c>
      <c r="G4713" s="6" t="str">
        <f>IF(AND($H4713="ATMOS DISTILLATION",ISNUMBER(SEARCH("VPS",$I4713))=FALSE,LEFT($I4713,6)&lt;&gt;"VACUUM"),"CDU",IF($H4713="FLUID CAT CRACKING","FCC",IF(OR($H4713="HYDROCRACKING",$H4713="RESID_HYDROCRACKING"),"Hydrocracker",IF($H4713="REFORMING","Reformer",""))))</f>
        <v>CDU</v>
      </c>
      <c r="H4713" s="6" t="s">
        <v>38</v>
      </c>
      <c r="I4713" s="6" t="s">
        <v>131</v>
      </c>
      <c r="J4713" s="6" t="s">
        <v>345</v>
      </c>
      <c r="K4713" s="10">
        <v>56</v>
      </c>
      <c r="L4713" s="10">
        <v>56</v>
      </c>
      <c r="M4713" s="6" t="s">
        <v>413</v>
      </c>
    </row>
    <row r="4714" spans="1:13">
      <c r="A4714" s="6">
        <v>2024</v>
      </c>
      <c r="B4714" s="6">
        <v>11</v>
      </c>
      <c r="C4714" s="6" t="s">
        <v>69</v>
      </c>
      <c r="D4714" s="6" t="s">
        <v>676</v>
      </c>
      <c r="E4714" s="6" t="s">
        <v>677</v>
      </c>
      <c r="F4714" s="6" t="str">
        <f>IF($M4714="PADD I","PADD 1",IF($M4714="PADD II","PADD 2",IF($M4714="PADD III","PADD 3",IF($M4714="PADD IV","PADD 4",IF($M4714="PADD V","PADD 5","")))))</f>
        <v>PADD 1</v>
      </c>
      <c r="G4714" s="6" t="str">
        <f>IF(AND($H4714="ATMOS DISTILLATION",ISNUMBER(SEARCH("VPS",$I4714))=FALSE,LEFT($I4714,6)&lt;&gt;"VACUUM"),"CDU",IF($H4714="FLUID CAT CRACKING","FCC",IF(OR($H4714="HYDROCRACKING",$H4714="RESID_HYDROCRACKING"),"Hydrocracker",IF($H4714="REFORMING","Reformer",""))))</f>
        <v>CDU</v>
      </c>
      <c r="H4714" s="6" t="s">
        <v>38</v>
      </c>
      <c r="I4714" s="6" t="s">
        <v>678</v>
      </c>
      <c r="J4714" s="6" t="s">
        <v>345</v>
      </c>
      <c r="K4714" s="10">
        <v>56</v>
      </c>
      <c r="L4714" s="10">
        <v>56</v>
      </c>
      <c r="M4714" s="6" t="s">
        <v>413</v>
      </c>
    </row>
    <row r="4715" spans="1:13">
      <c r="A4715" s="6">
        <v>2024</v>
      </c>
      <c r="B4715" s="6">
        <v>11</v>
      </c>
      <c r="C4715" s="6" t="s">
        <v>69</v>
      </c>
      <c r="D4715" s="6" t="s">
        <v>329</v>
      </c>
      <c r="E4715" s="6" t="s">
        <v>427</v>
      </c>
      <c r="F4715" s="6" t="str">
        <f>IF($M4715="PADD I","PADD 1",IF($M4715="PADD II","PADD 2",IF($M4715="PADD III","PADD 3",IF($M4715="PADD IV","PADD 4",IF($M4715="PADD V","PADD 5","")))))</f>
        <v>PADD 3</v>
      </c>
      <c r="G4715" s="6" t="str">
        <f>IF(AND($H4715="ATMOS DISTILLATION",ISNUMBER(SEARCH("VPS",$I4715))=FALSE,LEFT($I4715,6)&lt;&gt;"VACUUM"),"CDU",IF($H4715="FLUID CAT CRACKING","FCC",IF(OR($H4715="HYDROCRACKING",$H4715="RESID_HYDROCRACKING"),"Hydrocracker",IF($H4715="REFORMING","Reformer",""))))</f>
        <v>FCC</v>
      </c>
      <c r="H4715" s="6" t="s">
        <v>376</v>
      </c>
      <c r="I4715" s="6" t="s">
        <v>428</v>
      </c>
      <c r="J4715" s="6" t="s">
        <v>349</v>
      </c>
      <c r="K4715" s="10">
        <v>45.56</v>
      </c>
      <c r="L4715" s="10">
        <v>68</v>
      </c>
      <c r="M4715" s="6" t="s">
        <v>371</v>
      </c>
    </row>
    <row r="4716" spans="1:13">
      <c r="A4716" s="6">
        <v>2024</v>
      </c>
      <c r="B4716" s="6">
        <v>11</v>
      </c>
      <c r="C4716" s="6" t="s">
        <v>69</v>
      </c>
      <c r="D4716" s="6" t="s">
        <v>675</v>
      </c>
      <c r="E4716" s="6" t="s">
        <v>452</v>
      </c>
      <c r="F4716" s="6" t="str">
        <f>IF($M4716="PADD I","PADD 1",IF($M4716="PADD II","PADD 2",IF($M4716="PADD III","PADD 3",IF($M4716="PADD IV","PADD 4",IF($M4716="PADD V","PADD 5","")))))</f>
        <v>PADD 2</v>
      </c>
      <c r="G4716" s="6" t="str">
        <f>IF(AND($H4716="ATMOS DISTILLATION",ISNUMBER(SEARCH("VPS",$I4716))=FALSE,LEFT($I4716,6)&lt;&gt;"VACUUM"),"CDU",IF($H4716="FLUID CAT CRACKING","FCC",IF(OR($H4716="HYDROCRACKING",$H4716="RESID_HYDROCRACKING"),"Hydrocracker",IF($H4716="REFORMING","Reformer",""))))</f>
        <v>CDU</v>
      </c>
      <c r="H4716" s="6" t="s">
        <v>38</v>
      </c>
      <c r="I4716" s="6" t="s">
        <v>81</v>
      </c>
      <c r="J4716" s="6" t="s">
        <v>349</v>
      </c>
      <c r="K4716" s="10">
        <v>43.74</v>
      </c>
      <c r="L4716" s="10">
        <v>87.48</v>
      </c>
      <c r="M4716" s="6" t="s">
        <v>375</v>
      </c>
    </row>
    <row r="4717" spans="1:13">
      <c r="A4717" s="6">
        <v>2024</v>
      </c>
      <c r="B4717" s="6">
        <v>11</v>
      </c>
      <c r="C4717" s="6" t="s">
        <v>69</v>
      </c>
      <c r="D4717" s="6" t="s">
        <v>985</v>
      </c>
      <c r="E4717" s="6" t="s">
        <v>543</v>
      </c>
      <c r="F4717" s="6" t="str">
        <f>IF($M4717="PADD I","PADD 1",IF($M4717="PADD II","PADD 2",IF($M4717="PADD III","PADD 3",IF($M4717="PADD IV","PADD 4",IF($M4717="PADD V","PADD 5","")))))</f>
        <v>PADD 2</v>
      </c>
      <c r="G4717" s="6">
        <f>IF(AND($H4717="ATMOS DISTILLATION",ISNUMBER(SEARCH("VPS",$I4717))=FALSE,LEFT($I4717,6)&lt;&gt;"VACUUM"),"CDU",IF($H4717="FLUID CAT CRACKING","FCC",IF(OR($H4717="HYDROCRACKING",$H4717="RESID_HYDROCRACKING"),"Hydrocracker",IF($H4717="REFORMING","Reformer",""))))</f>
        <v/>
      </c>
      <c r="H4717" s="6" t="s">
        <v>378</v>
      </c>
      <c r="I4717" s="6" t="s">
        <v>786</v>
      </c>
      <c r="J4717" s="6" t="s">
        <v>345</v>
      </c>
      <c r="K4717" s="10">
        <v>42.231</v>
      </c>
      <c r="L4717" s="10">
        <v>60.33</v>
      </c>
      <c r="M4717" s="6" t="s">
        <v>375</v>
      </c>
    </row>
    <row r="4718" spans="1:13">
      <c r="A4718" s="6">
        <v>2024</v>
      </c>
      <c r="B4718" s="6">
        <v>11</v>
      </c>
      <c r="C4718" s="6" t="s">
        <v>69</v>
      </c>
      <c r="D4718" s="6" t="s">
        <v>446</v>
      </c>
      <c r="E4718" s="6" t="s">
        <v>391</v>
      </c>
      <c r="F4718" s="6" t="str">
        <f>IF($M4718="PADD I","PADD 1",IF($M4718="PADD II","PADD 2",IF($M4718="PADD III","PADD 3",IF($M4718="PADD IV","PADD 4",IF($M4718="PADD V","PADD 5","")))))</f>
        <v>PADD 3</v>
      </c>
      <c r="G4718" s="6">
        <f>IF(AND($H4718="ATMOS DISTILLATION",ISNUMBER(SEARCH("VPS",$I4718))=FALSE,LEFT($I4718,6)&lt;&gt;"VACUUM"),"CDU",IF($H4718="FLUID CAT CRACKING","FCC",IF(OR($H4718="HYDROCRACKING",$H4718="RESID_HYDROCRACKING"),"Hydrocracker",IF($H4718="REFORMING","Reformer",""))))</f>
        <v/>
      </c>
      <c r="H4718" s="6" t="s">
        <v>378</v>
      </c>
      <c r="I4718" s="6" t="s">
        <v>1041</v>
      </c>
      <c r="J4718" s="6" t="s">
        <v>345</v>
      </c>
      <c r="K4718" s="10">
        <v>41</v>
      </c>
      <c r="L4718" s="10">
        <v>41</v>
      </c>
      <c r="M4718" s="6" t="s">
        <v>371</v>
      </c>
    </row>
    <row r="4719" spans="1:13">
      <c r="A4719" s="6">
        <v>2024</v>
      </c>
      <c r="B4719" s="6">
        <v>11</v>
      </c>
      <c r="C4719" s="6" t="s">
        <v>69</v>
      </c>
      <c r="D4719" s="6" t="s">
        <v>440</v>
      </c>
      <c r="E4719" s="6" t="s">
        <v>369</v>
      </c>
      <c r="F4719" s="6" t="str">
        <f>IF($M4719="PADD I","PADD 1",IF($M4719="PADD II","PADD 2",IF($M4719="PADD III","PADD 3",IF($M4719="PADD IV","PADD 4",IF($M4719="PADD V","PADD 5","")))))</f>
        <v>PADD 5</v>
      </c>
      <c r="G4719" s="6">
        <f>IF(AND($H4719="ATMOS DISTILLATION",ISNUMBER(SEARCH("VPS",$I4719))=FALSE,LEFT($I4719,6)&lt;&gt;"VACUUM"),"CDU",IF($H4719="FLUID CAT CRACKING","FCC",IF(OR($H4719="HYDROCRACKING",$H4719="RESID_HYDROCRACKING"),"Hydrocracker",IF($H4719="REFORMING","Reformer",""))))</f>
        <v/>
      </c>
      <c r="H4719" s="6" t="s">
        <v>43</v>
      </c>
      <c r="I4719" s="6" t="s">
        <v>667</v>
      </c>
      <c r="J4719" s="6" t="s">
        <v>349</v>
      </c>
      <c r="K4719" s="10">
        <v>40</v>
      </c>
      <c r="L4719" s="10">
        <v>40</v>
      </c>
      <c r="M4719" s="6" t="s">
        <v>386</v>
      </c>
    </row>
    <row r="4720" spans="1:13">
      <c r="A4720" s="6">
        <v>2024</v>
      </c>
      <c r="B4720" s="6">
        <v>11</v>
      </c>
      <c r="C4720" s="6" t="s">
        <v>69</v>
      </c>
      <c r="D4720" s="6" t="s">
        <v>51</v>
      </c>
      <c r="E4720" s="6" t="s">
        <v>391</v>
      </c>
      <c r="F4720" s="6" t="str">
        <f>IF($M4720="PADD I","PADD 1",IF($M4720="PADD II","PADD 2",IF($M4720="PADD III","PADD 3",IF($M4720="PADD IV","PADD 4",IF($M4720="PADD V","PADD 5","")))))</f>
        <v>PADD 5</v>
      </c>
      <c r="G4720" s="6">
        <f>IF(AND($H4720="ATMOS DISTILLATION",ISNUMBER(SEARCH("VPS",$I4720))=FALSE,LEFT($I4720,6)&lt;&gt;"VACUUM"),"CDU",IF($H4720="FLUID CAT CRACKING","FCC",IF(OR($H4720="HYDROCRACKING",$H4720="RESID_HYDROCRACKING"),"Hydrocracker",IF($H4720="REFORMING","Reformer",""))))</f>
        <v/>
      </c>
      <c r="H4720" s="6" t="s">
        <v>43</v>
      </c>
      <c r="I4720" s="6" t="s">
        <v>1230</v>
      </c>
      <c r="J4720" s="6" t="s">
        <v>349</v>
      </c>
      <c r="K4720" s="10">
        <v>38.76</v>
      </c>
      <c r="L4720" s="10">
        <v>68</v>
      </c>
      <c r="M4720" s="6" t="s">
        <v>386</v>
      </c>
    </row>
    <row r="4721" spans="1:13">
      <c r="A4721" s="6">
        <v>2024</v>
      </c>
      <c r="B4721" s="6">
        <v>11</v>
      </c>
      <c r="C4721" s="6" t="s">
        <v>69</v>
      </c>
      <c r="D4721" s="6" t="s">
        <v>448</v>
      </c>
      <c r="E4721" s="6" t="s">
        <v>391</v>
      </c>
      <c r="F4721" s="6" t="str">
        <f>IF($M4721="PADD I","PADD 1",IF($M4721="PADD II","PADD 2",IF($M4721="PADD III","PADD 3",IF($M4721="PADD IV","PADD 4",IF($M4721="PADD V","PADD 5","")))))</f>
        <v>PADD 3</v>
      </c>
      <c r="G4721" s="6">
        <f>IF(AND($H4721="ATMOS DISTILLATION",ISNUMBER(SEARCH("VPS",$I4721))=FALSE,LEFT($I4721,6)&lt;&gt;"VACUUM"),"CDU",IF($H4721="FLUID CAT CRACKING","FCC",IF(OR($H4721="HYDROCRACKING",$H4721="RESID_HYDROCRACKING"),"Hydrocracker",IF($H4721="REFORMING","Reformer",""))))</f>
        <v/>
      </c>
      <c r="H4721" s="6" t="s">
        <v>43</v>
      </c>
      <c r="I4721" s="6" t="s">
        <v>449</v>
      </c>
      <c r="J4721" s="6" t="s">
        <v>345</v>
      </c>
      <c r="K4721" s="10">
        <v>35</v>
      </c>
      <c r="L4721" s="10">
        <v>35</v>
      </c>
      <c r="M4721" s="6" t="s">
        <v>371</v>
      </c>
    </row>
    <row r="4722" spans="1:13">
      <c r="A4722" s="6">
        <v>2024</v>
      </c>
      <c r="B4722" s="6">
        <v>11</v>
      </c>
      <c r="C4722" s="6" t="s">
        <v>69</v>
      </c>
      <c r="D4722" s="6" t="s">
        <v>446</v>
      </c>
      <c r="E4722" s="6" t="s">
        <v>391</v>
      </c>
      <c r="F4722" s="6" t="str">
        <f>IF($M4722="PADD I","PADD 1",IF($M4722="PADD II","PADD 2",IF($M4722="PADD III","PADD 3",IF($M4722="PADD IV","PADD 4",IF($M4722="PADD V","PADD 5","")))))</f>
        <v>PADD 3</v>
      </c>
      <c r="G4722" s="6">
        <f>IF(AND($H4722="ATMOS DISTILLATION",ISNUMBER(SEARCH("VPS",$I4722))=FALSE,LEFT($I4722,6)&lt;&gt;"VACUUM"),"CDU",IF($H4722="FLUID CAT CRACKING","FCC",IF(OR($H4722="HYDROCRACKING",$H4722="RESID_HYDROCRACKING"),"Hydrocracker",IF($H4722="REFORMING","Reformer",""))))</f>
        <v/>
      </c>
      <c r="H4722" s="6" t="s">
        <v>378</v>
      </c>
      <c r="I4722" s="6" t="s">
        <v>1041</v>
      </c>
      <c r="J4722" s="6" t="s">
        <v>349</v>
      </c>
      <c r="K4722" s="10">
        <v>34.2</v>
      </c>
      <c r="L4722" s="10">
        <v>38</v>
      </c>
      <c r="M4722" s="6" t="s">
        <v>371</v>
      </c>
    </row>
    <row r="4723" spans="1:13">
      <c r="A4723" s="6">
        <v>2024</v>
      </c>
      <c r="B4723" s="6">
        <v>11</v>
      </c>
      <c r="C4723" s="6" t="s">
        <v>69</v>
      </c>
      <c r="D4723" s="6" t="s">
        <v>738</v>
      </c>
      <c r="E4723" s="6" t="s">
        <v>552</v>
      </c>
      <c r="F4723" s="6" t="str">
        <f>IF($M4723="PADD I","PADD 1",IF($M4723="PADD II","PADD 2",IF($M4723="PADD III","PADD 3",IF($M4723="PADD IV","PADD 4",IF($M4723="PADD V","PADD 5","")))))</f>
        <v>PADD 3</v>
      </c>
      <c r="G4723" s="6" t="str">
        <f>IF(AND($H4723="ATMOS DISTILLATION",ISNUMBER(SEARCH("VPS",$I4723))=FALSE,LEFT($I4723,6)&lt;&gt;"VACUUM"),"CDU",IF($H4723="FLUID CAT CRACKING","FCC",IF(OR($H4723="HYDROCRACKING",$H4723="RESID_HYDROCRACKING"),"Hydrocracker",IF($H4723="REFORMING","Reformer",""))))</f>
        <v>FCC</v>
      </c>
      <c r="H4723" s="6" t="s">
        <v>376</v>
      </c>
      <c r="I4723" s="6" t="s">
        <v>105</v>
      </c>
      <c r="J4723" s="6" t="s">
        <v>349</v>
      </c>
      <c r="K4723" s="10">
        <v>32.5</v>
      </c>
      <c r="L4723" s="10">
        <v>32.5</v>
      </c>
      <c r="M4723" s="6" t="s">
        <v>371</v>
      </c>
    </row>
    <row r="4724" spans="1:13">
      <c r="A4724" s="6">
        <v>2024</v>
      </c>
      <c r="B4724" s="6">
        <v>11</v>
      </c>
      <c r="C4724" s="6" t="s">
        <v>69</v>
      </c>
      <c r="D4724" s="6" t="s">
        <v>329</v>
      </c>
      <c r="E4724" s="6" t="s">
        <v>427</v>
      </c>
      <c r="F4724" s="6" t="str">
        <f>IF($M4724="PADD I","PADD 1",IF($M4724="PADD II","PADD 2",IF($M4724="PADD III","PADD 3",IF($M4724="PADD IV","PADD 4",IF($M4724="PADD V","PADD 5","")))))</f>
        <v>PADD 3</v>
      </c>
      <c r="G4724" s="6" t="str">
        <f>IF(AND($H4724="ATMOS DISTILLATION",ISNUMBER(SEARCH("VPS",$I4724))=FALSE,LEFT($I4724,6)&lt;&gt;"VACUUM"),"CDU",IF($H4724="FLUID CAT CRACKING","FCC",IF(OR($H4724="HYDROCRACKING",$H4724="RESID_HYDROCRACKING"),"Hydrocracker",IF($H4724="REFORMING","Reformer",""))))</f>
        <v>CDU</v>
      </c>
      <c r="H4724" s="6" t="s">
        <v>38</v>
      </c>
      <c r="I4724" s="6" t="s">
        <v>123</v>
      </c>
      <c r="J4724" s="6" t="s">
        <v>349</v>
      </c>
      <c r="K4724" s="10">
        <v>32.16</v>
      </c>
      <c r="L4724" s="10">
        <v>48</v>
      </c>
      <c r="M4724" s="6" t="s">
        <v>371</v>
      </c>
    </row>
    <row r="4725" spans="1:13">
      <c r="A4725" s="6">
        <v>2024</v>
      </c>
      <c r="B4725" s="6">
        <v>11</v>
      </c>
      <c r="C4725" s="6" t="s">
        <v>69</v>
      </c>
      <c r="D4725" s="6" t="s">
        <v>329</v>
      </c>
      <c r="E4725" s="6" t="s">
        <v>427</v>
      </c>
      <c r="F4725" s="6" t="str">
        <f>IF($M4725="PADD I","PADD 1",IF($M4725="PADD II","PADD 2",IF($M4725="PADD III","PADD 3",IF($M4725="PADD IV","PADD 4",IF($M4725="PADD V","PADD 5","")))))</f>
        <v>PADD 3</v>
      </c>
      <c r="G4725" s="6" t="str">
        <f>IF(AND($H4725="ATMOS DISTILLATION",ISNUMBER(SEARCH("VPS",$I4725))=FALSE,LEFT($I4725,6)&lt;&gt;"VACUUM"),"CDU",IF($H4725="FLUID CAT CRACKING","FCC",IF(OR($H4725="HYDROCRACKING",$H4725="RESID_HYDROCRACKING"),"Hydrocracker",IF($H4725="REFORMING","Reformer",""))))</f>
        <v>CDU</v>
      </c>
      <c r="H4725" s="6" t="s">
        <v>38</v>
      </c>
      <c r="I4725" s="6" t="s">
        <v>330</v>
      </c>
      <c r="J4725" s="6" t="s">
        <v>349</v>
      </c>
      <c r="K4725" s="10">
        <v>32.16</v>
      </c>
      <c r="L4725" s="10">
        <v>48</v>
      </c>
      <c r="M4725" s="6" t="s">
        <v>371</v>
      </c>
    </row>
    <row r="4726" spans="1:13">
      <c r="A4726" s="6">
        <v>2024</v>
      </c>
      <c r="B4726" s="6">
        <v>11</v>
      </c>
      <c r="C4726" s="6" t="s">
        <v>69</v>
      </c>
      <c r="D4726" s="6" t="s">
        <v>446</v>
      </c>
      <c r="E4726" s="6" t="s">
        <v>391</v>
      </c>
      <c r="F4726" s="6" t="str">
        <f>IF($M4726="PADD I","PADD 1",IF($M4726="PADD II","PADD 2",IF($M4726="PADD III","PADD 3",IF($M4726="PADD IV","PADD 4",IF($M4726="PADD V","PADD 5","")))))</f>
        <v>PADD 3</v>
      </c>
      <c r="G4726" s="6">
        <f>IF(AND($H4726="ATMOS DISTILLATION",ISNUMBER(SEARCH("VPS",$I4726))=FALSE,LEFT($I4726,6)&lt;&gt;"VACUUM"),"CDU",IF($H4726="FLUID CAT CRACKING","FCC",IF(OR($H4726="HYDROCRACKING",$H4726="RESID_HYDROCRACKING"),"Hydrocracker",IF($H4726="REFORMING","Reformer",""))))</f>
        <v/>
      </c>
      <c r="H4726" s="6" t="s">
        <v>43</v>
      </c>
      <c r="I4726" s="6" t="s">
        <v>447</v>
      </c>
      <c r="J4726" s="6" t="s">
        <v>349</v>
      </c>
      <c r="K4726" s="10">
        <v>31.5</v>
      </c>
      <c r="L4726" s="10">
        <v>35</v>
      </c>
      <c r="M4726" s="6" t="s">
        <v>371</v>
      </c>
    </row>
    <row r="4727" spans="1:13">
      <c r="A4727" s="6">
        <v>2024</v>
      </c>
      <c r="B4727" s="6">
        <v>11</v>
      </c>
      <c r="C4727" s="6" t="s">
        <v>69</v>
      </c>
      <c r="D4727" s="6" t="s">
        <v>676</v>
      </c>
      <c r="E4727" s="6" t="s">
        <v>677</v>
      </c>
      <c r="F4727" s="6" t="str">
        <f>IF($M4727="PADD I","PADD 1",IF($M4727="PADD II","PADD 2",IF($M4727="PADD III","PADD 3",IF($M4727="PADD IV","PADD 4",IF($M4727="PADD V","PADD 5","")))))</f>
        <v>PADD 1</v>
      </c>
      <c r="G4727" s="6">
        <f>IF(AND($H4727="ATMOS DISTILLATION",ISNUMBER(SEARCH("VPS",$I4727))=FALSE,LEFT($I4727,6)&lt;&gt;"VACUUM"),"CDU",IF($H4727="FLUID CAT CRACKING","FCC",IF(OR($H4727="HYDROCRACKING",$H4727="RESID_HYDROCRACKING"),"Hydrocracker",IF($H4727="REFORMING","Reformer",""))))</f>
        <v/>
      </c>
      <c r="H4727" s="6" t="s">
        <v>378</v>
      </c>
      <c r="I4727" s="6" t="s">
        <v>1262</v>
      </c>
      <c r="J4727" s="6" t="s">
        <v>345</v>
      </c>
      <c r="K4727" s="10">
        <v>31</v>
      </c>
      <c r="L4727" s="10">
        <v>31</v>
      </c>
      <c r="M4727" s="6" t="s">
        <v>413</v>
      </c>
    </row>
    <row r="4728" spans="1:13">
      <c r="A4728" s="6">
        <v>2024</v>
      </c>
      <c r="B4728" s="6">
        <v>11</v>
      </c>
      <c r="C4728" s="6" t="s">
        <v>69</v>
      </c>
      <c r="D4728" s="6" t="s">
        <v>329</v>
      </c>
      <c r="E4728" s="6" t="s">
        <v>427</v>
      </c>
      <c r="F4728" s="6" t="str">
        <f>IF($M4728="PADD I","PADD 1",IF($M4728="PADD II","PADD 2",IF($M4728="PADD III","PADD 3",IF($M4728="PADD IV","PADD 4",IF($M4728="PADD V","PADD 5","")))))</f>
        <v>PADD 3</v>
      </c>
      <c r="G4728" s="6">
        <f>IF(AND($H4728="ATMOS DISTILLATION",ISNUMBER(SEARCH("VPS",$I4728))=FALSE,LEFT($I4728,6)&lt;&gt;"VACUUM"),"CDU",IF($H4728="FLUID CAT CRACKING","FCC",IF(OR($H4728="HYDROCRACKING",$H4728="RESID_HYDROCRACKING"),"Hydrocracker",IF($H4728="REFORMING","Reformer",""))))</f>
        <v/>
      </c>
      <c r="H4728" s="6" t="s">
        <v>43</v>
      </c>
      <c r="I4728" s="6" t="s">
        <v>1208</v>
      </c>
      <c r="J4728" s="6" t="s">
        <v>349</v>
      </c>
      <c r="K4728" s="10">
        <v>30.15</v>
      </c>
      <c r="L4728" s="10">
        <v>45</v>
      </c>
      <c r="M4728" s="6" t="s">
        <v>371</v>
      </c>
    </row>
    <row r="4729" spans="1:13">
      <c r="A4729" s="6">
        <v>2024</v>
      </c>
      <c r="B4729" s="6">
        <v>11</v>
      </c>
      <c r="C4729" s="6" t="s">
        <v>69</v>
      </c>
      <c r="D4729" s="6" t="s">
        <v>51</v>
      </c>
      <c r="E4729" s="6" t="s">
        <v>391</v>
      </c>
      <c r="F4729" s="6" t="str">
        <f>IF($M4729="PADD I","PADD 1",IF($M4729="PADD II","PADD 2",IF($M4729="PADD III","PADD 3",IF($M4729="PADD IV","PADD 4",IF($M4729="PADD V","PADD 5","")))))</f>
        <v>PADD 5</v>
      </c>
      <c r="G4729" s="6" t="str">
        <f>IF(AND($H4729="ATMOS DISTILLATION",ISNUMBER(SEARCH("VPS",$I4729))=FALSE,LEFT($I4729,6)&lt;&gt;"VACUUM"),"CDU",IF($H4729="FLUID CAT CRACKING","FCC",IF(OR($H4729="HYDROCRACKING",$H4729="RESID_HYDROCRACKING"),"Hydrocracker",IF($H4729="REFORMING","Reformer",""))))</f>
        <v>Hydrocracker</v>
      </c>
      <c r="H4729" s="6" t="s">
        <v>444</v>
      </c>
      <c r="I4729" s="6" t="s">
        <v>1074</v>
      </c>
      <c r="J4729" s="6" t="s">
        <v>345</v>
      </c>
      <c r="K4729" s="10">
        <v>30.15</v>
      </c>
      <c r="L4729" s="10">
        <v>45</v>
      </c>
      <c r="M4729" s="6" t="s">
        <v>386</v>
      </c>
    </row>
    <row r="4730" spans="1:13">
      <c r="A4730" s="6">
        <v>2024</v>
      </c>
      <c r="B4730" s="6">
        <v>11</v>
      </c>
      <c r="C4730" s="6" t="s">
        <v>69</v>
      </c>
      <c r="D4730" s="6" t="s">
        <v>542</v>
      </c>
      <c r="E4730" s="6" t="s">
        <v>543</v>
      </c>
      <c r="F4730" s="6" t="str">
        <f>IF($M4730="PADD I","PADD 1",IF($M4730="PADD II","PADD 2",IF($M4730="PADD III","PADD 3",IF($M4730="PADD IV","PADD 4",IF($M4730="PADD V","PADD 5","")))))</f>
        <v>PADD 2</v>
      </c>
      <c r="G4730" s="6" t="str">
        <f>IF(AND($H4730="ATMOS DISTILLATION",ISNUMBER(SEARCH("VPS",$I4730))=FALSE,LEFT($I4730,6)&lt;&gt;"VACUUM"),"CDU",IF($H4730="FLUID CAT CRACKING","FCC",IF(OR($H4730="HYDROCRACKING",$H4730="RESID_HYDROCRACKING"),"Hydrocracker",IF($H4730="REFORMING","Reformer",""))))</f>
        <v>Reformer</v>
      </c>
      <c r="H4730" s="6" t="s">
        <v>421</v>
      </c>
      <c r="I4730" s="6" t="s">
        <v>1114</v>
      </c>
      <c r="J4730" s="6" t="s">
        <v>349</v>
      </c>
      <c r="K4730" s="10">
        <v>30</v>
      </c>
      <c r="L4730" s="10">
        <v>60</v>
      </c>
      <c r="M4730" s="6" t="s">
        <v>375</v>
      </c>
    </row>
    <row r="4731" spans="1:13">
      <c r="A4731" s="6">
        <v>2024</v>
      </c>
      <c r="B4731" s="6">
        <v>11</v>
      </c>
      <c r="C4731" s="6" t="s">
        <v>69</v>
      </c>
      <c r="D4731" s="6" t="s">
        <v>526</v>
      </c>
      <c r="E4731" s="6" t="s">
        <v>405</v>
      </c>
      <c r="F4731" s="6" t="str">
        <f>IF($M4731="PADD I","PADD 1",IF($M4731="PADD II","PADD 2",IF($M4731="PADD III","PADD 3",IF($M4731="PADD IV","PADD 4",IF($M4731="PADD V","PADD 5","")))))</f>
        <v>PADD 3</v>
      </c>
      <c r="G4731" s="6">
        <f>IF(AND($H4731="ATMOS DISTILLATION",ISNUMBER(SEARCH("VPS",$I4731))=FALSE,LEFT($I4731,6)&lt;&gt;"VACUUM"),"CDU",IF($H4731="FLUID CAT CRACKING","FCC",IF(OR($H4731="HYDROCRACKING",$H4731="RESID_HYDROCRACKING"),"Hydrocracker",IF($H4731="REFORMING","Reformer",""))))</f>
        <v/>
      </c>
      <c r="H4731" s="6" t="s">
        <v>435</v>
      </c>
      <c r="I4731" s="6" t="s">
        <v>954</v>
      </c>
      <c r="J4731" s="6" t="s">
        <v>345</v>
      </c>
      <c r="K4731" s="10">
        <v>30</v>
      </c>
      <c r="L4731" s="10">
        <v>30</v>
      </c>
      <c r="M4731" s="6" t="s">
        <v>371</v>
      </c>
    </row>
    <row r="4732" spans="1:13">
      <c r="A4732" s="6">
        <v>2024</v>
      </c>
      <c r="B4732" s="6">
        <v>11</v>
      </c>
      <c r="C4732" s="6" t="s">
        <v>69</v>
      </c>
      <c r="D4732" s="6" t="s">
        <v>851</v>
      </c>
      <c r="E4732" s="6" t="s">
        <v>852</v>
      </c>
      <c r="F4732" s="6" t="str">
        <f>IF($M4732="PADD I","PADD 1",IF($M4732="PADD II","PADD 2",IF($M4732="PADD III","PADD 3",IF($M4732="PADD IV","PADD 4",IF($M4732="PADD V","PADD 5","")))))</f>
        <v>PADD 3</v>
      </c>
      <c r="G4732" s="6" t="str">
        <f>IF(AND($H4732="ATMOS DISTILLATION",ISNUMBER(SEARCH("VPS",$I4732))=FALSE,LEFT($I4732,6)&lt;&gt;"VACUUM"),"CDU",IF($H4732="FLUID CAT CRACKING","FCC",IF(OR($H4732="HYDROCRACKING",$H4732="RESID_HYDROCRACKING"),"Hydrocracker",IF($H4732="REFORMING","Reformer",""))))</f>
        <v>CDU</v>
      </c>
      <c r="H4732" s="6" t="s">
        <v>38</v>
      </c>
      <c r="I4732" s="6" t="s">
        <v>854</v>
      </c>
      <c r="J4732" s="6" t="s">
        <v>345</v>
      </c>
      <c r="K4732" s="10">
        <v>29.2</v>
      </c>
      <c r="L4732" s="10">
        <v>73</v>
      </c>
      <c r="M4732" s="6" t="s">
        <v>371</v>
      </c>
    </row>
    <row r="4733" spans="1:13">
      <c r="A4733" s="6">
        <v>2024</v>
      </c>
      <c r="B4733" s="6">
        <v>11</v>
      </c>
      <c r="C4733" s="6" t="s">
        <v>69</v>
      </c>
      <c r="D4733" s="6" t="s">
        <v>446</v>
      </c>
      <c r="E4733" s="6" t="s">
        <v>391</v>
      </c>
      <c r="F4733" s="6" t="str">
        <f>IF($M4733="PADD I","PADD 1",IF($M4733="PADD II","PADD 2",IF($M4733="PADD III","PADD 3",IF($M4733="PADD IV","PADD 4",IF($M4733="PADD V","PADD 5","")))))</f>
        <v>PADD 3</v>
      </c>
      <c r="G4733" s="6">
        <f>IF(AND($H4733="ATMOS DISTILLATION",ISNUMBER(SEARCH("VPS",$I4733))=FALSE,LEFT($I4733,6)&lt;&gt;"VACUUM"),"CDU",IF($H4733="FLUID CAT CRACKING","FCC",IF(OR($H4733="HYDROCRACKING",$H4733="RESID_HYDROCRACKING"),"Hydrocracker",IF($H4733="REFORMING","Reformer",""))))</f>
        <v/>
      </c>
      <c r="H4733" s="6" t="s">
        <v>43</v>
      </c>
      <c r="I4733" s="6" t="s">
        <v>1143</v>
      </c>
      <c r="J4733" s="6" t="s">
        <v>349</v>
      </c>
      <c r="K4733" s="10">
        <v>28.8</v>
      </c>
      <c r="L4733" s="10">
        <v>32</v>
      </c>
      <c r="M4733" s="6" t="s">
        <v>371</v>
      </c>
    </row>
    <row r="4734" spans="1:13">
      <c r="A4734" s="6">
        <v>2024</v>
      </c>
      <c r="B4734" s="6">
        <v>11</v>
      </c>
      <c r="C4734" s="6" t="s">
        <v>69</v>
      </c>
      <c r="D4734" s="6" t="s">
        <v>415</v>
      </c>
      <c r="E4734" s="6" t="s">
        <v>416</v>
      </c>
      <c r="F4734" s="6" t="str">
        <f>IF($M4734="PADD I","PADD 1",IF($M4734="PADD II","PADD 2",IF($M4734="PADD III","PADD 3",IF($M4734="PADD IV","PADD 4",IF($M4734="PADD V","PADD 5","")))))</f>
        <v>PADD 3</v>
      </c>
      <c r="G4734" s="6">
        <f>IF(AND($H4734="ATMOS DISTILLATION",ISNUMBER(SEARCH("VPS",$I4734))=FALSE,LEFT($I4734,6)&lt;&gt;"VACUUM"),"CDU",IF($H4734="FLUID CAT CRACKING","FCC",IF(OR($H4734="HYDROCRACKING",$H4734="RESID_HYDROCRACKING"),"Hydrocracker",IF($H4734="REFORMING","Reformer",""))))</f>
        <v/>
      </c>
      <c r="H4734" s="6" t="s">
        <v>435</v>
      </c>
      <c r="I4734" s="6" t="s">
        <v>453</v>
      </c>
      <c r="J4734" s="6" t="s">
        <v>345</v>
      </c>
      <c r="K4734" s="10">
        <v>28.22</v>
      </c>
      <c r="L4734" s="10">
        <v>34</v>
      </c>
      <c r="M4734" s="6" t="s">
        <v>371</v>
      </c>
    </row>
    <row r="4735" spans="1:13">
      <c r="A4735" s="6">
        <v>2024</v>
      </c>
      <c r="B4735" s="6">
        <v>11</v>
      </c>
      <c r="C4735" s="6" t="s">
        <v>69</v>
      </c>
      <c r="D4735" s="6" t="s">
        <v>50</v>
      </c>
      <c r="E4735" s="6" t="s">
        <v>381</v>
      </c>
      <c r="F4735" s="6" t="str">
        <f>IF($M4735="PADD I","PADD 1",IF($M4735="PADD II","PADD 2",IF($M4735="PADD III","PADD 3",IF($M4735="PADD IV","PADD 4",IF($M4735="PADD V","PADD 5","")))))</f>
        <v>PADD 3</v>
      </c>
      <c r="G4735" s="6" t="str">
        <f>IF(AND($H4735="ATMOS DISTILLATION",ISNUMBER(SEARCH("VPS",$I4735))=FALSE,LEFT($I4735,6)&lt;&gt;"VACUUM"),"CDU",IF($H4735="FLUID CAT CRACKING","FCC",IF(OR($H4735="HYDROCRACKING",$H4735="RESID_HYDROCRACKING"),"Hydrocracker",IF($H4735="REFORMING","Reformer",""))))</f>
        <v>Reformer</v>
      </c>
      <c r="H4735" s="6" t="s">
        <v>421</v>
      </c>
      <c r="I4735" s="6" t="s">
        <v>1086</v>
      </c>
      <c r="J4735" s="6" t="s">
        <v>349</v>
      </c>
      <c r="K4735" s="10">
        <v>25</v>
      </c>
      <c r="L4735" s="10">
        <v>25</v>
      </c>
      <c r="M4735" s="6" t="s">
        <v>371</v>
      </c>
    </row>
    <row r="4736" spans="1:13">
      <c r="A4736" s="6">
        <v>2024</v>
      </c>
      <c r="B4736" s="6">
        <v>11</v>
      </c>
      <c r="C4736" s="6" t="s">
        <v>69</v>
      </c>
      <c r="D4736" s="6" t="s">
        <v>738</v>
      </c>
      <c r="E4736" s="6" t="s">
        <v>552</v>
      </c>
      <c r="F4736" s="6" t="str">
        <f>IF($M4736="PADD I","PADD 1",IF($M4736="PADD II","PADD 2",IF($M4736="PADD III","PADD 3",IF($M4736="PADD IV","PADD 4",IF($M4736="PADD V","PADD 5","")))))</f>
        <v>PADD 3</v>
      </c>
      <c r="G4736" s="6">
        <f>IF(AND($H4736="ATMOS DISTILLATION",ISNUMBER(SEARCH("VPS",$I4736))=FALSE,LEFT($I4736,6)&lt;&gt;"VACUUM"),"CDU",IF($H4736="FLUID CAT CRACKING","FCC",IF(OR($H4736="HYDROCRACKING",$H4736="RESID_HYDROCRACKING"),"Hydrocracker",IF($H4736="REFORMING","Reformer",""))))</f>
        <v/>
      </c>
      <c r="H4736" s="6" t="s">
        <v>378</v>
      </c>
      <c r="I4736" s="6" t="s">
        <v>431</v>
      </c>
      <c r="J4736" s="6" t="s">
        <v>349</v>
      </c>
      <c r="K4736" s="10">
        <v>24</v>
      </c>
      <c r="L4736" s="10">
        <v>24</v>
      </c>
      <c r="M4736" s="6" t="s">
        <v>371</v>
      </c>
    </row>
    <row r="4737" spans="1:13">
      <c r="A4737" s="6">
        <v>2024</v>
      </c>
      <c r="B4737" s="6">
        <v>11</v>
      </c>
      <c r="C4737" s="6" t="s">
        <v>69</v>
      </c>
      <c r="D4737" s="6" t="s">
        <v>788</v>
      </c>
      <c r="E4737" s="6" t="s">
        <v>405</v>
      </c>
      <c r="F4737" s="6" t="str">
        <f>IF($M4737="PADD I","PADD 1",IF($M4737="PADD II","PADD 2",IF($M4737="PADD III","PADD 3",IF($M4737="PADD IV","PADD 4",IF($M4737="PADD V","PADD 5","")))))</f>
        <v>PADD 3</v>
      </c>
      <c r="G4737" s="6" t="str">
        <f>IF(AND($H4737="ATMOS DISTILLATION",ISNUMBER(SEARCH("VPS",$I4737))=FALSE,LEFT($I4737,6)&lt;&gt;"VACUUM"),"CDU",IF($H4737="FLUID CAT CRACKING","FCC",IF(OR($H4737="HYDROCRACKING",$H4737="RESID_HYDROCRACKING"),"Hydrocracker",IF($H4737="REFORMING","Reformer",""))))</f>
        <v>Reformer</v>
      </c>
      <c r="H4737" s="6" t="s">
        <v>421</v>
      </c>
      <c r="I4737" s="6" t="s">
        <v>782</v>
      </c>
      <c r="J4737" s="6" t="s">
        <v>345</v>
      </c>
      <c r="K4737" s="10">
        <v>23.36</v>
      </c>
      <c r="L4737" s="10">
        <v>32</v>
      </c>
      <c r="M4737" s="6" t="s">
        <v>371</v>
      </c>
    </row>
    <row r="4738" spans="1:13">
      <c r="A4738" s="6">
        <v>2024</v>
      </c>
      <c r="B4738" s="6">
        <v>11</v>
      </c>
      <c r="C4738" s="6" t="s">
        <v>69</v>
      </c>
      <c r="D4738" s="6" t="s">
        <v>446</v>
      </c>
      <c r="E4738" s="6" t="s">
        <v>391</v>
      </c>
      <c r="F4738" s="6" t="str">
        <f>IF($M4738="PADD I","PADD 1",IF($M4738="PADD II","PADD 2",IF($M4738="PADD III","PADD 3",IF($M4738="PADD IV","PADD 4",IF($M4738="PADD V","PADD 5","")))))</f>
        <v>PADD 3</v>
      </c>
      <c r="G4738" s="6" t="str">
        <f>IF(AND($H4738="ATMOS DISTILLATION",ISNUMBER(SEARCH("VPS",$I4738))=FALSE,LEFT($I4738,6)&lt;&gt;"VACUUM"),"CDU",IF($H4738="FLUID CAT CRACKING","FCC",IF(OR($H4738="HYDROCRACKING",$H4738="RESID_HYDROCRACKING"),"Hydrocracker",IF($H4738="REFORMING","Reformer",""))))</f>
        <v>Reformer</v>
      </c>
      <c r="H4738" s="6" t="s">
        <v>421</v>
      </c>
      <c r="I4738" s="6" t="s">
        <v>483</v>
      </c>
      <c r="J4738" s="6" t="s">
        <v>349</v>
      </c>
      <c r="K4738" s="10">
        <v>21.6</v>
      </c>
      <c r="L4738" s="10">
        <v>24</v>
      </c>
      <c r="M4738" s="6" t="s">
        <v>371</v>
      </c>
    </row>
    <row r="4739" spans="1:13">
      <c r="A4739" s="6">
        <v>2024</v>
      </c>
      <c r="B4739" s="6">
        <v>11</v>
      </c>
      <c r="C4739" s="6" t="s">
        <v>69</v>
      </c>
      <c r="D4739" s="6" t="s">
        <v>675</v>
      </c>
      <c r="E4739" s="6" t="s">
        <v>452</v>
      </c>
      <c r="F4739" s="6" t="str">
        <f>IF($M4739="PADD I","PADD 1",IF($M4739="PADD II","PADD 2",IF($M4739="PADD III","PADD 3",IF($M4739="PADD IV","PADD 4",IF($M4739="PADD V","PADD 5","")))))</f>
        <v>PADD 2</v>
      </c>
      <c r="G4739" s="6">
        <f>IF(AND($H4739="ATMOS DISTILLATION",ISNUMBER(SEARCH("VPS",$I4739))=FALSE,LEFT($I4739,6)&lt;&gt;"VACUUM"),"CDU",IF($H4739="FLUID CAT CRACKING","FCC",IF(OR($H4739="HYDROCRACKING",$H4739="RESID_HYDROCRACKING"),"Hydrocracker",IF($H4739="REFORMING","Reformer",""))))</f>
        <v/>
      </c>
      <c r="H4739" s="6" t="s">
        <v>43</v>
      </c>
      <c r="I4739" s="6" t="s">
        <v>1142</v>
      </c>
      <c r="J4739" s="6" t="s">
        <v>345</v>
      </c>
      <c r="K4739" s="10">
        <v>21.15</v>
      </c>
      <c r="L4739" s="10">
        <v>45</v>
      </c>
      <c r="M4739" s="6" t="s">
        <v>375</v>
      </c>
    </row>
    <row r="4740" spans="1:13">
      <c r="A4740" s="6">
        <v>2024</v>
      </c>
      <c r="B4740" s="6">
        <v>11</v>
      </c>
      <c r="C4740" s="6" t="s">
        <v>69</v>
      </c>
      <c r="D4740" s="6" t="s">
        <v>329</v>
      </c>
      <c r="E4740" s="6" t="s">
        <v>427</v>
      </c>
      <c r="F4740" s="6" t="str">
        <f>IF($M4740="PADD I","PADD 1",IF($M4740="PADD II","PADD 2",IF($M4740="PADD III","PADD 3",IF($M4740="PADD IV","PADD 4",IF($M4740="PADD V","PADD 5","")))))</f>
        <v>PADD 3</v>
      </c>
      <c r="G4740" s="6">
        <f>IF(AND($H4740="ATMOS DISTILLATION",ISNUMBER(SEARCH("VPS",$I4740))=FALSE,LEFT($I4740,6)&lt;&gt;"VACUUM"),"CDU",IF($H4740="FLUID CAT CRACKING","FCC",IF(OR($H4740="HYDROCRACKING",$H4740="RESID_HYDROCRACKING"),"Hydrocracker",IF($H4740="REFORMING","Reformer",""))))</f>
        <v/>
      </c>
      <c r="H4740" s="6" t="s">
        <v>43</v>
      </c>
      <c r="I4740" s="6" t="s">
        <v>1242</v>
      </c>
      <c r="J4740" s="6" t="s">
        <v>349</v>
      </c>
      <c r="K4740" s="10">
        <v>20.1</v>
      </c>
      <c r="L4740" s="10">
        <v>30</v>
      </c>
      <c r="M4740" s="6" t="s">
        <v>371</v>
      </c>
    </row>
    <row r="4741" spans="1:13">
      <c r="A4741" s="6">
        <v>2024</v>
      </c>
      <c r="B4741" s="6">
        <v>11</v>
      </c>
      <c r="C4741" s="6" t="s">
        <v>69</v>
      </c>
      <c r="D4741" s="6" t="s">
        <v>542</v>
      </c>
      <c r="E4741" s="6" t="s">
        <v>543</v>
      </c>
      <c r="F4741" s="6" t="str">
        <f>IF($M4741="PADD I","PADD 1",IF($M4741="PADD II","PADD 2",IF($M4741="PADD III","PADD 3",IF($M4741="PADD IV","PADD 4",IF($M4741="PADD V","PADD 5","")))))</f>
        <v>PADD 2</v>
      </c>
      <c r="G4741" s="6">
        <f>IF(AND($H4741="ATMOS DISTILLATION",ISNUMBER(SEARCH("VPS",$I4741))=FALSE,LEFT($I4741,6)&lt;&gt;"VACUUM"),"CDU",IF($H4741="FLUID CAT CRACKING","FCC",IF(OR($H4741="HYDROCRACKING",$H4741="RESID_HYDROCRACKING"),"Hydrocracker",IF($H4741="REFORMING","Reformer",""))))</f>
        <v/>
      </c>
      <c r="H4741" s="6" t="s">
        <v>43</v>
      </c>
      <c r="I4741" s="6" t="s">
        <v>915</v>
      </c>
      <c r="J4741" s="6" t="s">
        <v>349</v>
      </c>
      <c r="K4741" s="10">
        <v>20</v>
      </c>
      <c r="L4741" s="10">
        <v>40</v>
      </c>
      <c r="M4741" s="6" t="s">
        <v>375</v>
      </c>
    </row>
    <row r="4742" spans="1:13">
      <c r="A4742" s="6">
        <v>2024</v>
      </c>
      <c r="B4742" s="6">
        <v>11</v>
      </c>
      <c r="C4742" s="6" t="s">
        <v>69</v>
      </c>
      <c r="D4742" s="6" t="s">
        <v>51</v>
      </c>
      <c r="E4742" s="6" t="s">
        <v>391</v>
      </c>
      <c r="F4742" s="6" t="str">
        <f>IF($M4742="PADD I","PADD 1",IF($M4742="PADD II","PADD 2",IF($M4742="PADD III","PADD 3",IF($M4742="PADD IV","PADD 4",IF($M4742="PADD V","PADD 5","")))))</f>
        <v>PADD 5</v>
      </c>
      <c r="G4742" s="6">
        <f>IF(AND($H4742="ATMOS DISTILLATION",ISNUMBER(SEARCH("VPS",$I4742))=FALSE,LEFT($I4742,6)&lt;&gt;"VACUUM"),"CDU",IF($H4742="FLUID CAT CRACKING","FCC",IF(OR($H4742="HYDROCRACKING",$H4742="RESID_HYDROCRACKING"),"Hydrocracker",IF($H4742="REFORMING","Reformer",""))))</f>
        <v/>
      </c>
      <c r="H4742" s="6" t="s">
        <v>43</v>
      </c>
      <c r="I4742" s="6" t="s">
        <v>1220</v>
      </c>
      <c r="J4742" s="6" t="s">
        <v>349</v>
      </c>
      <c r="K4742" s="10">
        <v>19.95</v>
      </c>
      <c r="L4742" s="10">
        <v>35</v>
      </c>
      <c r="M4742" s="6" t="s">
        <v>386</v>
      </c>
    </row>
    <row r="4743" spans="1:13">
      <c r="A4743" s="6">
        <v>2024</v>
      </c>
      <c r="B4743" s="6">
        <v>11</v>
      </c>
      <c r="C4743" s="6" t="s">
        <v>69</v>
      </c>
      <c r="D4743" s="6" t="s">
        <v>387</v>
      </c>
      <c r="E4743" s="6" t="s">
        <v>388</v>
      </c>
      <c r="F4743" s="6" t="str">
        <f>IF($M4743="PADD I","PADD 1",IF($M4743="PADD II","PADD 2",IF($M4743="PADD III","PADD 3",IF($M4743="PADD IV","PADD 4",IF($M4743="PADD V","PADD 5","")))))</f>
        <v>PADD 3</v>
      </c>
      <c r="G4743" s="6" t="str">
        <f>IF(AND($H4743="ATMOS DISTILLATION",ISNUMBER(SEARCH("VPS",$I4743))=FALSE,LEFT($I4743,6)&lt;&gt;"VACUUM"),"CDU",IF($H4743="FLUID CAT CRACKING","FCC",IF(OR($H4743="HYDROCRACKING",$H4743="RESID_HYDROCRACKING"),"Hydrocracker",IF($H4743="REFORMING","Reformer",""))))</f>
        <v>Hydrocracker</v>
      </c>
      <c r="H4743" s="6" t="s">
        <v>444</v>
      </c>
      <c r="I4743" s="6" t="s">
        <v>476</v>
      </c>
      <c r="J4743" s="6" t="s">
        <v>349</v>
      </c>
      <c r="K4743" s="10">
        <v>19.8</v>
      </c>
      <c r="L4743" s="10">
        <v>60</v>
      </c>
      <c r="M4743" s="6" t="s">
        <v>371</v>
      </c>
    </row>
    <row r="4744" spans="1:13">
      <c r="A4744" s="6">
        <v>2024</v>
      </c>
      <c r="B4744" s="6">
        <v>11</v>
      </c>
      <c r="C4744" s="6" t="s">
        <v>69</v>
      </c>
      <c r="D4744" s="6" t="s">
        <v>675</v>
      </c>
      <c r="E4744" s="6" t="s">
        <v>452</v>
      </c>
      <c r="F4744" s="6" t="str">
        <f>IF($M4744="PADD I","PADD 1",IF($M4744="PADD II","PADD 2",IF($M4744="PADD III","PADD 3",IF($M4744="PADD IV","PADD 4",IF($M4744="PADD V","PADD 5","")))))</f>
        <v>PADD 2</v>
      </c>
      <c r="G4744" s="6" t="str">
        <f>IF(AND($H4744="ATMOS DISTILLATION",ISNUMBER(SEARCH("VPS",$I4744))=FALSE,LEFT($I4744,6)&lt;&gt;"VACUUM"),"CDU",IF($H4744="FLUID CAT CRACKING","FCC",IF(OR($H4744="HYDROCRACKING",$H4744="RESID_HYDROCRACKING"),"Hydrocracker",IF($H4744="REFORMING","Reformer",""))))</f>
        <v>FCC</v>
      </c>
      <c r="H4744" s="6" t="s">
        <v>376</v>
      </c>
      <c r="I4744" s="6" t="s">
        <v>105</v>
      </c>
      <c r="J4744" s="6" t="s">
        <v>349</v>
      </c>
      <c r="K4744" s="10">
        <v>19.5</v>
      </c>
      <c r="L4744" s="10">
        <v>39</v>
      </c>
      <c r="M4744" s="6" t="s">
        <v>375</v>
      </c>
    </row>
    <row r="4745" spans="1:13">
      <c r="A4745" s="6">
        <v>2024</v>
      </c>
      <c r="B4745" s="6">
        <v>11</v>
      </c>
      <c r="C4745" s="6" t="s">
        <v>69</v>
      </c>
      <c r="D4745" s="6" t="s">
        <v>511</v>
      </c>
      <c r="E4745" s="6" t="s">
        <v>405</v>
      </c>
      <c r="F4745" s="6" t="str">
        <f>IF($M4745="PADD I","PADD 1",IF($M4745="PADD II","PADD 2",IF($M4745="PADD III","PADD 3",IF($M4745="PADD IV","PADD 4",IF($M4745="PADD V","PADD 5","")))))</f>
        <v>PADD 3</v>
      </c>
      <c r="G4745" s="6" t="str">
        <f>IF(AND($H4745="ATMOS DISTILLATION",ISNUMBER(SEARCH("VPS",$I4745))=FALSE,LEFT($I4745,6)&lt;&gt;"VACUUM"),"CDU",IF($H4745="FLUID CAT CRACKING","FCC",IF(OR($H4745="HYDROCRACKING",$H4745="RESID_HYDROCRACKING"),"Hydrocracker",IF($H4745="REFORMING","Reformer",""))))</f>
        <v>Hydrocracker</v>
      </c>
      <c r="H4745" s="6" t="s">
        <v>444</v>
      </c>
      <c r="I4745" s="6" t="s">
        <v>14</v>
      </c>
      <c r="J4745" s="6" t="s">
        <v>345</v>
      </c>
      <c r="K4745" s="10">
        <v>18.5</v>
      </c>
      <c r="L4745" s="10">
        <v>50</v>
      </c>
      <c r="M4745" s="6" t="s">
        <v>371</v>
      </c>
    </row>
    <row r="4746" spans="1:13">
      <c r="A4746" s="6">
        <v>2024</v>
      </c>
      <c r="B4746" s="6">
        <v>11</v>
      </c>
      <c r="C4746" s="6" t="s">
        <v>69</v>
      </c>
      <c r="D4746" s="6" t="s">
        <v>324</v>
      </c>
      <c r="E4746" s="6" t="s">
        <v>388</v>
      </c>
      <c r="F4746" s="6" t="str">
        <f>IF($M4746="PADD I","PADD 1",IF($M4746="PADD II","PADD 2",IF($M4746="PADD III","PADD 3",IF($M4746="PADD IV","PADD 4",IF($M4746="PADD V","PADD 5","")))))</f>
        <v>PADD 3</v>
      </c>
      <c r="G4746" s="6">
        <f>IF(AND($H4746="ATMOS DISTILLATION",ISNUMBER(SEARCH("VPS",$I4746))=FALSE,LEFT($I4746,6)&lt;&gt;"VACUUM"),"CDU",IF($H4746="FLUID CAT CRACKING","FCC",IF(OR($H4746="HYDROCRACKING",$H4746="RESID_HYDROCRACKING"),"Hydrocracker",IF($H4746="REFORMING","Reformer",""))))</f>
        <v/>
      </c>
      <c r="H4746" s="6" t="s">
        <v>43</v>
      </c>
      <c r="I4746" s="6" t="s">
        <v>682</v>
      </c>
      <c r="J4746" s="6" t="s">
        <v>345</v>
      </c>
      <c r="K4746" s="10">
        <v>18.02</v>
      </c>
      <c r="L4746" s="10">
        <v>106</v>
      </c>
      <c r="M4746" s="6" t="s">
        <v>371</v>
      </c>
    </row>
    <row r="4747" spans="1:13">
      <c r="A4747" s="6">
        <v>2024</v>
      </c>
      <c r="B4747" s="6">
        <v>11</v>
      </c>
      <c r="C4747" s="6" t="s">
        <v>69</v>
      </c>
      <c r="D4747" s="6" t="s">
        <v>446</v>
      </c>
      <c r="E4747" s="6" t="s">
        <v>391</v>
      </c>
      <c r="F4747" s="6" t="str">
        <f>IF($M4747="PADD I","PADD 1",IF($M4747="PADD II","PADD 2",IF($M4747="PADD III","PADD 3",IF($M4747="PADD IV","PADD 4",IF($M4747="PADD V","PADD 5","")))))</f>
        <v>PADD 3</v>
      </c>
      <c r="G4747" s="6">
        <f>IF(AND($H4747="ATMOS DISTILLATION",ISNUMBER(SEARCH("VPS",$I4747))=FALSE,LEFT($I4747,6)&lt;&gt;"VACUUM"),"CDU",IF($H4747="FLUID CAT CRACKING","FCC",IF(OR($H4747="HYDROCRACKING",$H4747="RESID_HYDROCRACKING"),"Hydrocracker",IF($H4747="REFORMING","Reformer",""))))</f>
        <v/>
      </c>
      <c r="H4747" s="6" t="s">
        <v>43</v>
      </c>
      <c r="I4747" s="6" t="s">
        <v>394</v>
      </c>
      <c r="J4747" s="6" t="s">
        <v>349</v>
      </c>
      <c r="K4747" s="10">
        <v>18</v>
      </c>
      <c r="L4747" s="10">
        <v>20</v>
      </c>
      <c r="M4747" s="6" t="s">
        <v>371</v>
      </c>
    </row>
    <row r="4748" spans="1:13">
      <c r="A4748" s="6">
        <v>2024</v>
      </c>
      <c r="B4748" s="6">
        <v>11</v>
      </c>
      <c r="C4748" s="6" t="s">
        <v>69</v>
      </c>
      <c r="D4748" s="6" t="s">
        <v>51</v>
      </c>
      <c r="E4748" s="6" t="s">
        <v>391</v>
      </c>
      <c r="F4748" s="6" t="str">
        <f>IF($M4748="PADD I","PADD 1",IF($M4748="PADD II","PADD 2",IF($M4748="PADD III","PADD 3",IF($M4748="PADD IV","PADD 4",IF($M4748="PADD V","PADD 5","")))))</f>
        <v>PADD 5</v>
      </c>
      <c r="G4748" s="6" t="str">
        <f>IF(AND($H4748="ATMOS DISTILLATION",ISNUMBER(SEARCH("VPS",$I4748))=FALSE,LEFT($I4748,6)&lt;&gt;"VACUUM"),"CDU",IF($H4748="FLUID CAT CRACKING","FCC",IF(OR($H4748="HYDROCRACKING",$H4748="RESID_HYDROCRACKING"),"Hydrocracker",IF($H4748="REFORMING","Reformer",""))))</f>
        <v>Reformer</v>
      </c>
      <c r="H4748" s="6" t="s">
        <v>421</v>
      </c>
      <c r="I4748" s="6" t="s">
        <v>539</v>
      </c>
      <c r="J4748" s="6" t="s">
        <v>345</v>
      </c>
      <c r="K4748" s="10">
        <v>18</v>
      </c>
      <c r="L4748" s="10">
        <v>60</v>
      </c>
      <c r="M4748" s="6" t="s">
        <v>386</v>
      </c>
    </row>
    <row r="4749" spans="1:13">
      <c r="A4749" s="6">
        <v>2024</v>
      </c>
      <c r="B4749" s="6">
        <v>11</v>
      </c>
      <c r="C4749" s="6" t="s">
        <v>69</v>
      </c>
      <c r="D4749" s="6" t="s">
        <v>738</v>
      </c>
      <c r="E4749" s="6" t="s">
        <v>552</v>
      </c>
      <c r="F4749" s="6" t="str">
        <f>IF($M4749="PADD I","PADD 1",IF($M4749="PADD II","PADD 2",IF($M4749="PADD III","PADD 3",IF($M4749="PADD IV","PADD 4",IF($M4749="PADD V","PADD 5","")))))</f>
        <v>PADD 3</v>
      </c>
      <c r="G4749" s="6">
        <f>IF(AND($H4749="ATMOS DISTILLATION",ISNUMBER(SEARCH("VPS",$I4749))=FALSE,LEFT($I4749,6)&lt;&gt;"VACUUM"),"CDU",IF($H4749="FLUID CAT CRACKING","FCC",IF(OR($H4749="HYDROCRACKING",$H4749="RESID_HYDROCRACKING"),"Hydrocracker",IF($H4749="REFORMING","Reformer",""))))</f>
        <v/>
      </c>
      <c r="H4749" s="6" t="s">
        <v>43</v>
      </c>
      <c r="I4749" s="6" t="s">
        <v>458</v>
      </c>
      <c r="J4749" s="6" t="s">
        <v>349</v>
      </c>
      <c r="K4749" s="10">
        <v>18</v>
      </c>
      <c r="L4749" s="10">
        <v>18</v>
      </c>
      <c r="M4749" s="6" t="s">
        <v>371</v>
      </c>
    </row>
    <row r="4750" spans="1:13">
      <c r="A4750" s="6">
        <v>2024</v>
      </c>
      <c r="B4750" s="6">
        <v>11</v>
      </c>
      <c r="C4750" s="6" t="s">
        <v>69</v>
      </c>
      <c r="D4750" s="6" t="s">
        <v>51</v>
      </c>
      <c r="E4750" s="6" t="s">
        <v>391</v>
      </c>
      <c r="F4750" s="6" t="str">
        <f>IF($M4750="PADD I","PADD 1",IF($M4750="PADD II","PADD 2",IF($M4750="PADD III","PADD 3",IF($M4750="PADD IV","PADD 4",IF($M4750="PADD V","PADD 5","")))))</f>
        <v>PADD 5</v>
      </c>
      <c r="G4750" s="6">
        <f>IF(AND($H4750="ATMOS DISTILLATION",ISNUMBER(SEARCH("VPS",$I4750))=FALSE,LEFT($I4750,6)&lt;&gt;"VACUUM"),"CDU",IF($H4750="FLUID CAT CRACKING","FCC",IF(OR($H4750="HYDROCRACKING",$H4750="RESID_HYDROCRACKING"),"Hydrocracker",IF($H4750="REFORMING","Reformer",""))))</f>
        <v/>
      </c>
      <c r="H4750" s="6" t="s">
        <v>460</v>
      </c>
      <c r="I4750" s="6" t="s">
        <v>461</v>
      </c>
      <c r="J4750" s="6" t="s">
        <v>345</v>
      </c>
      <c r="K4750" s="10">
        <v>16.5</v>
      </c>
      <c r="L4750" s="10">
        <v>33</v>
      </c>
      <c r="M4750" s="6" t="s">
        <v>386</v>
      </c>
    </row>
    <row r="4751" spans="1:13">
      <c r="A4751" s="6">
        <v>2024</v>
      </c>
      <c r="B4751" s="6">
        <v>11</v>
      </c>
      <c r="C4751" s="6" t="s">
        <v>69</v>
      </c>
      <c r="D4751" s="6" t="s">
        <v>50</v>
      </c>
      <c r="E4751" s="6" t="s">
        <v>381</v>
      </c>
      <c r="F4751" s="6" t="str">
        <f>IF($M4751="PADD I","PADD 1",IF($M4751="PADD II","PADD 2",IF($M4751="PADD III","PADD 3",IF($M4751="PADD IV","PADD 4",IF($M4751="PADD V","PADD 5","")))))</f>
        <v>PADD 3</v>
      </c>
      <c r="G4751" s="6" t="str">
        <f>IF(AND($H4751="ATMOS DISTILLATION",ISNUMBER(SEARCH("VPS",$I4751))=FALSE,LEFT($I4751,6)&lt;&gt;"VACUUM"),"CDU",IF($H4751="FLUID CAT CRACKING","FCC",IF(OR($H4751="HYDROCRACKING",$H4751="RESID_HYDROCRACKING"),"Hydrocracker",IF($H4751="REFORMING","Reformer",""))))</f>
        <v>Hydrocracker</v>
      </c>
      <c r="H4751" s="6" t="s">
        <v>444</v>
      </c>
      <c r="I4751" s="6" t="s">
        <v>1195</v>
      </c>
      <c r="J4751" s="6" t="s">
        <v>345</v>
      </c>
      <c r="K4751" s="10">
        <v>15.96</v>
      </c>
      <c r="L4751" s="10">
        <v>28</v>
      </c>
      <c r="M4751" s="6" t="s">
        <v>371</v>
      </c>
    </row>
    <row r="4752" spans="1:13">
      <c r="A4752" s="6">
        <v>2024</v>
      </c>
      <c r="B4752" s="6">
        <v>11</v>
      </c>
      <c r="C4752" s="6" t="s">
        <v>69</v>
      </c>
      <c r="D4752" s="6" t="s">
        <v>335</v>
      </c>
      <c r="E4752" s="6" t="s">
        <v>369</v>
      </c>
      <c r="F4752" s="6" t="str">
        <f>IF($M4752="PADD I","PADD 1",IF($M4752="PADD II","PADD 2",IF($M4752="PADD III","PADD 3",IF($M4752="PADD IV","PADD 4",IF($M4752="PADD V","PADD 5","")))))</f>
        <v>PADD 3</v>
      </c>
      <c r="G4752" s="6" t="str">
        <f>IF(AND($H4752="ATMOS DISTILLATION",ISNUMBER(SEARCH("VPS",$I4752))=FALSE,LEFT($I4752,6)&lt;&gt;"VACUUM"),"CDU",IF($H4752="FLUID CAT CRACKING","FCC",IF(OR($H4752="HYDROCRACKING",$H4752="RESID_HYDROCRACKING"),"Hydrocracker",IF($H4752="REFORMING","Reformer",""))))</f>
        <v>FCC</v>
      </c>
      <c r="H4752" s="6" t="s">
        <v>376</v>
      </c>
      <c r="I4752" s="6" t="s">
        <v>472</v>
      </c>
      <c r="J4752" s="6" t="s">
        <v>345</v>
      </c>
      <c r="K4752" s="10">
        <v>15.9</v>
      </c>
      <c r="L4752" s="10">
        <v>30</v>
      </c>
      <c r="M4752" s="6" t="s">
        <v>371</v>
      </c>
    </row>
    <row r="4753" spans="1:13">
      <c r="A4753" s="6">
        <v>2024</v>
      </c>
      <c r="B4753" s="6">
        <v>11</v>
      </c>
      <c r="C4753" s="6" t="s">
        <v>69</v>
      </c>
      <c r="D4753" s="6" t="s">
        <v>542</v>
      </c>
      <c r="E4753" s="6" t="s">
        <v>543</v>
      </c>
      <c r="F4753" s="6" t="str">
        <f>IF($M4753="PADD I","PADD 1",IF($M4753="PADD II","PADD 2",IF($M4753="PADD III","PADD 3",IF($M4753="PADD IV","PADD 4",IF($M4753="PADD V","PADD 5","")))))</f>
        <v>PADD 2</v>
      </c>
      <c r="G4753" s="6">
        <f>IF(AND($H4753="ATMOS DISTILLATION",ISNUMBER(SEARCH("VPS",$I4753))=FALSE,LEFT($I4753,6)&lt;&gt;"VACUUM"),"CDU",IF($H4753="FLUID CAT CRACKING","FCC",IF(OR($H4753="HYDROCRACKING",$H4753="RESID_HYDROCRACKING"),"Hydrocracker",IF($H4753="REFORMING","Reformer",""))))</f>
        <v/>
      </c>
      <c r="H4753" s="6" t="s">
        <v>43</v>
      </c>
      <c r="I4753" s="6" t="s">
        <v>913</v>
      </c>
      <c r="J4753" s="6" t="s">
        <v>345</v>
      </c>
      <c r="K4753" s="10">
        <v>14.985</v>
      </c>
      <c r="L4753" s="10">
        <v>55.5</v>
      </c>
      <c r="M4753" s="6" t="s">
        <v>375</v>
      </c>
    </row>
    <row r="4754" spans="1:13">
      <c r="A4754" s="6">
        <v>2024</v>
      </c>
      <c r="B4754" s="6">
        <v>11</v>
      </c>
      <c r="C4754" s="6" t="s">
        <v>69</v>
      </c>
      <c r="D4754" s="6" t="s">
        <v>738</v>
      </c>
      <c r="E4754" s="6" t="s">
        <v>552</v>
      </c>
      <c r="F4754" s="6" t="str">
        <f>IF($M4754="PADD I","PADD 1",IF($M4754="PADD II","PADD 2",IF($M4754="PADD III","PADD 3",IF($M4754="PADD IV","PADD 4",IF($M4754="PADD V","PADD 5","")))))</f>
        <v>PADD 3</v>
      </c>
      <c r="G4754" s="6" t="str">
        <f>IF(AND($H4754="ATMOS DISTILLATION",ISNUMBER(SEARCH("VPS",$I4754))=FALSE,LEFT($I4754,6)&lt;&gt;"VACUUM"),"CDU",IF($H4754="FLUID CAT CRACKING","FCC",IF(OR($H4754="HYDROCRACKING",$H4754="RESID_HYDROCRACKING"),"Hydrocracker",IF($H4754="REFORMING","Reformer",""))))</f>
        <v>Reformer</v>
      </c>
      <c r="H4754" s="6" t="s">
        <v>421</v>
      </c>
      <c r="I4754" s="6" t="s">
        <v>15</v>
      </c>
      <c r="J4754" s="6" t="s">
        <v>349</v>
      </c>
      <c r="K4754" s="10">
        <v>13</v>
      </c>
      <c r="L4754" s="10">
        <v>13</v>
      </c>
      <c r="M4754" s="6" t="s">
        <v>371</v>
      </c>
    </row>
    <row r="4755" spans="1:13">
      <c r="A4755" s="6">
        <v>2024</v>
      </c>
      <c r="B4755" s="6">
        <v>11</v>
      </c>
      <c r="C4755" s="6" t="s">
        <v>69</v>
      </c>
      <c r="D4755" s="6" t="s">
        <v>434</v>
      </c>
      <c r="E4755" s="6" t="s">
        <v>388</v>
      </c>
      <c r="F4755" s="6" t="str">
        <f>IF($M4755="PADD I","PADD 1",IF($M4755="PADD II","PADD 2",IF($M4755="PADD III","PADD 3",IF($M4755="PADD IV","PADD 4",IF($M4755="PADD V","PADD 5","")))))</f>
        <v>PADD 5</v>
      </c>
      <c r="G4755" s="6">
        <f>IF(AND($H4755="ATMOS DISTILLATION",ISNUMBER(SEARCH("VPS",$I4755))=FALSE,LEFT($I4755,6)&lt;&gt;"VACUUM"),"CDU",IF($H4755="FLUID CAT CRACKING","FCC",IF(OR($H4755="HYDROCRACKING",$H4755="RESID_HYDROCRACKING"),"Hydrocracker",IF($H4755="REFORMING","Reformer",""))))</f>
        <v/>
      </c>
      <c r="H4755" s="6" t="s">
        <v>435</v>
      </c>
      <c r="I4755" s="6" t="s">
        <v>436</v>
      </c>
      <c r="J4755" s="6" t="s">
        <v>345</v>
      </c>
      <c r="K4755" s="10">
        <v>12.6</v>
      </c>
      <c r="L4755" s="10">
        <v>42</v>
      </c>
      <c r="M4755" s="6" t="s">
        <v>386</v>
      </c>
    </row>
    <row r="4756" spans="1:13">
      <c r="A4756" s="6">
        <v>2024</v>
      </c>
      <c r="B4756" s="6">
        <v>11</v>
      </c>
      <c r="C4756" s="6" t="s">
        <v>69</v>
      </c>
      <c r="D4756" s="6" t="s">
        <v>395</v>
      </c>
      <c r="E4756" s="6" t="s">
        <v>396</v>
      </c>
      <c r="F4756" s="6" t="str">
        <f>IF($M4756="PADD I","PADD 1",IF($M4756="PADD II","PADD 2",IF($M4756="PADD III","PADD 3",IF($M4756="PADD IV","PADD 4",IF($M4756="PADD V","PADD 5","")))))</f>
        <v>PADD 3</v>
      </c>
      <c r="G4756" s="6" t="str">
        <f>IF(AND($H4756="ATMOS DISTILLATION",ISNUMBER(SEARCH("VPS",$I4756))=FALSE,LEFT($I4756,6)&lt;&gt;"VACUUM"),"CDU",IF($H4756="FLUID CAT CRACKING","FCC",IF(OR($H4756="HYDROCRACKING",$H4756="RESID_HYDROCRACKING"),"Hydrocracker",IF($H4756="REFORMING","Reformer",""))))</f>
        <v>Reformer</v>
      </c>
      <c r="H4756" s="6" t="s">
        <v>421</v>
      </c>
      <c r="I4756" s="6" t="s">
        <v>538</v>
      </c>
      <c r="J4756" s="6" t="s">
        <v>349</v>
      </c>
      <c r="K4756" s="10">
        <v>12.393</v>
      </c>
      <c r="L4756" s="10">
        <v>45.9</v>
      </c>
      <c r="M4756" s="6" t="s">
        <v>371</v>
      </c>
    </row>
    <row r="4757" spans="1:13">
      <c r="A4757" s="6">
        <v>2024</v>
      </c>
      <c r="B4757" s="6">
        <v>11</v>
      </c>
      <c r="C4757" s="6" t="s">
        <v>69</v>
      </c>
      <c r="D4757" s="6" t="s">
        <v>346</v>
      </c>
      <c r="E4757" s="6" t="s">
        <v>383</v>
      </c>
      <c r="F4757" s="6" t="str">
        <f>IF($M4757="PADD I","PADD 1",IF($M4757="PADD II","PADD 2",IF($M4757="PADD III","PADD 3",IF($M4757="PADD IV","PADD 4",IF($M4757="PADD V","PADD 5","")))))</f>
        <v>PADD 2</v>
      </c>
      <c r="G4757" s="6" t="str">
        <f>IF(AND($H4757="ATMOS DISTILLATION",ISNUMBER(SEARCH("VPS",$I4757))=FALSE,LEFT($I4757,6)&lt;&gt;"VACUUM"),"CDU",IF($H4757="FLUID CAT CRACKING","FCC",IF(OR($H4757="HYDROCRACKING",$H4757="RESID_HYDROCRACKING"),"Hydrocracker",IF($H4757="REFORMING","Reformer",""))))</f>
        <v>Reformer</v>
      </c>
      <c r="H4757" s="6" t="s">
        <v>421</v>
      </c>
      <c r="I4757" s="6" t="s">
        <v>471</v>
      </c>
      <c r="J4757" s="6" t="s">
        <v>345</v>
      </c>
      <c r="K4757" s="10">
        <v>12</v>
      </c>
      <c r="L4757" s="10">
        <v>30</v>
      </c>
      <c r="M4757" s="6" t="s">
        <v>375</v>
      </c>
    </row>
    <row r="4758" spans="1:13">
      <c r="A4758" s="6">
        <v>2024</v>
      </c>
      <c r="B4758" s="6">
        <v>11</v>
      </c>
      <c r="C4758" s="6" t="s">
        <v>69</v>
      </c>
      <c r="D4758" s="6" t="s">
        <v>542</v>
      </c>
      <c r="E4758" s="6" t="s">
        <v>543</v>
      </c>
      <c r="F4758" s="6" t="str">
        <f>IF($M4758="PADD I","PADD 1",IF($M4758="PADD II","PADD 2",IF($M4758="PADD III","PADD 3",IF($M4758="PADD IV","PADD 4",IF($M4758="PADD V","PADD 5","")))))</f>
        <v>PADD 2</v>
      </c>
      <c r="G4758" s="6" t="str">
        <f>IF(AND($H4758="ATMOS DISTILLATION",ISNUMBER(SEARCH("VPS",$I4758))=FALSE,LEFT($I4758,6)&lt;&gt;"VACUUM"),"CDU",IF($H4758="FLUID CAT CRACKING","FCC",IF(OR($H4758="HYDROCRACKING",$H4758="RESID_HYDROCRACKING"),"Hydrocracker",IF($H4758="REFORMING","Reformer",""))))</f>
        <v>Reformer</v>
      </c>
      <c r="H4758" s="6" t="s">
        <v>421</v>
      </c>
      <c r="I4758" s="6" t="s">
        <v>1112</v>
      </c>
      <c r="J4758" s="6" t="s">
        <v>345</v>
      </c>
      <c r="K4758" s="10">
        <v>11.9</v>
      </c>
      <c r="L4758" s="10">
        <v>70</v>
      </c>
      <c r="M4758" s="6" t="s">
        <v>375</v>
      </c>
    </row>
    <row r="4759" spans="1:13">
      <c r="A4759" s="6">
        <v>2024</v>
      </c>
      <c r="B4759" s="6">
        <v>11</v>
      </c>
      <c r="C4759" s="6" t="s">
        <v>69</v>
      </c>
      <c r="D4759" s="6" t="s">
        <v>395</v>
      </c>
      <c r="E4759" s="6" t="s">
        <v>396</v>
      </c>
      <c r="F4759" s="6" t="str">
        <f>IF($M4759="PADD I","PADD 1",IF($M4759="PADD II","PADD 2",IF($M4759="PADD III","PADD 3",IF($M4759="PADD IV","PADD 4",IF($M4759="PADD V","PADD 5","")))))</f>
        <v>PADD 3</v>
      </c>
      <c r="G4759" s="6">
        <f>IF(AND($H4759="ATMOS DISTILLATION",ISNUMBER(SEARCH("VPS",$I4759))=FALSE,LEFT($I4759,6)&lt;&gt;"VACUUM"),"CDU",IF($H4759="FLUID CAT CRACKING","FCC",IF(OR($H4759="HYDROCRACKING",$H4759="RESID_HYDROCRACKING"),"Hydrocracker",IF($H4759="REFORMING","Reformer",""))))</f>
        <v/>
      </c>
      <c r="H4759" s="6" t="s">
        <v>43</v>
      </c>
      <c r="I4759" s="6" t="s">
        <v>551</v>
      </c>
      <c r="J4759" s="6" t="s">
        <v>349</v>
      </c>
      <c r="K4759" s="10">
        <v>11.043</v>
      </c>
      <c r="L4759" s="10">
        <v>40.9</v>
      </c>
      <c r="M4759" s="6" t="s">
        <v>371</v>
      </c>
    </row>
    <row r="4760" spans="1:13">
      <c r="A4760" s="6">
        <v>2024</v>
      </c>
      <c r="B4760" s="6">
        <v>11</v>
      </c>
      <c r="C4760" s="6" t="s">
        <v>69</v>
      </c>
      <c r="D4760" s="6" t="s">
        <v>675</v>
      </c>
      <c r="E4760" s="6" t="s">
        <v>452</v>
      </c>
      <c r="F4760" s="6" t="str">
        <f>IF($M4760="PADD I","PADD 1",IF($M4760="PADD II","PADD 2",IF($M4760="PADD III","PADD 3",IF($M4760="PADD IV","PADD 4",IF($M4760="PADD V","PADD 5","")))))</f>
        <v>PADD 2</v>
      </c>
      <c r="G4760" s="6">
        <f>IF(AND($H4760="ATMOS DISTILLATION",ISNUMBER(SEARCH("VPS",$I4760))=FALSE,LEFT($I4760,6)&lt;&gt;"VACUUM"),"CDU",IF($H4760="FLUID CAT CRACKING","FCC",IF(OR($H4760="HYDROCRACKING",$H4760="RESID_HYDROCRACKING"),"Hydrocracker",IF($H4760="REFORMING","Reformer",""))))</f>
        <v/>
      </c>
      <c r="H4760" s="6" t="s">
        <v>435</v>
      </c>
      <c r="I4760" s="6" t="s">
        <v>441</v>
      </c>
      <c r="J4760" s="6" t="s">
        <v>349</v>
      </c>
      <c r="K4760" s="10">
        <v>10.25</v>
      </c>
      <c r="L4760" s="10">
        <v>20.5</v>
      </c>
      <c r="M4760" s="6" t="s">
        <v>375</v>
      </c>
    </row>
    <row r="4761" spans="1:13">
      <c r="A4761" s="6">
        <v>2024</v>
      </c>
      <c r="B4761" s="6">
        <v>11</v>
      </c>
      <c r="C4761" s="6" t="s">
        <v>69</v>
      </c>
      <c r="D4761" s="6" t="s">
        <v>329</v>
      </c>
      <c r="E4761" s="6" t="s">
        <v>427</v>
      </c>
      <c r="F4761" s="6" t="str">
        <f>IF($M4761="PADD I","PADD 1",IF($M4761="PADD II","PADD 2",IF($M4761="PADD III","PADD 3",IF($M4761="PADD IV","PADD 4",IF($M4761="PADD V","PADD 5","")))))</f>
        <v>PADD 3</v>
      </c>
      <c r="G4761" s="6">
        <f>IF(AND($H4761="ATMOS DISTILLATION",ISNUMBER(SEARCH("VPS",$I4761))=FALSE,LEFT($I4761,6)&lt;&gt;"VACUUM"),"CDU",IF($H4761="FLUID CAT CRACKING","FCC",IF(OR($H4761="HYDROCRACKING",$H4761="RESID_HYDROCRACKING"),"Hydrocracker",IF($H4761="REFORMING","Reformer",""))))</f>
        <v/>
      </c>
      <c r="H4761" s="6" t="s">
        <v>435</v>
      </c>
      <c r="I4761" s="6" t="s">
        <v>1248</v>
      </c>
      <c r="J4761" s="6" t="s">
        <v>349</v>
      </c>
      <c r="K4761" s="10">
        <v>10.05</v>
      </c>
      <c r="L4761" s="10">
        <v>15</v>
      </c>
      <c r="M4761" s="6" t="s">
        <v>371</v>
      </c>
    </row>
    <row r="4762" spans="1:13">
      <c r="A4762" s="6">
        <v>2024</v>
      </c>
      <c r="B4762" s="6">
        <v>11</v>
      </c>
      <c r="C4762" s="6" t="s">
        <v>69</v>
      </c>
      <c r="D4762" s="6" t="s">
        <v>457</v>
      </c>
      <c r="E4762" s="6" t="s">
        <v>388</v>
      </c>
      <c r="F4762" s="6" t="str">
        <f>IF($M4762="PADD I","PADD 1",IF($M4762="PADD II","PADD 2",IF($M4762="PADD III","PADD 3",IF($M4762="PADD IV","PADD 4",IF($M4762="PADD V","PADD 5","")))))</f>
        <v>PADD 5</v>
      </c>
      <c r="G4762" s="6" t="str">
        <f>IF(AND($H4762="ATMOS DISTILLATION",ISNUMBER(SEARCH("VPS",$I4762))=FALSE,LEFT($I4762,6)&lt;&gt;"VACUUM"),"CDU",IF($H4762="FLUID CAT CRACKING","FCC",IF(OR($H4762="HYDROCRACKING",$H4762="RESID_HYDROCRACKING"),"Hydrocracker",IF($H4762="REFORMING","Reformer",""))))</f>
        <v>Reformer</v>
      </c>
      <c r="H4762" s="6" t="s">
        <v>421</v>
      </c>
      <c r="I4762" s="6" t="s">
        <v>559</v>
      </c>
      <c r="J4762" s="6" t="s">
        <v>345</v>
      </c>
      <c r="K4762" s="10">
        <v>10</v>
      </c>
      <c r="L4762" s="10">
        <v>20</v>
      </c>
      <c r="M4762" s="6" t="s">
        <v>386</v>
      </c>
    </row>
    <row r="4763" spans="1:13">
      <c r="A4763" s="6">
        <v>2024</v>
      </c>
      <c r="B4763" s="6">
        <v>11</v>
      </c>
      <c r="C4763" s="6" t="s">
        <v>69</v>
      </c>
      <c r="D4763" s="6" t="s">
        <v>1141</v>
      </c>
      <c r="E4763" s="6" t="s">
        <v>1079</v>
      </c>
      <c r="F4763" s="6" t="str">
        <f>IF($M4763="PADD I","PADD 1",IF($M4763="PADD II","PADD 2",IF($M4763="PADD III","PADD 3",IF($M4763="PADD IV","PADD 4",IF($M4763="PADD V","PADD 5","")))))</f>
        <v>PADD 3</v>
      </c>
      <c r="G4763" s="6" t="str">
        <f>IF(AND($H4763="ATMOS DISTILLATION",ISNUMBER(SEARCH("VPS",$I4763))=FALSE,LEFT($I4763,6)&lt;&gt;"VACUUM"),"CDU",IF($H4763="FLUID CAT CRACKING","FCC",IF(OR($H4763="HYDROCRACKING",$H4763="RESID_HYDROCRACKING"),"Hydrocracker",IF($H4763="REFORMING","Reformer",""))))</f>
        <v>CDU</v>
      </c>
      <c r="H4763" s="6" t="s">
        <v>38</v>
      </c>
      <c r="I4763" s="6" t="s">
        <v>131</v>
      </c>
      <c r="J4763" s="6" t="s">
        <v>349</v>
      </c>
      <c r="K4763" s="10">
        <v>9.199999999999999</v>
      </c>
      <c r="L4763" s="10">
        <v>40</v>
      </c>
      <c r="M4763" s="6" t="s">
        <v>371</v>
      </c>
    </row>
    <row r="4764" spans="1:13">
      <c r="A4764" s="6">
        <v>2024</v>
      </c>
      <c r="B4764" s="6">
        <v>11</v>
      </c>
      <c r="C4764" s="6" t="s">
        <v>69</v>
      </c>
      <c r="D4764" s="6" t="s">
        <v>329</v>
      </c>
      <c r="E4764" s="6" t="s">
        <v>427</v>
      </c>
      <c r="F4764" s="6" t="str">
        <f>IF($M4764="PADD I","PADD 1",IF($M4764="PADD II","PADD 2",IF($M4764="PADD III","PADD 3",IF($M4764="PADD IV","PADD 4",IF($M4764="PADD V","PADD 5","")))))</f>
        <v>PADD 3</v>
      </c>
      <c r="G4764" s="6">
        <f>IF(AND($H4764="ATMOS DISTILLATION",ISNUMBER(SEARCH("VPS",$I4764))=FALSE,LEFT($I4764,6)&lt;&gt;"VACUUM"),"CDU",IF($H4764="FLUID CAT CRACKING","FCC",IF(OR($H4764="HYDROCRACKING",$H4764="RESID_HYDROCRACKING"),"Hydrocracker",IF($H4764="REFORMING","Reformer",""))))</f>
        <v/>
      </c>
      <c r="H4764" s="6" t="s">
        <v>43</v>
      </c>
      <c r="I4764" s="6" t="s">
        <v>562</v>
      </c>
      <c r="J4764" s="6" t="s">
        <v>349</v>
      </c>
      <c r="K4764" s="10">
        <v>9.045</v>
      </c>
      <c r="L4764" s="10">
        <v>13.5</v>
      </c>
      <c r="M4764" s="6" t="s">
        <v>371</v>
      </c>
    </row>
    <row r="4765" spans="1:13">
      <c r="A4765" s="6">
        <v>2024</v>
      </c>
      <c r="B4765" s="6">
        <v>11</v>
      </c>
      <c r="C4765" s="6" t="s">
        <v>69</v>
      </c>
      <c r="D4765" s="6" t="s">
        <v>395</v>
      </c>
      <c r="E4765" s="6" t="s">
        <v>396</v>
      </c>
      <c r="F4765" s="6" t="str">
        <f>IF($M4765="PADD I","PADD 1",IF($M4765="PADD II","PADD 2",IF($M4765="PADD III","PADD 3",IF($M4765="PADD IV","PADD 4",IF($M4765="PADD V","PADD 5","")))))</f>
        <v>PADD 3</v>
      </c>
      <c r="G4765" s="6" t="str">
        <f>IF(AND($H4765="ATMOS DISTILLATION",ISNUMBER(SEARCH("VPS",$I4765))=FALSE,LEFT($I4765,6)&lt;&gt;"VACUUM"),"CDU",IF($H4765="FLUID CAT CRACKING","FCC",IF(OR($H4765="HYDROCRACKING",$H4765="RESID_HYDROCRACKING"),"Hydrocracker",IF($H4765="REFORMING","Reformer",""))))</f>
        <v>Reformer</v>
      </c>
      <c r="H4765" s="6" t="s">
        <v>421</v>
      </c>
      <c r="I4765" s="6" t="s">
        <v>540</v>
      </c>
      <c r="J4765" s="6" t="s">
        <v>345</v>
      </c>
      <c r="K4765" s="10">
        <v>9</v>
      </c>
      <c r="L4765" s="10">
        <v>30</v>
      </c>
      <c r="M4765" s="6" t="s">
        <v>371</v>
      </c>
    </row>
    <row r="4766" spans="1:13">
      <c r="A4766" s="6">
        <v>2024</v>
      </c>
      <c r="B4766" s="6">
        <v>11</v>
      </c>
      <c r="C4766" s="6" t="s">
        <v>69</v>
      </c>
      <c r="D4766" s="6" t="s">
        <v>465</v>
      </c>
      <c r="E4766" s="6" t="s">
        <v>369</v>
      </c>
      <c r="F4766" s="6" t="str">
        <f>IF($M4766="PADD I","PADD 1",IF($M4766="PADD II","PADD 2",IF($M4766="PADD III","PADD 3",IF($M4766="PADD IV","PADD 4",IF($M4766="PADD V","PADD 5","")))))</f>
        <v>PADD 5</v>
      </c>
      <c r="G4766" s="6">
        <f>IF(AND($H4766="ATMOS DISTILLATION",ISNUMBER(SEARCH("VPS",$I4766))=FALSE,LEFT($I4766,6)&lt;&gt;"VACUUM"),"CDU",IF($H4766="FLUID CAT CRACKING","FCC",IF(OR($H4766="HYDROCRACKING",$H4766="RESID_HYDROCRACKING"),"Hydrocracker",IF($H4766="REFORMING","Reformer",""))))</f>
        <v/>
      </c>
      <c r="H4766" s="6" t="s">
        <v>43</v>
      </c>
      <c r="I4766" s="6" t="s">
        <v>669</v>
      </c>
      <c r="J4766" s="6" t="s">
        <v>349</v>
      </c>
      <c r="K4766" s="10">
        <v>8.93</v>
      </c>
      <c r="L4766" s="10">
        <v>19</v>
      </c>
      <c r="M4766" s="6" t="s">
        <v>386</v>
      </c>
    </row>
    <row r="4767" spans="1:13">
      <c r="A4767" s="6">
        <v>2024</v>
      </c>
      <c r="B4767" s="6">
        <v>11</v>
      </c>
      <c r="C4767" s="6" t="s">
        <v>69</v>
      </c>
      <c r="D4767" s="6" t="s">
        <v>531</v>
      </c>
      <c r="E4767" s="6" t="s">
        <v>532</v>
      </c>
      <c r="F4767" s="6" t="str">
        <f>IF($M4767="PADD I","PADD 1",IF($M4767="PADD II","PADD 2",IF($M4767="PADD III","PADD 3",IF($M4767="PADD IV","PADD 4",IF($M4767="PADD V","PADD 5","")))))</f>
        <v>PADD 5</v>
      </c>
      <c r="G4767" s="6">
        <f>IF(AND($H4767="ATMOS DISTILLATION",ISNUMBER(SEARCH("VPS",$I4767))=FALSE,LEFT($I4767,6)&lt;&gt;"VACUUM"),"CDU",IF($H4767="FLUID CAT CRACKING","FCC",IF(OR($H4767="HYDROCRACKING",$H4767="RESID_HYDROCRACKING"),"Hydrocracker",IF($H4767="REFORMING","Reformer",""))))</f>
        <v/>
      </c>
      <c r="H4767" s="6" t="s">
        <v>435</v>
      </c>
      <c r="I4767" s="6" t="s">
        <v>599</v>
      </c>
      <c r="J4767" s="6" t="s">
        <v>349</v>
      </c>
      <c r="K4767" s="10">
        <v>8.25</v>
      </c>
      <c r="L4767" s="10">
        <v>8.25</v>
      </c>
      <c r="M4767" s="6" t="s">
        <v>386</v>
      </c>
    </row>
    <row r="4768" spans="1:13">
      <c r="A4768" s="6">
        <v>2024</v>
      </c>
      <c r="B4768" s="6">
        <v>11</v>
      </c>
      <c r="C4768" s="6" t="s">
        <v>69</v>
      </c>
      <c r="D4768" s="6" t="s">
        <v>331</v>
      </c>
      <c r="E4768" s="6" t="s">
        <v>373</v>
      </c>
      <c r="F4768" s="6" t="str">
        <f>IF($M4768="PADD I","PADD 1",IF($M4768="PADD II","PADD 2",IF($M4768="PADD III","PADD 3",IF($M4768="PADD IV","PADD 4",IF($M4768="PADD V","PADD 5","")))))</f>
        <v>PADD 2</v>
      </c>
      <c r="G4768" s="6" t="str">
        <f>IF(AND($H4768="ATMOS DISTILLATION",ISNUMBER(SEARCH("VPS",$I4768))=FALSE,LEFT($I4768,6)&lt;&gt;"VACUUM"),"CDU",IF($H4768="FLUID CAT CRACKING","FCC",IF(OR($H4768="HYDROCRACKING",$H4768="RESID_HYDROCRACKING"),"Hydrocracker",IF($H4768="REFORMING","Reformer",""))))</f>
        <v>FCC</v>
      </c>
      <c r="H4768" s="6" t="s">
        <v>376</v>
      </c>
      <c r="I4768" s="6" t="s">
        <v>105</v>
      </c>
      <c r="J4768" s="6" t="s">
        <v>349</v>
      </c>
      <c r="K4768" s="10">
        <v>8</v>
      </c>
      <c r="L4768" s="10">
        <v>40</v>
      </c>
      <c r="M4768" s="6" t="s">
        <v>375</v>
      </c>
    </row>
    <row r="4769" spans="1:13">
      <c r="A4769" s="6">
        <v>2024</v>
      </c>
      <c r="B4769" s="6">
        <v>11</v>
      </c>
      <c r="C4769" s="6" t="s">
        <v>69</v>
      </c>
      <c r="D4769" s="6" t="s">
        <v>738</v>
      </c>
      <c r="E4769" s="6" t="s">
        <v>552</v>
      </c>
      <c r="F4769" s="6" t="str">
        <f>IF($M4769="PADD I","PADD 1",IF($M4769="PADD II","PADD 2",IF($M4769="PADD III","PADD 3",IF($M4769="PADD IV","PADD 4",IF($M4769="PADD V","PADD 5","")))))</f>
        <v>PADD 3</v>
      </c>
      <c r="G4769" s="6">
        <f>IF(AND($H4769="ATMOS DISTILLATION",ISNUMBER(SEARCH("VPS",$I4769))=FALSE,LEFT($I4769,6)&lt;&gt;"VACUUM"),"CDU",IF($H4769="FLUID CAT CRACKING","FCC",IF(OR($H4769="HYDROCRACKING",$H4769="RESID_HYDROCRACKING"),"Hydrocracker",IF($H4769="REFORMING","Reformer",""))))</f>
        <v/>
      </c>
      <c r="H4769" s="6" t="s">
        <v>43</v>
      </c>
      <c r="I4769" s="6" t="s">
        <v>501</v>
      </c>
      <c r="J4769" s="6" t="s">
        <v>349</v>
      </c>
      <c r="K4769" s="10">
        <v>8</v>
      </c>
      <c r="L4769" s="10">
        <v>8</v>
      </c>
      <c r="M4769" s="6" t="s">
        <v>371</v>
      </c>
    </row>
    <row r="4770" spans="1:13">
      <c r="A4770" s="6">
        <v>2024</v>
      </c>
      <c r="B4770" s="6">
        <v>11</v>
      </c>
      <c r="C4770" s="6" t="s">
        <v>69</v>
      </c>
      <c r="D4770" s="6" t="s">
        <v>329</v>
      </c>
      <c r="E4770" s="6" t="s">
        <v>427</v>
      </c>
      <c r="F4770" s="6" t="str">
        <f>IF($M4770="PADD I","PADD 1",IF($M4770="PADD II","PADD 2",IF($M4770="PADD III","PADD 3",IF($M4770="PADD IV","PADD 4",IF($M4770="PADD V","PADD 5","")))))</f>
        <v>PADD 3</v>
      </c>
      <c r="G4770" s="6">
        <f>IF(AND($H4770="ATMOS DISTILLATION",ISNUMBER(SEARCH("VPS",$I4770))=FALSE,LEFT($I4770,6)&lt;&gt;"VACUUM"),"CDU",IF($H4770="FLUID CAT CRACKING","FCC",IF(OR($H4770="HYDROCRACKING",$H4770="RESID_HYDROCRACKING"),"Hydrocracker",IF($H4770="REFORMING","Reformer",""))))</f>
        <v/>
      </c>
      <c r="H4770" s="6" t="s">
        <v>460</v>
      </c>
      <c r="I4770" s="6" t="s">
        <v>1075</v>
      </c>
      <c r="J4770" s="6" t="s">
        <v>345</v>
      </c>
      <c r="K4770" s="10">
        <v>7.875</v>
      </c>
      <c r="L4770" s="10">
        <v>12.5</v>
      </c>
      <c r="M4770" s="6" t="s">
        <v>371</v>
      </c>
    </row>
    <row r="4771" spans="1:13">
      <c r="A4771" s="6">
        <v>2024</v>
      </c>
      <c r="B4771" s="6">
        <v>11</v>
      </c>
      <c r="C4771" s="6" t="s">
        <v>69</v>
      </c>
      <c r="D4771" s="6" t="s">
        <v>465</v>
      </c>
      <c r="E4771" s="6" t="s">
        <v>369</v>
      </c>
      <c r="F4771" s="6" t="str">
        <f>IF($M4771="PADD I","PADD 1",IF($M4771="PADD II","PADD 2",IF($M4771="PADD III","PADD 3",IF($M4771="PADD IV","PADD 4",IF($M4771="PADD V","PADD 5","")))))</f>
        <v>PADD 5</v>
      </c>
      <c r="G4771" s="6" t="str">
        <f>IF(AND($H4771="ATMOS DISTILLATION",ISNUMBER(SEARCH("VPS",$I4771))=FALSE,LEFT($I4771,6)&lt;&gt;"VACUUM"),"CDU",IF($H4771="FLUID CAT CRACKING","FCC",IF(OR($H4771="HYDROCRACKING",$H4771="RESID_HYDROCRACKING"),"Hydrocracker",IF($H4771="REFORMING","Reformer",""))))</f>
        <v>Reformer</v>
      </c>
      <c r="H4771" s="6" t="s">
        <v>421</v>
      </c>
      <c r="I4771" s="6" t="s">
        <v>673</v>
      </c>
      <c r="J4771" s="6" t="s">
        <v>349</v>
      </c>
      <c r="K4771" s="10">
        <v>7.52</v>
      </c>
      <c r="L4771" s="10">
        <v>16</v>
      </c>
      <c r="M4771" s="6" t="s">
        <v>386</v>
      </c>
    </row>
    <row r="4772" spans="1:13">
      <c r="A4772" s="6">
        <v>2024</v>
      </c>
      <c r="B4772" s="6">
        <v>11</v>
      </c>
      <c r="C4772" s="6" t="s">
        <v>69</v>
      </c>
      <c r="D4772" s="6" t="s">
        <v>446</v>
      </c>
      <c r="E4772" s="6" t="s">
        <v>391</v>
      </c>
      <c r="F4772" s="6" t="str">
        <f>IF($M4772="PADD I","PADD 1",IF($M4772="PADD II","PADD 2",IF($M4772="PADD III","PADD 3",IF($M4772="PADD IV","PADD 4",IF($M4772="PADD V","PADD 5","")))))</f>
        <v>PADD 3</v>
      </c>
      <c r="G4772" s="6">
        <f>IF(AND($H4772="ATMOS DISTILLATION",ISNUMBER(SEARCH("VPS",$I4772))=FALSE,LEFT($I4772,6)&lt;&gt;"VACUUM"),"CDU",IF($H4772="FLUID CAT CRACKING","FCC",IF(OR($H4772="HYDROCRACKING",$H4772="RESID_HYDROCRACKING"),"Hydrocracker",IF($H4772="REFORMING","Reformer",""))))</f>
        <v/>
      </c>
      <c r="H4772" s="6" t="s">
        <v>460</v>
      </c>
      <c r="I4772" s="6" t="s">
        <v>1075</v>
      </c>
      <c r="J4772" s="6" t="s">
        <v>345</v>
      </c>
      <c r="K4772" s="10">
        <v>7.2</v>
      </c>
      <c r="L4772" s="10">
        <v>7.2</v>
      </c>
      <c r="M4772" s="6" t="s">
        <v>371</v>
      </c>
    </row>
    <row r="4773" spans="1:13">
      <c r="A4773" s="6">
        <v>2024</v>
      </c>
      <c r="B4773" s="6">
        <v>11</v>
      </c>
      <c r="C4773" s="6" t="s">
        <v>69</v>
      </c>
      <c r="D4773" s="6" t="s">
        <v>446</v>
      </c>
      <c r="E4773" s="6" t="s">
        <v>391</v>
      </c>
      <c r="F4773" s="6" t="str">
        <f>IF($M4773="PADD I","PADD 1",IF($M4773="PADD II","PADD 2",IF($M4773="PADD III","PADD 3",IF($M4773="PADD IV","PADD 4",IF($M4773="PADD V","PADD 5","")))))</f>
        <v>PADD 3</v>
      </c>
      <c r="G4773" s="6">
        <f>IF(AND($H4773="ATMOS DISTILLATION",ISNUMBER(SEARCH("VPS",$I4773))=FALSE,LEFT($I4773,6)&lt;&gt;"VACUUM"),"CDU",IF($H4773="FLUID CAT CRACKING","FCC",IF(OR($H4773="HYDROCRACKING",$H4773="RESID_HYDROCRACKING"),"Hydrocracker",IF($H4773="REFORMING","Reformer",""))))</f>
        <v/>
      </c>
      <c r="H4773" s="6" t="s">
        <v>460</v>
      </c>
      <c r="I4773" s="6" t="s">
        <v>580</v>
      </c>
      <c r="J4773" s="6" t="s">
        <v>345</v>
      </c>
      <c r="K4773" s="10">
        <v>7.2</v>
      </c>
      <c r="L4773" s="10">
        <v>7.2</v>
      </c>
      <c r="M4773" s="6" t="s">
        <v>371</v>
      </c>
    </row>
    <row r="4774" spans="1:13">
      <c r="A4774" s="6">
        <v>2024</v>
      </c>
      <c r="B4774" s="6">
        <v>11</v>
      </c>
      <c r="C4774" s="6" t="s">
        <v>69</v>
      </c>
      <c r="D4774" s="6" t="s">
        <v>612</v>
      </c>
      <c r="E4774" s="6" t="s">
        <v>416</v>
      </c>
      <c r="F4774" s="6" t="str">
        <f>IF($M4774="PADD I","PADD 1",IF($M4774="PADD II","PADD 2",IF($M4774="PADD III","PADD 3",IF($M4774="PADD IV","PADD 4",IF($M4774="PADD V","PADD 5","")))))</f>
        <v>PADD 3</v>
      </c>
      <c r="G4774" s="6" t="str">
        <f>IF(AND($H4774="ATMOS DISTILLATION",ISNUMBER(SEARCH("VPS",$I4774))=FALSE,LEFT($I4774,6)&lt;&gt;"VACUUM"),"CDU",IF($H4774="FLUID CAT CRACKING","FCC",IF(OR($H4774="HYDROCRACKING",$H4774="RESID_HYDROCRACKING"),"Hydrocracker",IF($H4774="REFORMING","Reformer",""))))</f>
        <v>FCC</v>
      </c>
      <c r="H4774" s="6" t="s">
        <v>376</v>
      </c>
      <c r="I4774" s="6" t="s">
        <v>428</v>
      </c>
      <c r="J4774" s="6" t="s">
        <v>349</v>
      </c>
      <c r="K4774" s="10">
        <v>6.9</v>
      </c>
      <c r="L4774" s="10">
        <v>69</v>
      </c>
      <c r="M4774" s="6" t="s">
        <v>371</v>
      </c>
    </row>
    <row r="4775" spans="1:13">
      <c r="A4775" s="6">
        <v>2024</v>
      </c>
      <c r="B4775" s="6">
        <v>11</v>
      </c>
      <c r="C4775" s="6" t="s">
        <v>69</v>
      </c>
      <c r="D4775" s="6" t="s">
        <v>331</v>
      </c>
      <c r="E4775" s="6" t="s">
        <v>373</v>
      </c>
      <c r="F4775" s="6" t="str">
        <f>IF($M4775="PADD I","PADD 1",IF($M4775="PADD II","PADD 2",IF($M4775="PADD III","PADD 3",IF($M4775="PADD IV","PADD 4",IF($M4775="PADD V","PADD 5","")))))</f>
        <v>PADD 2</v>
      </c>
      <c r="G4775" s="6">
        <f>IF(AND($H4775="ATMOS DISTILLATION",ISNUMBER(SEARCH("VPS",$I4775))=FALSE,LEFT($I4775,6)&lt;&gt;"VACUUM"),"CDU",IF($H4775="FLUID CAT CRACKING","FCC",IF(OR($H4775="HYDROCRACKING",$H4775="RESID_HYDROCRACKING"),"Hydrocracker",IF($H4775="REFORMING","Reformer",""))))</f>
        <v/>
      </c>
      <c r="H4775" s="6" t="s">
        <v>435</v>
      </c>
      <c r="I4775" s="6" t="s">
        <v>441</v>
      </c>
      <c r="J4775" s="6" t="s">
        <v>345</v>
      </c>
      <c r="K4775" s="10">
        <v>6.9</v>
      </c>
      <c r="L4775" s="10">
        <v>23</v>
      </c>
      <c r="M4775" s="6" t="s">
        <v>375</v>
      </c>
    </row>
    <row r="4776" spans="1:13">
      <c r="A4776" s="6">
        <v>2024</v>
      </c>
      <c r="B4776" s="6">
        <v>11</v>
      </c>
      <c r="C4776" s="6" t="s">
        <v>69</v>
      </c>
      <c r="D4776" s="6" t="s">
        <v>329</v>
      </c>
      <c r="E4776" s="6" t="s">
        <v>427</v>
      </c>
      <c r="F4776" s="6" t="str">
        <f>IF($M4776="PADD I","PADD 1",IF($M4776="PADD II","PADD 2",IF($M4776="PADD III","PADD 3",IF($M4776="PADD IV","PADD 4",IF($M4776="PADD V","PADD 5","")))))</f>
        <v>PADD 3</v>
      </c>
      <c r="G4776" s="6">
        <f>IF(AND($H4776="ATMOS DISTILLATION",ISNUMBER(SEARCH("VPS",$I4776))=FALSE,LEFT($I4776,6)&lt;&gt;"VACUUM"),"CDU",IF($H4776="FLUID CAT CRACKING","FCC",IF(OR($H4776="HYDROCRACKING",$H4776="RESID_HYDROCRACKING"),"Hydrocracker",IF($H4776="REFORMING","Reformer",""))))</f>
        <v/>
      </c>
      <c r="H4776" s="6" t="s">
        <v>568</v>
      </c>
      <c r="I4776" s="6" t="s">
        <v>604</v>
      </c>
      <c r="J4776" s="6" t="s">
        <v>349</v>
      </c>
      <c r="K4776" s="10">
        <v>6.7</v>
      </c>
      <c r="L4776" s="10">
        <v>10</v>
      </c>
      <c r="M4776" s="6" t="s">
        <v>371</v>
      </c>
    </row>
    <row r="4777" spans="1:13">
      <c r="A4777" s="6">
        <v>2024</v>
      </c>
      <c r="B4777" s="6">
        <v>11</v>
      </c>
      <c r="C4777" s="6" t="s">
        <v>69</v>
      </c>
      <c r="D4777" s="6" t="s">
        <v>946</v>
      </c>
      <c r="E4777" s="6" t="s">
        <v>405</v>
      </c>
      <c r="F4777" s="6" t="str">
        <f>IF($M4777="PADD I","PADD 1",IF($M4777="PADD II","PADD 2",IF($M4777="PADD III","PADD 3",IF($M4777="PADD IV","PADD 4",IF($M4777="PADD V","PADD 5","")))))</f>
        <v>PADD 5</v>
      </c>
      <c r="G4777" s="6" t="str">
        <f>IF(AND($H4777="ATMOS DISTILLATION",ISNUMBER(SEARCH("VPS",$I4777))=FALSE,LEFT($I4777,6)&lt;&gt;"VACUUM"),"CDU",IF($H4777="FLUID CAT CRACKING","FCC",IF(OR($H4777="HYDROCRACKING",$H4777="RESID_HYDROCRACKING"),"Hydrocracker",IF($H4777="REFORMING","Reformer",""))))</f>
        <v>Reformer</v>
      </c>
      <c r="H4777" s="6" t="s">
        <v>421</v>
      </c>
      <c r="I4777" s="6" t="s">
        <v>973</v>
      </c>
      <c r="J4777" s="6" t="s">
        <v>345</v>
      </c>
      <c r="K4777" s="10">
        <v>6.66</v>
      </c>
      <c r="L4777" s="10">
        <v>18</v>
      </c>
      <c r="M4777" s="6" t="s">
        <v>386</v>
      </c>
    </row>
    <row r="4778" spans="1:13">
      <c r="A4778" s="6">
        <v>2024</v>
      </c>
      <c r="B4778" s="6">
        <v>11</v>
      </c>
      <c r="C4778" s="6" t="s">
        <v>69</v>
      </c>
      <c r="D4778" s="6" t="s">
        <v>465</v>
      </c>
      <c r="E4778" s="6" t="s">
        <v>369</v>
      </c>
      <c r="F4778" s="6" t="str">
        <f>IF($M4778="PADD I","PADD 1",IF($M4778="PADD II","PADD 2",IF($M4778="PADD III","PADD 3",IF($M4778="PADD IV","PADD 4",IF($M4778="PADD V","PADD 5","")))))</f>
        <v>PADD 5</v>
      </c>
      <c r="G4778" s="6" t="str">
        <f>IF(AND($H4778="ATMOS DISTILLATION",ISNUMBER(SEARCH("VPS",$I4778))=FALSE,LEFT($I4778,6)&lt;&gt;"VACUUM"),"CDU",IF($H4778="FLUID CAT CRACKING","FCC",IF(OR($H4778="HYDROCRACKING",$H4778="RESID_HYDROCRACKING"),"Hydrocracker",IF($H4778="REFORMING","Reformer",""))))</f>
        <v>FCC</v>
      </c>
      <c r="H4778" s="6" t="s">
        <v>376</v>
      </c>
      <c r="I4778" s="6" t="s">
        <v>105</v>
      </c>
      <c r="J4778" s="6" t="s">
        <v>349</v>
      </c>
      <c r="K4778" s="10">
        <v>6.5</v>
      </c>
      <c r="L4778" s="10">
        <v>50</v>
      </c>
      <c r="M4778" s="6" t="s">
        <v>386</v>
      </c>
    </row>
    <row r="4779" spans="1:13">
      <c r="A4779" s="6">
        <v>2024</v>
      </c>
      <c r="B4779" s="6">
        <v>11</v>
      </c>
      <c r="C4779" s="6" t="s">
        <v>69</v>
      </c>
      <c r="D4779" s="6" t="s">
        <v>576</v>
      </c>
      <c r="E4779" s="6" t="s">
        <v>369</v>
      </c>
      <c r="F4779" s="6" t="str">
        <f>IF($M4779="PADD I","PADD 1",IF($M4779="PADD II","PADD 2",IF($M4779="PADD III","PADD 3",IF($M4779="PADD IV","PADD 4",IF($M4779="PADD V","PADD 5","")))))</f>
        <v>PADD 3</v>
      </c>
      <c r="G4779" s="6">
        <f>IF(AND($H4779="ATMOS DISTILLATION",ISNUMBER(SEARCH("VPS",$I4779))=FALSE,LEFT($I4779,6)&lt;&gt;"VACUUM"),"CDU",IF($H4779="FLUID CAT CRACKING","FCC",IF(OR($H4779="HYDROCRACKING",$H4779="RESID_HYDROCRACKING"),"Hydrocracker",IF($H4779="REFORMING","Reformer",""))))</f>
        <v/>
      </c>
      <c r="H4779" s="6" t="s">
        <v>43</v>
      </c>
      <c r="I4779" s="6" t="s">
        <v>1233</v>
      </c>
      <c r="J4779" s="6" t="s">
        <v>349</v>
      </c>
      <c r="K4779" s="10">
        <v>6.37</v>
      </c>
      <c r="L4779" s="10">
        <v>49</v>
      </c>
      <c r="M4779" s="6" t="s">
        <v>371</v>
      </c>
    </row>
    <row r="4780" spans="1:13">
      <c r="A4780" s="6">
        <v>2024</v>
      </c>
      <c r="B4780" s="6">
        <v>11</v>
      </c>
      <c r="C4780" s="6" t="s">
        <v>69</v>
      </c>
      <c r="D4780" s="6" t="s">
        <v>602</v>
      </c>
      <c r="E4780" s="6" t="s">
        <v>369</v>
      </c>
      <c r="F4780" s="6" t="str">
        <f>IF($M4780="PADD I","PADD 1",IF($M4780="PADD II","PADD 2",IF($M4780="PADD III","PADD 3",IF($M4780="PADD IV","PADD 4",IF($M4780="PADD V","PADD 5","")))))</f>
        <v>PADD 2</v>
      </c>
      <c r="G4780" s="6">
        <f>IF(AND($H4780="ATMOS DISTILLATION",ISNUMBER(SEARCH("VPS",$I4780))=FALSE,LEFT($I4780,6)&lt;&gt;"VACUUM"),"CDU",IF($H4780="FLUID CAT CRACKING","FCC",IF(OR($H4780="HYDROCRACKING",$H4780="RESID_HYDROCRACKING"),"Hydrocracker",IF($H4780="REFORMING","Reformer",""))))</f>
        <v/>
      </c>
      <c r="H4780" s="6" t="s">
        <v>435</v>
      </c>
      <c r="I4780" s="6" t="s">
        <v>441</v>
      </c>
      <c r="J4780" s="6" t="s">
        <v>345</v>
      </c>
      <c r="K4780" s="10">
        <v>6.237</v>
      </c>
      <c r="L4780" s="10">
        <v>23.1</v>
      </c>
      <c r="M4780" s="6" t="s">
        <v>375</v>
      </c>
    </row>
    <row r="4781" spans="1:13">
      <c r="A4781" s="6">
        <v>2024</v>
      </c>
      <c r="B4781" s="6">
        <v>11</v>
      </c>
      <c r="C4781" s="6" t="s">
        <v>69</v>
      </c>
      <c r="D4781" s="6" t="s">
        <v>576</v>
      </c>
      <c r="E4781" s="6" t="s">
        <v>369</v>
      </c>
      <c r="F4781" s="6" t="str">
        <f>IF($M4781="PADD I","PADD 1",IF($M4781="PADD II","PADD 2",IF($M4781="PADD III","PADD 3",IF($M4781="PADD IV","PADD 4",IF($M4781="PADD V","PADD 5","")))))</f>
        <v>PADD 3</v>
      </c>
      <c r="G4781" s="6" t="str">
        <f>IF(AND($H4781="ATMOS DISTILLATION",ISNUMBER(SEARCH("VPS",$I4781))=FALSE,LEFT($I4781,6)&lt;&gt;"VACUUM"),"CDU",IF($H4781="FLUID CAT CRACKING","FCC",IF(OR($H4781="HYDROCRACKING",$H4781="RESID_HYDROCRACKING"),"Hydrocracker",IF($H4781="REFORMING","Reformer",""))))</f>
        <v>FCC</v>
      </c>
      <c r="H4781" s="6" t="s">
        <v>376</v>
      </c>
      <c r="I4781" s="6" t="s">
        <v>105</v>
      </c>
      <c r="J4781" s="6" t="s">
        <v>349</v>
      </c>
      <c r="K4781" s="10">
        <v>6.006</v>
      </c>
      <c r="L4781" s="10">
        <v>46.2</v>
      </c>
      <c r="M4781" s="6" t="s">
        <v>371</v>
      </c>
    </row>
    <row r="4782" spans="1:13">
      <c r="A4782" s="6">
        <v>2024</v>
      </c>
      <c r="B4782" s="6">
        <v>11</v>
      </c>
      <c r="C4782" s="6" t="s">
        <v>69</v>
      </c>
      <c r="D4782" s="6" t="s">
        <v>628</v>
      </c>
      <c r="E4782" s="6" t="s">
        <v>388</v>
      </c>
      <c r="F4782" s="6" t="str">
        <f>IF($M4782="PADD I","PADD 1",IF($M4782="PADD II","PADD 2",IF($M4782="PADD III","PADD 3",IF($M4782="PADD IV","PADD 4",IF($M4782="PADD V","PADD 5","")))))</f>
        <v>PADD 3</v>
      </c>
      <c r="G4782" s="6" t="str">
        <f>IF(AND($H4782="ATMOS DISTILLATION",ISNUMBER(SEARCH("VPS",$I4782))=FALSE,LEFT($I4782,6)&lt;&gt;"VACUUM"),"CDU",IF($H4782="FLUID CAT CRACKING","FCC",IF(OR($H4782="HYDROCRACKING",$H4782="RESID_HYDROCRACKING"),"Hydrocracker",IF($H4782="REFORMING","Reformer",""))))</f>
        <v>FCC</v>
      </c>
      <c r="H4782" s="6" t="s">
        <v>376</v>
      </c>
      <c r="I4782" s="6" t="s">
        <v>105</v>
      </c>
      <c r="J4782" s="6" t="s">
        <v>345</v>
      </c>
      <c r="K4782" s="10">
        <v>6</v>
      </c>
      <c r="L4782" s="10">
        <v>60</v>
      </c>
      <c r="M4782" s="6" t="s">
        <v>371</v>
      </c>
    </row>
    <row r="4783" spans="1:13">
      <c r="A4783" s="6">
        <v>2024</v>
      </c>
      <c r="B4783" s="6">
        <v>11</v>
      </c>
      <c r="C4783" s="6" t="s">
        <v>69</v>
      </c>
      <c r="D4783" s="6" t="s">
        <v>738</v>
      </c>
      <c r="E4783" s="6" t="s">
        <v>552</v>
      </c>
      <c r="F4783" s="6" t="str">
        <f>IF($M4783="PADD I","PADD 1",IF($M4783="PADD II","PADD 2",IF($M4783="PADD III","PADD 3",IF($M4783="PADD IV","PADD 4",IF($M4783="PADD V","PADD 5","")))))</f>
        <v>PADD 3</v>
      </c>
      <c r="G4783" s="6">
        <f>IF(AND($H4783="ATMOS DISTILLATION",ISNUMBER(SEARCH("VPS",$I4783))=FALSE,LEFT($I4783,6)&lt;&gt;"VACUUM"),"CDU",IF($H4783="FLUID CAT CRACKING","FCC",IF(OR($H4783="HYDROCRACKING",$H4783="RESID_HYDROCRACKING"),"Hydrocracker",IF($H4783="REFORMING","Reformer",""))))</f>
        <v/>
      </c>
      <c r="H4783" s="6" t="s">
        <v>460</v>
      </c>
      <c r="I4783" s="6" t="s">
        <v>461</v>
      </c>
      <c r="J4783" s="6" t="s">
        <v>349</v>
      </c>
      <c r="K4783" s="10">
        <v>6</v>
      </c>
      <c r="L4783" s="10">
        <v>6</v>
      </c>
      <c r="M4783" s="6" t="s">
        <v>371</v>
      </c>
    </row>
    <row r="4784" spans="1:13">
      <c r="A4784" s="6">
        <v>2024</v>
      </c>
      <c r="B4784" s="6">
        <v>11</v>
      </c>
      <c r="C4784" s="6" t="s">
        <v>69</v>
      </c>
      <c r="D4784" s="6" t="s">
        <v>329</v>
      </c>
      <c r="E4784" s="6" t="s">
        <v>427</v>
      </c>
      <c r="F4784" s="6" t="str">
        <f>IF($M4784="PADD I","PADD 1",IF($M4784="PADD II","PADD 2",IF($M4784="PADD III","PADD 3",IF($M4784="PADD IV","PADD 4",IF($M4784="PADD V","PADD 5","")))))</f>
        <v>PADD 3</v>
      </c>
      <c r="G4784" s="6" t="str">
        <f>IF(AND($H4784="ATMOS DISTILLATION",ISNUMBER(SEARCH("VPS",$I4784))=FALSE,LEFT($I4784,6)&lt;&gt;"VACUUM"),"CDU",IF($H4784="FLUID CAT CRACKING","FCC",IF(OR($H4784="HYDROCRACKING",$H4784="RESID_HYDROCRACKING"),"Hydrocracker",IF($H4784="REFORMING","Reformer",""))))</f>
        <v>Reformer</v>
      </c>
      <c r="H4784" s="6" t="s">
        <v>421</v>
      </c>
      <c r="I4784" s="6" t="s">
        <v>1162</v>
      </c>
      <c r="J4784" s="6" t="s">
        <v>349</v>
      </c>
      <c r="K4784" s="10">
        <v>5.8625</v>
      </c>
      <c r="L4784" s="10">
        <v>8.75</v>
      </c>
      <c r="M4784" s="6" t="s">
        <v>371</v>
      </c>
    </row>
    <row r="4785" spans="1:13">
      <c r="A4785" s="6">
        <v>2024</v>
      </c>
      <c r="B4785" s="6">
        <v>11</v>
      </c>
      <c r="C4785" s="6" t="s">
        <v>69</v>
      </c>
      <c r="D4785" s="6" t="s">
        <v>1141</v>
      </c>
      <c r="E4785" s="6" t="s">
        <v>1079</v>
      </c>
      <c r="F4785" s="6" t="str">
        <f>IF($M4785="PADD I","PADD 1",IF($M4785="PADD II","PADD 2",IF($M4785="PADD III","PADD 3",IF($M4785="PADD IV","PADD 4",IF($M4785="PADD V","PADD 5","")))))</f>
        <v>PADD 3</v>
      </c>
      <c r="G4785" s="6">
        <f>IF(AND($H4785="ATMOS DISTILLATION",ISNUMBER(SEARCH("VPS",$I4785))=FALSE,LEFT($I4785,6)&lt;&gt;"VACUUM"),"CDU",IF($H4785="FLUID CAT CRACKING","FCC",IF(OR($H4785="HYDROCRACKING",$H4785="RESID_HYDROCRACKING"),"Hydrocracker",IF($H4785="REFORMING","Reformer",""))))</f>
        <v/>
      </c>
      <c r="H4785" s="6" t="s">
        <v>43</v>
      </c>
      <c r="I4785" s="6" t="s">
        <v>927</v>
      </c>
      <c r="J4785" s="6" t="s">
        <v>349</v>
      </c>
      <c r="K4785" s="10">
        <v>5.75</v>
      </c>
      <c r="L4785" s="10">
        <v>25</v>
      </c>
      <c r="M4785" s="6" t="s">
        <v>371</v>
      </c>
    </row>
    <row r="4786" spans="1:13">
      <c r="A4786" s="6">
        <v>2024</v>
      </c>
      <c r="B4786" s="6">
        <v>11</v>
      </c>
      <c r="C4786" s="6" t="s">
        <v>69</v>
      </c>
      <c r="D4786" s="6" t="s">
        <v>675</v>
      </c>
      <c r="E4786" s="6" t="s">
        <v>452</v>
      </c>
      <c r="F4786" s="6" t="str">
        <f>IF($M4786="PADD I","PADD 1",IF($M4786="PADD II","PADD 2",IF($M4786="PADD III","PADD 3",IF($M4786="PADD IV","PADD 4",IF($M4786="PADD V","PADD 5","")))))</f>
        <v>PADD 2</v>
      </c>
      <c r="G4786" s="6">
        <f>IF(AND($H4786="ATMOS DISTILLATION",ISNUMBER(SEARCH("VPS",$I4786))=FALSE,LEFT($I4786,6)&lt;&gt;"VACUUM"),"CDU",IF($H4786="FLUID CAT CRACKING","FCC",IF(OR($H4786="HYDROCRACKING",$H4786="RESID_HYDROCRACKING"),"Hydrocracker",IF($H4786="REFORMING","Reformer",""))))</f>
        <v/>
      </c>
      <c r="H4786" s="6" t="s">
        <v>460</v>
      </c>
      <c r="I4786" s="6" t="s">
        <v>616</v>
      </c>
      <c r="J4786" s="6" t="s">
        <v>349</v>
      </c>
      <c r="K4786" s="10">
        <v>5.75</v>
      </c>
      <c r="L4786" s="10">
        <v>11.5</v>
      </c>
      <c r="M4786" s="6" t="s">
        <v>375</v>
      </c>
    </row>
    <row r="4787" spans="1:13">
      <c r="A4787" s="6">
        <v>2024</v>
      </c>
      <c r="B4787" s="6">
        <v>11</v>
      </c>
      <c r="C4787" s="6" t="s">
        <v>69</v>
      </c>
      <c r="D4787" s="6" t="s">
        <v>329</v>
      </c>
      <c r="E4787" s="6" t="s">
        <v>427</v>
      </c>
      <c r="F4787" s="6" t="str">
        <f>IF($M4787="PADD I","PADD 1",IF($M4787="PADD II","PADD 2",IF($M4787="PADD III","PADD 3",IF($M4787="PADD IV","PADD 4",IF($M4787="PADD V","PADD 5","")))))</f>
        <v>PADD 3</v>
      </c>
      <c r="G4787" s="6">
        <f>IF(AND($H4787="ATMOS DISTILLATION",ISNUMBER(SEARCH("VPS",$I4787))=FALSE,LEFT($I4787,6)&lt;&gt;"VACUUM"),"CDU",IF($H4787="FLUID CAT CRACKING","FCC",IF(OR($H4787="HYDROCRACKING",$H4787="RESID_HYDROCRACKING"),"Hydrocracker",IF($H4787="REFORMING","Reformer",""))))</f>
        <v/>
      </c>
      <c r="H4787" s="6" t="s">
        <v>637</v>
      </c>
      <c r="I4787" s="6" t="s">
        <v>1253</v>
      </c>
      <c r="J4787" s="6" t="s">
        <v>349</v>
      </c>
      <c r="K4787" s="10">
        <v>5.695</v>
      </c>
      <c r="L4787" s="10">
        <v>8.5</v>
      </c>
      <c r="M4787" s="6" t="s">
        <v>371</v>
      </c>
    </row>
    <row r="4788" spans="1:13">
      <c r="A4788" s="6">
        <v>2024</v>
      </c>
      <c r="B4788" s="6">
        <v>11</v>
      </c>
      <c r="C4788" s="6" t="s">
        <v>69</v>
      </c>
      <c r="D4788" s="6" t="s">
        <v>434</v>
      </c>
      <c r="E4788" s="6" t="s">
        <v>388</v>
      </c>
      <c r="F4788" s="6" t="str">
        <f>IF($M4788="PADD I","PADD 1",IF($M4788="PADD II","PADD 2",IF($M4788="PADD III","PADD 3",IF($M4788="PADD IV","PADD 4",IF($M4788="PADD V","PADD 5","")))))</f>
        <v>PADD 5</v>
      </c>
      <c r="G4788" s="6" t="str">
        <f>IF(AND($H4788="ATMOS DISTILLATION",ISNUMBER(SEARCH("VPS",$I4788))=FALSE,LEFT($I4788,6)&lt;&gt;"VACUUM"),"CDU",IF($H4788="FLUID CAT CRACKING","FCC",IF(OR($H4788="HYDROCRACKING",$H4788="RESID_HYDROCRACKING"),"Hydrocracker",IF($H4788="REFORMING","Reformer",""))))</f>
        <v>Hydrocracker</v>
      </c>
      <c r="H4788" s="6" t="s">
        <v>444</v>
      </c>
      <c r="I4788" s="6" t="s">
        <v>14</v>
      </c>
      <c r="J4788" s="6" t="s">
        <v>345</v>
      </c>
      <c r="K4788" s="10">
        <v>5.44</v>
      </c>
      <c r="L4788" s="10">
        <v>32</v>
      </c>
      <c r="M4788" s="6" t="s">
        <v>386</v>
      </c>
    </row>
    <row r="4789" spans="1:13">
      <c r="A4789" s="6">
        <v>2024</v>
      </c>
      <c r="B4789" s="6">
        <v>11</v>
      </c>
      <c r="C4789" s="6" t="s">
        <v>69</v>
      </c>
      <c r="D4789" s="6" t="s">
        <v>576</v>
      </c>
      <c r="E4789" s="6" t="s">
        <v>369</v>
      </c>
      <c r="F4789" s="6" t="str">
        <f>IF($M4789="PADD I","PADD 1",IF($M4789="PADD II","PADD 2",IF($M4789="PADD III","PADD 3",IF($M4789="PADD IV","PADD 4",IF($M4789="PADD V","PADD 5","")))))</f>
        <v>PADD 3</v>
      </c>
      <c r="G4789" s="6">
        <f>IF(AND($H4789="ATMOS DISTILLATION",ISNUMBER(SEARCH("VPS",$I4789))=FALSE,LEFT($I4789,6)&lt;&gt;"VACUUM"),"CDU",IF($H4789="FLUID CAT CRACKING","FCC",IF(OR($H4789="HYDROCRACKING",$H4789="RESID_HYDROCRACKING"),"Hydrocracker",IF($H4789="REFORMING","Reformer",""))))</f>
        <v/>
      </c>
      <c r="H4789" s="6" t="s">
        <v>43</v>
      </c>
      <c r="I4789" s="6" t="s">
        <v>1234</v>
      </c>
      <c r="J4789" s="6" t="s">
        <v>349</v>
      </c>
      <c r="K4789" s="10">
        <v>5.2</v>
      </c>
      <c r="L4789" s="10">
        <v>40</v>
      </c>
      <c r="M4789" s="6" t="s">
        <v>371</v>
      </c>
    </row>
    <row r="4790" spans="1:13">
      <c r="A4790" s="6">
        <v>2024</v>
      </c>
      <c r="B4790" s="6">
        <v>11</v>
      </c>
      <c r="C4790" s="6" t="s">
        <v>69</v>
      </c>
      <c r="D4790" s="6" t="s">
        <v>329</v>
      </c>
      <c r="E4790" s="6" t="s">
        <v>427</v>
      </c>
      <c r="F4790" s="6" t="str">
        <f>IF($M4790="PADD I","PADD 1",IF($M4790="PADD II","PADD 2",IF($M4790="PADD III","PADD 3",IF($M4790="PADD IV","PADD 4",IF($M4790="PADD V","PADD 5","")))))</f>
        <v>PADD 3</v>
      </c>
      <c r="G4790" s="6">
        <f>IF(AND($H4790="ATMOS DISTILLATION",ISNUMBER(SEARCH("VPS",$I4790))=FALSE,LEFT($I4790,6)&lt;&gt;"VACUUM"),"CDU",IF($H4790="FLUID CAT CRACKING","FCC",IF(OR($H4790="HYDROCRACKING",$H4790="RESID_HYDROCRACKING"),"Hydrocracker",IF($H4790="REFORMING","Reformer",""))))</f>
        <v/>
      </c>
      <c r="H4790" s="6" t="s">
        <v>1108</v>
      </c>
      <c r="I4790" s="6" t="s">
        <v>1255</v>
      </c>
      <c r="J4790" s="6" t="s">
        <v>349</v>
      </c>
      <c r="K4790" s="10">
        <v>5.025</v>
      </c>
      <c r="L4790" s="10">
        <v>7.5</v>
      </c>
      <c r="M4790" s="6" t="s">
        <v>371</v>
      </c>
    </row>
    <row r="4791" spans="1:13">
      <c r="A4791" s="6">
        <v>2024</v>
      </c>
      <c r="B4791" s="6">
        <v>11</v>
      </c>
      <c r="C4791" s="6" t="s">
        <v>69</v>
      </c>
      <c r="D4791" s="6" t="s">
        <v>839</v>
      </c>
      <c r="E4791" s="6" t="s">
        <v>840</v>
      </c>
      <c r="F4791" s="6" t="str">
        <f>IF($M4791="PADD I","PADD 1",IF($M4791="PADD II","PADD 2",IF($M4791="PADD III","PADD 3",IF($M4791="PADD IV","PADD 4",IF($M4791="PADD V","PADD 5","")))))</f>
        <v>PADD 1</v>
      </c>
      <c r="G4791" s="6" t="str">
        <f>IF(AND($H4791="ATMOS DISTILLATION",ISNUMBER(SEARCH("VPS",$I4791))=FALSE,LEFT($I4791,6)&lt;&gt;"VACUUM"),"CDU",IF($H4791="FLUID CAT CRACKING","FCC",IF(OR($H4791="HYDROCRACKING",$H4791="RESID_HYDROCRACKING"),"Hydrocracker",IF($H4791="REFORMING","Reformer",""))))</f>
        <v>CDU</v>
      </c>
      <c r="H4791" s="6" t="s">
        <v>38</v>
      </c>
      <c r="I4791" s="6" t="s">
        <v>133</v>
      </c>
      <c r="J4791" s="6" t="s">
        <v>345</v>
      </c>
      <c r="K4791" s="10">
        <v>4.9</v>
      </c>
      <c r="L4791" s="10">
        <v>70</v>
      </c>
      <c r="M4791" s="6" t="s">
        <v>413</v>
      </c>
    </row>
    <row r="4792" spans="1:13">
      <c r="A4792" s="6">
        <v>2024</v>
      </c>
      <c r="B4792" s="6">
        <v>11</v>
      </c>
      <c r="C4792" s="6" t="s">
        <v>69</v>
      </c>
      <c r="D4792" s="6" t="s">
        <v>395</v>
      </c>
      <c r="E4792" s="6" t="s">
        <v>396</v>
      </c>
      <c r="F4792" s="6" t="str">
        <f>IF($M4792="PADD I","PADD 1",IF($M4792="PADD II","PADD 2",IF($M4792="PADD III","PADD 3",IF($M4792="PADD IV","PADD 4",IF($M4792="PADD V","PADD 5","")))))</f>
        <v>PADD 3</v>
      </c>
      <c r="G4792" s="6">
        <f>IF(AND($H4792="ATMOS DISTILLATION",ISNUMBER(SEARCH("VPS",$I4792))=FALSE,LEFT($I4792,6)&lt;&gt;"VACUUM"),"CDU",IF($H4792="FLUID CAT CRACKING","FCC",IF(OR($H4792="HYDROCRACKING",$H4792="RESID_HYDROCRACKING"),"Hydrocracker",IF($H4792="REFORMING","Reformer",""))))</f>
        <v/>
      </c>
      <c r="H4792" s="6" t="s">
        <v>43</v>
      </c>
      <c r="I4792" s="6" t="s">
        <v>550</v>
      </c>
      <c r="J4792" s="6" t="s">
        <v>345</v>
      </c>
      <c r="K4792" s="10">
        <v>4.11</v>
      </c>
      <c r="L4792" s="10">
        <v>41.1</v>
      </c>
      <c r="M4792" s="6" t="s">
        <v>371</v>
      </c>
    </row>
    <row r="4793" spans="1:13">
      <c r="A4793" s="6">
        <v>2024</v>
      </c>
      <c r="B4793" s="6">
        <v>11</v>
      </c>
      <c r="C4793" s="6" t="s">
        <v>69</v>
      </c>
      <c r="D4793" s="6" t="s">
        <v>329</v>
      </c>
      <c r="E4793" s="6" t="s">
        <v>427</v>
      </c>
      <c r="F4793" s="6" t="str">
        <f>IF($M4793="PADD I","PADD 1",IF($M4793="PADD II","PADD 2",IF($M4793="PADD III","PADD 3",IF($M4793="PADD IV","PADD 4",IF($M4793="PADD V","PADD 5","")))))</f>
        <v>PADD 3</v>
      </c>
      <c r="G4793" s="6">
        <f>IF(AND($H4793="ATMOS DISTILLATION",ISNUMBER(SEARCH("VPS",$I4793))=FALSE,LEFT($I4793,6)&lt;&gt;"VACUUM"),"CDU",IF($H4793="FLUID CAT CRACKING","FCC",IF(OR($H4793="HYDROCRACKING",$H4793="RESID_HYDROCRACKING"),"Hydrocracker",IF($H4793="REFORMING","Reformer",""))))</f>
        <v/>
      </c>
      <c r="H4793" s="6" t="s">
        <v>435</v>
      </c>
      <c r="I4793" s="6" t="s">
        <v>1258</v>
      </c>
      <c r="J4793" s="6" t="s">
        <v>349</v>
      </c>
      <c r="K4793" s="10">
        <v>4.02</v>
      </c>
      <c r="L4793" s="10">
        <v>6</v>
      </c>
      <c r="M4793" s="6" t="s">
        <v>371</v>
      </c>
    </row>
    <row r="4794" spans="1:13">
      <c r="A4794" s="6">
        <v>2024</v>
      </c>
      <c r="B4794" s="6">
        <v>11</v>
      </c>
      <c r="C4794" s="6" t="s">
        <v>69</v>
      </c>
      <c r="D4794" s="6" t="s">
        <v>878</v>
      </c>
      <c r="E4794" s="6" t="s">
        <v>452</v>
      </c>
      <c r="F4794" s="6" t="str">
        <f>IF($M4794="PADD I","PADD 1",IF($M4794="PADD II","PADD 2",IF($M4794="PADD III","PADD 3",IF($M4794="PADD IV","PADD 4",IF($M4794="PADD V","PADD 5","")))))</f>
        <v>PADD 2</v>
      </c>
      <c r="G4794" s="6">
        <f>IF(AND($H4794="ATMOS DISTILLATION",ISNUMBER(SEARCH("VPS",$I4794))=FALSE,LEFT($I4794,6)&lt;&gt;"VACUUM"),"CDU",IF($H4794="FLUID CAT CRACKING","FCC",IF(OR($H4794="HYDROCRACKING",$H4794="RESID_HYDROCRACKING"),"Hydrocracker",IF($H4794="REFORMING","Reformer",""))))</f>
        <v/>
      </c>
      <c r="H4794" s="6" t="s">
        <v>435</v>
      </c>
      <c r="I4794" s="6" t="s">
        <v>441</v>
      </c>
      <c r="J4794" s="6" t="s">
        <v>345</v>
      </c>
      <c r="K4794" s="10">
        <v>3.995</v>
      </c>
      <c r="L4794" s="10">
        <v>8.5</v>
      </c>
      <c r="M4794" s="6" t="s">
        <v>375</v>
      </c>
    </row>
    <row r="4795" spans="1:13">
      <c r="A4795" s="6">
        <v>2024</v>
      </c>
      <c r="B4795" s="6">
        <v>11</v>
      </c>
      <c r="C4795" s="6" t="s">
        <v>69</v>
      </c>
      <c r="D4795" s="6" t="s">
        <v>511</v>
      </c>
      <c r="E4795" s="6" t="s">
        <v>405</v>
      </c>
      <c r="F4795" s="6" t="str">
        <f>IF($M4795="PADD I","PADD 1",IF($M4795="PADD II","PADD 2",IF($M4795="PADD III","PADD 3",IF($M4795="PADD IV","PADD 4",IF($M4795="PADD V","PADD 5","")))))</f>
        <v>PADD 3</v>
      </c>
      <c r="G4795" s="6">
        <f>IF(AND($H4795="ATMOS DISTILLATION",ISNUMBER(SEARCH("VPS",$I4795))=FALSE,LEFT($I4795,6)&lt;&gt;"VACUUM"),"CDU",IF($H4795="FLUID CAT CRACKING","FCC",IF(OR($H4795="HYDROCRACKING",$H4795="RESID_HYDROCRACKING"),"Hydrocracker",IF($H4795="REFORMING","Reformer",""))))</f>
        <v/>
      </c>
      <c r="H4795" s="6" t="s">
        <v>378</v>
      </c>
      <c r="I4795" s="6" t="s">
        <v>593</v>
      </c>
      <c r="J4795" s="6" t="s">
        <v>345</v>
      </c>
      <c r="K4795" s="10">
        <v>3.8</v>
      </c>
      <c r="L4795" s="10">
        <v>38</v>
      </c>
      <c r="M4795" s="6" t="s">
        <v>371</v>
      </c>
    </row>
    <row r="4796" spans="1:13">
      <c r="A4796" s="6">
        <v>2024</v>
      </c>
      <c r="B4796" s="6">
        <v>11</v>
      </c>
      <c r="C4796" s="6" t="s">
        <v>69</v>
      </c>
      <c r="D4796" s="6" t="s">
        <v>468</v>
      </c>
      <c r="E4796" s="6" t="s">
        <v>369</v>
      </c>
      <c r="F4796" s="6" t="str">
        <f>IF($M4796="PADD I","PADD 1",IF($M4796="PADD II","PADD 2",IF($M4796="PADD III","PADD 3",IF($M4796="PADD IV","PADD 4",IF($M4796="PADD V","PADD 5","")))))</f>
        <v>PADD 3</v>
      </c>
      <c r="G4796" s="6" t="str">
        <f>IF(AND($H4796="ATMOS DISTILLATION",ISNUMBER(SEARCH("VPS",$I4796))=FALSE,LEFT($I4796,6)&lt;&gt;"VACUUM"),"CDU",IF($H4796="FLUID CAT CRACKING","FCC",IF(OR($H4796="HYDROCRACKING",$H4796="RESID_HYDROCRACKING"),"Hydrocracker",IF($H4796="REFORMING","Reformer",""))))</f>
        <v>Reformer</v>
      </c>
      <c r="H4796" s="6" t="s">
        <v>421</v>
      </c>
      <c r="I4796" s="6" t="s">
        <v>635</v>
      </c>
      <c r="J4796" s="6" t="s">
        <v>345</v>
      </c>
      <c r="K4796" s="10">
        <v>3.5</v>
      </c>
      <c r="L4796" s="10">
        <v>7</v>
      </c>
      <c r="M4796" s="6" t="s">
        <v>371</v>
      </c>
    </row>
    <row r="4797" spans="1:13">
      <c r="A4797" s="6">
        <v>2024</v>
      </c>
      <c r="B4797" s="6">
        <v>11</v>
      </c>
      <c r="C4797" s="6" t="s">
        <v>69</v>
      </c>
      <c r="D4797" s="6" t="s">
        <v>738</v>
      </c>
      <c r="E4797" s="6" t="s">
        <v>552</v>
      </c>
      <c r="F4797" s="6" t="str">
        <f>IF($M4797="PADD I","PADD 1",IF($M4797="PADD II","PADD 2",IF($M4797="PADD III","PADD 3",IF($M4797="PADD IV","PADD 4",IF($M4797="PADD V","PADD 5","")))))</f>
        <v>PADD 3</v>
      </c>
      <c r="G4797" s="6">
        <f>IF(AND($H4797="ATMOS DISTILLATION",ISNUMBER(SEARCH("VPS",$I4797))=FALSE,LEFT($I4797,6)&lt;&gt;"VACUUM"),"CDU",IF($H4797="FLUID CAT CRACKING","FCC",IF(OR($H4797="HYDROCRACKING",$H4797="RESID_HYDROCRACKING"),"Hydrocracker",IF($H4797="REFORMING","Reformer",""))))</f>
        <v/>
      </c>
      <c r="H4797" s="6" t="s">
        <v>568</v>
      </c>
      <c r="I4797" s="6" t="s">
        <v>1264</v>
      </c>
      <c r="J4797" s="6" t="s">
        <v>349</v>
      </c>
      <c r="K4797" s="10">
        <v>3.4</v>
      </c>
      <c r="L4797" s="10">
        <v>3.4</v>
      </c>
      <c r="M4797" s="6" t="s">
        <v>371</v>
      </c>
    </row>
    <row r="4798" spans="1:13">
      <c r="A4798" s="6">
        <v>2024</v>
      </c>
      <c r="B4798" s="6">
        <v>11</v>
      </c>
      <c r="C4798" s="6" t="s">
        <v>69</v>
      </c>
      <c r="D4798" s="6" t="s">
        <v>1063</v>
      </c>
      <c r="E4798" s="6" t="s">
        <v>388</v>
      </c>
      <c r="F4798" s="6" t="str">
        <f>IF($M4798="PADD I","PADD 1",IF($M4798="PADD II","PADD 2",IF($M4798="PADD III","PADD 3",IF($M4798="PADD IV","PADD 4",IF($M4798="PADD V","PADD 5","")))))</f>
        <v>PADD 2</v>
      </c>
      <c r="G4798" s="6">
        <f>IF(AND($H4798="ATMOS DISTILLATION",ISNUMBER(SEARCH("VPS",$I4798))=FALSE,LEFT($I4798,6)&lt;&gt;"VACUUM"),"CDU",IF($H4798="FLUID CAT CRACKING","FCC",IF(OR($H4798="HYDROCRACKING",$H4798="RESID_HYDROCRACKING"),"Hydrocracker",IF($H4798="REFORMING","Reformer",""))))</f>
        <v/>
      </c>
      <c r="H4798" s="6" t="s">
        <v>43</v>
      </c>
      <c r="I4798" s="6" t="s">
        <v>493</v>
      </c>
      <c r="J4798" s="6" t="s">
        <v>345</v>
      </c>
      <c r="K4798" s="10">
        <v>3.4</v>
      </c>
      <c r="L4798" s="10">
        <v>34</v>
      </c>
      <c r="M4798" s="6" t="s">
        <v>375</v>
      </c>
    </row>
    <row r="4799" spans="1:13">
      <c r="A4799" s="6">
        <v>2024</v>
      </c>
      <c r="B4799" s="6">
        <v>11</v>
      </c>
      <c r="C4799" s="6" t="s">
        <v>69</v>
      </c>
      <c r="D4799" s="6" t="s">
        <v>395</v>
      </c>
      <c r="E4799" s="6" t="s">
        <v>396</v>
      </c>
      <c r="F4799" s="6" t="str">
        <f>IF($M4799="PADD I","PADD 1",IF($M4799="PADD II","PADD 2",IF($M4799="PADD III","PADD 3",IF($M4799="PADD IV","PADD 4",IF($M4799="PADD V","PADD 5","")))))</f>
        <v>PADD 3</v>
      </c>
      <c r="G4799" s="6" t="str">
        <f>IF(AND($H4799="ATMOS DISTILLATION",ISNUMBER(SEARCH("VPS",$I4799))=FALSE,LEFT($I4799,6)&lt;&gt;"VACUUM"),"CDU",IF($H4799="FLUID CAT CRACKING","FCC",IF(OR($H4799="HYDROCRACKING",$H4799="RESID_HYDROCRACKING"),"Hydrocracker",IF($H4799="REFORMING","Reformer",""))))</f>
        <v>Reformer</v>
      </c>
      <c r="H4799" s="6" t="s">
        <v>421</v>
      </c>
      <c r="I4799" s="6" t="s">
        <v>540</v>
      </c>
      <c r="J4799" s="6" t="s">
        <v>345</v>
      </c>
      <c r="K4799" s="10">
        <v>3.15</v>
      </c>
      <c r="L4799" s="10">
        <v>45</v>
      </c>
      <c r="M4799" s="6" t="s">
        <v>371</v>
      </c>
    </row>
    <row r="4800" spans="1:13">
      <c r="A4800" s="6">
        <v>2024</v>
      </c>
      <c r="B4800" s="6">
        <v>11</v>
      </c>
      <c r="C4800" s="6" t="s">
        <v>69</v>
      </c>
      <c r="D4800" s="6" t="s">
        <v>675</v>
      </c>
      <c r="E4800" s="6" t="s">
        <v>452</v>
      </c>
      <c r="F4800" s="6" t="str">
        <f>IF($M4800="PADD I","PADD 1",IF($M4800="PADD II","PADD 2",IF($M4800="PADD III","PADD 3",IF($M4800="PADD IV","PADD 4",IF($M4800="PADD V","PADD 5","")))))</f>
        <v>PADD 2</v>
      </c>
      <c r="G4800" s="6">
        <f>IF(AND($H4800="ATMOS DISTILLATION",ISNUMBER(SEARCH("VPS",$I4800))=FALSE,LEFT($I4800,6)&lt;&gt;"VACUUM"),"CDU",IF($H4800="FLUID CAT CRACKING","FCC",IF(OR($H4800="HYDROCRACKING",$H4800="RESID_HYDROCRACKING"),"Hydrocracker",IF($H4800="REFORMING","Reformer",""))))</f>
        <v/>
      </c>
      <c r="H4800" s="6" t="s">
        <v>43</v>
      </c>
      <c r="I4800" s="6" t="s">
        <v>1142</v>
      </c>
      <c r="J4800" s="6" t="s">
        <v>345</v>
      </c>
      <c r="K4800" s="10">
        <v>3.15</v>
      </c>
      <c r="L4800" s="10">
        <v>45</v>
      </c>
      <c r="M4800" s="6" t="s">
        <v>375</v>
      </c>
    </row>
    <row r="4801" spans="1:13">
      <c r="A4801" s="6">
        <v>2024</v>
      </c>
      <c r="B4801" s="6">
        <v>11</v>
      </c>
      <c r="C4801" s="6" t="s">
        <v>69</v>
      </c>
      <c r="D4801" s="6" t="s">
        <v>1141</v>
      </c>
      <c r="E4801" s="6" t="s">
        <v>1079</v>
      </c>
      <c r="F4801" s="6" t="str">
        <f>IF($M4801="PADD I","PADD 1",IF($M4801="PADD II","PADD 2",IF($M4801="PADD III","PADD 3",IF($M4801="PADD IV","PADD 4",IF($M4801="PADD V","PADD 5","")))))</f>
        <v>PADD 3</v>
      </c>
      <c r="G4801" s="6" t="str">
        <f>IF(AND($H4801="ATMOS DISTILLATION",ISNUMBER(SEARCH("VPS",$I4801))=FALSE,LEFT($I4801,6)&lt;&gt;"VACUUM"),"CDU",IF($H4801="FLUID CAT CRACKING","FCC",IF(OR($H4801="HYDROCRACKING",$H4801="RESID_HYDROCRACKING"),"Hydrocracker",IF($H4801="REFORMING","Reformer",""))))</f>
        <v>Reformer</v>
      </c>
      <c r="H4801" s="6" t="s">
        <v>421</v>
      </c>
      <c r="I4801" s="6" t="s">
        <v>559</v>
      </c>
      <c r="J4801" s="6" t="s">
        <v>349</v>
      </c>
      <c r="K4801" s="10">
        <v>3.105</v>
      </c>
      <c r="L4801" s="10">
        <v>13.5</v>
      </c>
      <c r="M4801" s="6" t="s">
        <v>371</v>
      </c>
    </row>
    <row r="4802" spans="1:13">
      <c r="A4802" s="6">
        <v>2024</v>
      </c>
      <c r="B4802" s="6">
        <v>11</v>
      </c>
      <c r="C4802" s="6" t="s">
        <v>69</v>
      </c>
      <c r="D4802" s="6" t="s">
        <v>799</v>
      </c>
      <c r="E4802" s="6" t="s">
        <v>391</v>
      </c>
      <c r="F4802" s="6" t="str">
        <f>IF($M4802="PADD I","PADD 1",IF($M4802="PADD II","PADD 2",IF($M4802="PADD III","PADD 3",IF($M4802="PADD IV","PADD 4",IF($M4802="PADD V","PADD 5","")))))</f>
        <v>PADD 4</v>
      </c>
      <c r="G4802" s="6">
        <f>IF(AND($H4802="ATMOS DISTILLATION",ISNUMBER(SEARCH("VPS",$I4802))=FALSE,LEFT($I4802,6)&lt;&gt;"VACUUM"),"CDU",IF($H4802="FLUID CAT CRACKING","FCC",IF(OR($H4802="HYDROCRACKING",$H4802="RESID_HYDROCRACKING"),"Hydrocracker",IF($H4802="REFORMING","Reformer",""))))</f>
        <v/>
      </c>
      <c r="H4802" s="6" t="s">
        <v>435</v>
      </c>
      <c r="I4802" s="6" t="s">
        <v>1188</v>
      </c>
      <c r="J4802" s="6" t="s">
        <v>345</v>
      </c>
      <c r="K4802" s="10">
        <v>3</v>
      </c>
      <c r="L4802" s="10">
        <v>10</v>
      </c>
      <c r="M4802" s="6" t="s">
        <v>430</v>
      </c>
    </row>
    <row r="4803" spans="1:13">
      <c r="A4803" s="6">
        <v>2024</v>
      </c>
      <c r="B4803" s="6">
        <v>11</v>
      </c>
      <c r="C4803" s="6" t="s">
        <v>69</v>
      </c>
      <c r="D4803" s="6" t="s">
        <v>675</v>
      </c>
      <c r="E4803" s="6" t="s">
        <v>452</v>
      </c>
      <c r="F4803" s="6" t="str">
        <f>IF($M4803="PADD I","PADD 1",IF($M4803="PADD II","PADD 2",IF($M4803="PADD III","PADD 3",IF($M4803="PADD IV","PADD 4",IF($M4803="PADD V","PADD 5","")))))</f>
        <v>PADD 2</v>
      </c>
      <c r="G4803" s="6" t="str">
        <f>IF(AND($H4803="ATMOS DISTILLATION",ISNUMBER(SEARCH("VPS",$I4803))=FALSE,LEFT($I4803,6)&lt;&gt;"VACUUM"),"CDU",IF($H4803="FLUID CAT CRACKING","FCC",IF(OR($H4803="HYDROCRACKING",$H4803="RESID_HYDROCRACKING"),"Hydrocracker",IF($H4803="REFORMING","Reformer",""))))</f>
        <v>Reformer</v>
      </c>
      <c r="H4803" s="6" t="s">
        <v>421</v>
      </c>
      <c r="I4803" s="6" t="s">
        <v>698</v>
      </c>
      <c r="J4803" s="6" t="s">
        <v>349</v>
      </c>
      <c r="K4803" s="10">
        <v>2.86</v>
      </c>
      <c r="L4803" s="10">
        <v>22</v>
      </c>
      <c r="M4803" s="6" t="s">
        <v>375</v>
      </c>
    </row>
    <row r="4804" spans="1:13">
      <c r="A4804" s="6">
        <v>2024</v>
      </c>
      <c r="B4804" s="6">
        <v>11</v>
      </c>
      <c r="C4804" s="6" t="s">
        <v>69</v>
      </c>
      <c r="D4804" s="6" t="s">
        <v>511</v>
      </c>
      <c r="E4804" s="6" t="s">
        <v>405</v>
      </c>
      <c r="F4804" s="6" t="str">
        <f>IF($M4804="PADD I","PADD 1",IF($M4804="PADD II","PADD 2",IF($M4804="PADD III","PADD 3",IF($M4804="PADD IV","PADD 4",IF($M4804="PADD V","PADD 5","")))))</f>
        <v>PADD 3</v>
      </c>
      <c r="G4804" s="6" t="str">
        <f>IF(AND($H4804="ATMOS DISTILLATION",ISNUMBER(SEARCH("VPS",$I4804))=FALSE,LEFT($I4804,6)&lt;&gt;"VACUUM"),"CDU",IF($H4804="FLUID CAT CRACKING","FCC",IF(OR($H4804="HYDROCRACKING",$H4804="RESID_HYDROCRACKING"),"Hydrocracker",IF($H4804="REFORMING","Reformer",""))))</f>
        <v>CDU</v>
      </c>
      <c r="H4804" s="6" t="s">
        <v>38</v>
      </c>
      <c r="I4804" s="6" t="s">
        <v>115</v>
      </c>
      <c r="J4804" s="6" t="s">
        <v>345</v>
      </c>
      <c r="K4804" s="10">
        <v>2.85</v>
      </c>
      <c r="L4804" s="10">
        <v>95</v>
      </c>
      <c r="M4804" s="6" t="s">
        <v>371</v>
      </c>
    </row>
    <row r="4805" spans="1:13">
      <c r="A4805" s="6">
        <v>2024</v>
      </c>
      <c r="B4805" s="6">
        <v>11</v>
      </c>
      <c r="C4805" s="6" t="s">
        <v>69</v>
      </c>
      <c r="D4805" s="6" t="s">
        <v>799</v>
      </c>
      <c r="E4805" s="6" t="s">
        <v>391</v>
      </c>
      <c r="F4805" s="6" t="str">
        <f>IF($M4805="PADD I","PADD 1",IF($M4805="PADD II","PADD 2",IF($M4805="PADD III","PADD 3",IF($M4805="PADD IV","PADD 4",IF($M4805="PADD V","PADD 5","")))))</f>
        <v>PADD 4</v>
      </c>
      <c r="G4805" s="6">
        <f>IF(AND($H4805="ATMOS DISTILLATION",ISNUMBER(SEARCH("VPS",$I4805))=FALSE,LEFT($I4805,6)&lt;&gt;"VACUUM"),"CDU",IF($H4805="FLUID CAT CRACKING","FCC",IF(OR($H4805="HYDROCRACKING",$H4805="RESID_HYDROCRACKING"),"Hydrocracker",IF($H4805="REFORMING","Reformer",""))))</f>
        <v/>
      </c>
      <c r="H4805" s="6" t="s">
        <v>43</v>
      </c>
      <c r="I4805" s="6" t="s">
        <v>800</v>
      </c>
      <c r="J4805" s="6" t="s">
        <v>345</v>
      </c>
      <c r="K4805" s="10">
        <v>2.79</v>
      </c>
      <c r="L4805" s="10">
        <v>27.9</v>
      </c>
      <c r="M4805" s="6" t="s">
        <v>430</v>
      </c>
    </row>
    <row r="4806" spans="1:13">
      <c r="A4806" s="6">
        <v>2024</v>
      </c>
      <c r="B4806" s="6">
        <v>11</v>
      </c>
      <c r="C4806" s="6" t="s">
        <v>69</v>
      </c>
      <c r="D4806" s="6" t="s">
        <v>457</v>
      </c>
      <c r="E4806" s="6" t="s">
        <v>388</v>
      </c>
      <c r="F4806" s="6" t="str">
        <f>IF($M4806="PADD I","PADD 1",IF($M4806="PADD II","PADD 2",IF($M4806="PADD III","PADD 3",IF($M4806="PADD IV","PADD 4",IF($M4806="PADD V","PADD 5","")))))</f>
        <v>PADD 5</v>
      </c>
      <c r="G4806" s="6" t="str">
        <f>IF(AND($H4806="ATMOS DISTILLATION",ISNUMBER(SEARCH("VPS",$I4806))=FALSE,LEFT($I4806,6)&lt;&gt;"VACUUM"),"CDU",IF($H4806="FLUID CAT CRACKING","FCC",IF(OR($H4806="HYDROCRACKING",$H4806="RESID_HYDROCRACKING"),"Hydrocracker",IF($H4806="REFORMING","Reformer",""))))</f>
        <v>Reformer</v>
      </c>
      <c r="H4806" s="6" t="s">
        <v>421</v>
      </c>
      <c r="I4806" s="6" t="s">
        <v>557</v>
      </c>
      <c r="J4806" s="6" t="s">
        <v>345</v>
      </c>
      <c r="K4806" s="10">
        <v>2.6</v>
      </c>
      <c r="L4806" s="10">
        <v>20</v>
      </c>
      <c r="M4806" s="6" t="s">
        <v>386</v>
      </c>
    </row>
    <row r="4807" spans="1:13">
      <c r="A4807" s="6">
        <v>2024</v>
      </c>
      <c r="B4807" s="6">
        <v>11</v>
      </c>
      <c r="C4807" s="6" t="s">
        <v>69</v>
      </c>
      <c r="D4807" s="6" t="s">
        <v>774</v>
      </c>
      <c r="E4807" s="6" t="s">
        <v>775</v>
      </c>
      <c r="F4807" s="6" t="str">
        <f>IF($M4807="PADD I","PADD 1",IF($M4807="PADD II","PADD 2",IF($M4807="PADD III","PADD 3",IF($M4807="PADD IV","PADD 4",IF($M4807="PADD V","PADD 5","")))))</f>
        <v>PADD 1</v>
      </c>
      <c r="G4807" s="6" t="str">
        <f>IF(AND($H4807="ATMOS DISTILLATION",ISNUMBER(SEARCH("VPS",$I4807))=FALSE,LEFT($I4807,6)&lt;&gt;"VACUUM"),"CDU",IF($H4807="FLUID CAT CRACKING","FCC",IF(OR($H4807="HYDROCRACKING",$H4807="RESID_HYDROCRACKING"),"Hydrocracker",IF($H4807="REFORMING","Reformer",""))))</f>
        <v>FCC</v>
      </c>
      <c r="H4807" s="6" t="s">
        <v>376</v>
      </c>
      <c r="I4807" s="6" t="s">
        <v>105</v>
      </c>
      <c r="J4807" s="6" t="s">
        <v>345</v>
      </c>
      <c r="K4807" s="10">
        <v>2.46</v>
      </c>
      <c r="L4807" s="10">
        <v>82</v>
      </c>
      <c r="M4807" s="6" t="s">
        <v>413</v>
      </c>
    </row>
    <row r="4808" spans="1:13">
      <c r="A4808" s="6">
        <v>2024</v>
      </c>
      <c r="B4808" s="6">
        <v>11</v>
      </c>
      <c r="C4808" s="6" t="s">
        <v>69</v>
      </c>
      <c r="D4808" s="6" t="s">
        <v>372</v>
      </c>
      <c r="E4808" s="6" t="s">
        <v>373</v>
      </c>
      <c r="F4808" s="6" t="str">
        <f>IF($M4808="PADD I","PADD 1",IF($M4808="PADD II","PADD 2",IF($M4808="PADD III","PADD 3",IF($M4808="PADD IV","PADD 4",IF($M4808="PADD V","PADD 5","")))))</f>
        <v>PADD 2</v>
      </c>
      <c r="G4808" s="6">
        <f>IF(AND($H4808="ATMOS DISTILLATION",ISNUMBER(SEARCH("VPS",$I4808))=FALSE,LEFT($I4808,6)&lt;&gt;"VACUUM"),"CDU",IF($H4808="FLUID CAT CRACKING","FCC",IF(OR($H4808="HYDROCRACKING",$H4808="RESID_HYDROCRACKING"),"Hydrocracker",IF($H4808="REFORMING","Reformer",""))))</f>
        <v/>
      </c>
      <c r="H4808" s="6" t="s">
        <v>435</v>
      </c>
      <c r="I4808" s="6" t="s">
        <v>584</v>
      </c>
      <c r="J4808" s="6" t="s">
        <v>345</v>
      </c>
      <c r="K4808" s="10">
        <v>2.25</v>
      </c>
      <c r="L4808" s="10">
        <v>7.5</v>
      </c>
      <c r="M4808" s="6" t="s">
        <v>375</v>
      </c>
    </row>
    <row r="4809" spans="1:13">
      <c r="A4809" s="6">
        <v>2024</v>
      </c>
      <c r="B4809" s="6">
        <v>11</v>
      </c>
      <c r="C4809" s="6" t="s">
        <v>69</v>
      </c>
      <c r="D4809" s="6" t="s">
        <v>1063</v>
      </c>
      <c r="E4809" s="6" t="s">
        <v>388</v>
      </c>
      <c r="F4809" s="6" t="str">
        <f>IF($M4809="PADD I","PADD 1",IF($M4809="PADD II","PADD 2",IF($M4809="PADD III","PADD 3",IF($M4809="PADD IV","PADD 4",IF($M4809="PADD V","PADD 5","")))))</f>
        <v>PADD 2</v>
      </c>
      <c r="G4809" s="6" t="str">
        <f>IF(AND($H4809="ATMOS DISTILLATION",ISNUMBER(SEARCH("VPS",$I4809))=FALSE,LEFT($I4809,6)&lt;&gt;"VACUUM"),"CDU",IF($H4809="FLUID CAT CRACKING","FCC",IF(OR($H4809="HYDROCRACKING",$H4809="RESID_HYDROCRACKING"),"Hydrocracker",IF($H4809="REFORMING","Reformer",""))))</f>
        <v>Reformer</v>
      </c>
      <c r="H4809" s="6" t="s">
        <v>421</v>
      </c>
      <c r="I4809" s="6" t="s">
        <v>1069</v>
      </c>
      <c r="J4809" s="6" t="s">
        <v>345</v>
      </c>
      <c r="K4809" s="10">
        <v>2.15</v>
      </c>
      <c r="L4809" s="10">
        <v>21.5</v>
      </c>
      <c r="M4809" s="6" t="s">
        <v>375</v>
      </c>
    </row>
    <row r="4810" spans="1:13">
      <c r="A4810" s="6">
        <v>2024</v>
      </c>
      <c r="B4810" s="6">
        <v>11</v>
      </c>
      <c r="C4810" s="6" t="s">
        <v>69</v>
      </c>
      <c r="D4810" s="6" t="s">
        <v>329</v>
      </c>
      <c r="E4810" s="6" t="s">
        <v>427</v>
      </c>
      <c r="F4810" s="6" t="str">
        <f>IF($M4810="PADD I","PADD 1",IF($M4810="PADD II","PADD 2",IF($M4810="PADD III","PADD 3",IF($M4810="PADD IV","PADD 4",IF($M4810="PADD V","PADD 5","")))))</f>
        <v>PADD 3</v>
      </c>
      <c r="G4810" s="6">
        <f>IF(AND($H4810="ATMOS DISTILLATION",ISNUMBER(SEARCH("VPS",$I4810))=FALSE,LEFT($I4810,6)&lt;&gt;"VACUUM"),"CDU",IF($H4810="FLUID CAT CRACKING","FCC",IF(OR($H4810="HYDROCRACKING",$H4810="RESID_HYDROCRACKING"),"Hydrocracker",IF($H4810="REFORMING","Reformer",""))))</f>
        <v/>
      </c>
      <c r="H4810" s="6" t="s">
        <v>43</v>
      </c>
      <c r="I4810" s="6" t="s">
        <v>1208</v>
      </c>
      <c r="J4810" s="6" t="s">
        <v>345</v>
      </c>
      <c r="K4810" s="10">
        <v>1.86</v>
      </c>
      <c r="L4810" s="10">
        <v>62</v>
      </c>
      <c r="M4810" s="6" t="s">
        <v>371</v>
      </c>
    </row>
    <row r="4811" spans="1:13">
      <c r="A4811" s="6">
        <v>2024</v>
      </c>
      <c r="B4811" s="6">
        <v>11</v>
      </c>
      <c r="C4811" s="6" t="s">
        <v>69</v>
      </c>
      <c r="D4811" s="6" t="s">
        <v>738</v>
      </c>
      <c r="E4811" s="6" t="s">
        <v>552</v>
      </c>
      <c r="F4811" s="6" t="str">
        <f>IF($M4811="PADD I","PADD 1",IF($M4811="PADD II","PADD 2",IF($M4811="PADD III","PADD 3",IF($M4811="PADD IV","PADD 4",IF($M4811="PADD V","PADD 5","")))))</f>
        <v>PADD 3</v>
      </c>
      <c r="G4811" s="6">
        <f>IF(AND($H4811="ATMOS DISTILLATION",ISNUMBER(SEARCH("VPS",$I4811))=FALSE,LEFT($I4811,6)&lt;&gt;"VACUUM"),"CDU",IF($H4811="FLUID CAT CRACKING","FCC",IF(OR($H4811="HYDROCRACKING",$H4811="RESID_HYDROCRACKING"),"Hydrocracker",IF($H4811="REFORMING","Reformer",""))))</f>
        <v/>
      </c>
      <c r="H4811" s="6" t="s">
        <v>897</v>
      </c>
      <c r="I4811" s="6" t="s">
        <v>897</v>
      </c>
      <c r="J4811" s="6" t="s">
        <v>349</v>
      </c>
      <c r="K4811" s="10">
        <v>1.8</v>
      </c>
      <c r="L4811" s="10">
        <v>1.8</v>
      </c>
      <c r="M4811" s="6" t="s">
        <v>371</v>
      </c>
    </row>
    <row r="4812" spans="1:13">
      <c r="A4812" s="6">
        <v>2024</v>
      </c>
      <c r="B4812" s="6">
        <v>11</v>
      </c>
      <c r="C4812" s="6" t="s">
        <v>69</v>
      </c>
      <c r="D4812" s="6" t="s">
        <v>839</v>
      </c>
      <c r="E4812" s="6" t="s">
        <v>840</v>
      </c>
      <c r="F4812" s="6" t="str">
        <f>IF($M4812="PADD I","PADD 1",IF($M4812="PADD II","PADD 2",IF($M4812="PADD III","PADD 3",IF($M4812="PADD IV","PADD 4",IF($M4812="PADD V","PADD 5","")))))</f>
        <v>PADD 1</v>
      </c>
      <c r="G4812" s="6">
        <f>IF(AND($H4812="ATMOS DISTILLATION",ISNUMBER(SEARCH("VPS",$I4812))=FALSE,LEFT($I4812,6)&lt;&gt;"VACUUM"),"CDU",IF($H4812="FLUID CAT CRACKING","FCC",IF(OR($H4812="HYDROCRACKING",$H4812="RESID_HYDROCRACKING"),"Hydrocracker",IF($H4812="REFORMING","Reformer",""))))</f>
        <v/>
      </c>
      <c r="H4812" s="6" t="s">
        <v>43</v>
      </c>
      <c r="I4812" s="6" t="s">
        <v>841</v>
      </c>
      <c r="J4812" s="6" t="s">
        <v>345</v>
      </c>
      <c r="K4812" s="10">
        <v>1.75</v>
      </c>
      <c r="L4812" s="10">
        <v>25</v>
      </c>
      <c r="M4812" s="6" t="s">
        <v>413</v>
      </c>
    </row>
    <row r="4813" spans="1:13">
      <c r="A4813" s="6">
        <v>2024</v>
      </c>
      <c r="B4813" s="6">
        <v>11</v>
      </c>
      <c r="C4813" s="6" t="s">
        <v>69</v>
      </c>
      <c r="D4813" s="6" t="s">
        <v>839</v>
      </c>
      <c r="E4813" s="6" t="s">
        <v>840</v>
      </c>
      <c r="F4813" s="6" t="str">
        <f>IF($M4813="PADD I","PADD 1",IF($M4813="PADD II","PADD 2",IF($M4813="PADD III","PADD 3",IF($M4813="PADD IV","PADD 4",IF($M4813="PADD V","PADD 5","")))))</f>
        <v>PADD 1</v>
      </c>
      <c r="G4813" s="6" t="str">
        <f>IF(AND($H4813="ATMOS DISTILLATION",ISNUMBER(SEARCH("VPS",$I4813))=FALSE,LEFT($I4813,6)&lt;&gt;"VACUUM"),"CDU",IF($H4813="FLUID CAT CRACKING","FCC",IF(OR($H4813="HYDROCRACKING",$H4813="RESID_HYDROCRACKING"),"Hydrocracker",IF($H4813="REFORMING","Reformer",""))))</f>
        <v>FCC</v>
      </c>
      <c r="H4813" s="6" t="s">
        <v>376</v>
      </c>
      <c r="I4813" s="6" t="s">
        <v>105</v>
      </c>
      <c r="J4813" s="6" t="s">
        <v>345</v>
      </c>
      <c r="K4813" s="10">
        <v>1.75</v>
      </c>
      <c r="L4813" s="10">
        <v>25</v>
      </c>
      <c r="M4813" s="6" t="s">
        <v>413</v>
      </c>
    </row>
    <row r="4814" spans="1:13">
      <c r="A4814" s="6">
        <v>2024</v>
      </c>
      <c r="B4814" s="6">
        <v>11</v>
      </c>
      <c r="C4814" s="6" t="s">
        <v>69</v>
      </c>
      <c r="D4814" s="6" t="s">
        <v>576</v>
      </c>
      <c r="E4814" s="6" t="s">
        <v>369</v>
      </c>
      <c r="F4814" s="6" t="str">
        <f>IF($M4814="PADD I","PADD 1",IF($M4814="PADD II","PADD 2",IF($M4814="PADD III","PADD 3",IF($M4814="PADD IV","PADD 4",IF($M4814="PADD V","PADD 5","")))))</f>
        <v>PADD 3</v>
      </c>
      <c r="G4814" s="6">
        <f>IF(AND($H4814="ATMOS DISTILLATION",ISNUMBER(SEARCH("VPS",$I4814))=FALSE,LEFT($I4814,6)&lt;&gt;"VACUUM"),"CDU",IF($H4814="FLUID CAT CRACKING","FCC",IF(OR($H4814="HYDROCRACKING",$H4814="RESID_HYDROCRACKING"),"Hydrocracker",IF($H4814="REFORMING","Reformer",""))))</f>
        <v/>
      </c>
      <c r="H4814" s="6" t="s">
        <v>568</v>
      </c>
      <c r="I4814" s="6" t="s">
        <v>604</v>
      </c>
      <c r="J4814" s="6" t="s">
        <v>345</v>
      </c>
      <c r="K4814" s="10">
        <v>1.75</v>
      </c>
      <c r="L4814" s="10">
        <v>25</v>
      </c>
      <c r="M4814" s="6" t="s">
        <v>371</v>
      </c>
    </row>
    <row r="4815" spans="1:13">
      <c r="A4815" s="6">
        <v>2024</v>
      </c>
      <c r="B4815" s="6">
        <v>11</v>
      </c>
      <c r="C4815" s="6" t="s">
        <v>69</v>
      </c>
      <c r="D4815" s="6" t="s">
        <v>40</v>
      </c>
      <c r="E4815" s="6" t="s">
        <v>736</v>
      </c>
      <c r="F4815" s="6" t="str">
        <f>IF($M4815="PADD I","PADD 1",IF($M4815="PADD II","PADD 2",IF($M4815="PADD III","PADD 3",IF($M4815="PADD IV","PADD 4",IF($M4815="PADD V","PADD 5","")))))</f>
        <v>PADD 1</v>
      </c>
      <c r="G4815" s="6">
        <f>IF(AND($H4815="ATMOS DISTILLATION",ISNUMBER(SEARCH("VPS",$I4815))=FALSE,LEFT($I4815,6)&lt;&gt;"VACUUM"),"CDU",IF($H4815="FLUID CAT CRACKING","FCC",IF(OR($H4815="HYDROCRACKING",$H4815="RESID_HYDROCRACKING"),"Hydrocracker",IF($H4815="REFORMING","Reformer",""))))</f>
        <v/>
      </c>
      <c r="H4815" s="6" t="s">
        <v>378</v>
      </c>
      <c r="I4815" s="6" t="s">
        <v>1010</v>
      </c>
      <c r="J4815" s="6" t="s">
        <v>349</v>
      </c>
      <c r="K4815" s="10">
        <v>1.7031</v>
      </c>
      <c r="L4815" s="10">
        <v>24.33</v>
      </c>
      <c r="M4815" s="6" t="s">
        <v>413</v>
      </c>
    </row>
    <row r="4816" spans="1:13">
      <c r="A4816" s="6">
        <v>2024</v>
      </c>
      <c r="B4816" s="6">
        <v>11</v>
      </c>
      <c r="C4816" s="6" t="s">
        <v>69</v>
      </c>
      <c r="D4816" s="6" t="s">
        <v>839</v>
      </c>
      <c r="E4816" s="6" t="s">
        <v>840</v>
      </c>
      <c r="F4816" s="6" t="str">
        <f>IF($M4816="PADD I","PADD 1",IF($M4816="PADD II","PADD 2",IF($M4816="PADD III","PADD 3",IF($M4816="PADD IV","PADD 4",IF($M4816="PADD V","PADD 5","")))))</f>
        <v>PADD 1</v>
      </c>
      <c r="G4816" s="6">
        <f>IF(AND($H4816="ATMOS DISTILLATION",ISNUMBER(SEARCH("VPS",$I4816))=FALSE,LEFT($I4816,6)&lt;&gt;"VACUUM"),"CDU",IF($H4816="FLUID CAT CRACKING","FCC",IF(OR($H4816="HYDROCRACKING",$H4816="RESID_HYDROCRACKING"),"Hydrocracker",IF($H4816="REFORMING","Reformer",""))))</f>
        <v/>
      </c>
      <c r="H4816" s="6" t="s">
        <v>378</v>
      </c>
      <c r="I4816" s="6" t="s">
        <v>431</v>
      </c>
      <c r="J4816" s="6" t="s">
        <v>345</v>
      </c>
      <c r="K4816" s="10">
        <v>1.4</v>
      </c>
      <c r="L4816" s="10">
        <v>20</v>
      </c>
      <c r="M4816" s="6" t="s">
        <v>413</v>
      </c>
    </row>
    <row r="4817" spans="1:13">
      <c r="A4817" s="6">
        <v>2024</v>
      </c>
      <c r="B4817" s="6">
        <v>11</v>
      </c>
      <c r="C4817" s="6" t="s">
        <v>69</v>
      </c>
      <c r="D4817" s="6" t="s">
        <v>457</v>
      </c>
      <c r="E4817" s="6" t="s">
        <v>388</v>
      </c>
      <c r="F4817" s="6" t="str">
        <f>IF($M4817="PADD I","PADD 1",IF($M4817="PADD II","PADD 2",IF($M4817="PADD III","PADD 3",IF($M4817="PADD IV","PADD 4",IF($M4817="PADD V","PADD 5","")))))</f>
        <v>PADD 5</v>
      </c>
      <c r="G4817" s="6" t="str">
        <f>IF(AND($H4817="ATMOS DISTILLATION",ISNUMBER(SEARCH("VPS",$I4817))=FALSE,LEFT($I4817,6)&lt;&gt;"VACUUM"),"CDU",IF($H4817="FLUID CAT CRACKING","FCC",IF(OR($H4817="HYDROCRACKING",$H4817="RESID_HYDROCRACKING"),"Hydrocracker",IF($H4817="REFORMING","Reformer",""))))</f>
        <v>Reformer</v>
      </c>
      <c r="H4817" s="6" t="s">
        <v>421</v>
      </c>
      <c r="I4817" s="6" t="s">
        <v>559</v>
      </c>
      <c r="J4817" s="6" t="s">
        <v>345</v>
      </c>
      <c r="K4817" s="10">
        <v>1.4</v>
      </c>
      <c r="L4817" s="10">
        <v>20</v>
      </c>
      <c r="M4817" s="6" t="s">
        <v>386</v>
      </c>
    </row>
    <row r="4818" spans="1:13">
      <c r="A4818" s="6">
        <v>2024</v>
      </c>
      <c r="B4818" s="6">
        <v>11</v>
      </c>
      <c r="C4818" s="6" t="s">
        <v>69</v>
      </c>
      <c r="D4818" s="6" t="s">
        <v>576</v>
      </c>
      <c r="E4818" s="6" t="s">
        <v>369</v>
      </c>
      <c r="F4818" s="6" t="str">
        <f>IF($M4818="PADD I","PADD 1",IF($M4818="PADD II","PADD 2",IF($M4818="PADD III","PADD 3",IF($M4818="PADD IV","PADD 4",IF($M4818="PADD V","PADD 5","")))))</f>
        <v>PADD 3</v>
      </c>
      <c r="G4818" s="6">
        <f>IF(AND($H4818="ATMOS DISTILLATION",ISNUMBER(SEARCH("VPS",$I4818))=FALSE,LEFT($I4818,6)&lt;&gt;"VACUUM"),"CDU",IF($H4818="FLUID CAT CRACKING","FCC",IF(OR($H4818="HYDROCRACKING",$H4818="RESID_HYDROCRACKING"),"Hydrocracker",IF($H4818="REFORMING","Reformer",""))))</f>
        <v/>
      </c>
      <c r="H4818" s="6" t="s">
        <v>460</v>
      </c>
      <c r="I4818" s="6" t="s">
        <v>461</v>
      </c>
      <c r="J4818" s="6" t="s">
        <v>349</v>
      </c>
      <c r="K4818" s="10">
        <v>1.365</v>
      </c>
      <c r="L4818" s="10">
        <v>10.5</v>
      </c>
      <c r="M4818" s="6" t="s">
        <v>371</v>
      </c>
    </row>
    <row r="4819" spans="1:13">
      <c r="A4819" s="6">
        <v>2024</v>
      </c>
      <c r="B4819" s="6">
        <v>11</v>
      </c>
      <c r="C4819" s="6" t="s">
        <v>69</v>
      </c>
      <c r="D4819" s="6" t="s">
        <v>774</v>
      </c>
      <c r="E4819" s="6" t="s">
        <v>775</v>
      </c>
      <c r="F4819" s="6" t="str">
        <f>IF($M4819="PADD I","PADD 1",IF($M4819="PADD II","PADD 2",IF($M4819="PADD III","PADD 3",IF($M4819="PADD IV","PADD 4",IF($M4819="PADD V","PADD 5","")))))</f>
        <v>PADD 1</v>
      </c>
      <c r="G4819" s="6" t="str">
        <f>IF(AND($H4819="ATMOS DISTILLATION",ISNUMBER(SEARCH("VPS",$I4819))=FALSE,LEFT($I4819,6)&lt;&gt;"VACUUM"),"CDU",IF($H4819="FLUID CAT CRACKING","FCC",IF(OR($H4819="HYDROCRACKING",$H4819="RESID_HYDROCRACKING"),"Hydrocracker",IF($H4819="REFORMING","Reformer",""))))</f>
        <v>Hydrocracker</v>
      </c>
      <c r="H4819" s="6" t="s">
        <v>444</v>
      </c>
      <c r="I4819" s="6" t="s">
        <v>14</v>
      </c>
      <c r="J4819" s="6" t="s">
        <v>345</v>
      </c>
      <c r="K4819" s="10">
        <v>1.26</v>
      </c>
      <c r="L4819" s="10">
        <v>18</v>
      </c>
      <c r="M4819" s="6" t="s">
        <v>413</v>
      </c>
    </row>
    <row r="4820" spans="1:13">
      <c r="A4820" s="6">
        <v>2024</v>
      </c>
      <c r="B4820" s="6">
        <v>11</v>
      </c>
      <c r="C4820" s="6" t="s">
        <v>69</v>
      </c>
      <c r="D4820" s="6" t="s">
        <v>563</v>
      </c>
      <c r="E4820" s="6" t="s">
        <v>396</v>
      </c>
      <c r="F4820" s="6" t="str">
        <f>IF($M4820="PADD I","PADD 1",IF($M4820="PADD II","PADD 2",IF($M4820="PADD III","PADD 3",IF($M4820="PADD IV","PADD 4",IF($M4820="PADD V","PADD 5","")))))</f>
        <v>PADD 3</v>
      </c>
      <c r="G4820" s="6">
        <f>IF(AND($H4820="ATMOS DISTILLATION",ISNUMBER(SEARCH("VPS",$I4820))=FALSE,LEFT($I4820,6)&lt;&gt;"VACUUM"),"CDU",IF($H4820="FLUID CAT CRACKING","FCC",IF(OR($H4820="HYDROCRACKING",$H4820="RESID_HYDROCRACKING"),"Hydrocracker",IF($H4820="REFORMING","Reformer",""))))</f>
        <v/>
      </c>
      <c r="H4820" s="6" t="s">
        <v>43</v>
      </c>
      <c r="I4820" s="6" t="s">
        <v>564</v>
      </c>
      <c r="J4820" s="6" t="s">
        <v>345</v>
      </c>
      <c r="K4820" s="10">
        <v>1.227</v>
      </c>
      <c r="L4820" s="10">
        <v>40.9</v>
      </c>
      <c r="M4820" s="6" t="s">
        <v>371</v>
      </c>
    </row>
    <row r="4821" spans="1:13">
      <c r="A4821" s="6">
        <v>2024</v>
      </c>
      <c r="B4821" s="6">
        <v>11</v>
      </c>
      <c r="C4821" s="6" t="s">
        <v>69</v>
      </c>
      <c r="D4821" s="6" t="s">
        <v>1063</v>
      </c>
      <c r="E4821" s="6" t="s">
        <v>388</v>
      </c>
      <c r="F4821" s="6" t="str">
        <f>IF($M4821="PADD I","PADD 1",IF($M4821="PADD II","PADD 2",IF($M4821="PADD III","PADD 3",IF($M4821="PADD IV","PADD 4",IF($M4821="PADD V","PADD 5","")))))</f>
        <v>PADD 2</v>
      </c>
      <c r="G4821" s="6">
        <f>IF(AND($H4821="ATMOS DISTILLATION",ISNUMBER(SEARCH("VPS",$I4821))=FALSE,LEFT($I4821,6)&lt;&gt;"VACUUM"),"CDU",IF($H4821="FLUID CAT CRACKING","FCC",IF(OR($H4821="HYDROCRACKING",$H4821="RESID_HYDROCRACKING"),"Hydrocracker",IF($H4821="REFORMING","Reformer",""))))</f>
        <v/>
      </c>
      <c r="H4821" s="6" t="s">
        <v>43</v>
      </c>
      <c r="I4821" s="6" t="s">
        <v>689</v>
      </c>
      <c r="J4821" s="6" t="s">
        <v>345</v>
      </c>
      <c r="K4821" s="10">
        <v>1.19</v>
      </c>
      <c r="L4821" s="10">
        <v>7</v>
      </c>
      <c r="M4821" s="6" t="s">
        <v>375</v>
      </c>
    </row>
    <row r="4822" spans="1:13">
      <c r="A4822" s="6">
        <v>2024</v>
      </c>
      <c r="B4822" s="6">
        <v>11</v>
      </c>
      <c r="C4822" s="6" t="s">
        <v>69</v>
      </c>
      <c r="D4822" s="6" t="s">
        <v>762</v>
      </c>
      <c r="E4822" s="6" t="s">
        <v>763</v>
      </c>
      <c r="F4822" s="6" t="str">
        <f>IF($M4822="PADD I","PADD 1",IF($M4822="PADD II","PADD 2",IF($M4822="PADD III","PADD 3",IF($M4822="PADD IV","PADD 4",IF($M4822="PADD V","PADD 5","")))))</f>
        <v>PADD 2</v>
      </c>
      <c r="G4822" s="6" t="str">
        <f>IF(AND($H4822="ATMOS DISTILLATION",ISNUMBER(SEARCH("VPS",$I4822))=FALSE,LEFT($I4822,6)&lt;&gt;"VACUUM"),"CDU",IF($H4822="FLUID CAT CRACKING","FCC",IF(OR($H4822="HYDROCRACKING",$H4822="RESID_HYDROCRACKING"),"Hydrocracker",IF($H4822="REFORMING","Reformer",""))))</f>
        <v>CDU</v>
      </c>
      <c r="H4822" s="6" t="s">
        <v>38</v>
      </c>
      <c r="I4822" s="6" t="s">
        <v>131</v>
      </c>
      <c r="J4822" s="6" t="s">
        <v>345</v>
      </c>
      <c r="K4822" s="10">
        <v>1.17</v>
      </c>
      <c r="L4822" s="10">
        <v>39</v>
      </c>
      <c r="M4822" s="6" t="s">
        <v>375</v>
      </c>
    </row>
    <row r="4823" spans="1:13">
      <c r="A4823" s="6">
        <v>2024</v>
      </c>
      <c r="B4823" s="6">
        <v>11</v>
      </c>
      <c r="C4823" s="6" t="s">
        <v>69</v>
      </c>
      <c r="D4823" s="6" t="s">
        <v>762</v>
      </c>
      <c r="E4823" s="6" t="s">
        <v>763</v>
      </c>
      <c r="F4823" s="6" t="str">
        <f>IF($M4823="PADD I","PADD 1",IF($M4823="PADD II","PADD 2",IF($M4823="PADD III","PADD 3",IF($M4823="PADD IV","PADD 4",IF($M4823="PADD V","PADD 5","")))))</f>
        <v>PADD 2</v>
      </c>
      <c r="G4823" s="6" t="str">
        <f>IF(AND($H4823="ATMOS DISTILLATION",ISNUMBER(SEARCH("VPS",$I4823))=FALSE,LEFT($I4823,6)&lt;&gt;"VACUUM"),"CDU",IF($H4823="FLUID CAT CRACKING","FCC",IF(OR($H4823="HYDROCRACKING",$H4823="RESID_HYDROCRACKING"),"Hydrocracker",IF($H4823="REFORMING","Reformer",""))))</f>
        <v>CDU</v>
      </c>
      <c r="H4823" s="6" t="s">
        <v>38</v>
      </c>
      <c r="I4823" s="6" t="s">
        <v>330</v>
      </c>
      <c r="J4823" s="6" t="s">
        <v>345</v>
      </c>
      <c r="K4823" s="10">
        <v>1.17</v>
      </c>
      <c r="L4823" s="10">
        <v>39</v>
      </c>
      <c r="M4823" s="6" t="s">
        <v>375</v>
      </c>
    </row>
    <row r="4824" spans="1:13">
      <c r="A4824" s="6">
        <v>2024</v>
      </c>
      <c r="B4824" s="6">
        <v>11</v>
      </c>
      <c r="C4824" s="6" t="s">
        <v>69</v>
      </c>
      <c r="D4824" s="6" t="s">
        <v>774</v>
      </c>
      <c r="E4824" s="6" t="s">
        <v>775</v>
      </c>
      <c r="F4824" s="6" t="str">
        <f>IF($M4824="PADD I","PADD 1",IF($M4824="PADD II","PADD 2",IF($M4824="PADD III","PADD 3",IF($M4824="PADD IV","PADD 4",IF($M4824="PADD V","PADD 5","")))))</f>
        <v>PADD 1</v>
      </c>
      <c r="G4824" s="6" t="str">
        <f>IF(AND($H4824="ATMOS DISTILLATION",ISNUMBER(SEARCH("VPS",$I4824))=FALSE,LEFT($I4824,6)&lt;&gt;"VACUUM"),"CDU",IF($H4824="FLUID CAT CRACKING","FCC",IF(OR($H4824="HYDROCRACKING",$H4824="RESID_HYDROCRACKING"),"Hydrocracker",IF($H4824="REFORMING","Reformer",""))))</f>
        <v>Reformer</v>
      </c>
      <c r="H4824" s="6" t="s">
        <v>421</v>
      </c>
      <c r="I4824" s="6" t="s">
        <v>1070</v>
      </c>
      <c r="J4824" s="6" t="s">
        <v>345</v>
      </c>
      <c r="K4824" s="10">
        <v>1.107</v>
      </c>
      <c r="L4824" s="10">
        <v>36.9</v>
      </c>
      <c r="M4824" s="6" t="s">
        <v>413</v>
      </c>
    </row>
    <row r="4825" spans="1:13">
      <c r="A4825" s="6">
        <v>2024</v>
      </c>
      <c r="B4825" s="6">
        <v>11</v>
      </c>
      <c r="C4825" s="6" t="s">
        <v>69</v>
      </c>
      <c r="D4825" s="6" t="s">
        <v>437</v>
      </c>
      <c r="E4825" s="6" t="s">
        <v>438</v>
      </c>
      <c r="F4825" s="6" t="str">
        <f>IF($M4825="PADD I","PADD 1",IF($M4825="PADD II","PADD 2",IF($M4825="PADD III","PADD 3",IF($M4825="PADD IV","PADD 4",IF($M4825="PADD V","PADD 5","")))))</f>
        <v>PADD 4</v>
      </c>
      <c r="G4825" s="6" t="str">
        <f>IF(AND($H4825="ATMOS DISTILLATION",ISNUMBER(SEARCH("VPS",$I4825))=FALSE,LEFT($I4825,6)&lt;&gt;"VACUUM"),"CDU",IF($H4825="FLUID CAT CRACKING","FCC",IF(OR($H4825="HYDROCRACKING",$H4825="RESID_HYDROCRACKING"),"Hydrocracker",IF($H4825="REFORMING","Reformer",""))))</f>
        <v>FCC</v>
      </c>
      <c r="H4825" s="6" t="s">
        <v>376</v>
      </c>
      <c r="I4825" s="6" t="s">
        <v>428</v>
      </c>
      <c r="J4825" s="6" t="s">
        <v>345</v>
      </c>
      <c r="K4825" s="10">
        <v>0.93</v>
      </c>
      <c r="L4825" s="10">
        <v>9.300000000000001</v>
      </c>
      <c r="M4825" s="6" t="s">
        <v>430</v>
      </c>
    </row>
    <row r="4826" spans="1:13">
      <c r="A4826" s="6">
        <v>2024</v>
      </c>
      <c r="B4826" s="6">
        <v>11</v>
      </c>
      <c r="C4826" s="6" t="s">
        <v>69</v>
      </c>
      <c r="D4826" s="6" t="s">
        <v>446</v>
      </c>
      <c r="E4826" s="6" t="s">
        <v>391</v>
      </c>
      <c r="F4826" s="6" t="str">
        <f>IF($M4826="PADD I","PADD 1",IF($M4826="PADD II","PADD 2",IF($M4826="PADD III","PADD 3",IF($M4826="PADD IV","PADD 4",IF($M4826="PADD V","PADD 5","")))))</f>
        <v>PADD 3</v>
      </c>
      <c r="G4826" s="6">
        <f>IF(AND($H4826="ATMOS DISTILLATION",ISNUMBER(SEARCH("VPS",$I4826))=FALSE,LEFT($I4826,6)&lt;&gt;"VACUUM"),"CDU",IF($H4826="FLUID CAT CRACKING","FCC",IF(OR($H4826="HYDROCRACKING",$H4826="RESID_HYDROCRACKING"),"Hydrocracker",IF($H4826="REFORMING","Reformer",""))))</f>
        <v/>
      </c>
      <c r="H4826" s="6" t="s">
        <v>637</v>
      </c>
      <c r="I4826" s="6" t="s">
        <v>1265</v>
      </c>
      <c r="J4826" s="6" t="s">
        <v>349</v>
      </c>
      <c r="K4826" s="10">
        <v>0.9</v>
      </c>
      <c r="L4826" s="10">
        <v>1</v>
      </c>
      <c r="M4826" s="6" t="s">
        <v>371</v>
      </c>
    </row>
    <row r="4827" spans="1:13">
      <c r="A4827" s="6">
        <v>2024</v>
      </c>
      <c r="B4827" s="6">
        <v>11</v>
      </c>
      <c r="C4827" s="6" t="s">
        <v>69</v>
      </c>
      <c r="D4827" s="6" t="s">
        <v>762</v>
      </c>
      <c r="E4827" s="6" t="s">
        <v>763</v>
      </c>
      <c r="F4827" s="6" t="str">
        <f>IF($M4827="PADD I","PADD 1",IF($M4827="PADD II","PADD 2",IF($M4827="PADD III","PADD 3",IF($M4827="PADD IV","PADD 4",IF($M4827="PADD V","PADD 5","")))))</f>
        <v>PADD 2</v>
      </c>
      <c r="G4827" s="6">
        <f>IF(AND($H4827="ATMOS DISTILLATION",ISNUMBER(SEARCH("VPS",$I4827))=FALSE,LEFT($I4827,6)&lt;&gt;"VACUUM"),"CDU",IF($H4827="FLUID CAT CRACKING","FCC",IF(OR($H4827="HYDROCRACKING",$H4827="RESID_HYDROCRACKING"),"Hydrocracker",IF($H4827="REFORMING","Reformer",""))))</f>
        <v/>
      </c>
      <c r="H4827" s="6" t="s">
        <v>378</v>
      </c>
      <c r="I4827" s="6" t="s">
        <v>812</v>
      </c>
      <c r="J4827" s="6" t="s">
        <v>345</v>
      </c>
      <c r="K4827" s="10">
        <v>0.8100000000000001</v>
      </c>
      <c r="L4827" s="10">
        <v>27</v>
      </c>
      <c r="M4827" s="6" t="s">
        <v>375</v>
      </c>
    </row>
    <row r="4828" spans="1:13">
      <c r="A4828" s="6">
        <v>2024</v>
      </c>
      <c r="B4828" s="6">
        <v>11</v>
      </c>
      <c r="C4828" s="6" t="s">
        <v>69</v>
      </c>
      <c r="D4828" s="6" t="s">
        <v>662</v>
      </c>
      <c r="E4828" s="6" t="s">
        <v>552</v>
      </c>
      <c r="F4828" s="6" t="str">
        <f>IF($M4828="PADD I","PADD 1",IF($M4828="PADD II","PADD 2",IF($M4828="PADD III","PADD 3",IF($M4828="PADD IV","PADD 4",IF($M4828="PADD V","PADD 5","")))))</f>
        <v>PADD 3</v>
      </c>
      <c r="G4828" s="6" t="str">
        <f>IF(AND($H4828="ATMOS DISTILLATION",ISNUMBER(SEARCH("VPS",$I4828))=FALSE,LEFT($I4828,6)&lt;&gt;"VACUUM"),"CDU",IF($H4828="FLUID CAT CRACKING","FCC",IF(OR($H4828="HYDROCRACKING",$H4828="RESID_HYDROCRACKING"),"Hydrocracker",IF($H4828="REFORMING","Reformer",""))))</f>
        <v>FCC</v>
      </c>
      <c r="H4828" s="6" t="s">
        <v>376</v>
      </c>
      <c r="I4828" s="6" t="s">
        <v>105</v>
      </c>
      <c r="J4828" s="6" t="s">
        <v>349</v>
      </c>
      <c r="K4828" s="10">
        <v>0.75</v>
      </c>
      <c r="L4828" s="10">
        <v>25</v>
      </c>
      <c r="M4828" s="6" t="s">
        <v>371</v>
      </c>
    </row>
    <row r="4829" spans="1:13">
      <c r="A4829" s="6">
        <v>2024</v>
      </c>
      <c r="B4829" s="6">
        <v>11</v>
      </c>
      <c r="C4829" s="6" t="s">
        <v>69</v>
      </c>
      <c r="D4829" s="6" t="s">
        <v>675</v>
      </c>
      <c r="E4829" s="6" t="s">
        <v>452</v>
      </c>
      <c r="F4829" s="6" t="str">
        <f>IF($M4829="PADD I","PADD 1",IF($M4829="PADD II","PADD 2",IF($M4829="PADD III","PADD 3",IF($M4829="PADD IV","PADD 4",IF($M4829="PADD V","PADD 5","")))))</f>
        <v>PADD 2</v>
      </c>
      <c r="G4829" s="6" t="str">
        <f>IF(AND($H4829="ATMOS DISTILLATION",ISNUMBER(SEARCH("VPS",$I4829))=FALSE,LEFT($I4829,6)&lt;&gt;"VACUUM"),"CDU",IF($H4829="FLUID CAT CRACKING","FCC",IF(OR($H4829="HYDROCRACKING",$H4829="RESID_HYDROCRACKING"),"Hydrocracker",IF($H4829="REFORMING","Reformer",""))))</f>
        <v>Reformer</v>
      </c>
      <c r="H4829" s="6" t="s">
        <v>421</v>
      </c>
      <c r="I4829" s="6" t="s">
        <v>698</v>
      </c>
      <c r="J4829" s="6" t="s">
        <v>349</v>
      </c>
      <c r="K4829" s="10">
        <v>0.66</v>
      </c>
      <c r="L4829" s="10">
        <v>22</v>
      </c>
      <c r="M4829" s="6" t="s">
        <v>375</v>
      </c>
    </row>
    <row r="4830" spans="1:13">
      <c r="A4830" s="6">
        <v>2024</v>
      </c>
      <c r="B4830" s="6">
        <v>11</v>
      </c>
      <c r="C4830" s="6" t="s">
        <v>69</v>
      </c>
      <c r="D4830" s="6" t="s">
        <v>468</v>
      </c>
      <c r="E4830" s="6" t="s">
        <v>369</v>
      </c>
      <c r="F4830" s="6" t="str">
        <f>IF($M4830="PADD I","PADD 1",IF($M4830="PADD II","PADD 2",IF($M4830="PADD III","PADD 3",IF($M4830="PADD IV","PADD 4",IF($M4830="PADD V","PADD 5","")))))</f>
        <v>PADD 3</v>
      </c>
      <c r="G4830" s="6" t="str">
        <f>IF(AND($H4830="ATMOS DISTILLATION",ISNUMBER(SEARCH("VPS",$I4830))=FALSE,LEFT($I4830,6)&lt;&gt;"VACUUM"),"CDU",IF($H4830="FLUID CAT CRACKING","FCC",IF(OR($H4830="HYDROCRACKING",$H4830="RESID_HYDROCRACKING"),"Hydrocracker",IF($H4830="REFORMING","Reformer",""))))</f>
        <v>Reformer</v>
      </c>
      <c r="H4830" s="6" t="s">
        <v>421</v>
      </c>
      <c r="I4830" s="6" t="s">
        <v>635</v>
      </c>
      <c r="J4830" s="6" t="s">
        <v>345</v>
      </c>
      <c r="K4830" s="10">
        <v>0.49</v>
      </c>
      <c r="L4830" s="10">
        <v>7</v>
      </c>
      <c r="M4830" s="6" t="s">
        <v>371</v>
      </c>
    </row>
    <row r="4831" spans="1:13">
      <c r="A4831" s="6">
        <v>2024</v>
      </c>
      <c r="B4831" s="6">
        <v>11</v>
      </c>
      <c r="C4831" s="6" t="s">
        <v>69</v>
      </c>
      <c r="D4831" s="6" t="s">
        <v>762</v>
      </c>
      <c r="E4831" s="6" t="s">
        <v>763</v>
      </c>
      <c r="F4831" s="6" t="str">
        <f>IF($M4831="PADD I","PADD 1",IF($M4831="PADD II","PADD 2",IF($M4831="PADD III","PADD 3",IF($M4831="PADD IV","PADD 4",IF($M4831="PADD V","PADD 5","")))))</f>
        <v>PADD 2</v>
      </c>
      <c r="G4831" s="6">
        <f>IF(AND($H4831="ATMOS DISTILLATION",ISNUMBER(SEARCH("VPS",$I4831))=FALSE,LEFT($I4831,6)&lt;&gt;"VACUUM"),"CDU",IF($H4831="FLUID CAT CRACKING","FCC",IF(OR($H4831="HYDROCRACKING",$H4831="RESID_HYDROCRACKING"),"Hydrocracker",IF($H4831="REFORMING","Reformer",""))))</f>
        <v/>
      </c>
      <c r="H4831" s="6" t="s">
        <v>378</v>
      </c>
      <c r="I4831" s="6" t="s">
        <v>812</v>
      </c>
      <c r="J4831" s="6" t="s">
        <v>345</v>
      </c>
      <c r="K4831" s="10">
        <v>0.45</v>
      </c>
      <c r="L4831" s="10">
        <v>15</v>
      </c>
      <c r="M4831" s="6" t="s">
        <v>375</v>
      </c>
    </row>
    <row r="4832" spans="1:13">
      <c r="A4832" s="6">
        <v>2024</v>
      </c>
      <c r="B4832" s="6">
        <v>11</v>
      </c>
      <c r="C4832" s="6" t="s">
        <v>69</v>
      </c>
      <c r="D4832" s="6" t="s">
        <v>662</v>
      </c>
      <c r="E4832" s="6" t="s">
        <v>552</v>
      </c>
      <c r="F4832" s="6" t="str">
        <f>IF($M4832="PADD I","PADD 1",IF($M4832="PADD II","PADD 2",IF($M4832="PADD III","PADD 3",IF($M4832="PADD IV","PADD 4",IF($M4832="PADD V","PADD 5","")))))</f>
        <v>PADD 3</v>
      </c>
      <c r="G4832" s="6">
        <f>IF(AND($H4832="ATMOS DISTILLATION",ISNUMBER(SEARCH("VPS",$I4832))=FALSE,LEFT($I4832,6)&lt;&gt;"VACUUM"),"CDU",IF($H4832="FLUID CAT CRACKING","FCC",IF(OR($H4832="HYDROCRACKING",$H4832="RESID_HYDROCRACKING"),"Hydrocracker",IF($H4832="REFORMING","Reformer",""))))</f>
        <v/>
      </c>
      <c r="H4832" s="6" t="s">
        <v>43</v>
      </c>
      <c r="I4832" s="6" t="s">
        <v>844</v>
      </c>
      <c r="J4832" s="6" t="s">
        <v>349</v>
      </c>
      <c r="K4832" s="10">
        <v>0.35</v>
      </c>
      <c r="L4832" s="10">
        <v>5</v>
      </c>
      <c r="M4832" s="6" t="s">
        <v>371</v>
      </c>
    </row>
    <row r="4833" spans="1:13">
      <c r="A4833" s="6">
        <v>2024</v>
      </c>
      <c r="B4833" s="6">
        <v>11</v>
      </c>
      <c r="C4833" s="6" t="s">
        <v>69</v>
      </c>
      <c r="D4833" s="6" t="s">
        <v>722</v>
      </c>
      <c r="E4833" s="6" t="s">
        <v>452</v>
      </c>
      <c r="F4833" s="6" t="str">
        <f>IF($M4833="PADD I","PADD 1",IF($M4833="PADD II","PADD 2",IF($M4833="PADD III","PADD 3",IF($M4833="PADD IV","PADD 4",IF($M4833="PADD V","PADD 5","")))))</f>
        <v>PADD 4</v>
      </c>
      <c r="G4833" s="6" t="str">
        <f>IF(AND($H4833="ATMOS DISTILLATION",ISNUMBER(SEARCH("VPS",$I4833))=FALSE,LEFT($I4833,6)&lt;&gt;"VACUUM"),"CDU",IF($H4833="FLUID CAT CRACKING","FCC",IF(OR($H4833="HYDROCRACKING",$H4833="RESID_HYDROCRACKING"),"Hydrocracker",IF($H4833="REFORMING","Reformer",""))))</f>
        <v>FCC</v>
      </c>
      <c r="H4833" s="6" t="s">
        <v>376</v>
      </c>
      <c r="I4833" s="6" t="s">
        <v>428</v>
      </c>
      <c r="J4833" s="6" t="s">
        <v>345</v>
      </c>
      <c r="K4833" s="10">
        <v>0.255</v>
      </c>
      <c r="L4833" s="10">
        <v>8.5</v>
      </c>
      <c r="M4833" s="6" t="s">
        <v>430</v>
      </c>
    </row>
    <row r="4834" spans="1:13">
      <c r="A4834" s="6">
        <v>2024</v>
      </c>
      <c r="B4834" s="6">
        <v>11</v>
      </c>
      <c r="C4834" s="6" t="s">
        <v>69</v>
      </c>
      <c r="D4834" s="6" t="s">
        <v>675</v>
      </c>
      <c r="E4834" s="6" t="s">
        <v>452</v>
      </c>
      <c r="F4834" s="6" t="str">
        <f>IF($M4834="PADD I","PADD 1",IF($M4834="PADD II","PADD 2",IF($M4834="PADD III","PADD 3",IF($M4834="PADD IV","PADD 4",IF($M4834="PADD V","PADD 5","")))))</f>
        <v>PADD 2</v>
      </c>
      <c r="G4834" s="6" t="str">
        <f>IF(AND($H4834="ATMOS DISTILLATION",ISNUMBER(SEARCH("VPS",$I4834))=FALSE,LEFT($I4834,6)&lt;&gt;"VACUUM"),"CDU",IF($H4834="FLUID CAT CRACKING","FCC",IF(OR($H4834="HYDROCRACKING",$H4834="RESID_HYDROCRACKING"),"Hydrocracker",IF($H4834="REFORMING","Reformer",""))))</f>
        <v>Reformer</v>
      </c>
      <c r="H4834" s="6" t="s">
        <v>421</v>
      </c>
      <c r="I4834" s="6" t="s">
        <v>348</v>
      </c>
      <c r="J4834" s="6" t="s">
        <v>349</v>
      </c>
      <c r="K4834" s="10">
        <v>0.225</v>
      </c>
      <c r="L4834" s="10">
        <v>7.5</v>
      </c>
      <c r="M4834" s="6" t="s">
        <v>375</v>
      </c>
    </row>
    <row r="4835" spans="1:13">
      <c r="A4835" s="6">
        <v>2024</v>
      </c>
      <c r="B4835" s="6">
        <v>11</v>
      </c>
      <c r="C4835" s="6" t="s">
        <v>69</v>
      </c>
      <c r="D4835" s="6" t="s">
        <v>468</v>
      </c>
      <c r="E4835" s="6" t="s">
        <v>369</v>
      </c>
      <c r="F4835" s="6" t="str">
        <f>IF($M4835="PADD I","PADD 1",IF($M4835="PADD II","PADD 2",IF($M4835="PADD III","PADD 3",IF($M4835="PADD IV","PADD 4",IF($M4835="PADD V","PADD 5","")))))</f>
        <v>PADD 3</v>
      </c>
      <c r="G4835" s="6" t="str">
        <f>IF(AND($H4835="ATMOS DISTILLATION",ISNUMBER(SEARCH("VPS",$I4835))=FALSE,LEFT($I4835,6)&lt;&gt;"VACUUM"),"CDU",IF($H4835="FLUID CAT CRACKING","FCC",IF(OR($H4835="HYDROCRACKING",$H4835="RESID_HYDROCRACKING"),"Hydrocracker",IF($H4835="REFORMING","Reformer",""))))</f>
        <v>Reformer</v>
      </c>
      <c r="H4835" s="6" t="s">
        <v>421</v>
      </c>
      <c r="I4835" s="6" t="s">
        <v>635</v>
      </c>
      <c r="J4835" s="6" t="s">
        <v>345</v>
      </c>
      <c r="K4835" s="10">
        <v>0.21</v>
      </c>
      <c r="L4835" s="10">
        <v>7</v>
      </c>
      <c r="M4835" s="6" t="s">
        <v>371</v>
      </c>
    </row>
    <row r="4836" spans="1:13">
      <c r="A4836" s="6">
        <v>2024</v>
      </c>
      <c r="B4836" s="6">
        <v>11</v>
      </c>
      <c r="C4836" s="6" t="s">
        <v>69</v>
      </c>
      <c r="D4836" s="6" t="s">
        <v>468</v>
      </c>
      <c r="E4836" s="6" t="s">
        <v>369</v>
      </c>
      <c r="F4836" s="6" t="str">
        <f>IF($M4836="PADD I","PADD 1",IF($M4836="PADD II","PADD 2",IF($M4836="PADD III","PADD 3",IF($M4836="PADD IV","PADD 4",IF($M4836="PADD V","PADD 5","")))))</f>
        <v>PADD 3</v>
      </c>
      <c r="G4836" s="6" t="str">
        <f>IF(AND($H4836="ATMOS DISTILLATION",ISNUMBER(SEARCH("VPS",$I4836))=FALSE,LEFT($I4836,6)&lt;&gt;"VACUUM"),"CDU",IF($H4836="FLUID CAT CRACKING","FCC",IF(OR($H4836="HYDROCRACKING",$H4836="RESID_HYDROCRACKING"),"Hydrocracker",IF($H4836="REFORMING","Reformer",""))))</f>
        <v>Reformer</v>
      </c>
      <c r="H4836" s="6" t="s">
        <v>421</v>
      </c>
      <c r="I4836" s="6" t="s">
        <v>635</v>
      </c>
      <c r="J4836" s="6" t="s">
        <v>345</v>
      </c>
      <c r="K4836" s="10">
        <v>0.21</v>
      </c>
      <c r="L4836" s="10">
        <v>7</v>
      </c>
      <c r="M4836" s="6" t="s">
        <v>371</v>
      </c>
    </row>
    <row r="4837" spans="1:13">
      <c r="A4837" s="6">
        <v>2024</v>
      </c>
      <c r="B4837" s="6">
        <v>11</v>
      </c>
      <c r="C4837" s="6" t="s">
        <v>69</v>
      </c>
      <c r="D4837" s="6" t="s">
        <v>468</v>
      </c>
      <c r="E4837" s="6" t="s">
        <v>369</v>
      </c>
      <c r="F4837" s="6" t="str">
        <f>IF($M4837="PADD I","PADD 1",IF($M4837="PADD II","PADD 2",IF($M4837="PADD III","PADD 3",IF($M4837="PADD IV","PADD 4",IF($M4837="PADD V","PADD 5","")))))</f>
        <v>PADD 3</v>
      </c>
      <c r="G4837" s="6" t="str">
        <f>IF(AND($H4837="ATMOS DISTILLATION",ISNUMBER(SEARCH("VPS",$I4837))=FALSE,LEFT($I4837,6)&lt;&gt;"VACUUM"),"CDU",IF($H4837="FLUID CAT CRACKING","FCC",IF(OR($H4837="HYDROCRACKING",$H4837="RESID_HYDROCRACKING"),"Hydrocracker",IF($H4837="REFORMING","Reformer",""))))</f>
        <v>Reformer</v>
      </c>
      <c r="H4837" s="6" t="s">
        <v>421</v>
      </c>
      <c r="I4837" s="6" t="s">
        <v>635</v>
      </c>
      <c r="J4837" s="6" t="s">
        <v>345</v>
      </c>
      <c r="K4837" s="10">
        <v>0.21</v>
      </c>
      <c r="L4837" s="10">
        <v>7</v>
      </c>
      <c r="M4837" s="6" t="s">
        <v>371</v>
      </c>
    </row>
    <row r="4838" spans="1:13">
      <c r="A4838" s="6">
        <v>2024</v>
      </c>
      <c r="B4838" s="6">
        <v>11</v>
      </c>
      <c r="C4838" s="6" t="s">
        <v>69</v>
      </c>
      <c r="D4838" s="6" t="s">
        <v>420</v>
      </c>
      <c r="E4838" s="6" t="s">
        <v>373</v>
      </c>
      <c r="F4838" s="6" t="str">
        <f>IF($M4838="PADD I","PADD 1",IF($M4838="PADD II","PADD 2",IF($M4838="PADD III","PADD 3",IF($M4838="PADD IV","PADD 4",IF($M4838="PADD V","PADD 5","")))))</f>
        <v>PADD 2</v>
      </c>
      <c r="G4838" s="6">
        <f>IF(AND($H4838="ATMOS DISTILLATION",ISNUMBER(SEARCH("VPS",$I4838))=FALSE,LEFT($I4838,6)&lt;&gt;"VACUUM"),"CDU",IF($H4838="FLUID CAT CRACKING","FCC",IF(OR($H4838="HYDROCRACKING",$H4838="RESID_HYDROCRACKING"),"Hydrocracker",IF($H4838="REFORMING","Reformer",""))))</f>
        <v/>
      </c>
      <c r="H4838" s="6" t="s">
        <v>460</v>
      </c>
      <c r="I4838" s="6" t="s">
        <v>616</v>
      </c>
      <c r="J4838" s="6" t="s">
        <v>345</v>
      </c>
      <c r="K4838" s="10">
        <v>0.195</v>
      </c>
      <c r="L4838" s="10">
        <v>1.5</v>
      </c>
      <c r="M4838" s="6" t="s">
        <v>375</v>
      </c>
    </row>
    <row r="4839" spans="1:13">
      <c r="A4839" s="6">
        <v>2024</v>
      </c>
      <c r="B4839" s="6">
        <v>12</v>
      </c>
      <c r="C4839" s="6" t="s">
        <v>70</v>
      </c>
      <c r="D4839" s="6" t="s">
        <v>1214</v>
      </c>
      <c r="E4839" s="6" t="s">
        <v>1215</v>
      </c>
      <c r="F4839" s="6" t="str">
        <f>IF($M4839="PADD I","PADD 1",IF($M4839="PADD II","PADD 2",IF($M4839="PADD III","PADD 3",IF($M4839="PADD IV","PADD 4",IF($M4839="PADD V","PADD 5","")))))</f>
        <v>PADD 1</v>
      </c>
      <c r="G4839" s="6" t="str">
        <f>IF(AND($H4839="ATMOS DISTILLATION",ISNUMBER(SEARCH("VPS",$I4839))=FALSE,LEFT($I4839,6)&lt;&gt;"VACUUM"),"CDU",IF($H4839="FLUID CAT CRACKING","FCC",IF(OR($H4839="HYDROCRACKING",$H4839="RESID_HYDROCRACKING"),"Hydrocracker",IF($H4839="REFORMING","Reformer",""))))</f>
        <v>CDU</v>
      </c>
      <c r="H4839" s="6" t="s">
        <v>38</v>
      </c>
      <c r="I4839" s="6" t="s">
        <v>131</v>
      </c>
      <c r="J4839" s="6" t="s">
        <v>345</v>
      </c>
      <c r="K4839" s="10">
        <v>56</v>
      </c>
      <c r="L4839" s="10">
        <v>56</v>
      </c>
      <c r="M4839" s="6" t="s">
        <v>413</v>
      </c>
    </row>
    <row r="4840" spans="1:13">
      <c r="A4840" s="6">
        <v>2024</v>
      </c>
      <c r="B4840" s="6">
        <v>12</v>
      </c>
      <c r="C4840" s="6" t="s">
        <v>70</v>
      </c>
      <c r="D4840" s="6" t="s">
        <v>676</v>
      </c>
      <c r="E4840" s="6" t="s">
        <v>677</v>
      </c>
      <c r="F4840" s="6" t="str">
        <f>IF($M4840="PADD I","PADD 1",IF($M4840="PADD II","PADD 2",IF($M4840="PADD III","PADD 3",IF($M4840="PADD IV","PADD 4",IF($M4840="PADD V","PADD 5","")))))</f>
        <v>PADD 1</v>
      </c>
      <c r="G4840" s="6" t="str">
        <f>IF(AND($H4840="ATMOS DISTILLATION",ISNUMBER(SEARCH("VPS",$I4840))=FALSE,LEFT($I4840,6)&lt;&gt;"VACUUM"),"CDU",IF($H4840="FLUID CAT CRACKING","FCC",IF(OR($H4840="HYDROCRACKING",$H4840="RESID_HYDROCRACKING"),"Hydrocracker",IF($H4840="REFORMING","Reformer",""))))</f>
        <v>CDU</v>
      </c>
      <c r="H4840" s="6" t="s">
        <v>38</v>
      </c>
      <c r="I4840" s="6" t="s">
        <v>678</v>
      </c>
      <c r="J4840" s="6" t="s">
        <v>345</v>
      </c>
      <c r="K4840" s="10">
        <v>56</v>
      </c>
      <c r="L4840" s="10">
        <v>56</v>
      </c>
      <c r="M4840" s="6" t="s">
        <v>413</v>
      </c>
    </row>
    <row r="4841" spans="1:13">
      <c r="A4841" s="6">
        <v>2024</v>
      </c>
      <c r="B4841" s="6">
        <v>12</v>
      </c>
      <c r="C4841" s="6" t="s">
        <v>70</v>
      </c>
      <c r="D4841" s="6" t="s">
        <v>676</v>
      </c>
      <c r="E4841" s="6" t="s">
        <v>677</v>
      </c>
      <c r="F4841" s="6" t="str">
        <f>IF($M4841="PADD I","PADD 1",IF($M4841="PADD II","PADD 2",IF($M4841="PADD III","PADD 3",IF($M4841="PADD IV","PADD 4",IF($M4841="PADD V","PADD 5","")))))</f>
        <v>PADD 1</v>
      </c>
      <c r="G4841" s="6" t="str">
        <f>IF(AND($H4841="ATMOS DISTILLATION",ISNUMBER(SEARCH("VPS",$I4841))=FALSE,LEFT($I4841,6)&lt;&gt;"VACUUM"),"CDU",IF($H4841="FLUID CAT CRACKING","FCC",IF(OR($H4841="HYDROCRACKING",$H4841="RESID_HYDROCRACKING"),"Hydrocracker",IF($H4841="REFORMING","Reformer",""))))</f>
        <v>CDU</v>
      </c>
      <c r="H4841" s="6" t="s">
        <v>38</v>
      </c>
      <c r="I4841" s="6" t="s">
        <v>1266</v>
      </c>
      <c r="J4841" s="6" t="s">
        <v>345</v>
      </c>
      <c r="K4841" s="10">
        <v>47.85</v>
      </c>
      <c r="L4841" s="10">
        <v>55</v>
      </c>
      <c r="M4841" s="6" t="s">
        <v>413</v>
      </c>
    </row>
    <row r="4842" spans="1:13">
      <c r="A4842" s="6">
        <v>2024</v>
      </c>
      <c r="B4842" s="6">
        <v>12</v>
      </c>
      <c r="C4842" s="6" t="s">
        <v>70</v>
      </c>
      <c r="D4842" s="6" t="s">
        <v>446</v>
      </c>
      <c r="E4842" s="6" t="s">
        <v>391</v>
      </c>
      <c r="F4842" s="6" t="str">
        <f>IF($M4842="PADD I","PADD 1",IF($M4842="PADD II","PADD 2",IF($M4842="PADD III","PADD 3",IF($M4842="PADD IV","PADD 4",IF($M4842="PADD V","PADD 5","")))))</f>
        <v>PADD 3</v>
      </c>
      <c r="G4842" s="6">
        <f>IF(AND($H4842="ATMOS DISTILLATION",ISNUMBER(SEARCH("VPS",$I4842))=FALSE,LEFT($I4842,6)&lt;&gt;"VACUUM"),"CDU",IF($H4842="FLUID CAT CRACKING","FCC",IF(OR($H4842="HYDROCRACKING",$H4842="RESID_HYDROCRACKING"),"Hydrocracker",IF($H4842="REFORMING","Reformer",""))))</f>
        <v/>
      </c>
      <c r="H4842" s="6" t="s">
        <v>378</v>
      </c>
      <c r="I4842" s="6" t="s">
        <v>1041</v>
      </c>
      <c r="J4842" s="6" t="s">
        <v>345</v>
      </c>
      <c r="K4842" s="10">
        <v>41</v>
      </c>
      <c r="L4842" s="10">
        <v>41</v>
      </c>
      <c r="M4842" s="6" t="s">
        <v>371</v>
      </c>
    </row>
    <row r="4843" spans="1:13">
      <c r="A4843" s="6">
        <v>2024</v>
      </c>
      <c r="B4843" s="6">
        <v>12</v>
      </c>
      <c r="C4843" s="6" t="s">
        <v>70</v>
      </c>
      <c r="D4843" s="6" t="s">
        <v>319</v>
      </c>
      <c r="E4843" s="6" t="s">
        <v>665</v>
      </c>
      <c r="F4843" s="6" t="str">
        <f>IF($M4843="PADD I","PADD 1",IF($M4843="PADD II","PADD 2",IF($M4843="PADD III","PADD 3",IF($M4843="PADD IV","PADD 4",IF($M4843="PADD V","PADD 5","")))))</f>
        <v>PADD 3</v>
      </c>
      <c r="G4843" s="6" t="str">
        <f>IF(AND($H4843="ATMOS DISTILLATION",ISNUMBER(SEARCH("VPS",$I4843))=FALSE,LEFT($I4843,6)&lt;&gt;"VACUUM"),"CDU",IF($H4843="FLUID CAT CRACKING","FCC",IF(OR($H4843="HYDROCRACKING",$H4843="RESID_HYDROCRACKING"),"Hydrocracker",IF($H4843="REFORMING","Reformer",""))))</f>
        <v>CDU</v>
      </c>
      <c r="H4843" s="6" t="s">
        <v>38</v>
      </c>
      <c r="I4843" s="6" t="s">
        <v>86</v>
      </c>
      <c r="J4843" s="6" t="s">
        <v>345</v>
      </c>
      <c r="K4843" s="10">
        <v>38.4</v>
      </c>
      <c r="L4843" s="10">
        <v>240</v>
      </c>
      <c r="M4843" s="6" t="s">
        <v>371</v>
      </c>
    </row>
    <row r="4844" spans="1:13">
      <c r="A4844" s="6">
        <v>2024</v>
      </c>
      <c r="B4844" s="6">
        <v>12</v>
      </c>
      <c r="C4844" s="6" t="s">
        <v>70</v>
      </c>
      <c r="D4844" s="6" t="s">
        <v>448</v>
      </c>
      <c r="E4844" s="6" t="s">
        <v>391</v>
      </c>
      <c r="F4844" s="6" t="str">
        <f>IF($M4844="PADD I","PADD 1",IF($M4844="PADD II","PADD 2",IF($M4844="PADD III","PADD 3",IF($M4844="PADD IV","PADD 4",IF($M4844="PADD V","PADD 5","")))))</f>
        <v>PADD 3</v>
      </c>
      <c r="G4844" s="6">
        <f>IF(AND($H4844="ATMOS DISTILLATION",ISNUMBER(SEARCH("VPS",$I4844))=FALSE,LEFT($I4844,6)&lt;&gt;"VACUUM"),"CDU",IF($H4844="FLUID CAT CRACKING","FCC",IF(OR($H4844="HYDROCRACKING",$H4844="RESID_HYDROCRACKING"),"Hydrocracker",IF($H4844="REFORMING","Reformer",""))))</f>
        <v/>
      </c>
      <c r="H4844" s="6" t="s">
        <v>43</v>
      </c>
      <c r="I4844" s="6" t="s">
        <v>449</v>
      </c>
      <c r="J4844" s="6" t="s">
        <v>345</v>
      </c>
      <c r="K4844" s="10">
        <v>35</v>
      </c>
      <c r="L4844" s="10">
        <v>35</v>
      </c>
      <c r="M4844" s="6" t="s">
        <v>371</v>
      </c>
    </row>
    <row r="4845" spans="1:13">
      <c r="A4845" s="6">
        <v>2024</v>
      </c>
      <c r="B4845" s="6">
        <v>12</v>
      </c>
      <c r="C4845" s="6" t="s">
        <v>70</v>
      </c>
      <c r="D4845" s="6" t="s">
        <v>415</v>
      </c>
      <c r="E4845" s="6" t="s">
        <v>416</v>
      </c>
      <c r="F4845" s="6" t="str">
        <f>IF($M4845="PADD I","PADD 1",IF($M4845="PADD II","PADD 2",IF($M4845="PADD III","PADD 3",IF($M4845="PADD IV","PADD 4",IF($M4845="PADD V","PADD 5","")))))</f>
        <v>PADD 3</v>
      </c>
      <c r="G4845" s="6">
        <f>IF(AND($H4845="ATMOS DISTILLATION",ISNUMBER(SEARCH("VPS",$I4845))=FALSE,LEFT($I4845,6)&lt;&gt;"VACUUM"),"CDU",IF($H4845="FLUID CAT CRACKING","FCC",IF(OR($H4845="HYDROCRACKING",$H4845="RESID_HYDROCRACKING"),"Hydrocracker",IF($H4845="REFORMING","Reformer",""))))</f>
        <v/>
      </c>
      <c r="H4845" s="6" t="s">
        <v>435</v>
      </c>
      <c r="I4845" s="6" t="s">
        <v>453</v>
      </c>
      <c r="J4845" s="6" t="s">
        <v>345</v>
      </c>
      <c r="K4845" s="10">
        <v>34</v>
      </c>
      <c r="L4845" s="10">
        <v>34</v>
      </c>
      <c r="M4845" s="6" t="s">
        <v>371</v>
      </c>
    </row>
    <row r="4846" spans="1:13">
      <c r="A4846" s="6">
        <v>2024</v>
      </c>
      <c r="B4846" s="6">
        <v>12</v>
      </c>
      <c r="C4846" s="6" t="s">
        <v>70</v>
      </c>
      <c r="D4846" s="6" t="s">
        <v>676</v>
      </c>
      <c r="E4846" s="6" t="s">
        <v>677</v>
      </c>
      <c r="F4846" s="6" t="str">
        <f>IF($M4846="PADD I","PADD 1",IF($M4846="PADD II","PADD 2",IF($M4846="PADD III","PADD 3",IF($M4846="PADD IV","PADD 4",IF($M4846="PADD V","PADD 5","")))))</f>
        <v>PADD 1</v>
      </c>
      <c r="G4846" s="6">
        <f>IF(AND($H4846="ATMOS DISTILLATION",ISNUMBER(SEARCH("VPS",$I4846))=FALSE,LEFT($I4846,6)&lt;&gt;"VACUUM"),"CDU",IF($H4846="FLUID CAT CRACKING","FCC",IF(OR($H4846="HYDROCRACKING",$H4846="RESID_HYDROCRACKING"),"Hydrocracker",IF($H4846="REFORMING","Reformer",""))))</f>
        <v/>
      </c>
      <c r="H4846" s="6" t="s">
        <v>378</v>
      </c>
      <c r="I4846" s="6" t="s">
        <v>1262</v>
      </c>
      <c r="J4846" s="6" t="s">
        <v>345</v>
      </c>
      <c r="K4846" s="10">
        <v>31</v>
      </c>
      <c r="L4846" s="10">
        <v>31</v>
      </c>
      <c r="M4846" s="6" t="s">
        <v>413</v>
      </c>
    </row>
    <row r="4847" spans="1:13">
      <c r="A4847" s="6">
        <v>2024</v>
      </c>
      <c r="B4847" s="6">
        <v>12</v>
      </c>
      <c r="C4847" s="6" t="s">
        <v>70</v>
      </c>
      <c r="D4847" s="6" t="s">
        <v>457</v>
      </c>
      <c r="E4847" s="6" t="s">
        <v>388</v>
      </c>
      <c r="F4847" s="6" t="str">
        <f>IF($M4847="PADD I","PADD 1",IF($M4847="PADD II","PADD 2",IF($M4847="PADD III","PADD 3",IF($M4847="PADD IV","PADD 4",IF($M4847="PADD V","PADD 5","")))))</f>
        <v>PADD 5</v>
      </c>
      <c r="G4847" s="6" t="str">
        <f>IF(AND($H4847="ATMOS DISTILLATION",ISNUMBER(SEARCH("VPS",$I4847))=FALSE,LEFT($I4847,6)&lt;&gt;"VACUUM"),"CDU",IF($H4847="FLUID CAT CRACKING","FCC",IF(OR($H4847="HYDROCRACKING",$H4847="RESID_HYDROCRACKING"),"Hydrocracker",IF($H4847="REFORMING","Reformer",""))))</f>
        <v>Hydrocracker</v>
      </c>
      <c r="H4847" s="6" t="s">
        <v>444</v>
      </c>
      <c r="I4847" s="6" t="s">
        <v>14</v>
      </c>
      <c r="J4847" s="6" t="s">
        <v>345</v>
      </c>
      <c r="K4847" s="10">
        <v>30.25</v>
      </c>
      <c r="L4847" s="10">
        <v>55</v>
      </c>
      <c r="M4847" s="6" t="s">
        <v>386</v>
      </c>
    </row>
    <row r="4848" spans="1:13">
      <c r="A4848" s="6">
        <v>2024</v>
      </c>
      <c r="B4848" s="6">
        <v>12</v>
      </c>
      <c r="C4848" s="6" t="s">
        <v>70</v>
      </c>
      <c r="D4848" s="6" t="s">
        <v>526</v>
      </c>
      <c r="E4848" s="6" t="s">
        <v>405</v>
      </c>
      <c r="F4848" s="6" t="str">
        <f>IF($M4848="PADD I","PADD 1",IF($M4848="PADD II","PADD 2",IF($M4848="PADD III","PADD 3",IF($M4848="PADD IV","PADD 4",IF($M4848="PADD V","PADD 5","")))))</f>
        <v>PADD 3</v>
      </c>
      <c r="G4848" s="6">
        <f>IF(AND($H4848="ATMOS DISTILLATION",ISNUMBER(SEARCH("VPS",$I4848))=FALSE,LEFT($I4848,6)&lt;&gt;"VACUUM"),"CDU",IF($H4848="FLUID CAT CRACKING","FCC",IF(OR($H4848="HYDROCRACKING",$H4848="RESID_HYDROCRACKING"),"Hydrocracker",IF($H4848="REFORMING","Reformer",""))))</f>
        <v/>
      </c>
      <c r="H4848" s="6" t="s">
        <v>435</v>
      </c>
      <c r="I4848" s="6" t="s">
        <v>954</v>
      </c>
      <c r="J4848" s="6" t="s">
        <v>345</v>
      </c>
      <c r="K4848" s="10">
        <v>30</v>
      </c>
      <c r="L4848" s="10">
        <v>30</v>
      </c>
      <c r="M4848" s="6" t="s">
        <v>371</v>
      </c>
    </row>
    <row r="4849" spans="1:13">
      <c r="A4849" s="6">
        <v>2024</v>
      </c>
      <c r="B4849" s="6">
        <v>12</v>
      </c>
      <c r="C4849" s="6" t="s">
        <v>70</v>
      </c>
      <c r="D4849" s="6" t="s">
        <v>335</v>
      </c>
      <c r="E4849" s="6" t="s">
        <v>369</v>
      </c>
      <c r="F4849" s="6" t="str">
        <f>IF($M4849="PADD I","PADD 1",IF($M4849="PADD II","PADD 2",IF($M4849="PADD III","PADD 3",IF($M4849="PADD IV","PADD 4",IF($M4849="PADD V","PADD 5","")))))</f>
        <v>PADD 3</v>
      </c>
      <c r="G4849" s="6" t="str">
        <f>IF(AND($H4849="ATMOS DISTILLATION",ISNUMBER(SEARCH("VPS",$I4849))=FALSE,LEFT($I4849,6)&lt;&gt;"VACUUM"),"CDU",IF($H4849="FLUID CAT CRACKING","FCC",IF(OR($H4849="HYDROCRACKING",$H4849="RESID_HYDROCRACKING"),"Hydrocracker",IF($H4849="REFORMING","Reformer",""))))</f>
        <v>FCC</v>
      </c>
      <c r="H4849" s="6" t="s">
        <v>376</v>
      </c>
      <c r="I4849" s="6" t="s">
        <v>472</v>
      </c>
      <c r="J4849" s="6" t="s">
        <v>345</v>
      </c>
      <c r="K4849" s="10">
        <v>30</v>
      </c>
      <c r="L4849" s="10">
        <v>30</v>
      </c>
      <c r="M4849" s="6" t="s">
        <v>371</v>
      </c>
    </row>
    <row r="4850" spans="1:13">
      <c r="A4850" s="6">
        <v>2024</v>
      </c>
      <c r="B4850" s="6">
        <v>12</v>
      </c>
      <c r="C4850" s="6" t="s">
        <v>70</v>
      </c>
      <c r="D4850" s="6" t="s">
        <v>446</v>
      </c>
      <c r="E4850" s="6" t="s">
        <v>391</v>
      </c>
      <c r="F4850" s="6" t="str">
        <f>IF($M4850="PADD I","PADD 1",IF($M4850="PADD II","PADD 2",IF($M4850="PADD III","PADD 3",IF($M4850="PADD IV","PADD 4",IF($M4850="PADD V","PADD 5","")))))</f>
        <v>PADD 3</v>
      </c>
      <c r="G4850" s="6" t="str">
        <f>IF(AND($H4850="ATMOS DISTILLATION",ISNUMBER(SEARCH("VPS",$I4850))=FALSE,LEFT($I4850,6)&lt;&gt;"VACUUM"),"CDU",IF($H4850="FLUID CAT CRACKING","FCC",IF(OR($H4850="HYDROCRACKING",$H4850="RESID_HYDROCRACKING"),"Hydrocracker",IF($H4850="REFORMING","Reformer",""))))</f>
        <v>CDU</v>
      </c>
      <c r="H4850" s="6" t="s">
        <v>38</v>
      </c>
      <c r="I4850" s="6" t="s">
        <v>81</v>
      </c>
      <c r="J4850" s="6" t="s">
        <v>349</v>
      </c>
      <c r="K4850" s="10">
        <v>22.5</v>
      </c>
      <c r="L4850" s="10">
        <v>25</v>
      </c>
      <c r="M4850" s="6" t="s">
        <v>371</v>
      </c>
    </row>
    <row r="4851" spans="1:13">
      <c r="A4851" s="6">
        <v>2024</v>
      </c>
      <c r="B4851" s="6">
        <v>12</v>
      </c>
      <c r="C4851" s="6" t="s">
        <v>70</v>
      </c>
      <c r="D4851" s="6" t="s">
        <v>457</v>
      </c>
      <c r="E4851" s="6" t="s">
        <v>388</v>
      </c>
      <c r="F4851" s="6" t="str">
        <f>IF($M4851="PADD I","PADD 1",IF($M4851="PADD II","PADD 2",IF($M4851="PADD III","PADD 3",IF($M4851="PADD IV","PADD 4",IF($M4851="PADD V","PADD 5","")))))</f>
        <v>PADD 5</v>
      </c>
      <c r="G4851" s="6">
        <f>IF(AND($H4851="ATMOS DISTILLATION",ISNUMBER(SEARCH("VPS",$I4851))=FALSE,LEFT($I4851,6)&lt;&gt;"VACUUM"),"CDU",IF($H4851="FLUID CAT CRACKING","FCC",IF(OR($H4851="HYDROCRACKING",$H4851="RESID_HYDROCRACKING"),"Hydrocracker",IF($H4851="REFORMING","Reformer",""))))</f>
        <v/>
      </c>
      <c r="H4851" s="6" t="s">
        <v>378</v>
      </c>
      <c r="I4851" s="6" t="s">
        <v>585</v>
      </c>
      <c r="J4851" s="6" t="s">
        <v>345</v>
      </c>
      <c r="K4851" s="10">
        <v>19.84</v>
      </c>
      <c r="L4851" s="10">
        <v>62</v>
      </c>
      <c r="M4851" s="6" t="s">
        <v>386</v>
      </c>
    </row>
    <row r="4852" spans="1:13">
      <c r="A4852" s="6">
        <v>2024</v>
      </c>
      <c r="B4852" s="6">
        <v>12</v>
      </c>
      <c r="C4852" s="6" t="s">
        <v>70</v>
      </c>
      <c r="D4852" s="6" t="s">
        <v>457</v>
      </c>
      <c r="E4852" s="6" t="s">
        <v>388</v>
      </c>
      <c r="F4852" s="6" t="str">
        <f>IF($M4852="PADD I","PADD 1",IF($M4852="PADD II","PADD 2",IF($M4852="PADD III","PADD 3",IF($M4852="PADD IV","PADD 4",IF($M4852="PADD V","PADD 5","")))))</f>
        <v>PADD 5</v>
      </c>
      <c r="G4852" s="6" t="str">
        <f>IF(AND($H4852="ATMOS DISTILLATION",ISNUMBER(SEARCH("VPS",$I4852))=FALSE,LEFT($I4852,6)&lt;&gt;"VACUUM"),"CDU",IF($H4852="FLUID CAT CRACKING","FCC",IF(OR($H4852="HYDROCRACKING",$H4852="RESID_HYDROCRACKING"),"Hydrocracker",IF($H4852="REFORMING","Reformer",""))))</f>
        <v>CDU</v>
      </c>
      <c r="H4852" s="6" t="s">
        <v>38</v>
      </c>
      <c r="I4852" s="6" t="s">
        <v>135</v>
      </c>
      <c r="J4852" s="6" t="s">
        <v>345</v>
      </c>
      <c r="K4852" s="10">
        <v>19.2</v>
      </c>
      <c r="L4852" s="10">
        <v>60</v>
      </c>
      <c r="M4852" s="6" t="s">
        <v>386</v>
      </c>
    </row>
    <row r="4853" spans="1:13">
      <c r="A4853" s="6">
        <v>2024</v>
      </c>
      <c r="B4853" s="6">
        <v>12</v>
      </c>
      <c r="C4853" s="6" t="s">
        <v>70</v>
      </c>
      <c r="D4853" s="6" t="s">
        <v>526</v>
      </c>
      <c r="E4853" s="6" t="s">
        <v>405</v>
      </c>
      <c r="F4853" s="6" t="str">
        <f>IF($M4853="PADD I","PADD 1",IF($M4853="PADD II","PADD 2",IF($M4853="PADD III","PADD 3",IF($M4853="PADD IV","PADD 4",IF($M4853="PADD V","PADD 5","")))))</f>
        <v>PADD 3</v>
      </c>
      <c r="G4853" s="6" t="str">
        <f>IF(AND($H4853="ATMOS DISTILLATION",ISNUMBER(SEARCH("VPS",$I4853))=FALSE,LEFT($I4853,6)&lt;&gt;"VACUUM"),"CDU",IF($H4853="FLUID CAT CRACKING","FCC",IF(OR($H4853="HYDROCRACKING",$H4853="RESID_HYDROCRACKING"),"Hydrocracker",IF($H4853="REFORMING","Reformer",""))))</f>
        <v>CDU</v>
      </c>
      <c r="H4853" s="6" t="s">
        <v>38</v>
      </c>
      <c r="I4853" s="6" t="s">
        <v>641</v>
      </c>
      <c r="J4853" s="6" t="s">
        <v>345</v>
      </c>
      <c r="K4853" s="10">
        <v>18.4</v>
      </c>
      <c r="L4853" s="10">
        <v>115</v>
      </c>
      <c r="M4853" s="6" t="s">
        <v>371</v>
      </c>
    </row>
    <row r="4854" spans="1:13">
      <c r="A4854" s="6">
        <v>2024</v>
      </c>
      <c r="B4854" s="6">
        <v>12</v>
      </c>
      <c r="C4854" s="6" t="s">
        <v>70</v>
      </c>
      <c r="D4854" s="6" t="s">
        <v>434</v>
      </c>
      <c r="E4854" s="6" t="s">
        <v>388</v>
      </c>
      <c r="F4854" s="6" t="str">
        <f>IF($M4854="PADD I","PADD 1",IF($M4854="PADD II","PADD 2",IF($M4854="PADD III","PADD 3",IF($M4854="PADD IV","PADD 4",IF($M4854="PADD V","PADD 5","")))))</f>
        <v>PADD 5</v>
      </c>
      <c r="G4854" s="6">
        <f>IF(AND($H4854="ATMOS DISTILLATION",ISNUMBER(SEARCH("VPS",$I4854))=FALSE,LEFT($I4854,6)&lt;&gt;"VACUUM"),"CDU",IF($H4854="FLUID CAT CRACKING","FCC",IF(OR($H4854="HYDROCRACKING",$H4854="RESID_HYDROCRACKING"),"Hydrocracker",IF($H4854="REFORMING","Reformer",""))))</f>
        <v/>
      </c>
      <c r="H4854" s="6" t="s">
        <v>435</v>
      </c>
      <c r="I4854" s="6" t="s">
        <v>436</v>
      </c>
      <c r="J4854" s="6" t="s">
        <v>345</v>
      </c>
      <c r="K4854" s="10">
        <v>17.64</v>
      </c>
      <c r="L4854" s="10">
        <v>42</v>
      </c>
      <c r="M4854" s="6" t="s">
        <v>386</v>
      </c>
    </row>
    <row r="4855" spans="1:13">
      <c r="A4855" s="6">
        <v>2024</v>
      </c>
      <c r="B4855" s="6">
        <v>12</v>
      </c>
      <c r="C4855" s="6" t="s">
        <v>70</v>
      </c>
      <c r="D4855" s="6" t="s">
        <v>51</v>
      </c>
      <c r="E4855" s="6" t="s">
        <v>391</v>
      </c>
      <c r="F4855" s="6" t="str">
        <f>IF($M4855="PADD I","PADD 1",IF($M4855="PADD II","PADD 2",IF($M4855="PADD III","PADD 3",IF($M4855="PADD IV","PADD 4",IF($M4855="PADD V","PADD 5","")))))</f>
        <v>PADD 5</v>
      </c>
      <c r="G4855" s="6" t="str">
        <f>IF(AND($H4855="ATMOS DISTILLATION",ISNUMBER(SEARCH("VPS",$I4855))=FALSE,LEFT($I4855,6)&lt;&gt;"VACUUM"),"CDU",IF($H4855="FLUID CAT CRACKING","FCC",IF(OR($H4855="HYDROCRACKING",$H4855="RESID_HYDROCRACKING"),"Hydrocracker",IF($H4855="REFORMING","Reformer",""))))</f>
        <v>Reformer</v>
      </c>
      <c r="H4855" s="6" t="s">
        <v>421</v>
      </c>
      <c r="I4855" s="6" t="s">
        <v>539</v>
      </c>
      <c r="J4855" s="6" t="s">
        <v>345</v>
      </c>
      <c r="K4855" s="10">
        <v>17.4</v>
      </c>
      <c r="L4855" s="10">
        <v>60</v>
      </c>
      <c r="M4855" s="6" t="s">
        <v>386</v>
      </c>
    </row>
    <row r="4856" spans="1:13">
      <c r="A4856" s="6">
        <v>2024</v>
      </c>
      <c r="B4856" s="6">
        <v>12</v>
      </c>
      <c r="C4856" s="6" t="s">
        <v>70</v>
      </c>
      <c r="D4856" s="6" t="s">
        <v>48</v>
      </c>
      <c r="E4856" s="6" t="s">
        <v>388</v>
      </c>
      <c r="F4856" s="6" t="str">
        <f>IF($M4856="PADD I","PADD 1",IF($M4856="PADD II","PADD 2",IF($M4856="PADD III","PADD 3",IF($M4856="PADD IV","PADD 4",IF($M4856="PADD V","PADD 5","")))))</f>
        <v>PADD 2</v>
      </c>
      <c r="G4856" s="6">
        <f>IF(AND($H4856="ATMOS DISTILLATION",ISNUMBER(SEARCH("VPS",$I4856))=FALSE,LEFT($I4856,6)&lt;&gt;"VACUUM"),"CDU",IF($H4856="FLUID CAT CRACKING","FCC",IF(OR($H4856="HYDROCRACKING",$H4856="RESID_HYDROCRACKING"),"Hydrocracker",IF($H4856="REFORMING","Reformer",""))))</f>
        <v/>
      </c>
      <c r="H4856" s="6" t="s">
        <v>43</v>
      </c>
      <c r="I4856" s="6" t="s">
        <v>761</v>
      </c>
      <c r="J4856" s="6" t="s">
        <v>345</v>
      </c>
      <c r="K4856" s="10">
        <v>16.32</v>
      </c>
      <c r="L4856" s="10">
        <v>24</v>
      </c>
      <c r="M4856" s="6" t="s">
        <v>375</v>
      </c>
    </row>
    <row r="4857" spans="1:13">
      <c r="A4857" s="6">
        <v>2024</v>
      </c>
      <c r="B4857" s="6">
        <v>12</v>
      </c>
      <c r="C4857" s="6" t="s">
        <v>70</v>
      </c>
      <c r="D4857" s="6" t="s">
        <v>429</v>
      </c>
      <c r="E4857" s="6" t="s">
        <v>388</v>
      </c>
      <c r="F4857" s="6" t="str">
        <f>IF($M4857="PADD I","PADD 1",IF($M4857="PADD II","PADD 2",IF($M4857="PADD III","PADD 3",IF($M4857="PADD IV","PADD 4",IF($M4857="PADD V","PADD 5","")))))</f>
        <v>PADD 4</v>
      </c>
      <c r="G4857" s="6" t="str">
        <f>IF(AND($H4857="ATMOS DISTILLATION",ISNUMBER(SEARCH("VPS",$I4857))=FALSE,LEFT($I4857,6)&lt;&gt;"VACUUM"),"CDU",IF($H4857="FLUID CAT CRACKING","FCC",IF(OR($H4857="HYDROCRACKING",$H4857="RESID_HYDROCRACKING"),"Hydrocracker",IF($H4857="REFORMING","Reformer",""))))</f>
        <v>FCC</v>
      </c>
      <c r="H4857" s="6" t="s">
        <v>376</v>
      </c>
      <c r="I4857" s="6" t="s">
        <v>105</v>
      </c>
      <c r="J4857" s="6" t="s">
        <v>345</v>
      </c>
      <c r="K4857" s="10">
        <v>16.104</v>
      </c>
      <c r="L4857" s="10">
        <v>26.4</v>
      </c>
      <c r="M4857" s="6" t="s">
        <v>430</v>
      </c>
    </row>
    <row r="4858" spans="1:13">
      <c r="A4858" s="6">
        <v>2024</v>
      </c>
      <c r="B4858" s="6">
        <v>12</v>
      </c>
      <c r="C4858" s="6" t="s">
        <v>70</v>
      </c>
      <c r="D4858" s="6" t="s">
        <v>319</v>
      </c>
      <c r="E4858" s="6" t="s">
        <v>665</v>
      </c>
      <c r="F4858" s="6" t="str">
        <f>IF($M4858="PADD I","PADD 1",IF($M4858="PADD II","PADD 2",IF($M4858="PADD III","PADD 3",IF($M4858="PADD IV","PADD 4",IF($M4858="PADD V","PADD 5","")))))</f>
        <v>PADD 3</v>
      </c>
      <c r="G4858" s="6">
        <f>IF(AND($H4858="ATMOS DISTILLATION",ISNUMBER(SEARCH("VPS",$I4858))=FALSE,LEFT($I4858,6)&lt;&gt;"VACUUM"),"CDU",IF($H4858="FLUID CAT CRACKING","FCC",IF(OR($H4858="HYDROCRACKING",$H4858="RESID_HYDROCRACKING"),"Hydrocracker",IF($H4858="REFORMING","Reformer",""))))</f>
        <v/>
      </c>
      <c r="H4858" s="6" t="s">
        <v>378</v>
      </c>
      <c r="I4858" s="6" t="s">
        <v>877</v>
      </c>
      <c r="J4858" s="6" t="s">
        <v>345</v>
      </c>
      <c r="K4858" s="10">
        <v>14.608</v>
      </c>
      <c r="L4858" s="10">
        <v>91.3</v>
      </c>
      <c r="M4858" s="6" t="s">
        <v>371</v>
      </c>
    </row>
    <row r="4859" spans="1:13">
      <c r="A4859" s="6">
        <v>2024</v>
      </c>
      <c r="B4859" s="6">
        <v>12</v>
      </c>
      <c r="C4859" s="6" t="s">
        <v>70</v>
      </c>
      <c r="D4859" s="6" t="s">
        <v>51</v>
      </c>
      <c r="E4859" s="6" t="s">
        <v>391</v>
      </c>
      <c r="F4859" s="6" t="str">
        <f>IF($M4859="PADD I","PADD 1",IF($M4859="PADD II","PADD 2",IF($M4859="PADD III","PADD 3",IF($M4859="PADD IV","PADD 4",IF($M4859="PADD V","PADD 5","")))))</f>
        <v>PADD 5</v>
      </c>
      <c r="G4859" s="6">
        <f>IF(AND($H4859="ATMOS DISTILLATION",ISNUMBER(SEARCH("VPS",$I4859))=FALSE,LEFT($I4859,6)&lt;&gt;"VACUUM"),"CDU",IF($H4859="FLUID CAT CRACKING","FCC",IF(OR($H4859="HYDROCRACKING",$H4859="RESID_HYDROCRACKING"),"Hydrocracker",IF($H4859="REFORMING","Reformer",""))))</f>
        <v/>
      </c>
      <c r="H4859" s="6" t="s">
        <v>460</v>
      </c>
      <c r="I4859" s="6" t="s">
        <v>461</v>
      </c>
      <c r="J4859" s="6" t="s">
        <v>345</v>
      </c>
      <c r="K4859" s="10">
        <v>13.86</v>
      </c>
      <c r="L4859" s="10">
        <v>33</v>
      </c>
      <c r="M4859" s="6" t="s">
        <v>386</v>
      </c>
    </row>
    <row r="4860" spans="1:13">
      <c r="A4860" s="6">
        <v>2024</v>
      </c>
      <c r="B4860" s="6">
        <v>12</v>
      </c>
      <c r="C4860" s="6" t="s">
        <v>70</v>
      </c>
      <c r="D4860" s="6" t="s">
        <v>738</v>
      </c>
      <c r="E4860" s="6" t="s">
        <v>552</v>
      </c>
      <c r="F4860" s="6" t="str">
        <f>IF($M4860="PADD I","PADD 1",IF($M4860="PADD II","PADD 2",IF($M4860="PADD III","PADD 3",IF($M4860="PADD IV","PADD 4",IF($M4860="PADD V","PADD 5","")))))</f>
        <v>PADD 3</v>
      </c>
      <c r="G4860" s="6" t="str">
        <f>IF(AND($H4860="ATMOS DISTILLATION",ISNUMBER(SEARCH("VPS",$I4860))=FALSE,LEFT($I4860,6)&lt;&gt;"VACUUM"),"CDU",IF($H4860="FLUID CAT CRACKING","FCC",IF(OR($H4860="HYDROCRACKING",$H4860="RESID_HYDROCRACKING"),"Hydrocracker",IF($H4860="REFORMING","Reformer",""))))</f>
        <v>FCC</v>
      </c>
      <c r="H4860" s="6" t="s">
        <v>376</v>
      </c>
      <c r="I4860" s="6" t="s">
        <v>105</v>
      </c>
      <c r="J4860" s="6" t="s">
        <v>349</v>
      </c>
      <c r="K4860" s="10">
        <v>13.65</v>
      </c>
      <c r="L4860" s="10">
        <v>32.5</v>
      </c>
      <c r="M4860" s="6" t="s">
        <v>371</v>
      </c>
    </row>
    <row r="4861" spans="1:13">
      <c r="A4861" s="6">
        <v>2024</v>
      </c>
      <c r="B4861" s="6">
        <v>12</v>
      </c>
      <c r="C4861" s="6" t="s">
        <v>70</v>
      </c>
      <c r="D4861" s="6" t="s">
        <v>457</v>
      </c>
      <c r="E4861" s="6" t="s">
        <v>388</v>
      </c>
      <c r="F4861" s="6" t="str">
        <f>IF($M4861="PADD I","PADD 1",IF($M4861="PADD II","PADD 2",IF($M4861="PADD III","PADD 3",IF($M4861="PADD IV","PADD 4",IF($M4861="PADD V","PADD 5","")))))</f>
        <v>PADD 5</v>
      </c>
      <c r="G4861" s="6" t="str">
        <f>IF(AND($H4861="ATMOS DISTILLATION",ISNUMBER(SEARCH("VPS",$I4861))=FALSE,LEFT($I4861,6)&lt;&gt;"VACUUM"),"CDU",IF($H4861="FLUID CAT CRACKING","FCC",IF(OR($H4861="HYDROCRACKING",$H4861="RESID_HYDROCRACKING"),"Hydrocracker",IF($H4861="REFORMING","Reformer",""))))</f>
        <v>Hydrocracker</v>
      </c>
      <c r="H4861" s="6" t="s">
        <v>444</v>
      </c>
      <c r="I4861" s="6" t="s">
        <v>14</v>
      </c>
      <c r="J4861" s="6" t="s">
        <v>345</v>
      </c>
      <c r="K4861" s="10">
        <v>12.65</v>
      </c>
      <c r="L4861" s="10">
        <v>55</v>
      </c>
      <c r="M4861" s="6" t="s">
        <v>386</v>
      </c>
    </row>
    <row r="4862" spans="1:13">
      <c r="A4862" s="6">
        <v>2024</v>
      </c>
      <c r="B4862" s="6">
        <v>12</v>
      </c>
      <c r="C4862" s="6" t="s">
        <v>70</v>
      </c>
      <c r="D4862" s="6" t="s">
        <v>440</v>
      </c>
      <c r="E4862" s="6" t="s">
        <v>369</v>
      </c>
      <c r="F4862" s="6" t="str">
        <f>IF($M4862="PADD I","PADD 1",IF($M4862="PADD II","PADD 2",IF($M4862="PADD III","PADD 3",IF($M4862="PADD IV","PADD 4",IF($M4862="PADD V","PADD 5","")))))</f>
        <v>PADD 5</v>
      </c>
      <c r="G4862" s="6">
        <f>IF(AND($H4862="ATMOS DISTILLATION",ISNUMBER(SEARCH("VPS",$I4862))=FALSE,LEFT($I4862,6)&lt;&gt;"VACUUM"),"CDU",IF($H4862="FLUID CAT CRACKING","FCC",IF(OR($H4862="HYDROCRACKING",$H4862="RESID_HYDROCRACKING"),"Hydrocracker",IF($H4862="REFORMING","Reformer",""))))</f>
        <v/>
      </c>
      <c r="H4862" s="6" t="s">
        <v>43</v>
      </c>
      <c r="I4862" s="6" t="s">
        <v>667</v>
      </c>
      <c r="J4862" s="6" t="s">
        <v>349</v>
      </c>
      <c r="K4862" s="10">
        <v>11.6</v>
      </c>
      <c r="L4862" s="10">
        <v>40</v>
      </c>
      <c r="M4862" s="6" t="s">
        <v>386</v>
      </c>
    </row>
    <row r="4863" spans="1:13">
      <c r="A4863" s="6">
        <v>2024</v>
      </c>
      <c r="B4863" s="6">
        <v>12</v>
      </c>
      <c r="C4863" s="6" t="s">
        <v>70</v>
      </c>
      <c r="D4863" s="6" t="s">
        <v>446</v>
      </c>
      <c r="E4863" s="6" t="s">
        <v>391</v>
      </c>
      <c r="F4863" s="6" t="str">
        <f>IF($M4863="PADD I","PADD 1",IF($M4863="PADD II","PADD 2",IF($M4863="PADD III","PADD 3",IF($M4863="PADD IV","PADD 4",IF($M4863="PADD V","PADD 5","")))))</f>
        <v>PADD 3</v>
      </c>
      <c r="G4863" s="6" t="str">
        <f>IF(AND($H4863="ATMOS DISTILLATION",ISNUMBER(SEARCH("VPS",$I4863))=FALSE,LEFT($I4863,6)&lt;&gt;"VACUUM"),"CDU",IF($H4863="FLUID CAT CRACKING","FCC",IF(OR($H4863="HYDROCRACKING",$H4863="RESID_HYDROCRACKING"),"Hydrocracker",IF($H4863="REFORMING","Reformer",""))))</f>
        <v>CDU</v>
      </c>
      <c r="H4863" s="6" t="s">
        <v>38</v>
      </c>
      <c r="I4863" s="6" t="s">
        <v>81</v>
      </c>
      <c r="J4863" s="6" t="s">
        <v>349</v>
      </c>
      <c r="K4863" s="10">
        <v>10</v>
      </c>
      <c r="L4863" s="10">
        <v>100</v>
      </c>
      <c r="M4863" s="6" t="s">
        <v>371</v>
      </c>
    </row>
    <row r="4864" spans="1:13">
      <c r="A4864" s="6">
        <v>2024</v>
      </c>
      <c r="B4864" s="6">
        <v>12</v>
      </c>
      <c r="C4864" s="6" t="s">
        <v>70</v>
      </c>
      <c r="D4864" s="6" t="s">
        <v>799</v>
      </c>
      <c r="E4864" s="6" t="s">
        <v>391</v>
      </c>
      <c r="F4864" s="6" t="str">
        <f>IF($M4864="PADD I","PADD 1",IF($M4864="PADD II","PADD 2",IF($M4864="PADD III","PADD 3",IF($M4864="PADD IV","PADD 4",IF($M4864="PADD V","PADD 5","")))))</f>
        <v>PADD 4</v>
      </c>
      <c r="G4864" s="6">
        <f>IF(AND($H4864="ATMOS DISTILLATION",ISNUMBER(SEARCH("VPS",$I4864))=FALSE,LEFT($I4864,6)&lt;&gt;"VACUUM"),"CDU",IF($H4864="FLUID CAT CRACKING","FCC",IF(OR($H4864="HYDROCRACKING",$H4864="RESID_HYDROCRACKING"),"Hydrocracker",IF($H4864="REFORMING","Reformer",""))))</f>
        <v/>
      </c>
      <c r="H4864" s="6" t="s">
        <v>435</v>
      </c>
      <c r="I4864" s="6" t="s">
        <v>1188</v>
      </c>
      <c r="J4864" s="6" t="s">
        <v>345</v>
      </c>
      <c r="K4864" s="10">
        <v>9.699999999999999</v>
      </c>
      <c r="L4864" s="10">
        <v>10</v>
      </c>
      <c r="M4864" s="6" t="s">
        <v>430</v>
      </c>
    </row>
    <row r="4865" spans="1:13">
      <c r="A4865" s="6">
        <v>2024</v>
      </c>
      <c r="B4865" s="6">
        <v>12</v>
      </c>
      <c r="C4865" s="6" t="s">
        <v>70</v>
      </c>
      <c r="D4865" s="6" t="s">
        <v>437</v>
      </c>
      <c r="E4865" s="6" t="s">
        <v>438</v>
      </c>
      <c r="F4865" s="6" t="str">
        <f>IF($M4865="PADD I","PADD 1",IF($M4865="PADD II","PADD 2",IF($M4865="PADD III","PADD 3",IF($M4865="PADD IV","PADD 4",IF($M4865="PADD V","PADD 5","")))))</f>
        <v>PADD 4</v>
      </c>
      <c r="G4865" s="6">
        <f>IF(AND($H4865="ATMOS DISTILLATION",ISNUMBER(SEARCH("VPS",$I4865))=FALSE,LEFT($I4865,6)&lt;&gt;"VACUUM"),"CDU",IF($H4865="FLUID CAT CRACKING","FCC",IF(OR($H4865="HYDROCRACKING",$H4865="RESID_HYDROCRACKING"),"Hydrocracker",IF($H4865="REFORMING","Reformer",""))))</f>
        <v/>
      </c>
      <c r="H4865" s="6" t="s">
        <v>43</v>
      </c>
      <c r="I4865" s="6" t="s">
        <v>493</v>
      </c>
      <c r="J4865" s="6" t="s">
        <v>345</v>
      </c>
      <c r="K4865" s="10">
        <v>8.19</v>
      </c>
      <c r="L4865" s="10">
        <v>21</v>
      </c>
      <c r="M4865" s="6" t="s">
        <v>430</v>
      </c>
    </row>
    <row r="4866" spans="1:13">
      <c r="A4866" s="6">
        <v>2024</v>
      </c>
      <c r="B4866" s="6">
        <v>12</v>
      </c>
      <c r="C4866" s="6" t="s">
        <v>70</v>
      </c>
      <c r="D4866" s="6" t="s">
        <v>526</v>
      </c>
      <c r="E4866" s="6" t="s">
        <v>405</v>
      </c>
      <c r="F4866" s="6" t="str">
        <f>IF($M4866="PADD I","PADD 1",IF($M4866="PADD II","PADD 2",IF($M4866="PADD III","PADD 3",IF($M4866="PADD IV","PADD 4",IF($M4866="PADD V","PADD 5","")))))</f>
        <v>PADD 3</v>
      </c>
      <c r="G4866" s="6">
        <f>IF(AND($H4866="ATMOS DISTILLATION",ISNUMBER(SEARCH("VPS",$I4866))=FALSE,LEFT($I4866,6)&lt;&gt;"VACUUM"),"CDU",IF($H4866="FLUID CAT CRACKING","FCC",IF(OR($H4866="HYDROCRACKING",$H4866="RESID_HYDROCRACKING"),"Hydrocracker",IF($H4866="REFORMING","Reformer",""))))</f>
        <v/>
      </c>
      <c r="H4866" s="6" t="s">
        <v>378</v>
      </c>
      <c r="I4866" s="6" t="s">
        <v>649</v>
      </c>
      <c r="J4866" s="6" t="s">
        <v>345</v>
      </c>
      <c r="K4866" s="10">
        <v>7.68</v>
      </c>
      <c r="L4866" s="10">
        <v>48</v>
      </c>
      <c r="M4866" s="6" t="s">
        <v>371</v>
      </c>
    </row>
    <row r="4867" spans="1:13">
      <c r="A4867" s="6">
        <v>2024</v>
      </c>
      <c r="B4867" s="6">
        <v>12</v>
      </c>
      <c r="C4867" s="6" t="s">
        <v>70</v>
      </c>
      <c r="D4867" s="6" t="s">
        <v>51</v>
      </c>
      <c r="E4867" s="6" t="s">
        <v>391</v>
      </c>
      <c r="F4867" s="6" t="str">
        <f>IF($M4867="PADD I","PADD 1",IF($M4867="PADD II","PADD 2",IF($M4867="PADD III","PADD 3",IF($M4867="PADD IV","PADD 4",IF($M4867="PADD V","PADD 5","")))))</f>
        <v>PADD 5</v>
      </c>
      <c r="G4867" s="6" t="str">
        <f>IF(AND($H4867="ATMOS DISTILLATION",ISNUMBER(SEARCH("VPS",$I4867))=FALSE,LEFT($I4867,6)&lt;&gt;"VACUUM"),"CDU",IF($H4867="FLUID CAT CRACKING","FCC",IF(OR($H4867="HYDROCRACKING",$H4867="RESID_HYDROCRACKING"),"Hydrocracker",IF($H4867="REFORMING","Reformer",""))))</f>
        <v>Hydrocracker</v>
      </c>
      <c r="H4867" s="6" t="s">
        <v>444</v>
      </c>
      <c r="I4867" s="6" t="s">
        <v>1074</v>
      </c>
      <c r="J4867" s="6" t="s">
        <v>345</v>
      </c>
      <c r="K4867" s="10">
        <v>7.2</v>
      </c>
      <c r="L4867" s="10">
        <v>45</v>
      </c>
      <c r="M4867" s="6" t="s">
        <v>386</v>
      </c>
    </row>
    <row r="4868" spans="1:13">
      <c r="A4868" s="6">
        <v>2024</v>
      </c>
      <c r="B4868" s="6">
        <v>12</v>
      </c>
      <c r="C4868" s="6" t="s">
        <v>70</v>
      </c>
      <c r="D4868" s="6" t="s">
        <v>53</v>
      </c>
      <c r="E4868" s="6" t="s">
        <v>543</v>
      </c>
      <c r="F4868" s="6" t="str">
        <f>IF($M4868="PADD I","PADD 1",IF($M4868="PADD II","PADD 2",IF($M4868="PADD III","PADD 3",IF($M4868="PADD IV","PADD 4",IF($M4868="PADD V","PADD 5","")))))</f>
        <v>PADD 5</v>
      </c>
      <c r="G4868" s="6" t="str">
        <f>IF(AND($H4868="ATMOS DISTILLATION",ISNUMBER(SEARCH("VPS",$I4868))=FALSE,LEFT($I4868,6)&lt;&gt;"VACUUM"),"CDU",IF($H4868="FLUID CAT CRACKING","FCC",IF(OR($H4868="HYDROCRACKING",$H4868="RESID_HYDROCRACKING"),"Hydrocracker",IF($H4868="REFORMING","Reformer",""))))</f>
        <v>Hydrocracker</v>
      </c>
      <c r="H4868" s="6" t="s">
        <v>444</v>
      </c>
      <c r="I4868" s="6" t="s">
        <v>14</v>
      </c>
      <c r="J4868" s="6" t="s">
        <v>345</v>
      </c>
      <c r="K4868" s="10">
        <v>7.15</v>
      </c>
      <c r="L4868" s="10">
        <v>55</v>
      </c>
      <c r="M4868" s="6" t="s">
        <v>386</v>
      </c>
    </row>
    <row r="4869" spans="1:13">
      <c r="A4869" s="6">
        <v>2024</v>
      </c>
      <c r="B4869" s="6">
        <v>12</v>
      </c>
      <c r="C4869" s="6" t="s">
        <v>70</v>
      </c>
      <c r="D4869" s="6" t="s">
        <v>774</v>
      </c>
      <c r="E4869" s="6" t="s">
        <v>775</v>
      </c>
      <c r="F4869" s="6" t="str">
        <f>IF($M4869="PADD I","PADD 1",IF($M4869="PADD II","PADD 2",IF($M4869="PADD III","PADD 3",IF($M4869="PADD IV","PADD 4",IF($M4869="PADD V","PADD 5","")))))</f>
        <v>PADD 1</v>
      </c>
      <c r="G4869" s="6" t="str">
        <f>IF(AND($H4869="ATMOS DISTILLATION",ISNUMBER(SEARCH("VPS",$I4869))=FALSE,LEFT($I4869,6)&lt;&gt;"VACUUM"),"CDU",IF($H4869="FLUID CAT CRACKING","FCC",IF(OR($H4869="HYDROCRACKING",$H4869="RESID_HYDROCRACKING"),"Hydrocracker",IF($H4869="REFORMING","Reformer",""))))</f>
        <v>Hydrocracker</v>
      </c>
      <c r="H4869" s="6" t="s">
        <v>444</v>
      </c>
      <c r="I4869" s="6" t="s">
        <v>14</v>
      </c>
      <c r="J4869" s="6" t="s">
        <v>345</v>
      </c>
      <c r="K4869" s="10">
        <v>7.02</v>
      </c>
      <c r="L4869" s="10">
        <v>18</v>
      </c>
      <c r="M4869" s="6" t="s">
        <v>413</v>
      </c>
    </row>
    <row r="4870" spans="1:13">
      <c r="A4870" s="6">
        <v>2024</v>
      </c>
      <c r="B4870" s="6">
        <v>12</v>
      </c>
      <c r="C4870" s="6" t="s">
        <v>70</v>
      </c>
      <c r="D4870" s="6" t="s">
        <v>446</v>
      </c>
      <c r="E4870" s="6" t="s">
        <v>391</v>
      </c>
      <c r="F4870" s="6" t="str">
        <f>IF($M4870="PADD I","PADD 1",IF($M4870="PADD II","PADD 2",IF($M4870="PADD III","PADD 3",IF($M4870="PADD IV","PADD 4",IF($M4870="PADD V","PADD 5","")))))</f>
        <v>PADD 3</v>
      </c>
      <c r="G4870" s="6" t="str">
        <f>IF(AND($H4870="ATMOS DISTILLATION",ISNUMBER(SEARCH("VPS",$I4870))=FALSE,LEFT($I4870,6)&lt;&gt;"VACUUM"),"CDU",IF($H4870="FLUID CAT CRACKING","FCC",IF(OR($H4870="HYDROCRACKING",$H4870="RESID_HYDROCRACKING"),"Hydrocracker",IF($H4870="REFORMING","Reformer",""))))</f>
        <v>CDU</v>
      </c>
      <c r="H4870" s="6" t="s">
        <v>38</v>
      </c>
      <c r="I4870" s="6" t="s">
        <v>81</v>
      </c>
      <c r="J4870" s="6" t="s">
        <v>345</v>
      </c>
      <c r="K4870" s="10">
        <v>6.942</v>
      </c>
      <c r="L4870" s="10">
        <v>115.7</v>
      </c>
      <c r="M4870" s="6" t="s">
        <v>371</v>
      </c>
    </row>
    <row r="4871" spans="1:13">
      <c r="A4871" s="6">
        <v>2024</v>
      </c>
      <c r="B4871" s="6">
        <v>12</v>
      </c>
      <c r="C4871" s="6" t="s">
        <v>70</v>
      </c>
      <c r="D4871" s="6" t="s">
        <v>434</v>
      </c>
      <c r="E4871" s="6" t="s">
        <v>388</v>
      </c>
      <c r="F4871" s="6" t="str">
        <f>IF($M4871="PADD I","PADD 1",IF($M4871="PADD II","PADD 2",IF($M4871="PADD III","PADD 3",IF($M4871="PADD IV","PADD 4",IF($M4871="PADD V","PADD 5","")))))</f>
        <v>PADD 5</v>
      </c>
      <c r="G4871" s="6" t="str">
        <f>IF(AND($H4871="ATMOS DISTILLATION",ISNUMBER(SEARCH("VPS",$I4871))=FALSE,LEFT($I4871,6)&lt;&gt;"VACUUM"),"CDU",IF($H4871="FLUID CAT CRACKING","FCC",IF(OR($H4871="HYDROCRACKING",$H4871="RESID_HYDROCRACKING"),"Hydrocracker",IF($H4871="REFORMING","Reformer",""))))</f>
        <v>Reformer</v>
      </c>
      <c r="H4871" s="6" t="s">
        <v>421</v>
      </c>
      <c r="I4871" s="6" t="s">
        <v>671</v>
      </c>
      <c r="J4871" s="6" t="s">
        <v>345</v>
      </c>
      <c r="K4871" s="10">
        <v>6.75</v>
      </c>
      <c r="L4871" s="10">
        <v>15</v>
      </c>
      <c r="M4871" s="6" t="s">
        <v>386</v>
      </c>
    </row>
    <row r="4872" spans="1:13">
      <c r="A4872" s="6">
        <v>2024</v>
      </c>
      <c r="B4872" s="6">
        <v>12</v>
      </c>
      <c r="C4872" s="6" t="s">
        <v>70</v>
      </c>
      <c r="D4872" s="6" t="s">
        <v>437</v>
      </c>
      <c r="E4872" s="6" t="s">
        <v>438</v>
      </c>
      <c r="F4872" s="6" t="str">
        <f>IF($M4872="PADD I","PADD 1",IF($M4872="PADD II","PADD 2",IF($M4872="PADD III","PADD 3",IF($M4872="PADD IV","PADD 4",IF($M4872="PADD V","PADD 5","")))))</f>
        <v>PADD 4</v>
      </c>
      <c r="G4872" s="6" t="str">
        <f>IF(AND($H4872="ATMOS DISTILLATION",ISNUMBER(SEARCH("VPS",$I4872))=FALSE,LEFT($I4872,6)&lt;&gt;"VACUUM"),"CDU",IF($H4872="FLUID CAT CRACKING","FCC",IF(OR($H4872="HYDROCRACKING",$H4872="RESID_HYDROCRACKING"),"Hydrocracker",IF($H4872="REFORMING","Reformer",""))))</f>
        <v>CDU</v>
      </c>
      <c r="H4872" s="6" t="s">
        <v>38</v>
      </c>
      <c r="I4872" s="6" t="s">
        <v>439</v>
      </c>
      <c r="J4872" s="6" t="s">
        <v>345</v>
      </c>
      <c r="K4872" s="10">
        <v>6.24</v>
      </c>
      <c r="L4872" s="10">
        <v>39</v>
      </c>
      <c r="M4872" s="6" t="s">
        <v>430</v>
      </c>
    </row>
    <row r="4873" spans="1:13">
      <c r="A4873" s="6">
        <v>2024</v>
      </c>
      <c r="B4873" s="6">
        <v>12</v>
      </c>
      <c r="C4873" s="6" t="s">
        <v>70</v>
      </c>
      <c r="D4873" s="6" t="s">
        <v>878</v>
      </c>
      <c r="E4873" s="6" t="s">
        <v>452</v>
      </c>
      <c r="F4873" s="6" t="str">
        <f>IF($M4873="PADD I","PADD 1",IF($M4873="PADD II","PADD 2",IF($M4873="PADD III","PADD 3",IF($M4873="PADD IV","PADD 4",IF($M4873="PADD V","PADD 5","")))))</f>
        <v>PADD 2</v>
      </c>
      <c r="G4873" s="6">
        <f>IF(AND($H4873="ATMOS DISTILLATION",ISNUMBER(SEARCH("VPS",$I4873))=FALSE,LEFT($I4873,6)&lt;&gt;"VACUUM"),"CDU",IF($H4873="FLUID CAT CRACKING","FCC",IF(OR($H4873="HYDROCRACKING",$H4873="RESID_HYDROCRACKING"),"Hydrocracker",IF($H4873="REFORMING","Reformer",""))))</f>
        <v/>
      </c>
      <c r="H4873" s="6" t="s">
        <v>435</v>
      </c>
      <c r="I4873" s="6" t="s">
        <v>441</v>
      </c>
      <c r="J4873" s="6" t="s">
        <v>345</v>
      </c>
      <c r="K4873" s="10">
        <v>5.525</v>
      </c>
      <c r="L4873" s="10">
        <v>8.5</v>
      </c>
      <c r="M4873" s="6" t="s">
        <v>375</v>
      </c>
    </row>
    <row r="4874" spans="1:13">
      <c r="A4874" s="6">
        <v>2024</v>
      </c>
      <c r="B4874" s="6">
        <v>12</v>
      </c>
      <c r="C4874" s="6" t="s">
        <v>70</v>
      </c>
      <c r="D4874" s="6" t="s">
        <v>319</v>
      </c>
      <c r="E4874" s="6" t="s">
        <v>665</v>
      </c>
      <c r="F4874" s="6" t="str">
        <f>IF($M4874="PADD I","PADD 1",IF($M4874="PADD II","PADD 2",IF($M4874="PADD III","PADD 3",IF($M4874="PADD IV","PADD 4",IF($M4874="PADD V","PADD 5","")))))</f>
        <v>PADD 3</v>
      </c>
      <c r="G4874" s="6">
        <f>IF(AND($H4874="ATMOS DISTILLATION",ISNUMBER(SEARCH("VPS",$I4874))=FALSE,LEFT($I4874,6)&lt;&gt;"VACUUM"),"CDU",IF($H4874="FLUID CAT CRACKING","FCC",IF(OR($H4874="HYDROCRACKING",$H4874="RESID_HYDROCRACKING"),"Hydrocracker",IF($H4874="REFORMING","Reformer",""))))</f>
        <v/>
      </c>
      <c r="H4874" s="6" t="s">
        <v>435</v>
      </c>
      <c r="I4874" s="6" t="s">
        <v>441</v>
      </c>
      <c r="J4874" s="6" t="s">
        <v>345</v>
      </c>
      <c r="K4874" s="10">
        <v>4.9174</v>
      </c>
      <c r="L4874" s="10">
        <v>21.38</v>
      </c>
      <c r="M4874" s="6" t="s">
        <v>371</v>
      </c>
    </row>
    <row r="4875" spans="1:13">
      <c r="A4875" s="6">
        <v>2024</v>
      </c>
      <c r="B4875" s="6">
        <v>12</v>
      </c>
      <c r="C4875" s="6" t="s">
        <v>70</v>
      </c>
      <c r="D4875" s="6" t="s">
        <v>440</v>
      </c>
      <c r="E4875" s="6" t="s">
        <v>369</v>
      </c>
      <c r="F4875" s="6" t="str">
        <f>IF($M4875="PADD I","PADD 1",IF($M4875="PADD II","PADD 2",IF($M4875="PADD III","PADD 3",IF($M4875="PADD IV","PADD 4",IF($M4875="PADD V","PADD 5","")))))</f>
        <v>PADD 5</v>
      </c>
      <c r="G4875" s="6">
        <f>IF(AND($H4875="ATMOS DISTILLATION",ISNUMBER(SEARCH("VPS",$I4875))=FALSE,LEFT($I4875,6)&lt;&gt;"VACUUM"),"CDU",IF($H4875="FLUID CAT CRACKING","FCC",IF(OR($H4875="HYDROCRACKING",$H4875="RESID_HYDROCRACKING"),"Hydrocracker",IF($H4875="REFORMING","Reformer",""))))</f>
        <v/>
      </c>
      <c r="H4875" s="6" t="s">
        <v>43</v>
      </c>
      <c r="I4875" s="6" t="s">
        <v>667</v>
      </c>
      <c r="J4875" s="6" t="s">
        <v>345</v>
      </c>
      <c r="K4875" s="10">
        <v>4</v>
      </c>
      <c r="L4875" s="10">
        <v>40</v>
      </c>
      <c r="M4875" s="6" t="s">
        <v>386</v>
      </c>
    </row>
    <row r="4876" spans="1:13">
      <c r="A4876" s="6">
        <v>2024</v>
      </c>
      <c r="B4876" s="6">
        <v>12</v>
      </c>
      <c r="C4876" s="6" t="s">
        <v>70</v>
      </c>
      <c r="D4876" s="6" t="s">
        <v>1043</v>
      </c>
      <c r="E4876" s="6" t="s">
        <v>388</v>
      </c>
      <c r="F4876" s="6" t="str">
        <f>IF($M4876="PADD I","PADD 1",IF($M4876="PADD II","PADD 2",IF($M4876="PADD III","PADD 3",IF($M4876="PADD IV","PADD 4",IF($M4876="PADD V","PADD 5","")))))</f>
        <v>PADD 2</v>
      </c>
      <c r="G4876" s="6">
        <f>IF(AND($H4876="ATMOS DISTILLATION",ISNUMBER(SEARCH("VPS",$I4876))=FALSE,LEFT($I4876,6)&lt;&gt;"VACUUM"),"CDU",IF($H4876="FLUID CAT CRACKING","FCC",IF(OR($H4876="HYDROCRACKING",$H4876="RESID_HYDROCRACKING"),"Hydrocracker",IF($H4876="REFORMING","Reformer",""))))</f>
        <v/>
      </c>
      <c r="H4876" s="6" t="s">
        <v>43</v>
      </c>
      <c r="I4876" s="6" t="s">
        <v>1052</v>
      </c>
      <c r="J4876" s="6" t="s">
        <v>345</v>
      </c>
      <c r="K4876" s="10">
        <v>3.808</v>
      </c>
      <c r="L4876" s="10">
        <v>23.8</v>
      </c>
      <c r="M4876" s="6" t="s">
        <v>375</v>
      </c>
    </row>
    <row r="4877" spans="1:13">
      <c r="A4877" s="6">
        <v>2024</v>
      </c>
      <c r="B4877" s="6">
        <v>12</v>
      </c>
      <c r="C4877" s="6" t="s">
        <v>70</v>
      </c>
      <c r="D4877" s="6" t="s">
        <v>331</v>
      </c>
      <c r="E4877" s="6" t="s">
        <v>373</v>
      </c>
      <c r="F4877" s="6" t="str">
        <f>IF($M4877="PADD I","PADD 1",IF($M4877="PADD II","PADD 2",IF($M4877="PADD III","PADD 3",IF($M4877="PADD IV","PADD 4",IF($M4877="PADD V","PADD 5","")))))</f>
        <v>PADD 2</v>
      </c>
      <c r="G4877" s="6">
        <f>IF(AND($H4877="ATMOS DISTILLATION",ISNUMBER(SEARCH("VPS",$I4877))=FALSE,LEFT($I4877,6)&lt;&gt;"VACUUM"),"CDU",IF($H4877="FLUID CAT CRACKING","FCC",IF(OR($H4877="HYDROCRACKING",$H4877="RESID_HYDROCRACKING"),"Hydrocracker",IF($H4877="REFORMING","Reformer",""))))</f>
        <v/>
      </c>
      <c r="H4877" s="6" t="s">
        <v>435</v>
      </c>
      <c r="I4877" s="6" t="s">
        <v>441</v>
      </c>
      <c r="J4877" s="6" t="s">
        <v>345</v>
      </c>
      <c r="K4877" s="10">
        <v>3.68</v>
      </c>
      <c r="L4877" s="10">
        <v>23</v>
      </c>
      <c r="M4877" s="6" t="s">
        <v>375</v>
      </c>
    </row>
    <row r="4878" spans="1:13">
      <c r="A4878" s="6">
        <v>2024</v>
      </c>
      <c r="B4878" s="6">
        <v>12</v>
      </c>
      <c r="C4878" s="6" t="s">
        <v>70</v>
      </c>
      <c r="D4878" s="6" t="s">
        <v>50</v>
      </c>
      <c r="E4878" s="6" t="s">
        <v>381</v>
      </c>
      <c r="F4878" s="6" t="str">
        <f>IF($M4878="PADD I","PADD 1",IF($M4878="PADD II","PADD 2",IF($M4878="PADD III","PADD 3",IF($M4878="PADD IV","PADD 4",IF($M4878="PADD V","PADD 5","")))))</f>
        <v>PADD 3</v>
      </c>
      <c r="G4878" s="6" t="str">
        <f>IF(AND($H4878="ATMOS DISTILLATION",ISNUMBER(SEARCH("VPS",$I4878))=FALSE,LEFT($I4878,6)&lt;&gt;"VACUUM"),"CDU",IF($H4878="FLUID CAT CRACKING","FCC",IF(OR($H4878="HYDROCRACKING",$H4878="RESID_HYDROCRACKING"),"Hydrocracker",IF($H4878="REFORMING","Reformer",""))))</f>
        <v>Reformer</v>
      </c>
      <c r="H4878" s="6" t="s">
        <v>421</v>
      </c>
      <c r="I4878" s="6" t="s">
        <v>1086</v>
      </c>
      <c r="J4878" s="6" t="s">
        <v>349</v>
      </c>
      <c r="K4878" s="10">
        <v>3.25</v>
      </c>
      <c r="L4878" s="10">
        <v>25</v>
      </c>
      <c r="M4878" s="6" t="s">
        <v>371</v>
      </c>
    </row>
    <row r="4879" spans="1:13">
      <c r="A4879" s="6">
        <v>2024</v>
      </c>
      <c r="B4879" s="6">
        <v>12</v>
      </c>
      <c r="C4879" s="6" t="s">
        <v>70</v>
      </c>
      <c r="D4879" s="6" t="s">
        <v>803</v>
      </c>
      <c r="E4879" s="6" t="s">
        <v>388</v>
      </c>
      <c r="F4879" s="6" t="str">
        <f>IF($M4879="PADD I","PADD 1",IF($M4879="PADD II","PADD 2",IF($M4879="PADD III","PADD 3",IF($M4879="PADD IV","PADD 4",IF($M4879="PADD V","PADD 5","")))))</f>
        <v>PADD 2</v>
      </c>
      <c r="G4879" s="6">
        <f>IF(AND($H4879="ATMOS DISTILLATION",ISNUMBER(SEARCH("VPS",$I4879))=FALSE,LEFT($I4879,6)&lt;&gt;"VACUUM"),"CDU",IF($H4879="FLUID CAT CRACKING","FCC",IF(OR($H4879="HYDROCRACKING",$H4879="RESID_HYDROCRACKING"),"Hydrocracker",IF($H4879="REFORMING","Reformer",""))))</f>
        <v/>
      </c>
      <c r="H4879" s="6" t="s">
        <v>43</v>
      </c>
      <c r="I4879" s="6" t="s">
        <v>918</v>
      </c>
      <c r="J4879" s="6" t="s">
        <v>345</v>
      </c>
      <c r="K4879" s="10">
        <v>3.2</v>
      </c>
      <c r="L4879" s="10">
        <v>32</v>
      </c>
      <c r="M4879" s="6" t="s">
        <v>375</v>
      </c>
    </row>
    <row r="4880" spans="1:13">
      <c r="A4880" s="6">
        <v>2024</v>
      </c>
      <c r="B4880" s="6">
        <v>12</v>
      </c>
      <c r="C4880" s="6" t="s">
        <v>70</v>
      </c>
      <c r="D4880" s="6" t="s">
        <v>878</v>
      </c>
      <c r="E4880" s="6" t="s">
        <v>452</v>
      </c>
      <c r="F4880" s="6" t="str">
        <f>IF($M4880="PADD I","PADD 1",IF($M4880="PADD II","PADD 2",IF($M4880="PADD III","PADD 3",IF($M4880="PADD IV","PADD 4",IF($M4880="PADD V","PADD 5","")))))</f>
        <v>PADD 2</v>
      </c>
      <c r="G4880" s="6" t="str">
        <f>IF(AND($H4880="ATMOS DISTILLATION",ISNUMBER(SEARCH("VPS",$I4880))=FALSE,LEFT($I4880,6)&lt;&gt;"VACUUM"),"CDU",IF($H4880="FLUID CAT CRACKING","FCC",IF(OR($H4880="HYDROCRACKING",$H4880="RESID_HYDROCRACKING"),"Hydrocracker",IF($H4880="REFORMING","Reformer",""))))</f>
        <v>CDU</v>
      </c>
      <c r="H4880" s="6" t="s">
        <v>38</v>
      </c>
      <c r="I4880" s="6" t="s">
        <v>879</v>
      </c>
      <c r="J4880" s="6" t="s">
        <v>345</v>
      </c>
      <c r="K4880" s="10">
        <v>2.7306</v>
      </c>
      <c r="L4880" s="10">
        <v>91.02</v>
      </c>
      <c r="M4880" s="6" t="s">
        <v>375</v>
      </c>
    </row>
    <row r="4881" spans="1:13">
      <c r="A4881" s="6">
        <v>2024</v>
      </c>
      <c r="B4881" s="6">
        <v>12</v>
      </c>
      <c r="C4881" s="6" t="s">
        <v>70</v>
      </c>
      <c r="D4881" s="6" t="s">
        <v>628</v>
      </c>
      <c r="E4881" s="6" t="s">
        <v>388</v>
      </c>
      <c r="F4881" s="6" t="str">
        <f>IF($M4881="PADD I","PADD 1",IF($M4881="PADD II","PADD 2",IF($M4881="PADD III","PADD 3",IF($M4881="PADD IV","PADD 4",IF($M4881="PADD V","PADD 5","")))))</f>
        <v>PADD 3</v>
      </c>
      <c r="G4881" s="6">
        <f>IF(AND($H4881="ATMOS DISTILLATION",ISNUMBER(SEARCH("VPS",$I4881))=FALSE,LEFT($I4881,6)&lt;&gt;"VACUUM"),"CDU",IF($H4881="FLUID CAT CRACKING","FCC",IF(OR($H4881="HYDROCRACKING",$H4881="RESID_HYDROCRACKING"),"Hydrocracker",IF($H4881="REFORMING","Reformer",""))))</f>
        <v/>
      </c>
      <c r="H4881" s="6" t="s">
        <v>460</v>
      </c>
      <c r="I4881" s="6" t="s">
        <v>616</v>
      </c>
      <c r="J4881" s="6" t="s">
        <v>345</v>
      </c>
      <c r="K4881" s="10">
        <v>2.622</v>
      </c>
      <c r="L4881" s="10">
        <v>13.8</v>
      </c>
      <c r="M4881" s="6" t="s">
        <v>371</v>
      </c>
    </row>
    <row r="4882" spans="1:13">
      <c r="A4882" s="6">
        <v>2024</v>
      </c>
      <c r="B4882" s="6">
        <v>12</v>
      </c>
      <c r="C4882" s="6" t="s">
        <v>70</v>
      </c>
      <c r="D4882" s="6" t="s">
        <v>799</v>
      </c>
      <c r="E4882" s="6" t="s">
        <v>391</v>
      </c>
      <c r="F4882" s="6" t="str">
        <f>IF($M4882="PADD I","PADD 1",IF($M4882="PADD II","PADD 2",IF($M4882="PADD III","PADD 3",IF($M4882="PADD IV","PADD 4",IF($M4882="PADD V","PADD 5","")))))</f>
        <v>PADD 4</v>
      </c>
      <c r="G4882" s="6">
        <f>IF(AND($H4882="ATMOS DISTILLATION",ISNUMBER(SEARCH("VPS",$I4882))=FALSE,LEFT($I4882,6)&lt;&gt;"VACUUM"),"CDU",IF($H4882="FLUID CAT CRACKING","FCC",IF(OR($H4882="HYDROCRACKING",$H4882="RESID_HYDROCRACKING"),"Hydrocracker",IF($H4882="REFORMING","Reformer",""))))</f>
        <v/>
      </c>
      <c r="H4882" s="6" t="s">
        <v>435</v>
      </c>
      <c r="I4882" s="6" t="s">
        <v>1188</v>
      </c>
      <c r="J4882" s="6" t="s">
        <v>345</v>
      </c>
      <c r="K4882" s="10">
        <v>2.378</v>
      </c>
      <c r="L4882" s="10">
        <v>8.199999999999999</v>
      </c>
      <c r="M4882" s="6" t="s">
        <v>430</v>
      </c>
    </row>
    <row r="4883" spans="1:13">
      <c r="A4883" s="6">
        <v>2024</v>
      </c>
      <c r="B4883" s="6">
        <v>12</v>
      </c>
      <c r="C4883" s="6" t="s">
        <v>70</v>
      </c>
      <c r="D4883" s="6" t="s">
        <v>738</v>
      </c>
      <c r="E4883" s="6" t="s">
        <v>552</v>
      </c>
      <c r="F4883" s="6" t="str">
        <f>IF($M4883="PADD I","PADD 1",IF($M4883="PADD II","PADD 2",IF($M4883="PADD III","PADD 3",IF($M4883="PADD IV","PADD 4",IF($M4883="PADD V","PADD 5","")))))</f>
        <v>PADD 3</v>
      </c>
      <c r="G4883" s="6" t="str">
        <f>IF(AND($H4883="ATMOS DISTILLATION",ISNUMBER(SEARCH("VPS",$I4883))=FALSE,LEFT($I4883,6)&lt;&gt;"VACUUM"),"CDU",IF($H4883="FLUID CAT CRACKING","FCC",IF(OR($H4883="HYDROCRACKING",$H4883="RESID_HYDROCRACKING"),"Hydrocracker",IF($H4883="REFORMING","Reformer",""))))</f>
        <v>CDU</v>
      </c>
      <c r="H4883" s="6" t="s">
        <v>38</v>
      </c>
      <c r="I4883" s="6" t="s">
        <v>81</v>
      </c>
      <c r="J4883" s="6" t="s">
        <v>349</v>
      </c>
      <c r="K4883" s="10">
        <v>2.22</v>
      </c>
      <c r="L4883" s="10">
        <v>74</v>
      </c>
      <c r="M4883" s="6" t="s">
        <v>371</v>
      </c>
    </row>
    <row r="4884" spans="1:13">
      <c r="A4884" s="6">
        <v>2024</v>
      </c>
      <c r="B4884" s="6">
        <v>12</v>
      </c>
      <c r="C4884" s="6" t="s">
        <v>70</v>
      </c>
      <c r="D4884" s="6" t="s">
        <v>446</v>
      </c>
      <c r="E4884" s="6" t="s">
        <v>391</v>
      </c>
      <c r="F4884" s="6" t="str">
        <f>IF($M4884="PADD I","PADD 1",IF($M4884="PADD II","PADD 2",IF($M4884="PADD III","PADD 3",IF($M4884="PADD IV","PADD 4",IF($M4884="PADD V","PADD 5","")))))</f>
        <v>PADD 3</v>
      </c>
      <c r="G4884" s="6">
        <f>IF(AND($H4884="ATMOS DISTILLATION",ISNUMBER(SEARCH("VPS",$I4884))=FALSE,LEFT($I4884,6)&lt;&gt;"VACUUM"),"CDU",IF($H4884="FLUID CAT CRACKING","FCC",IF(OR($H4884="HYDROCRACKING",$H4884="RESID_HYDROCRACKING"),"Hydrocracker",IF($H4884="REFORMING","Reformer",""))))</f>
        <v/>
      </c>
      <c r="H4884" s="6" t="s">
        <v>460</v>
      </c>
      <c r="I4884" s="6" t="s">
        <v>1075</v>
      </c>
      <c r="J4884" s="6" t="s">
        <v>345</v>
      </c>
      <c r="K4884" s="10">
        <v>2.088</v>
      </c>
      <c r="L4884" s="10">
        <v>7.2</v>
      </c>
      <c r="M4884" s="6" t="s">
        <v>371</v>
      </c>
    </row>
    <row r="4885" spans="1:13">
      <c r="A4885" s="6">
        <v>2024</v>
      </c>
      <c r="B4885" s="6">
        <v>12</v>
      </c>
      <c r="C4885" s="6" t="s">
        <v>70</v>
      </c>
      <c r="D4885" s="6" t="s">
        <v>446</v>
      </c>
      <c r="E4885" s="6" t="s">
        <v>391</v>
      </c>
      <c r="F4885" s="6" t="str">
        <f>IF($M4885="PADD I","PADD 1",IF($M4885="PADD II","PADD 2",IF($M4885="PADD III","PADD 3",IF($M4885="PADD IV","PADD 4",IF($M4885="PADD V","PADD 5","")))))</f>
        <v>PADD 3</v>
      </c>
      <c r="G4885" s="6">
        <f>IF(AND($H4885="ATMOS DISTILLATION",ISNUMBER(SEARCH("VPS",$I4885))=FALSE,LEFT($I4885,6)&lt;&gt;"VACUUM"),"CDU",IF($H4885="FLUID CAT CRACKING","FCC",IF(OR($H4885="HYDROCRACKING",$H4885="RESID_HYDROCRACKING"),"Hydrocracker",IF($H4885="REFORMING","Reformer",""))))</f>
        <v/>
      </c>
      <c r="H4885" s="6" t="s">
        <v>460</v>
      </c>
      <c r="I4885" s="6" t="s">
        <v>580</v>
      </c>
      <c r="J4885" s="6" t="s">
        <v>345</v>
      </c>
      <c r="K4885" s="10">
        <v>2.088</v>
      </c>
      <c r="L4885" s="10">
        <v>7.2</v>
      </c>
      <c r="M4885" s="6" t="s">
        <v>371</v>
      </c>
    </row>
    <row r="4886" spans="1:13">
      <c r="A4886" s="6">
        <v>2024</v>
      </c>
      <c r="B4886" s="6">
        <v>12</v>
      </c>
      <c r="C4886" s="6" t="s">
        <v>70</v>
      </c>
      <c r="D4886" s="6" t="s">
        <v>48</v>
      </c>
      <c r="E4886" s="6" t="s">
        <v>388</v>
      </c>
      <c r="F4886" s="6" t="str">
        <f>IF($M4886="PADD I","PADD 1",IF($M4886="PADD II","PADD 2",IF($M4886="PADD III","PADD 3",IF($M4886="PADD IV","PADD 4",IF($M4886="PADD V","PADD 5","")))))</f>
        <v>PADD 2</v>
      </c>
      <c r="G4886" s="6">
        <f>IF(AND($H4886="ATMOS DISTILLATION",ISNUMBER(SEARCH("VPS",$I4886))=FALSE,LEFT($I4886,6)&lt;&gt;"VACUUM"),"CDU",IF($H4886="FLUID CAT CRACKING","FCC",IF(OR($H4886="HYDROCRACKING",$H4886="RESID_HYDROCRACKING"),"Hydrocracker",IF($H4886="REFORMING","Reformer",""))))</f>
        <v/>
      </c>
      <c r="H4886" s="6" t="s">
        <v>435</v>
      </c>
      <c r="I4886" s="6" t="s">
        <v>631</v>
      </c>
      <c r="J4886" s="6" t="s">
        <v>345</v>
      </c>
      <c r="K4886" s="10">
        <v>1.92</v>
      </c>
      <c r="L4886" s="10">
        <v>12</v>
      </c>
      <c r="M4886" s="6" t="s">
        <v>375</v>
      </c>
    </row>
    <row r="4887" spans="1:13">
      <c r="A4887" s="6">
        <v>2024</v>
      </c>
      <c r="B4887" s="6">
        <v>12</v>
      </c>
      <c r="C4887" s="6" t="s">
        <v>70</v>
      </c>
      <c r="D4887" s="6" t="s">
        <v>662</v>
      </c>
      <c r="E4887" s="6" t="s">
        <v>552</v>
      </c>
      <c r="F4887" s="6" t="str">
        <f>IF($M4887="PADD I","PADD 1",IF($M4887="PADD II","PADD 2",IF($M4887="PADD III","PADD 3",IF($M4887="PADD IV","PADD 4",IF($M4887="PADD V","PADD 5","")))))</f>
        <v>PADD 3</v>
      </c>
      <c r="G4887" s="6">
        <f>IF(AND($H4887="ATMOS DISTILLATION",ISNUMBER(SEARCH("VPS",$I4887))=FALSE,LEFT($I4887,6)&lt;&gt;"VACUUM"),"CDU",IF($H4887="FLUID CAT CRACKING","FCC",IF(OR($H4887="HYDROCRACKING",$H4887="RESID_HYDROCRACKING"),"Hydrocracker",IF($H4887="REFORMING","Reformer",""))))</f>
        <v/>
      </c>
      <c r="H4887" s="6" t="s">
        <v>43</v>
      </c>
      <c r="I4887" s="6" t="s">
        <v>844</v>
      </c>
      <c r="J4887" s="6" t="s">
        <v>349</v>
      </c>
      <c r="K4887" s="10">
        <v>1.75</v>
      </c>
      <c r="L4887" s="10">
        <v>5</v>
      </c>
      <c r="M4887" s="6" t="s">
        <v>371</v>
      </c>
    </row>
    <row r="4888" spans="1:13">
      <c r="A4888" s="6">
        <v>2024</v>
      </c>
      <c r="B4888" s="6">
        <v>12</v>
      </c>
      <c r="C4888" s="6" t="s">
        <v>70</v>
      </c>
      <c r="D4888" s="6" t="s">
        <v>531</v>
      </c>
      <c r="E4888" s="6" t="s">
        <v>532</v>
      </c>
      <c r="F4888" s="6" t="str">
        <f>IF($M4888="PADD I","PADD 1",IF($M4888="PADD II","PADD 2",IF($M4888="PADD III","PADD 3",IF($M4888="PADD IV","PADD 4",IF($M4888="PADD V","PADD 5","")))))</f>
        <v>PADD 5</v>
      </c>
      <c r="G4888" s="6">
        <f>IF(AND($H4888="ATMOS DISTILLATION",ISNUMBER(SEARCH("VPS",$I4888))=FALSE,LEFT($I4888,6)&lt;&gt;"VACUUM"),"CDU",IF($H4888="FLUID CAT CRACKING","FCC",IF(OR($H4888="HYDROCRACKING",$H4888="RESID_HYDROCRACKING"),"Hydrocracker",IF($H4888="REFORMING","Reformer",""))))</f>
        <v/>
      </c>
      <c r="H4888" s="6" t="s">
        <v>435</v>
      </c>
      <c r="I4888" s="6" t="s">
        <v>599</v>
      </c>
      <c r="J4888" s="6" t="s">
        <v>349</v>
      </c>
      <c r="K4888" s="10">
        <v>1.5675</v>
      </c>
      <c r="L4888" s="10">
        <v>8.25</v>
      </c>
      <c r="M4888" s="6" t="s">
        <v>386</v>
      </c>
    </row>
    <row r="4889" spans="1:13">
      <c r="A4889" s="6">
        <v>2024</v>
      </c>
      <c r="B4889" s="6">
        <v>12</v>
      </c>
      <c r="C4889" s="6" t="s">
        <v>70</v>
      </c>
      <c r="D4889" s="6" t="s">
        <v>372</v>
      </c>
      <c r="E4889" s="6" t="s">
        <v>373</v>
      </c>
      <c r="F4889" s="6" t="str">
        <f>IF($M4889="PADD I","PADD 1",IF($M4889="PADD II","PADD 2",IF($M4889="PADD III","PADD 3",IF($M4889="PADD IV","PADD 4",IF($M4889="PADD V","PADD 5","")))))</f>
        <v>PADD 2</v>
      </c>
      <c r="G4889" s="6">
        <f>IF(AND($H4889="ATMOS DISTILLATION",ISNUMBER(SEARCH("VPS",$I4889))=FALSE,LEFT($I4889,6)&lt;&gt;"VACUUM"),"CDU",IF($H4889="FLUID CAT CRACKING","FCC",IF(OR($H4889="HYDROCRACKING",$H4889="RESID_HYDROCRACKING"),"Hydrocracker",IF($H4889="REFORMING","Reformer",""))))</f>
        <v/>
      </c>
      <c r="H4889" s="6" t="s">
        <v>435</v>
      </c>
      <c r="I4889" s="6" t="s">
        <v>584</v>
      </c>
      <c r="J4889" s="6" t="s">
        <v>345</v>
      </c>
      <c r="K4889" s="10">
        <v>1.425</v>
      </c>
      <c r="L4889" s="10">
        <v>7.5</v>
      </c>
      <c r="M4889" s="6" t="s">
        <v>375</v>
      </c>
    </row>
    <row r="4890" spans="1:13">
      <c r="A4890" s="6">
        <v>2024</v>
      </c>
      <c r="B4890" s="6">
        <v>12</v>
      </c>
      <c r="C4890" s="6" t="s">
        <v>70</v>
      </c>
      <c r="D4890" s="6" t="s">
        <v>437</v>
      </c>
      <c r="E4890" s="6" t="s">
        <v>438</v>
      </c>
      <c r="F4890" s="6" t="str">
        <f>IF($M4890="PADD I","PADD 1",IF($M4890="PADD II","PADD 2",IF($M4890="PADD III","PADD 3",IF($M4890="PADD IV","PADD 4",IF($M4890="PADD V","PADD 5","")))))</f>
        <v>PADD 4</v>
      </c>
      <c r="G4890" s="6">
        <f>IF(AND($H4890="ATMOS DISTILLATION",ISNUMBER(SEARCH("VPS",$I4890))=FALSE,LEFT($I4890,6)&lt;&gt;"VACUUM"),"CDU",IF($H4890="FLUID CAT CRACKING","FCC",IF(OR($H4890="HYDROCRACKING",$H4890="RESID_HYDROCRACKING"),"Hydrocracker",IF($H4890="REFORMING","Reformer",""))))</f>
        <v/>
      </c>
      <c r="H4890" s="6" t="s">
        <v>378</v>
      </c>
      <c r="I4890" s="6" t="s">
        <v>556</v>
      </c>
      <c r="J4890" s="6" t="s">
        <v>345</v>
      </c>
      <c r="K4890" s="10">
        <v>1.3408</v>
      </c>
      <c r="L4890" s="10">
        <v>8.380000000000001</v>
      </c>
      <c r="M4890" s="6" t="s">
        <v>430</v>
      </c>
    </row>
    <row r="4891" spans="1:13">
      <c r="A4891" s="6">
        <v>2024</v>
      </c>
      <c r="B4891" s="6">
        <v>12</v>
      </c>
      <c r="C4891" s="6" t="s">
        <v>70</v>
      </c>
      <c r="D4891" s="6" t="s">
        <v>468</v>
      </c>
      <c r="E4891" s="6" t="s">
        <v>369</v>
      </c>
      <c r="F4891" s="6" t="str">
        <f>IF($M4891="PADD I","PADD 1",IF($M4891="PADD II","PADD 2",IF($M4891="PADD III","PADD 3",IF($M4891="PADD IV","PADD 4",IF($M4891="PADD V","PADD 5","")))))</f>
        <v>PADD 3</v>
      </c>
      <c r="G4891" s="6" t="str">
        <f>IF(AND($H4891="ATMOS DISTILLATION",ISNUMBER(SEARCH("VPS",$I4891))=FALSE,LEFT($I4891,6)&lt;&gt;"VACUUM"),"CDU",IF($H4891="FLUID CAT CRACKING","FCC",IF(OR($H4891="HYDROCRACKING",$H4891="RESID_HYDROCRACKING"),"Hydrocracker",IF($H4891="REFORMING","Reformer",""))))</f>
        <v>Reformer</v>
      </c>
      <c r="H4891" s="6" t="s">
        <v>421</v>
      </c>
      <c r="I4891" s="6" t="s">
        <v>635</v>
      </c>
      <c r="J4891" s="6" t="s">
        <v>345</v>
      </c>
      <c r="K4891" s="10">
        <v>1.33</v>
      </c>
      <c r="L4891" s="10">
        <v>7</v>
      </c>
      <c r="M4891" s="6" t="s">
        <v>371</v>
      </c>
    </row>
    <row r="4892" spans="1:13">
      <c r="A4892" s="6">
        <v>2024</v>
      </c>
      <c r="B4892" s="6">
        <v>12</v>
      </c>
      <c r="C4892" s="6" t="s">
        <v>70</v>
      </c>
      <c r="D4892" s="6" t="s">
        <v>457</v>
      </c>
      <c r="E4892" s="6" t="s">
        <v>388</v>
      </c>
      <c r="F4892" s="6" t="str">
        <f>IF($M4892="PADD I","PADD 1",IF($M4892="PADD II","PADD 2",IF($M4892="PADD III","PADD 3",IF($M4892="PADD IV","PADD 4",IF($M4892="PADD V","PADD 5","")))))</f>
        <v>PADD 5</v>
      </c>
      <c r="G4892" s="6" t="str">
        <f>IF(AND($H4892="ATMOS DISTILLATION",ISNUMBER(SEARCH("VPS",$I4892))=FALSE,LEFT($I4892,6)&lt;&gt;"VACUUM"),"CDU",IF($H4892="FLUID CAT CRACKING","FCC",IF(OR($H4892="HYDROCRACKING",$H4892="RESID_HYDROCRACKING"),"Hydrocracker",IF($H4892="REFORMING","Reformer",""))))</f>
        <v>CDU</v>
      </c>
      <c r="H4892" s="6" t="s">
        <v>38</v>
      </c>
      <c r="I4892" s="6" t="s">
        <v>137</v>
      </c>
      <c r="J4892" s="6" t="s">
        <v>345</v>
      </c>
      <c r="K4892" s="10">
        <v>1.2</v>
      </c>
      <c r="L4892" s="10">
        <v>40</v>
      </c>
      <c r="M4892" s="6" t="s">
        <v>386</v>
      </c>
    </row>
    <row r="4893" spans="1:13">
      <c r="A4893" s="6">
        <v>2024</v>
      </c>
      <c r="B4893" s="6">
        <v>12</v>
      </c>
      <c r="C4893" s="6" t="s">
        <v>70</v>
      </c>
      <c r="D4893" s="6" t="s">
        <v>762</v>
      </c>
      <c r="E4893" s="6" t="s">
        <v>763</v>
      </c>
      <c r="F4893" s="6" t="str">
        <f>IF($M4893="PADD I","PADD 1",IF($M4893="PADD II","PADD 2",IF($M4893="PADD III","PADD 3",IF($M4893="PADD IV","PADD 4",IF($M4893="PADD V","PADD 5","")))))</f>
        <v>PADD 2</v>
      </c>
      <c r="G4893" s="6" t="str">
        <f>IF(AND($H4893="ATMOS DISTILLATION",ISNUMBER(SEARCH("VPS",$I4893))=FALSE,LEFT($I4893,6)&lt;&gt;"VACUUM"),"CDU",IF($H4893="FLUID CAT CRACKING","FCC",IF(OR($H4893="HYDROCRACKING",$H4893="RESID_HYDROCRACKING"),"Hydrocracker",IF($H4893="REFORMING","Reformer",""))))</f>
        <v>CDU</v>
      </c>
      <c r="H4893" s="6" t="s">
        <v>38</v>
      </c>
      <c r="I4893" s="6" t="s">
        <v>330</v>
      </c>
      <c r="J4893" s="6" t="s">
        <v>345</v>
      </c>
      <c r="K4893" s="10">
        <v>1.17</v>
      </c>
      <c r="L4893" s="10">
        <v>39</v>
      </c>
      <c r="M4893" s="6" t="s">
        <v>375</v>
      </c>
    </row>
    <row r="4894" spans="1:13">
      <c r="A4894" s="6">
        <v>2024</v>
      </c>
      <c r="B4894" s="6">
        <v>12</v>
      </c>
      <c r="C4894" s="6" t="s">
        <v>70</v>
      </c>
      <c r="D4894" s="6" t="s">
        <v>878</v>
      </c>
      <c r="E4894" s="6" t="s">
        <v>452</v>
      </c>
      <c r="F4894" s="6" t="str">
        <f>IF($M4894="PADD I","PADD 1",IF($M4894="PADD II","PADD 2",IF($M4894="PADD III","PADD 3",IF($M4894="PADD IV","PADD 4",IF($M4894="PADD V","PADD 5","")))))</f>
        <v>PADD 2</v>
      </c>
      <c r="G4894" s="6">
        <f>IF(AND($H4894="ATMOS DISTILLATION",ISNUMBER(SEARCH("VPS",$I4894))=FALSE,LEFT($I4894,6)&lt;&gt;"VACUUM"),"CDU",IF($H4894="FLUID CAT CRACKING","FCC",IF(OR($H4894="HYDROCRACKING",$H4894="RESID_HYDROCRACKING"),"Hydrocracker",IF($H4894="REFORMING","Reformer",""))))</f>
        <v/>
      </c>
      <c r="H4894" s="6" t="s">
        <v>378</v>
      </c>
      <c r="I4894" s="6" t="s">
        <v>536</v>
      </c>
      <c r="J4894" s="6" t="s">
        <v>345</v>
      </c>
      <c r="K4894" s="10">
        <v>0.9</v>
      </c>
      <c r="L4894" s="10">
        <v>30</v>
      </c>
      <c r="M4894" s="6" t="s">
        <v>375</v>
      </c>
    </row>
    <row r="4895" spans="1:13">
      <c r="A4895" s="6">
        <v>2024</v>
      </c>
      <c r="B4895" s="6">
        <v>12</v>
      </c>
      <c r="C4895" s="6" t="s">
        <v>70</v>
      </c>
      <c r="D4895" s="6" t="s">
        <v>639</v>
      </c>
      <c r="E4895" s="6" t="s">
        <v>452</v>
      </c>
      <c r="F4895" s="6" t="str">
        <f>IF($M4895="PADD I","PADD 1",IF($M4895="PADD II","PADD 2",IF($M4895="PADD III","PADD 3",IF($M4895="PADD IV","PADD 4",IF($M4895="PADD V","PADD 5","")))))</f>
        <v>PADD 5</v>
      </c>
      <c r="G4895" s="6">
        <f>IF(AND($H4895="ATMOS DISTILLATION",ISNUMBER(SEARCH("VPS",$I4895))=FALSE,LEFT($I4895,6)&lt;&gt;"VACUUM"),"CDU",IF($H4895="FLUID CAT CRACKING","FCC",IF(OR($H4895="HYDROCRACKING",$H4895="RESID_HYDROCRACKING"),"Hydrocracker",IF($H4895="REFORMING","Reformer",""))))</f>
        <v/>
      </c>
      <c r="H4895" s="6" t="s">
        <v>435</v>
      </c>
      <c r="I4895" s="6" t="s">
        <v>1096</v>
      </c>
      <c r="J4895" s="6" t="s">
        <v>349</v>
      </c>
      <c r="K4895" s="10">
        <v>0.759</v>
      </c>
      <c r="L4895" s="10">
        <v>25.3</v>
      </c>
      <c r="M4895" s="6" t="s">
        <v>386</v>
      </c>
    </row>
    <row r="4896" spans="1:13">
      <c r="A4896" s="6">
        <v>2024</v>
      </c>
      <c r="B4896" s="6">
        <v>12</v>
      </c>
      <c r="C4896" s="6" t="s">
        <v>70</v>
      </c>
      <c r="D4896" s="6" t="s">
        <v>738</v>
      </c>
      <c r="E4896" s="6" t="s">
        <v>552</v>
      </c>
      <c r="F4896" s="6" t="str">
        <f>IF($M4896="PADD I","PADD 1",IF($M4896="PADD II","PADD 2",IF($M4896="PADD III","PADD 3",IF($M4896="PADD IV","PADD 4",IF($M4896="PADD V","PADD 5","")))))</f>
        <v>PADD 3</v>
      </c>
      <c r="G4896" s="6">
        <f>IF(AND($H4896="ATMOS DISTILLATION",ISNUMBER(SEARCH("VPS",$I4896))=FALSE,LEFT($I4896,6)&lt;&gt;"VACUUM"),"CDU",IF($H4896="FLUID CAT CRACKING","FCC",IF(OR($H4896="HYDROCRACKING",$H4896="RESID_HYDROCRACKING"),"Hydrocracker",IF($H4896="REFORMING","Reformer",""))))</f>
        <v/>
      </c>
      <c r="H4896" s="6" t="s">
        <v>378</v>
      </c>
      <c r="I4896" s="6" t="s">
        <v>431</v>
      </c>
      <c r="J4896" s="6" t="s">
        <v>349</v>
      </c>
      <c r="K4896" s="10">
        <v>0.72</v>
      </c>
      <c r="L4896" s="10">
        <v>24</v>
      </c>
      <c r="M4896" s="6" t="s">
        <v>371</v>
      </c>
    </row>
    <row r="4897" spans="1:13">
      <c r="A4897" s="6">
        <v>2024</v>
      </c>
      <c r="B4897" s="6">
        <v>12</v>
      </c>
      <c r="C4897" s="6" t="s">
        <v>70</v>
      </c>
      <c r="D4897" s="6" t="s">
        <v>738</v>
      </c>
      <c r="E4897" s="6" t="s">
        <v>552</v>
      </c>
      <c r="F4897" s="6" t="str">
        <f>IF($M4897="PADD I","PADD 1",IF($M4897="PADD II","PADD 2",IF($M4897="PADD III","PADD 3",IF($M4897="PADD IV","PADD 4",IF($M4897="PADD V","PADD 5","")))))</f>
        <v>PADD 3</v>
      </c>
      <c r="G4897" s="6">
        <f>IF(AND($H4897="ATMOS DISTILLATION",ISNUMBER(SEARCH("VPS",$I4897))=FALSE,LEFT($I4897,6)&lt;&gt;"VACUUM"),"CDU",IF($H4897="FLUID CAT CRACKING","FCC",IF(OR($H4897="HYDROCRACKING",$H4897="RESID_HYDROCRACKING"),"Hydrocracker",IF($H4897="REFORMING","Reformer",""))))</f>
        <v/>
      </c>
      <c r="H4897" s="6" t="s">
        <v>43</v>
      </c>
      <c r="I4897" s="6" t="s">
        <v>458</v>
      </c>
      <c r="J4897" s="6" t="s">
        <v>349</v>
      </c>
      <c r="K4897" s="10">
        <v>0.54</v>
      </c>
      <c r="L4897" s="10">
        <v>18</v>
      </c>
      <c r="M4897" s="6" t="s">
        <v>371</v>
      </c>
    </row>
    <row r="4898" spans="1:13">
      <c r="A4898" s="6">
        <v>2024</v>
      </c>
      <c r="B4898" s="6">
        <v>12</v>
      </c>
      <c r="C4898" s="6" t="s">
        <v>70</v>
      </c>
      <c r="D4898" s="6" t="s">
        <v>632</v>
      </c>
      <c r="E4898" s="6" t="s">
        <v>633</v>
      </c>
      <c r="F4898" s="6" t="str">
        <f>IF($M4898="PADD I","PADD 1",IF($M4898="PADD II","PADD 2",IF($M4898="PADD III","PADD 3",IF($M4898="PADD IV","PADD 4",IF($M4898="PADD V","PADD 5","")))))</f>
        <v>PADD 4</v>
      </c>
      <c r="G4898" s="6" t="str">
        <f>IF(AND($H4898="ATMOS DISTILLATION",ISNUMBER(SEARCH("VPS",$I4898))=FALSE,LEFT($I4898,6)&lt;&gt;"VACUUM"),"CDU",IF($H4898="FLUID CAT CRACKING","FCC",IF(OR($H4898="HYDROCRACKING",$H4898="RESID_HYDROCRACKING"),"Hydrocracker",IF($H4898="REFORMING","Reformer",""))))</f>
        <v>Reformer</v>
      </c>
      <c r="H4898" s="6" t="s">
        <v>421</v>
      </c>
      <c r="I4898" s="6" t="s">
        <v>1070</v>
      </c>
      <c r="J4898" s="6" t="s">
        <v>345</v>
      </c>
      <c r="K4898" s="10">
        <v>0.51</v>
      </c>
      <c r="L4898" s="10">
        <v>8.5</v>
      </c>
      <c r="M4898" s="6" t="s">
        <v>430</v>
      </c>
    </row>
    <row r="4899" spans="1:13">
      <c r="A4899" s="6">
        <v>2024</v>
      </c>
      <c r="B4899" s="6">
        <v>12</v>
      </c>
      <c r="C4899" s="6" t="s">
        <v>70</v>
      </c>
      <c r="D4899" s="6" t="s">
        <v>762</v>
      </c>
      <c r="E4899" s="6" t="s">
        <v>763</v>
      </c>
      <c r="F4899" s="6" t="str">
        <f>IF($M4899="PADD I","PADD 1",IF($M4899="PADD II","PADD 2",IF($M4899="PADD III","PADD 3",IF($M4899="PADD IV","PADD 4",IF($M4899="PADD V","PADD 5","")))))</f>
        <v>PADD 2</v>
      </c>
      <c r="G4899" s="6">
        <f>IF(AND($H4899="ATMOS DISTILLATION",ISNUMBER(SEARCH("VPS",$I4899))=FALSE,LEFT($I4899,6)&lt;&gt;"VACUUM"),"CDU",IF($H4899="FLUID CAT CRACKING","FCC",IF(OR($H4899="HYDROCRACKING",$H4899="RESID_HYDROCRACKING"),"Hydrocracker",IF($H4899="REFORMING","Reformer",""))))</f>
        <v/>
      </c>
      <c r="H4899" s="6" t="s">
        <v>378</v>
      </c>
      <c r="I4899" s="6" t="s">
        <v>812</v>
      </c>
      <c r="J4899" s="6" t="s">
        <v>345</v>
      </c>
      <c r="K4899" s="10">
        <v>0.45</v>
      </c>
      <c r="L4899" s="10">
        <v>15</v>
      </c>
      <c r="M4899" s="6" t="s">
        <v>375</v>
      </c>
    </row>
    <row r="4900" spans="1:13">
      <c r="A4900" s="6">
        <v>2024</v>
      </c>
      <c r="B4900" s="6">
        <v>12</v>
      </c>
      <c r="C4900" s="6" t="s">
        <v>70</v>
      </c>
      <c r="D4900" s="6" t="s">
        <v>738</v>
      </c>
      <c r="E4900" s="6" t="s">
        <v>552</v>
      </c>
      <c r="F4900" s="6" t="str">
        <f>IF($M4900="PADD I","PADD 1",IF($M4900="PADD II","PADD 2",IF($M4900="PADD III","PADD 3",IF($M4900="PADD IV","PADD 4",IF($M4900="PADD V","PADD 5","")))))</f>
        <v>PADD 3</v>
      </c>
      <c r="G4900" s="6" t="str">
        <f>IF(AND($H4900="ATMOS DISTILLATION",ISNUMBER(SEARCH("VPS",$I4900))=FALSE,LEFT($I4900,6)&lt;&gt;"VACUUM"),"CDU",IF($H4900="FLUID CAT CRACKING","FCC",IF(OR($H4900="HYDROCRACKING",$H4900="RESID_HYDROCRACKING"),"Hydrocracker",IF($H4900="REFORMING","Reformer",""))))</f>
        <v>Reformer</v>
      </c>
      <c r="H4900" s="6" t="s">
        <v>421</v>
      </c>
      <c r="I4900" s="6" t="s">
        <v>15</v>
      </c>
      <c r="J4900" s="6" t="s">
        <v>349</v>
      </c>
      <c r="K4900" s="10">
        <v>0.39</v>
      </c>
      <c r="L4900" s="10">
        <v>13</v>
      </c>
      <c r="M4900" s="6" t="s">
        <v>371</v>
      </c>
    </row>
    <row r="4901" spans="1:13">
      <c r="A4901" s="6">
        <v>2024</v>
      </c>
      <c r="B4901" s="6">
        <v>12</v>
      </c>
      <c r="C4901" s="6" t="s">
        <v>70</v>
      </c>
      <c r="D4901" s="6" t="s">
        <v>738</v>
      </c>
      <c r="E4901" s="6" t="s">
        <v>552</v>
      </c>
      <c r="F4901" s="6" t="str">
        <f>IF($M4901="PADD I","PADD 1",IF($M4901="PADD II","PADD 2",IF($M4901="PADD III","PADD 3",IF($M4901="PADD IV","PADD 4",IF($M4901="PADD V","PADD 5","")))))</f>
        <v>PADD 3</v>
      </c>
      <c r="G4901" s="6">
        <f>IF(AND($H4901="ATMOS DISTILLATION",ISNUMBER(SEARCH("VPS",$I4901))=FALSE,LEFT($I4901,6)&lt;&gt;"VACUUM"),"CDU",IF($H4901="FLUID CAT CRACKING","FCC",IF(OR($H4901="HYDROCRACKING",$H4901="RESID_HYDROCRACKING"),"Hydrocracker",IF($H4901="REFORMING","Reformer",""))))</f>
        <v/>
      </c>
      <c r="H4901" s="6" t="s">
        <v>43</v>
      </c>
      <c r="I4901" s="6" t="s">
        <v>501</v>
      </c>
      <c r="J4901" s="6" t="s">
        <v>349</v>
      </c>
      <c r="K4901" s="10">
        <v>0.24</v>
      </c>
      <c r="L4901" s="10">
        <v>8</v>
      </c>
      <c r="M4901" s="6" t="s">
        <v>371</v>
      </c>
    </row>
    <row r="4902" spans="1:13">
      <c r="A4902" s="6">
        <v>2024</v>
      </c>
      <c r="B4902" s="6">
        <v>12</v>
      </c>
      <c r="C4902" s="6" t="s">
        <v>70</v>
      </c>
      <c r="D4902" s="6" t="s">
        <v>738</v>
      </c>
      <c r="E4902" s="6" t="s">
        <v>552</v>
      </c>
      <c r="F4902" s="6" t="str">
        <f>IF($M4902="PADD I","PADD 1",IF($M4902="PADD II","PADD 2",IF($M4902="PADD III","PADD 3",IF($M4902="PADD IV","PADD 4",IF($M4902="PADD V","PADD 5","")))))</f>
        <v>PADD 3</v>
      </c>
      <c r="G4902" s="6">
        <f>IF(AND($H4902="ATMOS DISTILLATION",ISNUMBER(SEARCH("VPS",$I4902))=FALSE,LEFT($I4902,6)&lt;&gt;"VACUUM"),"CDU",IF($H4902="FLUID CAT CRACKING","FCC",IF(OR($H4902="HYDROCRACKING",$H4902="RESID_HYDROCRACKING"),"Hydrocracker",IF($H4902="REFORMING","Reformer",""))))</f>
        <v/>
      </c>
      <c r="H4902" s="6" t="s">
        <v>460</v>
      </c>
      <c r="I4902" s="6" t="s">
        <v>461</v>
      </c>
      <c r="J4902" s="6" t="s">
        <v>349</v>
      </c>
      <c r="K4902" s="10">
        <v>0.18</v>
      </c>
      <c r="L4902" s="10">
        <v>6</v>
      </c>
      <c r="M4902" s="6" t="s">
        <v>371</v>
      </c>
    </row>
    <row r="4903" spans="1:13">
      <c r="A4903" s="6">
        <v>2024</v>
      </c>
      <c r="B4903" s="6">
        <v>12</v>
      </c>
      <c r="C4903" s="6" t="s">
        <v>70</v>
      </c>
      <c r="D4903" s="6" t="s">
        <v>738</v>
      </c>
      <c r="E4903" s="6" t="s">
        <v>552</v>
      </c>
      <c r="F4903" s="6" t="str">
        <f>IF($M4903="PADD I","PADD 1",IF($M4903="PADD II","PADD 2",IF($M4903="PADD III","PADD 3",IF($M4903="PADD IV","PADD 4",IF($M4903="PADD V","PADD 5","")))))</f>
        <v>PADD 3</v>
      </c>
      <c r="G4903" s="6">
        <f>IF(AND($H4903="ATMOS DISTILLATION",ISNUMBER(SEARCH("VPS",$I4903))=FALSE,LEFT($I4903,6)&lt;&gt;"VACUUM"),"CDU",IF($H4903="FLUID CAT CRACKING","FCC",IF(OR($H4903="HYDROCRACKING",$H4903="RESID_HYDROCRACKING"),"Hydrocracker",IF($H4903="REFORMING","Reformer",""))))</f>
        <v/>
      </c>
      <c r="H4903" s="6" t="s">
        <v>568</v>
      </c>
      <c r="I4903" s="6" t="s">
        <v>1264</v>
      </c>
      <c r="J4903" s="6" t="s">
        <v>349</v>
      </c>
      <c r="K4903" s="10">
        <v>0.102</v>
      </c>
      <c r="L4903" s="10">
        <v>3.4</v>
      </c>
      <c r="M4903" s="6" t="s">
        <v>371</v>
      </c>
    </row>
    <row r="4904" spans="1:13">
      <c r="A4904" s="6">
        <v>2024</v>
      </c>
      <c r="B4904" s="6">
        <v>12</v>
      </c>
      <c r="C4904" s="6" t="s">
        <v>70</v>
      </c>
      <c r="D4904" s="6" t="s">
        <v>738</v>
      </c>
      <c r="E4904" s="6" t="s">
        <v>552</v>
      </c>
      <c r="F4904" s="6" t="str">
        <f>IF($M4904="PADD I","PADD 1",IF($M4904="PADD II","PADD 2",IF($M4904="PADD III","PADD 3",IF($M4904="PADD IV","PADD 4",IF($M4904="PADD V","PADD 5","")))))</f>
        <v>PADD 3</v>
      </c>
      <c r="G4904" s="6">
        <f>IF(AND($H4904="ATMOS DISTILLATION",ISNUMBER(SEARCH("VPS",$I4904))=FALSE,LEFT($I4904,6)&lt;&gt;"VACUUM"),"CDU",IF($H4904="FLUID CAT CRACKING","FCC",IF(OR($H4904="HYDROCRACKING",$H4904="RESID_HYDROCRACKING"),"Hydrocracker",IF($H4904="REFORMING","Reformer",""))))</f>
        <v/>
      </c>
      <c r="H4904" s="6" t="s">
        <v>897</v>
      </c>
      <c r="I4904" s="6" t="s">
        <v>897</v>
      </c>
      <c r="J4904" s="6" t="s">
        <v>349</v>
      </c>
      <c r="K4904" s="10">
        <v>0.054</v>
      </c>
      <c r="L4904" s="10">
        <v>1.8</v>
      </c>
      <c r="M4904" s="6" t="s">
        <v>371</v>
      </c>
    </row>
    <row r="4905" spans="1:13">
      <c r="A4905" s="6">
        <v>2025</v>
      </c>
      <c r="B4905" s="6">
        <v>1</v>
      </c>
      <c r="C4905" s="6" t="s">
        <v>59</v>
      </c>
      <c r="D4905" s="6" t="s">
        <v>387</v>
      </c>
      <c r="E4905" s="6" t="s">
        <v>388</v>
      </c>
      <c r="F4905" s="6" t="str">
        <f>IF($M4905="PADD I","PADD 1",IF($M4905="PADD II","PADD 2",IF($M4905="PADD III","PADD 3",IF($M4905="PADD IV","PADD 4",IF($M4905="PADD V","PADD 5","")))))</f>
        <v>PADD 3</v>
      </c>
      <c r="G4905" s="6" t="str">
        <f>IF(AND($H4905="ATMOS DISTILLATION",ISNUMBER(SEARCH("VPS",$I4905))=FALSE,LEFT($I4905,6)&lt;&gt;"VACUUM"),"CDU",IF($H4905="FLUID CAT CRACKING","FCC",IF(OR($H4905="HYDROCRACKING",$H4905="RESID_HYDROCRACKING"),"Hydrocracker",IF($H4905="REFORMING","Reformer",""))))</f>
        <v>CDU</v>
      </c>
      <c r="H4905" s="6" t="s">
        <v>38</v>
      </c>
      <c r="I4905" s="6" t="s">
        <v>1212</v>
      </c>
      <c r="J4905" s="6" t="s">
        <v>349</v>
      </c>
      <c r="K4905" s="10">
        <v>223.3</v>
      </c>
      <c r="L4905" s="10">
        <v>290</v>
      </c>
      <c r="M4905" s="6" t="s">
        <v>371</v>
      </c>
    </row>
    <row r="4906" spans="1:13">
      <c r="A4906" s="6">
        <v>2025</v>
      </c>
      <c r="B4906" s="6">
        <v>1</v>
      </c>
      <c r="C4906" s="6" t="s">
        <v>59</v>
      </c>
      <c r="D4906" s="6" t="s">
        <v>778</v>
      </c>
      <c r="E4906" s="6" t="s">
        <v>779</v>
      </c>
      <c r="F4906" s="6" t="str">
        <f>IF($M4906="PADD I","PADD 1",IF($M4906="PADD II","PADD 2",IF($M4906="PADD III","PADD 3",IF($M4906="PADD IV","PADD 4",IF($M4906="PADD V","PADD 5","")))))</f>
        <v>PADD 3</v>
      </c>
      <c r="G4906" s="6" t="str">
        <f>IF(AND($H4906="ATMOS DISTILLATION",ISNUMBER(SEARCH("VPS",$I4906))=FALSE,LEFT($I4906,6)&lt;&gt;"VACUUM"),"CDU",IF($H4906="FLUID CAT CRACKING","FCC",IF(OR($H4906="HYDROCRACKING",$H4906="RESID_HYDROCRACKING"),"Hydrocracker",IF($H4906="REFORMING","Reformer",""))))</f>
        <v>CDU</v>
      </c>
      <c r="H4906" s="6" t="s">
        <v>38</v>
      </c>
      <c r="I4906" s="6" t="s">
        <v>780</v>
      </c>
      <c r="J4906" s="6" t="s">
        <v>349</v>
      </c>
      <c r="K4906" s="10">
        <v>120.17</v>
      </c>
      <c r="L4906" s="10">
        <v>197</v>
      </c>
      <c r="M4906" s="6" t="s">
        <v>371</v>
      </c>
    </row>
    <row r="4907" spans="1:13">
      <c r="A4907" s="6">
        <v>2025</v>
      </c>
      <c r="B4907" s="6">
        <v>1</v>
      </c>
      <c r="C4907" s="6" t="s">
        <v>59</v>
      </c>
      <c r="D4907" s="6" t="s">
        <v>387</v>
      </c>
      <c r="E4907" s="6" t="s">
        <v>388</v>
      </c>
      <c r="F4907" s="6" t="str">
        <f>IF($M4907="PADD I","PADD 1",IF($M4907="PADD II","PADD 2",IF($M4907="PADD III","PADD 3",IF($M4907="PADD IV","PADD 4",IF($M4907="PADD V","PADD 5","")))))</f>
        <v>PADD 3</v>
      </c>
      <c r="G4907" s="6">
        <f>IF(AND($H4907="ATMOS DISTILLATION",ISNUMBER(SEARCH("VPS",$I4907))=FALSE,LEFT($I4907,6)&lt;&gt;"VACUUM"),"CDU",IF($H4907="FLUID CAT CRACKING","FCC",IF(OR($H4907="HYDROCRACKING",$H4907="RESID_HYDROCRACKING"),"Hydrocracker",IF($H4907="REFORMING","Reformer",""))))</f>
        <v/>
      </c>
      <c r="H4907" s="6" t="s">
        <v>43</v>
      </c>
      <c r="I4907" s="6" t="s">
        <v>1090</v>
      </c>
      <c r="J4907" s="6" t="s">
        <v>349</v>
      </c>
      <c r="K4907" s="10">
        <v>100.05</v>
      </c>
      <c r="L4907" s="10">
        <v>115</v>
      </c>
      <c r="M4907" s="6" t="s">
        <v>371</v>
      </c>
    </row>
    <row r="4908" spans="1:13">
      <c r="A4908" s="6">
        <v>2025</v>
      </c>
      <c r="B4908" s="6">
        <v>1</v>
      </c>
      <c r="C4908" s="6" t="s">
        <v>59</v>
      </c>
      <c r="D4908" s="6" t="s">
        <v>50</v>
      </c>
      <c r="E4908" s="6" t="s">
        <v>381</v>
      </c>
      <c r="F4908" s="6" t="str">
        <f>IF($M4908="PADD I","PADD 1",IF($M4908="PADD II","PADD 2",IF($M4908="PADD III","PADD 3",IF($M4908="PADD IV","PADD 4",IF($M4908="PADD V","PADD 5","")))))</f>
        <v>PADD 3</v>
      </c>
      <c r="G4908" s="6" t="str">
        <f>IF(AND($H4908="ATMOS DISTILLATION",ISNUMBER(SEARCH("VPS",$I4908))=FALSE,LEFT($I4908,6)&lt;&gt;"VACUUM"),"CDU",IF($H4908="FLUID CAT CRACKING","FCC",IF(OR($H4908="HYDROCRACKING",$H4908="RESID_HYDROCRACKING"),"Hydrocracker",IF($H4908="REFORMING","Reformer",""))))</f>
        <v>CDU</v>
      </c>
      <c r="H4908" s="6" t="s">
        <v>38</v>
      </c>
      <c r="I4908" s="6" t="s">
        <v>1267</v>
      </c>
      <c r="J4908" s="6" t="s">
        <v>349</v>
      </c>
      <c r="K4908" s="10">
        <v>95.84999999999999</v>
      </c>
      <c r="L4908" s="10">
        <v>135</v>
      </c>
      <c r="M4908" s="6" t="s">
        <v>371</v>
      </c>
    </row>
    <row r="4909" spans="1:13">
      <c r="A4909" s="6">
        <v>2025</v>
      </c>
      <c r="B4909" s="6">
        <v>1</v>
      </c>
      <c r="C4909" s="6" t="s">
        <v>59</v>
      </c>
      <c r="D4909" s="6" t="s">
        <v>335</v>
      </c>
      <c r="E4909" s="6" t="s">
        <v>369</v>
      </c>
      <c r="F4909" s="6" t="str">
        <f>IF($M4909="PADD I","PADD 1",IF($M4909="PADD II","PADD 2",IF($M4909="PADD III","PADD 3",IF($M4909="PADD IV","PADD 4",IF($M4909="PADD V","PADD 5","")))))</f>
        <v>PADD 3</v>
      </c>
      <c r="G4909" s="6">
        <f>IF(AND($H4909="ATMOS DISTILLATION",ISNUMBER(SEARCH("VPS",$I4909))=FALSE,LEFT($I4909,6)&lt;&gt;"VACUUM"),"CDU",IF($H4909="FLUID CAT CRACKING","FCC",IF(OR($H4909="HYDROCRACKING",$H4909="RESID_HYDROCRACKING"),"Hydrocracker",IF($H4909="REFORMING","Reformer",""))))</f>
        <v/>
      </c>
      <c r="H4909" s="6" t="s">
        <v>378</v>
      </c>
      <c r="I4909" s="6" t="s">
        <v>1268</v>
      </c>
      <c r="J4909" s="6" t="s">
        <v>349</v>
      </c>
      <c r="K4909" s="10">
        <v>87.33</v>
      </c>
      <c r="L4909" s="10">
        <v>123</v>
      </c>
      <c r="M4909" s="6" t="s">
        <v>371</v>
      </c>
    </row>
    <row r="4910" spans="1:13">
      <c r="A4910" s="6">
        <v>2025</v>
      </c>
      <c r="B4910" s="6">
        <v>1</v>
      </c>
      <c r="C4910" s="6" t="s">
        <v>59</v>
      </c>
      <c r="D4910" s="6" t="s">
        <v>387</v>
      </c>
      <c r="E4910" s="6" t="s">
        <v>388</v>
      </c>
      <c r="F4910" s="6" t="str">
        <f>IF($M4910="PADD I","PADD 1",IF($M4910="PADD II","PADD 2",IF($M4910="PADD III","PADD 3",IF($M4910="PADD IV","PADD 4",IF($M4910="PADD V","PADD 5","")))))</f>
        <v>PADD 3</v>
      </c>
      <c r="G4910" s="6">
        <f>IF(AND($H4910="ATMOS DISTILLATION",ISNUMBER(SEARCH("VPS",$I4910))=FALSE,LEFT($I4910,6)&lt;&gt;"VACUUM"),"CDU",IF($H4910="FLUID CAT CRACKING","FCC",IF(OR($H4910="HYDROCRACKING",$H4910="RESID_HYDROCRACKING"),"Hydrocracker",IF($H4910="REFORMING","Reformer",""))))</f>
        <v/>
      </c>
      <c r="H4910" s="6" t="s">
        <v>378</v>
      </c>
      <c r="I4910" s="6" t="s">
        <v>1269</v>
      </c>
      <c r="J4910" s="6" t="s">
        <v>349</v>
      </c>
      <c r="K4910" s="10">
        <v>86.625</v>
      </c>
      <c r="L4910" s="10">
        <v>112.5</v>
      </c>
      <c r="M4910" s="6" t="s">
        <v>371</v>
      </c>
    </row>
    <row r="4911" spans="1:13">
      <c r="A4911" s="6">
        <v>2025</v>
      </c>
      <c r="B4911" s="6">
        <v>1</v>
      </c>
      <c r="C4911" s="6" t="s">
        <v>59</v>
      </c>
      <c r="D4911" s="6" t="s">
        <v>612</v>
      </c>
      <c r="E4911" s="6" t="s">
        <v>416</v>
      </c>
      <c r="F4911" s="6" t="str">
        <f>IF($M4911="PADD I","PADD 1",IF($M4911="PADD II","PADD 2",IF($M4911="PADD III","PADD 3",IF($M4911="PADD IV","PADD 4",IF($M4911="PADD V","PADD 5","")))))</f>
        <v>PADD 3</v>
      </c>
      <c r="G4911" s="6" t="str">
        <f>IF(AND($H4911="ATMOS DISTILLATION",ISNUMBER(SEARCH("VPS",$I4911))=FALSE,LEFT($I4911,6)&lt;&gt;"VACUUM"),"CDU",IF($H4911="FLUID CAT CRACKING","FCC",IF(OR($H4911="HYDROCRACKING",$H4911="RESID_HYDROCRACKING"),"Hydrocracker",IF($H4911="REFORMING","Reformer",""))))</f>
        <v>CDU</v>
      </c>
      <c r="H4911" s="6" t="s">
        <v>38</v>
      </c>
      <c r="I4911" s="6" t="s">
        <v>81</v>
      </c>
      <c r="J4911" s="6" t="s">
        <v>349</v>
      </c>
      <c r="K4911" s="10">
        <v>79.2</v>
      </c>
      <c r="L4911" s="10">
        <v>165</v>
      </c>
      <c r="M4911" s="6" t="s">
        <v>371</v>
      </c>
    </row>
    <row r="4912" spans="1:13">
      <c r="A4912" s="6">
        <v>2025</v>
      </c>
      <c r="B4912" s="6">
        <v>1</v>
      </c>
      <c r="C4912" s="6" t="s">
        <v>59</v>
      </c>
      <c r="D4912" s="6" t="s">
        <v>335</v>
      </c>
      <c r="E4912" s="6" t="s">
        <v>369</v>
      </c>
      <c r="F4912" s="6" t="str">
        <f>IF($M4912="PADD I","PADD 1",IF($M4912="PADD II","PADD 2",IF($M4912="PADD III","PADD 3",IF($M4912="PADD IV","PADD 4",IF($M4912="PADD V","PADD 5","")))))</f>
        <v>PADD 3</v>
      </c>
      <c r="G4912" s="6">
        <f>IF(AND($H4912="ATMOS DISTILLATION",ISNUMBER(SEARCH("VPS",$I4912))=FALSE,LEFT($I4912,6)&lt;&gt;"VACUUM"),"CDU",IF($H4912="FLUID CAT CRACKING","FCC",IF(OR($H4912="HYDROCRACKING",$H4912="RESID_HYDROCRACKING"),"Hydrocracker",IF($H4912="REFORMING","Reformer",""))))</f>
        <v/>
      </c>
      <c r="H4912" s="6" t="s">
        <v>43</v>
      </c>
      <c r="I4912" s="6" t="s">
        <v>1204</v>
      </c>
      <c r="J4912" s="6" t="s">
        <v>349</v>
      </c>
      <c r="K4912" s="10">
        <v>75.97</v>
      </c>
      <c r="L4912" s="10">
        <v>107</v>
      </c>
      <c r="M4912" s="6" t="s">
        <v>371</v>
      </c>
    </row>
    <row r="4913" spans="1:13">
      <c r="A4913" s="6">
        <v>2025</v>
      </c>
      <c r="B4913" s="6">
        <v>1</v>
      </c>
      <c r="C4913" s="6" t="s">
        <v>59</v>
      </c>
      <c r="D4913" s="6" t="s">
        <v>455</v>
      </c>
      <c r="E4913" s="6" t="s">
        <v>405</v>
      </c>
      <c r="F4913" s="6" t="str">
        <f>IF($M4913="PADD I","PADD 1",IF($M4913="PADD II","PADD 2",IF($M4913="PADD III","PADD 3",IF($M4913="PADD IV","PADD 4",IF($M4913="PADD V","PADD 5","")))))</f>
        <v>PADD 3</v>
      </c>
      <c r="G4913" s="6" t="str">
        <f>IF(AND($H4913="ATMOS DISTILLATION",ISNUMBER(SEARCH("VPS",$I4913))=FALSE,LEFT($I4913,6)&lt;&gt;"VACUUM"),"CDU",IF($H4913="FLUID CAT CRACKING","FCC",IF(OR($H4913="HYDROCRACKING",$H4913="RESID_HYDROCRACKING"),"Hydrocracker",IF($H4913="REFORMING","Reformer",""))))</f>
        <v>FCC</v>
      </c>
      <c r="H4913" s="6" t="s">
        <v>376</v>
      </c>
      <c r="I4913" s="6" t="s">
        <v>105</v>
      </c>
      <c r="J4913" s="6" t="s">
        <v>345</v>
      </c>
      <c r="K4913" s="10">
        <v>71</v>
      </c>
      <c r="L4913" s="10">
        <v>100</v>
      </c>
      <c r="M4913" s="6" t="s">
        <v>371</v>
      </c>
    </row>
    <row r="4914" spans="1:13">
      <c r="A4914" s="6">
        <v>2025</v>
      </c>
      <c r="B4914" s="6">
        <v>1</v>
      </c>
      <c r="C4914" s="6" t="s">
        <v>59</v>
      </c>
      <c r="D4914" s="6" t="s">
        <v>335</v>
      </c>
      <c r="E4914" s="6" t="s">
        <v>369</v>
      </c>
      <c r="F4914" s="6" t="str">
        <f>IF($M4914="PADD I","PADD 1",IF($M4914="PADD II","PADD 2",IF($M4914="PADD III","PADD 3",IF($M4914="PADD IV","PADD 4",IF($M4914="PADD V","PADD 5","")))))</f>
        <v>PADD 3</v>
      </c>
      <c r="G4914" s="6" t="str">
        <f>IF(AND($H4914="ATMOS DISTILLATION",ISNUMBER(SEARCH("VPS",$I4914))=FALSE,LEFT($I4914,6)&lt;&gt;"VACUUM"),"CDU",IF($H4914="FLUID CAT CRACKING","FCC",IF(OR($H4914="HYDROCRACKING",$H4914="RESID_HYDROCRACKING"),"Hydrocracker",IF($H4914="REFORMING","Reformer",""))))</f>
        <v>CDU</v>
      </c>
      <c r="H4914" s="6" t="s">
        <v>38</v>
      </c>
      <c r="I4914" s="6" t="s">
        <v>729</v>
      </c>
      <c r="J4914" s="6" t="s">
        <v>345</v>
      </c>
      <c r="K4914" s="10">
        <v>65.92</v>
      </c>
      <c r="L4914" s="10">
        <v>206</v>
      </c>
      <c r="M4914" s="6" t="s">
        <v>371</v>
      </c>
    </row>
    <row r="4915" spans="1:13">
      <c r="A4915" s="6">
        <v>2025</v>
      </c>
      <c r="B4915" s="6">
        <v>1</v>
      </c>
      <c r="C4915" s="6" t="s">
        <v>59</v>
      </c>
      <c r="D4915" s="6" t="s">
        <v>1214</v>
      </c>
      <c r="E4915" s="6" t="s">
        <v>1215</v>
      </c>
      <c r="F4915" s="6" t="str">
        <f>IF($M4915="PADD I","PADD 1",IF($M4915="PADD II","PADD 2",IF($M4915="PADD III","PADD 3",IF($M4915="PADD IV","PADD 4",IF($M4915="PADD V","PADD 5","")))))</f>
        <v>PADD 1</v>
      </c>
      <c r="G4915" s="6" t="str">
        <f>IF(AND($H4915="ATMOS DISTILLATION",ISNUMBER(SEARCH("VPS",$I4915))=FALSE,LEFT($I4915,6)&lt;&gt;"VACUUM"),"CDU",IF($H4915="FLUID CAT CRACKING","FCC",IF(OR($H4915="HYDROCRACKING",$H4915="RESID_HYDROCRACKING"),"Hydrocracker",IF($H4915="REFORMING","Reformer",""))))</f>
        <v>CDU</v>
      </c>
      <c r="H4915" s="6" t="s">
        <v>38</v>
      </c>
      <c r="I4915" s="6" t="s">
        <v>131</v>
      </c>
      <c r="J4915" s="6" t="s">
        <v>345</v>
      </c>
      <c r="K4915" s="10">
        <v>56</v>
      </c>
      <c r="L4915" s="10">
        <v>56</v>
      </c>
      <c r="M4915" s="6" t="s">
        <v>413</v>
      </c>
    </row>
    <row r="4916" spans="1:13">
      <c r="A4916" s="6">
        <v>2025</v>
      </c>
      <c r="B4916" s="6">
        <v>1</v>
      </c>
      <c r="C4916" s="6" t="s">
        <v>59</v>
      </c>
      <c r="D4916" s="6" t="s">
        <v>676</v>
      </c>
      <c r="E4916" s="6" t="s">
        <v>677</v>
      </c>
      <c r="F4916" s="6" t="str">
        <f>IF($M4916="PADD I","PADD 1",IF($M4916="PADD II","PADD 2",IF($M4916="PADD III","PADD 3",IF($M4916="PADD IV","PADD 4",IF($M4916="PADD V","PADD 5","")))))</f>
        <v>PADD 1</v>
      </c>
      <c r="G4916" s="6" t="str">
        <f>IF(AND($H4916="ATMOS DISTILLATION",ISNUMBER(SEARCH("VPS",$I4916))=FALSE,LEFT($I4916,6)&lt;&gt;"VACUUM"),"CDU",IF($H4916="FLUID CAT CRACKING","FCC",IF(OR($H4916="HYDROCRACKING",$H4916="RESID_HYDROCRACKING"),"Hydrocracker",IF($H4916="REFORMING","Reformer",""))))</f>
        <v>CDU</v>
      </c>
      <c r="H4916" s="6" t="s">
        <v>38</v>
      </c>
      <c r="I4916" s="6" t="s">
        <v>678</v>
      </c>
      <c r="J4916" s="6" t="s">
        <v>345</v>
      </c>
      <c r="K4916" s="10">
        <v>56</v>
      </c>
      <c r="L4916" s="10">
        <v>56</v>
      </c>
      <c r="M4916" s="6" t="s">
        <v>413</v>
      </c>
    </row>
    <row r="4917" spans="1:13">
      <c r="A4917" s="6">
        <v>2025</v>
      </c>
      <c r="B4917" s="6">
        <v>1</v>
      </c>
      <c r="C4917" s="6" t="s">
        <v>59</v>
      </c>
      <c r="D4917" s="6" t="s">
        <v>387</v>
      </c>
      <c r="E4917" s="6" t="s">
        <v>388</v>
      </c>
      <c r="F4917" s="6" t="str">
        <f>IF($M4917="PADD I","PADD 1",IF($M4917="PADD II","PADD 2",IF($M4917="PADD III","PADD 3",IF($M4917="PADD IV","PADD 4",IF($M4917="PADD V","PADD 5","")))))</f>
        <v>PADD 3</v>
      </c>
      <c r="G4917" s="6" t="str">
        <f>IF(AND($H4917="ATMOS DISTILLATION",ISNUMBER(SEARCH("VPS",$I4917))=FALSE,LEFT($I4917,6)&lt;&gt;"VACUUM"),"CDU",IF($H4917="FLUID CAT CRACKING","FCC",IF(OR($H4917="HYDROCRACKING",$H4917="RESID_HYDROCRACKING"),"Hydrocracker",IF($H4917="REFORMING","Reformer",""))))</f>
        <v>Hydrocracker</v>
      </c>
      <c r="H4917" s="6" t="s">
        <v>581</v>
      </c>
      <c r="I4917" s="6" t="s">
        <v>868</v>
      </c>
      <c r="J4917" s="6" t="s">
        <v>349</v>
      </c>
      <c r="K4917" s="10">
        <v>55.68</v>
      </c>
      <c r="L4917" s="10">
        <v>64</v>
      </c>
      <c r="M4917" s="6" t="s">
        <v>371</v>
      </c>
    </row>
    <row r="4918" spans="1:13">
      <c r="A4918" s="6">
        <v>2025</v>
      </c>
      <c r="B4918" s="6">
        <v>1</v>
      </c>
      <c r="C4918" s="6" t="s">
        <v>59</v>
      </c>
      <c r="D4918" s="6" t="s">
        <v>676</v>
      </c>
      <c r="E4918" s="6" t="s">
        <v>677</v>
      </c>
      <c r="F4918" s="6" t="str">
        <f>IF($M4918="PADD I","PADD 1",IF($M4918="PADD II","PADD 2",IF($M4918="PADD III","PADD 3",IF($M4918="PADD IV","PADD 4",IF($M4918="PADD V","PADD 5","")))))</f>
        <v>PADD 1</v>
      </c>
      <c r="G4918" s="6" t="str">
        <f>IF(AND($H4918="ATMOS DISTILLATION",ISNUMBER(SEARCH("VPS",$I4918))=FALSE,LEFT($I4918,6)&lt;&gt;"VACUUM"),"CDU",IF($H4918="FLUID CAT CRACKING","FCC",IF(OR($H4918="HYDROCRACKING",$H4918="RESID_HYDROCRACKING"),"Hydrocracker",IF($H4918="REFORMING","Reformer",""))))</f>
        <v>CDU</v>
      </c>
      <c r="H4918" s="6" t="s">
        <v>38</v>
      </c>
      <c r="I4918" s="6" t="s">
        <v>1266</v>
      </c>
      <c r="J4918" s="6" t="s">
        <v>345</v>
      </c>
      <c r="K4918" s="10">
        <v>55</v>
      </c>
      <c r="L4918" s="10">
        <v>55</v>
      </c>
      <c r="M4918" s="6" t="s">
        <v>413</v>
      </c>
    </row>
    <row r="4919" spans="1:13">
      <c r="A4919" s="6">
        <v>2025</v>
      </c>
      <c r="B4919" s="6">
        <v>1</v>
      </c>
      <c r="C4919" s="6" t="s">
        <v>59</v>
      </c>
      <c r="D4919" s="6" t="s">
        <v>324</v>
      </c>
      <c r="E4919" s="6" t="s">
        <v>388</v>
      </c>
      <c r="F4919" s="6" t="str">
        <f>IF($M4919="PADD I","PADD 1",IF($M4919="PADD II","PADD 2",IF($M4919="PADD III","PADD 3",IF($M4919="PADD IV","PADD 4",IF($M4919="PADD V","PADD 5","")))))</f>
        <v>PADD 3</v>
      </c>
      <c r="G4919" s="6" t="str">
        <f>IF(AND($H4919="ATMOS DISTILLATION",ISNUMBER(SEARCH("VPS",$I4919))=FALSE,LEFT($I4919,6)&lt;&gt;"VACUUM"),"CDU",IF($H4919="FLUID CAT CRACKING","FCC",IF(OR($H4919="HYDROCRACKING",$H4919="RESID_HYDROCRACKING"),"Hydrocracker",IF($H4919="REFORMING","Reformer",""))))</f>
        <v>CDU</v>
      </c>
      <c r="H4919" s="6" t="s">
        <v>38</v>
      </c>
      <c r="I4919" s="6" t="s">
        <v>99</v>
      </c>
      <c r="J4919" s="6" t="s">
        <v>349</v>
      </c>
      <c r="K4919" s="10">
        <v>53.625</v>
      </c>
      <c r="L4919" s="10">
        <v>137.5</v>
      </c>
      <c r="M4919" s="6" t="s">
        <v>371</v>
      </c>
    </row>
    <row r="4920" spans="1:13">
      <c r="A4920" s="6">
        <v>2025</v>
      </c>
      <c r="B4920" s="6">
        <v>1</v>
      </c>
      <c r="C4920" s="6" t="s">
        <v>59</v>
      </c>
      <c r="D4920" s="6" t="s">
        <v>778</v>
      </c>
      <c r="E4920" s="6" t="s">
        <v>779</v>
      </c>
      <c r="F4920" s="6" t="str">
        <f>IF($M4920="PADD I","PADD 1",IF($M4920="PADD II","PADD 2",IF($M4920="PADD III","PADD 3",IF($M4920="PADD IV","PADD 4",IF($M4920="PADD V","PADD 5","")))))</f>
        <v>PADD 3</v>
      </c>
      <c r="G4920" s="6">
        <f>IF(AND($H4920="ATMOS DISTILLATION",ISNUMBER(SEARCH("VPS",$I4920))=FALSE,LEFT($I4920,6)&lt;&gt;"VACUUM"),"CDU",IF($H4920="FLUID CAT CRACKING","FCC",IF(OR($H4920="HYDROCRACKING",$H4920="RESID_HYDROCRACKING"),"Hydrocracker",IF($H4920="REFORMING","Reformer",""))))</f>
        <v/>
      </c>
      <c r="H4920" s="6" t="s">
        <v>378</v>
      </c>
      <c r="I4920" s="6" t="s">
        <v>797</v>
      </c>
      <c r="J4920" s="6" t="s">
        <v>349</v>
      </c>
      <c r="K4920" s="10">
        <v>50.7093</v>
      </c>
      <c r="L4920" s="10">
        <v>83.13</v>
      </c>
      <c r="M4920" s="6" t="s">
        <v>371</v>
      </c>
    </row>
    <row r="4921" spans="1:13">
      <c r="A4921" s="6">
        <v>2025</v>
      </c>
      <c r="B4921" s="6">
        <v>1</v>
      </c>
      <c r="C4921" s="6" t="s">
        <v>59</v>
      </c>
      <c r="D4921" s="6" t="s">
        <v>778</v>
      </c>
      <c r="E4921" s="6" t="s">
        <v>779</v>
      </c>
      <c r="F4921" s="6" t="str">
        <f>IF($M4921="PADD I","PADD 1",IF($M4921="PADD II","PADD 2",IF($M4921="PADD III","PADD 3",IF($M4921="PADD IV","PADD 4",IF($M4921="PADD V","PADD 5","")))))</f>
        <v>PADD 3</v>
      </c>
      <c r="G4921" s="6">
        <f>IF(AND($H4921="ATMOS DISTILLATION",ISNUMBER(SEARCH("VPS",$I4921))=FALSE,LEFT($I4921,6)&lt;&gt;"VACUUM"),"CDU",IF($H4921="FLUID CAT CRACKING","FCC",IF(OR($H4921="HYDROCRACKING",$H4921="RESID_HYDROCRACKING"),"Hydrocracker",IF($H4921="REFORMING","Reformer",""))))</f>
        <v/>
      </c>
      <c r="H4921" s="6" t="s">
        <v>378</v>
      </c>
      <c r="I4921" s="6" t="s">
        <v>798</v>
      </c>
      <c r="J4921" s="6" t="s">
        <v>349</v>
      </c>
      <c r="K4921" s="10">
        <v>50.63</v>
      </c>
      <c r="L4921" s="10">
        <v>83</v>
      </c>
      <c r="M4921" s="6" t="s">
        <v>371</v>
      </c>
    </row>
    <row r="4922" spans="1:13">
      <c r="A4922" s="6">
        <v>2025</v>
      </c>
      <c r="B4922" s="6">
        <v>1</v>
      </c>
      <c r="C4922" s="6" t="s">
        <v>59</v>
      </c>
      <c r="D4922" s="6" t="s">
        <v>946</v>
      </c>
      <c r="E4922" s="6" t="s">
        <v>405</v>
      </c>
      <c r="F4922" s="6" t="str">
        <f>IF($M4922="PADD I","PADD 1",IF($M4922="PADD II","PADD 2",IF($M4922="PADD III","PADD 3",IF($M4922="PADD IV","PADD 4",IF($M4922="PADD V","PADD 5","")))))</f>
        <v>PADD 5</v>
      </c>
      <c r="G4922" s="6">
        <f>IF(AND($H4922="ATMOS DISTILLATION",ISNUMBER(SEARCH("VPS",$I4922))=FALSE,LEFT($I4922,6)&lt;&gt;"VACUUM"),"CDU",IF($H4922="FLUID CAT CRACKING","FCC",IF(OR($H4922="HYDROCRACKING",$H4922="RESID_HYDROCRACKING"),"Hydrocracker",IF($H4922="REFORMING","Reformer",""))))</f>
        <v/>
      </c>
      <c r="H4922" s="6" t="s">
        <v>43</v>
      </c>
      <c r="I4922" s="6" t="s">
        <v>965</v>
      </c>
      <c r="J4922" s="6" t="s">
        <v>345</v>
      </c>
      <c r="K4922" s="10">
        <v>49.58</v>
      </c>
      <c r="L4922" s="10">
        <v>67</v>
      </c>
      <c r="M4922" s="6" t="s">
        <v>386</v>
      </c>
    </row>
    <row r="4923" spans="1:13">
      <c r="A4923" s="6">
        <v>2025</v>
      </c>
      <c r="B4923" s="6">
        <v>1</v>
      </c>
      <c r="C4923" s="6" t="s">
        <v>59</v>
      </c>
      <c r="D4923" s="6" t="s">
        <v>547</v>
      </c>
      <c r="E4923" s="6" t="s">
        <v>391</v>
      </c>
      <c r="F4923" s="6" t="str">
        <f>IF($M4923="PADD I","PADD 1",IF($M4923="PADD II","PADD 2",IF($M4923="PADD III","PADD 3",IF($M4923="PADD IV","PADD 4",IF($M4923="PADD V","PADD 5","")))))</f>
        <v>PADD 5</v>
      </c>
      <c r="G4923" s="6" t="str">
        <f>IF(AND($H4923="ATMOS DISTILLATION",ISNUMBER(SEARCH("VPS",$I4923))=FALSE,LEFT($I4923,6)&lt;&gt;"VACUUM"),"CDU",IF($H4923="FLUID CAT CRACKING","FCC",IF(OR($H4923="HYDROCRACKING",$H4923="RESID_HYDROCRACKING"),"Hydrocracker",IF($H4923="REFORMING","Reformer",""))))</f>
        <v>FCC</v>
      </c>
      <c r="H4923" s="6" t="s">
        <v>376</v>
      </c>
      <c r="I4923" s="6" t="s">
        <v>105</v>
      </c>
      <c r="J4923" s="6" t="s">
        <v>349</v>
      </c>
      <c r="K4923" s="10">
        <v>48.8</v>
      </c>
      <c r="L4923" s="10">
        <v>80</v>
      </c>
      <c r="M4923" s="6" t="s">
        <v>386</v>
      </c>
    </row>
    <row r="4924" spans="1:13">
      <c r="A4924" s="6">
        <v>2025</v>
      </c>
      <c r="B4924" s="6">
        <v>1</v>
      </c>
      <c r="C4924" s="6" t="s">
        <v>59</v>
      </c>
      <c r="D4924" s="6" t="s">
        <v>612</v>
      </c>
      <c r="E4924" s="6" t="s">
        <v>416</v>
      </c>
      <c r="F4924" s="6" t="str">
        <f>IF($M4924="PADD I","PADD 1",IF($M4924="PADD II","PADD 2",IF($M4924="PADD III","PADD 3",IF($M4924="PADD IV","PADD 4",IF($M4924="PADD V","PADD 5","")))))</f>
        <v>PADD 3</v>
      </c>
      <c r="G4924" s="6">
        <f>IF(AND($H4924="ATMOS DISTILLATION",ISNUMBER(SEARCH("VPS",$I4924))=FALSE,LEFT($I4924,6)&lt;&gt;"VACUUM"),"CDU",IF($H4924="FLUID CAT CRACKING","FCC",IF(OR($H4924="HYDROCRACKING",$H4924="RESID_HYDROCRACKING"),"Hydrocracker",IF($H4924="REFORMING","Reformer",""))))</f>
        <v/>
      </c>
      <c r="H4924" s="6" t="s">
        <v>378</v>
      </c>
      <c r="I4924" s="6" t="s">
        <v>431</v>
      </c>
      <c r="J4924" s="6" t="s">
        <v>345</v>
      </c>
      <c r="K4924" s="10">
        <v>44.356</v>
      </c>
      <c r="L4924" s="10">
        <v>85.3</v>
      </c>
      <c r="M4924" s="6" t="s">
        <v>371</v>
      </c>
    </row>
    <row r="4925" spans="1:13">
      <c r="A4925" s="6">
        <v>2025</v>
      </c>
      <c r="B4925" s="6">
        <v>1</v>
      </c>
      <c r="C4925" s="6" t="s">
        <v>59</v>
      </c>
      <c r="D4925" s="6" t="s">
        <v>408</v>
      </c>
      <c r="E4925" s="6" t="s">
        <v>409</v>
      </c>
      <c r="F4925" s="6" t="str">
        <f>IF($M4925="PADD I","PADD 1",IF($M4925="PADD II","PADD 2",IF($M4925="PADD III","PADD 3",IF($M4925="PADD IV","PADD 4",IF($M4925="PADD V","PADD 5","")))))</f>
        <v>PADD 3</v>
      </c>
      <c r="G4925" s="6" t="str">
        <f>IF(AND($H4925="ATMOS DISTILLATION",ISNUMBER(SEARCH("VPS",$I4925))=FALSE,LEFT($I4925,6)&lt;&gt;"VACUUM"),"CDU",IF($H4925="FLUID CAT CRACKING","FCC",IF(OR($H4925="HYDROCRACKING",$H4925="RESID_HYDROCRACKING"),"Hydrocracker",IF($H4925="REFORMING","Reformer",""))))</f>
        <v>CDU</v>
      </c>
      <c r="H4925" s="6" t="s">
        <v>38</v>
      </c>
      <c r="I4925" s="6" t="s">
        <v>410</v>
      </c>
      <c r="J4925" s="6" t="s">
        <v>345</v>
      </c>
      <c r="K4925" s="10">
        <v>42.9</v>
      </c>
      <c r="L4925" s="10">
        <v>165</v>
      </c>
      <c r="M4925" s="6" t="s">
        <v>371</v>
      </c>
    </row>
    <row r="4926" spans="1:13">
      <c r="A4926" s="6">
        <v>2025</v>
      </c>
      <c r="B4926" s="6">
        <v>1</v>
      </c>
      <c r="C4926" s="6" t="s">
        <v>59</v>
      </c>
      <c r="D4926" s="6" t="s">
        <v>526</v>
      </c>
      <c r="E4926" s="6" t="s">
        <v>405</v>
      </c>
      <c r="F4926" s="6" t="str">
        <f>IF($M4926="PADD I","PADD 1",IF($M4926="PADD II","PADD 2",IF($M4926="PADD III","PADD 3",IF($M4926="PADD IV","PADD 4",IF($M4926="PADD V","PADD 5","")))))</f>
        <v>PADD 3</v>
      </c>
      <c r="G4926" s="6" t="str">
        <f>IF(AND($H4926="ATMOS DISTILLATION",ISNUMBER(SEARCH("VPS",$I4926))=FALSE,LEFT($I4926,6)&lt;&gt;"VACUUM"),"CDU",IF($H4926="FLUID CAT CRACKING","FCC",IF(OR($H4926="HYDROCRACKING",$H4926="RESID_HYDROCRACKING"),"Hydrocracker",IF($H4926="REFORMING","Reformer",""))))</f>
        <v>CDU</v>
      </c>
      <c r="H4926" s="6" t="s">
        <v>38</v>
      </c>
      <c r="I4926" s="6" t="s">
        <v>641</v>
      </c>
      <c r="J4926" s="6" t="s">
        <v>345</v>
      </c>
      <c r="K4926" s="10">
        <v>40.25</v>
      </c>
      <c r="L4926" s="10">
        <v>115</v>
      </c>
      <c r="M4926" s="6" t="s">
        <v>371</v>
      </c>
    </row>
    <row r="4927" spans="1:13">
      <c r="A4927" s="6">
        <v>2025</v>
      </c>
      <c r="B4927" s="6">
        <v>1</v>
      </c>
      <c r="C4927" s="6" t="s">
        <v>59</v>
      </c>
      <c r="D4927" s="6" t="s">
        <v>547</v>
      </c>
      <c r="E4927" s="6" t="s">
        <v>391</v>
      </c>
      <c r="F4927" s="6" t="str">
        <f>IF($M4927="PADD I","PADD 1",IF($M4927="PADD II","PADD 2",IF($M4927="PADD III","PADD 3",IF($M4927="PADD IV","PADD 4",IF($M4927="PADD V","PADD 5","")))))</f>
        <v>PADD 5</v>
      </c>
      <c r="G4927" s="6">
        <f>IF(AND($H4927="ATMOS DISTILLATION",ISNUMBER(SEARCH("VPS",$I4927))=FALSE,LEFT($I4927,6)&lt;&gt;"VACUUM"),"CDU",IF($H4927="FLUID CAT CRACKING","FCC",IF(OR($H4927="HYDROCRACKING",$H4927="RESID_HYDROCRACKING"),"Hydrocracker",IF($H4927="REFORMING","Reformer",""))))</f>
        <v/>
      </c>
      <c r="H4927" s="6" t="s">
        <v>43</v>
      </c>
      <c r="I4927" s="6" t="s">
        <v>929</v>
      </c>
      <c r="J4927" s="6" t="s">
        <v>349</v>
      </c>
      <c r="K4927" s="10">
        <v>39.528</v>
      </c>
      <c r="L4927" s="10">
        <v>64.8</v>
      </c>
      <c r="M4927" s="6" t="s">
        <v>386</v>
      </c>
    </row>
    <row r="4928" spans="1:13">
      <c r="A4928" s="6">
        <v>2025</v>
      </c>
      <c r="B4928" s="6">
        <v>1</v>
      </c>
      <c r="C4928" s="6" t="s">
        <v>59</v>
      </c>
      <c r="D4928" s="6" t="s">
        <v>387</v>
      </c>
      <c r="E4928" s="6" t="s">
        <v>388</v>
      </c>
      <c r="F4928" s="6" t="str">
        <f>IF($M4928="PADD I","PADD 1",IF($M4928="PADD II","PADD 2",IF($M4928="PADD III","PADD 3",IF($M4928="PADD IV","PADD 4",IF($M4928="PADD V","PADD 5","")))))</f>
        <v>PADD 3</v>
      </c>
      <c r="G4928" s="6">
        <f>IF(AND($H4928="ATMOS DISTILLATION",ISNUMBER(SEARCH("VPS",$I4928))=FALSE,LEFT($I4928,6)&lt;&gt;"VACUUM"),"CDU",IF($H4928="FLUID CAT CRACKING","FCC",IF(OR($H4928="HYDROCRACKING",$H4928="RESID_HYDROCRACKING"),"Hydrocracker",IF($H4928="REFORMING","Reformer",""))))</f>
        <v/>
      </c>
      <c r="H4928" s="6" t="s">
        <v>43</v>
      </c>
      <c r="I4928" s="6" t="s">
        <v>1219</v>
      </c>
      <c r="J4928" s="6" t="s">
        <v>345</v>
      </c>
      <c r="K4928" s="10">
        <v>39.05</v>
      </c>
      <c r="L4928" s="10">
        <v>55</v>
      </c>
      <c r="M4928" s="6" t="s">
        <v>371</v>
      </c>
    </row>
    <row r="4929" spans="1:13">
      <c r="A4929" s="6">
        <v>2025</v>
      </c>
      <c r="B4929" s="6">
        <v>1</v>
      </c>
      <c r="C4929" s="6" t="s">
        <v>59</v>
      </c>
      <c r="D4929" s="6" t="s">
        <v>946</v>
      </c>
      <c r="E4929" s="6" t="s">
        <v>405</v>
      </c>
      <c r="F4929" s="6" t="str">
        <f>IF($M4929="PADD I","PADD 1",IF($M4929="PADD II","PADD 2",IF($M4929="PADD III","PADD 3",IF($M4929="PADD IV","PADD 4",IF($M4929="PADD V","PADD 5","")))))</f>
        <v>PADD 5</v>
      </c>
      <c r="G4929" s="6" t="str">
        <f>IF(AND($H4929="ATMOS DISTILLATION",ISNUMBER(SEARCH("VPS",$I4929))=FALSE,LEFT($I4929,6)&lt;&gt;"VACUUM"),"CDU",IF($H4929="FLUID CAT CRACKING","FCC",IF(OR($H4929="HYDROCRACKING",$H4929="RESID_HYDROCRACKING"),"Hydrocracker",IF($H4929="REFORMING","Reformer",""))))</f>
        <v>FCC</v>
      </c>
      <c r="H4929" s="6" t="s">
        <v>376</v>
      </c>
      <c r="I4929" s="6" t="s">
        <v>947</v>
      </c>
      <c r="J4929" s="6" t="s">
        <v>349</v>
      </c>
      <c r="K4929" s="10">
        <v>38.34</v>
      </c>
      <c r="L4929" s="10">
        <v>54</v>
      </c>
      <c r="M4929" s="6" t="s">
        <v>386</v>
      </c>
    </row>
    <row r="4930" spans="1:13">
      <c r="A4930" s="6">
        <v>2025</v>
      </c>
      <c r="B4930" s="6">
        <v>1</v>
      </c>
      <c r="C4930" s="6" t="s">
        <v>59</v>
      </c>
      <c r="D4930" s="6" t="s">
        <v>387</v>
      </c>
      <c r="E4930" s="6" t="s">
        <v>388</v>
      </c>
      <c r="F4930" s="6" t="str">
        <f>IF($M4930="PADD I","PADD 1",IF($M4930="PADD II","PADD 2",IF($M4930="PADD III","PADD 3",IF($M4930="PADD IV","PADD 4",IF($M4930="PADD V","PADD 5","")))))</f>
        <v>PADD 3</v>
      </c>
      <c r="G4930" s="6" t="str">
        <f>IF(AND($H4930="ATMOS DISTILLATION",ISNUMBER(SEARCH("VPS",$I4930))=FALSE,LEFT($I4930,6)&lt;&gt;"VACUUM"),"CDU",IF($H4930="FLUID CAT CRACKING","FCC",IF(OR($H4930="HYDROCRACKING",$H4930="RESID_HYDROCRACKING"),"Hydrocracker",IF($H4930="REFORMING","Reformer",""))))</f>
        <v>Hydrocracker</v>
      </c>
      <c r="H4930" s="6" t="s">
        <v>444</v>
      </c>
      <c r="I4930" s="6" t="s">
        <v>476</v>
      </c>
      <c r="J4930" s="6" t="s">
        <v>345</v>
      </c>
      <c r="K4930" s="10">
        <v>36.4</v>
      </c>
      <c r="L4930" s="10">
        <v>70</v>
      </c>
      <c r="M4930" s="6" t="s">
        <v>371</v>
      </c>
    </row>
    <row r="4931" spans="1:13">
      <c r="A4931" s="6">
        <v>2025</v>
      </c>
      <c r="B4931" s="6">
        <v>1</v>
      </c>
      <c r="C4931" s="6" t="s">
        <v>59</v>
      </c>
      <c r="D4931" s="6" t="s">
        <v>778</v>
      </c>
      <c r="E4931" s="6" t="s">
        <v>779</v>
      </c>
      <c r="F4931" s="6" t="str">
        <f>IF($M4931="PADD I","PADD 1",IF($M4931="PADD II","PADD 2",IF($M4931="PADD III","PADD 3",IF($M4931="PADD IV","PADD 4",IF($M4931="PADD V","PADD 5","")))))</f>
        <v>PADD 3</v>
      </c>
      <c r="G4931" s="6" t="str">
        <f>IF(AND($H4931="ATMOS DISTILLATION",ISNUMBER(SEARCH("VPS",$I4931))=FALSE,LEFT($I4931,6)&lt;&gt;"VACUUM"),"CDU",IF($H4931="FLUID CAT CRACKING","FCC",IF(OR($H4931="HYDROCRACKING",$H4931="RESID_HYDROCRACKING"),"Hydrocracker",IF($H4931="REFORMING","Reformer",""))))</f>
        <v>CDU</v>
      </c>
      <c r="H4931" s="6" t="s">
        <v>38</v>
      </c>
      <c r="I4931" s="6" t="s">
        <v>805</v>
      </c>
      <c r="J4931" s="6" t="s">
        <v>349</v>
      </c>
      <c r="K4931" s="10">
        <v>35.38</v>
      </c>
      <c r="L4931" s="10">
        <v>58</v>
      </c>
      <c r="M4931" s="6" t="s">
        <v>371</v>
      </c>
    </row>
    <row r="4932" spans="1:13">
      <c r="A4932" s="6">
        <v>2025</v>
      </c>
      <c r="B4932" s="6">
        <v>1</v>
      </c>
      <c r="C4932" s="6" t="s">
        <v>59</v>
      </c>
      <c r="D4932" s="6" t="s">
        <v>778</v>
      </c>
      <c r="E4932" s="6" t="s">
        <v>779</v>
      </c>
      <c r="F4932" s="6" t="str">
        <f>IF($M4932="PADD I","PADD 1",IF($M4932="PADD II","PADD 2",IF($M4932="PADD III","PADD 3",IF($M4932="PADD IV","PADD 4",IF($M4932="PADD V","PADD 5","")))))</f>
        <v>PADD 3</v>
      </c>
      <c r="G4932" s="6" t="str">
        <f>IF(AND($H4932="ATMOS DISTILLATION",ISNUMBER(SEARCH("VPS",$I4932))=FALSE,LEFT($I4932,6)&lt;&gt;"VACUUM"),"CDU",IF($H4932="FLUID CAT CRACKING","FCC",IF(OR($H4932="HYDROCRACKING",$H4932="RESID_HYDROCRACKING"),"Hydrocracker",IF($H4932="REFORMING","Reformer",""))))</f>
        <v>Reformer</v>
      </c>
      <c r="H4932" s="6" t="s">
        <v>421</v>
      </c>
      <c r="I4932" s="6" t="s">
        <v>804</v>
      </c>
      <c r="J4932" s="6" t="s">
        <v>349</v>
      </c>
      <c r="K4932" s="10">
        <v>35.38</v>
      </c>
      <c r="L4932" s="10">
        <v>58</v>
      </c>
      <c r="M4932" s="6" t="s">
        <v>371</v>
      </c>
    </row>
    <row r="4933" spans="1:13">
      <c r="A4933" s="6">
        <v>2025</v>
      </c>
      <c r="B4933" s="6">
        <v>1</v>
      </c>
      <c r="C4933" s="6" t="s">
        <v>59</v>
      </c>
      <c r="D4933" s="6" t="s">
        <v>448</v>
      </c>
      <c r="E4933" s="6" t="s">
        <v>391</v>
      </c>
      <c r="F4933" s="6" t="str">
        <f>IF($M4933="PADD I","PADD 1",IF($M4933="PADD II","PADD 2",IF($M4933="PADD III","PADD 3",IF($M4933="PADD IV","PADD 4",IF($M4933="PADD V","PADD 5","")))))</f>
        <v>PADD 3</v>
      </c>
      <c r="G4933" s="6">
        <f>IF(AND($H4933="ATMOS DISTILLATION",ISNUMBER(SEARCH("VPS",$I4933))=FALSE,LEFT($I4933,6)&lt;&gt;"VACUUM"),"CDU",IF($H4933="FLUID CAT CRACKING","FCC",IF(OR($H4933="HYDROCRACKING",$H4933="RESID_HYDROCRACKING"),"Hydrocracker",IF($H4933="REFORMING","Reformer",""))))</f>
        <v/>
      </c>
      <c r="H4933" s="6" t="s">
        <v>43</v>
      </c>
      <c r="I4933" s="6" t="s">
        <v>449</v>
      </c>
      <c r="J4933" s="6" t="s">
        <v>345</v>
      </c>
      <c r="K4933" s="10">
        <v>35</v>
      </c>
      <c r="L4933" s="10">
        <v>35</v>
      </c>
      <c r="M4933" s="6" t="s">
        <v>371</v>
      </c>
    </row>
    <row r="4934" spans="1:13">
      <c r="A4934" s="6">
        <v>2025</v>
      </c>
      <c r="B4934" s="6">
        <v>1</v>
      </c>
      <c r="C4934" s="6" t="s">
        <v>59</v>
      </c>
      <c r="D4934" s="6" t="s">
        <v>387</v>
      </c>
      <c r="E4934" s="6" t="s">
        <v>388</v>
      </c>
      <c r="F4934" s="6" t="str">
        <f>IF($M4934="PADD I","PADD 1",IF($M4934="PADD II","PADD 2",IF($M4934="PADD III","PADD 3",IF($M4934="PADD IV","PADD 4",IF($M4934="PADD V","PADD 5","")))))</f>
        <v>PADD 3</v>
      </c>
      <c r="G4934" s="6">
        <f>IF(AND($H4934="ATMOS DISTILLATION",ISNUMBER(SEARCH("VPS",$I4934))=FALSE,LEFT($I4934,6)&lt;&gt;"VACUUM"),"CDU",IF($H4934="FLUID CAT CRACKING","FCC",IF(OR($H4934="HYDROCRACKING",$H4934="RESID_HYDROCRACKING"),"Hydrocracker",IF($H4934="REFORMING","Reformer",""))))</f>
        <v/>
      </c>
      <c r="H4934" s="6" t="s">
        <v>43</v>
      </c>
      <c r="I4934" s="6" t="s">
        <v>1217</v>
      </c>
      <c r="J4934" s="6" t="s">
        <v>349</v>
      </c>
      <c r="K4934" s="10">
        <v>34.8</v>
      </c>
      <c r="L4934" s="10">
        <v>40</v>
      </c>
      <c r="M4934" s="6" t="s">
        <v>371</v>
      </c>
    </row>
    <row r="4935" spans="1:13">
      <c r="A4935" s="6">
        <v>2025</v>
      </c>
      <c r="B4935" s="6">
        <v>1</v>
      </c>
      <c r="C4935" s="6" t="s">
        <v>59</v>
      </c>
      <c r="D4935" s="6" t="s">
        <v>778</v>
      </c>
      <c r="E4935" s="6" t="s">
        <v>779</v>
      </c>
      <c r="F4935" s="6" t="str">
        <f>IF($M4935="PADD I","PADD 1",IF($M4935="PADD II","PADD 2",IF($M4935="PADD III","PADD 3",IF($M4935="PADD IV","PADD 4",IF($M4935="PADD V","PADD 5","")))))</f>
        <v>PADD 3</v>
      </c>
      <c r="G4935" s="6" t="str">
        <f>IF(AND($H4935="ATMOS DISTILLATION",ISNUMBER(SEARCH("VPS",$I4935))=FALSE,LEFT($I4935,6)&lt;&gt;"VACUUM"),"CDU",IF($H4935="FLUID CAT CRACKING","FCC",IF(OR($H4935="HYDROCRACKING",$H4935="RESID_HYDROCRACKING"),"Hydrocracker",IF($H4935="REFORMING","Reformer",""))))</f>
        <v>FCC</v>
      </c>
      <c r="H4935" s="6" t="s">
        <v>376</v>
      </c>
      <c r="I4935" s="6" t="s">
        <v>806</v>
      </c>
      <c r="J4935" s="6" t="s">
        <v>349</v>
      </c>
      <c r="K4935" s="10">
        <v>33.55</v>
      </c>
      <c r="L4935" s="10">
        <v>55</v>
      </c>
      <c r="M4935" s="6" t="s">
        <v>371</v>
      </c>
    </row>
    <row r="4936" spans="1:13">
      <c r="A4936" s="6">
        <v>2025</v>
      </c>
      <c r="B4936" s="6">
        <v>1</v>
      </c>
      <c r="C4936" s="6" t="s">
        <v>59</v>
      </c>
      <c r="D4936" s="6" t="s">
        <v>778</v>
      </c>
      <c r="E4936" s="6" t="s">
        <v>779</v>
      </c>
      <c r="F4936" s="6" t="str">
        <f>IF($M4936="PADD I","PADD 1",IF($M4936="PADD II","PADD 2",IF($M4936="PADD III","PADD 3",IF($M4936="PADD IV","PADD 4",IF($M4936="PADD V","PADD 5","")))))</f>
        <v>PADD 3</v>
      </c>
      <c r="G4936" s="6">
        <f>IF(AND($H4936="ATMOS DISTILLATION",ISNUMBER(SEARCH("VPS",$I4936))=FALSE,LEFT($I4936,6)&lt;&gt;"VACUUM"),"CDU",IF($H4936="FLUID CAT CRACKING","FCC",IF(OR($H4936="HYDROCRACKING",$H4936="RESID_HYDROCRACKING"),"Hydrocracker",IF($H4936="REFORMING","Reformer",""))))</f>
        <v/>
      </c>
      <c r="H4936" s="6" t="s">
        <v>43</v>
      </c>
      <c r="I4936" s="6" t="s">
        <v>808</v>
      </c>
      <c r="J4936" s="6" t="s">
        <v>349</v>
      </c>
      <c r="K4936" s="10">
        <v>32.33</v>
      </c>
      <c r="L4936" s="10">
        <v>53</v>
      </c>
      <c r="M4936" s="6" t="s">
        <v>371</v>
      </c>
    </row>
    <row r="4937" spans="1:13">
      <c r="A4937" s="6">
        <v>2025</v>
      </c>
      <c r="B4937" s="6">
        <v>1</v>
      </c>
      <c r="C4937" s="6" t="s">
        <v>59</v>
      </c>
      <c r="D4937" s="6" t="s">
        <v>946</v>
      </c>
      <c r="E4937" s="6" t="s">
        <v>405</v>
      </c>
      <c r="F4937" s="6" t="str">
        <f>IF($M4937="PADD I","PADD 1",IF($M4937="PADD II","PADD 2",IF($M4937="PADD III","PADD 3",IF($M4937="PADD IV","PADD 4",IF($M4937="PADD V","PADD 5","")))))</f>
        <v>PADD 5</v>
      </c>
      <c r="G4937" s="6" t="str">
        <f>IF(AND($H4937="ATMOS DISTILLATION",ISNUMBER(SEARCH("VPS",$I4937))=FALSE,LEFT($I4937,6)&lt;&gt;"VACUUM"),"CDU",IF($H4937="FLUID CAT CRACKING","FCC",IF(OR($H4937="HYDROCRACKING",$H4937="RESID_HYDROCRACKING"),"Hydrocracker",IF($H4937="REFORMING","Reformer",""))))</f>
        <v>CDU</v>
      </c>
      <c r="H4937" s="6" t="s">
        <v>38</v>
      </c>
      <c r="I4937" s="6" t="s">
        <v>967</v>
      </c>
      <c r="J4937" s="6" t="s">
        <v>345</v>
      </c>
      <c r="K4937" s="10">
        <v>32.19</v>
      </c>
      <c r="L4937" s="10">
        <v>43.5</v>
      </c>
      <c r="M4937" s="6" t="s">
        <v>386</v>
      </c>
    </row>
    <row r="4938" spans="1:13">
      <c r="A4938" s="6">
        <v>2025</v>
      </c>
      <c r="B4938" s="6">
        <v>1</v>
      </c>
      <c r="C4938" s="6" t="s">
        <v>59</v>
      </c>
      <c r="D4938" s="6" t="s">
        <v>946</v>
      </c>
      <c r="E4938" s="6" t="s">
        <v>405</v>
      </c>
      <c r="F4938" s="6" t="str">
        <f>IF($M4938="PADD I","PADD 1",IF($M4938="PADD II","PADD 2",IF($M4938="PADD III","PADD 3",IF($M4938="PADD IV","PADD 4",IF($M4938="PADD V","PADD 5","")))))</f>
        <v>PADD 5</v>
      </c>
      <c r="G4938" s="6" t="str">
        <f>IF(AND($H4938="ATMOS DISTILLATION",ISNUMBER(SEARCH("VPS",$I4938))=FALSE,LEFT($I4938,6)&lt;&gt;"VACUUM"),"CDU",IF($H4938="FLUID CAT CRACKING","FCC",IF(OR($H4938="HYDROCRACKING",$H4938="RESID_HYDROCRACKING"),"Hydrocracker",IF($H4938="REFORMING","Reformer",""))))</f>
        <v>CDU</v>
      </c>
      <c r="H4938" s="6" t="s">
        <v>38</v>
      </c>
      <c r="I4938" s="6" t="s">
        <v>968</v>
      </c>
      <c r="J4938" s="6" t="s">
        <v>345</v>
      </c>
      <c r="K4938" s="10">
        <v>32.19</v>
      </c>
      <c r="L4938" s="10">
        <v>43.5</v>
      </c>
      <c r="M4938" s="6" t="s">
        <v>386</v>
      </c>
    </row>
    <row r="4939" spans="1:13">
      <c r="A4939" s="6">
        <v>2025</v>
      </c>
      <c r="B4939" s="6">
        <v>1</v>
      </c>
      <c r="C4939" s="6" t="s">
        <v>59</v>
      </c>
      <c r="D4939" s="6" t="s">
        <v>676</v>
      </c>
      <c r="E4939" s="6" t="s">
        <v>677</v>
      </c>
      <c r="F4939" s="6" t="str">
        <f>IF($M4939="PADD I","PADD 1",IF($M4939="PADD II","PADD 2",IF($M4939="PADD III","PADD 3",IF($M4939="PADD IV","PADD 4",IF($M4939="PADD V","PADD 5","")))))</f>
        <v>PADD 1</v>
      </c>
      <c r="G4939" s="6">
        <f>IF(AND($H4939="ATMOS DISTILLATION",ISNUMBER(SEARCH("VPS",$I4939))=FALSE,LEFT($I4939,6)&lt;&gt;"VACUUM"),"CDU",IF($H4939="FLUID CAT CRACKING","FCC",IF(OR($H4939="HYDROCRACKING",$H4939="RESID_HYDROCRACKING"),"Hydrocracker",IF($H4939="REFORMING","Reformer",""))))</f>
        <v/>
      </c>
      <c r="H4939" s="6" t="s">
        <v>378</v>
      </c>
      <c r="I4939" s="6" t="s">
        <v>1262</v>
      </c>
      <c r="J4939" s="6" t="s">
        <v>345</v>
      </c>
      <c r="K4939" s="10">
        <v>31</v>
      </c>
      <c r="L4939" s="10">
        <v>31</v>
      </c>
      <c r="M4939" s="6" t="s">
        <v>413</v>
      </c>
    </row>
    <row r="4940" spans="1:13">
      <c r="A4940" s="6">
        <v>2025</v>
      </c>
      <c r="B4940" s="6">
        <v>1</v>
      </c>
      <c r="C4940" s="6" t="s">
        <v>59</v>
      </c>
      <c r="D4940" s="6" t="s">
        <v>778</v>
      </c>
      <c r="E4940" s="6" t="s">
        <v>779</v>
      </c>
      <c r="F4940" s="6" t="str">
        <f>IF($M4940="PADD I","PADD 1",IF($M4940="PADD II","PADD 2",IF($M4940="PADD III","PADD 3",IF($M4940="PADD IV","PADD 4",IF($M4940="PADD V","PADD 5","")))))</f>
        <v>PADD 3</v>
      </c>
      <c r="G4940" s="6">
        <f>IF(AND($H4940="ATMOS DISTILLATION",ISNUMBER(SEARCH("VPS",$I4940))=FALSE,LEFT($I4940,6)&lt;&gt;"VACUUM"),"CDU",IF($H4940="FLUID CAT CRACKING","FCC",IF(OR($H4940="HYDROCRACKING",$H4940="RESID_HYDROCRACKING"),"Hydrocracker",IF($H4940="REFORMING","Reformer",""))))</f>
        <v/>
      </c>
      <c r="H4940" s="6" t="s">
        <v>43</v>
      </c>
      <c r="I4940" s="6" t="s">
        <v>809</v>
      </c>
      <c r="J4940" s="6" t="s">
        <v>349</v>
      </c>
      <c r="K4940" s="10">
        <v>30.5</v>
      </c>
      <c r="L4940" s="10">
        <v>50</v>
      </c>
      <c r="M4940" s="6" t="s">
        <v>371</v>
      </c>
    </row>
    <row r="4941" spans="1:13">
      <c r="A4941" s="6">
        <v>2025</v>
      </c>
      <c r="B4941" s="6">
        <v>1</v>
      </c>
      <c r="C4941" s="6" t="s">
        <v>59</v>
      </c>
      <c r="D4941" s="6" t="s">
        <v>526</v>
      </c>
      <c r="E4941" s="6" t="s">
        <v>405</v>
      </c>
      <c r="F4941" s="6" t="str">
        <f>IF($M4941="PADD I","PADD 1",IF($M4941="PADD II","PADD 2",IF($M4941="PADD III","PADD 3",IF($M4941="PADD IV","PADD 4",IF($M4941="PADD V","PADD 5","")))))</f>
        <v>PADD 3</v>
      </c>
      <c r="G4941" s="6">
        <f>IF(AND($H4941="ATMOS DISTILLATION",ISNUMBER(SEARCH("VPS",$I4941))=FALSE,LEFT($I4941,6)&lt;&gt;"VACUUM"),"CDU",IF($H4941="FLUID CAT CRACKING","FCC",IF(OR($H4941="HYDROCRACKING",$H4941="RESID_HYDROCRACKING"),"Hydrocracker",IF($H4941="REFORMING","Reformer",""))))</f>
        <v/>
      </c>
      <c r="H4941" s="6" t="s">
        <v>435</v>
      </c>
      <c r="I4941" s="6" t="s">
        <v>954</v>
      </c>
      <c r="J4941" s="6" t="s">
        <v>345</v>
      </c>
      <c r="K4941" s="10">
        <v>30</v>
      </c>
      <c r="L4941" s="10">
        <v>30</v>
      </c>
      <c r="M4941" s="6" t="s">
        <v>371</v>
      </c>
    </row>
    <row r="4942" spans="1:13">
      <c r="A4942" s="6">
        <v>2025</v>
      </c>
      <c r="B4942" s="6">
        <v>1</v>
      </c>
      <c r="C4942" s="6" t="s">
        <v>59</v>
      </c>
      <c r="D4942" s="6" t="s">
        <v>335</v>
      </c>
      <c r="E4942" s="6" t="s">
        <v>369</v>
      </c>
      <c r="F4942" s="6" t="str">
        <f>IF($M4942="PADD I","PADD 1",IF($M4942="PADD II","PADD 2",IF($M4942="PADD III","PADD 3",IF($M4942="PADD IV","PADD 4",IF($M4942="PADD V","PADD 5","")))))</f>
        <v>PADD 3</v>
      </c>
      <c r="G4942" s="6" t="str">
        <f>IF(AND($H4942="ATMOS DISTILLATION",ISNUMBER(SEARCH("VPS",$I4942))=FALSE,LEFT($I4942,6)&lt;&gt;"VACUUM"),"CDU",IF($H4942="FLUID CAT CRACKING","FCC",IF(OR($H4942="HYDROCRACKING",$H4942="RESID_HYDROCRACKING"),"Hydrocracker",IF($H4942="REFORMING","Reformer",""))))</f>
        <v>FCC</v>
      </c>
      <c r="H4942" s="6" t="s">
        <v>376</v>
      </c>
      <c r="I4942" s="6" t="s">
        <v>472</v>
      </c>
      <c r="J4942" s="6" t="s">
        <v>345</v>
      </c>
      <c r="K4942" s="10">
        <v>30</v>
      </c>
      <c r="L4942" s="10">
        <v>30</v>
      </c>
      <c r="M4942" s="6" t="s">
        <v>371</v>
      </c>
    </row>
    <row r="4943" spans="1:13">
      <c r="A4943" s="6">
        <v>2025</v>
      </c>
      <c r="B4943" s="6">
        <v>1</v>
      </c>
      <c r="C4943" s="6" t="s">
        <v>59</v>
      </c>
      <c r="D4943" s="6" t="s">
        <v>778</v>
      </c>
      <c r="E4943" s="6" t="s">
        <v>779</v>
      </c>
      <c r="F4943" s="6" t="str">
        <f>IF($M4943="PADD I","PADD 1",IF($M4943="PADD II","PADD 2",IF($M4943="PADD III","PADD 3",IF($M4943="PADD IV","PADD 4",IF($M4943="PADD V","PADD 5","")))))</f>
        <v>PADD 3</v>
      </c>
      <c r="G4943" s="6">
        <f>IF(AND($H4943="ATMOS DISTILLATION",ISNUMBER(SEARCH("VPS",$I4943))=FALSE,LEFT($I4943,6)&lt;&gt;"VACUUM"),"CDU",IF($H4943="FLUID CAT CRACKING","FCC",IF(OR($H4943="HYDROCRACKING",$H4943="RESID_HYDROCRACKING"),"Hydrocracker",IF($H4943="REFORMING","Reformer",""))))</f>
        <v/>
      </c>
      <c r="H4943" s="6" t="s">
        <v>43</v>
      </c>
      <c r="I4943" s="6" t="s">
        <v>811</v>
      </c>
      <c r="J4943" s="6" t="s">
        <v>349</v>
      </c>
      <c r="K4943" s="10">
        <v>29.28</v>
      </c>
      <c r="L4943" s="10">
        <v>48</v>
      </c>
      <c r="M4943" s="6" t="s">
        <v>371</v>
      </c>
    </row>
    <row r="4944" spans="1:13">
      <c r="A4944" s="6">
        <v>2025</v>
      </c>
      <c r="B4944" s="6">
        <v>1</v>
      </c>
      <c r="C4944" s="6" t="s">
        <v>59</v>
      </c>
      <c r="D4944" s="6" t="s">
        <v>946</v>
      </c>
      <c r="E4944" s="6" t="s">
        <v>405</v>
      </c>
      <c r="F4944" s="6" t="str">
        <f>IF($M4944="PADD I","PADD 1",IF($M4944="PADD II","PADD 2",IF($M4944="PADD III","PADD 3",IF($M4944="PADD IV","PADD 4",IF($M4944="PADD V","PADD 5","")))))</f>
        <v>PADD 5</v>
      </c>
      <c r="G4944" s="6">
        <f>IF(AND($H4944="ATMOS DISTILLATION",ISNUMBER(SEARCH("VPS",$I4944))=FALSE,LEFT($I4944,6)&lt;&gt;"VACUUM"),"CDU",IF($H4944="FLUID CAT CRACKING","FCC",IF(OR($H4944="HYDROCRACKING",$H4944="RESID_HYDROCRACKING"),"Hydrocracker",IF($H4944="REFORMING","Reformer",""))))</f>
        <v/>
      </c>
      <c r="H4944" s="6" t="s">
        <v>378</v>
      </c>
      <c r="I4944" s="6" t="s">
        <v>969</v>
      </c>
      <c r="J4944" s="6" t="s">
        <v>349</v>
      </c>
      <c r="K4944" s="10">
        <v>28.86</v>
      </c>
      <c r="L4944" s="10">
        <v>39</v>
      </c>
      <c r="M4944" s="6" t="s">
        <v>386</v>
      </c>
    </row>
    <row r="4945" spans="1:13">
      <c r="A4945" s="6">
        <v>2025</v>
      </c>
      <c r="B4945" s="6">
        <v>1</v>
      </c>
      <c r="C4945" s="6" t="s">
        <v>59</v>
      </c>
      <c r="D4945" s="6" t="s">
        <v>851</v>
      </c>
      <c r="E4945" s="6" t="s">
        <v>852</v>
      </c>
      <c r="F4945" s="6" t="str">
        <f>IF($M4945="PADD I","PADD 1",IF($M4945="PADD II","PADD 2",IF($M4945="PADD III","PADD 3",IF($M4945="PADD IV","PADD 4",IF($M4945="PADD V","PADD 5","")))))</f>
        <v>PADD 3</v>
      </c>
      <c r="G4945" s="6" t="str">
        <f>IF(AND($H4945="ATMOS DISTILLATION",ISNUMBER(SEARCH("VPS",$I4945))=FALSE,LEFT($I4945,6)&lt;&gt;"VACUUM"),"CDU",IF($H4945="FLUID CAT CRACKING","FCC",IF(OR($H4945="HYDROCRACKING",$H4945="RESID_HYDROCRACKING"),"Hydrocracker",IF($H4945="REFORMING","Reformer",""))))</f>
        <v>CDU</v>
      </c>
      <c r="H4945" s="6" t="s">
        <v>38</v>
      </c>
      <c r="I4945" s="6" t="s">
        <v>854</v>
      </c>
      <c r="J4945" s="6" t="s">
        <v>345</v>
      </c>
      <c r="K4945" s="10">
        <v>28.47</v>
      </c>
      <c r="L4945" s="10">
        <v>73</v>
      </c>
      <c r="M4945" s="6" t="s">
        <v>371</v>
      </c>
    </row>
    <row r="4946" spans="1:13">
      <c r="A4946" s="6">
        <v>2025</v>
      </c>
      <c r="B4946" s="6">
        <v>1</v>
      </c>
      <c r="C4946" s="6" t="s">
        <v>59</v>
      </c>
      <c r="D4946" s="6" t="s">
        <v>778</v>
      </c>
      <c r="E4946" s="6" t="s">
        <v>779</v>
      </c>
      <c r="F4946" s="6" t="str">
        <f>IF($M4946="PADD I","PADD 1",IF($M4946="PADD II","PADD 2",IF($M4946="PADD III","PADD 3",IF($M4946="PADD IV","PADD 4",IF($M4946="PADD V","PADD 5","")))))</f>
        <v>PADD 3</v>
      </c>
      <c r="G4946" s="6">
        <f>IF(AND($H4946="ATMOS DISTILLATION",ISNUMBER(SEARCH("VPS",$I4946))=FALSE,LEFT($I4946,6)&lt;&gt;"VACUUM"),"CDU",IF($H4946="FLUID CAT CRACKING","FCC",IF(OR($H4946="HYDROCRACKING",$H4946="RESID_HYDROCRACKING"),"Hydrocracker",IF($H4946="REFORMING","Reformer",""))))</f>
        <v/>
      </c>
      <c r="H4946" s="6" t="s">
        <v>43</v>
      </c>
      <c r="I4946" s="6" t="s">
        <v>394</v>
      </c>
      <c r="J4946" s="6" t="s">
        <v>349</v>
      </c>
      <c r="K4946" s="10">
        <v>27.45</v>
      </c>
      <c r="L4946" s="10">
        <v>45</v>
      </c>
      <c r="M4946" s="6" t="s">
        <v>371</v>
      </c>
    </row>
    <row r="4947" spans="1:13">
      <c r="A4947" s="6">
        <v>2025</v>
      </c>
      <c r="B4947" s="6">
        <v>1</v>
      </c>
      <c r="C4947" s="6" t="s">
        <v>59</v>
      </c>
      <c r="D4947" s="6" t="s">
        <v>714</v>
      </c>
      <c r="E4947" s="6" t="s">
        <v>405</v>
      </c>
      <c r="F4947" s="6" t="str">
        <f>IF($M4947="PADD I","PADD 1",IF($M4947="PADD II","PADD 2",IF($M4947="PADD III","PADD 3",IF($M4947="PADD IV","PADD 4",IF($M4947="PADD V","PADD 5","")))))</f>
        <v>PADD 3</v>
      </c>
      <c r="G4947" s="6" t="str">
        <f>IF(AND($H4947="ATMOS DISTILLATION",ISNUMBER(SEARCH("VPS",$I4947))=FALSE,LEFT($I4947,6)&lt;&gt;"VACUUM"),"CDU",IF($H4947="FLUID CAT CRACKING","FCC",IF(OR($H4947="HYDROCRACKING",$H4947="RESID_HYDROCRACKING"),"Hydrocracker",IF($H4947="REFORMING","Reformer",""))))</f>
        <v>FCC</v>
      </c>
      <c r="H4947" s="6" t="s">
        <v>376</v>
      </c>
      <c r="I4947" s="6" t="s">
        <v>105</v>
      </c>
      <c r="J4947" s="6" t="s">
        <v>345</v>
      </c>
      <c r="K4947" s="10">
        <v>26.6</v>
      </c>
      <c r="L4947" s="10">
        <v>76</v>
      </c>
      <c r="M4947" s="6" t="s">
        <v>371</v>
      </c>
    </row>
    <row r="4948" spans="1:13">
      <c r="A4948" s="6">
        <v>2025</v>
      </c>
      <c r="B4948" s="6">
        <v>1</v>
      </c>
      <c r="C4948" s="6" t="s">
        <v>59</v>
      </c>
      <c r="D4948" s="6" t="s">
        <v>50</v>
      </c>
      <c r="E4948" s="6" t="s">
        <v>381</v>
      </c>
      <c r="F4948" s="6" t="str">
        <f>IF($M4948="PADD I","PADD 1",IF($M4948="PADD II","PADD 2",IF($M4948="PADD III","PADD 3",IF($M4948="PADD IV","PADD 4",IF($M4948="PADD V","PADD 5","")))))</f>
        <v>PADD 3</v>
      </c>
      <c r="G4948" s="6">
        <f>IF(AND($H4948="ATMOS DISTILLATION",ISNUMBER(SEARCH("VPS",$I4948))=FALSE,LEFT($I4948,6)&lt;&gt;"VACUUM"),"CDU",IF($H4948="FLUID CAT CRACKING","FCC",IF(OR($H4948="HYDROCRACKING",$H4948="RESID_HYDROCRACKING"),"Hydrocracker",IF($H4948="REFORMING","Reformer",""))))</f>
        <v/>
      </c>
      <c r="H4948" s="6" t="s">
        <v>435</v>
      </c>
      <c r="I4948" s="6" t="s">
        <v>1270</v>
      </c>
      <c r="J4948" s="6" t="s">
        <v>345</v>
      </c>
      <c r="K4948" s="10">
        <v>25.62</v>
      </c>
      <c r="L4948" s="10">
        <v>42</v>
      </c>
      <c r="M4948" s="6" t="s">
        <v>371</v>
      </c>
    </row>
    <row r="4949" spans="1:13">
      <c r="A4949" s="6">
        <v>2025</v>
      </c>
      <c r="B4949" s="6">
        <v>1</v>
      </c>
      <c r="C4949" s="6" t="s">
        <v>59</v>
      </c>
      <c r="D4949" s="6" t="s">
        <v>446</v>
      </c>
      <c r="E4949" s="6" t="s">
        <v>391</v>
      </c>
      <c r="F4949" s="6" t="str">
        <f>IF($M4949="PADD I","PADD 1",IF($M4949="PADD II","PADD 2",IF($M4949="PADD III","PADD 3",IF($M4949="PADD IV","PADD 4",IF($M4949="PADD V","PADD 5","")))))</f>
        <v>PADD 3</v>
      </c>
      <c r="G4949" s="6" t="str">
        <f>IF(AND($H4949="ATMOS DISTILLATION",ISNUMBER(SEARCH("VPS",$I4949))=FALSE,LEFT($I4949,6)&lt;&gt;"VACUUM"),"CDU",IF($H4949="FLUID CAT CRACKING","FCC",IF(OR($H4949="HYDROCRACKING",$H4949="RESID_HYDROCRACKING"),"Hydrocracker",IF($H4949="REFORMING","Reformer",""))))</f>
        <v>CDU</v>
      </c>
      <c r="H4949" s="6" t="s">
        <v>38</v>
      </c>
      <c r="I4949" s="6" t="s">
        <v>81</v>
      </c>
      <c r="J4949" s="6" t="s">
        <v>349</v>
      </c>
      <c r="K4949" s="10">
        <v>23.5</v>
      </c>
      <c r="L4949" s="10">
        <v>25</v>
      </c>
      <c r="M4949" s="6" t="s">
        <v>371</v>
      </c>
    </row>
    <row r="4950" spans="1:13">
      <c r="A4950" s="6">
        <v>2025</v>
      </c>
      <c r="B4950" s="6">
        <v>1</v>
      </c>
      <c r="C4950" s="6" t="s">
        <v>59</v>
      </c>
      <c r="D4950" s="6" t="s">
        <v>946</v>
      </c>
      <c r="E4950" s="6" t="s">
        <v>405</v>
      </c>
      <c r="F4950" s="6" t="str">
        <f>IF($M4950="PADD I","PADD 1",IF($M4950="PADD II","PADD 2",IF($M4950="PADD III","PADD 3",IF($M4950="PADD IV","PADD 4",IF($M4950="PADD V","PADD 5","")))))</f>
        <v>PADD 5</v>
      </c>
      <c r="G4950" s="6">
        <f>IF(AND($H4950="ATMOS DISTILLATION",ISNUMBER(SEARCH("VPS",$I4950))=FALSE,LEFT($I4950,6)&lt;&gt;"VACUUM"),"CDU",IF($H4950="FLUID CAT CRACKING","FCC",IF(OR($H4950="HYDROCRACKING",$H4950="RESID_HYDROCRACKING"),"Hydrocracker",IF($H4950="REFORMING","Reformer",""))))</f>
        <v/>
      </c>
      <c r="H4950" s="6" t="s">
        <v>43</v>
      </c>
      <c r="I4950" s="6" t="s">
        <v>970</v>
      </c>
      <c r="J4950" s="6" t="s">
        <v>349</v>
      </c>
      <c r="K4950" s="10">
        <v>23.43</v>
      </c>
      <c r="L4950" s="10">
        <v>33</v>
      </c>
      <c r="M4950" s="6" t="s">
        <v>386</v>
      </c>
    </row>
    <row r="4951" spans="1:13">
      <c r="A4951" s="6">
        <v>2025</v>
      </c>
      <c r="B4951" s="6">
        <v>1</v>
      </c>
      <c r="C4951" s="6" t="s">
        <v>59</v>
      </c>
      <c r="D4951" s="6" t="s">
        <v>335</v>
      </c>
      <c r="E4951" s="6" t="s">
        <v>369</v>
      </c>
      <c r="F4951" s="6" t="str">
        <f>IF($M4951="PADD I","PADD 1",IF($M4951="PADD II","PADD 2",IF($M4951="PADD III","PADD 3",IF($M4951="PADD IV","PADD 4",IF($M4951="PADD V","PADD 5","")))))</f>
        <v>PADD 3</v>
      </c>
      <c r="G4951" s="6">
        <f>IF(AND($H4951="ATMOS DISTILLATION",ISNUMBER(SEARCH("VPS",$I4951))=FALSE,LEFT($I4951,6)&lt;&gt;"VACUUM"),"CDU",IF($H4951="FLUID CAT CRACKING","FCC",IF(OR($H4951="HYDROCRACKING",$H4951="RESID_HYDROCRACKING"),"Hydrocracker",IF($H4951="REFORMING","Reformer",""))))</f>
        <v/>
      </c>
      <c r="H4951" s="6" t="s">
        <v>435</v>
      </c>
      <c r="I4951" s="6" t="s">
        <v>1205</v>
      </c>
      <c r="J4951" s="6" t="s">
        <v>345</v>
      </c>
      <c r="K4951" s="10">
        <v>22.688</v>
      </c>
      <c r="L4951" s="10">
        <v>70.90000000000001</v>
      </c>
      <c r="M4951" s="6" t="s">
        <v>371</v>
      </c>
    </row>
    <row r="4952" spans="1:13">
      <c r="A4952" s="6">
        <v>2025</v>
      </c>
      <c r="B4952" s="6">
        <v>1</v>
      </c>
      <c r="C4952" s="6" t="s">
        <v>59</v>
      </c>
      <c r="D4952" s="6" t="s">
        <v>610</v>
      </c>
      <c r="E4952" s="6" t="s">
        <v>611</v>
      </c>
      <c r="F4952" s="6" t="str">
        <f>IF($M4952="PADD I","PADD 1",IF($M4952="PADD II","PADD 2",IF($M4952="PADD III","PADD 3",IF($M4952="PADD IV","PADD 4",IF($M4952="PADD V","PADD 5","")))))</f>
        <v>PADD 2</v>
      </c>
      <c r="G4952" s="6" t="str">
        <f>IF(AND($H4952="ATMOS DISTILLATION",ISNUMBER(SEARCH("VPS",$I4952))=FALSE,LEFT($I4952,6)&lt;&gt;"VACUUM"),"CDU",IF($H4952="FLUID CAT CRACKING","FCC",IF(OR($H4952="HYDROCRACKING",$H4952="RESID_HYDROCRACKING"),"Hydrocracker",IF($H4952="REFORMING","Reformer",""))))</f>
        <v>CDU</v>
      </c>
      <c r="H4952" s="6" t="s">
        <v>38</v>
      </c>
      <c r="I4952" s="6" t="s">
        <v>374</v>
      </c>
      <c r="J4952" s="6" t="s">
        <v>349</v>
      </c>
      <c r="K4952" s="10">
        <v>21.75</v>
      </c>
      <c r="L4952" s="10">
        <v>75</v>
      </c>
      <c r="M4952" s="6" t="s">
        <v>375</v>
      </c>
    </row>
    <row r="4953" spans="1:13">
      <c r="A4953" s="6">
        <v>2025</v>
      </c>
      <c r="B4953" s="6">
        <v>1</v>
      </c>
      <c r="C4953" s="6" t="s">
        <v>59</v>
      </c>
      <c r="D4953" s="6" t="s">
        <v>411</v>
      </c>
      <c r="E4953" s="6" t="s">
        <v>369</v>
      </c>
      <c r="F4953" s="6" t="str">
        <f>IF($M4953="PADD I","PADD 1",IF($M4953="PADD II","PADD 2",IF($M4953="PADD III","PADD 3",IF($M4953="PADD IV","PADD 4",IF($M4953="PADD V","PADD 5","")))))</f>
        <v>PADD 1</v>
      </c>
      <c r="G4953" s="6">
        <f>IF(AND($H4953="ATMOS DISTILLATION",ISNUMBER(SEARCH("VPS",$I4953))=FALSE,LEFT($I4953,6)&lt;&gt;"VACUUM"),"CDU",IF($H4953="FLUID CAT CRACKING","FCC",IF(OR($H4953="HYDROCRACKING",$H4953="RESID_HYDROCRACKING"),"Hydrocracker",IF($H4953="REFORMING","Reformer",""))))</f>
        <v/>
      </c>
      <c r="H4953" s="6" t="s">
        <v>460</v>
      </c>
      <c r="I4953" s="6" t="s">
        <v>566</v>
      </c>
      <c r="J4953" s="6" t="s">
        <v>349</v>
      </c>
      <c r="K4953" s="10">
        <v>21.34</v>
      </c>
      <c r="L4953" s="10">
        <v>22</v>
      </c>
      <c r="M4953" s="6" t="s">
        <v>413</v>
      </c>
    </row>
    <row r="4954" spans="1:13">
      <c r="A4954" s="6">
        <v>2025</v>
      </c>
      <c r="B4954" s="6">
        <v>1</v>
      </c>
      <c r="C4954" s="6" t="s">
        <v>59</v>
      </c>
      <c r="D4954" s="6" t="s">
        <v>446</v>
      </c>
      <c r="E4954" s="6" t="s">
        <v>391</v>
      </c>
      <c r="F4954" s="6" t="str">
        <f>IF($M4954="PADD I","PADD 1",IF($M4954="PADD II","PADD 2",IF($M4954="PADD III","PADD 3",IF($M4954="PADD IV","PADD 4",IF($M4954="PADD V","PADD 5","")))))</f>
        <v>PADD 3</v>
      </c>
      <c r="G4954" s="6">
        <f>IF(AND($H4954="ATMOS DISTILLATION",ISNUMBER(SEARCH("VPS",$I4954))=FALSE,LEFT($I4954,6)&lt;&gt;"VACUUM"),"CDU",IF($H4954="FLUID CAT CRACKING","FCC",IF(OR($H4954="HYDROCRACKING",$H4954="RESID_HYDROCRACKING"),"Hydrocracker",IF($H4954="REFORMING","Reformer",""))))</f>
        <v/>
      </c>
      <c r="H4954" s="6" t="s">
        <v>378</v>
      </c>
      <c r="I4954" s="6" t="s">
        <v>1041</v>
      </c>
      <c r="J4954" s="6" t="s">
        <v>345</v>
      </c>
      <c r="K4954" s="10">
        <v>21.32</v>
      </c>
      <c r="L4954" s="10">
        <v>41</v>
      </c>
      <c r="M4954" s="6" t="s">
        <v>371</v>
      </c>
    </row>
    <row r="4955" spans="1:13">
      <c r="A4955" s="6">
        <v>2025</v>
      </c>
      <c r="B4955" s="6">
        <v>1</v>
      </c>
      <c r="C4955" s="6" t="s">
        <v>59</v>
      </c>
      <c r="D4955" s="6" t="s">
        <v>946</v>
      </c>
      <c r="E4955" s="6" t="s">
        <v>405</v>
      </c>
      <c r="F4955" s="6" t="str">
        <f>IF($M4955="PADD I","PADD 1",IF($M4955="PADD II","PADD 2",IF($M4955="PADD III","PADD 3",IF($M4955="PADD IV","PADD 4",IF($M4955="PADD V","PADD 5","")))))</f>
        <v>PADD 5</v>
      </c>
      <c r="G4955" s="6">
        <f>IF(AND($H4955="ATMOS DISTILLATION",ISNUMBER(SEARCH("VPS",$I4955))=FALSE,LEFT($I4955,6)&lt;&gt;"VACUUM"),"CDU",IF($H4955="FLUID CAT CRACKING","FCC",IF(OR($H4955="HYDROCRACKING",$H4955="RESID_HYDROCRACKING"),"Hydrocracker",IF($H4955="REFORMING","Reformer",""))))</f>
        <v/>
      </c>
      <c r="H4955" s="6" t="s">
        <v>43</v>
      </c>
      <c r="I4955" s="6" t="s">
        <v>971</v>
      </c>
      <c r="J4955" s="6" t="s">
        <v>349</v>
      </c>
      <c r="K4955" s="10">
        <v>21.3</v>
      </c>
      <c r="L4955" s="10">
        <v>30</v>
      </c>
      <c r="M4955" s="6" t="s">
        <v>386</v>
      </c>
    </row>
    <row r="4956" spans="1:13">
      <c r="A4956" s="6">
        <v>2025</v>
      </c>
      <c r="B4956" s="6">
        <v>1</v>
      </c>
      <c r="C4956" s="6" t="s">
        <v>59</v>
      </c>
      <c r="D4956" s="6" t="s">
        <v>1171</v>
      </c>
      <c r="E4956" s="6" t="s">
        <v>1172</v>
      </c>
      <c r="F4956" s="6" t="str">
        <f>IF($M4956="PADD I","PADD 1",IF($M4956="PADD II","PADD 2",IF($M4956="PADD III","PADD 3",IF($M4956="PADD IV","PADD 4",IF($M4956="PADD V","PADD 5","")))))</f>
        <v>PADD 3</v>
      </c>
      <c r="G4956" s="6" t="str">
        <f>IF(AND($H4956="ATMOS DISTILLATION",ISNUMBER(SEARCH("VPS",$I4956))=FALSE,LEFT($I4956,6)&lt;&gt;"VACUUM"),"CDU",IF($H4956="FLUID CAT CRACKING","FCC",IF(OR($H4956="HYDROCRACKING",$H4956="RESID_HYDROCRACKING"),"Hydrocracker",IF($H4956="REFORMING","Reformer",""))))</f>
        <v>CDU</v>
      </c>
      <c r="H4956" s="6" t="s">
        <v>38</v>
      </c>
      <c r="I4956" s="6" t="s">
        <v>1173</v>
      </c>
      <c r="J4956" s="6" t="s">
        <v>349</v>
      </c>
      <c r="K4956" s="10">
        <v>21</v>
      </c>
      <c r="L4956" s="10">
        <v>50</v>
      </c>
      <c r="M4956" s="6" t="s">
        <v>371</v>
      </c>
    </row>
    <row r="4957" spans="1:13">
      <c r="A4957" s="6">
        <v>2025</v>
      </c>
      <c r="B4957" s="6">
        <v>1</v>
      </c>
      <c r="C4957" s="6" t="s">
        <v>59</v>
      </c>
      <c r="D4957" s="6" t="s">
        <v>1171</v>
      </c>
      <c r="E4957" s="6" t="s">
        <v>1172</v>
      </c>
      <c r="F4957" s="6" t="str">
        <f>IF($M4957="PADD I","PADD 1",IF($M4957="PADD II","PADD 2",IF($M4957="PADD III","PADD 3",IF($M4957="PADD IV","PADD 4",IF($M4957="PADD V","PADD 5","")))))</f>
        <v>PADD 3</v>
      </c>
      <c r="G4957" s="6" t="str">
        <f>IF(AND($H4957="ATMOS DISTILLATION",ISNUMBER(SEARCH("VPS",$I4957))=FALSE,LEFT($I4957,6)&lt;&gt;"VACUUM"),"CDU",IF($H4957="FLUID CAT CRACKING","FCC",IF(OR($H4957="HYDROCRACKING",$H4957="RESID_HYDROCRACKING"),"Hydrocracker",IF($H4957="REFORMING","Reformer",""))))</f>
        <v>CDU</v>
      </c>
      <c r="H4957" s="6" t="s">
        <v>38</v>
      </c>
      <c r="I4957" s="6" t="s">
        <v>1175</v>
      </c>
      <c r="J4957" s="6" t="s">
        <v>349</v>
      </c>
      <c r="K4957" s="10">
        <v>21</v>
      </c>
      <c r="L4957" s="10">
        <v>50</v>
      </c>
      <c r="M4957" s="6" t="s">
        <v>371</v>
      </c>
    </row>
    <row r="4958" spans="1:13">
      <c r="A4958" s="6">
        <v>2025</v>
      </c>
      <c r="B4958" s="6">
        <v>1</v>
      </c>
      <c r="C4958" s="6" t="s">
        <v>59</v>
      </c>
      <c r="D4958" s="6" t="s">
        <v>815</v>
      </c>
      <c r="E4958" s="6" t="s">
        <v>452</v>
      </c>
      <c r="F4958" s="6" t="str">
        <f>IF($M4958="PADD I","PADD 1",IF($M4958="PADD II","PADD 2",IF($M4958="PADD III","PADD 3",IF($M4958="PADD IV","PADD 4",IF($M4958="PADD V","PADD 5","")))))</f>
        <v>PADD 4</v>
      </c>
      <c r="G4958" s="6" t="str">
        <f>IF(AND($H4958="ATMOS DISTILLATION",ISNUMBER(SEARCH("VPS",$I4958))=FALSE,LEFT($I4958,6)&lt;&gt;"VACUUM"),"CDU",IF($H4958="FLUID CAT CRACKING","FCC",IF(OR($H4958="HYDROCRACKING",$H4958="RESID_HYDROCRACKING"),"Hydrocracker",IF($H4958="REFORMING","Reformer",""))))</f>
        <v>CDU</v>
      </c>
      <c r="H4958" s="6" t="s">
        <v>38</v>
      </c>
      <c r="I4958" s="6" t="s">
        <v>1231</v>
      </c>
      <c r="J4958" s="6" t="s">
        <v>345</v>
      </c>
      <c r="K4958" s="10">
        <v>19.63</v>
      </c>
      <c r="L4958" s="10">
        <v>75.5</v>
      </c>
      <c r="M4958" s="6" t="s">
        <v>430</v>
      </c>
    </row>
    <row r="4959" spans="1:13">
      <c r="A4959" s="6">
        <v>2025</v>
      </c>
      <c r="B4959" s="6">
        <v>1</v>
      </c>
      <c r="C4959" s="6" t="s">
        <v>59</v>
      </c>
      <c r="D4959" s="6" t="s">
        <v>440</v>
      </c>
      <c r="E4959" s="6" t="s">
        <v>369</v>
      </c>
      <c r="F4959" s="6" t="str">
        <f>IF($M4959="PADD I","PADD 1",IF($M4959="PADD II","PADD 2",IF($M4959="PADD III","PADD 3",IF($M4959="PADD IV","PADD 4",IF($M4959="PADD V","PADD 5","")))))</f>
        <v>PADD 5</v>
      </c>
      <c r="G4959" s="6">
        <f>IF(AND($H4959="ATMOS DISTILLATION",ISNUMBER(SEARCH("VPS",$I4959))=FALSE,LEFT($I4959,6)&lt;&gt;"VACUUM"),"CDU",IF($H4959="FLUID CAT CRACKING","FCC",IF(OR($H4959="HYDROCRACKING",$H4959="RESID_HYDROCRACKING"),"Hydrocracker",IF($H4959="REFORMING","Reformer",""))))</f>
        <v/>
      </c>
      <c r="H4959" s="6" t="s">
        <v>43</v>
      </c>
      <c r="I4959" s="6" t="s">
        <v>1271</v>
      </c>
      <c r="J4959" s="6" t="s">
        <v>345</v>
      </c>
      <c r="K4959" s="10">
        <v>19.25</v>
      </c>
      <c r="L4959" s="10">
        <v>55</v>
      </c>
      <c r="M4959" s="6" t="s">
        <v>386</v>
      </c>
    </row>
    <row r="4960" spans="1:13">
      <c r="A4960" s="6">
        <v>2025</v>
      </c>
      <c r="B4960" s="6">
        <v>1</v>
      </c>
      <c r="C4960" s="6" t="s">
        <v>59</v>
      </c>
      <c r="D4960" s="6" t="s">
        <v>851</v>
      </c>
      <c r="E4960" s="6" t="s">
        <v>852</v>
      </c>
      <c r="F4960" s="6" t="str">
        <f>IF($M4960="PADD I","PADD 1",IF($M4960="PADD II","PADD 2",IF($M4960="PADD III","PADD 3",IF($M4960="PADD IV","PADD 4",IF($M4960="PADD V","PADD 5","")))))</f>
        <v>PADD 3</v>
      </c>
      <c r="G4960" s="6" t="str">
        <f>IF(AND($H4960="ATMOS DISTILLATION",ISNUMBER(SEARCH("VPS",$I4960))=FALSE,LEFT($I4960,6)&lt;&gt;"VACUUM"),"CDU",IF($H4960="FLUID CAT CRACKING","FCC",IF(OR($H4960="HYDROCRACKING",$H4960="RESID_HYDROCRACKING"),"Hydrocracker",IF($H4960="REFORMING","Reformer",""))))</f>
        <v>CDU</v>
      </c>
      <c r="H4960" s="6" t="s">
        <v>38</v>
      </c>
      <c r="I4960" s="6" t="s">
        <v>853</v>
      </c>
      <c r="J4960" s="6" t="s">
        <v>349</v>
      </c>
      <c r="K4960" s="10">
        <v>18.85</v>
      </c>
      <c r="L4960" s="10">
        <v>65</v>
      </c>
      <c r="M4960" s="6" t="s">
        <v>371</v>
      </c>
    </row>
    <row r="4961" spans="1:13">
      <c r="A4961" s="6">
        <v>2025</v>
      </c>
      <c r="B4961" s="6">
        <v>1</v>
      </c>
      <c r="C4961" s="6" t="s">
        <v>59</v>
      </c>
      <c r="D4961" s="6" t="s">
        <v>851</v>
      </c>
      <c r="E4961" s="6" t="s">
        <v>852</v>
      </c>
      <c r="F4961" s="6" t="str">
        <f>IF($M4961="PADD I","PADD 1",IF($M4961="PADD II","PADD 2",IF($M4961="PADD III","PADD 3",IF($M4961="PADD IV","PADD 4",IF($M4961="PADD V","PADD 5","")))))</f>
        <v>PADD 3</v>
      </c>
      <c r="G4961" s="6" t="str">
        <f>IF(AND($H4961="ATMOS DISTILLATION",ISNUMBER(SEARCH("VPS",$I4961))=FALSE,LEFT($I4961,6)&lt;&gt;"VACUUM"),"CDU",IF($H4961="FLUID CAT CRACKING","FCC",IF(OR($H4961="HYDROCRACKING",$H4961="RESID_HYDROCRACKING"),"Hydrocracker",IF($H4961="REFORMING","Reformer",""))))</f>
        <v>CDU</v>
      </c>
      <c r="H4961" s="6" t="s">
        <v>38</v>
      </c>
      <c r="I4961" s="6" t="s">
        <v>854</v>
      </c>
      <c r="J4961" s="6" t="s">
        <v>349</v>
      </c>
      <c r="K4961" s="10">
        <v>18.85</v>
      </c>
      <c r="L4961" s="10">
        <v>65</v>
      </c>
      <c r="M4961" s="6" t="s">
        <v>371</v>
      </c>
    </row>
    <row r="4962" spans="1:13">
      <c r="A4962" s="6">
        <v>2025</v>
      </c>
      <c r="B4962" s="6">
        <v>1</v>
      </c>
      <c r="C4962" s="6" t="s">
        <v>59</v>
      </c>
      <c r="D4962" s="6" t="s">
        <v>778</v>
      </c>
      <c r="E4962" s="6" t="s">
        <v>779</v>
      </c>
      <c r="F4962" s="6" t="str">
        <f>IF($M4962="PADD I","PADD 1",IF($M4962="PADD II","PADD 2",IF($M4962="PADD III","PADD 3",IF($M4962="PADD IV","PADD 4",IF($M4962="PADD V","PADD 5","")))))</f>
        <v>PADD 3</v>
      </c>
      <c r="G4962" s="6" t="str">
        <f>IF(AND($H4962="ATMOS DISTILLATION",ISNUMBER(SEARCH("VPS",$I4962))=FALSE,LEFT($I4962,6)&lt;&gt;"VACUUM"),"CDU",IF($H4962="FLUID CAT CRACKING","FCC",IF(OR($H4962="HYDROCRACKING",$H4962="RESID_HYDROCRACKING"),"Hydrocracker",IF($H4962="REFORMING","Reformer",""))))</f>
        <v>Hydrocracker</v>
      </c>
      <c r="H4962" s="6" t="s">
        <v>444</v>
      </c>
      <c r="I4962" s="6" t="s">
        <v>817</v>
      </c>
      <c r="J4962" s="6" t="s">
        <v>349</v>
      </c>
      <c r="K4962" s="10">
        <v>18.3</v>
      </c>
      <c r="L4962" s="10">
        <v>30</v>
      </c>
      <c r="M4962" s="6" t="s">
        <v>371</v>
      </c>
    </row>
    <row r="4963" spans="1:13">
      <c r="A4963" s="6">
        <v>2025</v>
      </c>
      <c r="B4963" s="6">
        <v>1</v>
      </c>
      <c r="C4963" s="6" t="s">
        <v>59</v>
      </c>
      <c r="D4963" s="6" t="s">
        <v>778</v>
      </c>
      <c r="E4963" s="6" t="s">
        <v>779</v>
      </c>
      <c r="F4963" s="6" t="str">
        <f>IF($M4963="PADD I","PADD 1",IF($M4963="PADD II","PADD 2",IF($M4963="PADD III","PADD 3",IF($M4963="PADD IV","PADD 4",IF($M4963="PADD V","PADD 5","")))))</f>
        <v>PADD 3</v>
      </c>
      <c r="G4963" s="6">
        <f>IF(AND($H4963="ATMOS DISTILLATION",ISNUMBER(SEARCH("VPS",$I4963))=FALSE,LEFT($I4963,6)&lt;&gt;"VACUUM"),"CDU",IF($H4963="FLUID CAT CRACKING","FCC",IF(OR($H4963="HYDROCRACKING",$H4963="RESID_HYDROCRACKING"),"Hydrocracker",IF($H4963="REFORMING","Reformer",""))))</f>
        <v/>
      </c>
      <c r="H4963" s="6" t="s">
        <v>43</v>
      </c>
      <c r="I4963" s="6" t="s">
        <v>818</v>
      </c>
      <c r="J4963" s="6" t="s">
        <v>349</v>
      </c>
      <c r="K4963" s="10">
        <v>18.3</v>
      </c>
      <c r="L4963" s="10">
        <v>30</v>
      </c>
      <c r="M4963" s="6" t="s">
        <v>371</v>
      </c>
    </row>
    <row r="4964" spans="1:13">
      <c r="A4964" s="6">
        <v>2025</v>
      </c>
      <c r="B4964" s="6">
        <v>1</v>
      </c>
      <c r="C4964" s="6" t="s">
        <v>59</v>
      </c>
      <c r="D4964" s="6" t="s">
        <v>778</v>
      </c>
      <c r="E4964" s="6" t="s">
        <v>779</v>
      </c>
      <c r="F4964" s="6" t="str">
        <f>IF($M4964="PADD I","PADD 1",IF($M4964="PADD II","PADD 2",IF($M4964="PADD III","PADD 3",IF($M4964="PADD IV","PADD 4",IF($M4964="PADD V","PADD 5","")))))</f>
        <v>PADD 3</v>
      </c>
      <c r="G4964" s="6">
        <f>IF(AND($H4964="ATMOS DISTILLATION",ISNUMBER(SEARCH("VPS",$I4964))=FALSE,LEFT($I4964,6)&lt;&gt;"VACUUM"),"CDU",IF($H4964="FLUID CAT CRACKING","FCC",IF(OR($H4964="HYDROCRACKING",$H4964="RESID_HYDROCRACKING"),"Hydrocracker",IF($H4964="REFORMING","Reformer",""))))</f>
        <v/>
      </c>
      <c r="H4964" s="6" t="s">
        <v>43</v>
      </c>
      <c r="I4964" s="6" t="s">
        <v>819</v>
      </c>
      <c r="J4964" s="6" t="s">
        <v>349</v>
      </c>
      <c r="K4964" s="10">
        <v>18.3</v>
      </c>
      <c r="L4964" s="10">
        <v>30</v>
      </c>
      <c r="M4964" s="6" t="s">
        <v>371</v>
      </c>
    </row>
    <row r="4965" spans="1:13">
      <c r="A4965" s="6">
        <v>2025</v>
      </c>
      <c r="B4965" s="6">
        <v>1</v>
      </c>
      <c r="C4965" s="6" t="s">
        <v>59</v>
      </c>
      <c r="D4965" s="6" t="s">
        <v>50</v>
      </c>
      <c r="E4965" s="6" t="s">
        <v>381</v>
      </c>
      <c r="F4965" s="6" t="str">
        <f>IF($M4965="PADD I","PADD 1",IF($M4965="PADD II","PADD 2",IF($M4965="PADD III","PADD 3",IF($M4965="PADD IV","PADD 4",IF($M4965="PADD V","PADD 5","")))))</f>
        <v>PADD 3</v>
      </c>
      <c r="G4965" s="6">
        <f>IF(AND($H4965="ATMOS DISTILLATION",ISNUMBER(SEARCH("VPS",$I4965))=FALSE,LEFT($I4965,6)&lt;&gt;"VACUUM"),"CDU",IF($H4965="FLUID CAT CRACKING","FCC",IF(OR($H4965="HYDROCRACKING",$H4965="RESID_HYDROCRACKING"),"Hydrocracker",IF($H4965="REFORMING","Reformer",""))))</f>
        <v/>
      </c>
      <c r="H4965" s="6" t="s">
        <v>435</v>
      </c>
      <c r="I4965" s="6" t="s">
        <v>1272</v>
      </c>
      <c r="J4965" s="6" t="s">
        <v>349</v>
      </c>
      <c r="K4965" s="10">
        <v>18.2825</v>
      </c>
      <c r="L4965" s="10">
        <v>25.75</v>
      </c>
      <c r="M4965" s="6" t="s">
        <v>371</v>
      </c>
    </row>
    <row r="4966" spans="1:13">
      <c r="A4966" s="6">
        <v>2025</v>
      </c>
      <c r="B4966" s="6">
        <v>1</v>
      </c>
      <c r="C4966" s="6" t="s">
        <v>59</v>
      </c>
      <c r="D4966" s="6" t="s">
        <v>51</v>
      </c>
      <c r="E4966" s="6" t="s">
        <v>391</v>
      </c>
      <c r="F4966" s="6" t="str">
        <f>IF($M4966="PADD I","PADD 1",IF($M4966="PADD II","PADD 2",IF($M4966="PADD III","PADD 3",IF($M4966="PADD IV","PADD 4",IF($M4966="PADD V","PADD 5","")))))</f>
        <v>PADD 5</v>
      </c>
      <c r="G4966" s="6">
        <f>IF(AND($H4966="ATMOS DISTILLATION",ISNUMBER(SEARCH("VPS",$I4966))=FALSE,LEFT($I4966,6)&lt;&gt;"VACUUM"),"CDU",IF($H4966="FLUID CAT CRACKING","FCC",IF(OR($H4966="HYDROCRACKING",$H4966="RESID_HYDROCRACKING"),"Hydrocracker",IF($H4966="REFORMING","Reformer",""))))</f>
        <v/>
      </c>
      <c r="H4966" s="6" t="s">
        <v>460</v>
      </c>
      <c r="I4966" s="6" t="s">
        <v>461</v>
      </c>
      <c r="J4966" s="6" t="s">
        <v>345</v>
      </c>
      <c r="K4966" s="10">
        <v>18.15</v>
      </c>
      <c r="L4966" s="10">
        <v>33</v>
      </c>
      <c r="M4966" s="6" t="s">
        <v>386</v>
      </c>
    </row>
    <row r="4967" spans="1:13">
      <c r="A4967" s="6">
        <v>2025</v>
      </c>
      <c r="B4967" s="6">
        <v>1</v>
      </c>
      <c r="C4967" s="6" t="s">
        <v>59</v>
      </c>
      <c r="D4967" s="6" t="s">
        <v>415</v>
      </c>
      <c r="E4967" s="6" t="s">
        <v>416</v>
      </c>
      <c r="F4967" s="6" t="str">
        <f>IF($M4967="PADD I","PADD 1",IF($M4967="PADD II","PADD 2",IF($M4967="PADD III","PADD 3",IF($M4967="PADD IV","PADD 4",IF($M4967="PADD V","PADD 5","")))))</f>
        <v>PADD 3</v>
      </c>
      <c r="G4967" s="6">
        <f>IF(AND($H4967="ATMOS DISTILLATION",ISNUMBER(SEARCH("VPS",$I4967))=FALSE,LEFT($I4967,6)&lt;&gt;"VACUUM"),"CDU",IF($H4967="FLUID CAT CRACKING","FCC",IF(OR($H4967="HYDROCRACKING",$H4967="RESID_HYDROCRACKING"),"Hydrocracker",IF($H4967="REFORMING","Reformer",""))))</f>
        <v/>
      </c>
      <c r="H4967" s="6" t="s">
        <v>435</v>
      </c>
      <c r="I4967" s="6" t="s">
        <v>453</v>
      </c>
      <c r="J4967" s="6" t="s">
        <v>345</v>
      </c>
      <c r="K4967" s="10">
        <v>17.68</v>
      </c>
      <c r="L4967" s="10">
        <v>34</v>
      </c>
      <c r="M4967" s="6" t="s">
        <v>371</v>
      </c>
    </row>
    <row r="4968" spans="1:13">
      <c r="A4968" s="6">
        <v>2025</v>
      </c>
      <c r="B4968" s="6">
        <v>1</v>
      </c>
      <c r="C4968" s="6" t="s">
        <v>59</v>
      </c>
      <c r="D4968" s="6" t="s">
        <v>610</v>
      </c>
      <c r="E4968" s="6" t="s">
        <v>611</v>
      </c>
      <c r="F4968" s="6" t="str">
        <f>IF($M4968="PADD I","PADD 1",IF($M4968="PADD II","PADD 2",IF($M4968="PADD III","PADD 3",IF($M4968="PADD IV","PADD 4",IF($M4968="PADD V","PADD 5","")))))</f>
        <v>PADD 2</v>
      </c>
      <c r="G4968" s="6" t="str">
        <f>IF(AND($H4968="ATMOS DISTILLATION",ISNUMBER(SEARCH("VPS",$I4968))=FALSE,LEFT($I4968,6)&lt;&gt;"VACUUM"),"CDU",IF($H4968="FLUID CAT CRACKING","FCC",IF(OR($H4968="HYDROCRACKING",$H4968="RESID_HYDROCRACKING"),"Hydrocracker",IF($H4968="REFORMING","Reformer",""))))</f>
        <v>CDU</v>
      </c>
      <c r="H4968" s="6" t="s">
        <v>38</v>
      </c>
      <c r="I4968" s="6" t="s">
        <v>332</v>
      </c>
      <c r="J4968" s="6" t="s">
        <v>349</v>
      </c>
      <c r="K4968" s="10">
        <v>17.4</v>
      </c>
      <c r="L4968" s="10">
        <v>60</v>
      </c>
      <c r="M4968" s="6" t="s">
        <v>375</v>
      </c>
    </row>
    <row r="4969" spans="1:13">
      <c r="A4969" s="6">
        <v>2025</v>
      </c>
      <c r="B4969" s="6">
        <v>1</v>
      </c>
      <c r="C4969" s="6" t="s">
        <v>59</v>
      </c>
      <c r="D4969" s="6" t="s">
        <v>526</v>
      </c>
      <c r="E4969" s="6" t="s">
        <v>405</v>
      </c>
      <c r="F4969" s="6" t="str">
        <f>IF($M4969="PADD I","PADD 1",IF($M4969="PADD II","PADD 2",IF($M4969="PADD III","PADD 3",IF($M4969="PADD IV","PADD 4",IF($M4969="PADD V","PADD 5","")))))</f>
        <v>PADD 3</v>
      </c>
      <c r="G4969" s="6">
        <f>IF(AND($H4969="ATMOS DISTILLATION",ISNUMBER(SEARCH("VPS",$I4969))=FALSE,LEFT($I4969,6)&lt;&gt;"VACUUM"),"CDU",IF($H4969="FLUID CAT CRACKING","FCC",IF(OR($H4969="HYDROCRACKING",$H4969="RESID_HYDROCRACKING"),"Hydrocracker",IF($H4969="REFORMING","Reformer",""))))</f>
        <v/>
      </c>
      <c r="H4969" s="6" t="s">
        <v>378</v>
      </c>
      <c r="I4969" s="6" t="s">
        <v>649</v>
      </c>
      <c r="J4969" s="6" t="s">
        <v>345</v>
      </c>
      <c r="K4969" s="10">
        <v>16.8</v>
      </c>
      <c r="L4969" s="10">
        <v>48</v>
      </c>
      <c r="M4969" s="6" t="s">
        <v>371</v>
      </c>
    </row>
    <row r="4970" spans="1:13">
      <c r="A4970" s="6">
        <v>2025</v>
      </c>
      <c r="B4970" s="6">
        <v>1</v>
      </c>
      <c r="C4970" s="6" t="s">
        <v>59</v>
      </c>
      <c r="D4970" s="6" t="s">
        <v>437</v>
      </c>
      <c r="E4970" s="6" t="s">
        <v>438</v>
      </c>
      <c r="F4970" s="6" t="str">
        <f>IF($M4970="PADD I","PADD 1",IF($M4970="PADD II","PADD 2",IF($M4970="PADD III","PADD 3",IF($M4970="PADD IV","PADD 4",IF($M4970="PADD V","PADD 5","")))))</f>
        <v>PADD 4</v>
      </c>
      <c r="G4970" s="6" t="str">
        <f>IF(AND($H4970="ATMOS DISTILLATION",ISNUMBER(SEARCH("VPS",$I4970))=FALSE,LEFT($I4970,6)&lt;&gt;"VACUUM"),"CDU",IF($H4970="FLUID CAT CRACKING","FCC",IF(OR($H4970="HYDROCRACKING",$H4970="RESID_HYDROCRACKING"),"Hydrocracker",IF($H4970="REFORMING","Reformer",""))))</f>
        <v>CDU</v>
      </c>
      <c r="H4970" s="6" t="s">
        <v>38</v>
      </c>
      <c r="I4970" s="6" t="s">
        <v>439</v>
      </c>
      <c r="J4970" s="6" t="s">
        <v>345</v>
      </c>
      <c r="K4970" s="10">
        <v>16.38</v>
      </c>
      <c r="L4970" s="10">
        <v>39</v>
      </c>
      <c r="M4970" s="6" t="s">
        <v>430</v>
      </c>
    </row>
    <row r="4971" spans="1:13">
      <c r="A4971" s="6">
        <v>2025</v>
      </c>
      <c r="B4971" s="6">
        <v>1</v>
      </c>
      <c r="C4971" s="6" t="s">
        <v>59</v>
      </c>
      <c r="D4971" s="6" t="s">
        <v>946</v>
      </c>
      <c r="E4971" s="6" t="s">
        <v>405</v>
      </c>
      <c r="F4971" s="6" t="str">
        <f>IF($M4971="PADD I","PADD 1",IF($M4971="PADD II","PADD 2",IF($M4971="PADD III","PADD 3",IF($M4971="PADD IV","PADD 4",IF($M4971="PADD V","PADD 5","")))))</f>
        <v>PADD 5</v>
      </c>
      <c r="G4971" s="6">
        <f>IF(AND($H4971="ATMOS DISTILLATION",ISNUMBER(SEARCH("VPS",$I4971))=FALSE,LEFT($I4971,6)&lt;&gt;"VACUUM"),"CDU",IF($H4971="FLUID CAT CRACKING","FCC",IF(OR($H4971="HYDROCRACKING",$H4971="RESID_HYDROCRACKING"),"Hydrocracker",IF($H4971="REFORMING","Reformer",""))))</f>
        <v/>
      </c>
      <c r="H4971" s="6" t="s">
        <v>460</v>
      </c>
      <c r="I4971" s="6" t="s">
        <v>952</v>
      </c>
      <c r="J4971" s="6" t="s">
        <v>345</v>
      </c>
      <c r="K4971" s="10">
        <v>15.62</v>
      </c>
      <c r="L4971" s="10">
        <v>22</v>
      </c>
      <c r="M4971" s="6" t="s">
        <v>386</v>
      </c>
    </row>
    <row r="4972" spans="1:13">
      <c r="A4972" s="6">
        <v>2025</v>
      </c>
      <c r="B4972" s="6">
        <v>1</v>
      </c>
      <c r="C4972" s="6" t="s">
        <v>59</v>
      </c>
      <c r="D4972" s="6" t="s">
        <v>455</v>
      </c>
      <c r="E4972" s="6" t="s">
        <v>405</v>
      </c>
      <c r="F4972" s="6" t="str">
        <f>IF($M4972="PADD I","PADD 1",IF($M4972="PADD II","PADD 2",IF($M4972="PADD III","PADD 3",IF($M4972="PADD IV","PADD 4",IF($M4972="PADD V","PADD 5","")))))</f>
        <v>PADD 3</v>
      </c>
      <c r="G4972" s="6">
        <f>IF(AND($H4972="ATMOS DISTILLATION",ISNUMBER(SEARCH("VPS",$I4972))=FALSE,LEFT($I4972,6)&lt;&gt;"VACUUM"),"CDU",IF($H4972="FLUID CAT CRACKING","FCC",IF(OR($H4972="HYDROCRACKING",$H4972="RESID_HYDROCRACKING"),"Hydrocracker",IF($H4972="REFORMING","Reformer",""))))</f>
        <v/>
      </c>
      <c r="H4972" s="6" t="s">
        <v>43</v>
      </c>
      <c r="I4972" s="6" t="s">
        <v>1273</v>
      </c>
      <c r="J4972" s="6" t="s">
        <v>349</v>
      </c>
      <c r="K4972" s="10">
        <v>15.6</v>
      </c>
      <c r="L4972" s="10">
        <v>60</v>
      </c>
      <c r="M4972" s="6" t="s">
        <v>371</v>
      </c>
    </row>
    <row r="4973" spans="1:13">
      <c r="A4973" s="6">
        <v>2025</v>
      </c>
      <c r="B4973" s="6">
        <v>1</v>
      </c>
      <c r="C4973" s="6" t="s">
        <v>59</v>
      </c>
      <c r="D4973" s="6" t="s">
        <v>387</v>
      </c>
      <c r="E4973" s="6" t="s">
        <v>388</v>
      </c>
      <c r="F4973" s="6" t="str">
        <f>IF($M4973="PADD I","PADD 1",IF($M4973="PADD II","PADD 2",IF($M4973="PADD III","PADD 3",IF($M4973="PADD IV","PADD 4",IF($M4973="PADD V","PADD 5","")))))</f>
        <v>PADD 3</v>
      </c>
      <c r="G4973" s="6" t="str">
        <f>IF(AND($H4973="ATMOS DISTILLATION",ISNUMBER(SEARCH("VPS",$I4973))=FALSE,LEFT($I4973,6)&lt;&gt;"VACUUM"),"CDU",IF($H4973="FLUID CAT CRACKING","FCC",IF(OR($H4973="HYDROCRACKING",$H4973="RESID_HYDROCRACKING"),"Hydrocracker",IF($H4973="REFORMING","Reformer",""))))</f>
        <v>Reformer</v>
      </c>
      <c r="H4973" s="6" t="s">
        <v>421</v>
      </c>
      <c r="I4973" s="6" t="s">
        <v>583</v>
      </c>
      <c r="J4973" s="6" t="s">
        <v>345</v>
      </c>
      <c r="K4973" s="10">
        <v>15.065</v>
      </c>
      <c r="L4973" s="10">
        <v>65.5</v>
      </c>
      <c r="M4973" s="6" t="s">
        <v>371</v>
      </c>
    </row>
    <row r="4974" spans="1:13">
      <c r="A4974" s="6">
        <v>2025</v>
      </c>
      <c r="B4974" s="6">
        <v>1</v>
      </c>
      <c r="C4974" s="6" t="s">
        <v>59</v>
      </c>
      <c r="D4974" s="6" t="s">
        <v>390</v>
      </c>
      <c r="E4974" s="6" t="s">
        <v>391</v>
      </c>
      <c r="F4974" s="6" t="str">
        <f>IF($M4974="PADD I","PADD 1",IF($M4974="PADD II","PADD 2",IF($M4974="PADD III","PADD 3",IF($M4974="PADD IV","PADD 4",IF($M4974="PADD V","PADD 5","")))))</f>
        <v>PADD 3</v>
      </c>
      <c r="G4974" s="6">
        <f>IF(AND($H4974="ATMOS DISTILLATION",ISNUMBER(SEARCH("VPS",$I4974))=FALSE,LEFT($I4974,6)&lt;&gt;"VACUUM"),"CDU",IF($H4974="FLUID CAT CRACKING","FCC",IF(OR($H4974="HYDROCRACKING",$H4974="RESID_HYDROCRACKING"),"Hydrocracker",IF($H4974="REFORMING","Reformer",""))))</f>
        <v/>
      </c>
      <c r="H4974" s="6" t="s">
        <v>43</v>
      </c>
      <c r="I4974" s="6" t="s">
        <v>1084</v>
      </c>
      <c r="J4974" s="6" t="s">
        <v>349</v>
      </c>
      <c r="K4974" s="10">
        <v>14.4</v>
      </c>
      <c r="L4974" s="10">
        <v>45</v>
      </c>
      <c r="M4974" s="6" t="s">
        <v>371</v>
      </c>
    </row>
    <row r="4975" spans="1:13">
      <c r="A4975" s="6">
        <v>2025</v>
      </c>
      <c r="B4975" s="6">
        <v>1</v>
      </c>
      <c r="C4975" s="6" t="s">
        <v>59</v>
      </c>
      <c r="D4975" s="6" t="s">
        <v>408</v>
      </c>
      <c r="E4975" s="6" t="s">
        <v>409</v>
      </c>
      <c r="F4975" s="6" t="str">
        <f>IF($M4975="PADD I","PADD 1",IF($M4975="PADD II","PADD 2",IF($M4975="PADD III","PADD 3",IF($M4975="PADD IV","PADD 4",IF($M4975="PADD V","PADD 5","")))))</f>
        <v>PADD 3</v>
      </c>
      <c r="G4975" s="6">
        <f>IF(AND($H4975="ATMOS DISTILLATION",ISNUMBER(SEARCH("VPS",$I4975))=FALSE,LEFT($I4975,6)&lt;&gt;"VACUUM"),"CDU",IF($H4975="FLUID CAT CRACKING","FCC",IF(OR($H4975="HYDROCRACKING",$H4975="RESID_HYDROCRACKING"),"Hydrocracker",IF($H4975="REFORMING","Reformer",""))))</f>
        <v/>
      </c>
      <c r="H4975" s="6" t="s">
        <v>378</v>
      </c>
      <c r="I4975" s="6" t="s">
        <v>489</v>
      </c>
      <c r="J4975" s="6" t="s">
        <v>345</v>
      </c>
      <c r="K4975" s="10">
        <v>14.3</v>
      </c>
      <c r="L4975" s="10">
        <v>55</v>
      </c>
      <c r="M4975" s="6" t="s">
        <v>371</v>
      </c>
    </row>
    <row r="4976" spans="1:13">
      <c r="A4976" s="6">
        <v>2025</v>
      </c>
      <c r="B4976" s="6">
        <v>1</v>
      </c>
      <c r="C4976" s="6" t="s">
        <v>59</v>
      </c>
      <c r="D4976" s="6" t="s">
        <v>490</v>
      </c>
      <c r="E4976" s="6" t="s">
        <v>491</v>
      </c>
      <c r="F4976" s="6" t="str">
        <f>IF($M4976="PADD I","PADD 1",IF($M4976="PADD II","PADD 2",IF($M4976="PADD III","PADD 3",IF($M4976="PADD IV","PADD 4",IF($M4976="PADD V","PADD 5","")))))</f>
        <v>PADD 3</v>
      </c>
      <c r="G4976" s="6">
        <f>IF(AND($H4976="ATMOS DISTILLATION",ISNUMBER(SEARCH("VPS",$I4976))=FALSE,LEFT($I4976,6)&lt;&gt;"VACUUM"),"CDU",IF($H4976="FLUID CAT CRACKING","FCC",IF(OR($H4976="HYDROCRACKING",$H4976="RESID_HYDROCRACKING"),"Hydrocracker",IF($H4976="REFORMING","Reformer",""))))</f>
        <v/>
      </c>
      <c r="H4976" s="6" t="s">
        <v>435</v>
      </c>
      <c r="I4976" s="6" t="s">
        <v>687</v>
      </c>
      <c r="J4976" s="6" t="s">
        <v>349</v>
      </c>
      <c r="K4976" s="10">
        <v>14.04</v>
      </c>
      <c r="L4976" s="10">
        <v>54</v>
      </c>
      <c r="M4976" s="6" t="s">
        <v>371</v>
      </c>
    </row>
    <row r="4977" spans="1:13">
      <c r="A4977" s="6">
        <v>2025</v>
      </c>
      <c r="B4977" s="6">
        <v>1</v>
      </c>
      <c r="C4977" s="6" t="s">
        <v>59</v>
      </c>
      <c r="D4977" s="6" t="s">
        <v>48</v>
      </c>
      <c r="E4977" s="6" t="s">
        <v>388</v>
      </c>
      <c r="F4977" s="6" t="str">
        <f>IF($M4977="PADD I","PADD 1",IF($M4977="PADD II","PADD 2",IF($M4977="PADD III","PADD 3",IF($M4977="PADD IV","PADD 4",IF($M4977="PADD V","PADD 5","")))))</f>
        <v>PADD 2</v>
      </c>
      <c r="G4977" s="6">
        <f>IF(AND($H4977="ATMOS DISTILLATION",ISNUMBER(SEARCH("VPS",$I4977))=FALSE,LEFT($I4977,6)&lt;&gt;"VACUUM"),"CDU",IF($H4977="FLUID CAT CRACKING","FCC",IF(OR($H4977="HYDROCRACKING",$H4977="RESID_HYDROCRACKING"),"Hydrocracker",IF($H4977="REFORMING","Reformer",""))))</f>
        <v/>
      </c>
      <c r="H4977" s="6" t="s">
        <v>43</v>
      </c>
      <c r="I4977" s="6" t="s">
        <v>761</v>
      </c>
      <c r="J4977" s="6" t="s">
        <v>345</v>
      </c>
      <c r="K4977" s="10">
        <v>13.92</v>
      </c>
      <c r="L4977" s="10">
        <v>24</v>
      </c>
      <c r="M4977" s="6" t="s">
        <v>375</v>
      </c>
    </row>
    <row r="4978" spans="1:13">
      <c r="A4978" s="6">
        <v>2025</v>
      </c>
      <c r="B4978" s="6">
        <v>1</v>
      </c>
      <c r="C4978" s="6" t="s">
        <v>59</v>
      </c>
      <c r="D4978" s="6" t="s">
        <v>434</v>
      </c>
      <c r="E4978" s="6" t="s">
        <v>388</v>
      </c>
      <c r="F4978" s="6" t="str">
        <f>IF($M4978="PADD I","PADD 1",IF($M4978="PADD II","PADD 2",IF($M4978="PADD III","PADD 3",IF($M4978="PADD IV","PADD 4",IF($M4978="PADD V","PADD 5","")))))</f>
        <v>PADD 5</v>
      </c>
      <c r="G4978" s="6" t="str">
        <f>IF(AND($H4978="ATMOS DISTILLATION",ISNUMBER(SEARCH("VPS",$I4978))=FALSE,LEFT($I4978,6)&lt;&gt;"VACUUM"),"CDU",IF($H4978="FLUID CAT CRACKING","FCC",IF(OR($H4978="HYDROCRACKING",$H4978="RESID_HYDROCRACKING"),"Hydrocracker",IF($H4978="REFORMING","Reformer",""))))</f>
        <v>CDU</v>
      </c>
      <c r="H4978" s="6" t="s">
        <v>38</v>
      </c>
      <c r="I4978" s="6" t="s">
        <v>663</v>
      </c>
      <c r="J4978" s="6" t="s">
        <v>345</v>
      </c>
      <c r="K4978" s="10">
        <v>13.39</v>
      </c>
      <c r="L4978" s="10">
        <v>103</v>
      </c>
      <c r="M4978" s="6" t="s">
        <v>386</v>
      </c>
    </row>
    <row r="4979" spans="1:13">
      <c r="A4979" s="6">
        <v>2025</v>
      </c>
      <c r="B4979" s="6">
        <v>1</v>
      </c>
      <c r="C4979" s="6" t="s">
        <v>59</v>
      </c>
      <c r="D4979" s="6" t="s">
        <v>946</v>
      </c>
      <c r="E4979" s="6" t="s">
        <v>405</v>
      </c>
      <c r="F4979" s="6" t="str">
        <f>IF($M4979="PADD I","PADD 1",IF($M4979="PADD II","PADD 2",IF($M4979="PADD III","PADD 3",IF($M4979="PADD IV","PADD 4",IF($M4979="PADD V","PADD 5","")))))</f>
        <v>PADD 5</v>
      </c>
      <c r="G4979" s="6" t="str">
        <f>IF(AND($H4979="ATMOS DISTILLATION",ISNUMBER(SEARCH("VPS",$I4979))=FALSE,LEFT($I4979,6)&lt;&gt;"VACUUM"),"CDU",IF($H4979="FLUID CAT CRACKING","FCC",IF(OR($H4979="HYDROCRACKING",$H4979="RESID_HYDROCRACKING"),"Hydrocracker",IF($H4979="REFORMING","Reformer",""))))</f>
        <v>Reformer</v>
      </c>
      <c r="H4979" s="6" t="s">
        <v>421</v>
      </c>
      <c r="I4979" s="6" t="s">
        <v>973</v>
      </c>
      <c r="J4979" s="6" t="s">
        <v>345</v>
      </c>
      <c r="K4979" s="10">
        <v>13.32</v>
      </c>
      <c r="L4979" s="10">
        <v>18</v>
      </c>
      <c r="M4979" s="6" t="s">
        <v>386</v>
      </c>
    </row>
    <row r="4980" spans="1:13">
      <c r="A4980" s="6">
        <v>2025</v>
      </c>
      <c r="B4980" s="6">
        <v>1</v>
      </c>
      <c r="C4980" s="6" t="s">
        <v>59</v>
      </c>
      <c r="D4980" s="6" t="s">
        <v>1228</v>
      </c>
      <c r="E4980" s="6" t="s">
        <v>611</v>
      </c>
      <c r="F4980" s="6" t="str">
        <f>IF($M4980="PADD I","PADD 1",IF($M4980="PADD II","PADD 2",IF($M4980="PADD III","PADD 3",IF($M4980="PADD IV","PADD 4",IF($M4980="PADD V","PADD 5","")))))</f>
        <v>PADD 2</v>
      </c>
      <c r="G4980" s="6">
        <f>IF(AND($H4980="ATMOS DISTILLATION",ISNUMBER(SEARCH("VPS",$I4980))=FALSE,LEFT($I4980,6)&lt;&gt;"VACUUM"),"CDU",IF($H4980="FLUID CAT CRACKING","FCC",IF(OR($H4980="HYDROCRACKING",$H4980="RESID_HYDROCRACKING"),"Hydrocracker",IF($H4980="REFORMING","Reformer",""))))</f>
        <v/>
      </c>
      <c r="H4980" s="6" t="s">
        <v>43</v>
      </c>
      <c r="I4980" s="6" t="s">
        <v>501</v>
      </c>
      <c r="J4980" s="6" t="s">
        <v>345</v>
      </c>
      <c r="K4980" s="10">
        <v>13.125</v>
      </c>
      <c r="L4980" s="10">
        <v>37.5</v>
      </c>
      <c r="M4980" s="6" t="s">
        <v>375</v>
      </c>
    </row>
    <row r="4981" spans="1:13">
      <c r="A4981" s="6">
        <v>2025</v>
      </c>
      <c r="B4981" s="6">
        <v>1</v>
      </c>
      <c r="C4981" s="6" t="s">
        <v>59</v>
      </c>
      <c r="D4981" s="6" t="s">
        <v>490</v>
      </c>
      <c r="E4981" s="6" t="s">
        <v>491</v>
      </c>
      <c r="F4981" s="6" t="str">
        <f>IF($M4981="PADD I","PADD 1",IF($M4981="PADD II","PADD 2",IF($M4981="PADD III","PADD 3",IF($M4981="PADD IV","PADD 4",IF($M4981="PADD V","PADD 5","")))))</f>
        <v>PADD 3</v>
      </c>
      <c r="G4981" s="6">
        <f>IF(AND($H4981="ATMOS DISTILLATION",ISNUMBER(SEARCH("VPS",$I4981))=FALSE,LEFT($I4981,6)&lt;&gt;"VACUUM"),"CDU",IF($H4981="FLUID CAT CRACKING","FCC",IF(OR($H4981="HYDROCRACKING",$H4981="RESID_HYDROCRACKING"),"Hydrocracker",IF($H4981="REFORMING","Reformer",""))))</f>
        <v/>
      </c>
      <c r="H4981" s="6" t="s">
        <v>43</v>
      </c>
      <c r="I4981" s="6" t="s">
        <v>847</v>
      </c>
      <c r="J4981" s="6" t="s">
        <v>349</v>
      </c>
      <c r="K4981" s="10">
        <v>13</v>
      </c>
      <c r="L4981" s="10">
        <v>50</v>
      </c>
      <c r="M4981" s="6" t="s">
        <v>371</v>
      </c>
    </row>
    <row r="4982" spans="1:13">
      <c r="A4982" s="6">
        <v>2025</v>
      </c>
      <c r="B4982" s="6">
        <v>1</v>
      </c>
      <c r="C4982" s="6" t="s">
        <v>59</v>
      </c>
      <c r="D4982" s="6" t="s">
        <v>465</v>
      </c>
      <c r="E4982" s="6" t="s">
        <v>369</v>
      </c>
      <c r="F4982" s="6" t="str">
        <f>IF($M4982="PADD I","PADD 1",IF($M4982="PADD II","PADD 2",IF($M4982="PADD III","PADD 3",IF($M4982="PADD IV","PADD 4",IF($M4982="PADD V","PADD 5","")))))</f>
        <v>PADD 5</v>
      </c>
      <c r="G4982" s="6">
        <f>IF(AND($H4982="ATMOS DISTILLATION",ISNUMBER(SEARCH("VPS",$I4982))=FALSE,LEFT($I4982,6)&lt;&gt;"VACUUM"),"CDU",IF($H4982="FLUID CAT CRACKING","FCC",IF(OR($H4982="HYDROCRACKING",$H4982="RESID_HYDROCRACKING"),"Hydrocracker",IF($H4982="REFORMING","Reformer",""))))</f>
        <v/>
      </c>
      <c r="H4982" s="6" t="s">
        <v>43</v>
      </c>
      <c r="I4982" s="6" t="s">
        <v>466</v>
      </c>
      <c r="J4982" s="6" t="s">
        <v>349</v>
      </c>
      <c r="K4982" s="10">
        <v>13</v>
      </c>
      <c r="L4982" s="10">
        <v>50</v>
      </c>
      <c r="M4982" s="6" t="s">
        <v>386</v>
      </c>
    </row>
    <row r="4983" spans="1:13">
      <c r="A4983" s="6">
        <v>2025</v>
      </c>
      <c r="B4983" s="6">
        <v>1</v>
      </c>
      <c r="C4983" s="6" t="s">
        <v>59</v>
      </c>
      <c r="D4983" s="6" t="s">
        <v>490</v>
      </c>
      <c r="E4983" s="6" t="s">
        <v>491</v>
      </c>
      <c r="F4983" s="6" t="str">
        <f>IF($M4983="PADD I","PADD 1",IF($M4983="PADD II","PADD 2",IF($M4983="PADD III","PADD 3",IF($M4983="PADD IV","PADD 4",IF($M4983="PADD V","PADD 5","")))))</f>
        <v>PADD 3</v>
      </c>
      <c r="G4983" s="6" t="str">
        <f>IF(AND($H4983="ATMOS DISTILLATION",ISNUMBER(SEARCH("VPS",$I4983))=FALSE,LEFT($I4983,6)&lt;&gt;"VACUUM"),"CDU",IF($H4983="FLUID CAT CRACKING","FCC",IF(OR($H4983="HYDROCRACKING",$H4983="RESID_HYDROCRACKING"),"Hydrocracker",IF($H4983="REFORMING","Reformer",""))))</f>
        <v>FCC</v>
      </c>
      <c r="H4983" s="6" t="s">
        <v>376</v>
      </c>
      <c r="I4983" s="6" t="s">
        <v>472</v>
      </c>
      <c r="J4983" s="6" t="s">
        <v>349</v>
      </c>
      <c r="K4983" s="10">
        <v>12.96</v>
      </c>
      <c r="L4983" s="10">
        <v>81</v>
      </c>
      <c r="M4983" s="6" t="s">
        <v>371</v>
      </c>
    </row>
    <row r="4984" spans="1:13">
      <c r="A4984" s="6">
        <v>2025</v>
      </c>
      <c r="B4984" s="6">
        <v>1</v>
      </c>
      <c r="C4984" s="6" t="s">
        <v>59</v>
      </c>
      <c r="D4984" s="6" t="s">
        <v>612</v>
      </c>
      <c r="E4984" s="6" t="s">
        <v>416</v>
      </c>
      <c r="F4984" s="6" t="str">
        <f>IF($M4984="PADD I","PADD 1",IF($M4984="PADD II","PADD 2",IF($M4984="PADD III","PADD 3",IF($M4984="PADD IV","PADD 4",IF($M4984="PADD V","PADD 5","")))))</f>
        <v>PADD 3</v>
      </c>
      <c r="G4984" s="6">
        <f>IF(AND($H4984="ATMOS DISTILLATION",ISNUMBER(SEARCH("VPS",$I4984))=FALSE,LEFT($I4984,6)&lt;&gt;"VACUUM"),"CDU",IF($H4984="FLUID CAT CRACKING","FCC",IF(OR($H4984="HYDROCRACKING",$H4984="RESID_HYDROCRACKING"),"Hydrocracker",IF($H4984="REFORMING","Reformer",""))))</f>
        <v/>
      </c>
      <c r="H4984" s="6" t="s">
        <v>435</v>
      </c>
      <c r="I4984" s="6" t="s">
        <v>441</v>
      </c>
      <c r="J4984" s="6" t="s">
        <v>345</v>
      </c>
      <c r="K4984" s="10">
        <v>12.76</v>
      </c>
      <c r="L4984" s="10">
        <v>44</v>
      </c>
      <c r="M4984" s="6" t="s">
        <v>371</v>
      </c>
    </row>
    <row r="4985" spans="1:13">
      <c r="A4985" s="6">
        <v>2025</v>
      </c>
      <c r="B4985" s="6">
        <v>1</v>
      </c>
      <c r="C4985" s="6" t="s">
        <v>59</v>
      </c>
      <c r="D4985" s="6" t="s">
        <v>455</v>
      </c>
      <c r="E4985" s="6" t="s">
        <v>405</v>
      </c>
      <c r="F4985" s="6" t="str">
        <f>IF($M4985="PADD I","PADD 1",IF($M4985="PADD II","PADD 2",IF($M4985="PADD III","PADD 3",IF($M4985="PADD IV","PADD 4",IF($M4985="PADD V","PADD 5","")))))</f>
        <v>PADD 3</v>
      </c>
      <c r="G4985" s="6">
        <f>IF(AND($H4985="ATMOS DISTILLATION",ISNUMBER(SEARCH("VPS",$I4985))=FALSE,LEFT($I4985,6)&lt;&gt;"VACUUM"),"CDU",IF($H4985="FLUID CAT CRACKING","FCC",IF(OR($H4985="HYDROCRACKING",$H4985="RESID_HYDROCRACKING"),"Hydrocracker",IF($H4985="REFORMING","Reformer",""))))</f>
        <v/>
      </c>
      <c r="H4985" s="6" t="s">
        <v>43</v>
      </c>
      <c r="I4985" s="6" t="s">
        <v>1274</v>
      </c>
      <c r="J4985" s="6" t="s">
        <v>349</v>
      </c>
      <c r="K4985" s="10">
        <v>12.74</v>
      </c>
      <c r="L4985" s="10">
        <v>49</v>
      </c>
      <c r="M4985" s="6" t="s">
        <v>371</v>
      </c>
    </row>
    <row r="4986" spans="1:13">
      <c r="A4986" s="6">
        <v>2025</v>
      </c>
      <c r="B4986" s="6">
        <v>1</v>
      </c>
      <c r="C4986" s="6" t="s">
        <v>59</v>
      </c>
      <c r="D4986" s="6" t="s">
        <v>490</v>
      </c>
      <c r="E4986" s="6" t="s">
        <v>491</v>
      </c>
      <c r="F4986" s="6" t="str">
        <f>IF($M4986="PADD I","PADD 1",IF($M4986="PADD II","PADD 2",IF($M4986="PADD III","PADD 3",IF($M4986="PADD IV","PADD 4",IF($M4986="PADD V","PADD 5","")))))</f>
        <v>PADD 3</v>
      </c>
      <c r="G4986" s="6" t="str">
        <f>IF(AND($H4986="ATMOS DISTILLATION",ISNUMBER(SEARCH("VPS",$I4986))=FALSE,LEFT($I4986,6)&lt;&gt;"VACUUM"),"CDU",IF($H4986="FLUID CAT CRACKING","FCC",IF(OR($H4986="HYDROCRACKING",$H4986="RESID_HYDROCRACKING"),"Hydrocracker",IF($H4986="REFORMING","Reformer",""))))</f>
        <v>Reformer</v>
      </c>
      <c r="H4986" s="6" t="s">
        <v>421</v>
      </c>
      <c r="I4986" s="6" t="s">
        <v>950</v>
      </c>
      <c r="J4986" s="6" t="s">
        <v>349</v>
      </c>
      <c r="K4986" s="10">
        <v>12.74</v>
      </c>
      <c r="L4986" s="10">
        <v>49</v>
      </c>
      <c r="M4986" s="6" t="s">
        <v>371</v>
      </c>
    </row>
    <row r="4987" spans="1:13">
      <c r="A4987" s="6">
        <v>2025</v>
      </c>
      <c r="B4987" s="6">
        <v>1</v>
      </c>
      <c r="C4987" s="6" t="s">
        <v>59</v>
      </c>
      <c r="D4987" s="6" t="s">
        <v>946</v>
      </c>
      <c r="E4987" s="6" t="s">
        <v>405</v>
      </c>
      <c r="F4987" s="6" t="str">
        <f>IF($M4987="PADD I","PADD 1",IF($M4987="PADD II","PADD 2",IF($M4987="PADD III","PADD 3",IF($M4987="PADD IV","PADD 4",IF($M4987="PADD V","PADD 5","")))))</f>
        <v>PADD 5</v>
      </c>
      <c r="G4987" s="6">
        <f>IF(AND($H4987="ATMOS DISTILLATION",ISNUMBER(SEARCH("VPS",$I4987))=FALSE,LEFT($I4987,6)&lt;&gt;"VACUUM"),"CDU",IF($H4987="FLUID CAT CRACKING","FCC",IF(OR($H4987="HYDROCRACKING",$H4987="RESID_HYDROCRACKING"),"Hydrocracker",IF($H4987="REFORMING","Reformer",""))))</f>
        <v/>
      </c>
      <c r="H4987" s="6" t="s">
        <v>568</v>
      </c>
      <c r="I4987" s="6" t="s">
        <v>974</v>
      </c>
      <c r="J4987" s="6" t="s">
        <v>349</v>
      </c>
      <c r="K4987" s="10">
        <v>12.07</v>
      </c>
      <c r="L4987" s="10">
        <v>17</v>
      </c>
      <c r="M4987" s="6" t="s">
        <v>386</v>
      </c>
    </row>
    <row r="4988" spans="1:13">
      <c r="A4988" s="6">
        <v>2025</v>
      </c>
      <c r="B4988" s="6">
        <v>1</v>
      </c>
      <c r="C4988" s="6" t="s">
        <v>59</v>
      </c>
      <c r="D4988" s="6" t="s">
        <v>646</v>
      </c>
      <c r="E4988" s="6" t="s">
        <v>405</v>
      </c>
      <c r="F4988" s="6" t="str">
        <f>IF($M4988="PADD I","PADD 1",IF($M4988="PADD II","PADD 2",IF($M4988="PADD III","PADD 3",IF($M4988="PADD IV","PADD 4",IF($M4988="PADD V","PADD 5","")))))</f>
        <v>PADD 3</v>
      </c>
      <c r="G4988" s="6">
        <f>IF(AND($H4988="ATMOS DISTILLATION",ISNUMBER(SEARCH("VPS",$I4988))=FALSE,LEFT($I4988,6)&lt;&gt;"VACUUM"),"CDU",IF($H4988="FLUID CAT CRACKING","FCC",IF(OR($H4988="HYDROCRACKING",$H4988="RESID_HYDROCRACKING"),"Hydrocracker",IF($H4988="REFORMING","Reformer",""))))</f>
        <v/>
      </c>
      <c r="H4988" s="6" t="s">
        <v>43</v>
      </c>
      <c r="I4988" s="6" t="s">
        <v>843</v>
      </c>
      <c r="J4988" s="6" t="s">
        <v>345</v>
      </c>
      <c r="K4988" s="10">
        <v>11.7</v>
      </c>
      <c r="L4988" s="10">
        <v>30</v>
      </c>
      <c r="M4988" s="6" t="s">
        <v>371</v>
      </c>
    </row>
    <row r="4989" spans="1:13">
      <c r="A4989" s="6">
        <v>2025</v>
      </c>
      <c r="B4989" s="6">
        <v>1</v>
      </c>
      <c r="C4989" s="6" t="s">
        <v>59</v>
      </c>
      <c r="D4989" s="6" t="s">
        <v>851</v>
      </c>
      <c r="E4989" s="6" t="s">
        <v>852</v>
      </c>
      <c r="F4989" s="6" t="str">
        <f>IF($M4989="PADD I","PADD 1",IF($M4989="PADD II","PADD 2",IF($M4989="PADD III","PADD 3",IF($M4989="PADD IV","PADD 4",IF($M4989="PADD V","PADD 5","")))))</f>
        <v>PADD 3</v>
      </c>
      <c r="G4989" s="6">
        <f>IF(AND($H4989="ATMOS DISTILLATION",ISNUMBER(SEARCH("VPS",$I4989))=FALSE,LEFT($I4989,6)&lt;&gt;"VACUUM"),"CDU",IF($H4989="FLUID CAT CRACKING","FCC",IF(OR($H4989="HYDROCRACKING",$H4989="RESID_HYDROCRACKING"),"Hydrocracker",IF($H4989="REFORMING","Reformer",""))))</f>
        <v/>
      </c>
      <c r="H4989" s="6" t="s">
        <v>378</v>
      </c>
      <c r="I4989" s="6" t="s">
        <v>860</v>
      </c>
      <c r="J4989" s="6" t="s">
        <v>345</v>
      </c>
      <c r="K4989" s="10">
        <v>11.52</v>
      </c>
      <c r="L4989" s="10">
        <v>36</v>
      </c>
      <c r="M4989" s="6" t="s">
        <v>371</v>
      </c>
    </row>
    <row r="4990" spans="1:13">
      <c r="A4990" s="6">
        <v>2025</v>
      </c>
      <c r="B4990" s="6">
        <v>1</v>
      </c>
      <c r="C4990" s="6" t="s">
        <v>59</v>
      </c>
      <c r="D4990" s="6" t="s">
        <v>946</v>
      </c>
      <c r="E4990" s="6" t="s">
        <v>405</v>
      </c>
      <c r="F4990" s="6" t="str">
        <f>IF($M4990="PADD I","PADD 1",IF($M4990="PADD II","PADD 2",IF($M4990="PADD III","PADD 3",IF($M4990="PADD IV","PADD 4",IF($M4990="PADD V","PADD 5","")))))</f>
        <v>PADD 5</v>
      </c>
      <c r="G4990" s="6">
        <f>IF(AND($H4990="ATMOS DISTILLATION",ISNUMBER(SEARCH("VPS",$I4990))=FALSE,LEFT($I4990,6)&lt;&gt;"VACUUM"),"CDU",IF($H4990="FLUID CAT CRACKING","FCC",IF(OR($H4990="HYDROCRACKING",$H4990="RESID_HYDROCRACKING"),"Hydrocracker",IF($H4990="REFORMING","Reformer",""))))</f>
        <v/>
      </c>
      <c r="H4990" s="6" t="s">
        <v>435</v>
      </c>
      <c r="I4990" s="6" t="s">
        <v>972</v>
      </c>
      <c r="J4990" s="6" t="s">
        <v>345</v>
      </c>
      <c r="K4990" s="10">
        <v>11.1</v>
      </c>
      <c r="L4990" s="10">
        <v>15</v>
      </c>
      <c r="M4990" s="6" t="s">
        <v>386</v>
      </c>
    </row>
    <row r="4991" spans="1:13">
      <c r="A4991" s="6">
        <v>2025</v>
      </c>
      <c r="B4991" s="6">
        <v>1</v>
      </c>
      <c r="C4991" s="6" t="s">
        <v>59</v>
      </c>
      <c r="D4991" s="6" t="s">
        <v>946</v>
      </c>
      <c r="E4991" s="6" t="s">
        <v>405</v>
      </c>
      <c r="F4991" s="6" t="str">
        <f>IF($M4991="PADD I","PADD 1",IF($M4991="PADD II","PADD 2",IF($M4991="PADD III","PADD 3",IF($M4991="PADD IV","PADD 4",IF($M4991="PADD V","PADD 5","")))))</f>
        <v>PADD 5</v>
      </c>
      <c r="G4991" s="6">
        <f>IF(AND($H4991="ATMOS DISTILLATION",ISNUMBER(SEARCH("VPS",$I4991))=FALSE,LEFT($I4991,6)&lt;&gt;"VACUUM"),"CDU",IF($H4991="FLUID CAT CRACKING","FCC",IF(OR($H4991="HYDROCRACKING",$H4991="RESID_HYDROCRACKING"),"Hydrocracker",IF($H4991="REFORMING","Reformer",""))))</f>
        <v/>
      </c>
      <c r="H4991" s="6" t="s">
        <v>435</v>
      </c>
      <c r="I4991" s="6" t="s">
        <v>975</v>
      </c>
      <c r="J4991" s="6" t="s">
        <v>345</v>
      </c>
      <c r="K4991" s="10">
        <v>11.1</v>
      </c>
      <c r="L4991" s="10">
        <v>15</v>
      </c>
      <c r="M4991" s="6" t="s">
        <v>386</v>
      </c>
    </row>
    <row r="4992" spans="1:13">
      <c r="A4992" s="6">
        <v>2025</v>
      </c>
      <c r="B4992" s="6">
        <v>1</v>
      </c>
      <c r="C4992" s="6" t="s">
        <v>59</v>
      </c>
      <c r="D4992" s="6" t="s">
        <v>346</v>
      </c>
      <c r="E4992" s="6" t="s">
        <v>383</v>
      </c>
      <c r="F4992" s="6" t="str">
        <f>IF($M4992="PADD I","PADD 1",IF($M4992="PADD II","PADD 2",IF($M4992="PADD III","PADD 3",IF($M4992="PADD IV","PADD 4",IF($M4992="PADD V","PADD 5","")))))</f>
        <v>PADD 2</v>
      </c>
      <c r="G4992" s="6" t="str">
        <f>IF(AND($H4992="ATMOS DISTILLATION",ISNUMBER(SEARCH("VPS",$I4992))=FALSE,LEFT($I4992,6)&lt;&gt;"VACUUM"),"CDU",IF($H4992="FLUID CAT CRACKING","FCC",IF(OR($H4992="HYDROCRACKING",$H4992="RESID_HYDROCRACKING"),"Hydrocracker",IF($H4992="REFORMING","Reformer",""))))</f>
        <v>Reformer</v>
      </c>
      <c r="H4992" s="6" t="s">
        <v>421</v>
      </c>
      <c r="I4992" s="6" t="s">
        <v>516</v>
      </c>
      <c r="J4992" s="6" t="s">
        <v>349</v>
      </c>
      <c r="K4992" s="10">
        <v>10.65</v>
      </c>
      <c r="L4992" s="10">
        <v>15</v>
      </c>
      <c r="M4992" s="6" t="s">
        <v>375</v>
      </c>
    </row>
    <row r="4993" spans="1:13">
      <c r="A4993" s="6">
        <v>2025</v>
      </c>
      <c r="B4993" s="6">
        <v>1</v>
      </c>
      <c r="C4993" s="6" t="s">
        <v>59</v>
      </c>
      <c r="D4993" s="6" t="s">
        <v>887</v>
      </c>
      <c r="E4993" s="6" t="s">
        <v>405</v>
      </c>
      <c r="F4993" s="6" t="str">
        <f>IF($M4993="PADD I","PADD 1",IF($M4993="PADD II","PADD 2",IF($M4993="PADD III","PADD 3",IF($M4993="PADD IV","PADD 4",IF($M4993="PADD V","PADD 5","")))))</f>
        <v>PADD 3</v>
      </c>
      <c r="G4993" s="6" t="str">
        <f>IF(AND($H4993="ATMOS DISTILLATION",ISNUMBER(SEARCH("VPS",$I4993))=FALSE,LEFT($I4993,6)&lt;&gt;"VACUUM"),"CDU",IF($H4993="FLUID CAT CRACKING","FCC",IF(OR($H4993="HYDROCRACKING",$H4993="RESID_HYDROCRACKING"),"Hydrocracker",IF($H4993="REFORMING","Reformer",""))))</f>
        <v>Hydrocracker</v>
      </c>
      <c r="H4993" s="6" t="s">
        <v>444</v>
      </c>
      <c r="I4993" s="6" t="s">
        <v>1022</v>
      </c>
      <c r="J4993" s="6" t="s">
        <v>349</v>
      </c>
      <c r="K4993" s="10">
        <v>10.5</v>
      </c>
      <c r="L4993" s="10">
        <v>30</v>
      </c>
      <c r="M4993" s="6" t="s">
        <v>371</v>
      </c>
    </row>
    <row r="4994" spans="1:13">
      <c r="A4994" s="6">
        <v>2025</v>
      </c>
      <c r="B4994" s="6">
        <v>1</v>
      </c>
      <c r="C4994" s="6" t="s">
        <v>59</v>
      </c>
      <c r="D4994" s="6" t="s">
        <v>40</v>
      </c>
      <c r="E4994" s="6" t="s">
        <v>736</v>
      </c>
      <c r="F4994" s="6" t="str">
        <f>IF($M4994="PADD I","PADD 1",IF($M4994="PADD II","PADD 2",IF($M4994="PADD III","PADD 3",IF($M4994="PADD IV","PADD 4",IF($M4994="PADD V","PADD 5","")))))</f>
        <v>PADD 1</v>
      </c>
      <c r="G4994" s="6" t="str">
        <f>IF(AND($H4994="ATMOS DISTILLATION",ISNUMBER(SEARCH("VPS",$I4994))=FALSE,LEFT($I4994,6)&lt;&gt;"VACUUM"),"CDU",IF($H4994="FLUID CAT CRACKING","FCC",IF(OR($H4994="HYDROCRACKING",$H4994="RESID_HYDROCRACKING"),"Hydrocracker",IF($H4994="REFORMING","Reformer",""))))</f>
        <v>Hydrocracker</v>
      </c>
      <c r="H4994" s="6" t="s">
        <v>444</v>
      </c>
      <c r="I4994" s="6" t="s">
        <v>445</v>
      </c>
      <c r="J4994" s="6" t="s">
        <v>345</v>
      </c>
      <c r="K4994" s="10">
        <v>10.35</v>
      </c>
      <c r="L4994" s="10">
        <v>23</v>
      </c>
      <c r="M4994" s="6" t="s">
        <v>413</v>
      </c>
    </row>
    <row r="4995" spans="1:13">
      <c r="A4995" s="6">
        <v>2025</v>
      </c>
      <c r="B4995" s="6">
        <v>1</v>
      </c>
      <c r="C4995" s="6" t="s">
        <v>59</v>
      </c>
      <c r="D4995" s="6" t="s">
        <v>380</v>
      </c>
      <c r="E4995" s="6" t="s">
        <v>381</v>
      </c>
      <c r="F4995" s="6" t="str">
        <f>IF($M4995="PADD I","PADD 1",IF($M4995="PADD II","PADD 2",IF($M4995="PADD III","PADD 3",IF($M4995="PADD IV","PADD 4",IF($M4995="PADD V","PADD 5","")))))</f>
        <v>PADD 3</v>
      </c>
      <c r="G4995" s="6" t="str">
        <f>IF(AND($H4995="ATMOS DISTILLATION",ISNUMBER(SEARCH("VPS",$I4995))=FALSE,LEFT($I4995,6)&lt;&gt;"VACUUM"),"CDU",IF($H4995="FLUID CAT CRACKING","FCC",IF(OR($H4995="HYDROCRACKING",$H4995="RESID_HYDROCRACKING"),"Hydrocracker",IF($H4995="REFORMING","Reformer",""))))</f>
        <v>CDU</v>
      </c>
      <c r="H4995" s="6" t="s">
        <v>38</v>
      </c>
      <c r="I4995" s="6" t="s">
        <v>846</v>
      </c>
      <c r="J4995" s="6" t="s">
        <v>345</v>
      </c>
      <c r="K4995" s="10">
        <v>9.699999999999999</v>
      </c>
      <c r="L4995" s="10">
        <v>97</v>
      </c>
      <c r="M4995" s="6" t="s">
        <v>371</v>
      </c>
    </row>
    <row r="4996" spans="1:13">
      <c r="A4996" s="6">
        <v>2025</v>
      </c>
      <c r="B4996" s="6">
        <v>1</v>
      </c>
      <c r="C4996" s="6" t="s">
        <v>59</v>
      </c>
      <c r="D4996" s="6" t="s">
        <v>610</v>
      </c>
      <c r="E4996" s="6" t="s">
        <v>611</v>
      </c>
      <c r="F4996" s="6" t="str">
        <f>IF($M4996="PADD I","PADD 1",IF($M4996="PADD II","PADD 2",IF($M4996="PADD III","PADD 3",IF($M4996="PADD IV","PADD 4",IF($M4996="PADD V","PADD 5","")))))</f>
        <v>PADD 2</v>
      </c>
      <c r="G4996" s="6">
        <f>IF(AND($H4996="ATMOS DISTILLATION",ISNUMBER(SEARCH("VPS",$I4996))=FALSE,LEFT($I4996,6)&lt;&gt;"VACUUM"),"CDU",IF($H4996="FLUID CAT CRACKING","FCC",IF(OR($H4996="HYDROCRACKING",$H4996="RESID_HYDROCRACKING"),"Hydrocracker",IF($H4996="REFORMING","Reformer",""))))</f>
        <v/>
      </c>
      <c r="H4996" s="6" t="s">
        <v>43</v>
      </c>
      <c r="I4996" s="6" t="s">
        <v>622</v>
      </c>
      <c r="J4996" s="6" t="s">
        <v>349</v>
      </c>
      <c r="K4996" s="10">
        <v>9.6</v>
      </c>
      <c r="L4996" s="10">
        <v>30</v>
      </c>
      <c r="M4996" s="6" t="s">
        <v>375</v>
      </c>
    </row>
    <row r="4997" spans="1:13">
      <c r="A4997" s="6">
        <v>2025</v>
      </c>
      <c r="B4997" s="6">
        <v>1</v>
      </c>
      <c r="C4997" s="6" t="s">
        <v>59</v>
      </c>
      <c r="D4997" s="6" t="s">
        <v>324</v>
      </c>
      <c r="E4997" s="6" t="s">
        <v>388</v>
      </c>
      <c r="F4997" s="6" t="str">
        <f>IF($M4997="PADD I","PADD 1",IF($M4997="PADD II","PADD 2",IF($M4997="PADD III","PADD 3",IF($M4997="PADD IV","PADD 4",IF($M4997="PADD V","PADD 5","")))))</f>
        <v>PADD 3</v>
      </c>
      <c r="G4997" s="6">
        <f>IF(AND($H4997="ATMOS DISTILLATION",ISNUMBER(SEARCH("VPS",$I4997))=FALSE,LEFT($I4997,6)&lt;&gt;"VACUUM"),"CDU",IF($H4997="FLUID CAT CRACKING","FCC",IF(OR($H4997="HYDROCRACKING",$H4997="RESID_HYDROCRACKING"),"Hydrocracker",IF($H4997="REFORMING","Reformer",""))))</f>
        <v/>
      </c>
      <c r="H4997" s="6" t="s">
        <v>43</v>
      </c>
      <c r="I4997" s="6" t="s">
        <v>644</v>
      </c>
      <c r="J4997" s="6" t="s">
        <v>349</v>
      </c>
      <c r="K4997" s="10">
        <v>9.6</v>
      </c>
      <c r="L4997" s="10">
        <v>60</v>
      </c>
      <c r="M4997" s="6" t="s">
        <v>371</v>
      </c>
    </row>
    <row r="4998" spans="1:13">
      <c r="A4998" s="6">
        <v>2025</v>
      </c>
      <c r="B4998" s="6">
        <v>1</v>
      </c>
      <c r="C4998" s="6" t="s">
        <v>59</v>
      </c>
      <c r="D4998" s="6" t="s">
        <v>887</v>
      </c>
      <c r="E4998" s="6" t="s">
        <v>405</v>
      </c>
      <c r="F4998" s="6" t="str">
        <f>IF($M4998="PADD I","PADD 1",IF($M4998="PADD II","PADD 2",IF($M4998="PADD III","PADD 3",IF($M4998="PADD IV","PADD 4",IF($M4998="PADD V","PADD 5","")))))</f>
        <v>PADD 3</v>
      </c>
      <c r="G4998" s="6" t="str">
        <f>IF(AND($H4998="ATMOS DISTILLATION",ISNUMBER(SEARCH("VPS",$I4998))=FALSE,LEFT($I4998,6)&lt;&gt;"VACUUM"),"CDU",IF($H4998="FLUID CAT CRACKING","FCC",IF(OR($H4998="HYDROCRACKING",$H4998="RESID_HYDROCRACKING"),"Hydrocracker",IF($H4998="REFORMING","Reformer",""))))</f>
        <v>CDU</v>
      </c>
      <c r="H4998" s="6" t="s">
        <v>38</v>
      </c>
      <c r="I4998" s="6" t="s">
        <v>131</v>
      </c>
      <c r="J4998" s="6" t="s">
        <v>345</v>
      </c>
      <c r="K4998" s="10">
        <v>9.5</v>
      </c>
      <c r="L4998" s="10">
        <v>95</v>
      </c>
      <c r="M4998" s="6" t="s">
        <v>371</v>
      </c>
    </row>
    <row r="4999" spans="1:13">
      <c r="A4999" s="6">
        <v>2025</v>
      </c>
      <c r="B4999" s="6">
        <v>1</v>
      </c>
      <c r="C4999" s="6" t="s">
        <v>59</v>
      </c>
      <c r="D4999" s="6" t="s">
        <v>1228</v>
      </c>
      <c r="E4999" s="6" t="s">
        <v>611</v>
      </c>
      <c r="F4999" s="6" t="str">
        <f>IF($M4999="PADD I","PADD 1",IF($M4999="PADD II","PADD 2",IF($M4999="PADD III","PADD 3",IF($M4999="PADD IV","PADD 4",IF($M4999="PADD V","PADD 5","")))))</f>
        <v>PADD 2</v>
      </c>
      <c r="G4999" s="6" t="str">
        <f>IF(AND($H4999="ATMOS DISTILLATION",ISNUMBER(SEARCH("VPS",$I4999))=FALSE,LEFT($I4999,6)&lt;&gt;"VACUUM"),"CDU",IF($H4999="FLUID CAT CRACKING","FCC",IF(OR($H4999="HYDROCRACKING",$H4999="RESID_HYDROCRACKING"),"Hydrocracker",IF($H4999="REFORMING","Reformer",""))))</f>
        <v>Reformer</v>
      </c>
      <c r="H4999" s="6" t="s">
        <v>421</v>
      </c>
      <c r="I4999" s="6" t="s">
        <v>15</v>
      </c>
      <c r="J4999" s="6" t="s">
        <v>345</v>
      </c>
      <c r="K4999" s="10">
        <v>9.275</v>
      </c>
      <c r="L4999" s="10">
        <v>26.5</v>
      </c>
      <c r="M4999" s="6" t="s">
        <v>375</v>
      </c>
    </row>
    <row r="5000" spans="1:13">
      <c r="A5000" s="6">
        <v>2025</v>
      </c>
      <c r="B5000" s="6">
        <v>1</v>
      </c>
      <c r="C5000" s="6" t="s">
        <v>59</v>
      </c>
      <c r="D5000" s="6" t="s">
        <v>331</v>
      </c>
      <c r="E5000" s="6" t="s">
        <v>373</v>
      </c>
      <c r="F5000" s="6" t="str">
        <f>IF($M5000="PADD I","PADD 1",IF($M5000="PADD II","PADD 2",IF($M5000="PADD III","PADD 3",IF($M5000="PADD IV","PADD 4",IF($M5000="PADD V","PADD 5","")))))</f>
        <v>PADD 2</v>
      </c>
      <c r="G5000" s="6" t="str">
        <f>IF(AND($H5000="ATMOS DISTILLATION",ISNUMBER(SEARCH("VPS",$I5000))=FALSE,LEFT($I5000,6)&lt;&gt;"VACUUM"),"CDU",IF($H5000="FLUID CAT CRACKING","FCC",IF(OR($H5000="HYDROCRACKING",$H5000="RESID_HYDROCRACKING"),"Hydrocracker",IF($H5000="REFORMING","Reformer",""))))</f>
        <v>Reformer</v>
      </c>
      <c r="H5000" s="6" t="s">
        <v>421</v>
      </c>
      <c r="I5000" s="6" t="s">
        <v>916</v>
      </c>
      <c r="J5000" s="6" t="s">
        <v>345</v>
      </c>
      <c r="K5000" s="10">
        <v>9.199999999999999</v>
      </c>
      <c r="L5000" s="10">
        <v>40</v>
      </c>
      <c r="M5000" s="6" t="s">
        <v>375</v>
      </c>
    </row>
    <row r="5001" spans="1:13">
      <c r="A5001" s="6">
        <v>2025</v>
      </c>
      <c r="B5001" s="6">
        <v>1</v>
      </c>
      <c r="C5001" s="6" t="s">
        <v>59</v>
      </c>
      <c r="D5001" s="6" t="s">
        <v>778</v>
      </c>
      <c r="E5001" s="6" t="s">
        <v>779</v>
      </c>
      <c r="F5001" s="6" t="str">
        <f>IF($M5001="PADD I","PADD 1",IF($M5001="PADD II","PADD 2",IF($M5001="PADD III","PADD 3",IF($M5001="PADD IV","PADD 4",IF($M5001="PADD V","PADD 5","")))))</f>
        <v>PADD 3</v>
      </c>
      <c r="G5001" s="6">
        <f>IF(AND($H5001="ATMOS DISTILLATION",ISNUMBER(SEARCH("VPS",$I5001))=FALSE,LEFT($I5001,6)&lt;&gt;"VACUUM"),"CDU",IF($H5001="FLUID CAT CRACKING","FCC",IF(OR($H5001="HYDROCRACKING",$H5001="RESID_HYDROCRACKING"),"Hydrocracker",IF($H5001="REFORMING","Reformer",""))))</f>
        <v/>
      </c>
      <c r="H5001" s="6" t="s">
        <v>460</v>
      </c>
      <c r="I5001" s="6" t="s">
        <v>616</v>
      </c>
      <c r="J5001" s="6" t="s">
        <v>349</v>
      </c>
      <c r="K5001" s="10">
        <v>8.967000000000001</v>
      </c>
      <c r="L5001" s="10">
        <v>14.7</v>
      </c>
      <c r="M5001" s="6" t="s">
        <v>371</v>
      </c>
    </row>
    <row r="5002" spans="1:13">
      <c r="A5002" s="6">
        <v>2025</v>
      </c>
      <c r="B5002" s="6">
        <v>1</v>
      </c>
      <c r="C5002" s="6" t="s">
        <v>59</v>
      </c>
      <c r="D5002" s="6" t="s">
        <v>437</v>
      </c>
      <c r="E5002" s="6" t="s">
        <v>438</v>
      </c>
      <c r="F5002" s="6" t="str">
        <f>IF($M5002="PADD I","PADD 1",IF($M5002="PADD II","PADD 2",IF($M5002="PADD III","PADD 3",IF($M5002="PADD IV","PADD 4",IF($M5002="PADD V","PADD 5","")))))</f>
        <v>PADD 4</v>
      </c>
      <c r="G5002" s="6">
        <f>IF(AND($H5002="ATMOS DISTILLATION",ISNUMBER(SEARCH("VPS",$I5002))=FALSE,LEFT($I5002,6)&lt;&gt;"VACUUM"),"CDU",IF($H5002="FLUID CAT CRACKING","FCC",IF(OR($H5002="HYDROCRACKING",$H5002="RESID_HYDROCRACKING"),"Hydrocracker",IF($H5002="REFORMING","Reformer",""))))</f>
        <v/>
      </c>
      <c r="H5002" s="6" t="s">
        <v>43</v>
      </c>
      <c r="I5002" s="6" t="s">
        <v>493</v>
      </c>
      <c r="J5002" s="6" t="s">
        <v>345</v>
      </c>
      <c r="K5002" s="10">
        <v>8.82</v>
      </c>
      <c r="L5002" s="10">
        <v>21</v>
      </c>
      <c r="M5002" s="6" t="s">
        <v>430</v>
      </c>
    </row>
    <row r="5003" spans="1:13">
      <c r="A5003" s="6">
        <v>2025</v>
      </c>
      <c r="B5003" s="6">
        <v>1</v>
      </c>
      <c r="C5003" s="6" t="s">
        <v>59</v>
      </c>
      <c r="D5003" s="6" t="s">
        <v>799</v>
      </c>
      <c r="E5003" s="6" t="s">
        <v>391</v>
      </c>
      <c r="F5003" s="6" t="str">
        <f>IF($M5003="PADD I","PADD 1",IF($M5003="PADD II","PADD 2",IF($M5003="PADD III","PADD 3",IF($M5003="PADD IV","PADD 4",IF($M5003="PADD V","PADD 5","")))))</f>
        <v>PADD 4</v>
      </c>
      <c r="G5003" s="6">
        <f>IF(AND($H5003="ATMOS DISTILLATION",ISNUMBER(SEARCH("VPS",$I5003))=FALSE,LEFT($I5003,6)&lt;&gt;"VACUUM"),"CDU",IF($H5003="FLUID CAT CRACKING","FCC",IF(OR($H5003="HYDROCRACKING",$H5003="RESID_HYDROCRACKING"),"Hydrocracker",IF($H5003="REFORMING","Reformer",""))))</f>
        <v/>
      </c>
      <c r="H5003" s="6" t="s">
        <v>435</v>
      </c>
      <c r="I5003" s="6" t="s">
        <v>1188</v>
      </c>
      <c r="J5003" s="6" t="s">
        <v>345</v>
      </c>
      <c r="K5003" s="10">
        <v>8.199999999999999</v>
      </c>
      <c r="L5003" s="10">
        <v>8.199999999999999</v>
      </c>
      <c r="M5003" s="6" t="s">
        <v>430</v>
      </c>
    </row>
    <row r="5004" spans="1:13">
      <c r="A5004" s="6">
        <v>2025</v>
      </c>
      <c r="B5004" s="6">
        <v>1</v>
      </c>
      <c r="C5004" s="6" t="s">
        <v>59</v>
      </c>
      <c r="D5004" s="6" t="s">
        <v>490</v>
      </c>
      <c r="E5004" s="6" t="s">
        <v>491</v>
      </c>
      <c r="F5004" s="6" t="str">
        <f>IF($M5004="PADD I","PADD 1",IF($M5004="PADD II","PADD 2",IF($M5004="PADD III","PADD 3",IF($M5004="PADD IV","PADD 4",IF($M5004="PADD V","PADD 5","")))))</f>
        <v>PADD 3</v>
      </c>
      <c r="G5004" s="6" t="str">
        <f>IF(AND($H5004="ATMOS DISTILLATION",ISNUMBER(SEARCH("VPS",$I5004))=FALSE,LEFT($I5004,6)&lt;&gt;"VACUUM"),"CDU",IF($H5004="FLUID CAT CRACKING","FCC",IF(OR($H5004="HYDROCRACKING",$H5004="RESID_HYDROCRACKING"),"Hydrocracker",IF($H5004="REFORMING","Reformer",""))))</f>
        <v>FCC</v>
      </c>
      <c r="H5004" s="6" t="s">
        <v>376</v>
      </c>
      <c r="I5004" s="6" t="s">
        <v>472</v>
      </c>
      <c r="J5004" s="6" t="s">
        <v>345</v>
      </c>
      <c r="K5004" s="10">
        <v>8.1</v>
      </c>
      <c r="L5004" s="10">
        <v>81</v>
      </c>
      <c r="M5004" s="6" t="s">
        <v>371</v>
      </c>
    </row>
    <row r="5005" spans="1:13">
      <c r="A5005" s="6">
        <v>2025</v>
      </c>
      <c r="B5005" s="6">
        <v>1</v>
      </c>
      <c r="C5005" s="6" t="s">
        <v>59</v>
      </c>
      <c r="D5005" s="6" t="s">
        <v>887</v>
      </c>
      <c r="E5005" s="6" t="s">
        <v>405</v>
      </c>
      <c r="F5005" s="6" t="str">
        <f>IF($M5005="PADD I","PADD 1",IF($M5005="PADD II","PADD 2",IF($M5005="PADD III","PADD 3",IF($M5005="PADD IV","PADD 4",IF($M5005="PADD V","PADD 5","")))))</f>
        <v>PADD 3</v>
      </c>
      <c r="G5005" s="6" t="str">
        <f>IF(AND($H5005="ATMOS DISTILLATION",ISNUMBER(SEARCH("VPS",$I5005))=FALSE,LEFT($I5005,6)&lt;&gt;"VACUUM"),"CDU",IF($H5005="FLUID CAT CRACKING","FCC",IF(OR($H5005="HYDROCRACKING",$H5005="RESID_HYDROCRACKING"),"Hydrocracker",IF($H5005="REFORMING","Reformer",""))))</f>
        <v>Reformer</v>
      </c>
      <c r="H5005" s="6" t="s">
        <v>421</v>
      </c>
      <c r="I5005" s="6" t="s">
        <v>539</v>
      </c>
      <c r="J5005" s="6" t="s">
        <v>349</v>
      </c>
      <c r="K5005" s="10">
        <v>8.050000000000001</v>
      </c>
      <c r="L5005" s="10">
        <v>23</v>
      </c>
      <c r="M5005" s="6" t="s">
        <v>371</v>
      </c>
    </row>
    <row r="5006" spans="1:13">
      <c r="A5006" s="6">
        <v>2025</v>
      </c>
      <c r="B5006" s="6">
        <v>1</v>
      </c>
      <c r="C5006" s="6" t="s">
        <v>59</v>
      </c>
      <c r="D5006" s="6" t="s">
        <v>610</v>
      </c>
      <c r="E5006" s="6" t="s">
        <v>611</v>
      </c>
      <c r="F5006" s="6" t="str">
        <f>IF($M5006="PADD I","PADD 1",IF($M5006="PADD II","PADD 2",IF($M5006="PADD III","PADD 3",IF($M5006="PADD IV","PADD 4",IF($M5006="PADD V","PADD 5","")))))</f>
        <v>PADD 2</v>
      </c>
      <c r="G5006" s="6" t="str">
        <f>IF(AND($H5006="ATMOS DISTILLATION",ISNUMBER(SEARCH("VPS",$I5006))=FALSE,LEFT($I5006,6)&lt;&gt;"VACUUM"),"CDU",IF($H5006="FLUID CAT CRACKING","FCC",IF(OR($H5006="HYDROCRACKING",$H5006="RESID_HYDROCRACKING"),"Hydrocracker",IF($H5006="REFORMING","Reformer",""))))</f>
        <v>Reformer</v>
      </c>
      <c r="H5006" s="6" t="s">
        <v>421</v>
      </c>
      <c r="I5006" s="6" t="s">
        <v>15</v>
      </c>
      <c r="J5006" s="6" t="s">
        <v>349</v>
      </c>
      <c r="K5006" s="10">
        <v>8</v>
      </c>
      <c r="L5006" s="10">
        <v>25</v>
      </c>
      <c r="M5006" s="6" t="s">
        <v>375</v>
      </c>
    </row>
    <row r="5007" spans="1:13">
      <c r="A5007" s="6">
        <v>2025</v>
      </c>
      <c r="B5007" s="6">
        <v>1</v>
      </c>
      <c r="C5007" s="6" t="s">
        <v>59</v>
      </c>
      <c r="D5007" s="6" t="s">
        <v>610</v>
      </c>
      <c r="E5007" s="6" t="s">
        <v>611</v>
      </c>
      <c r="F5007" s="6" t="str">
        <f>IF($M5007="PADD I","PADD 1",IF($M5007="PADD II","PADD 2",IF($M5007="PADD III","PADD 3",IF($M5007="PADD IV","PADD 4",IF($M5007="PADD V","PADD 5","")))))</f>
        <v>PADD 2</v>
      </c>
      <c r="G5007" s="6">
        <f>IF(AND($H5007="ATMOS DISTILLATION",ISNUMBER(SEARCH("VPS",$I5007))=FALSE,LEFT($I5007,6)&lt;&gt;"VACUUM"),"CDU",IF($H5007="FLUID CAT CRACKING","FCC",IF(OR($H5007="HYDROCRACKING",$H5007="RESID_HYDROCRACKING"),"Hydrocracker",IF($H5007="REFORMING","Reformer",""))))</f>
        <v/>
      </c>
      <c r="H5007" s="6" t="s">
        <v>43</v>
      </c>
      <c r="I5007" s="6" t="s">
        <v>624</v>
      </c>
      <c r="J5007" s="6" t="s">
        <v>349</v>
      </c>
      <c r="K5007" s="10">
        <v>8</v>
      </c>
      <c r="L5007" s="10">
        <v>25</v>
      </c>
      <c r="M5007" s="6" t="s">
        <v>375</v>
      </c>
    </row>
    <row r="5008" spans="1:13">
      <c r="A5008" s="6">
        <v>2025</v>
      </c>
      <c r="B5008" s="6">
        <v>1</v>
      </c>
      <c r="C5008" s="6" t="s">
        <v>59</v>
      </c>
      <c r="D5008" s="6" t="s">
        <v>610</v>
      </c>
      <c r="E5008" s="6" t="s">
        <v>611</v>
      </c>
      <c r="F5008" s="6" t="str">
        <f>IF($M5008="PADD I","PADD 1",IF($M5008="PADD II","PADD 2",IF($M5008="PADD III","PADD 3",IF($M5008="PADD IV","PADD 4",IF($M5008="PADD V","PADD 5","")))))</f>
        <v>PADD 2</v>
      </c>
      <c r="G5008" s="6">
        <f>IF(AND($H5008="ATMOS DISTILLATION",ISNUMBER(SEARCH("VPS",$I5008))=FALSE,LEFT($I5008,6)&lt;&gt;"VACUUM"),"CDU",IF($H5008="FLUID CAT CRACKING","FCC",IF(OR($H5008="HYDROCRACKING",$H5008="RESID_HYDROCRACKING"),"Hydrocracker",IF($H5008="REFORMING","Reformer",""))))</f>
        <v/>
      </c>
      <c r="H5008" s="6" t="s">
        <v>43</v>
      </c>
      <c r="I5008" s="6" t="s">
        <v>458</v>
      </c>
      <c r="J5008" s="6" t="s">
        <v>349</v>
      </c>
      <c r="K5008" s="10">
        <v>8</v>
      </c>
      <c r="L5008" s="10">
        <v>25</v>
      </c>
      <c r="M5008" s="6" t="s">
        <v>375</v>
      </c>
    </row>
    <row r="5009" spans="1:13">
      <c r="A5009" s="6">
        <v>2025</v>
      </c>
      <c r="B5009" s="6">
        <v>1</v>
      </c>
      <c r="C5009" s="6" t="s">
        <v>59</v>
      </c>
      <c r="D5009" s="6" t="s">
        <v>887</v>
      </c>
      <c r="E5009" s="6" t="s">
        <v>405</v>
      </c>
      <c r="F5009" s="6" t="str">
        <f>IF($M5009="PADD I","PADD 1",IF($M5009="PADD II","PADD 2",IF($M5009="PADD III","PADD 3",IF($M5009="PADD IV","PADD 4",IF($M5009="PADD V","PADD 5","")))))</f>
        <v>PADD 3</v>
      </c>
      <c r="G5009" s="6">
        <f>IF(AND($H5009="ATMOS DISTILLATION",ISNUMBER(SEARCH("VPS",$I5009))=FALSE,LEFT($I5009,6)&lt;&gt;"VACUUM"),"CDU",IF($H5009="FLUID CAT CRACKING","FCC",IF(OR($H5009="HYDROCRACKING",$H5009="RESID_HYDROCRACKING"),"Hydrocracker",IF($H5009="REFORMING","Reformer",""))))</f>
        <v/>
      </c>
      <c r="H5009" s="6" t="s">
        <v>43</v>
      </c>
      <c r="I5009" s="6" t="s">
        <v>493</v>
      </c>
      <c r="J5009" s="6" t="s">
        <v>349</v>
      </c>
      <c r="K5009" s="10">
        <v>7.7</v>
      </c>
      <c r="L5009" s="10">
        <v>22</v>
      </c>
      <c r="M5009" s="6" t="s">
        <v>371</v>
      </c>
    </row>
    <row r="5010" spans="1:13">
      <c r="A5010" s="6">
        <v>2025</v>
      </c>
      <c r="B5010" s="6">
        <v>1</v>
      </c>
      <c r="C5010" s="6" t="s">
        <v>59</v>
      </c>
      <c r="D5010" s="6" t="s">
        <v>887</v>
      </c>
      <c r="E5010" s="6" t="s">
        <v>405</v>
      </c>
      <c r="F5010" s="6" t="str">
        <f>IF($M5010="PADD I","PADD 1",IF($M5010="PADD II","PADD 2",IF($M5010="PADD III","PADD 3",IF($M5010="PADD IV","PADD 4",IF($M5010="PADD V","PADD 5","")))))</f>
        <v>PADD 3</v>
      </c>
      <c r="G5010" s="6" t="str">
        <f>IF(AND($H5010="ATMOS DISTILLATION",ISNUMBER(SEARCH("VPS",$I5010))=FALSE,LEFT($I5010,6)&lt;&gt;"VACUUM"),"CDU",IF($H5010="FLUID CAT CRACKING","FCC",IF(OR($H5010="HYDROCRACKING",$H5010="RESID_HYDROCRACKING"),"Hydrocracker",IF($H5010="REFORMING","Reformer",""))))</f>
        <v>FCC</v>
      </c>
      <c r="H5010" s="6" t="s">
        <v>376</v>
      </c>
      <c r="I5010" s="6" t="s">
        <v>806</v>
      </c>
      <c r="J5010" s="6" t="s">
        <v>349</v>
      </c>
      <c r="K5010" s="10">
        <v>7.68</v>
      </c>
      <c r="L5010" s="10">
        <v>24</v>
      </c>
      <c r="M5010" s="6" t="s">
        <v>371</v>
      </c>
    </row>
    <row r="5011" spans="1:13">
      <c r="A5011" s="6">
        <v>2025</v>
      </c>
      <c r="B5011" s="6">
        <v>1</v>
      </c>
      <c r="C5011" s="6" t="s">
        <v>59</v>
      </c>
      <c r="D5011" s="6" t="s">
        <v>610</v>
      </c>
      <c r="E5011" s="6" t="s">
        <v>611</v>
      </c>
      <c r="F5011" s="6" t="str">
        <f>IF($M5011="PADD I","PADD 1",IF($M5011="PADD II","PADD 2",IF($M5011="PADD III","PADD 3",IF($M5011="PADD IV","PADD 4",IF($M5011="PADD V","PADD 5","")))))</f>
        <v>PADD 2</v>
      </c>
      <c r="G5011" s="6">
        <f>IF(AND($H5011="ATMOS DISTILLATION",ISNUMBER(SEARCH("VPS",$I5011))=FALSE,LEFT($I5011,6)&lt;&gt;"VACUUM"),"CDU",IF($H5011="FLUID CAT CRACKING","FCC",IF(OR($H5011="HYDROCRACKING",$H5011="RESID_HYDROCRACKING"),"Hydrocracker",IF($H5011="REFORMING","Reformer",""))))</f>
        <v/>
      </c>
      <c r="H5011" s="6" t="s">
        <v>43</v>
      </c>
      <c r="I5011" s="6" t="s">
        <v>626</v>
      </c>
      <c r="J5011" s="6" t="s">
        <v>349</v>
      </c>
      <c r="K5011" s="10">
        <v>7.36</v>
      </c>
      <c r="L5011" s="10">
        <v>23</v>
      </c>
      <c r="M5011" s="6" t="s">
        <v>375</v>
      </c>
    </row>
    <row r="5012" spans="1:13">
      <c r="A5012" s="6">
        <v>2025</v>
      </c>
      <c r="B5012" s="6">
        <v>1</v>
      </c>
      <c r="C5012" s="6" t="s">
        <v>59</v>
      </c>
      <c r="D5012" s="6" t="s">
        <v>457</v>
      </c>
      <c r="E5012" s="6" t="s">
        <v>388</v>
      </c>
      <c r="F5012" s="6" t="str">
        <f>IF($M5012="PADD I","PADD 1",IF($M5012="PADD II","PADD 2",IF($M5012="PADD III","PADD 3",IF($M5012="PADD IV","PADD 4",IF($M5012="PADD V","PADD 5","")))))</f>
        <v>PADD 5</v>
      </c>
      <c r="G5012" s="6" t="str">
        <f>IF(AND($H5012="ATMOS DISTILLATION",ISNUMBER(SEARCH("VPS",$I5012))=FALSE,LEFT($I5012,6)&lt;&gt;"VACUUM"),"CDU",IF($H5012="FLUID CAT CRACKING","FCC",IF(OR($H5012="HYDROCRACKING",$H5012="RESID_HYDROCRACKING"),"Hydrocracker",IF($H5012="REFORMING","Reformer",""))))</f>
        <v>Hydrocracker</v>
      </c>
      <c r="H5012" s="6" t="s">
        <v>444</v>
      </c>
      <c r="I5012" s="6" t="s">
        <v>14</v>
      </c>
      <c r="J5012" s="6" t="s">
        <v>345</v>
      </c>
      <c r="K5012" s="10">
        <v>7.15</v>
      </c>
      <c r="L5012" s="10">
        <v>55</v>
      </c>
      <c r="M5012" s="6" t="s">
        <v>386</v>
      </c>
    </row>
    <row r="5013" spans="1:13">
      <c r="A5013" s="6">
        <v>2025</v>
      </c>
      <c r="B5013" s="6">
        <v>1</v>
      </c>
      <c r="C5013" s="6" t="s">
        <v>59</v>
      </c>
      <c r="D5013" s="6" t="s">
        <v>610</v>
      </c>
      <c r="E5013" s="6" t="s">
        <v>611</v>
      </c>
      <c r="F5013" s="6" t="str">
        <f>IF($M5013="PADD I","PADD 1",IF($M5013="PADD II","PADD 2",IF($M5013="PADD III","PADD 3",IF($M5013="PADD IV","PADD 4",IF($M5013="PADD V","PADD 5","")))))</f>
        <v>PADD 2</v>
      </c>
      <c r="G5013" s="6">
        <f>IF(AND($H5013="ATMOS DISTILLATION",ISNUMBER(SEARCH("VPS",$I5013))=FALSE,LEFT($I5013,6)&lt;&gt;"VACUUM"),"CDU",IF($H5013="FLUID CAT CRACKING","FCC",IF(OR($H5013="HYDROCRACKING",$H5013="RESID_HYDROCRACKING"),"Hydrocracker",IF($H5013="REFORMING","Reformer",""))))</f>
        <v/>
      </c>
      <c r="H5013" s="6" t="s">
        <v>568</v>
      </c>
      <c r="I5013" s="6" t="s">
        <v>604</v>
      </c>
      <c r="J5013" s="6" t="s">
        <v>349</v>
      </c>
      <c r="K5013" s="10">
        <v>7.104</v>
      </c>
      <c r="L5013" s="10">
        <v>22.2</v>
      </c>
      <c r="M5013" s="6" t="s">
        <v>375</v>
      </c>
    </row>
    <row r="5014" spans="1:13">
      <c r="A5014" s="6">
        <v>2025</v>
      </c>
      <c r="B5014" s="6">
        <v>1</v>
      </c>
      <c r="C5014" s="6" t="s">
        <v>59</v>
      </c>
      <c r="D5014" s="6" t="s">
        <v>887</v>
      </c>
      <c r="E5014" s="6" t="s">
        <v>405</v>
      </c>
      <c r="F5014" s="6" t="str">
        <f>IF($M5014="PADD I","PADD 1",IF($M5014="PADD II","PADD 2",IF($M5014="PADD III","PADD 3",IF($M5014="PADD IV","PADD 4",IF($M5014="PADD V","PADD 5","")))))</f>
        <v>PADD 3</v>
      </c>
      <c r="G5014" s="6">
        <f>IF(AND($H5014="ATMOS DISTILLATION",ISNUMBER(SEARCH("VPS",$I5014))=FALSE,LEFT($I5014,6)&lt;&gt;"VACUUM"),"CDU",IF($H5014="FLUID CAT CRACKING","FCC",IF(OR($H5014="HYDROCRACKING",$H5014="RESID_HYDROCRACKING"),"Hydrocracker",IF($H5014="REFORMING","Reformer",""))))</f>
        <v/>
      </c>
      <c r="H5014" s="6" t="s">
        <v>43</v>
      </c>
      <c r="I5014" s="6" t="s">
        <v>918</v>
      </c>
      <c r="J5014" s="6" t="s">
        <v>349</v>
      </c>
      <c r="K5014" s="10">
        <v>7</v>
      </c>
      <c r="L5014" s="10">
        <v>20</v>
      </c>
      <c r="M5014" s="6" t="s">
        <v>371</v>
      </c>
    </row>
    <row r="5015" spans="1:13">
      <c r="A5015" s="6">
        <v>2025</v>
      </c>
      <c r="B5015" s="6">
        <v>1</v>
      </c>
      <c r="C5015" s="6" t="s">
        <v>59</v>
      </c>
      <c r="D5015" s="6" t="s">
        <v>851</v>
      </c>
      <c r="E5015" s="6" t="s">
        <v>852</v>
      </c>
      <c r="F5015" s="6" t="str">
        <f>IF($M5015="PADD I","PADD 1",IF($M5015="PADD II","PADD 2",IF($M5015="PADD III","PADD 3",IF($M5015="PADD IV","PADD 4",IF($M5015="PADD V","PADD 5","")))))</f>
        <v>PADD 3</v>
      </c>
      <c r="G5015" s="6">
        <f>IF(AND($H5015="ATMOS DISTILLATION",ISNUMBER(SEARCH("VPS",$I5015))=FALSE,LEFT($I5015,6)&lt;&gt;"VACUUM"),"CDU",IF($H5015="FLUID CAT CRACKING","FCC",IF(OR($H5015="HYDROCRACKING",$H5015="RESID_HYDROCRACKING"),"Hydrocracker",IF($H5015="REFORMING","Reformer",""))))</f>
        <v/>
      </c>
      <c r="H5015" s="6" t="s">
        <v>378</v>
      </c>
      <c r="I5015" s="6" t="s">
        <v>860</v>
      </c>
      <c r="J5015" s="6" t="s">
        <v>349</v>
      </c>
      <c r="K5015" s="10">
        <v>6.84</v>
      </c>
      <c r="L5015" s="10">
        <v>36</v>
      </c>
      <c r="M5015" s="6" t="s">
        <v>371</v>
      </c>
    </row>
    <row r="5016" spans="1:13">
      <c r="A5016" s="6">
        <v>2025</v>
      </c>
      <c r="B5016" s="6">
        <v>1</v>
      </c>
      <c r="C5016" s="6" t="s">
        <v>59</v>
      </c>
      <c r="D5016" s="6" t="s">
        <v>714</v>
      </c>
      <c r="E5016" s="6" t="s">
        <v>405</v>
      </c>
      <c r="F5016" s="6" t="str">
        <f>IF($M5016="PADD I","PADD 1",IF($M5016="PADD II","PADD 2",IF($M5016="PADD III","PADD 3",IF($M5016="PADD IV","PADD 4",IF($M5016="PADD V","PADD 5","")))))</f>
        <v>PADD 3</v>
      </c>
      <c r="G5016" s="6" t="str">
        <f>IF(AND($H5016="ATMOS DISTILLATION",ISNUMBER(SEARCH("VPS",$I5016))=FALSE,LEFT($I5016,6)&lt;&gt;"VACUUM"),"CDU",IF($H5016="FLUID CAT CRACKING","FCC",IF(OR($H5016="HYDROCRACKING",$H5016="RESID_HYDROCRACKING"),"Hydrocracker",IF($H5016="REFORMING","Reformer",""))))</f>
        <v>Hydrocracker</v>
      </c>
      <c r="H5016" s="6" t="s">
        <v>444</v>
      </c>
      <c r="I5016" s="6" t="s">
        <v>14</v>
      </c>
      <c r="J5016" s="6" t="s">
        <v>345</v>
      </c>
      <c r="K5016" s="10">
        <v>6.785</v>
      </c>
      <c r="L5016" s="10">
        <v>29.5</v>
      </c>
      <c r="M5016" s="6" t="s">
        <v>371</v>
      </c>
    </row>
    <row r="5017" spans="1:13">
      <c r="A5017" s="6">
        <v>2025</v>
      </c>
      <c r="B5017" s="6">
        <v>1</v>
      </c>
      <c r="C5017" s="6" t="s">
        <v>59</v>
      </c>
      <c r="D5017" s="6" t="s">
        <v>434</v>
      </c>
      <c r="E5017" s="6" t="s">
        <v>388</v>
      </c>
      <c r="F5017" s="6" t="str">
        <f>IF($M5017="PADD I","PADD 1",IF($M5017="PADD II","PADD 2",IF($M5017="PADD III","PADD 3",IF($M5017="PADD IV","PADD 4",IF($M5017="PADD V","PADD 5","")))))</f>
        <v>PADD 5</v>
      </c>
      <c r="G5017" s="6">
        <f>IF(AND($H5017="ATMOS DISTILLATION",ISNUMBER(SEARCH("VPS",$I5017))=FALSE,LEFT($I5017,6)&lt;&gt;"VACUUM"),"CDU",IF($H5017="FLUID CAT CRACKING","FCC",IF(OR($H5017="HYDROCRACKING",$H5017="RESID_HYDROCRACKING"),"Hydrocracker",IF($H5017="REFORMING","Reformer",""))))</f>
        <v/>
      </c>
      <c r="H5017" s="6" t="s">
        <v>435</v>
      </c>
      <c r="I5017" s="6" t="s">
        <v>436</v>
      </c>
      <c r="J5017" s="6" t="s">
        <v>345</v>
      </c>
      <c r="K5017" s="10">
        <v>6.72</v>
      </c>
      <c r="L5017" s="10">
        <v>42</v>
      </c>
      <c r="M5017" s="6" t="s">
        <v>386</v>
      </c>
    </row>
    <row r="5018" spans="1:13">
      <c r="A5018" s="6">
        <v>2025</v>
      </c>
      <c r="B5018" s="6">
        <v>1</v>
      </c>
      <c r="C5018" s="6" t="s">
        <v>59</v>
      </c>
      <c r="D5018" s="6" t="s">
        <v>465</v>
      </c>
      <c r="E5018" s="6" t="s">
        <v>369</v>
      </c>
      <c r="F5018" s="6" t="str">
        <f>IF($M5018="PADD I","PADD 1",IF($M5018="PADD II","PADD 2",IF($M5018="PADD III","PADD 3",IF($M5018="PADD IV","PADD 4",IF($M5018="PADD V","PADD 5","")))))</f>
        <v>PADD 5</v>
      </c>
      <c r="G5018" s="6">
        <f>IF(AND($H5018="ATMOS DISTILLATION",ISNUMBER(SEARCH("VPS",$I5018))=FALSE,LEFT($I5018,6)&lt;&gt;"VACUUM"),"CDU",IF($H5018="FLUID CAT CRACKING","FCC",IF(OR($H5018="HYDROCRACKING",$H5018="RESID_HYDROCRACKING"),"Hydrocracker",IF($H5018="REFORMING","Reformer",""))))</f>
        <v/>
      </c>
      <c r="H5018" s="6" t="s">
        <v>43</v>
      </c>
      <c r="I5018" s="6" t="s">
        <v>466</v>
      </c>
      <c r="J5018" s="6" t="s">
        <v>349</v>
      </c>
      <c r="K5018" s="10">
        <v>6.5</v>
      </c>
      <c r="L5018" s="10">
        <v>50</v>
      </c>
      <c r="M5018" s="6" t="s">
        <v>386</v>
      </c>
    </row>
    <row r="5019" spans="1:13">
      <c r="A5019" s="6">
        <v>2025</v>
      </c>
      <c r="B5019" s="6">
        <v>1</v>
      </c>
      <c r="C5019" s="6" t="s">
        <v>59</v>
      </c>
      <c r="D5019" s="6" t="s">
        <v>324</v>
      </c>
      <c r="E5019" s="6" t="s">
        <v>388</v>
      </c>
      <c r="F5019" s="6" t="str">
        <f>IF($M5019="PADD I","PADD 1",IF($M5019="PADD II","PADD 2",IF($M5019="PADD III","PADD 3",IF($M5019="PADD IV","PADD 4",IF($M5019="PADD V","PADD 5","")))))</f>
        <v>PADD 3</v>
      </c>
      <c r="G5019" s="6">
        <f>IF(AND($H5019="ATMOS DISTILLATION",ISNUMBER(SEARCH("VPS",$I5019))=FALSE,LEFT($I5019,6)&lt;&gt;"VACUUM"),"CDU",IF($H5019="FLUID CAT CRACKING","FCC",IF(OR($H5019="HYDROCRACKING",$H5019="RESID_HYDROCRACKING"),"Hydrocracker",IF($H5019="REFORMING","Reformer",""))))</f>
        <v/>
      </c>
      <c r="H5019" s="6" t="s">
        <v>378</v>
      </c>
      <c r="I5019" s="6" t="s">
        <v>1092</v>
      </c>
      <c r="J5019" s="6" t="s">
        <v>349</v>
      </c>
      <c r="K5019" s="10">
        <v>6.435</v>
      </c>
      <c r="L5019" s="10">
        <v>16.5</v>
      </c>
      <c r="M5019" s="6" t="s">
        <v>371</v>
      </c>
    </row>
    <row r="5020" spans="1:13">
      <c r="A5020" s="6">
        <v>2025</v>
      </c>
      <c r="B5020" s="6">
        <v>1</v>
      </c>
      <c r="C5020" s="6" t="s">
        <v>59</v>
      </c>
      <c r="D5020" s="6" t="s">
        <v>610</v>
      </c>
      <c r="E5020" s="6" t="s">
        <v>611</v>
      </c>
      <c r="F5020" s="6" t="str">
        <f>IF($M5020="PADD I","PADD 1",IF($M5020="PADD II","PADD 2",IF($M5020="PADD III","PADD 3",IF($M5020="PADD IV","PADD 4",IF($M5020="PADD V","PADD 5","")))))</f>
        <v>PADD 2</v>
      </c>
      <c r="G5020" s="6">
        <f>IF(AND($H5020="ATMOS DISTILLATION",ISNUMBER(SEARCH("VPS",$I5020))=FALSE,LEFT($I5020,6)&lt;&gt;"VACUUM"),"CDU",IF($H5020="FLUID CAT CRACKING","FCC",IF(OR($H5020="HYDROCRACKING",$H5020="RESID_HYDROCRACKING"),"Hydrocracker",IF($H5020="REFORMING","Reformer",""))))</f>
        <v/>
      </c>
      <c r="H5020" s="6" t="s">
        <v>43</v>
      </c>
      <c r="I5020" s="6" t="s">
        <v>629</v>
      </c>
      <c r="J5020" s="6" t="s">
        <v>349</v>
      </c>
      <c r="K5020" s="10">
        <v>6.4</v>
      </c>
      <c r="L5020" s="10">
        <v>20</v>
      </c>
      <c r="M5020" s="6" t="s">
        <v>375</v>
      </c>
    </row>
    <row r="5021" spans="1:13">
      <c r="A5021" s="6">
        <v>2025</v>
      </c>
      <c r="B5021" s="6">
        <v>1</v>
      </c>
      <c r="C5021" s="6" t="s">
        <v>59</v>
      </c>
      <c r="D5021" s="6" t="s">
        <v>610</v>
      </c>
      <c r="E5021" s="6" t="s">
        <v>611</v>
      </c>
      <c r="F5021" s="6" t="str">
        <f>IF($M5021="PADD I","PADD 1",IF($M5021="PADD II","PADD 2",IF($M5021="PADD III","PADD 3",IF($M5021="PADD IV","PADD 4",IF($M5021="PADD V","PADD 5","")))))</f>
        <v>PADD 2</v>
      </c>
      <c r="G5021" s="6">
        <f>IF(AND($H5021="ATMOS DISTILLATION",ISNUMBER(SEARCH("VPS",$I5021))=FALSE,LEFT($I5021,6)&lt;&gt;"VACUUM"),"CDU",IF($H5021="FLUID CAT CRACKING","FCC",IF(OR($H5021="HYDROCRACKING",$H5021="RESID_HYDROCRACKING"),"Hydrocracker",IF($H5021="REFORMING","Reformer",""))))</f>
        <v/>
      </c>
      <c r="H5021" s="6" t="s">
        <v>378</v>
      </c>
      <c r="I5021" s="6" t="s">
        <v>627</v>
      </c>
      <c r="J5021" s="6" t="s">
        <v>349</v>
      </c>
      <c r="K5021" s="10">
        <v>6.38</v>
      </c>
      <c r="L5021" s="10">
        <v>22</v>
      </c>
      <c r="M5021" s="6" t="s">
        <v>375</v>
      </c>
    </row>
    <row r="5022" spans="1:13">
      <c r="A5022" s="6">
        <v>2025</v>
      </c>
      <c r="B5022" s="6">
        <v>1</v>
      </c>
      <c r="C5022" s="6" t="s">
        <v>59</v>
      </c>
      <c r="D5022" s="6" t="s">
        <v>610</v>
      </c>
      <c r="E5022" s="6" t="s">
        <v>611</v>
      </c>
      <c r="F5022" s="6" t="str">
        <f>IF($M5022="PADD I","PADD 1",IF($M5022="PADD II","PADD 2",IF($M5022="PADD III","PADD 3",IF($M5022="PADD IV","PADD 4",IF($M5022="PADD V","PADD 5","")))))</f>
        <v>PADD 2</v>
      </c>
      <c r="G5022" s="6" t="str">
        <f>IF(AND($H5022="ATMOS DISTILLATION",ISNUMBER(SEARCH("VPS",$I5022))=FALSE,LEFT($I5022,6)&lt;&gt;"VACUUM"),"CDU",IF($H5022="FLUID CAT CRACKING","FCC",IF(OR($H5022="HYDROCRACKING",$H5022="RESID_HYDROCRACKING"),"Hydrocracker",IF($H5022="REFORMING","Reformer",""))))</f>
        <v>FCC</v>
      </c>
      <c r="H5022" s="6" t="s">
        <v>376</v>
      </c>
      <c r="I5022" s="6" t="s">
        <v>105</v>
      </c>
      <c r="J5022" s="6" t="s">
        <v>349</v>
      </c>
      <c r="K5022" s="10">
        <v>6.08</v>
      </c>
      <c r="L5022" s="10">
        <v>32</v>
      </c>
      <c r="M5022" s="6" t="s">
        <v>375</v>
      </c>
    </row>
    <row r="5023" spans="1:13">
      <c r="A5023" s="6">
        <v>2025</v>
      </c>
      <c r="B5023" s="6">
        <v>1</v>
      </c>
      <c r="C5023" s="6" t="s">
        <v>59</v>
      </c>
      <c r="D5023" s="6" t="s">
        <v>610</v>
      </c>
      <c r="E5023" s="6" t="s">
        <v>611</v>
      </c>
      <c r="F5023" s="6" t="str">
        <f>IF($M5023="PADD I","PADD 1",IF($M5023="PADD II","PADD 2",IF($M5023="PADD III","PADD 3",IF($M5023="PADD IV","PADD 4",IF($M5023="PADD V","PADD 5","")))))</f>
        <v>PADD 2</v>
      </c>
      <c r="G5023" s="6">
        <f>IF(AND($H5023="ATMOS DISTILLATION",ISNUMBER(SEARCH("VPS",$I5023))=FALSE,LEFT($I5023,6)&lt;&gt;"VACUUM"),"CDU",IF($H5023="FLUID CAT CRACKING","FCC",IF(OR($H5023="HYDROCRACKING",$H5023="RESID_HYDROCRACKING"),"Hydrocracker",IF($H5023="REFORMING","Reformer",""))))</f>
        <v/>
      </c>
      <c r="H5023" s="6" t="s">
        <v>378</v>
      </c>
      <c r="I5023" s="6" t="s">
        <v>494</v>
      </c>
      <c r="J5023" s="6" t="s">
        <v>349</v>
      </c>
      <c r="K5023" s="10">
        <v>5.8</v>
      </c>
      <c r="L5023" s="10">
        <v>20</v>
      </c>
      <c r="M5023" s="6" t="s">
        <v>375</v>
      </c>
    </row>
    <row r="5024" spans="1:13">
      <c r="A5024" s="6">
        <v>2025</v>
      </c>
      <c r="B5024" s="6">
        <v>1</v>
      </c>
      <c r="C5024" s="6" t="s">
        <v>59</v>
      </c>
      <c r="D5024" s="6" t="s">
        <v>434</v>
      </c>
      <c r="E5024" s="6" t="s">
        <v>388</v>
      </c>
      <c r="F5024" s="6" t="str">
        <f>IF($M5024="PADD I","PADD 1",IF($M5024="PADD II","PADD 2",IF($M5024="PADD III","PADD 3",IF($M5024="PADD IV","PADD 4",IF($M5024="PADD V","PADD 5","")))))</f>
        <v>PADD 5</v>
      </c>
      <c r="G5024" s="6">
        <f>IF(AND($H5024="ATMOS DISTILLATION",ISNUMBER(SEARCH("VPS",$I5024))=FALSE,LEFT($I5024,6)&lt;&gt;"VACUUM"),"CDU",IF($H5024="FLUID CAT CRACKING","FCC",IF(OR($H5024="HYDROCRACKING",$H5024="RESID_HYDROCRACKING"),"Hydrocracker",IF($H5024="REFORMING","Reformer",""))))</f>
        <v/>
      </c>
      <c r="H5024" s="6" t="s">
        <v>43</v>
      </c>
      <c r="I5024" s="6" t="s">
        <v>905</v>
      </c>
      <c r="J5024" s="6" t="s">
        <v>345</v>
      </c>
      <c r="K5024" s="10">
        <v>5.75</v>
      </c>
      <c r="L5024" s="10">
        <v>25</v>
      </c>
      <c r="M5024" s="6" t="s">
        <v>386</v>
      </c>
    </row>
    <row r="5025" spans="1:13">
      <c r="A5025" s="6">
        <v>2025</v>
      </c>
      <c r="B5025" s="6">
        <v>1</v>
      </c>
      <c r="C5025" s="6" t="s">
        <v>59</v>
      </c>
      <c r="D5025" s="6" t="s">
        <v>610</v>
      </c>
      <c r="E5025" s="6" t="s">
        <v>611</v>
      </c>
      <c r="F5025" s="6" t="str">
        <f>IF($M5025="PADD I","PADD 1",IF($M5025="PADD II","PADD 2",IF($M5025="PADD III","PADD 3",IF($M5025="PADD IV","PADD 4",IF($M5025="PADD V","PADD 5","")))))</f>
        <v>PADD 2</v>
      </c>
      <c r="G5025" s="6">
        <f>IF(AND($H5025="ATMOS DISTILLATION",ISNUMBER(SEARCH("VPS",$I5025))=FALSE,LEFT($I5025,6)&lt;&gt;"VACUUM"),"CDU",IF($H5025="FLUID CAT CRACKING","FCC",IF(OR($H5025="HYDROCRACKING",$H5025="RESID_HYDROCRACKING"),"Hydrocracker",IF($H5025="REFORMING","Reformer",""))))</f>
        <v/>
      </c>
      <c r="H5025" s="6" t="s">
        <v>435</v>
      </c>
      <c r="I5025" s="6" t="s">
        <v>441</v>
      </c>
      <c r="J5025" s="6" t="s">
        <v>349</v>
      </c>
      <c r="K5025" s="10">
        <v>5.655</v>
      </c>
      <c r="L5025" s="10">
        <v>19.5</v>
      </c>
      <c r="M5025" s="6" t="s">
        <v>375</v>
      </c>
    </row>
    <row r="5026" spans="1:13">
      <c r="A5026" s="6">
        <v>2025</v>
      </c>
      <c r="B5026" s="6">
        <v>1</v>
      </c>
      <c r="C5026" s="6" t="s">
        <v>59</v>
      </c>
      <c r="D5026" s="6" t="s">
        <v>346</v>
      </c>
      <c r="E5026" s="6" t="s">
        <v>383</v>
      </c>
      <c r="F5026" s="6" t="str">
        <f>IF($M5026="PADD I","PADD 1",IF($M5026="PADD II","PADD 2",IF($M5026="PADD III","PADD 3",IF($M5026="PADD IV","PADD 4",IF($M5026="PADD V","PADD 5","")))))</f>
        <v>PADD 2</v>
      </c>
      <c r="G5026" s="6" t="str">
        <f>IF(AND($H5026="ATMOS DISTILLATION",ISNUMBER(SEARCH("VPS",$I5026))=FALSE,LEFT($I5026,6)&lt;&gt;"VACUUM"),"CDU",IF($H5026="FLUID CAT CRACKING","FCC",IF(OR($H5026="HYDROCRACKING",$H5026="RESID_HYDROCRACKING"),"Hydrocracker",IF($H5026="REFORMING","Reformer",""))))</f>
        <v>CDU</v>
      </c>
      <c r="H5026" s="6" t="s">
        <v>38</v>
      </c>
      <c r="I5026" s="6" t="s">
        <v>384</v>
      </c>
      <c r="J5026" s="6" t="s">
        <v>345</v>
      </c>
      <c r="K5026" s="10">
        <v>5.64</v>
      </c>
      <c r="L5026" s="10">
        <v>94</v>
      </c>
      <c r="M5026" s="6" t="s">
        <v>375</v>
      </c>
    </row>
    <row r="5027" spans="1:13">
      <c r="A5027" s="6">
        <v>2025</v>
      </c>
      <c r="B5027" s="6">
        <v>1</v>
      </c>
      <c r="C5027" s="6" t="s">
        <v>59</v>
      </c>
      <c r="D5027" s="6" t="s">
        <v>319</v>
      </c>
      <c r="E5027" s="6" t="s">
        <v>665</v>
      </c>
      <c r="F5027" s="6" t="str">
        <f>IF($M5027="PADD I","PADD 1",IF($M5027="PADD II","PADD 2",IF($M5027="PADD III","PADD 3",IF($M5027="PADD IV","PADD 4",IF($M5027="PADD V","PADD 5","")))))</f>
        <v>PADD 3</v>
      </c>
      <c r="G5027" s="6">
        <f>IF(AND($H5027="ATMOS DISTILLATION",ISNUMBER(SEARCH("VPS",$I5027))=FALSE,LEFT($I5027,6)&lt;&gt;"VACUUM"),"CDU",IF($H5027="FLUID CAT CRACKING","FCC",IF(OR($H5027="HYDROCRACKING",$H5027="RESID_HYDROCRACKING"),"Hydrocracker",IF($H5027="REFORMING","Reformer",""))))</f>
        <v/>
      </c>
      <c r="H5027" s="6" t="s">
        <v>435</v>
      </c>
      <c r="I5027" s="6" t="s">
        <v>441</v>
      </c>
      <c r="J5027" s="6" t="s">
        <v>345</v>
      </c>
      <c r="K5027" s="10">
        <v>5.5588</v>
      </c>
      <c r="L5027" s="10">
        <v>21.38</v>
      </c>
      <c r="M5027" s="6" t="s">
        <v>371</v>
      </c>
    </row>
    <row r="5028" spans="1:13">
      <c r="A5028" s="6">
        <v>2025</v>
      </c>
      <c r="B5028" s="6">
        <v>1</v>
      </c>
      <c r="C5028" s="6" t="s">
        <v>59</v>
      </c>
      <c r="D5028" s="6" t="s">
        <v>53</v>
      </c>
      <c r="E5028" s="6" t="s">
        <v>543</v>
      </c>
      <c r="F5028" s="6" t="str">
        <f>IF($M5028="PADD I","PADD 1",IF($M5028="PADD II","PADD 2",IF($M5028="PADD III","PADD 3",IF($M5028="PADD IV","PADD 4",IF($M5028="PADD V","PADD 5","")))))</f>
        <v>PADD 5</v>
      </c>
      <c r="G5028" s="6" t="str">
        <f>IF(AND($H5028="ATMOS DISTILLATION",ISNUMBER(SEARCH("VPS",$I5028))=FALSE,LEFT($I5028,6)&lt;&gt;"VACUUM"),"CDU",IF($H5028="FLUID CAT CRACKING","FCC",IF(OR($H5028="HYDROCRACKING",$H5028="RESID_HYDROCRACKING"),"Hydrocracker",IF($H5028="REFORMING","Reformer",""))))</f>
        <v>Hydrocracker</v>
      </c>
      <c r="H5028" s="6" t="s">
        <v>444</v>
      </c>
      <c r="I5028" s="6" t="s">
        <v>14</v>
      </c>
      <c r="J5028" s="6" t="s">
        <v>345</v>
      </c>
      <c r="K5028" s="10">
        <v>5.5</v>
      </c>
      <c r="L5028" s="10">
        <v>55</v>
      </c>
      <c r="M5028" s="6" t="s">
        <v>386</v>
      </c>
    </row>
    <row r="5029" spans="1:13">
      <c r="A5029" s="6">
        <v>2025</v>
      </c>
      <c r="B5029" s="6">
        <v>1</v>
      </c>
      <c r="C5029" s="6" t="s">
        <v>59</v>
      </c>
      <c r="D5029" s="6" t="s">
        <v>455</v>
      </c>
      <c r="E5029" s="6" t="s">
        <v>405</v>
      </c>
      <c r="F5029" s="6" t="str">
        <f>IF($M5029="PADD I","PADD 1",IF($M5029="PADD II","PADD 2",IF($M5029="PADD III","PADD 3",IF($M5029="PADD IV","PADD 4",IF($M5029="PADD V","PADD 5","")))))</f>
        <v>PADD 3</v>
      </c>
      <c r="G5029" s="6">
        <f>IF(AND($H5029="ATMOS DISTILLATION",ISNUMBER(SEARCH("VPS",$I5029))=FALSE,LEFT($I5029,6)&lt;&gt;"VACUUM"),"CDU",IF($H5029="FLUID CAT CRACKING","FCC",IF(OR($H5029="HYDROCRACKING",$H5029="RESID_HYDROCRACKING"),"Hydrocracker",IF($H5029="REFORMING","Reformer",""))))</f>
        <v/>
      </c>
      <c r="H5029" s="6" t="s">
        <v>460</v>
      </c>
      <c r="I5029" s="6" t="s">
        <v>461</v>
      </c>
      <c r="J5029" s="6" t="s">
        <v>349</v>
      </c>
      <c r="K5029" s="10">
        <v>5.46</v>
      </c>
      <c r="L5029" s="10">
        <v>21</v>
      </c>
      <c r="M5029" s="6" t="s">
        <v>371</v>
      </c>
    </row>
    <row r="5030" spans="1:13">
      <c r="A5030" s="6">
        <v>2025</v>
      </c>
      <c r="B5030" s="6">
        <v>1</v>
      </c>
      <c r="C5030" s="6" t="s">
        <v>59</v>
      </c>
      <c r="D5030" s="6" t="s">
        <v>490</v>
      </c>
      <c r="E5030" s="6" t="s">
        <v>491</v>
      </c>
      <c r="F5030" s="6" t="str">
        <f>IF($M5030="PADD I","PADD 1",IF($M5030="PADD II","PADD 2",IF($M5030="PADD III","PADD 3",IF($M5030="PADD IV","PADD 4",IF($M5030="PADD V","PADD 5","")))))</f>
        <v>PADD 3</v>
      </c>
      <c r="G5030" s="6">
        <f>IF(AND($H5030="ATMOS DISTILLATION",ISNUMBER(SEARCH("VPS",$I5030))=FALSE,LEFT($I5030,6)&lt;&gt;"VACUUM"),"CDU",IF($H5030="FLUID CAT CRACKING","FCC",IF(OR($H5030="HYDROCRACKING",$H5030="RESID_HYDROCRACKING"),"Hydrocracker",IF($H5030="REFORMING","Reformer",""))))</f>
        <v/>
      </c>
      <c r="H5030" s="6" t="s">
        <v>435</v>
      </c>
      <c r="I5030" s="6" t="s">
        <v>687</v>
      </c>
      <c r="J5030" s="6" t="s">
        <v>345</v>
      </c>
      <c r="K5030" s="10">
        <v>5.4</v>
      </c>
      <c r="L5030" s="10">
        <v>54</v>
      </c>
      <c r="M5030" s="6" t="s">
        <v>371</v>
      </c>
    </row>
    <row r="5031" spans="1:13">
      <c r="A5031" s="6">
        <v>2025</v>
      </c>
      <c r="B5031" s="6">
        <v>1</v>
      </c>
      <c r="C5031" s="6" t="s">
        <v>59</v>
      </c>
      <c r="D5031" s="6" t="s">
        <v>714</v>
      </c>
      <c r="E5031" s="6" t="s">
        <v>405</v>
      </c>
      <c r="F5031" s="6" t="str">
        <f>IF($M5031="PADD I","PADD 1",IF($M5031="PADD II","PADD 2",IF($M5031="PADD III","PADD 3",IF($M5031="PADD IV","PADD 4",IF($M5031="PADD V","PADD 5","")))))</f>
        <v>PADD 3</v>
      </c>
      <c r="G5031" s="6" t="str">
        <f>IF(AND($H5031="ATMOS DISTILLATION",ISNUMBER(SEARCH("VPS",$I5031))=FALSE,LEFT($I5031,6)&lt;&gt;"VACUUM"),"CDU",IF($H5031="FLUID CAT CRACKING","FCC",IF(OR($H5031="HYDROCRACKING",$H5031="RESID_HYDROCRACKING"),"Hydrocracker",IF($H5031="REFORMING","Reformer",""))))</f>
        <v>Reformer</v>
      </c>
      <c r="H5031" s="6" t="s">
        <v>421</v>
      </c>
      <c r="I5031" s="6" t="s">
        <v>864</v>
      </c>
      <c r="J5031" s="6" t="s">
        <v>345</v>
      </c>
      <c r="K5031" s="10">
        <v>5.32</v>
      </c>
      <c r="L5031" s="10">
        <v>28</v>
      </c>
      <c r="M5031" s="6" t="s">
        <v>371</v>
      </c>
    </row>
    <row r="5032" spans="1:13">
      <c r="A5032" s="6">
        <v>2025</v>
      </c>
      <c r="B5032" s="6">
        <v>1</v>
      </c>
      <c r="C5032" s="6" t="s">
        <v>59</v>
      </c>
      <c r="D5032" s="6" t="s">
        <v>440</v>
      </c>
      <c r="E5032" s="6" t="s">
        <v>369</v>
      </c>
      <c r="F5032" s="6" t="str">
        <f>IF($M5032="PADD I","PADD 1",IF($M5032="PADD II","PADD 2",IF($M5032="PADD III","PADD 3",IF($M5032="PADD IV","PADD 4",IF($M5032="PADD V","PADD 5","")))))</f>
        <v>PADD 5</v>
      </c>
      <c r="G5032" s="6">
        <f>IF(AND($H5032="ATMOS DISTILLATION",ISNUMBER(SEARCH("VPS",$I5032))=FALSE,LEFT($I5032,6)&lt;&gt;"VACUUM"),"CDU",IF($H5032="FLUID CAT CRACKING","FCC",IF(OR($H5032="HYDROCRACKING",$H5032="RESID_HYDROCRACKING"),"Hydrocracker",IF($H5032="REFORMING","Reformer",""))))</f>
        <v/>
      </c>
      <c r="H5032" s="6" t="s">
        <v>435</v>
      </c>
      <c r="I5032" s="6" t="s">
        <v>441</v>
      </c>
      <c r="J5032" s="6" t="s">
        <v>345</v>
      </c>
      <c r="K5032" s="10">
        <v>5.3</v>
      </c>
      <c r="L5032" s="10">
        <v>53</v>
      </c>
      <c r="M5032" s="6" t="s">
        <v>386</v>
      </c>
    </row>
    <row r="5033" spans="1:13">
      <c r="A5033" s="6">
        <v>2025</v>
      </c>
      <c r="B5033" s="6">
        <v>1</v>
      </c>
      <c r="C5033" s="6" t="s">
        <v>59</v>
      </c>
      <c r="D5033" s="6" t="s">
        <v>490</v>
      </c>
      <c r="E5033" s="6" t="s">
        <v>491</v>
      </c>
      <c r="F5033" s="6" t="str">
        <f>IF($M5033="PADD I","PADD 1",IF($M5033="PADD II","PADD 2",IF($M5033="PADD III","PADD 3",IF($M5033="PADD IV","PADD 4",IF($M5033="PADD V","PADD 5","")))))</f>
        <v>PADD 3</v>
      </c>
      <c r="G5033" s="6">
        <f>IF(AND($H5033="ATMOS DISTILLATION",ISNUMBER(SEARCH("VPS",$I5033))=FALSE,LEFT($I5033,6)&lt;&gt;"VACUUM"),"CDU",IF($H5033="FLUID CAT CRACKING","FCC",IF(OR($H5033="HYDROCRACKING",$H5033="RESID_HYDROCRACKING"),"Hydrocracker",IF($H5033="REFORMING","Reformer",""))))</f>
        <v/>
      </c>
      <c r="H5033" s="6" t="s">
        <v>43</v>
      </c>
      <c r="I5033" s="6" t="s">
        <v>847</v>
      </c>
      <c r="J5033" s="6" t="s">
        <v>345</v>
      </c>
      <c r="K5033" s="10">
        <v>5</v>
      </c>
      <c r="L5033" s="10">
        <v>50</v>
      </c>
      <c r="M5033" s="6" t="s">
        <v>371</v>
      </c>
    </row>
    <row r="5034" spans="1:13">
      <c r="A5034" s="6">
        <v>2025</v>
      </c>
      <c r="B5034" s="6">
        <v>1</v>
      </c>
      <c r="C5034" s="6" t="s">
        <v>59</v>
      </c>
      <c r="D5034" s="6" t="s">
        <v>490</v>
      </c>
      <c r="E5034" s="6" t="s">
        <v>491</v>
      </c>
      <c r="F5034" s="6" t="str">
        <f>IF($M5034="PADD I","PADD 1",IF($M5034="PADD II","PADD 2",IF($M5034="PADD III","PADD 3",IF($M5034="PADD IV","PADD 4",IF($M5034="PADD V","PADD 5","")))))</f>
        <v>PADD 3</v>
      </c>
      <c r="G5034" s="6" t="str">
        <f>IF(AND($H5034="ATMOS DISTILLATION",ISNUMBER(SEARCH("VPS",$I5034))=FALSE,LEFT($I5034,6)&lt;&gt;"VACUUM"),"CDU",IF($H5034="FLUID CAT CRACKING","FCC",IF(OR($H5034="HYDROCRACKING",$H5034="RESID_HYDROCRACKING"),"Hydrocracker",IF($H5034="REFORMING","Reformer",""))))</f>
        <v>Reformer</v>
      </c>
      <c r="H5034" s="6" t="s">
        <v>421</v>
      </c>
      <c r="I5034" s="6" t="s">
        <v>950</v>
      </c>
      <c r="J5034" s="6" t="s">
        <v>345</v>
      </c>
      <c r="K5034" s="10">
        <v>4.9</v>
      </c>
      <c r="L5034" s="10">
        <v>49</v>
      </c>
      <c r="M5034" s="6" t="s">
        <v>371</v>
      </c>
    </row>
    <row r="5035" spans="1:13">
      <c r="A5035" s="6">
        <v>2025</v>
      </c>
      <c r="B5035" s="6">
        <v>1</v>
      </c>
      <c r="C5035" s="6" t="s">
        <v>59</v>
      </c>
      <c r="D5035" s="6" t="s">
        <v>490</v>
      </c>
      <c r="E5035" s="6" t="s">
        <v>491</v>
      </c>
      <c r="F5035" s="6" t="str">
        <f>IF($M5035="PADD I","PADD 1",IF($M5035="PADD II","PADD 2",IF($M5035="PADD III","PADD 3",IF($M5035="PADD IV","PADD 4",IF($M5035="PADD V","PADD 5","")))))</f>
        <v>PADD 3</v>
      </c>
      <c r="G5035" s="6">
        <f>IF(AND($H5035="ATMOS DISTILLATION",ISNUMBER(SEARCH("VPS",$I5035))=FALSE,LEFT($I5035,6)&lt;&gt;"VACUUM"),"CDU",IF($H5035="FLUID CAT CRACKING","FCC",IF(OR($H5035="HYDROCRACKING",$H5035="RESID_HYDROCRACKING"),"Hydrocracker",IF($H5035="REFORMING","Reformer",""))))</f>
        <v/>
      </c>
      <c r="H5035" s="6" t="s">
        <v>460</v>
      </c>
      <c r="I5035" s="6" t="s">
        <v>1193</v>
      </c>
      <c r="J5035" s="6" t="s">
        <v>349</v>
      </c>
      <c r="K5035" s="10">
        <v>4.68</v>
      </c>
      <c r="L5035" s="10">
        <v>18</v>
      </c>
      <c r="M5035" s="6" t="s">
        <v>371</v>
      </c>
    </row>
    <row r="5036" spans="1:13">
      <c r="A5036" s="6">
        <v>2025</v>
      </c>
      <c r="B5036" s="6">
        <v>1</v>
      </c>
      <c r="C5036" s="6" t="s">
        <v>59</v>
      </c>
      <c r="D5036" s="6" t="s">
        <v>1275</v>
      </c>
      <c r="E5036" s="6" t="s">
        <v>1276</v>
      </c>
      <c r="F5036" s="6" t="str">
        <f>IF($M5036="PADD I","PADD 1",IF($M5036="PADD II","PADD 2",IF($M5036="PADD III","PADD 3",IF($M5036="PADD IV","PADD 4",IF($M5036="PADD V","PADD 5","")))))</f>
        <v>PADD 3</v>
      </c>
      <c r="G5036" s="6" t="str">
        <f>IF(AND($H5036="ATMOS DISTILLATION",ISNUMBER(SEARCH("VPS",$I5036))=FALSE,LEFT($I5036,6)&lt;&gt;"VACUUM"),"CDU",IF($H5036="FLUID CAT CRACKING","FCC",IF(OR($H5036="HYDROCRACKING",$H5036="RESID_HYDROCRACKING"),"Hydrocracker",IF($H5036="REFORMING","Reformer",""))))</f>
        <v>CDU</v>
      </c>
      <c r="H5036" s="6" t="s">
        <v>38</v>
      </c>
      <c r="I5036" s="6" t="s">
        <v>81</v>
      </c>
      <c r="J5036" s="6" t="s">
        <v>349</v>
      </c>
      <c r="K5036" s="10">
        <v>4.6</v>
      </c>
      <c r="L5036" s="10">
        <v>20</v>
      </c>
      <c r="M5036" s="6" t="s">
        <v>371</v>
      </c>
    </row>
    <row r="5037" spans="1:13">
      <c r="A5037" s="6">
        <v>2025</v>
      </c>
      <c r="B5037" s="6">
        <v>1</v>
      </c>
      <c r="C5037" s="6" t="s">
        <v>59</v>
      </c>
      <c r="D5037" s="6" t="s">
        <v>887</v>
      </c>
      <c r="E5037" s="6" t="s">
        <v>405</v>
      </c>
      <c r="F5037" s="6" t="str">
        <f>IF($M5037="PADD I","PADD 1",IF($M5037="PADD II","PADD 2",IF($M5037="PADD III","PADD 3",IF($M5037="PADD IV","PADD 4",IF($M5037="PADD V","PADD 5","")))))</f>
        <v>PADD 3</v>
      </c>
      <c r="G5037" s="6" t="str">
        <f>IF(AND($H5037="ATMOS DISTILLATION",ISNUMBER(SEARCH("VPS",$I5037))=FALSE,LEFT($I5037,6)&lt;&gt;"VACUUM"),"CDU",IF($H5037="FLUID CAT CRACKING","FCC",IF(OR($H5037="HYDROCRACKING",$H5037="RESID_HYDROCRACKING"),"Hydrocracker",IF($H5037="REFORMING","Reformer",""))))</f>
        <v>FCC</v>
      </c>
      <c r="H5037" s="6" t="s">
        <v>376</v>
      </c>
      <c r="I5037" s="6" t="s">
        <v>806</v>
      </c>
      <c r="J5037" s="6" t="s">
        <v>345</v>
      </c>
      <c r="K5037" s="10">
        <v>4.56</v>
      </c>
      <c r="L5037" s="10">
        <v>24</v>
      </c>
      <c r="M5037" s="6" t="s">
        <v>371</v>
      </c>
    </row>
    <row r="5038" spans="1:13">
      <c r="A5038" s="6">
        <v>2025</v>
      </c>
      <c r="B5038" s="6">
        <v>1</v>
      </c>
      <c r="C5038" s="6" t="s">
        <v>59</v>
      </c>
      <c r="D5038" s="6" t="s">
        <v>815</v>
      </c>
      <c r="E5038" s="6" t="s">
        <v>452</v>
      </c>
      <c r="F5038" s="6" t="str">
        <f>IF($M5038="PADD I","PADD 1",IF($M5038="PADD II","PADD 2",IF($M5038="PADD III","PADD 3",IF($M5038="PADD IV","PADD 4",IF($M5038="PADD V","PADD 5","")))))</f>
        <v>PADD 4</v>
      </c>
      <c r="G5038" s="6" t="str">
        <f>IF(AND($H5038="ATMOS DISTILLATION",ISNUMBER(SEARCH("VPS",$I5038))=FALSE,LEFT($I5038,6)&lt;&gt;"VACUUM"),"CDU",IF($H5038="FLUID CAT CRACKING","FCC",IF(OR($H5038="HYDROCRACKING",$H5038="RESID_HYDROCRACKING"),"Hydrocracker",IF($H5038="REFORMING","Reformer",""))))</f>
        <v>CDU</v>
      </c>
      <c r="H5038" s="6" t="s">
        <v>38</v>
      </c>
      <c r="I5038" s="6" t="s">
        <v>1231</v>
      </c>
      <c r="J5038" s="6" t="s">
        <v>345</v>
      </c>
      <c r="K5038" s="10">
        <v>4.53</v>
      </c>
      <c r="L5038" s="10">
        <v>75.5</v>
      </c>
      <c r="M5038" s="6" t="s">
        <v>430</v>
      </c>
    </row>
    <row r="5039" spans="1:13">
      <c r="A5039" s="6">
        <v>2025</v>
      </c>
      <c r="B5039" s="6">
        <v>1</v>
      </c>
      <c r="C5039" s="6" t="s">
        <v>59</v>
      </c>
      <c r="D5039" s="6" t="s">
        <v>380</v>
      </c>
      <c r="E5039" s="6" t="s">
        <v>381</v>
      </c>
      <c r="F5039" s="6" t="str">
        <f>IF($M5039="PADD I","PADD 1",IF($M5039="PADD II","PADD 2",IF($M5039="PADD III","PADD 3",IF($M5039="PADD IV","PADD 4",IF($M5039="PADD V","PADD 5","")))))</f>
        <v>PADD 3</v>
      </c>
      <c r="G5039" s="6">
        <f>IF(AND($H5039="ATMOS DISTILLATION",ISNUMBER(SEARCH("VPS",$I5039))=FALSE,LEFT($I5039,6)&lt;&gt;"VACUUM"),"CDU",IF($H5039="FLUID CAT CRACKING","FCC",IF(OR($H5039="HYDROCRACKING",$H5039="RESID_HYDROCRACKING"),"Hydrocracker",IF($H5039="REFORMING","Reformer",""))))</f>
        <v/>
      </c>
      <c r="H5039" s="6" t="s">
        <v>378</v>
      </c>
      <c r="I5039" s="6" t="s">
        <v>987</v>
      </c>
      <c r="J5039" s="6" t="s">
        <v>345</v>
      </c>
      <c r="K5039" s="10">
        <v>4.4</v>
      </c>
      <c r="L5039" s="10">
        <v>44</v>
      </c>
      <c r="M5039" s="6" t="s">
        <v>371</v>
      </c>
    </row>
    <row r="5040" spans="1:13">
      <c r="A5040" s="6">
        <v>2025</v>
      </c>
      <c r="B5040" s="6">
        <v>1</v>
      </c>
      <c r="C5040" s="6" t="s">
        <v>59</v>
      </c>
      <c r="D5040" s="6" t="s">
        <v>851</v>
      </c>
      <c r="E5040" s="6" t="s">
        <v>852</v>
      </c>
      <c r="F5040" s="6" t="str">
        <f>IF($M5040="PADD I","PADD 1",IF($M5040="PADD II","PADD 2",IF($M5040="PADD III","PADD 3",IF($M5040="PADD IV","PADD 4",IF($M5040="PADD V","PADD 5","")))))</f>
        <v>PADD 3</v>
      </c>
      <c r="G5040" s="6" t="str">
        <f>IF(AND($H5040="ATMOS DISTILLATION",ISNUMBER(SEARCH("VPS",$I5040))=FALSE,LEFT($I5040,6)&lt;&gt;"VACUUM"),"CDU",IF($H5040="FLUID CAT CRACKING","FCC",IF(OR($H5040="HYDROCRACKING",$H5040="RESID_HYDROCRACKING"),"Hydrocracker",IF($H5040="REFORMING","Reformer",""))))</f>
        <v>CDU</v>
      </c>
      <c r="H5040" s="6" t="s">
        <v>38</v>
      </c>
      <c r="I5040" s="6" t="s">
        <v>854</v>
      </c>
      <c r="J5040" s="6" t="s">
        <v>345</v>
      </c>
      <c r="K5040" s="10">
        <v>4.38</v>
      </c>
      <c r="L5040" s="10">
        <v>73</v>
      </c>
      <c r="M5040" s="6" t="s">
        <v>371</v>
      </c>
    </row>
    <row r="5041" spans="1:13">
      <c r="A5041" s="6">
        <v>2025</v>
      </c>
      <c r="B5041" s="6">
        <v>1</v>
      </c>
      <c r="C5041" s="6" t="s">
        <v>59</v>
      </c>
      <c r="D5041" s="6" t="s">
        <v>887</v>
      </c>
      <c r="E5041" s="6" t="s">
        <v>405</v>
      </c>
      <c r="F5041" s="6" t="str">
        <f>IF($M5041="PADD I","PADD 1",IF($M5041="PADD II","PADD 2",IF($M5041="PADD III","PADD 3",IF($M5041="PADD IV","PADD 4",IF($M5041="PADD V","PADD 5","")))))</f>
        <v>PADD 3</v>
      </c>
      <c r="G5041" s="6" t="str">
        <f>IF(AND($H5041="ATMOS DISTILLATION",ISNUMBER(SEARCH("VPS",$I5041))=FALSE,LEFT($I5041,6)&lt;&gt;"VACUUM"),"CDU",IF($H5041="FLUID CAT CRACKING","FCC",IF(OR($H5041="HYDROCRACKING",$H5041="RESID_HYDROCRACKING"),"Hydrocracker",IF($H5041="REFORMING","Reformer",""))))</f>
        <v>Reformer</v>
      </c>
      <c r="H5041" s="6" t="s">
        <v>421</v>
      </c>
      <c r="I5041" s="6" t="s">
        <v>559</v>
      </c>
      <c r="J5041" s="6" t="s">
        <v>345</v>
      </c>
      <c r="K5041" s="10">
        <v>4.29</v>
      </c>
      <c r="L5041" s="10">
        <v>11</v>
      </c>
      <c r="M5041" s="6" t="s">
        <v>371</v>
      </c>
    </row>
    <row r="5042" spans="1:13">
      <c r="A5042" s="6">
        <v>2025</v>
      </c>
      <c r="B5042" s="6">
        <v>1</v>
      </c>
      <c r="C5042" s="6" t="s">
        <v>59</v>
      </c>
      <c r="D5042" s="6" t="s">
        <v>887</v>
      </c>
      <c r="E5042" s="6" t="s">
        <v>405</v>
      </c>
      <c r="F5042" s="6" t="str">
        <f>IF($M5042="PADD I","PADD 1",IF($M5042="PADD II","PADD 2",IF($M5042="PADD III","PADD 3",IF($M5042="PADD IV","PADD 4",IF($M5042="PADD V","PADD 5","")))))</f>
        <v>PADD 3</v>
      </c>
      <c r="G5042" s="6">
        <f>IF(AND($H5042="ATMOS DISTILLATION",ISNUMBER(SEARCH("VPS",$I5042))=FALSE,LEFT($I5042,6)&lt;&gt;"VACUUM"),"CDU",IF($H5042="FLUID CAT CRACKING","FCC",IF(OR($H5042="HYDROCRACKING",$H5042="RESID_HYDROCRACKING"),"Hydrocracker",IF($H5042="REFORMING","Reformer",""))))</f>
        <v/>
      </c>
      <c r="H5042" s="6" t="s">
        <v>43</v>
      </c>
      <c r="I5042" s="6" t="s">
        <v>493</v>
      </c>
      <c r="J5042" s="6" t="s">
        <v>345</v>
      </c>
      <c r="K5042" s="10">
        <v>4.18</v>
      </c>
      <c r="L5042" s="10">
        <v>22</v>
      </c>
      <c r="M5042" s="6" t="s">
        <v>371</v>
      </c>
    </row>
    <row r="5043" spans="1:13">
      <c r="A5043" s="6">
        <v>2025</v>
      </c>
      <c r="B5043" s="6">
        <v>1</v>
      </c>
      <c r="C5043" s="6" t="s">
        <v>59</v>
      </c>
      <c r="D5043" s="6" t="s">
        <v>434</v>
      </c>
      <c r="E5043" s="6" t="s">
        <v>388</v>
      </c>
      <c r="F5043" s="6" t="str">
        <f>IF($M5043="PADD I","PADD 1",IF($M5043="PADD II","PADD 2",IF($M5043="PADD III","PADD 3",IF($M5043="PADD IV","PADD 4",IF($M5043="PADD V","PADD 5","")))))</f>
        <v>PADD 5</v>
      </c>
      <c r="G5043" s="6" t="str">
        <f>IF(AND($H5043="ATMOS DISTILLATION",ISNUMBER(SEARCH("VPS",$I5043))=FALSE,LEFT($I5043,6)&lt;&gt;"VACUUM"),"CDU",IF($H5043="FLUID CAT CRACKING","FCC",IF(OR($H5043="HYDROCRACKING",$H5043="RESID_HYDROCRACKING"),"Hydrocracker",IF($H5043="REFORMING","Reformer",""))))</f>
        <v>Hydrocracker</v>
      </c>
      <c r="H5043" s="6" t="s">
        <v>444</v>
      </c>
      <c r="I5043" s="6" t="s">
        <v>14</v>
      </c>
      <c r="J5043" s="6" t="s">
        <v>345</v>
      </c>
      <c r="K5043" s="10">
        <v>4.16</v>
      </c>
      <c r="L5043" s="10">
        <v>32</v>
      </c>
      <c r="M5043" s="6" t="s">
        <v>386</v>
      </c>
    </row>
    <row r="5044" spans="1:13">
      <c r="A5044" s="6">
        <v>2025</v>
      </c>
      <c r="B5044" s="6">
        <v>1</v>
      </c>
      <c r="C5044" s="6" t="s">
        <v>59</v>
      </c>
      <c r="D5044" s="6" t="s">
        <v>662</v>
      </c>
      <c r="E5044" s="6" t="s">
        <v>552</v>
      </c>
      <c r="F5044" s="6" t="str">
        <f>IF($M5044="PADD I","PADD 1",IF($M5044="PADD II","PADD 2",IF($M5044="PADD III","PADD 3",IF($M5044="PADD IV","PADD 4",IF($M5044="PADD V","PADD 5","")))))</f>
        <v>PADD 3</v>
      </c>
      <c r="G5044" s="6">
        <f>IF(AND($H5044="ATMOS DISTILLATION",ISNUMBER(SEARCH("VPS",$I5044))=FALSE,LEFT($I5044,6)&lt;&gt;"VACUUM"),"CDU",IF($H5044="FLUID CAT CRACKING","FCC",IF(OR($H5044="HYDROCRACKING",$H5044="RESID_HYDROCRACKING"),"Hydrocracker",IF($H5044="REFORMING","Reformer",""))))</f>
        <v/>
      </c>
      <c r="H5044" s="6" t="s">
        <v>43</v>
      </c>
      <c r="I5044" s="6" t="s">
        <v>927</v>
      </c>
      <c r="J5044" s="6" t="s">
        <v>349</v>
      </c>
      <c r="K5044" s="10">
        <v>4.08</v>
      </c>
      <c r="L5044" s="10">
        <v>25.5</v>
      </c>
      <c r="M5044" s="6" t="s">
        <v>371</v>
      </c>
    </row>
    <row r="5045" spans="1:13">
      <c r="A5045" s="6">
        <v>2025</v>
      </c>
      <c r="B5045" s="6">
        <v>1</v>
      </c>
      <c r="C5045" s="6" t="s">
        <v>59</v>
      </c>
      <c r="D5045" s="6" t="s">
        <v>434</v>
      </c>
      <c r="E5045" s="6" t="s">
        <v>388</v>
      </c>
      <c r="F5045" s="6" t="str">
        <f>IF($M5045="PADD I","PADD 1",IF($M5045="PADD II","PADD 2",IF($M5045="PADD III","PADD 3",IF($M5045="PADD IV","PADD 4",IF($M5045="PADD V","PADD 5","")))))</f>
        <v>PADD 5</v>
      </c>
      <c r="G5045" s="6" t="str">
        <f>IF(AND($H5045="ATMOS DISTILLATION",ISNUMBER(SEARCH("VPS",$I5045))=FALSE,LEFT($I5045,6)&lt;&gt;"VACUUM"),"CDU",IF($H5045="FLUID CAT CRACKING","FCC",IF(OR($H5045="HYDROCRACKING",$H5045="RESID_HYDROCRACKING"),"Hydrocracker",IF($H5045="REFORMING","Reformer",""))))</f>
        <v>Reformer</v>
      </c>
      <c r="H5045" s="6" t="s">
        <v>421</v>
      </c>
      <c r="I5045" s="6" t="s">
        <v>671</v>
      </c>
      <c r="J5045" s="6" t="s">
        <v>345</v>
      </c>
      <c r="K5045" s="10">
        <v>3.9</v>
      </c>
      <c r="L5045" s="10">
        <v>15</v>
      </c>
      <c r="M5045" s="6" t="s">
        <v>386</v>
      </c>
    </row>
    <row r="5046" spans="1:13">
      <c r="A5046" s="6">
        <v>2025</v>
      </c>
      <c r="B5046" s="6">
        <v>1</v>
      </c>
      <c r="C5046" s="6" t="s">
        <v>59</v>
      </c>
      <c r="D5046" s="6" t="s">
        <v>887</v>
      </c>
      <c r="E5046" s="6" t="s">
        <v>405</v>
      </c>
      <c r="F5046" s="6" t="str">
        <f>IF($M5046="PADD I","PADD 1",IF($M5046="PADD II","PADD 2",IF($M5046="PADD III","PADD 3",IF($M5046="PADD IV","PADD 4",IF($M5046="PADD V","PADD 5","")))))</f>
        <v>PADD 3</v>
      </c>
      <c r="G5046" s="6">
        <f>IF(AND($H5046="ATMOS DISTILLATION",ISNUMBER(SEARCH("VPS",$I5046))=FALSE,LEFT($I5046,6)&lt;&gt;"VACUUM"),"CDU",IF($H5046="FLUID CAT CRACKING","FCC",IF(OR($H5046="HYDROCRACKING",$H5046="RESID_HYDROCRACKING"),"Hydrocracker",IF($H5046="REFORMING","Reformer",""))))</f>
        <v/>
      </c>
      <c r="H5046" s="6" t="s">
        <v>43</v>
      </c>
      <c r="I5046" s="6" t="s">
        <v>1277</v>
      </c>
      <c r="J5046" s="6" t="s">
        <v>345</v>
      </c>
      <c r="K5046" s="10">
        <v>3.8</v>
      </c>
      <c r="L5046" s="10">
        <v>20</v>
      </c>
      <c r="M5046" s="6" t="s">
        <v>371</v>
      </c>
    </row>
    <row r="5047" spans="1:13">
      <c r="A5047" s="6">
        <v>2025</v>
      </c>
      <c r="B5047" s="6">
        <v>1</v>
      </c>
      <c r="C5047" s="6" t="s">
        <v>59</v>
      </c>
      <c r="D5047" s="6" t="s">
        <v>887</v>
      </c>
      <c r="E5047" s="6" t="s">
        <v>405</v>
      </c>
      <c r="F5047" s="6" t="str">
        <f>IF($M5047="PADD I","PADD 1",IF($M5047="PADD II","PADD 2",IF($M5047="PADD III","PADD 3",IF($M5047="PADD IV","PADD 4",IF($M5047="PADD V","PADD 5","")))))</f>
        <v>PADD 3</v>
      </c>
      <c r="G5047" s="6">
        <f>IF(AND($H5047="ATMOS DISTILLATION",ISNUMBER(SEARCH("VPS",$I5047))=FALSE,LEFT($I5047,6)&lt;&gt;"VACUUM"),"CDU",IF($H5047="FLUID CAT CRACKING","FCC",IF(OR($H5047="HYDROCRACKING",$H5047="RESID_HYDROCRACKING"),"Hydrocracker",IF($H5047="REFORMING","Reformer",""))))</f>
        <v/>
      </c>
      <c r="H5047" s="6" t="s">
        <v>43</v>
      </c>
      <c r="I5047" s="6" t="s">
        <v>647</v>
      </c>
      <c r="J5047" s="6" t="s">
        <v>345</v>
      </c>
      <c r="K5047" s="10">
        <v>3.8</v>
      </c>
      <c r="L5047" s="10">
        <v>20</v>
      </c>
      <c r="M5047" s="6" t="s">
        <v>371</v>
      </c>
    </row>
    <row r="5048" spans="1:13">
      <c r="A5048" s="6">
        <v>2025</v>
      </c>
      <c r="B5048" s="6">
        <v>1</v>
      </c>
      <c r="C5048" s="6" t="s">
        <v>59</v>
      </c>
      <c r="D5048" s="6" t="s">
        <v>887</v>
      </c>
      <c r="E5048" s="6" t="s">
        <v>405</v>
      </c>
      <c r="F5048" s="6" t="str">
        <f>IF($M5048="PADD I","PADD 1",IF($M5048="PADD II","PADD 2",IF($M5048="PADD III","PADD 3",IF($M5048="PADD IV","PADD 4",IF($M5048="PADD V","PADD 5","")))))</f>
        <v>PADD 3</v>
      </c>
      <c r="G5048" s="6">
        <f>IF(AND($H5048="ATMOS DISTILLATION",ISNUMBER(SEARCH("VPS",$I5048))=FALSE,LEFT($I5048,6)&lt;&gt;"VACUUM"),"CDU",IF($H5048="FLUID CAT CRACKING","FCC",IF(OR($H5048="HYDROCRACKING",$H5048="RESID_HYDROCRACKING"),"Hydrocracker",IF($H5048="REFORMING","Reformer",""))))</f>
        <v/>
      </c>
      <c r="H5048" s="6" t="s">
        <v>43</v>
      </c>
      <c r="I5048" s="6" t="s">
        <v>918</v>
      </c>
      <c r="J5048" s="6" t="s">
        <v>345</v>
      </c>
      <c r="K5048" s="10">
        <v>3.8</v>
      </c>
      <c r="L5048" s="10">
        <v>20</v>
      </c>
      <c r="M5048" s="6" t="s">
        <v>371</v>
      </c>
    </row>
    <row r="5049" spans="1:13">
      <c r="A5049" s="6">
        <v>2025</v>
      </c>
      <c r="B5049" s="6">
        <v>1</v>
      </c>
      <c r="C5049" s="6" t="s">
        <v>59</v>
      </c>
      <c r="D5049" s="6" t="s">
        <v>576</v>
      </c>
      <c r="E5049" s="6" t="s">
        <v>369</v>
      </c>
      <c r="F5049" s="6" t="str">
        <f>IF($M5049="PADD I","PADD 1",IF($M5049="PADD II","PADD 2",IF($M5049="PADD III","PADD 3",IF($M5049="PADD IV","PADD 4",IF($M5049="PADD V","PADD 5","")))))</f>
        <v>PADD 3</v>
      </c>
      <c r="G5049" s="6" t="str">
        <f>IF(AND($H5049="ATMOS DISTILLATION",ISNUMBER(SEARCH("VPS",$I5049))=FALSE,LEFT($I5049,6)&lt;&gt;"VACUUM"),"CDU",IF($H5049="FLUID CAT CRACKING","FCC",IF(OR($H5049="HYDROCRACKING",$H5049="RESID_HYDROCRACKING"),"Hydrocracker",IF($H5049="REFORMING","Reformer",""))))</f>
        <v>FCC</v>
      </c>
      <c r="H5049" s="6" t="s">
        <v>376</v>
      </c>
      <c r="I5049" s="6" t="s">
        <v>105</v>
      </c>
      <c r="J5049" s="6" t="s">
        <v>345</v>
      </c>
      <c r="K5049" s="10">
        <v>3.696</v>
      </c>
      <c r="L5049" s="10">
        <v>23.1</v>
      </c>
      <c r="M5049" s="6" t="s">
        <v>371</v>
      </c>
    </row>
    <row r="5050" spans="1:13">
      <c r="A5050" s="6">
        <v>2025</v>
      </c>
      <c r="B5050" s="6">
        <v>1</v>
      </c>
      <c r="C5050" s="6" t="s">
        <v>59</v>
      </c>
      <c r="D5050" s="6" t="s">
        <v>887</v>
      </c>
      <c r="E5050" s="6" t="s">
        <v>405</v>
      </c>
      <c r="F5050" s="6" t="str">
        <f>IF($M5050="PADD I","PADD 1",IF($M5050="PADD II","PADD 2",IF($M5050="PADD III","PADD 3",IF($M5050="PADD IV","PADD 4",IF($M5050="PADD V","PADD 5","")))))</f>
        <v>PADD 3</v>
      </c>
      <c r="G5050" s="6">
        <f>IF(AND($H5050="ATMOS DISTILLATION",ISNUMBER(SEARCH("VPS",$I5050))=FALSE,LEFT($I5050,6)&lt;&gt;"VACUUM"),"CDU",IF($H5050="FLUID CAT CRACKING","FCC",IF(OR($H5050="HYDROCRACKING",$H5050="RESID_HYDROCRACKING"),"Hydrocracker",IF($H5050="REFORMING","Reformer",""))))</f>
        <v/>
      </c>
      <c r="H5050" s="6" t="s">
        <v>378</v>
      </c>
      <c r="I5050" s="6" t="s">
        <v>431</v>
      </c>
      <c r="J5050" s="6" t="s">
        <v>345</v>
      </c>
      <c r="K5050" s="10">
        <v>3.64</v>
      </c>
      <c r="L5050" s="10">
        <v>28</v>
      </c>
      <c r="M5050" s="6" t="s">
        <v>371</v>
      </c>
    </row>
    <row r="5051" spans="1:13">
      <c r="A5051" s="6">
        <v>2025</v>
      </c>
      <c r="B5051" s="6">
        <v>1</v>
      </c>
      <c r="C5051" s="6" t="s">
        <v>59</v>
      </c>
      <c r="D5051" s="6" t="s">
        <v>468</v>
      </c>
      <c r="E5051" s="6" t="s">
        <v>369</v>
      </c>
      <c r="F5051" s="6" t="str">
        <f>IF($M5051="PADD I","PADD 1",IF($M5051="PADD II","PADD 2",IF($M5051="PADD III","PADD 3",IF($M5051="PADD IV","PADD 4",IF($M5051="PADD V","PADD 5","")))))</f>
        <v>PADD 3</v>
      </c>
      <c r="G5051" s="6" t="str">
        <f>IF(AND($H5051="ATMOS DISTILLATION",ISNUMBER(SEARCH("VPS",$I5051))=FALSE,LEFT($I5051,6)&lt;&gt;"VACUUM"),"CDU",IF($H5051="FLUID CAT CRACKING","FCC",IF(OR($H5051="HYDROCRACKING",$H5051="RESID_HYDROCRACKING"),"Hydrocracker",IF($H5051="REFORMING","Reformer",""))))</f>
        <v>Reformer</v>
      </c>
      <c r="H5051" s="6" t="s">
        <v>421</v>
      </c>
      <c r="I5051" s="6" t="s">
        <v>635</v>
      </c>
      <c r="J5051" s="6" t="s">
        <v>345</v>
      </c>
      <c r="K5051" s="10">
        <v>3.64</v>
      </c>
      <c r="L5051" s="10">
        <v>7</v>
      </c>
      <c r="M5051" s="6" t="s">
        <v>371</v>
      </c>
    </row>
    <row r="5052" spans="1:13">
      <c r="A5052" s="6">
        <v>2025</v>
      </c>
      <c r="B5052" s="6">
        <v>1</v>
      </c>
      <c r="C5052" s="6" t="s">
        <v>59</v>
      </c>
      <c r="D5052" s="6" t="s">
        <v>437</v>
      </c>
      <c r="E5052" s="6" t="s">
        <v>438</v>
      </c>
      <c r="F5052" s="6" t="str">
        <f>IF($M5052="PADD I","PADD 1",IF($M5052="PADD II","PADD 2",IF($M5052="PADD III","PADD 3",IF($M5052="PADD IV","PADD 4",IF($M5052="PADD V","PADD 5","")))))</f>
        <v>PADD 4</v>
      </c>
      <c r="G5052" s="6">
        <f>IF(AND($H5052="ATMOS DISTILLATION",ISNUMBER(SEARCH("VPS",$I5052))=FALSE,LEFT($I5052,6)&lt;&gt;"VACUUM"),"CDU",IF($H5052="FLUID CAT CRACKING","FCC",IF(OR($H5052="HYDROCRACKING",$H5052="RESID_HYDROCRACKING"),"Hydrocracker",IF($H5052="REFORMING","Reformer",""))))</f>
        <v/>
      </c>
      <c r="H5052" s="6" t="s">
        <v>378</v>
      </c>
      <c r="I5052" s="6" t="s">
        <v>556</v>
      </c>
      <c r="J5052" s="6" t="s">
        <v>345</v>
      </c>
      <c r="K5052" s="10">
        <v>3.5196</v>
      </c>
      <c r="L5052" s="10">
        <v>8.380000000000001</v>
      </c>
      <c r="M5052" s="6" t="s">
        <v>430</v>
      </c>
    </row>
    <row r="5053" spans="1:13">
      <c r="A5053" s="6">
        <v>2025</v>
      </c>
      <c r="B5053" s="6">
        <v>1</v>
      </c>
      <c r="C5053" s="6" t="s">
        <v>59</v>
      </c>
      <c r="D5053" s="6" t="s">
        <v>40</v>
      </c>
      <c r="E5053" s="6" t="s">
        <v>736</v>
      </c>
      <c r="F5053" s="6" t="str">
        <f>IF($M5053="PADD I","PADD 1",IF($M5053="PADD II","PADD 2",IF($M5053="PADD III","PADD 3",IF($M5053="PADD IV","PADD 4",IF($M5053="PADD V","PADD 5","")))))</f>
        <v>PADD 1</v>
      </c>
      <c r="G5053" s="6">
        <f>IF(AND($H5053="ATMOS DISTILLATION",ISNUMBER(SEARCH("VPS",$I5053))=FALSE,LEFT($I5053,6)&lt;&gt;"VACUUM"),"CDU",IF($H5053="FLUID CAT CRACKING","FCC",IF(OR($H5053="HYDROCRACKING",$H5053="RESID_HYDROCRACKING"),"Hydrocracker",IF($H5053="REFORMING","Reformer",""))))</f>
        <v/>
      </c>
      <c r="H5053" s="6" t="s">
        <v>460</v>
      </c>
      <c r="I5053" s="6" t="s">
        <v>760</v>
      </c>
      <c r="J5053" s="6" t="s">
        <v>349</v>
      </c>
      <c r="K5053" s="10">
        <v>3.48</v>
      </c>
      <c r="L5053" s="10">
        <v>12</v>
      </c>
      <c r="M5053" s="6" t="s">
        <v>413</v>
      </c>
    </row>
    <row r="5054" spans="1:13">
      <c r="A5054" s="6">
        <v>2025</v>
      </c>
      <c r="B5054" s="6">
        <v>1</v>
      </c>
      <c r="C5054" s="6" t="s">
        <v>59</v>
      </c>
      <c r="D5054" s="6" t="s">
        <v>328</v>
      </c>
      <c r="E5054" s="6" t="s">
        <v>416</v>
      </c>
      <c r="F5054" s="6" t="str">
        <f>IF($M5054="PADD I","PADD 1",IF($M5054="PADD II","PADD 2",IF($M5054="PADD III","PADD 3",IF($M5054="PADD IV","PADD 4",IF($M5054="PADD V","PADD 5","")))))</f>
        <v>PADD 2</v>
      </c>
      <c r="G5054" s="6">
        <f>IF(AND($H5054="ATMOS DISTILLATION",ISNUMBER(SEARCH("VPS",$I5054))=FALSE,LEFT($I5054,6)&lt;&gt;"VACUUM"),"CDU",IF($H5054="FLUID CAT CRACKING","FCC",IF(OR($H5054="HYDROCRACKING",$H5054="RESID_HYDROCRACKING"),"Hydrocracker",IF($H5054="REFORMING","Reformer",""))))</f>
        <v/>
      </c>
      <c r="H5054" s="6" t="s">
        <v>435</v>
      </c>
      <c r="I5054" s="6" t="s">
        <v>1059</v>
      </c>
      <c r="J5054" s="6" t="s">
        <v>349</v>
      </c>
      <c r="K5054" s="10">
        <v>3.2604</v>
      </c>
      <c r="L5054" s="10">
        <v>12.54</v>
      </c>
      <c r="M5054" s="6" t="s">
        <v>375</v>
      </c>
    </row>
    <row r="5055" spans="1:13">
      <c r="A5055" s="6">
        <v>2025</v>
      </c>
      <c r="B5055" s="6">
        <v>1</v>
      </c>
      <c r="C5055" s="6" t="s">
        <v>59</v>
      </c>
      <c r="D5055" s="6" t="s">
        <v>434</v>
      </c>
      <c r="E5055" s="6" t="s">
        <v>388</v>
      </c>
      <c r="F5055" s="6" t="str">
        <f>IF($M5055="PADD I","PADD 1",IF($M5055="PADD II","PADD 2",IF($M5055="PADD III","PADD 3",IF($M5055="PADD IV","PADD 4",IF($M5055="PADD V","PADD 5","")))))</f>
        <v>PADD 5</v>
      </c>
      <c r="G5055" s="6">
        <f>IF(AND($H5055="ATMOS DISTILLATION",ISNUMBER(SEARCH("VPS",$I5055))=FALSE,LEFT($I5055,6)&lt;&gt;"VACUUM"),"CDU",IF($H5055="FLUID CAT CRACKING","FCC",IF(OR($H5055="HYDROCRACKING",$H5055="RESID_HYDROCRACKING"),"Hydrocracker",IF($H5055="REFORMING","Reformer",""))))</f>
        <v/>
      </c>
      <c r="H5055" s="6" t="s">
        <v>43</v>
      </c>
      <c r="I5055" s="6" t="s">
        <v>903</v>
      </c>
      <c r="J5055" s="6" t="s">
        <v>345</v>
      </c>
      <c r="K5055" s="10">
        <v>3.25</v>
      </c>
      <c r="L5055" s="10">
        <v>25</v>
      </c>
      <c r="M5055" s="6" t="s">
        <v>386</v>
      </c>
    </row>
    <row r="5056" spans="1:13">
      <c r="A5056" s="6">
        <v>2025</v>
      </c>
      <c r="B5056" s="6">
        <v>1</v>
      </c>
      <c r="C5056" s="6" t="s">
        <v>59</v>
      </c>
      <c r="D5056" s="6" t="s">
        <v>434</v>
      </c>
      <c r="E5056" s="6" t="s">
        <v>388</v>
      </c>
      <c r="F5056" s="6" t="str">
        <f>IF($M5056="PADD I","PADD 1",IF($M5056="PADD II","PADD 2",IF($M5056="PADD III","PADD 3",IF($M5056="PADD IV","PADD 4",IF($M5056="PADD V","PADD 5","")))))</f>
        <v>PADD 5</v>
      </c>
      <c r="G5056" s="6">
        <f>IF(AND($H5056="ATMOS DISTILLATION",ISNUMBER(SEARCH("VPS",$I5056))=FALSE,LEFT($I5056,6)&lt;&gt;"VACUUM"),"CDU",IF($H5056="FLUID CAT CRACKING","FCC",IF(OR($H5056="HYDROCRACKING",$H5056="RESID_HYDROCRACKING"),"Hydrocracker",IF($H5056="REFORMING","Reformer",""))))</f>
        <v/>
      </c>
      <c r="H5056" s="6" t="s">
        <v>43</v>
      </c>
      <c r="I5056" s="6" t="s">
        <v>905</v>
      </c>
      <c r="J5056" s="6" t="s">
        <v>345</v>
      </c>
      <c r="K5056" s="10">
        <v>3.25</v>
      </c>
      <c r="L5056" s="10">
        <v>25</v>
      </c>
      <c r="M5056" s="6" t="s">
        <v>386</v>
      </c>
    </row>
    <row r="5057" spans="1:13">
      <c r="A5057" s="6">
        <v>2025</v>
      </c>
      <c r="B5057" s="6">
        <v>1</v>
      </c>
      <c r="C5057" s="6" t="s">
        <v>59</v>
      </c>
      <c r="D5057" s="6" t="s">
        <v>662</v>
      </c>
      <c r="E5057" s="6" t="s">
        <v>552</v>
      </c>
      <c r="F5057" s="6" t="str">
        <f>IF($M5057="PADD I","PADD 1",IF($M5057="PADD II","PADD 2",IF($M5057="PADD III","PADD 3",IF($M5057="PADD IV","PADD 4",IF($M5057="PADD V","PADD 5","")))))</f>
        <v>PADD 3</v>
      </c>
      <c r="G5057" s="6" t="str">
        <f>IF(AND($H5057="ATMOS DISTILLATION",ISNUMBER(SEARCH("VPS",$I5057))=FALSE,LEFT($I5057,6)&lt;&gt;"VACUUM"),"CDU",IF($H5057="FLUID CAT CRACKING","FCC",IF(OR($H5057="HYDROCRACKING",$H5057="RESID_HYDROCRACKING"),"Hydrocracker",IF($H5057="REFORMING","Reformer",""))))</f>
        <v>FCC</v>
      </c>
      <c r="H5057" s="6" t="s">
        <v>376</v>
      </c>
      <c r="I5057" s="6" t="s">
        <v>105</v>
      </c>
      <c r="J5057" s="6" t="s">
        <v>349</v>
      </c>
      <c r="K5057" s="10">
        <v>3.25</v>
      </c>
      <c r="L5057" s="10">
        <v>25</v>
      </c>
      <c r="M5057" s="6" t="s">
        <v>371</v>
      </c>
    </row>
    <row r="5058" spans="1:13">
      <c r="A5058" s="6">
        <v>2025</v>
      </c>
      <c r="B5058" s="6">
        <v>1</v>
      </c>
      <c r="C5058" s="6" t="s">
        <v>59</v>
      </c>
      <c r="D5058" s="6" t="s">
        <v>40</v>
      </c>
      <c r="E5058" s="6" t="s">
        <v>736</v>
      </c>
      <c r="F5058" s="6" t="str">
        <f>IF($M5058="PADD I","PADD 1",IF($M5058="PADD II","PADD 2",IF($M5058="PADD III","PADD 3",IF($M5058="PADD IV","PADD 4",IF($M5058="PADD V","PADD 5","")))))</f>
        <v>PADD 1</v>
      </c>
      <c r="G5058" s="6" t="str">
        <f>IF(AND($H5058="ATMOS DISTILLATION",ISNUMBER(SEARCH("VPS",$I5058))=FALSE,LEFT($I5058,6)&lt;&gt;"VACUUM"),"CDU",IF($H5058="FLUID CAT CRACKING","FCC",IF(OR($H5058="HYDROCRACKING",$H5058="RESID_HYDROCRACKING"),"Hydrocracker",IF($H5058="REFORMING","Reformer",""))))</f>
        <v>CDU</v>
      </c>
      <c r="H5058" s="6" t="s">
        <v>38</v>
      </c>
      <c r="I5058" s="6" t="s">
        <v>980</v>
      </c>
      <c r="J5058" s="6" t="s">
        <v>345</v>
      </c>
      <c r="K5058" s="10">
        <v>3.12</v>
      </c>
      <c r="L5058" s="10">
        <v>104</v>
      </c>
      <c r="M5058" s="6" t="s">
        <v>413</v>
      </c>
    </row>
    <row r="5059" spans="1:13">
      <c r="A5059" s="6">
        <v>2025</v>
      </c>
      <c r="B5059" s="6">
        <v>1</v>
      </c>
      <c r="C5059" s="6" t="s">
        <v>59</v>
      </c>
      <c r="D5059" s="6" t="s">
        <v>887</v>
      </c>
      <c r="E5059" s="6" t="s">
        <v>405</v>
      </c>
      <c r="F5059" s="6" t="str">
        <f>IF($M5059="PADD I","PADD 1",IF($M5059="PADD II","PADD 2",IF($M5059="PADD III","PADD 3",IF($M5059="PADD IV","PADD 4",IF($M5059="PADD V","PADD 5","")))))</f>
        <v>PADD 3</v>
      </c>
      <c r="G5059" s="6" t="str">
        <f>IF(AND($H5059="ATMOS DISTILLATION",ISNUMBER(SEARCH("VPS",$I5059))=FALSE,LEFT($I5059,6)&lt;&gt;"VACUUM"),"CDU",IF($H5059="FLUID CAT CRACKING","FCC",IF(OR($H5059="HYDROCRACKING",$H5059="RESID_HYDROCRACKING"),"Hydrocracker",IF($H5059="REFORMING","Reformer",""))))</f>
        <v>Hydrocracker</v>
      </c>
      <c r="H5059" s="6" t="s">
        <v>444</v>
      </c>
      <c r="I5059" s="6" t="s">
        <v>1022</v>
      </c>
      <c r="J5059" s="6" t="s">
        <v>345</v>
      </c>
      <c r="K5059" s="10">
        <v>3</v>
      </c>
      <c r="L5059" s="10">
        <v>30</v>
      </c>
      <c r="M5059" s="6" t="s">
        <v>371</v>
      </c>
    </row>
    <row r="5060" spans="1:13">
      <c r="A5060" s="6">
        <v>2025</v>
      </c>
      <c r="B5060" s="6">
        <v>1</v>
      </c>
      <c r="C5060" s="6" t="s">
        <v>59</v>
      </c>
      <c r="D5060" s="6" t="s">
        <v>434</v>
      </c>
      <c r="E5060" s="6" t="s">
        <v>388</v>
      </c>
      <c r="F5060" s="6" t="str">
        <f>IF($M5060="PADD I","PADD 1",IF($M5060="PADD II","PADD 2",IF($M5060="PADD III","PADD 3",IF($M5060="PADD IV","PADD 4",IF($M5060="PADD V","PADD 5","")))))</f>
        <v>PADD 5</v>
      </c>
      <c r="G5060" s="6" t="str">
        <f>IF(AND($H5060="ATMOS DISTILLATION",ISNUMBER(SEARCH("VPS",$I5060))=FALSE,LEFT($I5060,6)&lt;&gt;"VACUUM"),"CDU",IF($H5060="FLUID CAT CRACKING","FCC",IF(OR($H5060="HYDROCRACKING",$H5060="RESID_HYDROCRACKING"),"Hydrocracker",IF($H5060="REFORMING","Reformer",""))))</f>
        <v>Reformer</v>
      </c>
      <c r="H5060" s="6" t="s">
        <v>421</v>
      </c>
      <c r="I5060" s="6" t="s">
        <v>671</v>
      </c>
      <c r="J5060" s="6" t="s">
        <v>345</v>
      </c>
      <c r="K5060" s="10">
        <v>2.99</v>
      </c>
      <c r="L5060" s="10">
        <v>13</v>
      </c>
      <c r="M5060" s="6" t="s">
        <v>386</v>
      </c>
    </row>
    <row r="5061" spans="1:13">
      <c r="A5061" s="6">
        <v>2025</v>
      </c>
      <c r="B5061" s="6">
        <v>1</v>
      </c>
      <c r="C5061" s="6" t="s">
        <v>59</v>
      </c>
      <c r="D5061" s="6" t="s">
        <v>662</v>
      </c>
      <c r="E5061" s="6" t="s">
        <v>552</v>
      </c>
      <c r="F5061" s="6" t="str">
        <f>IF($M5061="PADD I","PADD 1",IF($M5061="PADD II","PADD 2",IF($M5061="PADD III","PADD 3",IF($M5061="PADD IV","PADD 4",IF($M5061="PADD V","PADD 5","")))))</f>
        <v>PADD 3</v>
      </c>
      <c r="G5061" s="6">
        <f>IF(AND($H5061="ATMOS DISTILLATION",ISNUMBER(SEARCH("VPS",$I5061))=FALSE,LEFT($I5061,6)&lt;&gt;"VACUUM"),"CDU",IF($H5061="FLUID CAT CRACKING","FCC",IF(OR($H5061="HYDROCRACKING",$H5061="RESID_HYDROCRACKING"),"Hydrocracker",IF($H5061="REFORMING","Reformer",""))))</f>
        <v/>
      </c>
      <c r="H5061" s="6" t="s">
        <v>43</v>
      </c>
      <c r="I5061" s="6" t="s">
        <v>735</v>
      </c>
      <c r="J5061" s="6" t="s">
        <v>349</v>
      </c>
      <c r="K5061" s="10">
        <v>2.99</v>
      </c>
      <c r="L5061" s="10">
        <v>23</v>
      </c>
      <c r="M5061" s="6" t="s">
        <v>371</v>
      </c>
    </row>
    <row r="5062" spans="1:13">
      <c r="A5062" s="6">
        <v>2025</v>
      </c>
      <c r="B5062" s="6">
        <v>1</v>
      </c>
      <c r="C5062" s="6" t="s">
        <v>59</v>
      </c>
      <c r="D5062" s="6" t="s">
        <v>1223</v>
      </c>
      <c r="E5062" s="6" t="s">
        <v>1039</v>
      </c>
      <c r="F5062" s="6" t="str">
        <f>IF($M5062="PADD I","PADD 1",IF($M5062="PADD II","PADD 2",IF($M5062="PADD III","PADD 3",IF($M5062="PADD IV","PADD 4",IF($M5062="PADD V","PADD 5","")))))</f>
        <v>PADD 2</v>
      </c>
      <c r="G5062" s="6" t="str">
        <f>IF(AND($H5062="ATMOS DISTILLATION",ISNUMBER(SEARCH("VPS",$I5062))=FALSE,LEFT($I5062,6)&lt;&gt;"VACUUM"),"CDU",IF($H5062="FLUID CAT CRACKING","FCC",IF(OR($H5062="HYDROCRACKING",$H5062="RESID_HYDROCRACKING"),"Hydrocracker",IF($H5062="REFORMING","Reformer",""))))</f>
        <v>Reformer</v>
      </c>
      <c r="H5062" s="6" t="s">
        <v>421</v>
      </c>
      <c r="I5062" s="6" t="s">
        <v>15</v>
      </c>
      <c r="J5062" s="6" t="s">
        <v>345</v>
      </c>
      <c r="K5062" s="10">
        <v>2.8875</v>
      </c>
      <c r="L5062" s="10">
        <v>8.25</v>
      </c>
      <c r="M5062" s="6" t="s">
        <v>375</v>
      </c>
    </row>
    <row r="5063" spans="1:13">
      <c r="A5063" s="6">
        <v>2025</v>
      </c>
      <c r="B5063" s="6">
        <v>1</v>
      </c>
      <c r="C5063" s="6" t="s">
        <v>59</v>
      </c>
      <c r="D5063" s="6" t="s">
        <v>887</v>
      </c>
      <c r="E5063" s="6" t="s">
        <v>405</v>
      </c>
      <c r="F5063" s="6" t="str">
        <f>IF($M5063="PADD I","PADD 1",IF($M5063="PADD II","PADD 2",IF($M5063="PADD III","PADD 3",IF($M5063="PADD IV","PADD 4",IF($M5063="PADD V","PADD 5","")))))</f>
        <v>PADD 3</v>
      </c>
      <c r="G5063" s="6">
        <f>IF(AND($H5063="ATMOS DISTILLATION",ISNUMBER(SEARCH("VPS",$I5063))=FALSE,LEFT($I5063,6)&lt;&gt;"VACUUM"),"CDU",IF($H5063="FLUID CAT CRACKING","FCC",IF(OR($H5063="HYDROCRACKING",$H5063="RESID_HYDROCRACKING"),"Hydrocracker",IF($H5063="REFORMING","Reformer",""))))</f>
        <v/>
      </c>
      <c r="H5063" s="6" t="s">
        <v>637</v>
      </c>
      <c r="I5063" s="6" t="s">
        <v>1278</v>
      </c>
      <c r="J5063" s="6" t="s">
        <v>345</v>
      </c>
      <c r="K5063" s="10">
        <v>2.85</v>
      </c>
      <c r="L5063" s="10">
        <v>15</v>
      </c>
      <c r="M5063" s="6" t="s">
        <v>371</v>
      </c>
    </row>
    <row r="5064" spans="1:13">
      <c r="A5064" s="6">
        <v>2025</v>
      </c>
      <c r="B5064" s="6">
        <v>1</v>
      </c>
      <c r="C5064" s="6" t="s">
        <v>59</v>
      </c>
      <c r="D5064" s="6" t="s">
        <v>662</v>
      </c>
      <c r="E5064" s="6" t="s">
        <v>552</v>
      </c>
      <c r="F5064" s="6" t="str">
        <f>IF($M5064="PADD I","PADD 1",IF($M5064="PADD II","PADD 2",IF($M5064="PADD III","PADD 3",IF($M5064="PADD IV","PADD 4",IF($M5064="PADD V","PADD 5","")))))</f>
        <v>PADD 3</v>
      </c>
      <c r="G5064" s="6" t="str">
        <f>IF(AND($H5064="ATMOS DISTILLATION",ISNUMBER(SEARCH("VPS",$I5064))=FALSE,LEFT($I5064,6)&lt;&gt;"VACUUM"),"CDU",IF($H5064="FLUID CAT CRACKING","FCC",IF(OR($H5064="HYDROCRACKING",$H5064="RESID_HYDROCRACKING"),"Hydrocracker",IF($H5064="REFORMING","Reformer",""))))</f>
        <v>Reformer</v>
      </c>
      <c r="H5064" s="6" t="s">
        <v>421</v>
      </c>
      <c r="I5064" s="6" t="s">
        <v>1049</v>
      </c>
      <c r="J5064" s="6" t="s">
        <v>349</v>
      </c>
      <c r="K5064" s="10">
        <v>2.795</v>
      </c>
      <c r="L5064" s="10">
        <v>21.5</v>
      </c>
      <c r="M5064" s="6" t="s">
        <v>371</v>
      </c>
    </row>
    <row r="5065" spans="1:13">
      <c r="A5065" s="6">
        <v>2025</v>
      </c>
      <c r="B5065" s="6">
        <v>1</v>
      </c>
      <c r="C5065" s="6" t="s">
        <v>59</v>
      </c>
      <c r="D5065" s="6" t="s">
        <v>1155</v>
      </c>
      <c r="E5065" s="6" t="s">
        <v>1156</v>
      </c>
      <c r="F5065" s="6" t="str">
        <f>IF($M5065="PADD I","PADD 1",IF($M5065="PADD II","PADD 2",IF($M5065="PADD III","PADD 3",IF($M5065="PADD IV","PADD 4",IF($M5065="PADD V","PADD 5","")))))</f>
        <v>PADD 5</v>
      </c>
      <c r="G5065" s="6" t="str">
        <f>IF(AND($H5065="ATMOS DISTILLATION",ISNUMBER(SEARCH("VPS",$I5065))=FALSE,LEFT($I5065,6)&lt;&gt;"VACUUM"),"CDU",IF($H5065="FLUID CAT CRACKING","FCC",IF(OR($H5065="HYDROCRACKING",$H5065="RESID_HYDROCRACKING"),"Hydrocracker",IF($H5065="REFORMING","Reformer",""))))</f>
        <v>CDU</v>
      </c>
      <c r="H5065" s="6" t="s">
        <v>38</v>
      </c>
      <c r="I5065" s="6" t="s">
        <v>81</v>
      </c>
      <c r="J5065" s="6" t="s">
        <v>349</v>
      </c>
      <c r="K5065" s="10">
        <v>2.72</v>
      </c>
      <c r="L5065" s="10">
        <v>8.5</v>
      </c>
      <c r="M5065" s="6" t="s">
        <v>386</v>
      </c>
    </row>
    <row r="5066" spans="1:13">
      <c r="A5066" s="6">
        <v>2025</v>
      </c>
      <c r="B5066" s="6">
        <v>1</v>
      </c>
      <c r="C5066" s="6" t="s">
        <v>59</v>
      </c>
      <c r="D5066" s="6" t="s">
        <v>878</v>
      </c>
      <c r="E5066" s="6" t="s">
        <v>452</v>
      </c>
      <c r="F5066" s="6" t="str">
        <f>IF($M5066="PADD I","PADD 1",IF($M5066="PADD II","PADD 2",IF($M5066="PADD III","PADD 3",IF($M5066="PADD IV","PADD 4",IF($M5066="PADD V","PADD 5","")))))</f>
        <v>PADD 2</v>
      </c>
      <c r="G5066" s="6">
        <f>IF(AND($H5066="ATMOS DISTILLATION",ISNUMBER(SEARCH("VPS",$I5066))=FALSE,LEFT($I5066,6)&lt;&gt;"VACUUM"),"CDU",IF($H5066="FLUID CAT CRACKING","FCC",IF(OR($H5066="HYDROCRACKING",$H5066="RESID_HYDROCRACKING"),"Hydrocracker",IF($H5066="REFORMING","Reformer",""))))</f>
        <v/>
      </c>
      <c r="H5066" s="6" t="s">
        <v>435</v>
      </c>
      <c r="I5066" s="6" t="s">
        <v>441</v>
      </c>
      <c r="J5066" s="6" t="s">
        <v>345</v>
      </c>
      <c r="K5066" s="10">
        <v>2.72</v>
      </c>
      <c r="L5066" s="10">
        <v>8.5</v>
      </c>
      <c r="M5066" s="6" t="s">
        <v>375</v>
      </c>
    </row>
    <row r="5067" spans="1:13">
      <c r="A5067" s="6">
        <v>2025</v>
      </c>
      <c r="B5067" s="6">
        <v>1</v>
      </c>
      <c r="C5067" s="6" t="s">
        <v>59</v>
      </c>
      <c r="D5067" s="6" t="s">
        <v>398</v>
      </c>
      <c r="E5067" s="6" t="s">
        <v>399</v>
      </c>
      <c r="F5067" s="6" t="str">
        <f>IF($M5067="PADD I","PADD 1",IF($M5067="PADD II","PADD 2",IF($M5067="PADD III","PADD 3",IF($M5067="PADD IV","PADD 4",IF($M5067="PADD V","PADD 5","")))))</f>
        <v>PADD 3</v>
      </c>
      <c r="G5067" s="6" t="str">
        <f>IF(AND($H5067="ATMOS DISTILLATION",ISNUMBER(SEARCH("VPS",$I5067))=FALSE,LEFT($I5067,6)&lt;&gt;"VACUUM"),"CDU",IF($H5067="FLUID CAT CRACKING","FCC",IF(OR($H5067="HYDROCRACKING",$H5067="RESID_HYDROCRACKING"),"Hydrocracker",IF($H5067="REFORMING","Reformer",""))))</f>
        <v>FCC</v>
      </c>
      <c r="H5067" s="6" t="s">
        <v>376</v>
      </c>
      <c r="I5067" s="6" t="s">
        <v>1036</v>
      </c>
      <c r="J5067" s="6" t="s">
        <v>345</v>
      </c>
      <c r="K5067" s="10">
        <v>2.7</v>
      </c>
      <c r="L5067" s="10">
        <v>90</v>
      </c>
      <c r="M5067" s="6" t="s">
        <v>371</v>
      </c>
    </row>
    <row r="5068" spans="1:13">
      <c r="A5068" s="6">
        <v>2025</v>
      </c>
      <c r="B5068" s="6">
        <v>1</v>
      </c>
      <c r="C5068" s="6" t="s">
        <v>59</v>
      </c>
      <c r="D5068" s="6" t="s">
        <v>774</v>
      </c>
      <c r="E5068" s="6" t="s">
        <v>775</v>
      </c>
      <c r="F5068" s="6" t="str">
        <f>IF($M5068="PADD I","PADD 1",IF($M5068="PADD II","PADD 2",IF($M5068="PADD III","PADD 3",IF($M5068="PADD IV","PADD 4",IF($M5068="PADD V","PADD 5","")))))</f>
        <v>PADD 1</v>
      </c>
      <c r="G5068" s="6">
        <f>IF(AND($H5068="ATMOS DISTILLATION",ISNUMBER(SEARCH("VPS",$I5068))=FALSE,LEFT($I5068,6)&lt;&gt;"VACUUM"),"CDU",IF($H5068="FLUID CAT CRACKING","FCC",IF(OR($H5068="HYDROCRACKING",$H5068="RESID_HYDROCRACKING"),"Hydrocracker",IF($H5068="REFORMING","Reformer",""))))</f>
        <v/>
      </c>
      <c r="H5068" s="6" t="s">
        <v>43</v>
      </c>
      <c r="I5068" s="6" t="s">
        <v>1153</v>
      </c>
      <c r="J5068" s="6" t="s">
        <v>345</v>
      </c>
      <c r="K5068" s="10">
        <v>2.66</v>
      </c>
      <c r="L5068" s="10">
        <v>14</v>
      </c>
      <c r="M5068" s="6" t="s">
        <v>413</v>
      </c>
    </row>
    <row r="5069" spans="1:13">
      <c r="A5069" s="6">
        <v>2025</v>
      </c>
      <c r="B5069" s="6">
        <v>1</v>
      </c>
      <c r="C5069" s="6" t="s">
        <v>59</v>
      </c>
      <c r="D5069" s="6" t="s">
        <v>610</v>
      </c>
      <c r="E5069" s="6" t="s">
        <v>611</v>
      </c>
      <c r="F5069" s="6" t="str">
        <f>IF($M5069="PADD I","PADD 1",IF($M5069="PADD II","PADD 2",IF($M5069="PADD III","PADD 3",IF($M5069="PADD IV","PADD 4",IF($M5069="PADD V","PADD 5","")))))</f>
        <v>PADD 2</v>
      </c>
      <c r="G5069" s="6">
        <f>IF(AND($H5069="ATMOS DISTILLATION",ISNUMBER(SEARCH("VPS",$I5069))=FALSE,LEFT($I5069,6)&lt;&gt;"VACUUM"),"CDU",IF($H5069="FLUID CAT CRACKING","FCC",IF(OR($H5069="HYDROCRACKING",$H5069="RESID_HYDROCRACKING"),"Hydrocracker",IF($H5069="REFORMING","Reformer",""))))</f>
        <v/>
      </c>
      <c r="H5069" s="6" t="s">
        <v>460</v>
      </c>
      <c r="I5069" s="6" t="s">
        <v>616</v>
      </c>
      <c r="J5069" s="6" t="s">
        <v>349</v>
      </c>
      <c r="K5069" s="10">
        <v>2.56</v>
      </c>
      <c r="L5069" s="10">
        <v>8</v>
      </c>
      <c r="M5069" s="6" t="s">
        <v>375</v>
      </c>
    </row>
    <row r="5070" spans="1:13">
      <c r="A5070" s="6">
        <v>2025</v>
      </c>
      <c r="B5070" s="6">
        <v>1</v>
      </c>
      <c r="C5070" s="6" t="s">
        <v>59</v>
      </c>
      <c r="D5070" s="6" t="s">
        <v>887</v>
      </c>
      <c r="E5070" s="6" t="s">
        <v>405</v>
      </c>
      <c r="F5070" s="6" t="str">
        <f>IF($M5070="PADD I","PADD 1",IF($M5070="PADD II","PADD 2",IF($M5070="PADD III","PADD 3",IF($M5070="PADD IV","PADD 4",IF($M5070="PADD V","PADD 5","")))))</f>
        <v>PADD 3</v>
      </c>
      <c r="G5070" s="6" t="str">
        <f>IF(AND($H5070="ATMOS DISTILLATION",ISNUMBER(SEARCH("VPS",$I5070))=FALSE,LEFT($I5070,6)&lt;&gt;"VACUUM"),"CDU",IF($H5070="FLUID CAT CRACKING","FCC",IF(OR($H5070="HYDROCRACKING",$H5070="RESID_HYDROCRACKING"),"Hydrocracker",IF($H5070="REFORMING","Reformer",""))))</f>
        <v>Reformer</v>
      </c>
      <c r="H5070" s="6" t="s">
        <v>421</v>
      </c>
      <c r="I5070" s="6" t="s">
        <v>539</v>
      </c>
      <c r="J5070" s="6" t="s">
        <v>345</v>
      </c>
      <c r="K5070" s="10">
        <v>2.3</v>
      </c>
      <c r="L5070" s="10">
        <v>23</v>
      </c>
      <c r="M5070" s="6" t="s">
        <v>371</v>
      </c>
    </row>
    <row r="5071" spans="1:13">
      <c r="A5071" s="6">
        <v>2025</v>
      </c>
      <c r="B5071" s="6">
        <v>1</v>
      </c>
      <c r="C5071" s="6" t="s">
        <v>59</v>
      </c>
      <c r="D5071" s="6" t="s">
        <v>887</v>
      </c>
      <c r="E5071" s="6" t="s">
        <v>405</v>
      </c>
      <c r="F5071" s="6" t="str">
        <f>IF($M5071="PADD I","PADD 1",IF($M5071="PADD II","PADD 2",IF($M5071="PADD III","PADD 3",IF($M5071="PADD IV","PADD 4",IF($M5071="PADD V","PADD 5","")))))</f>
        <v>PADD 3</v>
      </c>
      <c r="G5071" s="6">
        <f>IF(AND($H5071="ATMOS DISTILLATION",ISNUMBER(SEARCH("VPS",$I5071))=FALSE,LEFT($I5071,6)&lt;&gt;"VACUUM"),"CDU",IF($H5071="FLUID CAT CRACKING","FCC",IF(OR($H5071="HYDROCRACKING",$H5071="RESID_HYDROCRACKING"),"Hydrocracker",IF($H5071="REFORMING","Reformer",""))))</f>
        <v/>
      </c>
      <c r="H5071" s="6" t="s">
        <v>460</v>
      </c>
      <c r="I5071" s="6" t="s">
        <v>616</v>
      </c>
      <c r="J5071" s="6" t="s">
        <v>349</v>
      </c>
      <c r="K5071" s="10">
        <v>2.275</v>
      </c>
      <c r="L5071" s="10">
        <v>6.5</v>
      </c>
      <c r="M5071" s="6" t="s">
        <v>371</v>
      </c>
    </row>
    <row r="5072" spans="1:13">
      <c r="A5072" s="6">
        <v>2025</v>
      </c>
      <c r="B5072" s="6">
        <v>1</v>
      </c>
      <c r="C5072" s="6" t="s">
        <v>59</v>
      </c>
      <c r="D5072" s="6" t="s">
        <v>1155</v>
      </c>
      <c r="E5072" s="6" t="s">
        <v>1156</v>
      </c>
      <c r="F5072" s="6" t="str">
        <f>IF($M5072="PADD I","PADD 1",IF($M5072="PADD II","PADD 2",IF($M5072="PADD III","PADD 3",IF($M5072="PADD IV","PADD 4",IF($M5072="PADD V","PADD 5","")))))</f>
        <v>PADD 5</v>
      </c>
      <c r="G5072" s="6">
        <f>IF(AND($H5072="ATMOS DISTILLATION",ISNUMBER(SEARCH("VPS",$I5072))=FALSE,LEFT($I5072,6)&lt;&gt;"VACUUM"),"CDU",IF($H5072="FLUID CAT CRACKING","FCC",IF(OR($H5072="HYDROCRACKING",$H5072="RESID_HYDROCRACKING"),"Hydrocracker",IF($H5072="REFORMING","Reformer",""))))</f>
        <v/>
      </c>
      <c r="H5072" s="6" t="s">
        <v>378</v>
      </c>
      <c r="I5072" s="6" t="s">
        <v>431</v>
      </c>
      <c r="J5072" s="6" t="s">
        <v>349</v>
      </c>
      <c r="K5072" s="10">
        <v>2.24</v>
      </c>
      <c r="L5072" s="10">
        <v>7</v>
      </c>
      <c r="M5072" s="6" t="s">
        <v>386</v>
      </c>
    </row>
    <row r="5073" spans="1:13">
      <c r="A5073" s="6">
        <v>2025</v>
      </c>
      <c r="B5073" s="6">
        <v>1</v>
      </c>
      <c r="C5073" s="6" t="s">
        <v>59</v>
      </c>
      <c r="D5073" s="6" t="s">
        <v>887</v>
      </c>
      <c r="E5073" s="6" t="s">
        <v>405</v>
      </c>
      <c r="F5073" s="6" t="str">
        <f>IF($M5073="PADD I","PADD 1",IF($M5073="PADD II","PADD 2",IF($M5073="PADD III","PADD 3",IF($M5073="PADD IV","PADD 4",IF($M5073="PADD V","PADD 5","")))))</f>
        <v>PADD 3</v>
      </c>
      <c r="G5073" s="6">
        <f>IF(AND($H5073="ATMOS DISTILLATION",ISNUMBER(SEARCH("VPS",$I5073))=FALSE,LEFT($I5073,6)&lt;&gt;"VACUUM"),"CDU",IF($H5073="FLUID CAT CRACKING","FCC",IF(OR($H5073="HYDROCRACKING",$H5073="RESID_HYDROCRACKING"),"Hydrocracker",IF($H5073="REFORMING","Reformer",""))))</f>
        <v/>
      </c>
      <c r="H5073" s="6" t="s">
        <v>637</v>
      </c>
      <c r="I5073" s="6" t="s">
        <v>1279</v>
      </c>
      <c r="J5073" s="6" t="s">
        <v>349</v>
      </c>
      <c r="K5073" s="10">
        <v>2.1</v>
      </c>
      <c r="L5073" s="10">
        <v>6</v>
      </c>
      <c r="M5073" s="6" t="s">
        <v>371</v>
      </c>
    </row>
    <row r="5074" spans="1:13">
      <c r="A5074" s="6">
        <v>2025</v>
      </c>
      <c r="B5074" s="6">
        <v>1</v>
      </c>
      <c r="C5074" s="6" t="s">
        <v>59</v>
      </c>
      <c r="D5074" s="6" t="s">
        <v>437</v>
      </c>
      <c r="E5074" s="6" t="s">
        <v>438</v>
      </c>
      <c r="F5074" s="6" t="str">
        <f>IF($M5074="PADD I","PADD 1",IF($M5074="PADD II","PADD 2",IF($M5074="PADD III","PADD 3",IF($M5074="PADD IV","PADD 4",IF($M5074="PADD V","PADD 5","")))))</f>
        <v>PADD 4</v>
      </c>
      <c r="G5074" s="6">
        <f>IF(AND($H5074="ATMOS DISTILLATION",ISNUMBER(SEARCH("VPS",$I5074))=FALSE,LEFT($I5074,6)&lt;&gt;"VACUUM"),"CDU",IF($H5074="FLUID CAT CRACKING","FCC",IF(OR($H5074="HYDROCRACKING",$H5074="RESID_HYDROCRACKING"),"Hydrocracker",IF($H5074="REFORMING","Reformer",""))))</f>
        <v/>
      </c>
      <c r="H5074" s="6" t="s">
        <v>43</v>
      </c>
      <c r="I5074" s="6" t="s">
        <v>493</v>
      </c>
      <c r="J5074" s="6" t="s">
        <v>345</v>
      </c>
      <c r="K5074" s="10">
        <v>2.1</v>
      </c>
      <c r="L5074" s="10">
        <v>21</v>
      </c>
      <c r="M5074" s="6" t="s">
        <v>430</v>
      </c>
    </row>
    <row r="5075" spans="1:13">
      <c r="A5075" s="6">
        <v>2025</v>
      </c>
      <c r="B5075" s="6">
        <v>1</v>
      </c>
      <c r="C5075" s="6" t="s">
        <v>59</v>
      </c>
      <c r="D5075" s="6" t="s">
        <v>628</v>
      </c>
      <c r="E5075" s="6" t="s">
        <v>388</v>
      </c>
      <c r="F5075" s="6" t="str">
        <f>IF($M5075="PADD I","PADD 1",IF($M5075="PADD II","PADD 2",IF($M5075="PADD III","PADD 3",IF($M5075="PADD IV","PADD 4",IF($M5075="PADD V","PADD 5","")))))</f>
        <v>PADD 3</v>
      </c>
      <c r="G5075" s="6" t="str">
        <f>IF(AND($H5075="ATMOS DISTILLATION",ISNUMBER(SEARCH("VPS",$I5075))=FALSE,LEFT($I5075,6)&lt;&gt;"VACUUM"),"CDU",IF($H5075="FLUID CAT CRACKING","FCC",IF(OR($H5075="HYDROCRACKING",$H5075="RESID_HYDROCRACKING"),"Hydrocracker",IF($H5075="REFORMING","Reformer",""))))</f>
        <v>CDU</v>
      </c>
      <c r="H5075" s="6" t="s">
        <v>38</v>
      </c>
      <c r="I5075" s="6" t="s">
        <v>1048</v>
      </c>
      <c r="J5075" s="6" t="s">
        <v>345</v>
      </c>
      <c r="K5075" s="10">
        <v>2.01</v>
      </c>
      <c r="L5075" s="10">
        <v>67</v>
      </c>
      <c r="M5075" s="6" t="s">
        <v>371</v>
      </c>
    </row>
    <row r="5076" spans="1:13">
      <c r="A5076" s="6">
        <v>2025</v>
      </c>
      <c r="B5076" s="6">
        <v>1</v>
      </c>
      <c r="C5076" s="6" t="s">
        <v>59</v>
      </c>
      <c r="D5076" s="6" t="s">
        <v>51</v>
      </c>
      <c r="E5076" s="6" t="s">
        <v>391</v>
      </c>
      <c r="F5076" s="6" t="str">
        <f>IF($M5076="PADD I","PADD 1",IF($M5076="PADD II","PADD 2",IF($M5076="PADD III","PADD 3",IF($M5076="PADD IV","PADD 4",IF($M5076="PADD V","PADD 5","")))))</f>
        <v>PADD 5</v>
      </c>
      <c r="G5076" s="6">
        <f>IF(AND($H5076="ATMOS DISTILLATION",ISNUMBER(SEARCH("VPS",$I5076))=FALSE,LEFT($I5076,6)&lt;&gt;"VACUUM"),"CDU",IF($H5076="FLUID CAT CRACKING","FCC",IF(OR($H5076="HYDROCRACKING",$H5076="RESID_HYDROCRACKING"),"Hydrocracker",IF($H5076="REFORMING","Reformer",""))))</f>
        <v/>
      </c>
      <c r="H5076" s="6" t="s">
        <v>460</v>
      </c>
      <c r="I5076" s="6" t="s">
        <v>461</v>
      </c>
      <c r="J5076" s="6" t="s">
        <v>345</v>
      </c>
      <c r="K5076" s="10">
        <v>1.98</v>
      </c>
      <c r="L5076" s="10">
        <v>33</v>
      </c>
      <c r="M5076" s="6" t="s">
        <v>386</v>
      </c>
    </row>
    <row r="5077" spans="1:13">
      <c r="A5077" s="6">
        <v>2025</v>
      </c>
      <c r="B5077" s="6">
        <v>1</v>
      </c>
      <c r="C5077" s="6" t="s">
        <v>59</v>
      </c>
      <c r="D5077" s="6" t="s">
        <v>630</v>
      </c>
      <c r="E5077" s="6" t="s">
        <v>491</v>
      </c>
      <c r="F5077" s="6" t="str">
        <f>IF($M5077="PADD I","PADD 1",IF($M5077="PADD II","PADD 2",IF($M5077="PADD III","PADD 3",IF($M5077="PADD IV","PADD 4",IF($M5077="PADD V","PADD 5","")))))</f>
        <v>PADD 3</v>
      </c>
      <c r="G5077" s="6">
        <f>IF(AND($H5077="ATMOS DISTILLATION",ISNUMBER(SEARCH("VPS",$I5077))=FALSE,LEFT($I5077,6)&lt;&gt;"VACUUM"),"CDU",IF($H5077="FLUID CAT CRACKING","FCC",IF(OR($H5077="HYDROCRACKING",$H5077="RESID_HYDROCRACKING"),"Hydrocracker",IF($H5077="REFORMING","Reformer",""))))</f>
        <v/>
      </c>
      <c r="H5077" s="6" t="s">
        <v>43</v>
      </c>
      <c r="I5077" s="6" t="s">
        <v>464</v>
      </c>
      <c r="J5077" s="6" t="s">
        <v>345</v>
      </c>
      <c r="K5077" s="10">
        <v>1.92</v>
      </c>
      <c r="L5077" s="10">
        <v>12</v>
      </c>
      <c r="M5077" s="6" t="s">
        <v>371</v>
      </c>
    </row>
    <row r="5078" spans="1:13">
      <c r="A5078" s="6">
        <v>2025</v>
      </c>
      <c r="B5078" s="6">
        <v>1</v>
      </c>
      <c r="C5078" s="6" t="s">
        <v>59</v>
      </c>
      <c r="D5078" s="6" t="s">
        <v>887</v>
      </c>
      <c r="E5078" s="6" t="s">
        <v>405</v>
      </c>
      <c r="F5078" s="6" t="str">
        <f>IF($M5078="PADD I","PADD 1",IF($M5078="PADD II","PADD 2",IF($M5078="PADD III","PADD 3",IF($M5078="PADD IV","PADD 4",IF($M5078="PADD V","PADD 5","")))))</f>
        <v>PADD 3</v>
      </c>
      <c r="G5078" s="6">
        <f>IF(AND($H5078="ATMOS DISTILLATION",ISNUMBER(SEARCH("VPS",$I5078))=FALSE,LEFT($I5078,6)&lt;&gt;"VACUUM"),"CDU",IF($H5078="FLUID CAT CRACKING","FCC",IF(OR($H5078="HYDROCRACKING",$H5078="RESID_HYDROCRACKING"),"Hydrocracker",IF($H5078="REFORMING","Reformer",""))))</f>
        <v/>
      </c>
      <c r="H5078" s="6" t="s">
        <v>43</v>
      </c>
      <c r="I5078" s="6" t="s">
        <v>1280</v>
      </c>
      <c r="J5078" s="6" t="s">
        <v>345</v>
      </c>
      <c r="K5078" s="10">
        <v>1.9</v>
      </c>
      <c r="L5078" s="10">
        <v>10</v>
      </c>
      <c r="M5078" s="6" t="s">
        <v>371</v>
      </c>
    </row>
    <row r="5079" spans="1:13">
      <c r="A5079" s="6">
        <v>2025</v>
      </c>
      <c r="B5079" s="6">
        <v>1</v>
      </c>
      <c r="C5079" s="6" t="s">
        <v>59</v>
      </c>
      <c r="D5079" s="6" t="s">
        <v>1155</v>
      </c>
      <c r="E5079" s="6" t="s">
        <v>1156</v>
      </c>
      <c r="F5079" s="6" t="str">
        <f>IF($M5079="PADD I","PADD 1",IF($M5079="PADD II","PADD 2",IF($M5079="PADD III","PADD 3",IF($M5079="PADD IV","PADD 4",IF($M5079="PADD V","PADD 5","")))))</f>
        <v>PADD 5</v>
      </c>
      <c r="G5079" s="6">
        <f>IF(AND($H5079="ATMOS DISTILLATION",ISNUMBER(SEARCH("VPS",$I5079))=FALSE,LEFT($I5079,6)&lt;&gt;"VACUUM"),"CDU",IF($H5079="FLUID CAT CRACKING","FCC",IF(OR($H5079="HYDROCRACKING",$H5079="RESID_HYDROCRACKING"),"Hydrocracker",IF($H5079="REFORMING","Reformer",""))))</f>
        <v/>
      </c>
      <c r="H5079" s="6" t="s">
        <v>523</v>
      </c>
      <c r="I5079" s="6" t="s">
        <v>524</v>
      </c>
      <c r="J5079" s="6" t="s">
        <v>349</v>
      </c>
      <c r="K5079" s="10">
        <v>1.856</v>
      </c>
      <c r="L5079" s="10">
        <v>5.8</v>
      </c>
      <c r="M5079" s="6" t="s">
        <v>386</v>
      </c>
    </row>
    <row r="5080" spans="1:13">
      <c r="A5080" s="6">
        <v>2025</v>
      </c>
      <c r="B5080" s="6">
        <v>1</v>
      </c>
      <c r="C5080" s="6" t="s">
        <v>59</v>
      </c>
      <c r="D5080" s="6" t="s">
        <v>490</v>
      </c>
      <c r="E5080" s="6" t="s">
        <v>491</v>
      </c>
      <c r="F5080" s="6" t="str">
        <f>IF($M5080="PADD I","PADD 1",IF($M5080="PADD II","PADD 2",IF($M5080="PADD III","PADD 3",IF($M5080="PADD IV","PADD 4",IF($M5080="PADD V","PADD 5","")))))</f>
        <v>PADD 3</v>
      </c>
      <c r="G5080" s="6">
        <f>IF(AND($H5080="ATMOS DISTILLATION",ISNUMBER(SEARCH("VPS",$I5080))=FALSE,LEFT($I5080,6)&lt;&gt;"VACUUM"),"CDU",IF($H5080="FLUID CAT CRACKING","FCC",IF(OR($H5080="HYDROCRACKING",$H5080="RESID_HYDROCRACKING"),"Hydrocracker",IF($H5080="REFORMING","Reformer",""))))</f>
        <v/>
      </c>
      <c r="H5080" s="6" t="s">
        <v>460</v>
      </c>
      <c r="I5080" s="6" t="s">
        <v>1193</v>
      </c>
      <c r="J5080" s="6" t="s">
        <v>345</v>
      </c>
      <c r="K5080" s="10">
        <v>1.8</v>
      </c>
      <c r="L5080" s="10">
        <v>18</v>
      </c>
      <c r="M5080" s="6" t="s">
        <v>371</v>
      </c>
    </row>
    <row r="5081" spans="1:13">
      <c r="A5081" s="6">
        <v>2025</v>
      </c>
      <c r="B5081" s="6">
        <v>1</v>
      </c>
      <c r="C5081" s="6" t="s">
        <v>59</v>
      </c>
      <c r="D5081" s="6" t="s">
        <v>434</v>
      </c>
      <c r="E5081" s="6" t="s">
        <v>388</v>
      </c>
      <c r="F5081" s="6" t="str">
        <f>IF($M5081="PADD I","PADD 1",IF($M5081="PADD II","PADD 2",IF($M5081="PADD III","PADD 3",IF($M5081="PADD IV","PADD 4",IF($M5081="PADD V","PADD 5","")))))</f>
        <v>PADD 5</v>
      </c>
      <c r="G5081" s="6" t="str">
        <f>IF(AND($H5081="ATMOS DISTILLATION",ISNUMBER(SEARCH("VPS",$I5081))=FALSE,LEFT($I5081,6)&lt;&gt;"VACUUM"),"CDU",IF($H5081="FLUID CAT CRACKING","FCC",IF(OR($H5081="HYDROCRACKING",$H5081="RESID_HYDROCRACKING"),"Hydrocracker",IF($H5081="REFORMING","Reformer",""))))</f>
        <v>Reformer</v>
      </c>
      <c r="H5081" s="6" t="s">
        <v>421</v>
      </c>
      <c r="I5081" s="6" t="s">
        <v>906</v>
      </c>
      <c r="J5081" s="6" t="s">
        <v>345</v>
      </c>
      <c r="K5081" s="10">
        <v>1.69</v>
      </c>
      <c r="L5081" s="10">
        <v>13</v>
      </c>
      <c r="M5081" s="6" t="s">
        <v>386</v>
      </c>
    </row>
    <row r="5082" spans="1:13">
      <c r="A5082" s="6">
        <v>2025</v>
      </c>
      <c r="B5082" s="6">
        <v>1</v>
      </c>
      <c r="C5082" s="6" t="s">
        <v>59</v>
      </c>
      <c r="D5082" s="6" t="s">
        <v>434</v>
      </c>
      <c r="E5082" s="6" t="s">
        <v>388</v>
      </c>
      <c r="F5082" s="6" t="str">
        <f>IF($M5082="PADD I","PADD 1",IF($M5082="PADD II","PADD 2",IF($M5082="PADD III","PADD 3",IF($M5082="PADD IV","PADD 4",IF($M5082="PADD V","PADD 5","")))))</f>
        <v>PADD 5</v>
      </c>
      <c r="G5082" s="6" t="str">
        <f>IF(AND($H5082="ATMOS DISTILLATION",ISNUMBER(SEARCH("VPS",$I5082))=FALSE,LEFT($I5082,6)&lt;&gt;"VACUUM"),"CDU",IF($H5082="FLUID CAT CRACKING","FCC",IF(OR($H5082="HYDROCRACKING",$H5082="RESID_HYDROCRACKING"),"Hydrocracker",IF($H5082="REFORMING","Reformer",""))))</f>
        <v>Reformer</v>
      </c>
      <c r="H5082" s="6" t="s">
        <v>421</v>
      </c>
      <c r="I5082" s="6" t="s">
        <v>671</v>
      </c>
      <c r="J5082" s="6" t="s">
        <v>345</v>
      </c>
      <c r="K5082" s="10">
        <v>1.69</v>
      </c>
      <c r="L5082" s="10">
        <v>13</v>
      </c>
      <c r="M5082" s="6" t="s">
        <v>386</v>
      </c>
    </row>
    <row r="5083" spans="1:13">
      <c r="A5083" s="6">
        <v>2025</v>
      </c>
      <c r="B5083" s="6">
        <v>1</v>
      </c>
      <c r="C5083" s="6" t="s">
        <v>59</v>
      </c>
      <c r="D5083" s="6" t="s">
        <v>40</v>
      </c>
      <c r="E5083" s="6" t="s">
        <v>736</v>
      </c>
      <c r="F5083" s="6" t="str">
        <f>IF($M5083="PADD I","PADD 1",IF($M5083="PADD II","PADD 2",IF($M5083="PADD III","PADD 3",IF($M5083="PADD IV","PADD 4",IF($M5083="PADD V","PADD 5","")))))</f>
        <v>PADD 1</v>
      </c>
      <c r="G5083" s="6">
        <f>IF(AND($H5083="ATMOS DISTILLATION",ISNUMBER(SEARCH("VPS",$I5083))=FALSE,LEFT($I5083,6)&lt;&gt;"VACUUM"),"CDU",IF($H5083="FLUID CAT CRACKING","FCC",IF(OR($H5083="HYDROCRACKING",$H5083="RESID_HYDROCRACKING"),"Hydrocracker",IF($H5083="REFORMING","Reformer",""))))</f>
        <v/>
      </c>
      <c r="H5083" s="6" t="s">
        <v>378</v>
      </c>
      <c r="I5083" s="6" t="s">
        <v>1009</v>
      </c>
      <c r="J5083" s="6" t="s">
        <v>345</v>
      </c>
      <c r="K5083" s="10">
        <v>1.56</v>
      </c>
      <c r="L5083" s="10">
        <v>26</v>
      </c>
      <c r="M5083" s="6" t="s">
        <v>413</v>
      </c>
    </row>
    <row r="5084" spans="1:13">
      <c r="A5084" s="6">
        <v>2025</v>
      </c>
      <c r="B5084" s="6">
        <v>1</v>
      </c>
      <c r="C5084" s="6" t="s">
        <v>59</v>
      </c>
      <c r="D5084" s="6" t="s">
        <v>662</v>
      </c>
      <c r="E5084" s="6" t="s">
        <v>552</v>
      </c>
      <c r="F5084" s="6" t="str">
        <f>IF($M5084="PADD I","PADD 1",IF($M5084="PADD II","PADD 2",IF($M5084="PADD III","PADD 3",IF($M5084="PADD IV","PADD 4",IF($M5084="PADD V","PADD 5","")))))</f>
        <v>PADD 3</v>
      </c>
      <c r="G5084" s="6">
        <f>IF(AND($H5084="ATMOS DISTILLATION",ISNUMBER(SEARCH("VPS",$I5084))=FALSE,LEFT($I5084,6)&lt;&gt;"VACUUM"),"CDU",IF($H5084="FLUID CAT CRACKING","FCC",IF(OR($H5084="HYDROCRACKING",$H5084="RESID_HYDROCRACKING"),"Hydrocracker",IF($H5084="REFORMING","Reformer",""))))</f>
        <v/>
      </c>
      <c r="H5084" s="6" t="s">
        <v>43</v>
      </c>
      <c r="I5084" s="6" t="s">
        <v>828</v>
      </c>
      <c r="J5084" s="6" t="s">
        <v>349</v>
      </c>
      <c r="K5084" s="10">
        <v>1.56</v>
      </c>
      <c r="L5084" s="10">
        <v>12</v>
      </c>
      <c r="M5084" s="6" t="s">
        <v>371</v>
      </c>
    </row>
    <row r="5085" spans="1:13">
      <c r="A5085" s="6">
        <v>2025</v>
      </c>
      <c r="B5085" s="6">
        <v>1</v>
      </c>
      <c r="C5085" s="6" t="s">
        <v>59</v>
      </c>
      <c r="D5085" s="6" t="s">
        <v>576</v>
      </c>
      <c r="E5085" s="6" t="s">
        <v>369</v>
      </c>
      <c r="F5085" s="6" t="str">
        <f>IF($M5085="PADD I","PADD 1",IF($M5085="PADD II","PADD 2",IF($M5085="PADD III","PADD 3",IF($M5085="PADD IV","PADD 4",IF($M5085="PADD V","PADD 5","")))))</f>
        <v>PADD 3</v>
      </c>
      <c r="G5085" s="6">
        <f>IF(AND($H5085="ATMOS DISTILLATION",ISNUMBER(SEARCH("VPS",$I5085))=FALSE,LEFT($I5085,6)&lt;&gt;"VACUUM"),"CDU",IF($H5085="FLUID CAT CRACKING","FCC",IF(OR($H5085="HYDROCRACKING",$H5085="RESID_HYDROCRACKING"),"Hydrocracker",IF($H5085="REFORMING","Reformer",""))))</f>
        <v/>
      </c>
      <c r="H5085" s="6" t="s">
        <v>568</v>
      </c>
      <c r="I5085" s="6" t="s">
        <v>604</v>
      </c>
      <c r="J5085" s="6" t="s">
        <v>345</v>
      </c>
      <c r="K5085" s="10">
        <v>1.5</v>
      </c>
      <c r="L5085" s="10">
        <v>25</v>
      </c>
      <c r="M5085" s="6" t="s">
        <v>371</v>
      </c>
    </row>
    <row r="5086" spans="1:13">
      <c r="A5086" s="6">
        <v>2025</v>
      </c>
      <c r="B5086" s="6">
        <v>1</v>
      </c>
      <c r="C5086" s="6" t="s">
        <v>59</v>
      </c>
      <c r="D5086" s="6" t="s">
        <v>572</v>
      </c>
      <c r="E5086" s="6" t="s">
        <v>573</v>
      </c>
      <c r="F5086" s="6" t="str">
        <f>IF($M5086="PADD I","PADD 1",IF($M5086="PADD II","PADD 2",IF($M5086="PADD III","PADD 3",IF($M5086="PADD IV","PADD 4",IF($M5086="PADD V","PADD 5","")))))</f>
        <v>PADD 3</v>
      </c>
      <c r="G5086" s="6" t="str">
        <f>IF(AND($H5086="ATMOS DISTILLATION",ISNUMBER(SEARCH("VPS",$I5086))=FALSE,LEFT($I5086,6)&lt;&gt;"VACUUM"),"CDU",IF($H5086="FLUID CAT CRACKING","FCC",IF(OR($H5086="HYDROCRACKING",$H5086="RESID_HYDROCRACKING"),"Hydrocracker",IF($H5086="REFORMING","Reformer",""))))</f>
        <v>CDU</v>
      </c>
      <c r="H5086" s="6" t="s">
        <v>38</v>
      </c>
      <c r="I5086" s="6" t="s">
        <v>574</v>
      </c>
      <c r="J5086" s="6" t="s">
        <v>345</v>
      </c>
      <c r="K5086" s="10">
        <v>1.5</v>
      </c>
      <c r="L5086" s="10">
        <v>50</v>
      </c>
      <c r="M5086" s="6" t="s">
        <v>371</v>
      </c>
    </row>
    <row r="5087" spans="1:13">
      <c r="A5087" s="6">
        <v>2025</v>
      </c>
      <c r="B5087" s="6">
        <v>1</v>
      </c>
      <c r="C5087" s="6" t="s">
        <v>59</v>
      </c>
      <c r="D5087" s="6" t="s">
        <v>887</v>
      </c>
      <c r="E5087" s="6" t="s">
        <v>405</v>
      </c>
      <c r="F5087" s="6" t="str">
        <f>IF($M5087="PADD I","PADD 1",IF($M5087="PADD II","PADD 2",IF($M5087="PADD III","PADD 3",IF($M5087="PADD IV","PADD 4",IF($M5087="PADD V","PADD 5","")))))</f>
        <v>PADD 3</v>
      </c>
      <c r="G5087" s="6" t="str">
        <f>IF(AND($H5087="ATMOS DISTILLATION",ISNUMBER(SEARCH("VPS",$I5087))=FALSE,LEFT($I5087,6)&lt;&gt;"VACUUM"),"CDU",IF($H5087="FLUID CAT CRACKING","FCC",IF(OR($H5087="HYDROCRACKING",$H5087="RESID_HYDROCRACKING"),"Hydrocracker",IF($H5087="REFORMING","Reformer",""))))</f>
        <v>Reformer</v>
      </c>
      <c r="H5087" s="6" t="s">
        <v>421</v>
      </c>
      <c r="I5087" s="6" t="s">
        <v>539</v>
      </c>
      <c r="J5087" s="6" t="s">
        <v>345</v>
      </c>
      <c r="K5087" s="10">
        <v>1.38</v>
      </c>
      <c r="L5087" s="10">
        <v>23</v>
      </c>
      <c r="M5087" s="6" t="s">
        <v>371</v>
      </c>
    </row>
    <row r="5088" spans="1:13">
      <c r="A5088" s="6">
        <v>2025</v>
      </c>
      <c r="B5088" s="6">
        <v>1</v>
      </c>
      <c r="C5088" s="6" t="s">
        <v>59</v>
      </c>
      <c r="D5088" s="6" t="s">
        <v>612</v>
      </c>
      <c r="E5088" s="6" t="s">
        <v>416</v>
      </c>
      <c r="F5088" s="6" t="str">
        <f>IF($M5088="PADD I","PADD 1",IF($M5088="PADD II","PADD 2",IF($M5088="PADD III","PADD 3",IF($M5088="PADD IV","PADD 4",IF($M5088="PADD V","PADD 5","")))))</f>
        <v>PADD 3</v>
      </c>
      <c r="G5088" s="6">
        <f>IF(AND($H5088="ATMOS DISTILLATION",ISNUMBER(SEARCH("VPS",$I5088))=FALSE,LEFT($I5088,6)&lt;&gt;"VACUUM"),"CDU",IF($H5088="FLUID CAT CRACKING","FCC",IF(OR($H5088="HYDROCRACKING",$H5088="RESID_HYDROCRACKING"),"Hydrocracker",IF($H5088="REFORMING","Reformer",""))))</f>
        <v/>
      </c>
      <c r="H5088" s="6" t="s">
        <v>435</v>
      </c>
      <c r="I5088" s="6" t="s">
        <v>441</v>
      </c>
      <c r="J5088" s="6" t="s">
        <v>345</v>
      </c>
      <c r="K5088" s="10">
        <v>1.32</v>
      </c>
      <c r="L5088" s="10">
        <v>44</v>
      </c>
      <c r="M5088" s="6" t="s">
        <v>371</v>
      </c>
    </row>
    <row r="5089" spans="1:13">
      <c r="A5089" s="6">
        <v>2025</v>
      </c>
      <c r="B5089" s="6">
        <v>1</v>
      </c>
      <c r="C5089" s="6" t="s">
        <v>59</v>
      </c>
      <c r="D5089" s="6" t="s">
        <v>887</v>
      </c>
      <c r="E5089" s="6" t="s">
        <v>405</v>
      </c>
      <c r="F5089" s="6" t="str">
        <f>IF($M5089="PADD I","PADD 1",IF($M5089="PADD II","PADD 2",IF($M5089="PADD III","PADD 3",IF($M5089="PADD IV","PADD 4",IF($M5089="PADD V","PADD 5","")))))</f>
        <v>PADD 3</v>
      </c>
      <c r="G5089" s="6">
        <f>IF(AND($H5089="ATMOS DISTILLATION",ISNUMBER(SEARCH("VPS",$I5089))=FALSE,LEFT($I5089,6)&lt;&gt;"VACUUM"),"CDU",IF($H5089="FLUID CAT CRACKING","FCC",IF(OR($H5089="HYDROCRACKING",$H5089="RESID_HYDROCRACKING"),"Hydrocracker",IF($H5089="REFORMING","Reformer",""))))</f>
        <v/>
      </c>
      <c r="H5089" s="6" t="s">
        <v>460</v>
      </c>
      <c r="I5089" s="6" t="s">
        <v>616</v>
      </c>
      <c r="J5089" s="6" t="s">
        <v>345</v>
      </c>
      <c r="K5089" s="10">
        <v>1.235</v>
      </c>
      <c r="L5089" s="10">
        <v>6.5</v>
      </c>
      <c r="M5089" s="6" t="s">
        <v>371</v>
      </c>
    </row>
    <row r="5090" spans="1:13">
      <c r="A5090" s="6">
        <v>2025</v>
      </c>
      <c r="B5090" s="6">
        <v>1</v>
      </c>
      <c r="C5090" s="6" t="s">
        <v>59</v>
      </c>
      <c r="D5090" s="6" t="s">
        <v>563</v>
      </c>
      <c r="E5090" s="6" t="s">
        <v>396</v>
      </c>
      <c r="F5090" s="6" t="str">
        <f>IF($M5090="PADD I","PADD 1",IF($M5090="PADD II","PADD 2",IF($M5090="PADD III","PADD 3",IF($M5090="PADD IV","PADD 4",IF($M5090="PADD V","PADD 5","")))))</f>
        <v>PADD 3</v>
      </c>
      <c r="G5090" s="6">
        <f>IF(AND($H5090="ATMOS DISTILLATION",ISNUMBER(SEARCH("VPS",$I5090))=FALSE,LEFT($I5090,6)&lt;&gt;"VACUUM"),"CDU",IF($H5090="FLUID CAT CRACKING","FCC",IF(OR($H5090="HYDROCRACKING",$H5090="RESID_HYDROCRACKING"),"Hydrocracker",IF($H5090="REFORMING","Reformer",""))))</f>
        <v/>
      </c>
      <c r="H5090" s="6" t="s">
        <v>43</v>
      </c>
      <c r="I5090" s="6" t="s">
        <v>564</v>
      </c>
      <c r="J5090" s="6" t="s">
        <v>345</v>
      </c>
      <c r="K5090" s="10">
        <v>1.227</v>
      </c>
      <c r="L5090" s="10">
        <v>40.9</v>
      </c>
      <c r="M5090" s="6" t="s">
        <v>371</v>
      </c>
    </row>
    <row r="5091" spans="1:13">
      <c r="A5091" s="6">
        <v>2025</v>
      </c>
      <c r="B5091" s="6">
        <v>1</v>
      </c>
      <c r="C5091" s="6" t="s">
        <v>59</v>
      </c>
      <c r="D5091" s="6" t="s">
        <v>1275</v>
      </c>
      <c r="E5091" s="6" t="s">
        <v>1276</v>
      </c>
      <c r="F5091" s="6" t="str">
        <f>IF($M5091="PADD I","PADD 1",IF($M5091="PADD II","PADD 2",IF($M5091="PADD III","PADD 3",IF($M5091="PADD IV","PADD 4",IF($M5091="PADD V","PADD 5","")))))</f>
        <v>PADD 3</v>
      </c>
      <c r="G5091" s="6">
        <f>IF(AND($H5091="ATMOS DISTILLATION",ISNUMBER(SEARCH("VPS",$I5091))=FALSE,LEFT($I5091,6)&lt;&gt;"VACUUM"),"CDU",IF($H5091="FLUID CAT CRACKING","FCC",IF(OR($H5091="HYDROCRACKING",$H5091="RESID_HYDROCRACKING"),"Hydrocracker",IF($H5091="REFORMING","Reformer",""))))</f>
        <v/>
      </c>
      <c r="H5091" s="6" t="s">
        <v>43</v>
      </c>
      <c r="I5091" s="6" t="s">
        <v>784</v>
      </c>
      <c r="J5091" s="6" t="s">
        <v>349</v>
      </c>
      <c r="K5091" s="10">
        <v>1.15</v>
      </c>
      <c r="L5091" s="10">
        <v>5</v>
      </c>
      <c r="M5091" s="6" t="s">
        <v>371</v>
      </c>
    </row>
    <row r="5092" spans="1:13">
      <c r="A5092" s="6">
        <v>2025</v>
      </c>
      <c r="B5092" s="6">
        <v>1</v>
      </c>
      <c r="C5092" s="6" t="s">
        <v>59</v>
      </c>
      <c r="D5092" s="6" t="s">
        <v>1275</v>
      </c>
      <c r="E5092" s="6" t="s">
        <v>1276</v>
      </c>
      <c r="F5092" s="6" t="str">
        <f>IF($M5092="PADD I","PADD 1",IF($M5092="PADD II","PADD 2",IF($M5092="PADD III","PADD 3",IF($M5092="PADD IV","PADD 4",IF($M5092="PADD V","PADD 5","")))))</f>
        <v>PADD 3</v>
      </c>
      <c r="G5092" s="6">
        <f>IF(AND($H5092="ATMOS DISTILLATION",ISNUMBER(SEARCH("VPS",$I5092))=FALSE,LEFT($I5092,6)&lt;&gt;"VACUUM"),"CDU",IF($H5092="FLUID CAT CRACKING","FCC",IF(OR($H5092="HYDROCRACKING",$H5092="RESID_HYDROCRACKING"),"Hydrocracker",IF($H5092="REFORMING","Reformer",""))))</f>
        <v/>
      </c>
      <c r="H5092" s="6" t="s">
        <v>568</v>
      </c>
      <c r="I5092" s="6" t="s">
        <v>713</v>
      </c>
      <c r="J5092" s="6" t="s">
        <v>349</v>
      </c>
      <c r="K5092" s="10">
        <v>1.15</v>
      </c>
      <c r="L5092" s="10">
        <v>5</v>
      </c>
      <c r="M5092" s="6" t="s">
        <v>371</v>
      </c>
    </row>
    <row r="5093" spans="1:13">
      <c r="A5093" s="6">
        <v>2025</v>
      </c>
      <c r="B5093" s="6">
        <v>1</v>
      </c>
      <c r="C5093" s="6" t="s">
        <v>59</v>
      </c>
      <c r="D5093" s="6" t="s">
        <v>887</v>
      </c>
      <c r="E5093" s="6" t="s">
        <v>405</v>
      </c>
      <c r="F5093" s="6" t="str">
        <f>IF($M5093="PADD I","PADD 1",IF($M5093="PADD II","PADD 2",IF($M5093="PADD III","PADD 3",IF($M5093="PADD IV","PADD 4",IF($M5093="PADD V","PADD 5","")))))</f>
        <v>PADD 3</v>
      </c>
      <c r="G5093" s="6">
        <f>IF(AND($H5093="ATMOS DISTILLATION",ISNUMBER(SEARCH("VPS",$I5093))=FALSE,LEFT($I5093,6)&lt;&gt;"VACUUM"),"CDU",IF($H5093="FLUID CAT CRACKING","FCC",IF(OR($H5093="HYDROCRACKING",$H5093="RESID_HYDROCRACKING"),"Hydrocracker",IF($H5093="REFORMING","Reformer",""))))</f>
        <v/>
      </c>
      <c r="H5093" s="6" t="s">
        <v>637</v>
      </c>
      <c r="I5093" s="6" t="s">
        <v>1279</v>
      </c>
      <c r="J5093" s="6" t="s">
        <v>345</v>
      </c>
      <c r="K5093" s="10">
        <v>1.14</v>
      </c>
      <c r="L5093" s="10">
        <v>6</v>
      </c>
      <c r="M5093" s="6" t="s">
        <v>371</v>
      </c>
    </row>
    <row r="5094" spans="1:13">
      <c r="A5094" s="6">
        <v>2025</v>
      </c>
      <c r="B5094" s="6">
        <v>1</v>
      </c>
      <c r="C5094" s="6" t="s">
        <v>59</v>
      </c>
      <c r="D5094" s="6" t="s">
        <v>1275</v>
      </c>
      <c r="E5094" s="6" t="s">
        <v>1276</v>
      </c>
      <c r="F5094" s="6" t="str">
        <f>IF($M5094="PADD I","PADD 1",IF($M5094="PADD II","PADD 2",IF($M5094="PADD III","PADD 3",IF($M5094="PADD IV","PADD 4",IF($M5094="PADD V","PADD 5","")))))</f>
        <v>PADD 3</v>
      </c>
      <c r="G5094" s="6">
        <f>IF(AND($H5094="ATMOS DISTILLATION",ISNUMBER(SEARCH("VPS",$I5094))=FALSE,LEFT($I5094,6)&lt;&gt;"VACUUM"),"CDU",IF($H5094="FLUID CAT CRACKING","FCC",IF(OR($H5094="HYDROCRACKING",$H5094="RESID_HYDROCRACKING"),"Hydrocracker",IF($H5094="REFORMING","Reformer",""))))</f>
        <v/>
      </c>
      <c r="H5094" s="6" t="s">
        <v>43</v>
      </c>
      <c r="I5094" s="6" t="s">
        <v>493</v>
      </c>
      <c r="J5094" s="6" t="s">
        <v>349</v>
      </c>
      <c r="K5094" s="10">
        <v>1.035</v>
      </c>
      <c r="L5094" s="10">
        <v>4.5</v>
      </c>
      <c r="M5094" s="6" t="s">
        <v>371</v>
      </c>
    </row>
    <row r="5095" spans="1:13">
      <c r="A5095" s="6">
        <v>2025</v>
      </c>
      <c r="B5095" s="6">
        <v>1</v>
      </c>
      <c r="C5095" s="6" t="s">
        <v>59</v>
      </c>
      <c r="D5095" s="6" t="s">
        <v>739</v>
      </c>
      <c r="E5095" s="6" t="s">
        <v>405</v>
      </c>
      <c r="F5095" s="6" t="str">
        <f>IF($M5095="PADD I","PADD 1",IF($M5095="PADD II","PADD 2",IF($M5095="PADD III","PADD 3",IF($M5095="PADD IV","PADD 4",IF($M5095="PADD V","PADD 5","")))))</f>
        <v>PADD 2</v>
      </c>
      <c r="G5095" s="6">
        <f>IF(AND($H5095="ATMOS DISTILLATION",ISNUMBER(SEARCH("VPS",$I5095))=FALSE,LEFT($I5095,6)&lt;&gt;"VACUUM"),"CDU",IF($H5095="FLUID CAT CRACKING","FCC",IF(OR($H5095="HYDROCRACKING",$H5095="RESID_HYDROCRACKING"),"Hydrocracker",IF($H5095="REFORMING","Reformer",""))))</f>
        <v/>
      </c>
      <c r="H5095" s="6" t="s">
        <v>43</v>
      </c>
      <c r="I5095" s="6" t="s">
        <v>740</v>
      </c>
      <c r="J5095" s="6" t="s">
        <v>345</v>
      </c>
      <c r="K5095" s="10">
        <v>0.96</v>
      </c>
      <c r="L5095" s="10">
        <v>32</v>
      </c>
      <c r="M5095" s="6" t="s">
        <v>375</v>
      </c>
    </row>
    <row r="5096" spans="1:13">
      <c r="A5096" s="6">
        <v>2025</v>
      </c>
      <c r="B5096" s="6">
        <v>1</v>
      </c>
      <c r="C5096" s="6" t="s">
        <v>59</v>
      </c>
      <c r="D5096" s="6" t="s">
        <v>610</v>
      </c>
      <c r="E5096" s="6" t="s">
        <v>611</v>
      </c>
      <c r="F5096" s="6" t="str">
        <f>IF($M5096="PADD I","PADD 1",IF($M5096="PADD II","PADD 2",IF($M5096="PADD III","PADD 3",IF($M5096="PADD IV","PADD 4",IF($M5096="PADD V","PADD 5","")))))</f>
        <v>PADD 2</v>
      </c>
      <c r="G5096" s="6">
        <f>IF(AND($H5096="ATMOS DISTILLATION",ISNUMBER(SEARCH("VPS",$I5096))=FALSE,LEFT($I5096,6)&lt;&gt;"VACUUM"),"CDU",IF($H5096="FLUID CAT CRACKING","FCC",IF(OR($H5096="HYDROCRACKING",$H5096="RESID_HYDROCRACKING"),"Hydrocracker",IF($H5096="REFORMING","Reformer",""))))</f>
        <v/>
      </c>
      <c r="H5096" s="6" t="s">
        <v>43</v>
      </c>
      <c r="I5096" s="6" t="s">
        <v>622</v>
      </c>
      <c r="J5096" s="6" t="s">
        <v>345</v>
      </c>
      <c r="K5096" s="10">
        <v>0.9</v>
      </c>
      <c r="L5096" s="10">
        <v>30</v>
      </c>
      <c r="M5096" s="6" t="s">
        <v>375</v>
      </c>
    </row>
    <row r="5097" spans="1:13">
      <c r="A5097" s="6">
        <v>2025</v>
      </c>
      <c r="B5097" s="6">
        <v>1</v>
      </c>
      <c r="C5097" s="6" t="s">
        <v>59</v>
      </c>
      <c r="D5097" s="6" t="s">
        <v>662</v>
      </c>
      <c r="E5097" s="6" t="s">
        <v>552</v>
      </c>
      <c r="F5097" s="6" t="str">
        <f>IF($M5097="PADD I","PADD 1",IF($M5097="PADD II","PADD 2",IF($M5097="PADD III","PADD 3",IF($M5097="PADD IV","PADD 4",IF($M5097="PADD V","PADD 5","")))))</f>
        <v>PADD 3</v>
      </c>
      <c r="G5097" s="6">
        <f>IF(AND($H5097="ATMOS DISTILLATION",ISNUMBER(SEARCH("VPS",$I5097))=FALSE,LEFT($I5097,6)&lt;&gt;"VACUUM"),"CDU",IF($H5097="FLUID CAT CRACKING","FCC",IF(OR($H5097="HYDROCRACKING",$H5097="RESID_HYDROCRACKING"),"Hydrocracker",IF($H5097="REFORMING","Reformer",""))))</f>
        <v/>
      </c>
      <c r="H5097" s="6" t="s">
        <v>43</v>
      </c>
      <c r="I5097" s="6" t="s">
        <v>844</v>
      </c>
      <c r="J5097" s="6" t="s">
        <v>349</v>
      </c>
      <c r="K5097" s="10">
        <v>0.8</v>
      </c>
      <c r="L5097" s="10">
        <v>5</v>
      </c>
      <c r="M5097" s="6" t="s">
        <v>371</v>
      </c>
    </row>
    <row r="5098" spans="1:13">
      <c r="A5098" s="6">
        <v>2025</v>
      </c>
      <c r="B5098" s="6">
        <v>1</v>
      </c>
      <c r="C5098" s="6" t="s">
        <v>59</v>
      </c>
      <c r="D5098" s="6" t="s">
        <v>762</v>
      </c>
      <c r="E5098" s="6" t="s">
        <v>763</v>
      </c>
      <c r="F5098" s="6" t="str">
        <f>IF($M5098="PADD I","PADD 1",IF($M5098="PADD II","PADD 2",IF($M5098="PADD III","PADD 3",IF($M5098="PADD IV","PADD 4",IF($M5098="PADD V","PADD 5","")))))</f>
        <v>PADD 2</v>
      </c>
      <c r="G5098" s="6">
        <f>IF(AND($H5098="ATMOS DISTILLATION",ISNUMBER(SEARCH("VPS",$I5098))=FALSE,LEFT($I5098,6)&lt;&gt;"VACUUM"),"CDU",IF($H5098="FLUID CAT CRACKING","FCC",IF(OR($H5098="HYDROCRACKING",$H5098="RESID_HYDROCRACKING"),"Hydrocracker",IF($H5098="REFORMING","Reformer",""))))</f>
        <v/>
      </c>
      <c r="H5098" s="6" t="s">
        <v>43</v>
      </c>
      <c r="I5098" s="6" t="s">
        <v>458</v>
      </c>
      <c r="J5098" s="6" t="s">
        <v>345</v>
      </c>
      <c r="K5098" s="10">
        <v>0.78</v>
      </c>
      <c r="L5098" s="10">
        <v>13</v>
      </c>
      <c r="M5098" s="6" t="s">
        <v>375</v>
      </c>
    </row>
    <row r="5099" spans="1:13">
      <c r="A5099" s="6">
        <v>2025</v>
      </c>
      <c r="B5099" s="6">
        <v>1</v>
      </c>
      <c r="C5099" s="6" t="s">
        <v>59</v>
      </c>
      <c r="D5099" s="6" t="s">
        <v>639</v>
      </c>
      <c r="E5099" s="6" t="s">
        <v>452</v>
      </c>
      <c r="F5099" s="6" t="str">
        <f>IF($M5099="PADD I","PADD 1",IF($M5099="PADD II","PADD 2",IF($M5099="PADD III","PADD 3",IF($M5099="PADD IV","PADD 4",IF($M5099="PADD V","PADD 5","")))))</f>
        <v>PADD 5</v>
      </c>
      <c r="G5099" s="6">
        <f>IF(AND($H5099="ATMOS DISTILLATION",ISNUMBER(SEARCH("VPS",$I5099))=FALSE,LEFT($I5099,6)&lt;&gt;"VACUUM"),"CDU",IF($H5099="FLUID CAT CRACKING","FCC",IF(OR($H5099="HYDROCRACKING",$H5099="RESID_HYDROCRACKING"),"Hydrocracker",IF($H5099="REFORMING","Reformer",""))))</f>
        <v/>
      </c>
      <c r="H5099" s="6" t="s">
        <v>435</v>
      </c>
      <c r="I5099" s="6" t="s">
        <v>1096</v>
      </c>
      <c r="J5099" s="6" t="s">
        <v>349</v>
      </c>
      <c r="K5099" s="10">
        <v>0.759</v>
      </c>
      <c r="L5099" s="10">
        <v>25.3</v>
      </c>
      <c r="M5099" s="6" t="s">
        <v>386</v>
      </c>
    </row>
    <row r="5100" spans="1:13">
      <c r="A5100" s="6">
        <v>2025</v>
      </c>
      <c r="B5100" s="6">
        <v>1</v>
      </c>
      <c r="C5100" s="6" t="s">
        <v>59</v>
      </c>
      <c r="D5100" s="6" t="s">
        <v>457</v>
      </c>
      <c r="E5100" s="6" t="s">
        <v>388</v>
      </c>
      <c r="F5100" s="6" t="str">
        <f>IF($M5100="PADD I","PADD 1",IF($M5100="PADD II","PADD 2",IF($M5100="PADD III","PADD 3",IF($M5100="PADD IV","PADD 4",IF($M5100="PADD V","PADD 5","")))))</f>
        <v>PADD 5</v>
      </c>
      <c r="G5100" s="6">
        <f>IF(AND($H5100="ATMOS DISTILLATION",ISNUMBER(SEARCH("VPS",$I5100))=FALSE,LEFT($I5100,6)&lt;&gt;"VACUUM"),"CDU",IF($H5100="FLUID CAT CRACKING","FCC",IF(OR($H5100="HYDROCRACKING",$H5100="RESID_HYDROCRACKING"),"Hydrocracker",IF($H5100="REFORMING","Reformer",""))))</f>
        <v/>
      </c>
      <c r="H5100" s="6" t="s">
        <v>43</v>
      </c>
      <c r="I5100" s="6" t="s">
        <v>1281</v>
      </c>
      <c r="J5100" s="6" t="s">
        <v>349</v>
      </c>
      <c r="K5100" s="10">
        <v>0.66</v>
      </c>
      <c r="L5100" s="10">
        <v>22</v>
      </c>
      <c r="M5100" s="6" t="s">
        <v>386</v>
      </c>
    </row>
    <row r="5101" spans="1:13">
      <c r="A5101" s="6">
        <v>2025</v>
      </c>
      <c r="B5101" s="6">
        <v>1</v>
      </c>
      <c r="C5101" s="6" t="s">
        <v>59</v>
      </c>
      <c r="D5101" s="6" t="s">
        <v>1275</v>
      </c>
      <c r="E5101" s="6" t="s">
        <v>1276</v>
      </c>
      <c r="F5101" s="6" t="str">
        <f>IF($M5101="PADD I","PADD 1",IF($M5101="PADD II","PADD 2",IF($M5101="PADD III","PADD 3",IF($M5101="PADD IV","PADD 4",IF($M5101="PADD V","PADD 5","")))))</f>
        <v>PADD 3</v>
      </c>
      <c r="G5101" s="6" t="str">
        <f>IF(AND($H5101="ATMOS DISTILLATION",ISNUMBER(SEARCH("VPS",$I5101))=FALSE,LEFT($I5101,6)&lt;&gt;"VACUUM"),"CDU",IF($H5101="FLUID CAT CRACKING","FCC",IF(OR($H5101="HYDROCRACKING",$H5101="RESID_HYDROCRACKING"),"Hydrocracker",IF($H5101="REFORMING","Reformer",""))))</f>
        <v>Reformer</v>
      </c>
      <c r="H5101" s="6" t="s">
        <v>421</v>
      </c>
      <c r="I5101" s="6" t="s">
        <v>1282</v>
      </c>
      <c r="J5101" s="6" t="s">
        <v>349</v>
      </c>
      <c r="K5101" s="10">
        <v>0.575</v>
      </c>
      <c r="L5101" s="10">
        <v>2.5</v>
      </c>
      <c r="M5101" s="6" t="s">
        <v>371</v>
      </c>
    </row>
    <row r="5102" spans="1:13">
      <c r="A5102" s="6">
        <v>2025</v>
      </c>
      <c r="B5102" s="6">
        <v>1</v>
      </c>
      <c r="C5102" s="6" t="s">
        <v>59</v>
      </c>
      <c r="D5102" s="6" t="s">
        <v>1065</v>
      </c>
      <c r="E5102" s="6" t="s">
        <v>416</v>
      </c>
      <c r="F5102" s="6" t="str">
        <f>IF($M5102="PADD I","PADD 1",IF($M5102="PADD II","PADD 2",IF($M5102="PADD III","PADD 3",IF($M5102="PADD IV","PADD 4",IF($M5102="PADD V","PADD 5","")))))</f>
        <v>PADD 2</v>
      </c>
      <c r="G5102" s="6">
        <f>IF(AND($H5102="ATMOS DISTILLATION",ISNUMBER(SEARCH("VPS",$I5102))=FALSE,LEFT($I5102,6)&lt;&gt;"VACUUM"),"CDU",IF($H5102="FLUID CAT CRACKING","FCC",IF(OR($H5102="HYDROCRACKING",$H5102="RESID_HYDROCRACKING"),"Hydrocracker",IF($H5102="REFORMING","Reformer",""))))</f>
        <v/>
      </c>
      <c r="H5102" s="6" t="s">
        <v>460</v>
      </c>
      <c r="I5102" s="6" t="s">
        <v>1066</v>
      </c>
      <c r="J5102" s="6" t="s">
        <v>345</v>
      </c>
      <c r="K5102" s="10">
        <v>0.5669999999999999</v>
      </c>
      <c r="L5102" s="10">
        <v>18.9</v>
      </c>
      <c r="M5102" s="6" t="s">
        <v>375</v>
      </c>
    </row>
    <row r="5103" spans="1:13">
      <c r="A5103" s="6">
        <v>2025</v>
      </c>
      <c r="B5103" s="6">
        <v>1</v>
      </c>
      <c r="C5103" s="6" t="s">
        <v>59</v>
      </c>
      <c r="D5103" s="6" t="s">
        <v>739</v>
      </c>
      <c r="E5103" s="6" t="s">
        <v>405</v>
      </c>
      <c r="F5103" s="6" t="str">
        <f>IF($M5103="PADD I","PADD 1",IF($M5103="PADD II","PADD 2",IF($M5103="PADD III","PADD 3",IF($M5103="PADD IV","PADD 4",IF($M5103="PADD V","PADD 5","")))))</f>
        <v>PADD 2</v>
      </c>
      <c r="G5103" s="6" t="str">
        <f>IF(AND($H5103="ATMOS DISTILLATION",ISNUMBER(SEARCH("VPS",$I5103))=FALSE,LEFT($I5103,6)&lt;&gt;"VACUUM"),"CDU",IF($H5103="FLUID CAT CRACKING","FCC",IF(OR($H5103="HYDROCRACKING",$H5103="RESID_HYDROCRACKING"),"Hydrocracker",IF($H5103="REFORMING","Reformer",""))))</f>
        <v>Hydrocracker</v>
      </c>
      <c r="H5103" s="6" t="s">
        <v>444</v>
      </c>
      <c r="I5103" s="6" t="s">
        <v>795</v>
      </c>
      <c r="J5103" s="6" t="s">
        <v>345</v>
      </c>
      <c r="K5103" s="10">
        <v>0.42</v>
      </c>
      <c r="L5103" s="10">
        <v>14</v>
      </c>
      <c r="M5103" s="6" t="s">
        <v>375</v>
      </c>
    </row>
    <row r="5104" spans="1:13">
      <c r="A5104" s="6">
        <v>2025</v>
      </c>
      <c r="B5104" s="6">
        <v>1</v>
      </c>
      <c r="C5104" s="6" t="s">
        <v>59</v>
      </c>
      <c r="D5104" s="6" t="s">
        <v>329</v>
      </c>
      <c r="E5104" s="6" t="s">
        <v>427</v>
      </c>
      <c r="F5104" s="6" t="str">
        <f>IF($M5104="PADD I","PADD 1",IF($M5104="PADD II","PADD 2",IF($M5104="PADD III","PADD 3",IF($M5104="PADD IV","PADD 4",IF($M5104="PADD V","PADD 5","")))))</f>
        <v>PADD 3</v>
      </c>
      <c r="G5104" s="6">
        <f>IF(AND($H5104="ATMOS DISTILLATION",ISNUMBER(SEARCH("VPS",$I5104))=FALSE,LEFT($I5104,6)&lt;&gt;"VACUUM"),"CDU",IF($H5104="FLUID CAT CRACKING","FCC",IF(OR($H5104="HYDROCRACKING",$H5104="RESID_HYDROCRACKING"),"Hydrocracker",IF($H5104="REFORMING","Reformer",""))))</f>
        <v/>
      </c>
      <c r="H5104" s="6" t="s">
        <v>460</v>
      </c>
      <c r="I5104" s="6" t="s">
        <v>1075</v>
      </c>
      <c r="J5104" s="6" t="s">
        <v>345</v>
      </c>
      <c r="K5104" s="10">
        <v>0.375</v>
      </c>
      <c r="L5104" s="10">
        <v>12.5</v>
      </c>
      <c r="M5104" s="6" t="s">
        <v>371</v>
      </c>
    </row>
    <row r="5105" spans="1:13">
      <c r="A5105" s="6">
        <v>2025</v>
      </c>
      <c r="B5105" s="6">
        <v>1</v>
      </c>
      <c r="C5105" s="6" t="s">
        <v>59</v>
      </c>
      <c r="D5105" s="6" t="s">
        <v>1275</v>
      </c>
      <c r="E5105" s="6" t="s">
        <v>1276</v>
      </c>
      <c r="F5105" s="6" t="str">
        <f>IF($M5105="PADD I","PADD 1",IF($M5105="PADD II","PADD 2",IF($M5105="PADD III","PADD 3",IF($M5105="PADD IV","PADD 4",IF($M5105="PADD V","PADD 5","")))))</f>
        <v>PADD 3</v>
      </c>
      <c r="G5105" s="6" t="str">
        <f>IF(AND($H5105="ATMOS DISTILLATION",ISNUMBER(SEARCH("VPS",$I5105))=FALSE,LEFT($I5105,6)&lt;&gt;"VACUUM"),"CDU",IF($H5105="FLUID CAT CRACKING","FCC",IF(OR($H5105="HYDROCRACKING",$H5105="RESID_HYDROCRACKING"),"Hydrocracker",IF($H5105="REFORMING","Reformer",""))))</f>
        <v>Reformer</v>
      </c>
      <c r="H5105" s="6" t="s">
        <v>421</v>
      </c>
      <c r="I5105" s="6" t="s">
        <v>1283</v>
      </c>
      <c r="J5105" s="6" t="s">
        <v>349</v>
      </c>
      <c r="K5105" s="10">
        <v>0.276</v>
      </c>
      <c r="L5105" s="10">
        <v>1.2</v>
      </c>
      <c r="M5105" s="6" t="s">
        <v>371</v>
      </c>
    </row>
    <row r="5106" spans="1:13">
      <c r="A5106" s="6">
        <v>2025</v>
      </c>
      <c r="B5106" s="6">
        <v>1</v>
      </c>
      <c r="C5106" s="6" t="s">
        <v>59</v>
      </c>
      <c r="D5106" s="6" t="s">
        <v>878</v>
      </c>
      <c r="E5106" s="6" t="s">
        <v>452</v>
      </c>
      <c r="F5106" s="6" t="str">
        <f>IF($M5106="PADD I","PADD 1",IF($M5106="PADD II","PADD 2",IF($M5106="PADD III","PADD 3",IF($M5106="PADD IV","PADD 4",IF($M5106="PADD V","PADD 5","")))))</f>
        <v>PADD 2</v>
      </c>
      <c r="G5106" s="6">
        <f>IF(AND($H5106="ATMOS DISTILLATION",ISNUMBER(SEARCH("VPS",$I5106))=FALSE,LEFT($I5106,6)&lt;&gt;"VACUUM"),"CDU",IF($H5106="FLUID CAT CRACKING","FCC",IF(OR($H5106="HYDROCRACKING",$H5106="RESID_HYDROCRACKING"),"Hydrocracker",IF($H5106="REFORMING","Reformer",""))))</f>
        <v/>
      </c>
      <c r="H5106" s="6" t="s">
        <v>435</v>
      </c>
      <c r="I5106" s="6" t="s">
        <v>441</v>
      </c>
      <c r="J5106" s="6" t="s">
        <v>345</v>
      </c>
      <c r="K5106" s="10">
        <v>0.255</v>
      </c>
      <c r="L5106" s="10">
        <v>8.5</v>
      </c>
      <c r="M5106" s="6" t="s">
        <v>375</v>
      </c>
    </row>
    <row r="5107" spans="1:13">
      <c r="A5107" s="6">
        <v>2025</v>
      </c>
      <c r="B5107" s="6">
        <v>1</v>
      </c>
      <c r="C5107" s="6" t="s">
        <v>59</v>
      </c>
      <c r="D5107" s="6" t="s">
        <v>887</v>
      </c>
      <c r="E5107" s="6" t="s">
        <v>405</v>
      </c>
      <c r="F5107" s="6" t="str">
        <f>IF($M5107="PADD I","PADD 1",IF($M5107="PADD II","PADD 2",IF($M5107="PADD III","PADD 3",IF($M5107="PADD IV","PADD 4",IF($M5107="PADD V","PADD 5","")))))</f>
        <v>PADD 3</v>
      </c>
      <c r="G5107" s="6" t="str">
        <f>IF(AND($H5107="ATMOS DISTILLATION",ISNUMBER(SEARCH("VPS",$I5107))=FALSE,LEFT($I5107,6)&lt;&gt;"VACUUM"),"CDU",IF($H5107="FLUID CAT CRACKING","FCC",IF(OR($H5107="HYDROCRACKING",$H5107="RESID_HYDROCRACKING"),"Hydrocracker",IF($H5107="REFORMING","Reformer",""))))</f>
        <v>CDU</v>
      </c>
      <c r="H5107" s="6" t="s">
        <v>38</v>
      </c>
      <c r="I5107" s="6" t="s">
        <v>1284</v>
      </c>
      <c r="J5107" s="6" t="s">
        <v>345</v>
      </c>
      <c r="K5107" s="10">
        <v>0.25</v>
      </c>
      <c r="L5107" s="10">
        <v>2.5</v>
      </c>
      <c r="M5107" s="6" t="s">
        <v>371</v>
      </c>
    </row>
    <row r="5108" spans="1:13">
      <c r="A5108" s="6">
        <v>2025</v>
      </c>
      <c r="B5108" s="6">
        <v>2</v>
      </c>
      <c r="C5108" s="6" t="s">
        <v>60</v>
      </c>
      <c r="D5108" s="6" t="s">
        <v>387</v>
      </c>
      <c r="E5108" s="6" t="s">
        <v>388</v>
      </c>
      <c r="F5108" s="6" t="str">
        <f>IF($M5108="PADD I","PADD 1",IF($M5108="PADD II","PADD 2",IF($M5108="PADD III","PADD 3",IF($M5108="PADD IV","PADD 4",IF($M5108="PADD V","PADD 5","")))))</f>
        <v>PADD 3</v>
      </c>
      <c r="G5108" s="6" t="str">
        <f>IF(AND($H5108="ATMOS DISTILLATION",ISNUMBER(SEARCH("VPS",$I5108))=FALSE,LEFT($I5108,6)&lt;&gt;"VACUUM"),"CDU",IF($H5108="FLUID CAT CRACKING","FCC",IF(OR($H5108="HYDROCRACKING",$H5108="RESID_HYDROCRACKING"),"Hydrocracker",IF($H5108="REFORMING","Reformer",""))))</f>
        <v>CDU</v>
      </c>
      <c r="H5108" s="6" t="s">
        <v>38</v>
      </c>
      <c r="I5108" s="6" t="s">
        <v>1212</v>
      </c>
      <c r="J5108" s="6" t="s">
        <v>349</v>
      </c>
      <c r="K5108" s="10">
        <v>290</v>
      </c>
      <c r="L5108" s="10">
        <v>290</v>
      </c>
      <c r="M5108" s="6" t="s">
        <v>371</v>
      </c>
    </row>
    <row r="5109" spans="1:13">
      <c r="A5109" s="6">
        <v>2025</v>
      </c>
      <c r="B5109" s="6">
        <v>2</v>
      </c>
      <c r="C5109" s="6" t="s">
        <v>60</v>
      </c>
      <c r="D5109" s="6" t="s">
        <v>335</v>
      </c>
      <c r="E5109" s="6" t="s">
        <v>369</v>
      </c>
      <c r="F5109" s="6" t="str">
        <f>IF($M5109="PADD I","PADD 1",IF($M5109="PADD II","PADD 2",IF($M5109="PADD III","PADD 3",IF($M5109="PADD IV","PADD 4",IF($M5109="PADD V","PADD 5","")))))</f>
        <v>PADD 3</v>
      </c>
      <c r="G5109" s="6" t="str">
        <f>IF(AND($H5109="ATMOS DISTILLATION",ISNUMBER(SEARCH("VPS",$I5109))=FALSE,LEFT($I5109,6)&lt;&gt;"VACUUM"),"CDU",IF($H5109="FLUID CAT CRACKING","FCC",IF(OR($H5109="HYDROCRACKING",$H5109="RESID_HYDROCRACKING"),"Hydrocracker",IF($H5109="REFORMING","Reformer",""))))</f>
        <v>CDU</v>
      </c>
      <c r="H5109" s="6" t="s">
        <v>38</v>
      </c>
      <c r="I5109" s="6" t="s">
        <v>729</v>
      </c>
      <c r="J5109" s="6" t="s">
        <v>345</v>
      </c>
      <c r="K5109" s="10">
        <v>162.74</v>
      </c>
      <c r="L5109" s="10">
        <v>206</v>
      </c>
      <c r="M5109" s="6" t="s">
        <v>371</v>
      </c>
    </row>
    <row r="5110" spans="1:13">
      <c r="A5110" s="6">
        <v>2025</v>
      </c>
      <c r="B5110" s="6">
        <v>2</v>
      </c>
      <c r="C5110" s="6" t="s">
        <v>60</v>
      </c>
      <c r="D5110" s="6" t="s">
        <v>326</v>
      </c>
      <c r="E5110" s="6" t="s">
        <v>385</v>
      </c>
      <c r="F5110" s="6" t="str">
        <f>IF($M5110="PADD I","PADD 1",IF($M5110="PADD II","PADD 2",IF($M5110="PADD III","PADD 3",IF($M5110="PADD IV","PADD 4",IF($M5110="PADD V","PADD 5","")))))</f>
        <v>PADD 5</v>
      </c>
      <c r="G5110" s="6" t="str">
        <f>IF(AND($H5110="ATMOS DISTILLATION",ISNUMBER(SEARCH("VPS",$I5110))=FALSE,LEFT($I5110,6)&lt;&gt;"VACUUM"),"CDU",IF($H5110="FLUID CAT CRACKING","FCC",IF(OR($H5110="HYDROCRACKING",$H5110="RESID_HYDROCRACKING"),"Hydrocracker",IF($H5110="REFORMING","Reformer",""))))</f>
        <v>CDU</v>
      </c>
      <c r="H5110" s="6" t="s">
        <v>38</v>
      </c>
      <c r="I5110" s="6" t="s">
        <v>93</v>
      </c>
      <c r="J5110" s="6" t="s">
        <v>345</v>
      </c>
      <c r="K5110" s="10">
        <v>148.8</v>
      </c>
      <c r="L5110" s="10">
        <v>155</v>
      </c>
      <c r="M5110" s="6" t="s">
        <v>386</v>
      </c>
    </row>
    <row r="5111" spans="1:13">
      <c r="A5111" s="6">
        <v>2025</v>
      </c>
      <c r="B5111" s="6">
        <v>2</v>
      </c>
      <c r="C5111" s="6" t="s">
        <v>60</v>
      </c>
      <c r="D5111" s="6" t="s">
        <v>50</v>
      </c>
      <c r="E5111" s="6" t="s">
        <v>381</v>
      </c>
      <c r="F5111" s="6" t="str">
        <f>IF($M5111="PADD I","PADD 1",IF($M5111="PADD II","PADD 2",IF($M5111="PADD III","PADD 3",IF($M5111="PADD IV","PADD 4",IF($M5111="PADD V","PADD 5","")))))</f>
        <v>PADD 3</v>
      </c>
      <c r="G5111" s="6" t="str">
        <f>IF(AND($H5111="ATMOS DISTILLATION",ISNUMBER(SEARCH("VPS",$I5111))=FALSE,LEFT($I5111,6)&lt;&gt;"VACUUM"),"CDU",IF($H5111="FLUID CAT CRACKING","FCC",IF(OR($H5111="HYDROCRACKING",$H5111="RESID_HYDROCRACKING"),"Hydrocracker",IF($H5111="REFORMING","Reformer",""))))</f>
        <v>CDU</v>
      </c>
      <c r="H5111" s="6" t="s">
        <v>38</v>
      </c>
      <c r="I5111" s="6" t="s">
        <v>1267</v>
      </c>
      <c r="J5111" s="6" t="s">
        <v>349</v>
      </c>
      <c r="K5111" s="10">
        <v>135</v>
      </c>
      <c r="L5111" s="10">
        <v>135</v>
      </c>
      <c r="M5111" s="6" t="s">
        <v>371</v>
      </c>
    </row>
    <row r="5112" spans="1:13">
      <c r="A5112" s="6">
        <v>2025</v>
      </c>
      <c r="B5112" s="6">
        <v>2</v>
      </c>
      <c r="C5112" s="6" t="s">
        <v>60</v>
      </c>
      <c r="D5112" s="6" t="s">
        <v>387</v>
      </c>
      <c r="E5112" s="6" t="s">
        <v>388</v>
      </c>
      <c r="F5112" s="6" t="str">
        <f>IF($M5112="PADD I","PADD 1",IF($M5112="PADD II","PADD 2",IF($M5112="PADD III","PADD 3",IF($M5112="PADD IV","PADD 4",IF($M5112="PADD V","PADD 5","")))))</f>
        <v>PADD 3</v>
      </c>
      <c r="G5112" s="6">
        <f>IF(AND($H5112="ATMOS DISTILLATION",ISNUMBER(SEARCH("VPS",$I5112))=FALSE,LEFT($I5112,6)&lt;&gt;"VACUUM"),"CDU",IF($H5112="FLUID CAT CRACKING","FCC",IF(OR($H5112="HYDROCRACKING",$H5112="RESID_HYDROCRACKING"),"Hydrocracker",IF($H5112="REFORMING","Reformer",""))))</f>
        <v/>
      </c>
      <c r="H5112" s="6" t="s">
        <v>378</v>
      </c>
      <c r="I5112" s="6" t="s">
        <v>1269</v>
      </c>
      <c r="J5112" s="6" t="s">
        <v>349</v>
      </c>
      <c r="K5112" s="10">
        <v>112.5</v>
      </c>
      <c r="L5112" s="10">
        <v>112.5</v>
      </c>
      <c r="M5112" s="6" t="s">
        <v>371</v>
      </c>
    </row>
    <row r="5113" spans="1:13">
      <c r="A5113" s="6">
        <v>2025</v>
      </c>
      <c r="B5113" s="6">
        <v>2</v>
      </c>
      <c r="C5113" s="6" t="s">
        <v>60</v>
      </c>
      <c r="D5113" s="6" t="s">
        <v>335</v>
      </c>
      <c r="E5113" s="6" t="s">
        <v>369</v>
      </c>
      <c r="F5113" s="6" t="str">
        <f>IF($M5113="PADD I","PADD 1",IF($M5113="PADD II","PADD 2",IF($M5113="PADD III","PADD 3",IF($M5113="PADD IV","PADD 4",IF($M5113="PADD V","PADD 5","")))))</f>
        <v>PADD 3</v>
      </c>
      <c r="G5113" s="6">
        <f>IF(AND($H5113="ATMOS DISTILLATION",ISNUMBER(SEARCH("VPS",$I5113))=FALSE,LEFT($I5113,6)&lt;&gt;"VACUUM"),"CDU",IF($H5113="FLUID CAT CRACKING","FCC",IF(OR($H5113="HYDROCRACKING",$H5113="RESID_HYDROCRACKING"),"Hydrocracker",IF($H5113="REFORMING","Reformer",""))))</f>
        <v/>
      </c>
      <c r="H5113" s="6" t="s">
        <v>378</v>
      </c>
      <c r="I5113" s="6" t="s">
        <v>1268</v>
      </c>
      <c r="J5113" s="6" t="s">
        <v>349</v>
      </c>
      <c r="K5113" s="10">
        <v>105.78</v>
      </c>
      <c r="L5113" s="10">
        <v>123</v>
      </c>
      <c r="M5113" s="6" t="s">
        <v>371</v>
      </c>
    </row>
    <row r="5114" spans="1:13">
      <c r="A5114" s="6">
        <v>2025</v>
      </c>
      <c r="B5114" s="6">
        <v>2</v>
      </c>
      <c r="C5114" s="6" t="s">
        <v>60</v>
      </c>
      <c r="D5114" s="6" t="s">
        <v>455</v>
      </c>
      <c r="E5114" s="6" t="s">
        <v>405</v>
      </c>
      <c r="F5114" s="6" t="str">
        <f>IF($M5114="PADD I","PADD 1",IF($M5114="PADD II","PADD 2",IF($M5114="PADD III","PADD 3",IF($M5114="PADD IV","PADD 4",IF($M5114="PADD V","PADD 5","")))))</f>
        <v>PADD 3</v>
      </c>
      <c r="G5114" s="6" t="str">
        <f>IF(AND($H5114="ATMOS DISTILLATION",ISNUMBER(SEARCH("VPS",$I5114))=FALSE,LEFT($I5114,6)&lt;&gt;"VACUUM"),"CDU",IF($H5114="FLUID CAT CRACKING","FCC",IF(OR($H5114="HYDROCRACKING",$H5114="RESID_HYDROCRACKING"),"Hydrocracker",IF($H5114="REFORMING","Reformer",""))))</f>
        <v>FCC</v>
      </c>
      <c r="H5114" s="6" t="s">
        <v>376</v>
      </c>
      <c r="I5114" s="6" t="s">
        <v>105</v>
      </c>
      <c r="J5114" s="6" t="s">
        <v>345</v>
      </c>
      <c r="K5114" s="10">
        <v>100</v>
      </c>
      <c r="L5114" s="10">
        <v>100</v>
      </c>
      <c r="M5114" s="6" t="s">
        <v>371</v>
      </c>
    </row>
    <row r="5115" spans="1:13">
      <c r="A5115" s="6">
        <v>2025</v>
      </c>
      <c r="B5115" s="6">
        <v>2</v>
      </c>
      <c r="C5115" s="6" t="s">
        <v>60</v>
      </c>
      <c r="D5115" s="6" t="s">
        <v>335</v>
      </c>
      <c r="E5115" s="6" t="s">
        <v>369</v>
      </c>
      <c r="F5115" s="6" t="str">
        <f>IF($M5115="PADD I","PADD 1",IF($M5115="PADD II","PADD 2",IF($M5115="PADD III","PADD 3",IF($M5115="PADD IV","PADD 4",IF($M5115="PADD V","PADD 5","")))))</f>
        <v>PADD 3</v>
      </c>
      <c r="G5115" s="6">
        <f>IF(AND($H5115="ATMOS DISTILLATION",ISNUMBER(SEARCH("VPS",$I5115))=FALSE,LEFT($I5115,6)&lt;&gt;"VACUUM"),"CDU",IF($H5115="FLUID CAT CRACKING","FCC",IF(OR($H5115="HYDROCRACKING",$H5115="RESID_HYDROCRACKING"),"Hydrocracker",IF($H5115="REFORMING","Reformer",""))))</f>
        <v/>
      </c>
      <c r="H5115" s="6" t="s">
        <v>43</v>
      </c>
      <c r="I5115" s="6" t="s">
        <v>1204</v>
      </c>
      <c r="J5115" s="6" t="s">
        <v>349</v>
      </c>
      <c r="K5115" s="10">
        <v>92.02</v>
      </c>
      <c r="L5115" s="10">
        <v>107</v>
      </c>
      <c r="M5115" s="6" t="s">
        <v>371</v>
      </c>
    </row>
    <row r="5116" spans="1:13">
      <c r="A5116" s="6">
        <v>2025</v>
      </c>
      <c r="B5116" s="6">
        <v>2</v>
      </c>
      <c r="C5116" s="6" t="s">
        <v>60</v>
      </c>
      <c r="D5116" s="6" t="s">
        <v>326</v>
      </c>
      <c r="E5116" s="6" t="s">
        <v>385</v>
      </c>
      <c r="F5116" s="6" t="str">
        <f>IF($M5116="PADD I","PADD 1",IF($M5116="PADD II","PADD 2",IF($M5116="PADD III","PADD 3",IF($M5116="PADD IV","PADD 4",IF($M5116="PADD V","PADD 5","")))))</f>
        <v>PADD 5</v>
      </c>
      <c r="G5116" s="6">
        <f>IF(AND($H5116="ATMOS DISTILLATION",ISNUMBER(SEARCH("VPS",$I5116))=FALSE,LEFT($I5116,6)&lt;&gt;"VACUUM"),"CDU",IF($H5116="FLUID CAT CRACKING","FCC",IF(OR($H5116="HYDROCRACKING",$H5116="RESID_HYDROCRACKING"),"Hydrocracker",IF($H5116="REFORMING","Reformer",""))))</f>
        <v/>
      </c>
      <c r="H5116" s="6" t="s">
        <v>378</v>
      </c>
      <c r="I5116" s="6" t="s">
        <v>431</v>
      </c>
      <c r="J5116" s="6" t="s">
        <v>345</v>
      </c>
      <c r="K5116" s="10">
        <v>86.40000000000001</v>
      </c>
      <c r="L5116" s="10">
        <v>90</v>
      </c>
      <c r="M5116" s="6" t="s">
        <v>386</v>
      </c>
    </row>
    <row r="5117" spans="1:13">
      <c r="A5117" s="6">
        <v>2025</v>
      </c>
      <c r="B5117" s="6">
        <v>2</v>
      </c>
      <c r="C5117" s="6" t="s">
        <v>60</v>
      </c>
      <c r="D5117" s="6" t="s">
        <v>490</v>
      </c>
      <c r="E5117" s="6" t="s">
        <v>491</v>
      </c>
      <c r="F5117" s="6" t="str">
        <f>IF($M5117="PADD I","PADD 1",IF($M5117="PADD II","PADD 2",IF($M5117="PADD III","PADD 3",IF($M5117="PADD IV","PADD 4",IF($M5117="PADD V","PADD 5","")))))</f>
        <v>PADD 3</v>
      </c>
      <c r="G5117" s="6" t="str">
        <f>IF(AND($H5117="ATMOS DISTILLATION",ISNUMBER(SEARCH("VPS",$I5117))=FALSE,LEFT($I5117,6)&lt;&gt;"VACUUM"),"CDU",IF($H5117="FLUID CAT CRACKING","FCC",IF(OR($H5117="HYDROCRACKING",$H5117="RESID_HYDROCRACKING"),"Hydrocracker",IF($H5117="REFORMING","Reformer",""))))</f>
        <v>FCC</v>
      </c>
      <c r="H5117" s="6" t="s">
        <v>376</v>
      </c>
      <c r="I5117" s="6" t="s">
        <v>472</v>
      </c>
      <c r="J5117" s="6" t="s">
        <v>349</v>
      </c>
      <c r="K5117" s="10">
        <v>81</v>
      </c>
      <c r="L5117" s="10">
        <v>81</v>
      </c>
      <c r="M5117" s="6" t="s">
        <v>371</v>
      </c>
    </row>
    <row r="5118" spans="1:13">
      <c r="A5118" s="6">
        <v>2025</v>
      </c>
      <c r="B5118" s="6">
        <v>2</v>
      </c>
      <c r="C5118" s="6" t="s">
        <v>60</v>
      </c>
      <c r="D5118" s="6" t="s">
        <v>324</v>
      </c>
      <c r="E5118" s="6" t="s">
        <v>388</v>
      </c>
      <c r="F5118" s="6" t="str">
        <f>IF($M5118="PADD I","PADD 1",IF($M5118="PADD II","PADD 2",IF($M5118="PADD III","PADD 3",IF($M5118="PADD IV","PADD 4",IF($M5118="PADD V","PADD 5","")))))</f>
        <v>PADD 3</v>
      </c>
      <c r="G5118" s="6" t="str">
        <f>IF(AND($H5118="ATMOS DISTILLATION",ISNUMBER(SEARCH("VPS",$I5118))=FALSE,LEFT($I5118,6)&lt;&gt;"VACUUM"),"CDU",IF($H5118="FLUID CAT CRACKING","FCC",IF(OR($H5118="HYDROCRACKING",$H5118="RESID_HYDROCRACKING"),"Hydrocracker",IF($H5118="REFORMING","Reformer",""))))</f>
        <v>CDU</v>
      </c>
      <c r="H5118" s="6" t="s">
        <v>38</v>
      </c>
      <c r="I5118" s="6" t="s">
        <v>99</v>
      </c>
      <c r="J5118" s="6" t="s">
        <v>349</v>
      </c>
      <c r="K5118" s="10">
        <v>78.375</v>
      </c>
      <c r="L5118" s="10">
        <v>137.5</v>
      </c>
      <c r="M5118" s="6" t="s">
        <v>371</v>
      </c>
    </row>
    <row r="5119" spans="1:13">
      <c r="A5119" s="6">
        <v>2025</v>
      </c>
      <c r="B5119" s="6">
        <v>2</v>
      </c>
      <c r="C5119" s="6" t="s">
        <v>60</v>
      </c>
      <c r="D5119" s="6" t="s">
        <v>326</v>
      </c>
      <c r="E5119" s="6" t="s">
        <v>385</v>
      </c>
      <c r="F5119" s="6" t="str">
        <f>IF($M5119="PADD I","PADD 1",IF($M5119="PADD II","PADD 2",IF($M5119="PADD III","PADD 3",IF($M5119="PADD IV","PADD 4",IF($M5119="PADD V","PADD 5","")))))</f>
        <v>PADD 5</v>
      </c>
      <c r="G5119" s="6">
        <f>IF(AND($H5119="ATMOS DISTILLATION",ISNUMBER(SEARCH("VPS",$I5119))=FALSE,LEFT($I5119,6)&lt;&gt;"VACUUM"),"CDU",IF($H5119="FLUID CAT CRACKING","FCC",IF(OR($H5119="HYDROCRACKING",$H5119="RESID_HYDROCRACKING"),"Hydrocracker",IF($H5119="REFORMING","Reformer",""))))</f>
        <v/>
      </c>
      <c r="H5119" s="6" t="s">
        <v>43</v>
      </c>
      <c r="I5119" s="6" t="s">
        <v>1285</v>
      </c>
      <c r="J5119" s="6" t="s">
        <v>345</v>
      </c>
      <c r="K5119" s="10">
        <v>77.5</v>
      </c>
      <c r="L5119" s="10">
        <v>77.5</v>
      </c>
      <c r="M5119" s="6" t="s">
        <v>386</v>
      </c>
    </row>
    <row r="5120" spans="1:13">
      <c r="A5120" s="6">
        <v>2025</v>
      </c>
      <c r="B5120" s="6">
        <v>2</v>
      </c>
      <c r="C5120" s="6" t="s">
        <v>60</v>
      </c>
      <c r="D5120" s="6" t="s">
        <v>778</v>
      </c>
      <c r="E5120" s="6" t="s">
        <v>779</v>
      </c>
      <c r="F5120" s="6" t="str">
        <f>IF($M5120="PADD I","PADD 1",IF($M5120="PADD II","PADD 2",IF($M5120="PADD III","PADD 3",IF($M5120="PADD IV","PADD 4",IF($M5120="PADD V","PADD 5","")))))</f>
        <v>PADD 3</v>
      </c>
      <c r="G5120" s="6" t="str">
        <f>IF(AND($H5120="ATMOS DISTILLATION",ISNUMBER(SEARCH("VPS",$I5120))=FALSE,LEFT($I5120,6)&lt;&gt;"VACUUM"),"CDU",IF($H5120="FLUID CAT CRACKING","FCC",IF(OR($H5120="HYDROCRACKING",$H5120="RESID_HYDROCRACKING"),"Hydrocracker",IF($H5120="REFORMING","Reformer",""))))</f>
        <v>CDU</v>
      </c>
      <c r="H5120" s="6" t="s">
        <v>38</v>
      </c>
      <c r="I5120" s="6" t="s">
        <v>780</v>
      </c>
      <c r="J5120" s="6" t="s">
        <v>349</v>
      </c>
      <c r="K5120" s="10">
        <v>76.83</v>
      </c>
      <c r="L5120" s="10">
        <v>197</v>
      </c>
      <c r="M5120" s="6" t="s">
        <v>371</v>
      </c>
    </row>
    <row r="5121" spans="1:13">
      <c r="A5121" s="6">
        <v>2025</v>
      </c>
      <c r="B5121" s="6">
        <v>2</v>
      </c>
      <c r="C5121" s="6" t="s">
        <v>60</v>
      </c>
      <c r="D5121" s="6" t="s">
        <v>610</v>
      </c>
      <c r="E5121" s="6" t="s">
        <v>611</v>
      </c>
      <c r="F5121" s="6" t="str">
        <f>IF($M5121="PADD I","PADD 1",IF($M5121="PADD II","PADD 2",IF($M5121="PADD III","PADD 3",IF($M5121="PADD IV","PADD 4",IF($M5121="PADD V","PADD 5","")))))</f>
        <v>PADD 2</v>
      </c>
      <c r="G5121" s="6" t="str">
        <f>IF(AND($H5121="ATMOS DISTILLATION",ISNUMBER(SEARCH("VPS",$I5121))=FALSE,LEFT($I5121,6)&lt;&gt;"VACUUM"),"CDU",IF($H5121="FLUID CAT CRACKING","FCC",IF(OR($H5121="HYDROCRACKING",$H5121="RESID_HYDROCRACKING"),"Hydrocracker",IF($H5121="REFORMING","Reformer",""))))</f>
        <v>CDU</v>
      </c>
      <c r="H5121" s="6" t="s">
        <v>38</v>
      </c>
      <c r="I5121" s="6" t="s">
        <v>374</v>
      </c>
      <c r="J5121" s="6" t="s">
        <v>349</v>
      </c>
      <c r="K5121" s="10">
        <v>75</v>
      </c>
      <c r="L5121" s="10">
        <v>75</v>
      </c>
      <c r="M5121" s="6" t="s">
        <v>375</v>
      </c>
    </row>
    <row r="5122" spans="1:13">
      <c r="A5122" s="6">
        <v>2025</v>
      </c>
      <c r="B5122" s="6">
        <v>2</v>
      </c>
      <c r="C5122" s="6" t="s">
        <v>60</v>
      </c>
      <c r="D5122" s="6" t="s">
        <v>411</v>
      </c>
      <c r="E5122" s="6" t="s">
        <v>369</v>
      </c>
      <c r="F5122" s="6" t="str">
        <f>IF($M5122="PADD I","PADD 1",IF($M5122="PADD II","PADD 2",IF($M5122="PADD III","PADD 3",IF($M5122="PADD IV","PADD 4",IF($M5122="PADD V","PADD 5","")))))</f>
        <v>PADD 1</v>
      </c>
      <c r="G5122" s="6" t="str">
        <f>IF(AND($H5122="ATMOS DISTILLATION",ISNUMBER(SEARCH("VPS",$I5122))=FALSE,LEFT($I5122,6)&lt;&gt;"VACUUM"),"CDU",IF($H5122="FLUID CAT CRACKING","FCC",IF(OR($H5122="HYDROCRACKING",$H5122="RESID_HYDROCRACKING"),"Hydrocracker",IF($H5122="REFORMING","Reformer",""))))</f>
        <v>CDU</v>
      </c>
      <c r="H5122" s="6" t="s">
        <v>38</v>
      </c>
      <c r="I5122" s="6" t="s">
        <v>529</v>
      </c>
      <c r="J5122" s="6" t="s">
        <v>349</v>
      </c>
      <c r="K5122" s="10">
        <v>69.93000000000001</v>
      </c>
      <c r="L5122" s="10">
        <v>129.5</v>
      </c>
      <c r="M5122" s="6" t="s">
        <v>413</v>
      </c>
    </row>
    <row r="5123" spans="1:13">
      <c r="A5123" s="6">
        <v>2025</v>
      </c>
      <c r="B5123" s="6">
        <v>2</v>
      </c>
      <c r="C5123" s="6" t="s">
        <v>60</v>
      </c>
      <c r="D5123" s="6" t="s">
        <v>411</v>
      </c>
      <c r="E5123" s="6" t="s">
        <v>369</v>
      </c>
      <c r="F5123" s="6" t="str">
        <f>IF($M5123="PADD I","PADD 1",IF($M5123="PADD II","PADD 2",IF($M5123="PADD III","PADD 3",IF($M5123="PADD IV","PADD 4",IF($M5123="PADD V","PADD 5","")))))</f>
        <v>PADD 1</v>
      </c>
      <c r="G5123" s="6" t="str">
        <f>IF(AND($H5123="ATMOS DISTILLATION",ISNUMBER(SEARCH("VPS",$I5123))=FALSE,LEFT($I5123,6)&lt;&gt;"VACUUM"),"CDU",IF($H5123="FLUID CAT CRACKING","FCC",IF(OR($H5123="HYDROCRACKING",$H5123="RESID_HYDROCRACKING"),"Hydrocracker",IF($H5123="REFORMING","Reformer",""))))</f>
        <v>CDU</v>
      </c>
      <c r="H5123" s="6" t="s">
        <v>38</v>
      </c>
      <c r="I5123" s="6" t="s">
        <v>412</v>
      </c>
      <c r="J5123" s="6" t="s">
        <v>349</v>
      </c>
      <c r="K5123" s="10">
        <v>69.66</v>
      </c>
      <c r="L5123" s="10">
        <v>129</v>
      </c>
      <c r="M5123" s="6" t="s">
        <v>413</v>
      </c>
    </row>
    <row r="5124" spans="1:13">
      <c r="A5124" s="6">
        <v>2025</v>
      </c>
      <c r="B5124" s="6">
        <v>2</v>
      </c>
      <c r="C5124" s="6" t="s">
        <v>60</v>
      </c>
      <c r="D5124" s="6" t="s">
        <v>335</v>
      </c>
      <c r="E5124" s="6" t="s">
        <v>369</v>
      </c>
      <c r="F5124" s="6" t="str">
        <f>IF($M5124="PADD I","PADD 1",IF($M5124="PADD II","PADD 2",IF($M5124="PADD III","PADD 3",IF($M5124="PADD IV","PADD 4",IF($M5124="PADD V","PADD 5","")))))</f>
        <v>PADD 3</v>
      </c>
      <c r="G5124" s="6">
        <f>IF(AND($H5124="ATMOS DISTILLATION",ISNUMBER(SEARCH("VPS",$I5124))=FALSE,LEFT($I5124,6)&lt;&gt;"VACUUM"),"CDU",IF($H5124="FLUID CAT CRACKING","FCC",IF(OR($H5124="HYDROCRACKING",$H5124="RESID_HYDROCRACKING"),"Hydrocracker",IF($H5124="REFORMING","Reformer",""))))</f>
        <v/>
      </c>
      <c r="H5124" s="6" t="s">
        <v>435</v>
      </c>
      <c r="I5124" s="6" t="s">
        <v>1205</v>
      </c>
      <c r="J5124" s="6" t="s">
        <v>345</v>
      </c>
      <c r="K5124" s="10">
        <v>63.101</v>
      </c>
      <c r="L5124" s="10">
        <v>70.90000000000001</v>
      </c>
      <c r="M5124" s="6" t="s">
        <v>371</v>
      </c>
    </row>
    <row r="5125" spans="1:13">
      <c r="A5125" s="6">
        <v>2025</v>
      </c>
      <c r="B5125" s="6">
        <v>2</v>
      </c>
      <c r="C5125" s="6" t="s">
        <v>60</v>
      </c>
      <c r="D5125" s="6" t="s">
        <v>455</v>
      </c>
      <c r="E5125" s="6" t="s">
        <v>405</v>
      </c>
      <c r="F5125" s="6" t="str">
        <f>IF($M5125="PADD I","PADD 1",IF($M5125="PADD II","PADD 2",IF($M5125="PADD III","PADD 3",IF($M5125="PADD IV","PADD 4",IF($M5125="PADD V","PADD 5","")))))</f>
        <v>PADD 3</v>
      </c>
      <c r="G5125" s="6">
        <f>IF(AND($H5125="ATMOS DISTILLATION",ISNUMBER(SEARCH("VPS",$I5125))=FALSE,LEFT($I5125,6)&lt;&gt;"VACUUM"),"CDU",IF($H5125="FLUID CAT CRACKING","FCC",IF(OR($H5125="HYDROCRACKING",$H5125="RESID_HYDROCRACKING"),"Hydrocracker",IF($H5125="REFORMING","Reformer",""))))</f>
        <v/>
      </c>
      <c r="H5125" s="6" t="s">
        <v>43</v>
      </c>
      <c r="I5125" s="6" t="s">
        <v>1273</v>
      </c>
      <c r="J5125" s="6" t="s">
        <v>349</v>
      </c>
      <c r="K5125" s="10">
        <v>60</v>
      </c>
      <c r="L5125" s="10">
        <v>60</v>
      </c>
      <c r="M5125" s="6" t="s">
        <v>371</v>
      </c>
    </row>
    <row r="5126" spans="1:13">
      <c r="A5126" s="6">
        <v>2025</v>
      </c>
      <c r="B5126" s="6">
        <v>2</v>
      </c>
      <c r="C5126" s="6" t="s">
        <v>60</v>
      </c>
      <c r="D5126" s="6" t="s">
        <v>610</v>
      </c>
      <c r="E5126" s="6" t="s">
        <v>611</v>
      </c>
      <c r="F5126" s="6" t="str">
        <f>IF($M5126="PADD I","PADD 1",IF($M5126="PADD II","PADD 2",IF($M5126="PADD III","PADD 3",IF($M5126="PADD IV","PADD 4",IF($M5126="PADD V","PADD 5","")))))</f>
        <v>PADD 2</v>
      </c>
      <c r="G5126" s="6" t="str">
        <f>IF(AND($H5126="ATMOS DISTILLATION",ISNUMBER(SEARCH("VPS",$I5126))=FALSE,LEFT($I5126,6)&lt;&gt;"VACUUM"),"CDU",IF($H5126="FLUID CAT CRACKING","FCC",IF(OR($H5126="HYDROCRACKING",$H5126="RESID_HYDROCRACKING"),"Hydrocracker",IF($H5126="REFORMING","Reformer",""))))</f>
        <v>CDU</v>
      </c>
      <c r="H5126" s="6" t="s">
        <v>38</v>
      </c>
      <c r="I5126" s="6" t="s">
        <v>332</v>
      </c>
      <c r="J5126" s="6" t="s">
        <v>349</v>
      </c>
      <c r="K5126" s="10">
        <v>60</v>
      </c>
      <c r="L5126" s="10">
        <v>60</v>
      </c>
      <c r="M5126" s="6" t="s">
        <v>375</v>
      </c>
    </row>
    <row r="5127" spans="1:13">
      <c r="A5127" s="6">
        <v>2025</v>
      </c>
      <c r="B5127" s="6">
        <v>2</v>
      </c>
      <c r="C5127" s="6" t="s">
        <v>60</v>
      </c>
      <c r="D5127" s="6" t="s">
        <v>346</v>
      </c>
      <c r="E5127" s="6" t="s">
        <v>383</v>
      </c>
      <c r="F5127" s="6" t="str">
        <f>IF($M5127="PADD I","PADD 1",IF($M5127="PADD II","PADD 2",IF($M5127="PADD III","PADD 3",IF($M5127="PADD IV","PADD 4",IF($M5127="PADD V","PADD 5","")))))</f>
        <v>PADD 2</v>
      </c>
      <c r="G5127" s="6" t="str">
        <f>IF(AND($H5127="ATMOS DISTILLATION",ISNUMBER(SEARCH("VPS",$I5127))=FALSE,LEFT($I5127,6)&lt;&gt;"VACUUM"),"CDU",IF($H5127="FLUID CAT CRACKING","FCC",IF(OR($H5127="HYDROCRACKING",$H5127="RESID_HYDROCRACKING"),"Hydrocracker",IF($H5127="REFORMING","Reformer",""))))</f>
        <v>CDU</v>
      </c>
      <c r="H5127" s="6" t="s">
        <v>38</v>
      </c>
      <c r="I5127" s="6" t="s">
        <v>1058</v>
      </c>
      <c r="J5127" s="6" t="s">
        <v>349</v>
      </c>
      <c r="K5127" s="10">
        <v>57.4</v>
      </c>
      <c r="L5127" s="10">
        <v>70</v>
      </c>
      <c r="M5127" s="6" t="s">
        <v>375</v>
      </c>
    </row>
    <row r="5128" spans="1:13">
      <c r="A5128" s="6">
        <v>2025</v>
      </c>
      <c r="B5128" s="6">
        <v>2</v>
      </c>
      <c r="C5128" s="6" t="s">
        <v>60</v>
      </c>
      <c r="D5128" s="6" t="s">
        <v>1214</v>
      </c>
      <c r="E5128" s="6" t="s">
        <v>1215</v>
      </c>
      <c r="F5128" s="6" t="str">
        <f>IF($M5128="PADD I","PADD 1",IF($M5128="PADD II","PADD 2",IF($M5128="PADD III","PADD 3",IF($M5128="PADD IV","PADD 4",IF($M5128="PADD V","PADD 5","")))))</f>
        <v>PADD 1</v>
      </c>
      <c r="G5128" s="6" t="str">
        <f>IF(AND($H5128="ATMOS DISTILLATION",ISNUMBER(SEARCH("VPS",$I5128))=FALSE,LEFT($I5128,6)&lt;&gt;"VACUUM"),"CDU",IF($H5128="FLUID CAT CRACKING","FCC",IF(OR($H5128="HYDROCRACKING",$H5128="RESID_HYDROCRACKING"),"Hydrocracker",IF($H5128="REFORMING","Reformer",""))))</f>
        <v>CDU</v>
      </c>
      <c r="H5128" s="6" t="s">
        <v>38</v>
      </c>
      <c r="I5128" s="6" t="s">
        <v>131</v>
      </c>
      <c r="J5128" s="6" t="s">
        <v>345</v>
      </c>
      <c r="K5128" s="10">
        <v>56</v>
      </c>
      <c r="L5128" s="10">
        <v>56</v>
      </c>
      <c r="M5128" s="6" t="s">
        <v>413</v>
      </c>
    </row>
    <row r="5129" spans="1:13">
      <c r="A5129" s="6">
        <v>2025</v>
      </c>
      <c r="B5129" s="6">
        <v>2</v>
      </c>
      <c r="C5129" s="6" t="s">
        <v>60</v>
      </c>
      <c r="D5129" s="6" t="s">
        <v>676</v>
      </c>
      <c r="E5129" s="6" t="s">
        <v>677</v>
      </c>
      <c r="F5129" s="6" t="str">
        <f>IF($M5129="PADD I","PADD 1",IF($M5129="PADD II","PADD 2",IF($M5129="PADD III","PADD 3",IF($M5129="PADD IV","PADD 4",IF($M5129="PADD V","PADD 5","")))))</f>
        <v>PADD 1</v>
      </c>
      <c r="G5129" s="6" t="str">
        <f>IF(AND($H5129="ATMOS DISTILLATION",ISNUMBER(SEARCH("VPS",$I5129))=FALSE,LEFT($I5129,6)&lt;&gt;"VACUUM"),"CDU",IF($H5129="FLUID CAT CRACKING","FCC",IF(OR($H5129="HYDROCRACKING",$H5129="RESID_HYDROCRACKING"),"Hydrocracker",IF($H5129="REFORMING","Reformer",""))))</f>
        <v>CDU</v>
      </c>
      <c r="H5129" s="6" t="s">
        <v>38</v>
      </c>
      <c r="I5129" s="6" t="s">
        <v>678</v>
      </c>
      <c r="J5129" s="6" t="s">
        <v>345</v>
      </c>
      <c r="K5129" s="10">
        <v>56</v>
      </c>
      <c r="L5129" s="10">
        <v>56</v>
      </c>
      <c r="M5129" s="6" t="s">
        <v>413</v>
      </c>
    </row>
    <row r="5130" spans="1:13">
      <c r="A5130" s="6">
        <v>2025</v>
      </c>
      <c r="B5130" s="6">
        <v>2</v>
      </c>
      <c r="C5130" s="6" t="s">
        <v>60</v>
      </c>
      <c r="D5130" s="6" t="s">
        <v>676</v>
      </c>
      <c r="E5130" s="6" t="s">
        <v>677</v>
      </c>
      <c r="F5130" s="6" t="str">
        <f>IF($M5130="PADD I","PADD 1",IF($M5130="PADD II","PADD 2",IF($M5130="PADD III","PADD 3",IF($M5130="PADD IV","PADD 4",IF($M5130="PADD V","PADD 5","")))))</f>
        <v>PADD 1</v>
      </c>
      <c r="G5130" s="6" t="str">
        <f>IF(AND($H5130="ATMOS DISTILLATION",ISNUMBER(SEARCH("VPS",$I5130))=FALSE,LEFT($I5130,6)&lt;&gt;"VACUUM"),"CDU",IF($H5130="FLUID CAT CRACKING","FCC",IF(OR($H5130="HYDROCRACKING",$H5130="RESID_HYDROCRACKING"),"Hydrocracker",IF($H5130="REFORMING","Reformer",""))))</f>
        <v>CDU</v>
      </c>
      <c r="H5130" s="6" t="s">
        <v>38</v>
      </c>
      <c r="I5130" s="6" t="s">
        <v>1266</v>
      </c>
      <c r="J5130" s="6" t="s">
        <v>345</v>
      </c>
      <c r="K5130" s="10">
        <v>55</v>
      </c>
      <c r="L5130" s="10">
        <v>55</v>
      </c>
      <c r="M5130" s="6" t="s">
        <v>413</v>
      </c>
    </row>
    <row r="5131" spans="1:13">
      <c r="A5131" s="6">
        <v>2025</v>
      </c>
      <c r="B5131" s="6">
        <v>2</v>
      </c>
      <c r="C5131" s="6" t="s">
        <v>60</v>
      </c>
      <c r="D5131" s="6" t="s">
        <v>490</v>
      </c>
      <c r="E5131" s="6" t="s">
        <v>491</v>
      </c>
      <c r="F5131" s="6" t="str">
        <f>IF($M5131="PADD I","PADD 1",IF($M5131="PADD II","PADD 2",IF($M5131="PADD III","PADD 3",IF($M5131="PADD IV","PADD 4",IF($M5131="PADD V","PADD 5","")))))</f>
        <v>PADD 3</v>
      </c>
      <c r="G5131" s="6">
        <f>IF(AND($H5131="ATMOS DISTILLATION",ISNUMBER(SEARCH("VPS",$I5131))=FALSE,LEFT($I5131,6)&lt;&gt;"VACUUM"),"CDU",IF($H5131="FLUID CAT CRACKING","FCC",IF(OR($H5131="HYDROCRACKING",$H5131="RESID_HYDROCRACKING"),"Hydrocracker",IF($H5131="REFORMING","Reformer",""))))</f>
        <v/>
      </c>
      <c r="H5131" s="6" t="s">
        <v>435</v>
      </c>
      <c r="I5131" s="6" t="s">
        <v>687</v>
      </c>
      <c r="J5131" s="6" t="s">
        <v>349</v>
      </c>
      <c r="K5131" s="10">
        <v>54</v>
      </c>
      <c r="L5131" s="10">
        <v>54</v>
      </c>
      <c r="M5131" s="6" t="s">
        <v>371</v>
      </c>
    </row>
    <row r="5132" spans="1:13">
      <c r="A5132" s="6">
        <v>2025</v>
      </c>
      <c r="B5132" s="6">
        <v>2</v>
      </c>
      <c r="C5132" s="6" t="s">
        <v>60</v>
      </c>
      <c r="D5132" s="6" t="s">
        <v>329</v>
      </c>
      <c r="E5132" s="6" t="s">
        <v>427</v>
      </c>
      <c r="F5132" s="6" t="str">
        <f>IF($M5132="PADD I","PADD 1",IF($M5132="PADD II","PADD 2",IF($M5132="PADD III","PADD 3",IF($M5132="PADD IV","PADD 4",IF($M5132="PADD V","PADD 5","")))))</f>
        <v>PADD 3</v>
      </c>
      <c r="G5132" s="6">
        <f>IF(AND($H5132="ATMOS DISTILLATION",ISNUMBER(SEARCH("VPS",$I5132))=FALSE,LEFT($I5132,6)&lt;&gt;"VACUUM"),"CDU",IF($H5132="FLUID CAT CRACKING","FCC",IF(OR($H5132="HYDROCRACKING",$H5132="RESID_HYDROCRACKING"),"Hydrocracker",IF($H5132="REFORMING","Reformer",""))))</f>
        <v/>
      </c>
      <c r="H5132" s="6" t="s">
        <v>43</v>
      </c>
      <c r="I5132" s="6" t="s">
        <v>1208</v>
      </c>
      <c r="J5132" s="6" t="s">
        <v>345</v>
      </c>
      <c r="K5132" s="10">
        <v>53.32</v>
      </c>
      <c r="L5132" s="10">
        <v>62</v>
      </c>
      <c r="M5132" s="6" t="s">
        <v>371</v>
      </c>
    </row>
    <row r="5133" spans="1:13">
      <c r="A5133" s="6">
        <v>2025</v>
      </c>
      <c r="B5133" s="6">
        <v>2</v>
      </c>
      <c r="C5133" s="6" t="s">
        <v>60</v>
      </c>
      <c r="D5133" s="6" t="s">
        <v>326</v>
      </c>
      <c r="E5133" s="6" t="s">
        <v>385</v>
      </c>
      <c r="F5133" s="6" t="str">
        <f>IF($M5133="PADD I","PADD 1",IF($M5133="PADD II","PADD 2",IF($M5133="PADD III","PADD 3",IF($M5133="PADD IV","PADD 4",IF($M5133="PADD V","PADD 5","")))))</f>
        <v>PADD 5</v>
      </c>
      <c r="G5133" s="6">
        <f>IF(AND($H5133="ATMOS DISTILLATION",ISNUMBER(SEARCH("VPS",$I5133))=FALSE,LEFT($I5133,6)&lt;&gt;"VACUUM"),"CDU",IF($H5133="FLUID CAT CRACKING","FCC",IF(OR($H5133="HYDROCRACKING",$H5133="RESID_HYDROCRACKING"),"Hydrocracker",IF($H5133="REFORMING","Reformer",""))))</f>
        <v/>
      </c>
      <c r="H5133" s="6" t="s">
        <v>43</v>
      </c>
      <c r="I5133" s="6" t="s">
        <v>1174</v>
      </c>
      <c r="J5133" s="6" t="s">
        <v>345</v>
      </c>
      <c r="K5133" s="10">
        <v>50.2</v>
      </c>
      <c r="L5133" s="10">
        <v>50.2</v>
      </c>
      <c r="M5133" s="6" t="s">
        <v>386</v>
      </c>
    </row>
    <row r="5134" spans="1:13">
      <c r="A5134" s="6">
        <v>2025</v>
      </c>
      <c r="B5134" s="6">
        <v>2</v>
      </c>
      <c r="C5134" s="6" t="s">
        <v>60</v>
      </c>
      <c r="D5134" s="6" t="s">
        <v>490</v>
      </c>
      <c r="E5134" s="6" t="s">
        <v>491</v>
      </c>
      <c r="F5134" s="6" t="str">
        <f>IF($M5134="PADD I","PADD 1",IF($M5134="PADD II","PADD 2",IF($M5134="PADD III","PADD 3",IF($M5134="PADD IV","PADD 4",IF($M5134="PADD V","PADD 5","")))))</f>
        <v>PADD 3</v>
      </c>
      <c r="G5134" s="6">
        <f>IF(AND($H5134="ATMOS DISTILLATION",ISNUMBER(SEARCH("VPS",$I5134))=FALSE,LEFT($I5134,6)&lt;&gt;"VACUUM"),"CDU",IF($H5134="FLUID CAT CRACKING","FCC",IF(OR($H5134="HYDROCRACKING",$H5134="RESID_HYDROCRACKING"),"Hydrocracker",IF($H5134="REFORMING","Reformer",""))))</f>
        <v/>
      </c>
      <c r="H5134" s="6" t="s">
        <v>43</v>
      </c>
      <c r="I5134" s="6" t="s">
        <v>847</v>
      </c>
      <c r="J5134" s="6" t="s">
        <v>349</v>
      </c>
      <c r="K5134" s="10">
        <v>50</v>
      </c>
      <c r="L5134" s="10">
        <v>50</v>
      </c>
      <c r="M5134" s="6" t="s">
        <v>371</v>
      </c>
    </row>
    <row r="5135" spans="1:13">
      <c r="A5135" s="6">
        <v>2025</v>
      </c>
      <c r="B5135" s="6">
        <v>2</v>
      </c>
      <c r="C5135" s="6" t="s">
        <v>60</v>
      </c>
      <c r="D5135" s="6" t="s">
        <v>1171</v>
      </c>
      <c r="E5135" s="6" t="s">
        <v>1172</v>
      </c>
      <c r="F5135" s="6" t="str">
        <f>IF($M5135="PADD I","PADD 1",IF($M5135="PADD II","PADD 2",IF($M5135="PADD III","PADD 3",IF($M5135="PADD IV","PADD 4",IF($M5135="PADD V","PADD 5","")))))</f>
        <v>PADD 3</v>
      </c>
      <c r="G5135" s="6" t="str">
        <f>IF(AND($H5135="ATMOS DISTILLATION",ISNUMBER(SEARCH("VPS",$I5135))=FALSE,LEFT($I5135,6)&lt;&gt;"VACUUM"),"CDU",IF($H5135="FLUID CAT CRACKING","FCC",IF(OR($H5135="HYDROCRACKING",$H5135="RESID_HYDROCRACKING"),"Hydrocracker",IF($H5135="REFORMING","Reformer",""))))</f>
        <v>CDU</v>
      </c>
      <c r="H5135" s="6" t="s">
        <v>38</v>
      </c>
      <c r="I5135" s="6" t="s">
        <v>1173</v>
      </c>
      <c r="J5135" s="6" t="s">
        <v>349</v>
      </c>
      <c r="K5135" s="10">
        <v>50</v>
      </c>
      <c r="L5135" s="10">
        <v>50</v>
      </c>
      <c r="M5135" s="6" t="s">
        <v>371</v>
      </c>
    </row>
    <row r="5136" spans="1:13">
      <c r="A5136" s="6">
        <v>2025</v>
      </c>
      <c r="B5136" s="6">
        <v>2</v>
      </c>
      <c r="C5136" s="6" t="s">
        <v>60</v>
      </c>
      <c r="D5136" s="6" t="s">
        <v>1171</v>
      </c>
      <c r="E5136" s="6" t="s">
        <v>1172</v>
      </c>
      <c r="F5136" s="6" t="str">
        <f>IF($M5136="PADD I","PADD 1",IF($M5136="PADD II","PADD 2",IF($M5136="PADD III","PADD 3",IF($M5136="PADD IV","PADD 4",IF($M5136="PADD V","PADD 5","")))))</f>
        <v>PADD 3</v>
      </c>
      <c r="G5136" s="6" t="str">
        <f>IF(AND($H5136="ATMOS DISTILLATION",ISNUMBER(SEARCH("VPS",$I5136))=FALSE,LEFT($I5136,6)&lt;&gt;"VACUUM"),"CDU",IF($H5136="FLUID CAT CRACKING","FCC",IF(OR($H5136="HYDROCRACKING",$H5136="RESID_HYDROCRACKING"),"Hydrocracker",IF($H5136="REFORMING","Reformer",""))))</f>
        <v>CDU</v>
      </c>
      <c r="H5136" s="6" t="s">
        <v>38</v>
      </c>
      <c r="I5136" s="6" t="s">
        <v>1175</v>
      </c>
      <c r="J5136" s="6" t="s">
        <v>349</v>
      </c>
      <c r="K5136" s="10">
        <v>50</v>
      </c>
      <c r="L5136" s="10">
        <v>50</v>
      </c>
      <c r="M5136" s="6" t="s">
        <v>371</v>
      </c>
    </row>
    <row r="5137" spans="1:13">
      <c r="A5137" s="6">
        <v>2025</v>
      </c>
      <c r="B5137" s="6">
        <v>2</v>
      </c>
      <c r="C5137" s="6" t="s">
        <v>60</v>
      </c>
      <c r="D5137" s="6" t="s">
        <v>455</v>
      </c>
      <c r="E5137" s="6" t="s">
        <v>405</v>
      </c>
      <c r="F5137" s="6" t="str">
        <f>IF($M5137="PADD I","PADD 1",IF($M5137="PADD II","PADD 2",IF($M5137="PADD III","PADD 3",IF($M5137="PADD IV","PADD 4",IF($M5137="PADD V","PADD 5","")))))</f>
        <v>PADD 3</v>
      </c>
      <c r="G5137" s="6">
        <f>IF(AND($H5137="ATMOS DISTILLATION",ISNUMBER(SEARCH("VPS",$I5137))=FALSE,LEFT($I5137,6)&lt;&gt;"VACUUM"),"CDU",IF($H5137="FLUID CAT CRACKING","FCC",IF(OR($H5137="HYDROCRACKING",$H5137="RESID_HYDROCRACKING"),"Hydrocracker",IF($H5137="REFORMING","Reformer",""))))</f>
        <v/>
      </c>
      <c r="H5137" s="6" t="s">
        <v>43</v>
      </c>
      <c r="I5137" s="6" t="s">
        <v>1274</v>
      </c>
      <c r="J5137" s="6" t="s">
        <v>349</v>
      </c>
      <c r="K5137" s="10">
        <v>49</v>
      </c>
      <c r="L5137" s="10">
        <v>49</v>
      </c>
      <c r="M5137" s="6" t="s">
        <v>371</v>
      </c>
    </row>
    <row r="5138" spans="1:13">
      <c r="A5138" s="6">
        <v>2025</v>
      </c>
      <c r="B5138" s="6">
        <v>2</v>
      </c>
      <c r="C5138" s="6" t="s">
        <v>60</v>
      </c>
      <c r="D5138" s="6" t="s">
        <v>490</v>
      </c>
      <c r="E5138" s="6" t="s">
        <v>491</v>
      </c>
      <c r="F5138" s="6" t="str">
        <f>IF($M5138="PADD I","PADD 1",IF($M5138="PADD II","PADD 2",IF($M5138="PADD III","PADD 3",IF($M5138="PADD IV","PADD 4",IF($M5138="PADD V","PADD 5","")))))</f>
        <v>PADD 3</v>
      </c>
      <c r="G5138" s="6" t="str">
        <f>IF(AND($H5138="ATMOS DISTILLATION",ISNUMBER(SEARCH("VPS",$I5138))=FALSE,LEFT($I5138,6)&lt;&gt;"VACUUM"),"CDU",IF($H5138="FLUID CAT CRACKING","FCC",IF(OR($H5138="HYDROCRACKING",$H5138="RESID_HYDROCRACKING"),"Hydrocracker",IF($H5138="REFORMING","Reformer",""))))</f>
        <v>Reformer</v>
      </c>
      <c r="H5138" s="6" t="s">
        <v>421</v>
      </c>
      <c r="I5138" s="6" t="s">
        <v>950</v>
      </c>
      <c r="J5138" s="6" t="s">
        <v>349</v>
      </c>
      <c r="K5138" s="10">
        <v>49</v>
      </c>
      <c r="L5138" s="10">
        <v>49</v>
      </c>
      <c r="M5138" s="6" t="s">
        <v>371</v>
      </c>
    </row>
    <row r="5139" spans="1:13">
      <c r="A5139" s="6">
        <v>2025</v>
      </c>
      <c r="B5139" s="6">
        <v>2</v>
      </c>
      <c r="C5139" s="6" t="s">
        <v>60</v>
      </c>
      <c r="D5139" s="6" t="s">
        <v>333</v>
      </c>
      <c r="E5139" s="6" t="s">
        <v>381</v>
      </c>
      <c r="F5139" s="6" t="str">
        <f>IF($M5139="PADD I","PADD 1",IF($M5139="PADD II","PADD 2",IF($M5139="PADD III","PADD 3",IF($M5139="PADD IV","PADD 4",IF($M5139="PADD V","PADD 5","")))))</f>
        <v>PADD 3</v>
      </c>
      <c r="G5139" s="6">
        <f>IF(AND($H5139="ATMOS DISTILLATION",ISNUMBER(SEARCH("VPS",$I5139))=FALSE,LEFT($I5139,6)&lt;&gt;"VACUUM"),"CDU",IF($H5139="FLUID CAT CRACKING","FCC",IF(OR($H5139="HYDROCRACKING",$H5139="RESID_HYDROCRACKING"),"Hydrocracker",IF($H5139="REFORMING","Reformer",""))))</f>
        <v/>
      </c>
      <c r="H5139" s="6" t="s">
        <v>435</v>
      </c>
      <c r="I5139" s="6" t="s">
        <v>441</v>
      </c>
      <c r="J5139" s="6" t="s">
        <v>349</v>
      </c>
      <c r="K5139" s="10">
        <v>47.4</v>
      </c>
      <c r="L5139" s="10">
        <v>60</v>
      </c>
      <c r="M5139" s="6" t="s">
        <v>371</v>
      </c>
    </row>
    <row r="5140" spans="1:13">
      <c r="A5140" s="6">
        <v>2025</v>
      </c>
      <c r="B5140" s="6">
        <v>2</v>
      </c>
      <c r="C5140" s="6" t="s">
        <v>60</v>
      </c>
      <c r="D5140" s="6" t="s">
        <v>526</v>
      </c>
      <c r="E5140" s="6" t="s">
        <v>405</v>
      </c>
      <c r="F5140" s="6" t="str">
        <f>IF($M5140="PADD I","PADD 1",IF($M5140="PADD II","PADD 2",IF($M5140="PADD III","PADD 3",IF($M5140="PADD IV","PADD 4",IF($M5140="PADD V","PADD 5","")))))</f>
        <v>PADD 3</v>
      </c>
      <c r="G5140" s="6">
        <f>IF(AND($H5140="ATMOS DISTILLATION",ISNUMBER(SEARCH("VPS",$I5140))=FALSE,LEFT($I5140,6)&lt;&gt;"VACUUM"),"CDU",IF($H5140="FLUID CAT CRACKING","FCC",IF(OR($H5140="HYDROCRACKING",$H5140="RESID_HYDROCRACKING"),"Hydrocracker",IF($H5140="REFORMING","Reformer",""))))</f>
        <v/>
      </c>
      <c r="H5140" s="6" t="s">
        <v>43</v>
      </c>
      <c r="I5140" s="6" t="s">
        <v>1076</v>
      </c>
      <c r="J5140" s="6" t="s">
        <v>345</v>
      </c>
      <c r="K5140" s="10">
        <v>47.3</v>
      </c>
      <c r="L5140" s="10">
        <v>55</v>
      </c>
      <c r="M5140" s="6" t="s">
        <v>371</v>
      </c>
    </row>
    <row r="5141" spans="1:13">
      <c r="A5141" s="6">
        <v>2025</v>
      </c>
      <c r="B5141" s="6">
        <v>2</v>
      </c>
      <c r="C5141" s="6" t="s">
        <v>60</v>
      </c>
      <c r="D5141" s="6" t="s">
        <v>326</v>
      </c>
      <c r="E5141" s="6" t="s">
        <v>385</v>
      </c>
      <c r="F5141" s="6" t="str">
        <f>IF($M5141="PADD I","PADD 1",IF($M5141="PADD II","PADD 2",IF($M5141="PADD III","PADD 3",IF($M5141="PADD IV","PADD 4",IF($M5141="PADD V","PADD 5","")))))</f>
        <v>PADD 5</v>
      </c>
      <c r="G5141" s="6" t="str">
        <f>IF(AND($H5141="ATMOS DISTILLATION",ISNUMBER(SEARCH("VPS",$I5141))=FALSE,LEFT($I5141,6)&lt;&gt;"VACUUM"),"CDU",IF($H5141="FLUID CAT CRACKING","FCC",IF(OR($H5141="HYDROCRACKING",$H5141="RESID_HYDROCRACKING"),"Hydrocracker",IF($H5141="REFORMING","Reformer",""))))</f>
        <v>Hydrocracker</v>
      </c>
      <c r="H5141" s="6" t="s">
        <v>444</v>
      </c>
      <c r="I5141" s="6" t="s">
        <v>498</v>
      </c>
      <c r="J5141" s="6" t="s">
        <v>345</v>
      </c>
      <c r="K5141" s="10">
        <v>42</v>
      </c>
      <c r="L5141" s="10">
        <v>42</v>
      </c>
      <c r="M5141" s="6" t="s">
        <v>386</v>
      </c>
    </row>
    <row r="5142" spans="1:13">
      <c r="A5142" s="6">
        <v>2025</v>
      </c>
      <c r="B5142" s="6">
        <v>2</v>
      </c>
      <c r="C5142" s="6" t="s">
        <v>60</v>
      </c>
      <c r="D5142" s="6" t="s">
        <v>387</v>
      </c>
      <c r="E5142" s="6" t="s">
        <v>388</v>
      </c>
      <c r="F5142" s="6" t="str">
        <f>IF($M5142="PADD I","PADD 1",IF($M5142="PADD II","PADD 2",IF($M5142="PADD III","PADD 3",IF($M5142="PADD IV","PADD 4",IF($M5142="PADD V","PADD 5","")))))</f>
        <v>PADD 3</v>
      </c>
      <c r="G5142" s="6">
        <f>IF(AND($H5142="ATMOS DISTILLATION",ISNUMBER(SEARCH("VPS",$I5142))=FALSE,LEFT($I5142,6)&lt;&gt;"VACUUM"),"CDU",IF($H5142="FLUID CAT CRACKING","FCC",IF(OR($H5142="HYDROCRACKING",$H5142="RESID_HYDROCRACKING"),"Hydrocracker",IF($H5142="REFORMING","Reformer",""))))</f>
        <v/>
      </c>
      <c r="H5142" s="6" t="s">
        <v>43</v>
      </c>
      <c r="I5142" s="6" t="s">
        <v>1090</v>
      </c>
      <c r="J5142" s="6" t="s">
        <v>349</v>
      </c>
      <c r="K5142" s="10">
        <v>41.4</v>
      </c>
      <c r="L5142" s="10">
        <v>115</v>
      </c>
      <c r="M5142" s="6" t="s">
        <v>371</v>
      </c>
    </row>
    <row r="5143" spans="1:13">
      <c r="A5143" s="6">
        <v>2025</v>
      </c>
      <c r="B5143" s="6">
        <v>2</v>
      </c>
      <c r="C5143" s="6" t="s">
        <v>60</v>
      </c>
      <c r="D5143" s="6" t="s">
        <v>526</v>
      </c>
      <c r="E5143" s="6" t="s">
        <v>405</v>
      </c>
      <c r="F5143" s="6" t="str">
        <f>IF($M5143="PADD I","PADD 1",IF($M5143="PADD II","PADD 2",IF($M5143="PADD III","PADD 3",IF($M5143="PADD IV","PADD 4",IF($M5143="PADD V","PADD 5","")))))</f>
        <v>PADD 3</v>
      </c>
      <c r="G5143" s="6">
        <f>IF(AND($H5143="ATMOS DISTILLATION",ISNUMBER(SEARCH("VPS",$I5143))=FALSE,LEFT($I5143,6)&lt;&gt;"VACUUM"),"CDU",IF($H5143="FLUID CAT CRACKING","FCC",IF(OR($H5143="HYDROCRACKING",$H5143="RESID_HYDROCRACKING"),"Hydrocracker",IF($H5143="REFORMING","Reformer",""))))</f>
        <v/>
      </c>
      <c r="H5143" s="6" t="s">
        <v>43</v>
      </c>
      <c r="I5143" s="6" t="s">
        <v>1089</v>
      </c>
      <c r="J5143" s="6" t="s">
        <v>349</v>
      </c>
      <c r="K5143" s="10">
        <v>41.28</v>
      </c>
      <c r="L5143" s="10">
        <v>43</v>
      </c>
      <c r="M5143" s="6" t="s">
        <v>371</v>
      </c>
    </row>
    <row r="5144" spans="1:13">
      <c r="A5144" s="6">
        <v>2025</v>
      </c>
      <c r="B5144" s="6">
        <v>2</v>
      </c>
      <c r="C5144" s="6" t="s">
        <v>60</v>
      </c>
      <c r="D5144" s="6" t="s">
        <v>411</v>
      </c>
      <c r="E5144" s="6" t="s">
        <v>369</v>
      </c>
      <c r="F5144" s="6" t="str">
        <f>IF($M5144="PADD I","PADD 1",IF($M5144="PADD II","PADD 2",IF($M5144="PADD III","PADD 3",IF($M5144="PADD IV","PADD 4",IF($M5144="PADD V","PADD 5","")))))</f>
        <v>PADD 1</v>
      </c>
      <c r="G5144" s="6">
        <f>IF(AND($H5144="ATMOS DISTILLATION",ISNUMBER(SEARCH("VPS",$I5144))=FALSE,LEFT($I5144,6)&lt;&gt;"VACUUM"),"CDU",IF($H5144="FLUID CAT CRACKING","FCC",IF(OR($H5144="HYDROCRACKING",$H5144="RESID_HYDROCRACKING"),"Hydrocracker",IF($H5144="REFORMING","Reformer",""))))</f>
        <v/>
      </c>
      <c r="H5144" s="6" t="s">
        <v>378</v>
      </c>
      <c r="I5144" s="6" t="s">
        <v>431</v>
      </c>
      <c r="J5144" s="6" t="s">
        <v>349</v>
      </c>
      <c r="K5144" s="10">
        <v>40.5</v>
      </c>
      <c r="L5144" s="10">
        <v>75</v>
      </c>
      <c r="M5144" s="6" t="s">
        <v>413</v>
      </c>
    </row>
    <row r="5145" spans="1:13">
      <c r="A5145" s="6">
        <v>2025</v>
      </c>
      <c r="B5145" s="6">
        <v>2</v>
      </c>
      <c r="C5145" s="6" t="s">
        <v>60</v>
      </c>
      <c r="D5145" s="6" t="s">
        <v>326</v>
      </c>
      <c r="E5145" s="6" t="s">
        <v>385</v>
      </c>
      <c r="F5145" s="6" t="str">
        <f>IF($M5145="PADD I","PADD 1",IF($M5145="PADD II","PADD 2",IF($M5145="PADD III","PADD 3",IF($M5145="PADD IV","PADD 4",IF($M5145="PADD V","PADD 5","")))))</f>
        <v>PADD 5</v>
      </c>
      <c r="G5145" s="6" t="str">
        <f>IF(AND($H5145="ATMOS DISTILLATION",ISNUMBER(SEARCH("VPS",$I5145))=FALSE,LEFT($I5145,6)&lt;&gt;"VACUUM"),"CDU",IF($H5145="FLUID CAT CRACKING","FCC",IF(OR($H5145="HYDROCRACKING",$H5145="RESID_HYDROCRACKING"),"Hydrocracker",IF($H5145="REFORMING","Reformer",""))))</f>
        <v>Hydrocracker</v>
      </c>
      <c r="H5145" s="6" t="s">
        <v>444</v>
      </c>
      <c r="I5145" s="6" t="s">
        <v>498</v>
      </c>
      <c r="J5145" s="6" t="s">
        <v>345</v>
      </c>
      <c r="K5145" s="10">
        <v>40.32</v>
      </c>
      <c r="L5145" s="10">
        <v>42</v>
      </c>
      <c r="M5145" s="6" t="s">
        <v>386</v>
      </c>
    </row>
    <row r="5146" spans="1:13">
      <c r="A5146" s="6">
        <v>2025</v>
      </c>
      <c r="B5146" s="6">
        <v>2</v>
      </c>
      <c r="C5146" s="6" t="s">
        <v>60</v>
      </c>
      <c r="D5146" s="6" t="s">
        <v>946</v>
      </c>
      <c r="E5146" s="6" t="s">
        <v>405</v>
      </c>
      <c r="F5146" s="6" t="str">
        <f>IF($M5146="PADD I","PADD 1",IF($M5146="PADD II","PADD 2",IF($M5146="PADD III","PADD 3",IF($M5146="PADD IV","PADD 4",IF($M5146="PADD V","PADD 5","")))))</f>
        <v>PADD 5</v>
      </c>
      <c r="G5146" s="6">
        <f>IF(AND($H5146="ATMOS DISTILLATION",ISNUMBER(SEARCH("VPS",$I5146))=FALSE,LEFT($I5146,6)&lt;&gt;"VACUUM"),"CDU",IF($H5146="FLUID CAT CRACKING","FCC",IF(OR($H5146="HYDROCRACKING",$H5146="RESID_HYDROCRACKING"),"Hydrocracker",IF($H5146="REFORMING","Reformer",""))))</f>
        <v/>
      </c>
      <c r="H5146" s="6" t="s">
        <v>43</v>
      </c>
      <c r="I5146" s="6" t="s">
        <v>965</v>
      </c>
      <c r="J5146" s="6" t="s">
        <v>345</v>
      </c>
      <c r="K5146" s="10">
        <v>38.19</v>
      </c>
      <c r="L5146" s="10">
        <v>67</v>
      </c>
      <c r="M5146" s="6" t="s">
        <v>386</v>
      </c>
    </row>
    <row r="5147" spans="1:13">
      <c r="A5147" s="6">
        <v>2025</v>
      </c>
      <c r="B5147" s="6">
        <v>2</v>
      </c>
      <c r="C5147" s="6" t="s">
        <v>60</v>
      </c>
      <c r="D5147" s="6" t="s">
        <v>1228</v>
      </c>
      <c r="E5147" s="6" t="s">
        <v>611</v>
      </c>
      <c r="F5147" s="6" t="str">
        <f>IF($M5147="PADD I","PADD 1",IF($M5147="PADD II","PADD 2",IF($M5147="PADD III","PADD 3",IF($M5147="PADD IV","PADD 4",IF($M5147="PADD V","PADD 5","")))))</f>
        <v>PADD 2</v>
      </c>
      <c r="G5147" s="6">
        <f>IF(AND($H5147="ATMOS DISTILLATION",ISNUMBER(SEARCH("VPS",$I5147))=FALSE,LEFT($I5147,6)&lt;&gt;"VACUUM"),"CDU",IF($H5147="FLUID CAT CRACKING","FCC",IF(OR($H5147="HYDROCRACKING",$H5147="RESID_HYDROCRACKING"),"Hydrocracker",IF($H5147="REFORMING","Reformer",""))))</f>
        <v/>
      </c>
      <c r="H5147" s="6" t="s">
        <v>43</v>
      </c>
      <c r="I5147" s="6" t="s">
        <v>501</v>
      </c>
      <c r="J5147" s="6" t="s">
        <v>345</v>
      </c>
      <c r="K5147" s="10">
        <v>37.5</v>
      </c>
      <c r="L5147" s="10">
        <v>37.5</v>
      </c>
      <c r="M5147" s="6" t="s">
        <v>375</v>
      </c>
    </row>
    <row r="5148" spans="1:13">
      <c r="A5148" s="6">
        <v>2025</v>
      </c>
      <c r="B5148" s="6">
        <v>2</v>
      </c>
      <c r="C5148" s="6" t="s">
        <v>60</v>
      </c>
      <c r="D5148" s="6" t="s">
        <v>946</v>
      </c>
      <c r="E5148" s="6" t="s">
        <v>405</v>
      </c>
      <c r="F5148" s="6" t="str">
        <f>IF($M5148="PADD I","PADD 1",IF($M5148="PADD II","PADD 2",IF($M5148="PADD III","PADD 3",IF($M5148="PADD IV","PADD 4",IF($M5148="PADD V","PADD 5","")))))</f>
        <v>PADD 5</v>
      </c>
      <c r="G5148" s="6" t="str">
        <f>IF(AND($H5148="ATMOS DISTILLATION",ISNUMBER(SEARCH("VPS",$I5148))=FALSE,LEFT($I5148,6)&lt;&gt;"VACUUM"),"CDU",IF($H5148="FLUID CAT CRACKING","FCC",IF(OR($H5148="HYDROCRACKING",$H5148="RESID_HYDROCRACKING"),"Hydrocracker",IF($H5148="REFORMING","Reformer",""))))</f>
        <v>FCC</v>
      </c>
      <c r="H5148" s="6" t="s">
        <v>376</v>
      </c>
      <c r="I5148" s="6" t="s">
        <v>947</v>
      </c>
      <c r="J5148" s="6" t="s">
        <v>349</v>
      </c>
      <c r="K5148" s="10">
        <v>36.72</v>
      </c>
      <c r="L5148" s="10">
        <v>54</v>
      </c>
      <c r="M5148" s="6" t="s">
        <v>386</v>
      </c>
    </row>
    <row r="5149" spans="1:13">
      <c r="A5149" s="6">
        <v>2025</v>
      </c>
      <c r="B5149" s="6">
        <v>2</v>
      </c>
      <c r="C5149" s="6" t="s">
        <v>60</v>
      </c>
      <c r="D5149" s="6" t="s">
        <v>448</v>
      </c>
      <c r="E5149" s="6" t="s">
        <v>391</v>
      </c>
      <c r="F5149" s="6" t="str">
        <f>IF($M5149="PADD I","PADD 1",IF($M5149="PADD II","PADD 2",IF($M5149="PADD III","PADD 3",IF($M5149="PADD IV","PADD 4",IF($M5149="PADD V","PADD 5","")))))</f>
        <v>PADD 3</v>
      </c>
      <c r="G5149" s="6">
        <f>IF(AND($H5149="ATMOS DISTILLATION",ISNUMBER(SEARCH("VPS",$I5149))=FALSE,LEFT($I5149,6)&lt;&gt;"VACUUM"),"CDU",IF($H5149="FLUID CAT CRACKING","FCC",IF(OR($H5149="HYDROCRACKING",$H5149="RESID_HYDROCRACKING"),"Hydrocracker",IF($H5149="REFORMING","Reformer",""))))</f>
        <v/>
      </c>
      <c r="H5149" s="6" t="s">
        <v>43</v>
      </c>
      <c r="I5149" s="6" t="s">
        <v>449</v>
      </c>
      <c r="J5149" s="6" t="s">
        <v>345</v>
      </c>
      <c r="K5149" s="10">
        <v>35</v>
      </c>
      <c r="L5149" s="10">
        <v>35</v>
      </c>
      <c r="M5149" s="6" t="s">
        <v>371</v>
      </c>
    </row>
    <row r="5150" spans="1:13">
      <c r="A5150" s="6">
        <v>2025</v>
      </c>
      <c r="B5150" s="6">
        <v>2</v>
      </c>
      <c r="C5150" s="6" t="s">
        <v>60</v>
      </c>
      <c r="D5150" s="6" t="s">
        <v>324</v>
      </c>
      <c r="E5150" s="6" t="s">
        <v>388</v>
      </c>
      <c r="F5150" s="6" t="str">
        <f>IF($M5150="PADD I","PADD 1",IF($M5150="PADD II","PADD 2",IF($M5150="PADD III","PADD 3",IF($M5150="PADD IV","PADD 4",IF($M5150="PADD V","PADD 5","")))))</f>
        <v>PADD 3</v>
      </c>
      <c r="G5150" s="6">
        <f>IF(AND($H5150="ATMOS DISTILLATION",ISNUMBER(SEARCH("VPS",$I5150))=FALSE,LEFT($I5150,6)&lt;&gt;"VACUUM"),"CDU",IF($H5150="FLUID CAT CRACKING","FCC",IF(OR($H5150="HYDROCRACKING",$H5150="RESID_HYDROCRACKING"),"Hydrocracker",IF($H5150="REFORMING","Reformer",""))))</f>
        <v/>
      </c>
      <c r="H5150" s="6" t="s">
        <v>43</v>
      </c>
      <c r="I5150" s="6" t="s">
        <v>644</v>
      </c>
      <c r="J5150" s="6" t="s">
        <v>349</v>
      </c>
      <c r="K5150" s="10">
        <v>34.2</v>
      </c>
      <c r="L5150" s="10">
        <v>60</v>
      </c>
      <c r="M5150" s="6" t="s">
        <v>371</v>
      </c>
    </row>
    <row r="5151" spans="1:13">
      <c r="A5151" s="6">
        <v>2025</v>
      </c>
      <c r="B5151" s="6">
        <v>2</v>
      </c>
      <c r="C5151" s="6" t="s">
        <v>60</v>
      </c>
      <c r="D5151" s="6" t="s">
        <v>778</v>
      </c>
      <c r="E5151" s="6" t="s">
        <v>779</v>
      </c>
      <c r="F5151" s="6" t="str">
        <f>IF($M5151="PADD I","PADD 1",IF($M5151="PADD II","PADD 2",IF($M5151="PADD III","PADD 3",IF($M5151="PADD IV","PADD 4",IF($M5151="PADD V","PADD 5","")))))</f>
        <v>PADD 3</v>
      </c>
      <c r="G5151" s="6">
        <f>IF(AND($H5151="ATMOS DISTILLATION",ISNUMBER(SEARCH("VPS",$I5151))=FALSE,LEFT($I5151,6)&lt;&gt;"VACUUM"),"CDU",IF($H5151="FLUID CAT CRACKING","FCC",IF(OR($H5151="HYDROCRACKING",$H5151="RESID_HYDROCRACKING"),"Hydrocracker",IF($H5151="REFORMING","Reformer",""))))</f>
        <v/>
      </c>
      <c r="H5151" s="6" t="s">
        <v>378</v>
      </c>
      <c r="I5151" s="6" t="s">
        <v>797</v>
      </c>
      <c r="J5151" s="6" t="s">
        <v>349</v>
      </c>
      <c r="K5151" s="10">
        <v>32.4207</v>
      </c>
      <c r="L5151" s="10">
        <v>83.13</v>
      </c>
      <c r="M5151" s="6" t="s">
        <v>371</v>
      </c>
    </row>
    <row r="5152" spans="1:13">
      <c r="A5152" s="6">
        <v>2025</v>
      </c>
      <c r="B5152" s="6">
        <v>2</v>
      </c>
      <c r="C5152" s="6" t="s">
        <v>60</v>
      </c>
      <c r="D5152" s="6" t="s">
        <v>778</v>
      </c>
      <c r="E5152" s="6" t="s">
        <v>779</v>
      </c>
      <c r="F5152" s="6" t="str">
        <f>IF($M5152="PADD I","PADD 1",IF($M5152="PADD II","PADD 2",IF($M5152="PADD III","PADD 3",IF($M5152="PADD IV","PADD 4",IF($M5152="PADD V","PADD 5","")))))</f>
        <v>PADD 3</v>
      </c>
      <c r="G5152" s="6">
        <f>IF(AND($H5152="ATMOS DISTILLATION",ISNUMBER(SEARCH("VPS",$I5152))=FALSE,LEFT($I5152,6)&lt;&gt;"VACUUM"),"CDU",IF($H5152="FLUID CAT CRACKING","FCC",IF(OR($H5152="HYDROCRACKING",$H5152="RESID_HYDROCRACKING"),"Hydrocracker",IF($H5152="REFORMING","Reformer",""))))</f>
        <v/>
      </c>
      <c r="H5152" s="6" t="s">
        <v>378</v>
      </c>
      <c r="I5152" s="6" t="s">
        <v>798</v>
      </c>
      <c r="J5152" s="6" t="s">
        <v>349</v>
      </c>
      <c r="K5152" s="10">
        <v>32.37</v>
      </c>
      <c r="L5152" s="10">
        <v>83</v>
      </c>
      <c r="M5152" s="6" t="s">
        <v>371</v>
      </c>
    </row>
    <row r="5153" spans="1:13">
      <c r="A5153" s="6">
        <v>2025</v>
      </c>
      <c r="B5153" s="6">
        <v>2</v>
      </c>
      <c r="C5153" s="6" t="s">
        <v>60</v>
      </c>
      <c r="D5153" s="6" t="s">
        <v>610</v>
      </c>
      <c r="E5153" s="6" t="s">
        <v>611</v>
      </c>
      <c r="F5153" s="6" t="str">
        <f>IF($M5153="PADD I","PADD 1",IF($M5153="PADD II","PADD 2",IF($M5153="PADD III","PADD 3",IF($M5153="PADD IV","PADD 4",IF($M5153="PADD V","PADD 5","")))))</f>
        <v>PADD 2</v>
      </c>
      <c r="G5153" s="6" t="str">
        <f>IF(AND($H5153="ATMOS DISTILLATION",ISNUMBER(SEARCH("VPS",$I5153))=FALSE,LEFT($I5153,6)&lt;&gt;"VACUUM"),"CDU",IF($H5153="FLUID CAT CRACKING","FCC",IF(OR($H5153="HYDROCRACKING",$H5153="RESID_HYDROCRACKING"),"Hydrocracker",IF($H5153="REFORMING","Reformer",""))))</f>
        <v>FCC</v>
      </c>
      <c r="H5153" s="6" t="s">
        <v>376</v>
      </c>
      <c r="I5153" s="6" t="s">
        <v>105</v>
      </c>
      <c r="J5153" s="6" t="s">
        <v>349</v>
      </c>
      <c r="K5153" s="10">
        <v>32</v>
      </c>
      <c r="L5153" s="10">
        <v>32</v>
      </c>
      <c r="M5153" s="6" t="s">
        <v>375</v>
      </c>
    </row>
    <row r="5154" spans="1:13">
      <c r="A5154" s="6">
        <v>2025</v>
      </c>
      <c r="B5154" s="6">
        <v>2</v>
      </c>
      <c r="C5154" s="6" t="s">
        <v>60</v>
      </c>
      <c r="D5154" s="6" t="s">
        <v>411</v>
      </c>
      <c r="E5154" s="6" t="s">
        <v>369</v>
      </c>
      <c r="F5154" s="6" t="str">
        <f>IF($M5154="PADD I","PADD 1",IF($M5154="PADD II","PADD 2",IF($M5154="PADD III","PADD 3",IF($M5154="PADD IV","PADD 4",IF($M5154="PADD V","PADD 5","")))))</f>
        <v>PADD 1</v>
      </c>
      <c r="G5154" s="6">
        <f>IF(AND($H5154="ATMOS DISTILLATION",ISNUMBER(SEARCH("VPS",$I5154))=FALSE,LEFT($I5154,6)&lt;&gt;"VACUUM"),"CDU",IF($H5154="FLUID CAT CRACKING","FCC",IF(OR($H5154="HYDROCRACKING",$H5154="RESID_HYDROCRACKING"),"Hydrocracker",IF($H5154="REFORMING","Reformer",""))))</f>
        <v/>
      </c>
      <c r="H5154" s="6" t="s">
        <v>43</v>
      </c>
      <c r="I5154" s="6" t="s">
        <v>458</v>
      </c>
      <c r="J5154" s="6" t="s">
        <v>345</v>
      </c>
      <c r="K5154" s="10">
        <v>31.59</v>
      </c>
      <c r="L5154" s="10">
        <v>58.5</v>
      </c>
      <c r="M5154" s="6" t="s">
        <v>413</v>
      </c>
    </row>
    <row r="5155" spans="1:13">
      <c r="A5155" s="6">
        <v>2025</v>
      </c>
      <c r="B5155" s="6">
        <v>2</v>
      </c>
      <c r="C5155" s="6" t="s">
        <v>60</v>
      </c>
      <c r="D5155" s="6" t="s">
        <v>380</v>
      </c>
      <c r="E5155" s="6" t="s">
        <v>381</v>
      </c>
      <c r="F5155" s="6" t="str">
        <f>IF($M5155="PADD I","PADD 1",IF($M5155="PADD II","PADD 2",IF($M5155="PADD III","PADD 3",IF($M5155="PADD IV","PADD 4",IF($M5155="PADD V","PADD 5","")))))</f>
        <v>PADD 3</v>
      </c>
      <c r="G5155" s="6">
        <f>IF(AND($H5155="ATMOS DISTILLATION",ISNUMBER(SEARCH("VPS",$I5155))=FALSE,LEFT($I5155,6)&lt;&gt;"VACUUM"),"CDU",IF($H5155="FLUID CAT CRACKING","FCC",IF(OR($H5155="HYDROCRACKING",$H5155="RESID_HYDROCRACKING"),"Hydrocracker",IF($H5155="REFORMING","Reformer",""))))</f>
        <v/>
      </c>
      <c r="H5155" s="6" t="s">
        <v>378</v>
      </c>
      <c r="I5155" s="6" t="s">
        <v>850</v>
      </c>
      <c r="J5155" s="6" t="s">
        <v>345</v>
      </c>
      <c r="K5155" s="10">
        <v>31.24</v>
      </c>
      <c r="L5155" s="10">
        <v>44</v>
      </c>
      <c r="M5155" s="6" t="s">
        <v>371</v>
      </c>
    </row>
    <row r="5156" spans="1:13">
      <c r="A5156" s="6">
        <v>2025</v>
      </c>
      <c r="B5156" s="6">
        <v>2</v>
      </c>
      <c r="C5156" s="6" t="s">
        <v>60</v>
      </c>
      <c r="D5156" s="6" t="s">
        <v>676</v>
      </c>
      <c r="E5156" s="6" t="s">
        <v>677</v>
      </c>
      <c r="F5156" s="6" t="str">
        <f>IF($M5156="PADD I","PADD 1",IF($M5156="PADD II","PADD 2",IF($M5156="PADD III","PADD 3",IF($M5156="PADD IV","PADD 4",IF($M5156="PADD V","PADD 5","")))))</f>
        <v>PADD 1</v>
      </c>
      <c r="G5156" s="6">
        <f>IF(AND($H5156="ATMOS DISTILLATION",ISNUMBER(SEARCH("VPS",$I5156))=FALSE,LEFT($I5156,6)&lt;&gt;"VACUUM"),"CDU",IF($H5156="FLUID CAT CRACKING","FCC",IF(OR($H5156="HYDROCRACKING",$H5156="RESID_HYDROCRACKING"),"Hydrocracker",IF($H5156="REFORMING","Reformer",""))))</f>
        <v/>
      </c>
      <c r="H5156" s="6" t="s">
        <v>378</v>
      </c>
      <c r="I5156" s="6" t="s">
        <v>1262</v>
      </c>
      <c r="J5156" s="6" t="s">
        <v>345</v>
      </c>
      <c r="K5156" s="10">
        <v>31</v>
      </c>
      <c r="L5156" s="10">
        <v>31</v>
      </c>
      <c r="M5156" s="6" t="s">
        <v>413</v>
      </c>
    </row>
    <row r="5157" spans="1:13">
      <c r="A5157" s="6">
        <v>2025</v>
      </c>
      <c r="B5157" s="6">
        <v>2</v>
      </c>
      <c r="C5157" s="6" t="s">
        <v>60</v>
      </c>
      <c r="D5157" s="6" t="s">
        <v>610</v>
      </c>
      <c r="E5157" s="6" t="s">
        <v>611</v>
      </c>
      <c r="F5157" s="6" t="str">
        <f>IF($M5157="PADD I","PADD 1",IF($M5157="PADD II","PADD 2",IF($M5157="PADD III","PADD 3",IF($M5157="PADD IV","PADD 4",IF($M5157="PADD V","PADD 5","")))))</f>
        <v>PADD 2</v>
      </c>
      <c r="G5157" s="6">
        <f>IF(AND($H5157="ATMOS DISTILLATION",ISNUMBER(SEARCH("VPS",$I5157))=FALSE,LEFT($I5157,6)&lt;&gt;"VACUUM"),"CDU",IF($H5157="FLUID CAT CRACKING","FCC",IF(OR($H5157="HYDROCRACKING",$H5157="RESID_HYDROCRACKING"),"Hydrocracker",IF($H5157="REFORMING","Reformer",""))))</f>
        <v/>
      </c>
      <c r="H5157" s="6" t="s">
        <v>43</v>
      </c>
      <c r="I5157" s="6" t="s">
        <v>622</v>
      </c>
      <c r="J5157" s="6" t="s">
        <v>349</v>
      </c>
      <c r="K5157" s="10">
        <v>30</v>
      </c>
      <c r="L5157" s="10">
        <v>30</v>
      </c>
      <c r="M5157" s="6" t="s">
        <v>375</v>
      </c>
    </row>
    <row r="5158" spans="1:13">
      <c r="A5158" s="6">
        <v>2025</v>
      </c>
      <c r="B5158" s="6">
        <v>2</v>
      </c>
      <c r="C5158" s="6" t="s">
        <v>60</v>
      </c>
      <c r="D5158" s="6" t="s">
        <v>887</v>
      </c>
      <c r="E5158" s="6" t="s">
        <v>405</v>
      </c>
      <c r="F5158" s="6" t="str">
        <f>IF($M5158="PADD I","PADD 1",IF($M5158="PADD II","PADD 2",IF($M5158="PADD III","PADD 3",IF($M5158="PADD IV","PADD 4",IF($M5158="PADD V","PADD 5","")))))</f>
        <v>PADD 3</v>
      </c>
      <c r="G5158" s="6" t="str">
        <f>IF(AND($H5158="ATMOS DISTILLATION",ISNUMBER(SEARCH("VPS",$I5158))=FALSE,LEFT($I5158,6)&lt;&gt;"VACUUM"),"CDU",IF($H5158="FLUID CAT CRACKING","FCC",IF(OR($H5158="HYDROCRACKING",$H5158="RESID_HYDROCRACKING"),"Hydrocracker",IF($H5158="REFORMING","Reformer",""))))</f>
        <v>Hydrocracker</v>
      </c>
      <c r="H5158" s="6" t="s">
        <v>444</v>
      </c>
      <c r="I5158" s="6" t="s">
        <v>1022</v>
      </c>
      <c r="J5158" s="6" t="s">
        <v>349</v>
      </c>
      <c r="K5158" s="10">
        <v>30</v>
      </c>
      <c r="L5158" s="10">
        <v>30</v>
      </c>
      <c r="M5158" s="6" t="s">
        <v>371</v>
      </c>
    </row>
    <row r="5159" spans="1:13">
      <c r="A5159" s="6">
        <v>2025</v>
      </c>
      <c r="B5159" s="6">
        <v>2</v>
      </c>
      <c r="C5159" s="6" t="s">
        <v>60</v>
      </c>
      <c r="D5159" s="6" t="s">
        <v>335</v>
      </c>
      <c r="E5159" s="6" t="s">
        <v>369</v>
      </c>
      <c r="F5159" s="6" t="str">
        <f>IF($M5159="PADD I","PADD 1",IF($M5159="PADD II","PADD 2",IF($M5159="PADD III","PADD 3",IF($M5159="PADD IV","PADD 4",IF($M5159="PADD V","PADD 5","")))))</f>
        <v>PADD 3</v>
      </c>
      <c r="G5159" s="6" t="str">
        <f>IF(AND($H5159="ATMOS DISTILLATION",ISNUMBER(SEARCH("VPS",$I5159))=FALSE,LEFT($I5159,6)&lt;&gt;"VACUUM"),"CDU",IF($H5159="FLUID CAT CRACKING","FCC",IF(OR($H5159="HYDROCRACKING",$H5159="RESID_HYDROCRACKING"),"Hydrocracker",IF($H5159="REFORMING","Reformer",""))))</f>
        <v>FCC</v>
      </c>
      <c r="H5159" s="6" t="s">
        <v>376</v>
      </c>
      <c r="I5159" s="6" t="s">
        <v>472</v>
      </c>
      <c r="J5159" s="6" t="s">
        <v>345</v>
      </c>
      <c r="K5159" s="10">
        <v>30</v>
      </c>
      <c r="L5159" s="10">
        <v>30</v>
      </c>
      <c r="M5159" s="6" t="s">
        <v>371</v>
      </c>
    </row>
    <row r="5160" spans="1:13">
      <c r="A5160" s="6">
        <v>2025</v>
      </c>
      <c r="B5160" s="6">
        <v>2</v>
      </c>
      <c r="C5160" s="6" t="s">
        <v>60</v>
      </c>
      <c r="D5160" s="6" t="s">
        <v>326</v>
      </c>
      <c r="E5160" s="6" t="s">
        <v>385</v>
      </c>
      <c r="F5160" s="6" t="str">
        <f>IF($M5160="PADD I","PADD 1",IF($M5160="PADD II","PADD 2",IF($M5160="PADD III","PADD 3",IF($M5160="PADD IV","PADD 4",IF($M5160="PADD V","PADD 5","")))))</f>
        <v>PADD 5</v>
      </c>
      <c r="G5160" s="6" t="str">
        <f>IF(AND($H5160="ATMOS DISTILLATION",ISNUMBER(SEARCH("VPS",$I5160))=FALSE,LEFT($I5160,6)&lt;&gt;"VACUUM"),"CDU",IF($H5160="FLUID CAT CRACKING","FCC",IF(OR($H5160="HYDROCRACKING",$H5160="RESID_HYDROCRACKING"),"Hydrocracker",IF($H5160="REFORMING","Reformer",""))))</f>
        <v>Reformer</v>
      </c>
      <c r="H5160" s="6" t="s">
        <v>421</v>
      </c>
      <c r="I5160" s="6" t="s">
        <v>15</v>
      </c>
      <c r="J5160" s="6" t="s">
        <v>345</v>
      </c>
      <c r="K5160" s="10">
        <v>29.76</v>
      </c>
      <c r="L5160" s="10">
        <v>31</v>
      </c>
      <c r="M5160" s="6" t="s">
        <v>386</v>
      </c>
    </row>
    <row r="5161" spans="1:13">
      <c r="A5161" s="6">
        <v>2025</v>
      </c>
      <c r="B5161" s="6">
        <v>2</v>
      </c>
      <c r="C5161" s="6" t="s">
        <v>60</v>
      </c>
      <c r="D5161" s="6" t="s">
        <v>50</v>
      </c>
      <c r="E5161" s="6" t="s">
        <v>381</v>
      </c>
      <c r="F5161" s="6" t="str">
        <f>IF($M5161="PADD I","PADD 1",IF($M5161="PADD II","PADD 2",IF($M5161="PADD III","PADD 3",IF($M5161="PADD IV","PADD 4",IF($M5161="PADD V","PADD 5","")))))</f>
        <v>PADD 3</v>
      </c>
      <c r="G5161" s="6">
        <f>IF(AND($H5161="ATMOS DISTILLATION",ISNUMBER(SEARCH("VPS",$I5161))=FALSE,LEFT($I5161,6)&lt;&gt;"VACUUM"),"CDU",IF($H5161="FLUID CAT CRACKING","FCC",IF(OR($H5161="HYDROCRACKING",$H5161="RESID_HYDROCRACKING"),"Hydrocracker",IF($H5161="REFORMING","Reformer",""))))</f>
        <v/>
      </c>
      <c r="H5161" s="6" t="s">
        <v>435</v>
      </c>
      <c r="I5161" s="6" t="s">
        <v>1270</v>
      </c>
      <c r="J5161" s="6" t="s">
        <v>345</v>
      </c>
      <c r="K5161" s="10">
        <v>28.56</v>
      </c>
      <c r="L5161" s="10">
        <v>42</v>
      </c>
      <c r="M5161" s="6" t="s">
        <v>371</v>
      </c>
    </row>
    <row r="5162" spans="1:13">
      <c r="A5162" s="6">
        <v>2025</v>
      </c>
      <c r="B5162" s="6">
        <v>2</v>
      </c>
      <c r="C5162" s="6" t="s">
        <v>60</v>
      </c>
      <c r="D5162" s="6" t="s">
        <v>326</v>
      </c>
      <c r="E5162" s="6" t="s">
        <v>385</v>
      </c>
      <c r="F5162" s="6" t="str">
        <f>IF($M5162="PADD I","PADD 1",IF($M5162="PADD II","PADD 2",IF($M5162="PADD III","PADD 3",IF($M5162="PADD IV","PADD 4",IF($M5162="PADD V","PADD 5","")))))</f>
        <v>PADD 5</v>
      </c>
      <c r="G5162" s="6">
        <f>IF(AND($H5162="ATMOS DISTILLATION",ISNUMBER(SEARCH("VPS",$I5162))=FALSE,LEFT($I5162,6)&lt;&gt;"VACUUM"),"CDU",IF($H5162="FLUID CAT CRACKING","FCC",IF(OR($H5162="HYDROCRACKING",$H5162="RESID_HYDROCRACKING"),"Hydrocracker",IF($H5162="REFORMING","Reformer",""))))</f>
        <v/>
      </c>
      <c r="H5162" s="6" t="s">
        <v>43</v>
      </c>
      <c r="I5162" s="6" t="s">
        <v>501</v>
      </c>
      <c r="J5162" s="6" t="s">
        <v>345</v>
      </c>
      <c r="K5162" s="10">
        <v>28</v>
      </c>
      <c r="L5162" s="10">
        <v>28</v>
      </c>
      <c r="M5162" s="6" t="s">
        <v>386</v>
      </c>
    </row>
    <row r="5163" spans="1:13">
      <c r="A5163" s="6">
        <v>2025</v>
      </c>
      <c r="B5163" s="6">
        <v>2</v>
      </c>
      <c r="C5163" s="6" t="s">
        <v>60</v>
      </c>
      <c r="D5163" s="6" t="s">
        <v>946</v>
      </c>
      <c r="E5163" s="6" t="s">
        <v>405</v>
      </c>
      <c r="F5163" s="6" t="str">
        <f>IF($M5163="PADD I","PADD 1",IF($M5163="PADD II","PADD 2",IF($M5163="PADD III","PADD 3",IF($M5163="PADD IV","PADD 4",IF($M5163="PADD V","PADD 5","")))))</f>
        <v>PADD 5</v>
      </c>
      <c r="G5163" s="6">
        <f>IF(AND($H5163="ATMOS DISTILLATION",ISNUMBER(SEARCH("VPS",$I5163))=FALSE,LEFT($I5163,6)&lt;&gt;"VACUUM"),"CDU",IF($H5163="FLUID CAT CRACKING","FCC",IF(OR($H5163="HYDROCRACKING",$H5163="RESID_HYDROCRACKING"),"Hydrocracker",IF($H5163="REFORMING","Reformer",""))))</f>
        <v/>
      </c>
      <c r="H5163" s="6" t="s">
        <v>378</v>
      </c>
      <c r="I5163" s="6" t="s">
        <v>969</v>
      </c>
      <c r="J5163" s="6" t="s">
        <v>349</v>
      </c>
      <c r="K5163" s="10">
        <v>26.52</v>
      </c>
      <c r="L5163" s="10">
        <v>39</v>
      </c>
      <c r="M5163" s="6" t="s">
        <v>386</v>
      </c>
    </row>
    <row r="5164" spans="1:13">
      <c r="A5164" s="6">
        <v>2025</v>
      </c>
      <c r="B5164" s="6">
        <v>2</v>
      </c>
      <c r="C5164" s="6" t="s">
        <v>60</v>
      </c>
      <c r="D5164" s="6" t="s">
        <v>1228</v>
      </c>
      <c r="E5164" s="6" t="s">
        <v>611</v>
      </c>
      <c r="F5164" s="6" t="str">
        <f>IF($M5164="PADD I","PADD 1",IF($M5164="PADD II","PADD 2",IF($M5164="PADD III","PADD 3",IF($M5164="PADD IV","PADD 4",IF($M5164="PADD V","PADD 5","")))))</f>
        <v>PADD 2</v>
      </c>
      <c r="G5164" s="6" t="str">
        <f>IF(AND($H5164="ATMOS DISTILLATION",ISNUMBER(SEARCH("VPS",$I5164))=FALSE,LEFT($I5164,6)&lt;&gt;"VACUUM"),"CDU",IF($H5164="FLUID CAT CRACKING","FCC",IF(OR($H5164="HYDROCRACKING",$H5164="RESID_HYDROCRACKING"),"Hydrocracker",IF($H5164="REFORMING","Reformer",""))))</f>
        <v>Reformer</v>
      </c>
      <c r="H5164" s="6" t="s">
        <v>421</v>
      </c>
      <c r="I5164" s="6" t="s">
        <v>15</v>
      </c>
      <c r="J5164" s="6" t="s">
        <v>345</v>
      </c>
      <c r="K5164" s="10">
        <v>26.5</v>
      </c>
      <c r="L5164" s="10">
        <v>26.5</v>
      </c>
      <c r="M5164" s="6" t="s">
        <v>375</v>
      </c>
    </row>
    <row r="5165" spans="1:13">
      <c r="A5165" s="6">
        <v>2025</v>
      </c>
      <c r="B5165" s="6">
        <v>2</v>
      </c>
      <c r="C5165" s="6" t="s">
        <v>60</v>
      </c>
      <c r="D5165" s="6" t="s">
        <v>326</v>
      </c>
      <c r="E5165" s="6" t="s">
        <v>385</v>
      </c>
      <c r="F5165" s="6" t="str">
        <f>IF($M5165="PADD I","PADD 1",IF($M5165="PADD II","PADD 2",IF($M5165="PADD III","PADD 3",IF($M5165="PADD IV","PADD 4",IF($M5165="PADD V","PADD 5","")))))</f>
        <v>PADD 5</v>
      </c>
      <c r="G5165" s="6">
        <f>IF(AND($H5165="ATMOS DISTILLATION",ISNUMBER(SEARCH("VPS",$I5165))=FALSE,LEFT($I5165,6)&lt;&gt;"VACUUM"),"CDU",IF($H5165="FLUID CAT CRACKING","FCC",IF(OR($H5165="HYDROCRACKING",$H5165="RESID_HYDROCRACKING"),"Hydrocracker",IF($H5165="REFORMING","Reformer",""))))</f>
        <v/>
      </c>
      <c r="H5165" s="6" t="s">
        <v>43</v>
      </c>
      <c r="I5165" s="6" t="s">
        <v>1183</v>
      </c>
      <c r="J5165" s="6" t="s">
        <v>345</v>
      </c>
      <c r="K5165" s="10">
        <v>26</v>
      </c>
      <c r="L5165" s="10">
        <v>26</v>
      </c>
      <c r="M5165" s="6" t="s">
        <v>386</v>
      </c>
    </row>
    <row r="5166" spans="1:13">
      <c r="A5166" s="6">
        <v>2025</v>
      </c>
      <c r="B5166" s="6">
        <v>2</v>
      </c>
      <c r="C5166" s="6" t="s">
        <v>60</v>
      </c>
      <c r="D5166" s="6" t="s">
        <v>50</v>
      </c>
      <c r="E5166" s="6" t="s">
        <v>381</v>
      </c>
      <c r="F5166" s="6" t="str">
        <f>IF($M5166="PADD I","PADD 1",IF($M5166="PADD II","PADD 2",IF($M5166="PADD III","PADD 3",IF($M5166="PADD IV","PADD 4",IF($M5166="PADD V","PADD 5","")))))</f>
        <v>PADD 3</v>
      </c>
      <c r="G5166" s="6">
        <f>IF(AND($H5166="ATMOS DISTILLATION",ISNUMBER(SEARCH("VPS",$I5166))=FALSE,LEFT($I5166,6)&lt;&gt;"VACUUM"),"CDU",IF($H5166="FLUID CAT CRACKING","FCC",IF(OR($H5166="HYDROCRACKING",$H5166="RESID_HYDROCRACKING"),"Hydrocracker",IF($H5166="REFORMING","Reformer",""))))</f>
        <v/>
      </c>
      <c r="H5166" s="6" t="s">
        <v>435</v>
      </c>
      <c r="I5166" s="6" t="s">
        <v>1272</v>
      </c>
      <c r="J5166" s="6" t="s">
        <v>349</v>
      </c>
      <c r="K5166" s="10">
        <v>25.75</v>
      </c>
      <c r="L5166" s="10">
        <v>25.75</v>
      </c>
      <c r="M5166" s="6" t="s">
        <v>371</v>
      </c>
    </row>
    <row r="5167" spans="1:13">
      <c r="A5167" s="6">
        <v>2025</v>
      </c>
      <c r="B5167" s="6">
        <v>2</v>
      </c>
      <c r="C5167" s="6" t="s">
        <v>60</v>
      </c>
      <c r="D5167" s="6" t="s">
        <v>610</v>
      </c>
      <c r="E5167" s="6" t="s">
        <v>611</v>
      </c>
      <c r="F5167" s="6" t="str">
        <f>IF($M5167="PADD I","PADD 1",IF($M5167="PADD II","PADD 2",IF($M5167="PADD III","PADD 3",IF($M5167="PADD IV","PADD 4",IF($M5167="PADD V","PADD 5","")))))</f>
        <v>PADD 2</v>
      </c>
      <c r="G5167" s="6" t="str">
        <f>IF(AND($H5167="ATMOS DISTILLATION",ISNUMBER(SEARCH("VPS",$I5167))=FALSE,LEFT($I5167,6)&lt;&gt;"VACUUM"),"CDU",IF($H5167="FLUID CAT CRACKING","FCC",IF(OR($H5167="HYDROCRACKING",$H5167="RESID_HYDROCRACKING"),"Hydrocracker",IF($H5167="REFORMING","Reformer",""))))</f>
        <v>Reformer</v>
      </c>
      <c r="H5167" s="6" t="s">
        <v>421</v>
      </c>
      <c r="I5167" s="6" t="s">
        <v>15</v>
      </c>
      <c r="J5167" s="6" t="s">
        <v>349</v>
      </c>
      <c r="K5167" s="10">
        <v>25</v>
      </c>
      <c r="L5167" s="10">
        <v>25</v>
      </c>
      <c r="M5167" s="6" t="s">
        <v>375</v>
      </c>
    </row>
    <row r="5168" spans="1:13">
      <c r="A5168" s="6">
        <v>2025</v>
      </c>
      <c r="B5168" s="6">
        <v>2</v>
      </c>
      <c r="C5168" s="6" t="s">
        <v>60</v>
      </c>
      <c r="D5168" s="6" t="s">
        <v>610</v>
      </c>
      <c r="E5168" s="6" t="s">
        <v>611</v>
      </c>
      <c r="F5168" s="6" t="str">
        <f>IF($M5168="PADD I","PADD 1",IF($M5168="PADD II","PADD 2",IF($M5168="PADD III","PADD 3",IF($M5168="PADD IV","PADD 4",IF($M5168="PADD V","PADD 5","")))))</f>
        <v>PADD 2</v>
      </c>
      <c r="G5168" s="6">
        <f>IF(AND($H5168="ATMOS DISTILLATION",ISNUMBER(SEARCH("VPS",$I5168))=FALSE,LEFT($I5168,6)&lt;&gt;"VACUUM"),"CDU",IF($H5168="FLUID CAT CRACKING","FCC",IF(OR($H5168="HYDROCRACKING",$H5168="RESID_HYDROCRACKING"),"Hydrocracker",IF($H5168="REFORMING","Reformer",""))))</f>
        <v/>
      </c>
      <c r="H5168" s="6" t="s">
        <v>43</v>
      </c>
      <c r="I5168" s="6" t="s">
        <v>624</v>
      </c>
      <c r="J5168" s="6" t="s">
        <v>349</v>
      </c>
      <c r="K5168" s="10">
        <v>25</v>
      </c>
      <c r="L5168" s="10">
        <v>25</v>
      </c>
      <c r="M5168" s="6" t="s">
        <v>375</v>
      </c>
    </row>
    <row r="5169" spans="1:13">
      <c r="A5169" s="6">
        <v>2025</v>
      </c>
      <c r="B5169" s="6">
        <v>2</v>
      </c>
      <c r="C5169" s="6" t="s">
        <v>60</v>
      </c>
      <c r="D5169" s="6" t="s">
        <v>610</v>
      </c>
      <c r="E5169" s="6" t="s">
        <v>611</v>
      </c>
      <c r="F5169" s="6" t="str">
        <f>IF($M5169="PADD I","PADD 1",IF($M5169="PADD II","PADD 2",IF($M5169="PADD III","PADD 3",IF($M5169="PADD IV","PADD 4",IF($M5169="PADD V","PADD 5","")))))</f>
        <v>PADD 2</v>
      </c>
      <c r="G5169" s="6">
        <f>IF(AND($H5169="ATMOS DISTILLATION",ISNUMBER(SEARCH("VPS",$I5169))=FALSE,LEFT($I5169,6)&lt;&gt;"VACUUM"),"CDU",IF($H5169="FLUID CAT CRACKING","FCC",IF(OR($H5169="HYDROCRACKING",$H5169="RESID_HYDROCRACKING"),"Hydrocracker",IF($H5169="REFORMING","Reformer",""))))</f>
        <v/>
      </c>
      <c r="H5169" s="6" t="s">
        <v>43</v>
      </c>
      <c r="I5169" s="6" t="s">
        <v>458</v>
      </c>
      <c r="J5169" s="6" t="s">
        <v>349</v>
      </c>
      <c r="K5169" s="10">
        <v>25</v>
      </c>
      <c r="L5169" s="10">
        <v>25</v>
      </c>
      <c r="M5169" s="6" t="s">
        <v>375</v>
      </c>
    </row>
    <row r="5170" spans="1:13">
      <c r="A5170" s="6">
        <v>2025</v>
      </c>
      <c r="B5170" s="6">
        <v>2</v>
      </c>
      <c r="C5170" s="6" t="s">
        <v>60</v>
      </c>
      <c r="D5170" s="6" t="s">
        <v>490</v>
      </c>
      <c r="E5170" s="6" t="s">
        <v>491</v>
      </c>
      <c r="F5170" s="6" t="str">
        <f>IF($M5170="PADD I","PADD 1",IF($M5170="PADD II","PADD 2",IF($M5170="PADD III","PADD 3",IF($M5170="PADD IV","PADD 4",IF($M5170="PADD V","PADD 5","")))))</f>
        <v>PADD 3</v>
      </c>
      <c r="G5170" s="6">
        <f>IF(AND($H5170="ATMOS DISTILLATION",ISNUMBER(SEARCH("VPS",$I5170))=FALSE,LEFT($I5170,6)&lt;&gt;"VACUUM"),"CDU",IF($H5170="FLUID CAT CRACKING","FCC",IF(OR($H5170="HYDROCRACKING",$H5170="RESID_HYDROCRACKING"),"Hydrocracker",IF($H5170="REFORMING","Reformer",""))))</f>
        <v/>
      </c>
      <c r="H5170" s="6" t="s">
        <v>43</v>
      </c>
      <c r="I5170" s="6" t="s">
        <v>847</v>
      </c>
      <c r="J5170" s="6" t="s">
        <v>345</v>
      </c>
      <c r="K5170" s="10">
        <v>25</v>
      </c>
      <c r="L5170" s="10">
        <v>50</v>
      </c>
      <c r="M5170" s="6" t="s">
        <v>371</v>
      </c>
    </row>
    <row r="5171" spans="1:13">
      <c r="A5171" s="6">
        <v>2025</v>
      </c>
      <c r="B5171" s="6">
        <v>2</v>
      </c>
      <c r="C5171" s="6" t="s">
        <v>60</v>
      </c>
      <c r="D5171" s="6" t="s">
        <v>946</v>
      </c>
      <c r="E5171" s="6" t="s">
        <v>405</v>
      </c>
      <c r="F5171" s="6" t="str">
        <f>IF($M5171="PADD I","PADD 1",IF($M5171="PADD II","PADD 2",IF($M5171="PADD III","PADD 3",IF($M5171="PADD IV","PADD 4",IF($M5171="PADD V","PADD 5","")))))</f>
        <v>PADD 5</v>
      </c>
      <c r="G5171" s="6" t="str">
        <f>IF(AND($H5171="ATMOS DISTILLATION",ISNUMBER(SEARCH("VPS",$I5171))=FALSE,LEFT($I5171,6)&lt;&gt;"VACUUM"),"CDU",IF($H5171="FLUID CAT CRACKING","FCC",IF(OR($H5171="HYDROCRACKING",$H5171="RESID_HYDROCRACKING"),"Hydrocracker",IF($H5171="REFORMING","Reformer",""))))</f>
        <v>CDU</v>
      </c>
      <c r="H5171" s="6" t="s">
        <v>38</v>
      </c>
      <c r="I5171" s="6" t="s">
        <v>967</v>
      </c>
      <c r="J5171" s="6" t="s">
        <v>345</v>
      </c>
      <c r="K5171" s="10">
        <v>24.795</v>
      </c>
      <c r="L5171" s="10">
        <v>43.5</v>
      </c>
      <c r="M5171" s="6" t="s">
        <v>386</v>
      </c>
    </row>
    <row r="5172" spans="1:13">
      <c r="A5172" s="6">
        <v>2025</v>
      </c>
      <c r="B5172" s="6">
        <v>2</v>
      </c>
      <c r="C5172" s="6" t="s">
        <v>60</v>
      </c>
      <c r="D5172" s="6" t="s">
        <v>887</v>
      </c>
      <c r="E5172" s="6" t="s">
        <v>405</v>
      </c>
      <c r="F5172" s="6" t="str">
        <f>IF($M5172="PADD I","PADD 1",IF($M5172="PADD II","PADD 2",IF($M5172="PADD III","PADD 3",IF($M5172="PADD IV","PADD 4",IF($M5172="PADD V","PADD 5","")))))</f>
        <v>PADD 3</v>
      </c>
      <c r="G5172" s="6" t="str">
        <f>IF(AND($H5172="ATMOS DISTILLATION",ISNUMBER(SEARCH("VPS",$I5172))=FALSE,LEFT($I5172,6)&lt;&gt;"VACUUM"),"CDU",IF($H5172="FLUID CAT CRACKING","FCC",IF(OR($H5172="HYDROCRACKING",$H5172="RESID_HYDROCRACKING"),"Hydrocracker",IF($H5172="REFORMING","Reformer",""))))</f>
        <v>FCC</v>
      </c>
      <c r="H5172" s="6" t="s">
        <v>376</v>
      </c>
      <c r="I5172" s="6" t="s">
        <v>806</v>
      </c>
      <c r="J5172" s="6" t="s">
        <v>349</v>
      </c>
      <c r="K5172" s="10">
        <v>24</v>
      </c>
      <c r="L5172" s="10">
        <v>24</v>
      </c>
      <c r="M5172" s="6" t="s">
        <v>371</v>
      </c>
    </row>
    <row r="5173" spans="1:13">
      <c r="A5173" s="6">
        <v>2025</v>
      </c>
      <c r="B5173" s="6">
        <v>2</v>
      </c>
      <c r="C5173" s="6" t="s">
        <v>60</v>
      </c>
      <c r="D5173" s="6" t="s">
        <v>326</v>
      </c>
      <c r="E5173" s="6" t="s">
        <v>385</v>
      </c>
      <c r="F5173" s="6" t="str">
        <f>IF($M5173="PADD I","PADD 1",IF($M5173="PADD II","PADD 2",IF($M5173="PADD III","PADD 3",IF($M5173="PADD IV","PADD 4",IF($M5173="PADD V","PADD 5","")))))</f>
        <v>PADD 5</v>
      </c>
      <c r="G5173" s="6">
        <f>IF(AND($H5173="ATMOS DISTILLATION",ISNUMBER(SEARCH("VPS",$I5173))=FALSE,LEFT($I5173,6)&lt;&gt;"VACUUM"),"CDU",IF($H5173="FLUID CAT CRACKING","FCC",IF(OR($H5173="HYDROCRACKING",$H5173="RESID_HYDROCRACKING"),"Hydrocracker",IF($H5173="REFORMING","Reformer",""))))</f>
        <v/>
      </c>
      <c r="H5173" s="6" t="s">
        <v>435</v>
      </c>
      <c r="I5173" s="6" t="s">
        <v>813</v>
      </c>
      <c r="J5173" s="6" t="s">
        <v>345</v>
      </c>
      <c r="K5173" s="10">
        <v>24</v>
      </c>
      <c r="L5173" s="10">
        <v>25</v>
      </c>
      <c r="M5173" s="6" t="s">
        <v>386</v>
      </c>
    </row>
    <row r="5174" spans="1:13">
      <c r="A5174" s="6">
        <v>2025</v>
      </c>
      <c r="B5174" s="6">
        <v>2</v>
      </c>
      <c r="C5174" s="6" t="s">
        <v>60</v>
      </c>
      <c r="D5174" s="6" t="s">
        <v>380</v>
      </c>
      <c r="E5174" s="6" t="s">
        <v>381</v>
      </c>
      <c r="F5174" s="6" t="str">
        <f>IF($M5174="PADD I","PADD 1",IF($M5174="PADD II","PADD 2",IF($M5174="PADD III","PADD 3",IF($M5174="PADD IV","PADD 4",IF($M5174="PADD V","PADD 5","")))))</f>
        <v>PADD 3</v>
      </c>
      <c r="G5174" s="6">
        <f>IF(AND($H5174="ATMOS DISTILLATION",ISNUMBER(SEARCH("VPS",$I5174))=FALSE,LEFT($I5174,6)&lt;&gt;"VACUUM"),"CDU",IF($H5174="FLUID CAT CRACKING","FCC",IF(OR($H5174="HYDROCRACKING",$H5174="RESID_HYDROCRACKING"),"Hydrocracker",IF($H5174="REFORMING","Reformer",""))))</f>
        <v/>
      </c>
      <c r="H5174" s="6" t="s">
        <v>435</v>
      </c>
      <c r="I5174" s="6" t="s">
        <v>515</v>
      </c>
      <c r="J5174" s="6" t="s">
        <v>349</v>
      </c>
      <c r="K5174" s="10">
        <v>23.65</v>
      </c>
      <c r="L5174" s="10">
        <v>27.5</v>
      </c>
      <c r="M5174" s="6" t="s">
        <v>371</v>
      </c>
    </row>
    <row r="5175" spans="1:13">
      <c r="A5175" s="6">
        <v>2025</v>
      </c>
      <c r="B5175" s="6">
        <v>2</v>
      </c>
      <c r="C5175" s="6" t="s">
        <v>60</v>
      </c>
      <c r="D5175" s="6" t="s">
        <v>387</v>
      </c>
      <c r="E5175" s="6" t="s">
        <v>388</v>
      </c>
      <c r="F5175" s="6" t="str">
        <f>IF($M5175="PADD I","PADD 1",IF($M5175="PADD II","PADD 2",IF($M5175="PADD III","PADD 3",IF($M5175="PADD IV","PADD 4",IF($M5175="PADD V","PADD 5","")))))</f>
        <v>PADD 3</v>
      </c>
      <c r="G5175" s="6" t="str">
        <f>IF(AND($H5175="ATMOS DISTILLATION",ISNUMBER(SEARCH("VPS",$I5175))=FALSE,LEFT($I5175,6)&lt;&gt;"VACUUM"),"CDU",IF($H5175="FLUID CAT CRACKING","FCC",IF(OR($H5175="HYDROCRACKING",$H5175="RESID_HYDROCRACKING"),"Hydrocracker",IF($H5175="REFORMING","Reformer",""))))</f>
        <v>Hydrocracker</v>
      </c>
      <c r="H5175" s="6" t="s">
        <v>581</v>
      </c>
      <c r="I5175" s="6" t="s">
        <v>868</v>
      </c>
      <c r="J5175" s="6" t="s">
        <v>349</v>
      </c>
      <c r="K5175" s="10">
        <v>23.04</v>
      </c>
      <c r="L5175" s="10">
        <v>64</v>
      </c>
      <c r="M5175" s="6" t="s">
        <v>371</v>
      </c>
    </row>
    <row r="5176" spans="1:13">
      <c r="A5176" s="6">
        <v>2025</v>
      </c>
      <c r="B5176" s="6">
        <v>2</v>
      </c>
      <c r="C5176" s="6" t="s">
        <v>60</v>
      </c>
      <c r="D5176" s="6" t="s">
        <v>887</v>
      </c>
      <c r="E5176" s="6" t="s">
        <v>405</v>
      </c>
      <c r="F5176" s="6" t="str">
        <f>IF($M5176="PADD I","PADD 1",IF($M5176="PADD II","PADD 2",IF($M5176="PADD III","PADD 3",IF($M5176="PADD IV","PADD 4",IF($M5176="PADD V","PADD 5","")))))</f>
        <v>PADD 3</v>
      </c>
      <c r="G5176" s="6" t="str">
        <f>IF(AND($H5176="ATMOS DISTILLATION",ISNUMBER(SEARCH("VPS",$I5176))=FALSE,LEFT($I5176,6)&lt;&gt;"VACUUM"),"CDU",IF($H5176="FLUID CAT CRACKING","FCC",IF(OR($H5176="HYDROCRACKING",$H5176="RESID_HYDROCRACKING"),"Hydrocracker",IF($H5176="REFORMING","Reformer",""))))</f>
        <v>Reformer</v>
      </c>
      <c r="H5176" s="6" t="s">
        <v>421</v>
      </c>
      <c r="I5176" s="6" t="s">
        <v>539</v>
      </c>
      <c r="J5176" s="6" t="s">
        <v>349</v>
      </c>
      <c r="K5176" s="10">
        <v>23</v>
      </c>
      <c r="L5176" s="10">
        <v>23</v>
      </c>
      <c r="M5176" s="6" t="s">
        <v>371</v>
      </c>
    </row>
    <row r="5177" spans="1:13">
      <c r="A5177" s="6">
        <v>2025</v>
      </c>
      <c r="B5177" s="6">
        <v>2</v>
      </c>
      <c r="C5177" s="6" t="s">
        <v>60</v>
      </c>
      <c r="D5177" s="6" t="s">
        <v>610</v>
      </c>
      <c r="E5177" s="6" t="s">
        <v>611</v>
      </c>
      <c r="F5177" s="6" t="str">
        <f>IF($M5177="PADD I","PADD 1",IF($M5177="PADD II","PADD 2",IF($M5177="PADD III","PADD 3",IF($M5177="PADD IV","PADD 4",IF($M5177="PADD V","PADD 5","")))))</f>
        <v>PADD 2</v>
      </c>
      <c r="G5177" s="6">
        <f>IF(AND($H5177="ATMOS DISTILLATION",ISNUMBER(SEARCH("VPS",$I5177))=FALSE,LEFT($I5177,6)&lt;&gt;"VACUUM"),"CDU",IF($H5177="FLUID CAT CRACKING","FCC",IF(OR($H5177="HYDROCRACKING",$H5177="RESID_HYDROCRACKING"),"Hydrocracker",IF($H5177="REFORMING","Reformer",""))))</f>
        <v/>
      </c>
      <c r="H5177" s="6" t="s">
        <v>43</v>
      </c>
      <c r="I5177" s="6" t="s">
        <v>626</v>
      </c>
      <c r="J5177" s="6" t="s">
        <v>349</v>
      </c>
      <c r="K5177" s="10">
        <v>23</v>
      </c>
      <c r="L5177" s="10">
        <v>23</v>
      </c>
      <c r="M5177" s="6" t="s">
        <v>375</v>
      </c>
    </row>
    <row r="5178" spans="1:13">
      <c r="A5178" s="6">
        <v>2025</v>
      </c>
      <c r="B5178" s="6">
        <v>2</v>
      </c>
      <c r="C5178" s="6" t="s">
        <v>60</v>
      </c>
      <c r="D5178" s="6" t="s">
        <v>40</v>
      </c>
      <c r="E5178" s="6" t="s">
        <v>736</v>
      </c>
      <c r="F5178" s="6" t="str">
        <f>IF($M5178="PADD I","PADD 1",IF($M5178="PADD II","PADD 2",IF($M5178="PADD III","PADD 3",IF($M5178="PADD IV","PADD 4",IF($M5178="PADD V","PADD 5","")))))</f>
        <v>PADD 1</v>
      </c>
      <c r="G5178" s="6" t="str">
        <f>IF(AND($H5178="ATMOS DISTILLATION",ISNUMBER(SEARCH("VPS",$I5178))=FALSE,LEFT($I5178,6)&lt;&gt;"VACUUM"),"CDU",IF($H5178="FLUID CAT CRACKING","FCC",IF(OR($H5178="HYDROCRACKING",$H5178="RESID_HYDROCRACKING"),"Hydrocracker",IF($H5178="REFORMING","Reformer",""))))</f>
        <v>Hydrocracker</v>
      </c>
      <c r="H5178" s="6" t="s">
        <v>444</v>
      </c>
      <c r="I5178" s="6" t="s">
        <v>445</v>
      </c>
      <c r="J5178" s="6" t="s">
        <v>345</v>
      </c>
      <c r="K5178" s="10">
        <v>23</v>
      </c>
      <c r="L5178" s="10">
        <v>23</v>
      </c>
      <c r="M5178" s="6" t="s">
        <v>413</v>
      </c>
    </row>
    <row r="5179" spans="1:13">
      <c r="A5179" s="6">
        <v>2025</v>
      </c>
      <c r="B5179" s="6">
        <v>2</v>
      </c>
      <c r="C5179" s="6" t="s">
        <v>60</v>
      </c>
      <c r="D5179" s="6" t="s">
        <v>324</v>
      </c>
      <c r="E5179" s="6" t="s">
        <v>388</v>
      </c>
      <c r="F5179" s="6" t="str">
        <f>IF($M5179="PADD I","PADD 1",IF($M5179="PADD II","PADD 2",IF($M5179="PADD III","PADD 3",IF($M5179="PADD IV","PADD 4",IF($M5179="PADD V","PADD 5","")))))</f>
        <v>PADD 3</v>
      </c>
      <c r="G5179" s="6" t="str">
        <f>IF(AND($H5179="ATMOS DISTILLATION",ISNUMBER(SEARCH("VPS",$I5179))=FALSE,LEFT($I5179,6)&lt;&gt;"VACUUM"),"CDU",IF($H5179="FLUID CAT CRACKING","FCC",IF(OR($H5179="HYDROCRACKING",$H5179="RESID_HYDROCRACKING"),"Hydrocracker",IF($H5179="REFORMING","Reformer",""))))</f>
        <v>CDU</v>
      </c>
      <c r="H5179" s="6" t="s">
        <v>38</v>
      </c>
      <c r="I5179" s="6" t="s">
        <v>99</v>
      </c>
      <c r="J5179" s="6" t="s">
        <v>345</v>
      </c>
      <c r="K5179" s="10">
        <v>22.75</v>
      </c>
      <c r="L5179" s="10">
        <v>325</v>
      </c>
      <c r="M5179" s="6" t="s">
        <v>371</v>
      </c>
    </row>
    <row r="5180" spans="1:13">
      <c r="A5180" s="6">
        <v>2025</v>
      </c>
      <c r="B5180" s="6">
        <v>2</v>
      </c>
      <c r="C5180" s="6" t="s">
        <v>60</v>
      </c>
      <c r="D5180" s="6" t="s">
        <v>778</v>
      </c>
      <c r="E5180" s="6" t="s">
        <v>779</v>
      </c>
      <c r="F5180" s="6" t="str">
        <f>IF($M5180="PADD I","PADD 1",IF($M5180="PADD II","PADD 2",IF($M5180="PADD III","PADD 3",IF($M5180="PADD IV","PADD 4",IF($M5180="PADD V","PADD 5","")))))</f>
        <v>PADD 3</v>
      </c>
      <c r="G5180" s="6" t="str">
        <f>IF(AND($H5180="ATMOS DISTILLATION",ISNUMBER(SEARCH("VPS",$I5180))=FALSE,LEFT($I5180,6)&lt;&gt;"VACUUM"),"CDU",IF($H5180="FLUID CAT CRACKING","FCC",IF(OR($H5180="HYDROCRACKING",$H5180="RESID_HYDROCRACKING"),"Hydrocracker",IF($H5180="REFORMING","Reformer",""))))</f>
        <v>CDU</v>
      </c>
      <c r="H5180" s="6" t="s">
        <v>38</v>
      </c>
      <c r="I5180" s="6" t="s">
        <v>805</v>
      </c>
      <c r="J5180" s="6" t="s">
        <v>349</v>
      </c>
      <c r="K5180" s="10">
        <v>22.62</v>
      </c>
      <c r="L5180" s="10">
        <v>58</v>
      </c>
      <c r="M5180" s="6" t="s">
        <v>371</v>
      </c>
    </row>
    <row r="5181" spans="1:13">
      <c r="A5181" s="6">
        <v>2025</v>
      </c>
      <c r="B5181" s="6">
        <v>2</v>
      </c>
      <c r="C5181" s="6" t="s">
        <v>60</v>
      </c>
      <c r="D5181" s="6" t="s">
        <v>778</v>
      </c>
      <c r="E5181" s="6" t="s">
        <v>779</v>
      </c>
      <c r="F5181" s="6" t="str">
        <f>IF($M5181="PADD I","PADD 1",IF($M5181="PADD II","PADD 2",IF($M5181="PADD III","PADD 3",IF($M5181="PADD IV","PADD 4",IF($M5181="PADD V","PADD 5","")))))</f>
        <v>PADD 3</v>
      </c>
      <c r="G5181" s="6" t="str">
        <f>IF(AND($H5181="ATMOS DISTILLATION",ISNUMBER(SEARCH("VPS",$I5181))=FALSE,LEFT($I5181,6)&lt;&gt;"VACUUM"),"CDU",IF($H5181="FLUID CAT CRACKING","FCC",IF(OR($H5181="HYDROCRACKING",$H5181="RESID_HYDROCRACKING"),"Hydrocracker",IF($H5181="REFORMING","Reformer",""))))</f>
        <v>Reformer</v>
      </c>
      <c r="H5181" s="6" t="s">
        <v>421</v>
      </c>
      <c r="I5181" s="6" t="s">
        <v>804</v>
      </c>
      <c r="J5181" s="6" t="s">
        <v>349</v>
      </c>
      <c r="K5181" s="10">
        <v>22.62</v>
      </c>
      <c r="L5181" s="10">
        <v>58</v>
      </c>
      <c r="M5181" s="6" t="s">
        <v>371</v>
      </c>
    </row>
    <row r="5182" spans="1:13">
      <c r="A5182" s="6">
        <v>2025</v>
      </c>
      <c r="B5182" s="6">
        <v>2</v>
      </c>
      <c r="C5182" s="6" t="s">
        <v>60</v>
      </c>
      <c r="D5182" s="6" t="s">
        <v>946</v>
      </c>
      <c r="E5182" s="6" t="s">
        <v>405</v>
      </c>
      <c r="F5182" s="6" t="str">
        <f>IF($M5182="PADD I","PADD 1",IF($M5182="PADD II","PADD 2",IF($M5182="PADD III","PADD 3",IF($M5182="PADD IV","PADD 4",IF($M5182="PADD V","PADD 5","")))))</f>
        <v>PADD 5</v>
      </c>
      <c r="G5182" s="6">
        <f>IF(AND($H5182="ATMOS DISTILLATION",ISNUMBER(SEARCH("VPS",$I5182))=FALSE,LEFT($I5182,6)&lt;&gt;"VACUUM"),"CDU",IF($H5182="FLUID CAT CRACKING","FCC",IF(OR($H5182="HYDROCRACKING",$H5182="RESID_HYDROCRACKING"),"Hydrocracker",IF($H5182="REFORMING","Reformer",""))))</f>
        <v/>
      </c>
      <c r="H5182" s="6" t="s">
        <v>43</v>
      </c>
      <c r="I5182" s="6" t="s">
        <v>970</v>
      </c>
      <c r="J5182" s="6" t="s">
        <v>349</v>
      </c>
      <c r="K5182" s="10">
        <v>22.44</v>
      </c>
      <c r="L5182" s="10">
        <v>33</v>
      </c>
      <c r="M5182" s="6" t="s">
        <v>386</v>
      </c>
    </row>
    <row r="5183" spans="1:13">
      <c r="A5183" s="6">
        <v>2025</v>
      </c>
      <c r="B5183" s="6">
        <v>2</v>
      </c>
      <c r="C5183" s="6" t="s">
        <v>60</v>
      </c>
      <c r="D5183" s="6" t="s">
        <v>610</v>
      </c>
      <c r="E5183" s="6" t="s">
        <v>611</v>
      </c>
      <c r="F5183" s="6" t="str">
        <f>IF($M5183="PADD I","PADD 1",IF($M5183="PADD II","PADD 2",IF($M5183="PADD III","PADD 3",IF($M5183="PADD IV","PADD 4",IF($M5183="PADD V","PADD 5","")))))</f>
        <v>PADD 2</v>
      </c>
      <c r="G5183" s="6">
        <f>IF(AND($H5183="ATMOS DISTILLATION",ISNUMBER(SEARCH("VPS",$I5183))=FALSE,LEFT($I5183,6)&lt;&gt;"VACUUM"),"CDU",IF($H5183="FLUID CAT CRACKING","FCC",IF(OR($H5183="HYDROCRACKING",$H5183="RESID_HYDROCRACKING"),"Hydrocracker",IF($H5183="REFORMING","Reformer",""))))</f>
        <v/>
      </c>
      <c r="H5183" s="6" t="s">
        <v>568</v>
      </c>
      <c r="I5183" s="6" t="s">
        <v>604</v>
      </c>
      <c r="J5183" s="6" t="s">
        <v>349</v>
      </c>
      <c r="K5183" s="10">
        <v>22.2</v>
      </c>
      <c r="L5183" s="10">
        <v>22.2</v>
      </c>
      <c r="M5183" s="6" t="s">
        <v>375</v>
      </c>
    </row>
    <row r="5184" spans="1:13">
      <c r="A5184" s="6">
        <v>2025</v>
      </c>
      <c r="B5184" s="6">
        <v>2</v>
      </c>
      <c r="C5184" s="6" t="s">
        <v>60</v>
      </c>
      <c r="D5184" s="6" t="s">
        <v>887</v>
      </c>
      <c r="E5184" s="6" t="s">
        <v>405</v>
      </c>
      <c r="F5184" s="6" t="str">
        <f>IF($M5184="PADD I","PADD 1",IF($M5184="PADD II","PADD 2",IF($M5184="PADD III","PADD 3",IF($M5184="PADD IV","PADD 4",IF($M5184="PADD V","PADD 5","")))))</f>
        <v>PADD 3</v>
      </c>
      <c r="G5184" s="6">
        <f>IF(AND($H5184="ATMOS DISTILLATION",ISNUMBER(SEARCH("VPS",$I5184))=FALSE,LEFT($I5184,6)&lt;&gt;"VACUUM"),"CDU",IF($H5184="FLUID CAT CRACKING","FCC",IF(OR($H5184="HYDROCRACKING",$H5184="RESID_HYDROCRACKING"),"Hydrocracker",IF($H5184="REFORMING","Reformer",""))))</f>
        <v/>
      </c>
      <c r="H5184" s="6" t="s">
        <v>43</v>
      </c>
      <c r="I5184" s="6" t="s">
        <v>493</v>
      </c>
      <c r="J5184" s="6" t="s">
        <v>349</v>
      </c>
      <c r="K5184" s="10">
        <v>22</v>
      </c>
      <c r="L5184" s="10">
        <v>22</v>
      </c>
      <c r="M5184" s="6" t="s">
        <v>371</v>
      </c>
    </row>
    <row r="5185" spans="1:13">
      <c r="A5185" s="6">
        <v>2025</v>
      </c>
      <c r="B5185" s="6">
        <v>2</v>
      </c>
      <c r="C5185" s="6" t="s">
        <v>60</v>
      </c>
      <c r="D5185" s="6" t="s">
        <v>610</v>
      </c>
      <c r="E5185" s="6" t="s">
        <v>611</v>
      </c>
      <c r="F5185" s="6" t="str">
        <f>IF($M5185="PADD I","PADD 1",IF($M5185="PADD II","PADD 2",IF($M5185="PADD III","PADD 3",IF($M5185="PADD IV","PADD 4",IF($M5185="PADD V","PADD 5","")))))</f>
        <v>PADD 2</v>
      </c>
      <c r="G5185" s="6">
        <f>IF(AND($H5185="ATMOS DISTILLATION",ISNUMBER(SEARCH("VPS",$I5185))=FALSE,LEFT($I5185,6)&lt;&gt;"VACUUM"),"CDU",IF($H5185="FLUID CAT CRACKING","FCC",IF(OR($H5185="HYDROCRACKING",$H5185="RESID_HYDROCRACKING"),"Hydrocracker",IF($H5185="REFORMING","Reformer",""))))</f>
        <v/>
      </c>
      <c r="H5185" s="6" t="s">
        <v>378</v>
      </c>
      <c r="I5185" s="6" t="s">
        <v>627</v>
      </c>
      <c r="J5185" s="6" t="s">
        <v>349</v>
      </c>
      <c r="K5185" s="10">
        <v>22</v>
      </c>
      <c r="L5185" s="10">
        <v>22</v>
      </c>
      <c r="M5185" s="6" t="s">
        <v>375</v>
      </c>
    </row>
    <row r="5186" spans="1:13">
      <c r="A5186" s="6">
        <v>2025</v>
      </c>
      <c r="B5186" s="6">
        <v>2</v>
      </c>
      <c r="C5186" s="6" t="s">
        <v>60</v>
      </c>
      <c r="D5186" s="6" t="s">
        <v>946</v>
      </c>
      <c r="E5186" s="6" t="s">
        <v>405</v>
      </c>
      <c r="F5186" s="6" t="str">
        <f>IF($M5186="PADD I","PADD 1",IF($M5186="PADD II","PADD 2",IF($M5186="PADD III","PADD 3",IF($M5186="PADD IV","PADD 4",IF($M5186="PADD V","PADD 5","")))))</f>
        <v>PADD 5</v>
      </c>
      <c r="G5186" s="6">
        <f>IF(AND($H5186="ATMOS DISTILLATION",ISNUMBER(SEARCH("VPS",$I5186))=FALSE,LEFT($I5186,6)&lt;&gt;"VACUUM"),"CDU",IF($H5186="FLUID CAT CRACKING","FCC",IF(OR($H5186="HYDROCRACKING",$H5186="RESID_HYDROCRACKING"),"Hydrocracker",IF($H5186="REFORMING","Reformer",""))))</f>
        <v/>
      </c>
      <c r="H5186" s="6" t="s">
        <v>460</v>
      </c>
      <c r="I5186" s="6" t="s">
        <v>952</v>
      </c>
      <c r="J5186" s="6" t="s">
        <v>345</v>
      </c>
      <c r="K5186" s="10">
        <v>22</v>
      </c>
      <c r="L5186" s="10">
        <v>22</v>
      </c>
      <c r="M5186" s="6" t="s">
        <v>386</v>
      </c>
    </row>
    <row r="5187" spans="1:13">
      <c r="A5187" s="6">
        <v>2025</v>
      </c>
      <c r="B5187" s="6">
        <v>2</v>
      </c>
      <c r="C5187" s="6" t="s">
        <v>60</v>
      </c>
      <c r="D5187" s="6" t="s">
        <v>778</v>
      </c>
      <c r="E5187" s="6" t="s">
        <v>779</v>
      </c>
      <c r="F5187" s="6" t="str">
        <f>IF($M5187="PADD I","PADD 1",IF($M5187="PADD II","PADD 2",IF($M5187="PADD III","PADD 3",IF($M5187="PADD IV","PADD 4",IF($M5187="PADD V","PADD 5","")))))</f>
        <v>PADD 3</v>
      </c>
      <c r="G5187" s="6" t="str">
        <f>IF(AND($H5187="ATMOS DISTILLATION",ISNUMBER(SEARCH("VPS",$I5187))=FALSE,LEFT($I5187,6)&lt;&gt;"VACUUM"),"CDU",IF($H5187="FLUID CAT CRACKING","FCC",IF(OR($H5187="HYDROCRACKING",$H5187="RESID_HYDROCRACKING"),"Hydrocracker",IF($H5187="REFORMING","Reformer",""))))</f>
        <v>FCC</v>
      </c>
      <c r="H5187" s="6" t="s">
        <v>376</v>
      </c>
      <c r="I5187" s="6" t="s">
        <v>806</v>
      </c>
      <c r="J5187" s="6" t="s">
        <v>349</v>
      </c>
      <c r="K5187" s="10">
        <v>21.45</v>
      </c>
      <c r="L5187" s="10">
        <v>55</v>
      </c>
      <c r="M5187" s="6" t="s">
        <v>371</v>
      </c>
    </row>
    <row r="5188" spans="1:13">
      <c r="A5188" s="6">
        <v>2025</v>
      </c>
      <c r="B5188" s="6">
        <v>2</v>
      </c>
      <c r="C5188" s="6" t="s">
        <v>60</v>
      </c>
      <c r="D5188" s="6" t="s">
        <v>326</v>
      </c>
      <c r="E5188" s="6" t="s">
        <v>385</v>
      </c>
      <c r="F5188" s="6" t="str">
        <f>IF($M5188="PADD I","PADD 1",IF($M5188="PADD II","PADD 2",IF($M5188="PADD III","PADD 3",IF($M5188="PADD IV","PADD 4",IF($M5188="PADD V","PADD 5","")))))</f>
        <v>PADD 5</v>
      </c>
      <c r="G5188" s="6">
        <f>IF(AND($H5188="ATMOS DISTILLATION",ISNUMBER(SEARCH("VPS",$I5188))=FALSE,LEFT($I5188,6)&lt;&gt;"VACUUM"),"CDU",IF($H5188="FLUID CAT CRACKING","FCC",IF(OR($H5188="HYDROCRACKING",$H5188="RESID_HYDROCRACKING"),"Hydrocracker",IF($H5188="REFORMING","Reformer",""))))</f>
        <v/>
      </c>
      <c r="H5188" s="6" t="s">
        <v>435</v>
      </c>
      <c r="I5188" s="6" t="s">
        <v>441</v>
      </c>
      <c r="J5188" s="6" t="s">
        <v>345</v>
      </c>
      <c r="K5188" s="10">
        <v>21.12</v>
      </c>
      <c r="L5188" s="10">
        <v>22</v>
      </c>
      <c r="M5188" s="6" t="s">
        <v>386</v>
      </c>
    </row>
    <row r="5189" spans="1:13">
      <c r="A5189" s="6">
        <v>2025</v>
      </c>
      <c r="B5189" s="6">
        <v>2</v>
      </c>
      <c r="C5189" s="6" t="s">
        <v>60</v>
      </c>
      <c r="D5189" s="6" t="s">
        <v>455</v>
      </c>
      <c r="E5189" s="6" t="s">
        <v>405</v>
      </c>
      <c r="F5189" s="6" t="str">
        <f>IF($M5189="PADD I","PADD 1",IF($M5189="PADD II","PADD 2",IF($M5189="PADD III","PADD 3",IF($M5189="PADD IV","PADD 4",IF($M5189="PADD V","PADD 5","")))))</f>
        <v>PADD 3</v>
      </c>
      <c r="G5189" s="6">
        <f>IF(AND($H5189="ATMOS DISTILLATION",ISNUMBER(SEARCH("VPS",$I5189))=FALSE,LEFT($I5189,6)&lt;&gt;"VACUUM"),"CDU",IF($H5189="FLUID CAT CRACKING","FCC",IF(OR($H5189="HYDROCRACKING",$H5189="RESID_HYDROCRACKING"),"Hydrocracker",IF($H5189="REFORMING","Reformer",""))))</f>
        <v/>
      </c>
      <c r="H5189" s="6" t="s">
        <v>460</v>
      </c>
      <c r="I5189" s="6" t="s">
        <v>461</v>
      </c>
      <c r="J5189" s="6" t="s">
        <v>349</v>
      </c>
      <c r="K5189" s="10">
        <v>21</v>
      </c>
      <c r="L5189" s="10">
        <v>21</v>
      </c>
      <c r="M5189" s="6" t="s">
        <v>371</v>
      </c>
    </row>
    <row r="5190" spans="1:13">
      <c r="A5190" s="6">
        <v>2025</v>
      </c>
      <c r="B5190" s="6">
        <v>2</v>
      </c>
      <c r="C5190" s="6" t="s">
        <v>60</v>
      </c>
      <c r="D5190" s="6" t="s">
        <v>446</v>
      </c>
      <c r="E5190" s="6" t="s">
        <v>391</v>
      </c>
      <c r="F5190" s="6" t="str">
        <f>IF($M5190="PADD I","PADD 1",IF($M5190="PADD II","PADD 2",IF($M5190="PADD III","PADD 3",IF($M5190="PADD IV","PADD 4",IF($M5190="PADD V","PADD 5","")))))</f>
        <v>PADD 3</v>
      </c>
      <c r="G5190" s="6" t="str">
        <f>IF(AND($H5190="ATMOS DISTILLATION",ISNUMBER(SEARCH("VPS",$I5190))=FALSE,LEFT($I5190,6)&lt;&gt;"VACUUM"),"CDU",IF($H5190="FLUID CAT CRACKING","FCC",IF(OR($H5190="HYDROCRACKING",$H5190="RESID_HYDROCRACKING"),"Hydrocracker",IF($H5190="REFORMING","Reformer",""))))</f>
        <v>CDU</v>
      </c>
      <c r="H5190" s="6" t="s">
        <v>38</v>
      </c>
      <c r="I5190" s="6" t="s">
        <v>81</v>
      </c>
      <c r="J5190" s="6" t="s">
        <v>345</v>
      </c>
      <c r="K5190" s="10">
        <v>20.826</v>
      </c>
      <c r="L5190" s="10">
        <v>115.7</v>
      </c>
      <c r="M5190" s="6" t="s">
        <v>371</v>
      </c>
    </row>
    <row r="5191" spans="1:13">
      <c r="A5191" s="6">
        <v>2025</v>
      </c>
      <c r="B5191" s="6">
        <v>2</v>
      </c>
      <c r="C5191" s="6" t="s">
        <v>60</v>
      </c>
      <c r="D5191" s="6" t="s">
        <v>778</v>
      </c>
      <c r="E5191" s="6" t="s">
        <v>779</v>
      </c>
      <c r="F5191" s="6" t="str">
        <f>IF($M5191="PADD I","PADD 1",IF($M5191="PADD II","PADD 2",IF($M5191="PADD III","PADD 3",IF($M5191="PADD IV","PADD 4",IF($M5191="PADD V","PADD 5","")))))</f>
        <v>PADD 3</v>
      </c>
      <c r="G5191" s="6">
        <f>IF(AND($H5191="ATMOS DISTILLATION",ISNUMBER(SEARCH("VPS",$I5191))=FALSE,LEFT($I5191,6)&lt;&gt;"VACUUM"),"CDU",IF($H5191="FLUID CAT CRACKING","FCC",IF(OR($H5191="HYDROCRACKING",$H5191="RESID_HYDROCRACKING"),"Hydrocracker",IF($H5191="REFORMING","Reformer",""))))</f>
        <v/>
      </c>
      <c r="H5191" s="6" t="s">
        <v>43</v>
      </c>
      <c r="I5191" s="6" t="s">
        <v>808</v>
      </c>
      <c r="J5191" s="6" t="s">
        <v>349</v>
      </c>
      <c r="K5191" s="10">
        <v>20.67</v>
      </c>
      <c r="L5191" s="10">
        <v>53</v>
      </c>
      <c r="M5191" s="6" t="s">
        <v>371</v>
      </c>
    </row>
    <row r="5192" spans="1:13">
      <c r="A5192" s="6">
        <v>2025</v>
      </c>
      <c r="B5192" s="6">
        <v>2</v>
      </c>
      <c r="C5192" s="6" t="s">
        <v>60</v>
      </c>
      <c r="D5192" s="6" t="s">
        <v>946</v>
      </c>
      <c r="E5192" s="6" t="s">
        <v>405</v>
      </c>
      <c r="F5192" s="6" t="str">
        <f>IF($M5192="PADD I","PADD 1",IF($M5192="PADD II","PADD 2",IF($M5192="PADD III","PADD 3",IF($M5192="PADD IV","PADD 4",IF($M5192="PADD V","PADD 5","")))))</f>
        <v>PADD 5</v>
      </c>
      <c r="G5192" s="6">
        <f>IF(AND($H5192="ATMOS DISTILLATION",ISNUMBER(SEARCH("VPS",$I5192))=FALSE,LEFT($I5192,6)&lt;&gt;"VACUUM"),"CDU",IF($H5192="FLUID CAT CRACKING","FCC",IF(OR($H5192="HYDROCRACKING",$H5192="RESID_HYDROCRACKING"),"Hydrocracker",IF($H5192="REFORMING","Reformer",""))))</f>
        <v/>
      </c>
      <c r="H5192" s="6" t="s">
        <v>43</v>
      </c>
      <c r="I5192" s="6" t="s">
        <v>971</v>
      </c>
      <c r="J5192" s="6" t="s">
        <v>349</v>
      </c>
      <c r="K5192" s="10">
        <v>20.4</v>
      </c>
      <c r="L5192" s="10">
        <v>30</v>
      </c>
      <c r="M5192" s="6" t="s">
        <v>386</v>
      </c>
    </row>
    <row r="5193" spans="1:13">
      <c r="A5193" s="6">
        <v>2025</v>
      </c>
      <c r="B5193" s="6">
        <v>2</v>
      </c>
      <c r="C5193" s="6" t="s">
        <v>60</v>
      </c>
      <c r="D5193" s="6" t="s">
        <v>387</v>
      </c>
      <c r="E5193" s="6" t="s">
        <v>388</v>
      </c>
      <c r="F5193" s="6" t="str">
        <f>IF($M5193="PADD I","PADD 1",IF($M5193="PADD II","PADD 2",IF($M5193="PADD III","PADD 3",IF($M5193="PADD IV","PADD 4",IF($M5193="PADD V","PADD 5","")))))</f>
        <v>PADD 3</v>
      </c>
      <c r="G5193" s="6" t="str">
        <f>IF(AND($H5193="ATMOS DISTILLATION",ISNUMBER(SEARCH("VPS",$I5193))=FALSE,LEFT($I5193,6)&lt;&gt;"VACUUM"),"CDU",IF($H5193="FLUID CAT CRACKING","FCC",IF(OR($H5193="HYDROCRACKING",$H5193="RESID_HYDROCRACKING"),"Hydrocracker",IF($H5193="REFORMING","Reformer",""))))</f>
        <v>Hydrocracker</v>
      </c>
      <c r="H5193" s="6" t="s">
        <v>444</v>
      </c>
      <c r="I5193" s="6" t="s">
        <v>476</v>
      </c>
      <c r="J5193" s="6" t="s">
        <v>345</v>
      </c>
      <c r="K5193" s="10">
        <v>20.3</v>
      </c>
      <c r="L5193" s="10">
        <v>70</v>
      </c>
      <c r="M5193" s="6" t="s">
        <v>371</v>
      </c>
    </row>
    <row r="5194" spans="1:13">
      <c r="A5194" s="6">
        <v>2025</v>
      </c>
      <c r="B5194" s="6">
        <v>2</v>
      </c>
      <c r="C5194" s="6" t="s">
        <v>60</v>
      </c>
      <c r="D5194" s="6" t="s">
        <v>887</v>
      </c>
      <c r="E5194" s="6" t="s">
        <v>405</v>
      </c>
      <c r="F5194" s="6" t="str">
        <f>IF($M5194="PADD I","PADD 1",IF($M5194="PADD II","PADD 2",IF($M5194="PADD III","PADD 3",IF($M5194="PADD IV","PADD 4",IF($M5194="PADD V","PADD 5","")))))</f>
        <v>PADD 3</v>
      </c>
      <c r="G5194" s="6">
        <f>IF(AND($H5194="ATMOS DISTILLATION",ISNUMBER(SEARCH("VPS",$I5194))=FALSE,LEFT($I5194,6)&lt;&gt;"VACUUM"),"CDU",IF($H5194="FLUID CAT CRACKING","FCC",IF(OR($H5194="HYDROCRACKING",$H5194="RESID_HYDROCRACKING"),"Hydrocracker",IF($H5194="REFORMING","Reformer",""))))</f>
        <v/>
      </c>
      <c r="H5194" s="6" t="s">
        <v>43</v>
      </c>
      <c r="I5194" s="6" t="s">
        <v>918</v>
      </c>
      <c r="J5194" s="6" t="s">
        <v>349</v>
      </c>
      <c r="K5194" s="10">
        <v>20</v>
      </c>
      <c r="L5194" s="10">
        <v>20</v>
      </c>
      <c r="M5194" s="6" t="s">
        <v>371</v>
      </c>
    </row>
    <row r="5195" spans="1:13">
      <c r="A5195" s="6">
        <v>2025</v>
      </c>
      <c r="B5195" s="6">
        <v>2</v>
      </c>
      <c r="C5195" s="6" t="s">
        <v>60</v>
      </c>
      <c r="D5195" s="6" t="s">
        <v>610</v>
      </c>
      <c r="E5195" s="6" t="s">
        <v>611</v>
      </c>
      <c r="F5195" s="6" t="str">
        <f>IF($M5195="PADD I","PADD 1",IF($M5195="PADD II","PADD 2",IF($M5195="PADD III","PADD 3",IF($M5195="PADD IV","PADD 4",IF($M5195="PADD V","PADD 5","")))))</f>
        <v>PADD 2</v>
      </c>
      <c r="G5195" s="6">
        <f>IF(AND($H5195="ATMOS DISTILLATION",ISNUMBER(SEARCH("VPS",$I5195))=FALSE,LEFT($I5195,6)&lt;&gt;"VACUUM"),"CDU",IF($H5195="FLUID CAT CRACKING","FCC",IF(OR($H5195="HYDROCRACKING",$H5195="RESID_HYDROCRACKING"),"Hydrocracker",IF($H5195="REFORMING","Reformer",""))))</f>
        <v/>
      </c>
      <c r="H5195" s="6" t="s">
        <v>43</v>
      </c>
      <c r="I5195" s="6" t="s">
        <v>629</v>
      </c>
      <c r="J5195" s="6" t="s">
        <v>349</v>
      </c>
      <c r="K5195" s="10">
        <v>20</v>
      </c>
      <c r="L5195" s="10">
        <v>20</v>
      </c>
      <c r="M5195" s="6" t="s">
        <v>375</v>
      </c>
    </row>
    <row r="5196" spans="1:13">
      <c r="A5196" s="6">
        <v>2025</v>
      </c>
      <c r="B5196" s="6">
        <v>2</v>
      </c>
      <c r="C5196" s="6" t="s">
        <v>60</v>
      </c>
      <c r="D5196" s="6" t="s">
        <v>610</v>
      </c>
      <c r="E5196" s="6" t="s">
        <v>611</v>
      </c>
      <c r="F5196" s="6" t="str">
        <f>IF($M5196="PADD I","PADD 1",IF($M5196="PADD II","PADD 2",IF($M5196="PADD III","PADD 3",IF($M5196="PADD IV","PADD 4",IF($M5196="PADD V","PADD 5","")))))</f>
        <v>PADD 2</v>
      </c>
      <c r="G5196" s="6">
        <f>IF(AND($H5196="ATMOS DISTILLATION",ISNUMBER(SEARCH("VPS",$I5196))=FALSE,LEFT($I5196,6)&lt;&gt;"VACUUM"),"CDU",IF($H5196="FLUID CAT CRACKING","FCC",IF(OR($H5196="HYDROCRACKING",$H5196="RESID_HYDROCRACKING"),"Hydrocracker",IF($H5196="REFORMING","Reformer",""))))</f>
        <v/>
      </c>
      <c r="H5196" s="6" t="s">
        <v>378</v>
      </c>
      <c r="I5196" s="6" t="s">
        <v>494</v>
      </c>
      <c r="J5196" s="6" t="s">
        <v>349</v>
      </c>
      <c r="K5196" s="10">
        <v>20</v>
      </c>
      <c r="L5196" s="10">
        <v>20</v>
      </c>
      <c r="M5196" s="6" t="s">
        <v>375</v>
      </c>
    </row>
    <row r="5197" spans="1:13">
      <c r="A5197" s="6">
        <v>2025</v>
      </c>
      <c r="B5197" s="6">
        <v>2</v>
      </c>
      <c r="C5197" s="6" t="s">
        <v>60</v>
      </c>
      <c r="D5197" s="6" t="s">
        <v>333</v>
      </c>
      <c r="E5197" s="6" t="s">
        <v>381</v>
      </c>
      <c r="F5197" s="6" t="str">
        <f>IF($M5197="PADD I","PADD 1",IF($M5197="PADD II","PADD 2",IF($M5197="PADD III","PADD 3",IF($M5197="PADD IV","PADD 4",IF($M5197="PADD V","PADD 5","")))))</f>
        <v>PADD 3</v>
      </c>
      <c r="G5197" s="6">
        <f>IF(AND($H5197="ATMOS DISTILLATION",ISNUMBER(SEARCH("VPS",$I5197))=FALSE,LEFT($I5197,6)&lt;&gt;"VACUUM"),"CDU",IF($H5197="FLUID CAT CRACKING","FCC",IF(OR($H5197="HYDROCRACKING",$H5197="RESID_HYDROCRACKING"),"Hydrocracker",IF($H5197="REFORMING","Reformer",""))))</f>
        <v/>
      </c>
      <c r="H5197" s="6" t="s">
        <v>43</v>
      </c>
      <c r="I5197" s="6" t="s">
        <v>943</v>
      </c>
      <c r="J5197" s="6" t="s">
        <v>345</v>
      </c>
      <c r="K5197" s="10">
        <v>20</v>
      </c>
      <c r="L5197" s="10">
        <v>40</v>
      </c>
      <c r="M5197" s="6" t="s">
        <v>371</v>
      </c>
    </row>
    <row r="5198" spans="1:13">
      <c r="A5198" s="6">
        <v>2025</v>
      </c>
      <c r="B5198" s="6">
        <v>2</v>
      </c>
      <c r="C5198" s="6" t="s">
        <v>60</v>
      </c>
      <c r="D5198" s="6" t="s">
        <v>319</v>
      </c>
      <c r="E5198" s="6" t="s">
        <v>665</v>
      </c>
      <c r="F5198" s="6" t="str">
        <f>IF($M5198="PADD I","PADD 1",IF($M5198="PADD II","PADD 2",IF($M5198="PADD III","PADD 3",IF($M5198="PADD IV","PADD 4",IF($M5198="PADD V","PADD 5","")))))</f>
        <v>PADD 3</v>
      </c>
      <c r="G5198" s="6">
        <f>IF(AND($H5198="ATMOS DISTILLATION",ISNUMBER(SEARCH("VPS",$I5198))=FALSE,LEFT($I5198,6)&lt;&gt;"VACUUM"),"CDU",IF($H5198="FLUID CAT CRACKING","FCC",IF(OR($H5198="HYDROCRACKING",$H5198="RESID_HYDROCRACKING"),"Hydrocracker",IF($H5198="REFORMING","Reformer",""))))</f>
        <v/>
      </c>
      <c r="H5198" s="6" t="s">
        <v>435</v>
      </c>
      <c r="I5198" s="6" t="s">
        <v>441</v>
      </c>
      <c r="J5198" s="6" t="s">
        <v>345</v>
      </c>
      <c r="K5198" s="10">
        <v>19.8834</v>
      </c>
      <c r="L5198" s="10">
        <v>21.38</v>
      </c>
      <c r="M5198" s="6" t="s">
        <v>371</v>
      </c>
    </row>
    <row r="5199" spans="1:13">
      <c r="A5199" s="6">
        <v>2025</v>
      </c>
      <c r="B5199" s="6">
        <v>2</v>
      </c>
      <c r="C5199" s="6" t="s">
        <v>60</v>
      </c>
      <c r="D5199" s="6" t="s">
        <v>576</v>
      </c>
      <c r="E5199" s="6" t="s">
        <v>369</v>
      </c>
      <c r="F5199" s="6" t="str">
        <f>IF($M5199="PADD I","PADD 1",IF($M5199="PADD II","PADD 2",IF($M5199="PADD III","PADD 3",IF($M5199="PADD IV","PADD 4",IF($M5199="PADD V","PADD 5","")))))</f>
        <v>PADD 3</v>
      </c>
      <c r="G5199" s="6" t="str">
        <f>IF(AND($H5199="ATMOS DISTILLATION",ISNUMBER(SEARCH("VPS",$I5199))=FALSE,LEFT($I5199,6)&lt;&gt;"VACUUM"),"CDU",IF($H5199="FLUID CAT CRACKING","FCC",IF(OR($H5199="HYDROCRACKING",$H5199="RESID_HYDROCRACKING"),"Hydrocracker",IF($H5199="REFORMING","Reformer",""))))</f>
        <v>FCC</v>
      </c>
      <c r="H5199" s="6" t="s">
        <v>376</v>
      </c>
      <c r="I5199" s="6" t="s">
        <v>105</v>
      </c>
      <c r="J5199" s="6" t="s">
        <v>345</v>
      </c>
      <c r="K5199" s="10">
        <v>19.866</v>
      </c>
      <c r="L5199" s="10">
        <v>46.2</v>
      </c>
      <c r="M5199" s="6" t="s">
        <v>371</v>
      </c>
    </row>
    <row r="5200" spans="1:13">
      <c r="A5200" s="6">
        <v>2025</v>
      </c>
      <c r="B5200" s="6">
        <v>2</v>
      </c>
      <c r="C5200" s="6" t="s">
        <v>60</v>
      </c>
      <c r="D5200" s="6" t="s">
        <v>610</v>
      </c>
      <c r="E5200" s="6" t="s">
        <v>611</v>
      </c>
      <c r="F5200" s="6" t="str">
        <f>IF($M5200="PADD I","PADD 1",IF($M5200="PADD II","PADD 2",IF($M5200="PADD III","PADD 3",IF($M5200="PADD IV","PADD 4",IF($M5200="PADD V","PADD 5","")))))</f>
        <v>PADD 2</v>
      </c>
      <c r="G5200" s="6">
        <f>IF(AND($H5200="ATMOS DISTILLATION",ISNUMBER(SEARCH("VPS",$I5200))=FALSE,LEFT($I5200,6)&lt;&gt;"VACUUM"),"CDU",IF($H5200="FLUID CAT CRACKING","FCC",IF(OR($H5200="HYDROCRACKING",$H5200="RESID_HYDROCRACKING"),"Hydrocracker",IF($H5200="REFORMING","Reformer",""))))</f>
        <v/>
      </c>
      <c r="H5200" s="6" t="s">
        <v>435</v>
      </c>
      <c r="I5200" s="6" t="s">
        <v>441</v>
      </c>
      <c r="J5200" s="6" t="s">
        <v>349</v>
      </c>
      <c r="K5200" s="10">
        <v>19.5</v>
      </c>
      <c r="L5200" s="10">
        <v>19.5</v>
      </c>
      <c r="M5200" s="6" t="s">
        <v>375</v>
      </c>
    </row>
    <row r="5201" spans="1:13">
      <c r="A5201" s="6">
        <v>2025</v>
      </c>
      <c r="B5201" s="6">
        <v>2</v>
      </c>
      <c r="C5201" s="6" t="s">
        <v>60</v>
      </c>
      <c r="D5201" s="6" t="s">
        <v>778</v>
      </c>
      <c r="E5201" s="6" t="s">
        <v>779</v>
      </c>
      <c r="F5201" s="6" t="str">
        <f>IF($M5201="PADD I","PADD 1",IF($M5201="PADD II","PADD 2",IF($M5201="PADD III","PADD 3",IF($M5201="PADD IV","PADD 4",IF($M5201="PADD V","PADD 5","")))))</f>
        <v>PADD 3</v>
      </c>
      <c r="G5201" s="6">
        <f>IF(AND($H5201="ATMOS DISTILLATION",ISNUMBER(SEARCH("VPS",$I5201))=FALSE,LEFT($I5201,6)&lt;&gt;"VACUUM"),"CDU",IF($H5201="FLUID CAT CRACKING","FCC",IF(OR($H5201="HYDROCRACKING",$H5201="RESID_HYDROCRACKING"),"Hydrocracker",IF($H5201="REFORMING","Reformer",""))))</f>
        <v/>
      </c>
      <c r="H5201" s="6" t="s">
        <v>43</v>
      </c>
      <c r="I5201" s="6" t="s">
        <v>809</v>
      </c>
      <c r="J5201" s="6" t="s">
        <v>349</v>
      </c>
      <c r="K5201" s="10">
        <v>19.5</v>
      </c>
      <c r="L5201" s="10">
        <v>50</v>
      </c>
      <c r="M5201" s="6" t="s">
        <v>371</v>
      </c>
    </row>
    <row r="5202" spans="1:13">
      <c r="A5202" s="6">
        <v>2025</v>
      </c>
      <c r="B5202" s="6">
        <v>2</v>
      </c>
      <c r="C5202" s="6" t="s">
        <v>60</v>
      </c>
      <c r="D5202" s="6" t="s">
        <v>390</v>
      </c>
      <c r="E5202" s="6" t="s">
        <v>391</v>
      </c>
      <c r="F5202" s="6" t="str">
        <f>IF($M5202="PADD I","PADD 1",IF($M5202="PADD II","PADD 2",IF($M5202="PADD III","PADD 3",IF($M5202="PADD IV","PADD 4",IF($M5202="PADD V","PADD 5","")))))</f>
        <v>PADD 3</v>
      </c>
      <c r="G5202" s="6">
        <f>IF(AND($H5202="ATMOS DISTILLATION",ISNUMBER(SEARCH("VPS",$I5202))=FALSE,LEFT($I5202,6)&lt;&gt;"VACUUM"),"CDU",IF($H5202="FLUID CAT CRACKING","FCC",IF(OR($H5202="HYDROCRACKING",$H5202="RESID_HYDROCRACKING"),"Hydrocracker",IF($H5202="REFORMING","Reformer",""))))</f>
        <v/>
      </c>
      <c r="H5202" s="6" t="s">
        <v>43</v>
      </c>
      <c r="I5202" s="6" t="s">
        <v>1084</v>
      </c>
      <c r="J5202" s="6" t="s">
        <v>349</v>
      </c>
      <c r="K5202" s="10">
        <v>19.35</v>
      </c>
      <c r="L5202" s="10">
        <v>45</v>
      </c>
      <c r="M5202" s="6" t="s">
        <v>371</v>
      </c>
    </row>
    <row r="5203" spans="1:13">
      <c r="A5203" s="6">
        <v>2025</v>
      </c>
      <c r="B5203" s="6">
        <v>2</v>
      </c>
      <c r="C5203" s="6" t="s">
        <v>60</v>
      </c>
      <c r="D5203" s="6" t="s">
        <v>714</v>
      </c>
      <c r="E5203" s="6" t="s">
        <v>405</v>
      </c>
      <c r="F5203" s="6" t="str">
        <f>IF($M5203="PADD I","PADD 1",IF($M5203="PADD II","PADD 2",IF($M5203="PADD III","PADD 3",IF($M5203="PADD IV","PADD 4",IF($M5203="PADD V","PADD 5","")))))</f>
        <v>PADD 3</v>
      </c>
      <c r="G5203" s="6" t="str">
        <f>IF(AND($H5203="ATMOS DISTILLATION",ISNUMBER(SEARCH("VPS",$I5203))=FALSE,LEFT($I5203,6)&lt;&gt;"VACUUM"),"CDU",IF($H5203="FLUID CAT CRACKING","FCC",IF(OR($H5203="HYDROCRACKING",$H5203="RESID_HYDROCRACKING"),"Hydrocracker",IF($H5203="REFORMING","Reformer",""))))</f>
        <v>Hydrocracker</v>
      </c>
      <c r="H5203" s="6" t="s">
        <v>444</v>
      </c>
      <c r="I5203" s="6" t="s">
        <v>14</v>
      </c>
      <c r="J5203" s="6" t="s">
        <v>345</v>
      </c>
      <c r="K5203" s="10">
        <v>18.88</v>
      </c>
      <c r="L5203" s="10">
        <v>29.5</v>
      </c>
      <c r="M5203" s="6" t="s">
        <v>371</v>
      </c>
    </row>
    <row r="5204" spans="1:13">
      <c r="A5204" s="6">
        <v>2025</v>
      </c>
      <c r="B5204" s="6">
        <v>2</v>
      </c>
      <c r="C5204" s="6" t="s">
        <v>60</v>
      </c>
      <c r="D5204" s="6" t="s">
        <v>778</v>
      </c>
      <c r="E5204" s="6" t="s">
        <v>779</v>
      </c>
      <c r="F5204" s="6" t="str">
        <f>IF($M5204="PADD I","PADD 1",IF($M5204="PADD II","PADD 2",IF($M5204="PADD III","PADD 3",IF($M5204="PADD IV","PADD 4",IF($M5204="PADD V","PADD 5","")))))</f>
        <v>PADD 3</v>
      </c>
      <c r="G5204" s="6">
        <f>IF(AND($H5204="ATMOS DISTILLATION",ISNUMBER(SEARCH("VPS",$I5204))=FALSE,LEFT($I5204,6)&lt;&gt;"VACUUM"),"CDU",IF($H5204="FLUID CAT CRACKING","FCC",IF(OR($H5204="HYDROCRACKING",$H5204="RESID_HYDROCRACKING"),"Hydrocracker",IF($H5204="REFORMING","Reformer",""))))</f>
        <v/>
      </c>
      <c r="H5204" s="6" t="s">
        <v>43</v>
      </c>
      <c r="I5204" s="6" t="s">
        <v>811</v>
      </c>
      <c r="J5204" s="6" t="s">
        <v>349</v>
      </c>
      <c r="K5204" s="10">
        <v>18.72</v>
      </c>
      <c r="L5204" s="10">
        <v>48</v>
      </c>
      <c r="M5204" s="6" t="s">
        <v>371</v>
      </c>
    </row>
    <row r="5205" spans="1:13">
      <c r="A5205" s="6">
        <v>2025</v>
      </c>
      <c r="B5205" s="6">
        <v>2</v>
      </c>
      <c r="C5205" s="6" t="s">
        <v>60</v>
      </c>
      <c r="D5205" s="6" t="s">
        <v>490</v>
      </c>
      <c r="E5205" s="6" t="s">
        <v>491</v>
      </c>
      <c r="F5205" s="6" t="str">
        <f>IF($M5205="PADD I","PADD 1",IF($M5205="PADD II","PADD 2",IF($M5205="PADD III","PADD 3",IF($M5205="PADD IV","PADD 4",IF($M5205="PADD V","PADD 5","")))))</f>
        <v>PADD 3</v>
      </c>
      <c r="G5205" s="6">
        <f>IF(AND($H5205="ATMOS DISTILLATION",ISNUMBER(SEARCH("VPS",$I5205))=FALSE,LEFT($I5205,6)&lt;&gt;"VACUUM"),"CDU",IF($H5205="FLUID CAT CRACKING","FCC",IF(OR($H5205="HYDROCRACKING",$H5205="RESID_HYDROCRACKING"),"Hydrocracker",IF($H5205="REFORMING","Reformer",""))))</f>
        <v/>
      </c>
      <c r="H5205" s="6" t="s">
        <v>460</v>
      </c>
      <c r="I5205" s="6" t="s">
        <v>1193</v>
      </c>
      <c r="J5205" s="6" t="s">
        <v>349</v>
      </c>
      <c r="K5205" s="10">
        <v>18</v>
      </c>
      <c r="L5205" s="10">
        <v>18</v>
      </c>
      <c r="M5205" s="6" t="s">
        <v>371</v>
      </c>
    </row>
    <row r="5206" spans="1:13">
      <c r="A5206" s="6">
        <v>2025</v>
      </c>
      <c r="B5206" s="6">
        <v>2</v>
      </c>
      <c r="C5206" s="6" t="s">
        <v>60</v>
      </c>
      <c r="D5206" s="6" t="s">
        <v>51</v>
      </c>
      <c r="E5206" s="6" t="s">
        <v>391</v>
      </c>
      <c r="F5206" s="6" t="str">
        <f>IF($M5206="PADD I","PADD 1",IF($M5206="PADD II","PADD 2",IF($M5206="PADD III","PADD 3",IF($M5206="PADD IV","PADD 4",IF($M5206="PADD V","PADD 5","")))))</f>
        <v>PADD 5</v>
      </c>
      <c r="G5206" s="6">
        <f>IF(AND($H5206="ATMOS DISTILLATION",ISNUMBER(SEARCH("VPS",$I5206))=FALSE,LEFT($I5206,6)&lt;&gt;"VACUUM"),"CDU",IF($H5206="FLUID CAT CRACKING","FCC",IF(OR($H5206="HYDROCRACKING",$H5206="RESID_HYDROCRACKING"),"Hydrocracker",IF($H5206="REFORMING","Reformer",""))))</f>
        <v/>
      </c>
      <c r="H5206" s="6" t="s">
        <v>378</v>
      </c>
      <c r="I5206" s="6" t="s">
        <v>1035</v>
      </c>
      <c r="J5206" s="6" t="s">
        <v>349</v>
      </c>
      <c r="K5206" s="10">
        <v>17.71</v>
      </c>
      <c r="L5206" s="10">
        <v>161</v>
      </c>
      <c r="M5206" s="6" t="s">
        <v>386</v>
      </c>
    </row>
    <row r="5207" spans="1:13">
      <c r="A5207" s="6">
        <v>2025</v>
      </c>
      <c r="B5207" s="6">
        <v>2</v>
      </c>
      <c r="C5207" s="6" t="s">
        <v>60</v>
      </c>
      <c r="D5207" s="6" t="s">
        <v>714</v>
      </c>
      <c r="E5207" s="6" t="s">
        <v>405</v>
      </c>
      <c r="F5207" s="6" t="str">
        <f>IF($M5207="PADD I","PADD 1",IF($M5207="PADD II","PADD 2",IF($M5207="PADD III","PADD 3",IF($M5207="PADD IV","PADD 4",IF($M5207="PADD V","PADD 5","")))))</f>
        <v>PADD 3</v>
      </c>
      <c r="G5207" s="6" t="str">
        <f>IF(AND($H5207="ATMOS DISTILLATION",ISNUMBER(SEARCH("VPS",$I5207))=FALSE,LEFT($I5207,6)&lt;&gt;"VACUUM"),"CDU",IF($H5207="FLUID CAT CRACKING","FCC",IF(OR($H5207="HYDROCRACKING",$H5207="RESID_HYDROCRACKING"),"Hydrocracker",IF($H5207="REFORMING","Reformer",""))))</f>
        <v>Reformer</v>
      </c>
      <c r="H5207" s="6" t="s">
        <v>421</v>
      </c>
      <c r="I5207" s="6" t="s">
        <v>864</v>
      </c>
      <c r="J5207" s="6" t="s">
        <v>345</v>
      </c>
      <c r="K5207" s="10">
        <v>17.629</v>
      </c>
      <c r="L5207" s="10">
        <v>28.9</v>
      </c>
      <c r="M5207" s="6" t="s">
        <v>371</v>
      </c>
    </row>
    <row r="5208" spans="1:13">
      <c r="A5208" s="6">
        <v>2025</v>
      </c>
      <c r="B5208" s="6">
        <v>2</v>
      </c>
      <c r="C5208" s="6" t="s">
        <v>60</v>
      </c>
      <c r="D5208" s="6" t="s">
        <v>778</v>
      </c>
      <c r="E5208" s="6" t="s">
        <v>779</v>
      </c>
      <c r="F5208" s="6" t="str">
        <f>IF($M5208="PADD I","PADD 1",IF($M5208="PADD II","PADD 2",IF($M5208="PADD III","PADD 3",IF($M5208="PADD IV","PADD 4",IF($M5208="PADD V","PADD 5","")))))</f>
        <v>PADD 3</v>
      </c>
      <c r="G5208" s="6">
        <f>IF(AND($H5208="ATMOS DISTILLATION",ISNUMBER(SEARCH("VPS",$I5208))=FALSE,LEFT($I5208,6)&lt;&gt;"VACUUM"),"CDU",IF($H5208="FLUID CAT CRACKING","FCC",IF(OR($H5208="HYDROCRACKING",$H5208="RESID_HYDROCRACKING"),"Hydrocracker",IF($H5208="REFORMING","Reformer",""))))</f>
        <v/>
      </c>
      <c r="H5208" s="6" t="s">
        <v>43</v>
      </c>
      <c r="I5208" s="6" t="s">
        <v>394</v>
      </c>
      <c r="J5208" s="6" t="s">
        <v>349</v>
      </c>
      <c r="K5208" s="10">
        <v>17.55</v>
      </c>
      <c r="L5208" s="10">
        <v>45</v>
      </c>
      <c r="M5208" s="6" t="s">
        <v>371</v>
      </c>
    </row>
    <row r="5209" spans="1:13">
      <c r="A5209" s="6">
        <v>2025</v>
      </c>
      <c r="B5209" s="6">
        <v>2</v>
      </c>
      <c r="C5209" s="6" t="s">
        <v>60</v>
      </c>
      <c r="D5209" s="6" t="s">
        <v>457</v>
      </c>
      <c r="E5209" s="6" t="s">
        <v>388</v>
      </c>
      <c r="F5209" s="6" t="str">
        <f>IF($M5209="PADD I","PADD 1",IF($M5209="PADD II","PADD 2",IF($M5209="PADD III","PADD 3",IF($M5209="PADD IV","PADD 4",IF($M5209="PADD V","PADD 5","")))))</f>
        <v>PADD 5</v>
      </c>
      <c r="G5209" s="6">
        <f>IF(AND($H5209="ATMOS DISTILLATION",ISNUMBER(SEARCH("VPS",$I5209))=FALSE,LEFT($I5209,6)&lt;&gt;"VACUUM"),"CDU",IF($H5209="FLUID CAT CRACKING","FCC",IF(OR($H5209="HYDROCRACKING",$H5209="RESID_HYDROCRACKING"),"Hydrocracker",IF($H5209="REFORMING","Reformer",""))))</f>
        <v/>
      </c>
      <c r="H5209" s="6" t="s">
        <v>43</v>
      </c>
      <c r="I5209" s="6" t="s">
        <v>1281</v>
      </c>
      <c r="J5209" s="6" t="s">
        <v>349</v>
      </c>
      <c r="K5209" s="10">
        <v>16.5</v>
      </c>
      <c r="L5209" s="10">
        <v>22</v>
      </c>
      <c r="M5209" s="6" t="s">
        <v>386</v>
      </c>
    </row>
    <row r="5210" spans="1:13">
      <c r="A5210" s="6">
        <v>2025</v>
      </c>
      <c r="B5210" s="6">
        <v>2</v>
      </c>
      <c r="C5210" s="6" t="s">
        <v>60</v>
      </c>
      <c r="D5210" s="6" t="s">
        <v>321</v>
      </c>
      <c r="E5210" s="6" t="s">
        <v>381</v>
      </c>
      <c r="F5210" s="6" t="str">
        <f>IF($M5210="PADD I","PADD 1",IF($M5210="PADD II","PADD 2",IF($M5210="PADD III","PADD 3",IF($M5210="PADD IV","PADD 4",IF($M5210="PADD V","PADD 5","")))))</f>
        <v>PADD 2</v>
      </c>
      <c r="G5210" s="6" t="str">
        <f>IF(AND($H5210="ATMOS DISTILLATION",ISNUMBER(SEARCH("VPS",$I5210))=FALSE,LEFT($I5210,6)&lt;&gt;"VACUUM"),"CDU",IF($H5210="FLUID CAT CRACKING","FCC",IF(OR($H5210="HYDROCRACKING",$H5210="RESID_HYDROCRACKING"),"Hydrocracker",IF($H5210="REFORMING","Reformer",""))))</f>
        <v>FCC</v>
      </c>
      <c r="H5210" s="6" t="s">
        <v>376</v>
      </c>
      <c r="I5210" s="6" t="s">
        <v>105</v>
      </c>
      <c r="J5210" s="6" t="s">
        <v>345</v>
      </c>
      <c r="K5210" s="10">
        <v>16.34</v>
      </c>
      <c r="L5210" s="10">
        <v>38</v>
      </c>
      <c r="M5210" s="6" t="s">
        <v>375</v>
      </c>
    </row>
    <row r="5211" spans="1:13">
      <c r="A5211" s="6">
        <v>2025</v>
      </c>
      <c r="B5211" s="6">
        <v>2</v>
      </c>
      <c r="C5211" s="6" t="s">
        <v>60</v>
      </c>
      <c r="D5211" s="6" t="s">
        <v>387</v>
      </c>
      <c r="E5211" s="6" t="s">
        <v>388</v>
      </c>
      <c r="F5211" s="6" t="str">
        <f>IF($M5211="PADD I","PADD 1",IF($M5211="PADD II","PADD 2",IF($M5211="PADD III","PADD 3",IF($M5211="PADD IV","PADD 4",IF($M5211="PADD V","PADD 5","")))))</f>
        <v>PADD 3</v>
      </c>
      <c r="G5211" s="6">
        <f>IF(AND($H5211="ATMOS DISTILLATION",ISNUMBER(SEARCH("VPS",$I5211))=FALSE,LEFT($I5211,6)&lt;&gt;"VACUUM"),"CDU",IF($H5211="FLUID CAT CRACKING","FCC",IF(OR($H5211="HYDROCRACKING",$H5211="RESID_HYDROCRACKING"),"Hydrocracker",IF($H5211="REFORMING","Reformer",""))))</f>
        <v/>
      </c>
      <c r="H5211" s="6" t="s">
        <v>43</v>
      </c>
      <c r="I5211" s="6" t="s">
        <v>1219</v>
      </c>
      <c r="J5211" s="6" t="s">
        <v>345</v>
      </c>
      <c r="K5211" s="10">
        <v>15.95</v>
      </c>
      <c r="L5211" s="10">
        <v>55</v>
      </c>
      <c r="M5211" s="6" t="s">
        <v>371</v>
      </c>
    </row>
    <row r="5212" spans="1:13">
      <c r="A5212" s="6">
        <v>2025</v>
      </c>
      <c r="B5212" s="6">
        <v>2</v>
      </c>
      <c r="C5212" s="6" t="s">
        <v>60</v>
      </c>
      <c r="D5212" s="6" t="s">
        <v>411</v>
      </c>
      <c r="E5212" s="6" t="s">
        <v>369</v>
      </c>
      <c r="F5212" s="6" t="str">
        <f>IF($M5212="PADD I","PADD 1",IF($M5212="PADD II","PADD 2",IF($M5212="PADD III","PADD 3",IF($M5212="PADD IV","PADD 4",IF($M5212="PADD V","PADD 5","")))))</f>
        <v>PADD 1</v>
      </c>
      <c r="G5212" s="6">
        <f>IF(AND($H5212="ATMOS DISTILLATION",ISNUMBER(SEARCH("VPS",$I5212))=FALSE,LEFT($I5212,6)&lt;&gt;"VACUUM"),"CDU",IF($H5212="FLUID CAT CRACKING","FCC",IF(OR($H5212="HYDROCRACKING",$H5212="RESID_HYDROCRACKING"),"Hydrocracker",IF($H5212="REFORMING","Reformer",""))))</f>
        <v/>
      </c>
      <c r="H5212" s="6" t="s">
        <v>43</v>
      </c>
      <c r="I5212" s="6" t="s">
        <v>884</v>
      </c>
      <c r="J5212" s="6" t="s">
        <v>349</v>
      </c>
      <c r="K5212" s="10">
        <v>15.66</v>
      </c>
      <c r="L5212" s="10">
        <v>29</v>
      </c>
      <c r="M5212" s="6" t="s">
        <v>413</v>
      </c>
    </row>
    <row r="5213" spans="1:13">
      <c r="A5213" s="6">
        <v>2025</v>
      </c>
      <c r="B5213" s="6">
        <v>2</v>
      </c>
      <c r="C5213" s="6" t="s">
        <v>60</v>
      </c>
      <c r="D5213" s="6" t="s">
        <v>322</v>
      </c>
      <c r="E5213" s="6" t="s">
        <v>369</v>
      </c>
      <c r="F5213" s="6" t="str">
        <f>IF($M5213="PADD I","PADD 1",IF($M5213="PADD II","PADD 2",IF($M5213="PADD III","PADD 3",IF($M5213="PADD IV","PADD 4",IF($M5213="PADD V","PADD 5","")))))</f>
        <v>PADD 2</v>
      </c>
      <c r="G5213" s="6" t="str">
        <f>IF(AND($H5213="ATMOS DISTILLATION",ISNUMBER(SEARCH("VPS",$I5213))=FALSE,LEFT($I5213,6)&lt;&gt;"VACUUM"),"CDU",IF($H5213="FLUID CAT CRACKING","FCC",IF(OR($H5213="HYDROCRACKING",$H5213="RESID_HYDROCRACKING"),"Hydrocracker",IF($H5213="REFORMING","Reformer",""))))</f>
        <v>CDU</v>
      </c>
      <c r="H5213" s="6" t="s">
        <v>38</v>
      </c>
      <c r="I5213" s="6" t="s">
        <v>521</v>
      </c>
      <c r="J5213" s="6" t="s">
        <v>349</v>
      </c>
      <c r="K5213" s="10">
        <v>15.4</v>
      </c>
      <c r="L5213" s="10">
        <v>110</v>
      </c>
      <c r="M5213" s="6" t="s">
        <v>375</v>
      </c>
    </row>
    <row r="5214" spans="1:13">
      <c r="A5214" s="6">
        <v>2025</v>
      </c>
      <c r="B5214" s="6">
        <v>2</v>
      </c>
      <c r="C5214" s="6" t="s">
        <v>60</v>
      </c>
      <c r="D5214" s="6" t="s">
        <v>662</v>
      </c>
      <c r="E5214" s="6" t="s">
        <v>552</v>
      </c>
      <c r="F5214" s="6" t="str">
        <f>IF($M5214="PADD I","PADD 1",IF($M5214="PADD II","PADD 2",IF($M5214="PADD III","PADD 3",IF($M5214="PADD IV","PADD 4",IF($M5214="PADD V","PADD 5","")))))</f>
        <v>PADD 3</v>
      </c>
      <c r="G5214" s="6">
        <f>IF(AND($H5214="ATMOS DISTILLATION",ISNUMBER(SEARCH("VPS",$I5214))=FALSE,LEFT($I5214,6)&lt;&gt;"VACUUM"),"CDU",IF($H5214="FLUID CAT CRACKING","FCC",IF(OR($H5214="HYDROCRACKING",$H5214="RESID_HYDROCRACKING"),"Hydrocracker",IF($H5214="REFORMING","Reformer",""))))</f>
        <v/>
      </c>
      <c r="H5214" s="6" t="s">
        <v>43</v>
      </c>
      <c r="I5214" s="6" t="s">
        <v>735</v>
      </c>
      <c r="J5214" s="6" t="s">
        <v>349</v>
      </c>
      <c r="K5214" s="10">
        <v>14.72</v>
      </c>
      <c r="L5214" s="10">
        <v>23</v>
      </c>
      <c r="M5214" s="6" t="s">
        <v>371</v>
      </c>
    </row>
    <row r="5215" spans="1:13">
      <c r="A5215" s="6">
        <v>2025</v>
      </c>
      <c r="B5215" s="6">
        <v>2</v>
      </c>
      <c r="C5215" s="6" t="s">
        <v>60</v>
      </c>
      <c r="D5215" s="6" t="s">
        <v>547</v>
      </c>
      <c r="E5215" s="6" t="s">
        <v>391</v>
      </c>
      <c r="F5215" s="6" t="str">
        <f>IF($M5215="PADD I","PADD 1",IF($M5215="PADD II","PADD 2",IF($M5215="PADD III","PADD 3",IF($M5215="PADD IV","PADD 4",IF($M5215="PADD V","PADD 5","")))))</f>
        <v>PADD 5</v>
      </c>
      <c r="G5215" s="6" t="str">
        <f>IF(AND($H5215="ATMOS DISTILLATION",ISNUMBER(SEARCH("VPS",$I5215))=FALSE,LEFT($I5215,6)&lt;&gt;"VACUUM"),"CDU",IF($H5215="FLUID CAT CRACKING","FCC",IF(OR($H5215="HYDROCRACKING",$H5215="RESID_HYDROCRACKING"),"Hydrocracker",IF($H5215="REFORMING","Reformer",""))))</f>
        <v>FCC</v>
      </c>
      <c r="H5215" s="6" t="s">
        <v>376</v>
      </c>
      <c r="I5215" s="6" t="s">
        <v>105</v>
      </c>
      <c r="J5215" s="6" t="s">
        <v>349</v>
      </c>
      <c r="K5215" s="10">
        <v>14.4</v>
      </c>
      <c r="L5215" s="10">
        <v>80</v>
      </c>
      <c r="M5215" s="6" t="s">
        <v>386</v>
      </c>
    </row>
    <row r="5216" spans="1:13">
      <c r="A5216" s="6">
        <v>2025</v>
      </c>
      <c r="B5216" s="6">
        <v>2</v>
      </c>
      <c r="C5216" s="6" t="s">
        <v>60</v>
      </c>
      <c r="D5216" s="6" t="s">
        <v>387</v>
      </c>
      <c r="E5216" s="6" t="s">
        <v>388</v>
      </c>
      <c r="F5216" s="6" t="str">
        <f>IF($M5216="PADD I","PADD 1",IF($M5216="PADD II","PADD 2",IF($M5216="PADD III","PADD 3",IF($M5216="PADD IV","PADD 4",IF($M5216="PADD V","PADD 5","")))))</f>
        <v>PADD 3</v>
      </c>
      <c r="G5216" s="6">
        <f>IF(AND($H5216="ATMOS DISTILLATION",ISNUMBER(SEARCH("VPS",$I5216))=FALSE,LEFT($I5216,6)&lt;&gt;"VACUUM"),"CDU",IF($H5216="FLUID CAT CRACKING","FCC",IF(OR($H5216="HYDROCRACKING",$H5216="RESID_HYDROCRACKING"),"Hydrocracker",IF($H5216="REFORMING","Reformer",""))))</f>
        <v/>
      </c>
      <c r="H5216" s="6" t="s">
        <v>43</v>
      </c>
      <c r="I5216" s="6" t="s">
        <v>1217</v>
      </c>
      <c r="J5216" s="6" t="s">
        <v>349</v>
      </c>
      <c r="K5216" s="10">
        <v>14.4</v>
      </c>
      <c r="L5216" s="10">
        <v>40</v>
      </c>
      <c r="M5216" s="6" t="s">
        <v>371</v>
      </c>
    </row>
    <row r="5217" spans="1:13">
      <c r="A5217" s="6">
        <v>2025</v>
      </c>
      <c r="B5217" s="6">
        <v>2</v>
      </c>
      <c r="C5217" s="6" t="s">
        <v>60</v>
      </c>
      <c r="D5217" s="6" t="s">
        <v>411</v>
      </c>
      <c r="E5217" s="6" t="s">
        <v>369</v>
      </c>
      <c r="F5217" s="6" t="str">
        <f>IF($M5217="PADD I","PADD 1",IF($M5217="PADD II","PADD 2",IF($M5217="PADD III","PADD 3",IF($M5217="PADD IV","PADD 4",IF($M5217="PADD V","PADD 5","")))))</f>
        <v>PADD 1</v>
      </c>
      <c r="G5217" s="6" t="str">
        <f>IF(AND($H5217="ATMOS DISTILLATION",ISNUMBER(SEARCH("VPS",$I5217))=FALSE,LEFT($I5217,6)&lt;&gt;"VACUUM"),"CDU",IF($H5217="FLUID CAT CRACKING","FCC",IF(OR($H5217="HYDROCRACKING",$H5217="RESID_HYDROCRACKING"),"Hydrocracker",IF($H5217="REFORMING","Reformer",""))))</f>
        <v>Reformer</v>
      </c>
      <c r="H5217" s="6" t="s">
        <v>421</v>
      </c>
      <c r="I5217" s="6" t="s">
        <v>886</v>
      </c>
      <c r="J5217" s="6" t="s">
        <v>349</v>
      </c>
      <c r="K5217" s="10">
        <v>14.04</v>
      </c>
      <c r="L5217" s="10">
        <v>26</v>
      </c>
      <c r="M5217" s="6" t="s">
        <v>413</v>
      </c>
    </row>
    <row r="5218" spans="1:13">
      <c r="A5218" s="6">
        <v>2025</v>
      </c>
      <c r="B5218" s="6">
        <v>2</v>
      </c>
      <c r="C5218" s="6" t="s">
        <v>60</v>
      </c>
      <c r="D5218" s="6" t="s">
        <v>547</v>
      </c>
      <c r="E5218" s="6" t="s">
        <v>391</v>
      </c>
      <c r="F5218" s="6" t="str">
        <f>IF($M5218="PADD I","PADD 1",IF($M5218="PADD II","PADD 2",IF($M5218="PADD III","PADD 3",IF($M5218="PADD IV","PADD 4",IF($M5218="PADD V","PADD 5","")))))</f>
        <v>PADD 5</v>
      </c>
      <c r="G5218" s="6" t="str">
        <f>IF(AND($H5218="ATMOS DISTILLATION",ISNUMBER(SEARCH("VPS",$I5218))=FALSE,LEFT($I5218,6)&lt;&gt;"VACUUM"),"CDU",IF($H5218="FLUID CAT CRACKING","FCC",IF(OR($H5218="HYDROCRACKING",$H5218="RESID_HYDROCRACKING"),"Hydrocracker",IF($H5218="REFORMING","Reformer",""))))</f>
        <v>Hydrocracker</v>
      </c>
      <c r="H5218" s="6" t="s">
        <v>444</v>
      </c>
      <c r="I5218" s="6" t="s">
        <v>734</v>
      </c>
      <c r="J5218" s="6" t="s">
        <v>345</v>
      </c>
      <c r="K5218" s="10">
        <v>12.6</v>
      </c>
      <c r="L5218" s="10">
        <v>60</v>
      </c>
      <c r="M5218" s="6" t="s">
        <v>386</v>
      </c>
    </row>
    <row r="5219" spans="1:13">
      <c r="A5219" s="6">
        <v>2025</v>
      </c>
      <c r="B5219" s="6">
        <v>2</v>
      </c>
      <c r="C5219" s="6" t="s">
        <v>60</v>
      </c>
      <c r="D5219" s="6" t="s">
        <v>1286</v>
      </c>
      <c r="E5219" s="6" t="s">
        <v>1287</v>
      </c>
      <c r="F5219" s="6" t="str">
        <f>IF($M5219="PADD I","PADD 1",IF($M5219="PADD II","PADD 2",IF($M5219="PADD III","PADD 3",IF($M5219="PADD IV","PADD 4",IF($M5219="PADD V","PADD 5","")))))</f>
        <v>PADD 4</v>
      </c>
      <c r="G5219" s="6" t="str">
        <f>IF(AND($H5219="ATMOS DISTILLATION",ISNUMBER(SEARCH("VPS",$I5219))=FALSE,LEFT($I5219,6)&lt;&gt;"VACUUM"),"CDU",IF($H5219="FLUID CAT CRACKING","FCC",IF(OR($H5219="HYDROCRACKING",$H5219="RESID_HYDROCRACKING"),"Hydrocracker",IF($H5219="REFORMING","Reformer",""))))</f>
        <v>CDU</v>
      </c>
      <c r="H5219" s="6" t="s">
        <v>38</v>
      </c>
      <c r="I5219" s="6" t="s">
        <v>81</v>
      </c>
      <c r="J5219" s="6" t="s">
        <v>345</v>
      </c>
      <c r="K5219" s="10">
        <v>12.2</v>
      </c>
      <c r="L5219" s="10">
        <v>20</v>
      </c>
      <c r="M5219" s="6" t="s">
        <v>430</v>
      </c>
    </row>
    <row r="5220" spans="1:13">
      <c r="A5220" s="6">
        <v>2025</v>
      </c>
      <c r="B5220" s="6">
        <v>2</v>
      </c>
      <c r="C5220" s="6" t="s">
        <v>60</v>
      </c>
      <c r="D5220" s="6" t="s">
        <v>326</v>
      </c>
      <c r="E5220" s="6" t="s">
        <v>385</v>
      </c>
      <c r="F5220" s="6" t="str">
        <f>IF($M5220="PADD I","PADD 1",IF($M5220="PADD II","PADD 2",IF($M5220="PADD III","PADD 3",IF($M5220="PADD IV","PADD 4",IF($M5220="PADD V","PADD 5","")))))</f>
        <v>PADD 5</v>
      </c>
      <c r="G5220" s="6">
        <f>IF(AND($H5220="ATMOS DISTILLATION",ISNUMBER(SEARCH("VPS",$I5220))=FALSE,LEFT($I5220,6)&lt;&gt;"VACUUM"),"CDU",IF($H5220="FLUID CAT CRACKING","FCC",IF(OR($H5220="HYDROCRACKING",$H5220="RESID_HYDROCRACKING"),"Hydrocracker",IF($H5220="REFORMING","Reformer",""))))</f>
        <v/>
      </c>
      <c r="H5220" s="6" t="s">
        <v>460</v>
      </c>
      <c r="I5220" s="6" t="s">
        <v>1288</v>
      </c>
      <c r="J5220" s="6" t="s">
        <v>345</v>
      </c>
      <c r="K5220" s="10">
        <v>12</v>
      </c>
      <c r="L5220" s="10">
        <v>12</v>
      </c>
      <c r="M5220" s="6" t="s">
        <v>386</v>
      </c>
    </row>
    <row r="5221" spans="1:13">
      <c r="A5221" s="6">
        <v>2025</v>
      </c>
      <c r="B5221" s="6">
        <v>2</v>
      </c>
      <c r="C5221" s="6" t="s">
        <v>60</v>
      </c>
      <c r="D5221" s="6" t="s">
        <v>630</v>
      </c>
      <c r="E5221" s="6" t="s">
        <v>491</v>
      </c>
      <c r="F5221" s="6" t="str">
        <f>IF($M5221="PADD I","PADD 1",IF($M5221="PADD II","PADD 2",IF($M5221="PADD III","PADD 3",IF($M5221="PADD IV","PADD 4",IF($M5221="PADD V","PADD 5","")))))</f>
        <v>PADD 3</v>
      </c>
      <c r="G5221" s="6">
        <f>IF(AND($H5221="ATMOS DISTILLATION",ISNUMBER(SEARCH("VPS",$I5221))=FALSE,LEFT($I5221,6)&lt;&gt;"VACUUM"),"CDU",IF($H5221="FLUID CAT CRACKING","FCC",IF(OR($H5221="HYDROCRACKING",$H5221="RESID_HYDROCRACKING"),"Hydrocracker",IF($H5221="REFORMING","Reformer",""))))</f>
        <v/>
      </c>
      <c r="H5221" s="6" t="s">
        <v>43</v>
      </c>
      <c r="I5221" s="6" t="s">
        <v>464</v>
      </c>
      <c r="J5221" s="6" t="s">
        <v>345</v>
      </c>
      <c r="K5221" s="10">
        <v>12</v>
      </c>
      <c r="L5221" s="10">
        <v>12</v>
      </c>
      <c r="M5221" s="6" t="s">
        <v>371</v>
      </c>
    </row>
    <row r="5222" spans="1:13">
      <c r="A5222" s="6">
        <v>2025</v>
      </c>
      <c r="B5222" s="6">
        <v>2</v>
      </c>
      <c r="C5222" s="6" t="s">
        <v>60</v>
      </c>
      <c r="D5222" s="6" t="s">
        <v>40</v>
      </c>
      <c r="E5222" s="6" t="s">
        <v>736</v>
      </c>
      <c r="F5222" s="6" t="str">
        <f>IF($M5222="PADD I","PADD 1",IF($M5222="PADD II","PADD 2",IF($M5222="PADD III","PADD 3",IF($M5222="PADD IV","PADD 4",IF($M5222="PADD V","PADD 5","")))))</f>
        <v>PADD 1</v>
      </c>
      <c r="G5222" s="6">
        <f>IF(AND($H5222="ATMOS DISTILLATION",ISNUMBER(SEARCH("VPS",$I5222))=FALSE,LEFT($I5222,6)&lt;&gt;"VACUUM"),"CDU",IF($H5222="FLUID CAT CRACKING","FCC",IF(OR($H5222="HYDROCRACKING",$H5222="RESID_HYDROCRACKING"),"Hydrocracker",IF($H5222="REFORMING","Reformer",""))))</f>
        <v/>
      </c>
      <c r="H5222" s="6" t="s">
        <v>460</v>
      </c>
      <c r="I5222" s="6" t="s">
        <v>760</v>
      </c>
      <c r="J5222" s="6" t="s">
        <v>349</v>
      </c>
      <c r="K5222" s="10">
        <v>12</v>
      </c>
      <c r="L5222" s="10">
        <v>12</v>
      </c>
      <c r="M5222" s="6" t="s">
        <v>413</v>
      </c>
    </row>
    <row r="5223" spans="1:13">
      <c r="A5223" s="6">
        <v>2025</v>
      </c>
      <c r="B5223" s="6">
        <v>2</v>
      </c>
      <c r="C5223" s="6" t="s">
        <v>60</v>
      </c>
      <c r="D5223" s="6" t="s">
        <v>778</v>
      </c>
      <c r="E5223" s="6" t="s">
        <v>779</v>
      </c>
      <c r="F5223" s="6" t="str">
        <f>IF($M5223="PADD I","PADD 1",IF($M5223="PADD II","PADD 2",IF($M5223="PADD III","PADD 3",IF($M5223="PADD IV","PADD 4",IF($M5223="PADD V","PADD 5","")))))</f>
        <v>PADD 3</v>
      </c>
      <c r="G5223" s="6" t="str">
        <f>IF(AND($H5223="ATMOS DISTILLATION",ISNUMBER(SEARCH("VPS",$I5223))=FALSE,LEFT($I5223,6)&lt;&gt;"VACUUM"),"CDU",IF($H5223="FLUID CAT CRACKING","FCC",IF(OR($H5223="HYDROCRACKING",$H5223="RESID_HYDROCRACKING"),"Hydrocracker",IF($H5223="REFORMING","Reformer",""))))</f>
        <v>Hydrocracker</v>
      </c>
      <c r="H5223" s="6" t="s">
        <v>444</v>
      </c>
      <c r="I5223" s="6" t="s">
        <v>817</v>
      </c>
      <c r="J5223" s="6" t="s">
        <v>349</v>
      </c>
      <c r="K5223" s="10">
        <v>11.7</v>
      </c>
      <c r="L5223" s="10">
        <v>30</v>
      </c>
      <c r="M5223" s="6" t="s">
        <v>371</v>
      </c>
    </row>
    <row r="5224" spans="1:13">
      <c r="A5224" s="6">
        <v>2025</v>
      </c>
      <c r="B5224" s="6">
        <v>2</v>
      </c>
      <c r="C5224" s="6" t="s">
        <v>60</v>
      </c>
      <c r="D5224" s="6" t="s">
        <v>778</v>
      </c>
      <c r="E5224" s="6" t="s">
        <v>779</v>
      </c>
      <c r="F5224" s="6" t="str">
        <f>IF($M5224="PADD I","PADD 1",IF($M5224="PADD II","PADD 2",IF($M5224="PADD III","PADD 3",IF($M5224="PADD IV","PADD 4",IF($M5224="PADD V","PADD 5","")))))</f>
        <v>PADD 3</v>
      </c>
      <c r="G5224" s="6">
        <f>IF(AND($H5224="ATMOS DISTILLATION",ISNUMBER(SEARCH("VPS",$I5224))=FALSE,LEFT($I5224,6)&lt;&gt;"VACUUM"),"CDU",IF($H5224="FLUID CAT CRACKING","FCC",IF(OR($H5224="HYDROCRACKING",$H5224="RESID_HYDROCRACKING"),"Hydrocracker",IF($H5224="REFORMING","Reformer",""))))</f>
        <v/>
      </c>
      <c r="H5224" s="6" t="s">
        <v>43</v>
      </c>
      <c r="I5224" s="6" t="s">
        <v>818</v>
      </c>
      <c r="J5224" s="6" t="s">
        <v>349</v>
      </c>
      <c r="K5224" s="10">
        <v>11.7</v>
      </c>
      <c r="L5224" s="10">
        <v>30</v>
      </c>
      <c r="M5224" s="6" t="s">
        <v>371</v>
      </c>
    </row>
    <row r="5225" spans="1:13">
      <c r="A5225" s="6">
        <v>2025</v>
      </c>
      <c r="B5225" s="6">
        <v>2</v>
      </c>
      <c r="C5225" s="6" t="s">
        <v>60</v>
      </c>
      <c r="D5225" s="6" t="s">
        <v>778</v>
      </c>
      <c r="E5225" s="6" t="s">
        <v>779</v>
      </c>
      <c r="F5225" s="6" t="str">
        <f>IF($M5225="PADD I","PADD 1",IF($M5225="PADD II","PADD 2",IF($M5225="PADD III","PADD 3",IF($M5225="PADD IV","PADD 4",IF($M5225="PADD V","PADD 5","")))))</f>
        <v>PADD 3</v>
      </c>
      <c r="G5225" s="6">
        <f>IF(AND($H5225="ATMOS DISTILLATION",ISNUMBER(SEARCH("VPS",$I5225))=FALSE,LEFT($I5225,6)&lt;&gt;"VACUUM"),"CDU",IF($H5225="FLUID CAT CRACKING","FCC",IF(OR($H5225="HYDROCRACKING",$H5225="RESID_HYDROCRACKING"),"Hydrocracker",IF($H5225="REFORMING","Reformer",""))))</f>
        <v/>
      </c>
      <c r="H5225" s="6" t="s">
        <v>43</v>
      </c>
      <c r="I5225" s="6" t="s">
        <v>819</v>
      </c>
      <c r="J5225" s="6" t="s">
        <v>349</v>
      </c>
      <c r="K5225" s="10">
        <v>11.7</v>
      </c>
      <c r="L5225" s="10">
        <v>30</v>
      </c>
      <c r="M5225" s="6" t="s">
        <v>371</v>
      </c>
    </row>
    <row r="5226" spans="1:13">
      <c r="A5226" s="6">
        <v>2025</v>
      </c>
      <c r="B5226" s="6">
        <v>2</v>
      </c>
      <c r="C5226" s="6" t="s">
        <v>60</v>
      </c>
      <c r="D5226" s="6" t="s">
        <v>547</v>
      </c>
      <c r="E5226" s="6" t="s">
        <v>391</v>
      </c>
      <c r="F5226" s="6" t="str">
        <f>IF($M5226="PADD I","PADD 1",IF($M5226="PADD II","PADD 2",IF($M5226="PADD III","PADD 3",IF($M5226="PADD IV","PADD 4",IF($M5226="PADD V","PADD 5","")))))</f>
        <v>PADD 5</v>
      </c>
      <c r="G5226" s="6">
        <f>IF(AND($H5226="ATMOS DISTILLATION",ISNUMBER(SEARCH("VPS",$I5226))=FALSE,LEFT($I5226,6)&lt;&gt;"VACUUM"),"CDU",IF($H5226="FLUID CAT CRACKING","FCC",IF(OR($H5226="HYDROCRACKING",$H5226="RESID_HYDROCRACKING"),"Hydrocracker",IF($H5226="REFORMING","Reformer",""))))</f>
        <v/>
      </c>
      <c r="H5226" s="6" t="s">
        <v>43</v>
      </c>
      <c r="I5226" s="6" t="s">
        <v>929</v>
      </c>
      <c r="J5226" s="6" t="s">
        <v>349</v>
      </c>
      <c r="K5226" s="10">
        <v>11.664</v>
      </c>
      <c r="L5226" s="10">
        <v>64.8</v>
      </c>
      <c r="M5226" s="6" t="s">
        <v>386</v>
      </c>
    </row>
    <row r="5227" spans="1:13">
      <c r="A5227" s="6">
        <v>2025</v>
      </c>
      <c r="B5227" s="6">
        <v>2</v>
      </c>
      <c r="C5227" s="6" t="s">
        <v>60</v>
      </c>
      <c r="D5227" s="6" t="s">
        <v>946</v>
      </c>
      <c r="E5227" s="6" t="s">
        <v>405</v>
      </c>
      <c r="F5227" s="6" t="str">
        <f>IF($M5227="PADD I","PADD 1",IF($M5227="PADD II","PADD 2",IF($M5227="PADD III","PADD 3",IF($M5227="PADD IV","PADD 4",IF($M5227="PADD V","PADD 5","")))))</f>
        <v>PADD 5</v>
      </c>
      <c r="G5227" s="6">
        <f>IF(AND($H5227="ATMOS DISTILLATION",ISNUMBER(SEARCH("VPS",$I5227))=FALSE,LEFT($I5227,6)&lt;&gt;"VACUUM"),"CDU",IF($H5227="FLUID CAT CRACKING","FCC",IF(OR($H5227="HYDROCRACKING",$H5227="RESID_HYDROCRACKING"),"Hydrocracker",IF($H5227="REFORMING","Reformer",""))))</f>
        <v/>
      </c>
      <c r="H5227" s="6" t="s">
        <v>568</v>
      </c>
      <c r="I5227" s="6" t="s">
        <v>974</v>
      </c>
      <c r="J5227" s="6" t="s">
        <v>349</v>
      </c>
      <c r="K5227" s="10">
        <v>11.56</v>
      </c>
      <c r="L5227" s="10">
        <v>17</v>
      </c>
      <c r="M5227" s="6" t="s">
        <v>386</v>
      </c>
    </row>
    <row r="5228" spans="1:13">
      <c r="A5228" s="6">
        <v>2025</v>
      </c>
      <c r="B5228" s="6">
        <v>2</v>
      </c>
      <c r="C5228" s="6" t="s">
        <v>60</v>
      </c>
      <c r="D5228" s="6" t="s">
        <v>547</v>
      </c>
      <c r="E5228" s="6" t="s">
        <v>391</v>
      </c>
      <c r="F5228" s="6" t="str">
        <f>IF($M5228="PADD I","PADD 1",IF($M5228="PADD II","PADD 2",IF($M5228="PADD III","PADD 3",IF($M5228="PADD IV","PADD 4",IF($M5228="PADD V","PADD 5","")))))</f>
        <v>PADD 5</v>
      </c>
      <c r="G5228" s="6">
        <f>IF(AND($H5228="ATMOS DISTILLATION",ISNUMBER(SEARCH("VPS",$I5228))=FALSE,LEFT($I5228,6)&lt;&gt;"VACUUM"),"CDU",IF($H5228="FLUID CAT CRACKING","FCC",IF(OR($H5228="HYDROCRACKING",$H5228="RESID_HYDROCRACKING"),"Hydrocracker",IF($H5228="REFORMING","Reformer",""))))</f>
        <v/>
      </c>
      <c r="H5228" s="6" t="s">
        <v>43</v>
      </c>
      <c r="I5228" s="6" t="s">
        <v>926</v>
      </c>
      <c r="J5228" s="6" t="s">
        <v>345</v>
      </c>
      <c r="K5228" s="10">
        <v>11.2</v>
      </c>
      <c r="L5228" s="10">
        <v>80</v>
      </c>
      <c r="M5228" s="6" t="s">
        <v>386</v>
      </c>
    </row>
    <row r="5229" spans="1:13">
      <c r="A5229" s="6">
        <v>2025</v>
      </c>
      <c r="B5229" s="6">
        <v>2</v>
      </c>
      <c r="C5229" s="6" t="s">
        <v>60</v>
      </c>
      <c r="D5229" s="6" t="s">
        <v>48</v>
      </c>
      <c r="E5229" s="6" t="s">
        <v>388</v>
      </c>
      <c r="F5229" s="6" t="str">
        <f>IF($M5229="PADD I","PADD 1",IF($M5229="PADD II","PADD 2",IF($M5229="PADD III","PADD 3",IF($M5229="PADD IV","PADD 4",IF($M5229="PADD V","PADD 5","")))))</f>
        <v>PADD 2</v>
      </c>
      <c r="G5229" s="6">
        <f>IF(AND($H5229="ATMOS DISTILLATION",ISNUMBER(SEARCH("VPS",$I5229))=FALSE,LEFT($I5229,6)&lt;&gt;"VACUUM"),"CDU",IF($H5229="FLUID CAT CRACKING","FCC",IF(OR($H5229="HYDROCRACKING",$H5229="RESID_HYDROCRACKING"),"Hydrocracker",IF($H5229="REFORMING","Reformer",""))))</f>
        <v/>
      </c>
      <c r="H5229" s="6" t="s">
        <v>43</v>
      </c>
      <c r="I5229" s="6" t="s">
        <v>761</v>
      </c>
      <c r="J5229" s="6" t="s">
        <v>345</v>
      </c>
      <c r="K5229" s="10">
        <v>11.04</v>
      </c>
      <c r="L5229" s="10">
        <v>24</v>
      </c>
      <c r="M5229" s="6" t="s">
        <v>375</v>
      </c>
    </row>
    <row r="5230" spans="1:13">
      <c r="A5230" s="6">
        <v>2025</v>
      </c>
      <c r="B5230" s="6">
        <v>2</v>
      </c>
      <c r="C5230" s="6" t="s">
        <v>60</v>
      </c>
      <c r="D5230" s="6" t="s">
        <v>946</v>
      </c>
      <c r="E5230" s="6" t="s">
        <v>405</v>
      </c>
      <c r="F5230" s="6" t="str">
        <f>IF($M5230="PADD I","PADD 1",IF($M5230="PADD II","PADD 2",IF($M5230="PADD III","PADD 3",IF($M5230="PADD IV","PADD 4",IF($M5230="PADD V","PADD 5","")))))</f>
        <v>PADD 5</v>
      </c>
      <c r="G5230" s="6" t="str">
        <f>IF(AND($H5230="ATMOS DISTILLATION",ISNUMBER(SEARCH("VPS",$I5230))=FALSE,LEFT($I5230,6)&lt;&gt;"VACUUM"),"CDU",IF($H5230="FLUID CAT CRACKING","FCC",IF(OR($H5230="HYDROCRACKING",$H5230="RESID_HYDROCRACKING"),"Hydrocracker",IF($H5230="REFORMING","Reformer",""))))</f>
        <v>Reformer</v>
      </c>
      <c r="H5230" s="6" t="s">
        <v>421</v>
      </c>
      <c r="I5230" s="6" t="s">
        <v>973</v>
      </c>
      <c r="J5230" s="6" t="s">
        <v>345</v>
      </c>
      <c r="K5230" s="10">
        <v>10.98</v>
      </c>
      <c r="L5230" s="10">
        <v>18</v>
      </c>
      <c r="M5230" s="6" t="s">
        <v>386</v>
      </c>
    </row>
    <row r="5231" spans="1:13">
      <c r="A5231" s="6">
        <v>2025</v>
      </c>
      <c r="B5231" s="6">
        <v>2</v>
      </c>
      <c r="C5231" s="6" t="s">
        <v>60</v>
      </c>
      <c r="D5231" s="6" t="s">
        <v>324</v>
      </c>
      <c r="E5231" s="6" t="s">
        <v>388</v>
      </c>
      <c r="F5231" s="6" t="str">
        <f>IF($M5231="PADD I","PADD 1",IF($M5231="PADD II","PADD 2",IF($M5231="PADD III","PADD 3",IF($M5231="PADD IV","PADD 4",IF($M5231="PADD V","PADD 5","")))))</f>
        <v>PADD 3</v>
      </c>
      <c r="G5231" s="6">
        <f>IF(AND($H5231="ATMOS DISTILLATION",ISNUMBER(SEARCH("VPS",$I5231))=FALSE,LEFT($I5231,6)&lt;&gt;"VACUUM"),"CDU",IF($H5231="FLUID CAT CRACKING","FCC",IF(OR($H5231="HYDROCRACKING",$H5231="RESID_HYDROCRACKING"),"Hydrocracker",IF($H5231="REFORMING","Reformer",""))))</f>
        <v/>
      </c>
      <c r="H5231" s="6" t="s">
        <v>378</v>
      </c>
      <c r="I5231" s="6" t="s">
        <v>942</v>
      </c>
      <c r="J5231" s="6" t="s">
        <v>345</v>
      </c>
      <c r="K5231" s="10">
        <v>10.395</v>
      </c>
      <c r="L5231" s="10">
        <v>148.5</v>
      </c>
      <c r="M5231" s="6" t="s">
        <v>371</v>
      </c>
    </row>
    <row r="5232" spans="1:13">
      <c r="A5232" s="6">
        <v>2025</v>
      </c>
      <c r="B5232" s="6">
        <v>2</v>
      </c>
      <c r="C5232" s="6" t="s">
        <v>60</v>
      </c>
      <c r="D5232" s="6" t="s">
        <v>547</v>
      </c>
      <c r="E5232" s="6" t="s">
        <v>391</v>
      </c>
      <c r="F5232" s="6" t="str">
        <f>IF($M5232="PADD I","PADD 1",IF($M5232="PADD II","PADD 2",IF($M5232="PADD III","PADD 3",IF($M5232="PADD IV","PADD 4",IF($M5232="PADD V","PADD 5","")))))</f>
        <v>PADD 5</v>
      </c>
      <c r="G5232" s="6" t="str">
        <f>IF(AND($H5232="ATMOS DISTILLATION",ISNUMBER(SEARCH("VPS",$I5232))=FALSE,LEFT($I5232,6)&lt;&gt;"VACUUM"),"CDU",IF($H5232="FLUID CAT CRACKING","FCC",IF(OR($H5232="HYDROCRACKING",$H5232="RESID_HYDROCRACKING"),"Hydrocracker",IF($H5232="REFORMING","Reformer",""))))</f>
        <v>FCC</v>
      </c>
      <c r="H5232" s="6" t="s">
        <v>376</v>
      </c>
      <c r="I5232" s="6" t="s">
        <v>105</v>
      </c>
      <c r="J5232" s="6" t="s">
        <v>345</v>
      </c>
      <c r="K5232" s="10">
        <v>9.9</v>
      </c>
      <c r="L5232" s="10">
        <v>90</v>
      </c>
      <c r="M5232" s="6" t="s">
        <v>386</v>
      </c>
    </row>
    <row r="5233" spans="1:13">
      <c r="A5233" s="6">
        <v>2025</v>
      </c>
      <c r="B5233" s="6">
        <v>2</v>
      </c>
      <c r="C5233" s="6" t="s">
        <v>60</v>
      </c>
      <c r="D5233" s="6" t="s">
        <v>324</v>
      </c>
      <c r="E5233" s="6" t="s">
        <v>388</v>
      </c>
      <c r="F5233" s="6" t="str">
        <f>IF($M5233="PADD I","PADD 1",IF($M5233="PADD II","PADD 2",IF($M5233="PADD III","PADD 3",IF($M5233="PADD IV","PADD 4",IF($M5233="PADD V","PADD 5","")))))</f>
        <v>PADD 3</v>
      </c>
      <c r="G5233" s="6">
        <f>IF(AND($H5233="ATMOS DISTILLATION",ISNUMBER(SEARCH("VPS",$I5233))=FALSE,LEFT($I5233,6)&lt;&gt;"VACUUM"),"CDU",IF($H5233="FLUID CAT CRACKING","FCC",IF(OR($H5233="HYDROCRACKING",$H5233="RESID_HYDROCRACKING"),"Hydrocracker",IF($H5233="REFORMING","Reformer",""))))</f>
        <v/>
      </c>
      <c r="H5233" s="6" t="s">
        <v>378</v>
      </c>
      <c r="I5233" s="6" t="s">
        <v>1092</v>
      </c>
      <c r="J5233" s="6" t="s">
        <v>349</v>
      </c>
      <c r="K5233" s="10">
        <v>9.404999999999999</v>
      </c>
      <c r="L5233" s="10">
        <v>16.5</v>
      </c>
      <c r="M5233" s="6" t="s">
        <v>371</v>
      </c>
    </row>
    <row r="5234" spans="1:13">
      <c r="A5234" s="6">
        <v>2025</v>
      </c>
      <c r="B5234" s="6">
        <v>2</v>
      </c>
      <c r="C5234" s="6" t="s">
        <v>60</v>
      </c>
      <c r="D5234" s="6" t="s">
        <v>434</v>
      </c>
      <c r="E5234" s="6" t="s">
        <v>388</v>
      </c>
      <c r="F5234" s="6" t="str">
        <f>IF($M5234="PADD I","PADD 1",IF($M5234="PADD II","PADD 2",IF($M5234="PADD III","PADD 3",IF($M5234="PADD IV","PADD 4",IF($M5234="PADD V","PADD 5","")))))</f>
        <v>PADD 5</v>
      </c>
      <c r="G5234" s="6" t="str">
        <f>IF(AND($H5234="ATMOS DISTILLATION",ISNUMBER(SEARCH("VPS",$I5234))=FALSE,LEFT($I5234,6)&lt;&gt;"VACUUM"),"CDU",IF($H5234="FLUID CAT CRACKING","FCC",IF(OR($H5234="HYDROCRACKING",$H5234="RESID_HYDROCRACKING"),"Hydrocracker",IF($H5234="REFORMING","Reformer",""))))</f>
        <v>Hydrocracker</v>
      </c>
      <c r="H5234" s="6" t="s">
        <v>444</v>
      </c>
      <c r="I5234" s="6" t="s">
        <v>14</v>
      </c>
      <c r="J5234" s="6" t="s">
        <v>345</v>
      </c>
      <c r="K5234" s="10">
        <v>9.279999999999999</v>
      </c>
      <c r="L5234" s="10">
        <v>32</v>
      </c>
      <c r="M5234" s="6" t="s">
        <v>386</v>
      </c>
    </row>
    <row r="5235" spans="1:13">
      <c r="A5235" s="6">
        <v>2025</v>
      </c>
      <c r="B5235" s="6">
        <v>2</v>
      </c>
      <c r="C5235" s="6" t="s">
        <v>60</v>
      </c>
      <c r="D5235" s="6" t="s">
        <v>662</v>
      </c>
      <c r="E5235" s="6" t="s">
        <v>552</v>
      </c>
      <c r="F5235" s="6" t="str">
        <f>IF($M5235="PADD I","PADD 1",IF($M5235="PADD II","PADD 2",IF($M5235="PADD III","PADD 3",IF($M5235="PADD IV","PADD 4",IF($M5235="PADD V","PADD 5","")))))</f>
        <v>PADD 3</v>
      </c>
      <c r="G5235" s="6">
        <f>IF(AND($H5235="ATMOS DISTILLATION",ISNUMBER(SEARCH("VPS",$I5235))=FALSE,LEFT($I5235,6)&lt;&gt;"VACUUM"),"CDU",IF($H5235="FLUID CAT CRACKING","FCC",IF(OR($H5235="HYDROCRACKING",$H5235="RESID_HYDROCRACKING"),"Hydrocracker",IF($H5235="REFORMING","Reformer",""))))</f>
        <v/>
      </c>
      <c r="H5235" s="6" t="s">
        <v>43</v>
      </c>
      <c r="I5235" s="6" t="s">
        <v>927</v>
      </c>
      <c r="J5235" s="6" t="s">
        <v>349</v>
      </c>
      <c r="K5235" s="10">
        <v>9.18</v>
      </c>
      <c r="L5235" s="10">
        <v>25.5</v>
      </c>
      <c r="M5235" s="6" t="s">
        <v>371</v>
      </c>
    </row>
    <row r="5236" spans="1:13">
      <c r="A5236" s="6">
        <v>2025</v>
      </c>
      <c r="B5236" s="6">
        <v>2</v>
      </c>
      <c r="C5236" s="6" t="s">
        <v>60</v>
      </c>
      <c r="D5236" s="6" t="s">
        <v>465</v>
      </c>
      <c r="E5236" s="6" t="s">
        <v>369</v>
      </c>
      <c r="F5236" s="6" t="str">
        <f>IF($M5236="PADD I","PADD 1",IF($M5236="PADD II","PADD 2",IF($M5236="PADD III","PADD 3",IF($M5236="PADD IV","PADD 4",IF($M5236="PADD V","PADD 5","")))))</f>
        <v>PADD 5</v>
      </c>
      <c r="G5236" s="6">
        <f>IF(AND($H5236="ATMOS DISTILLATION",ISNUMBER(SEARCH("VPS",$I5236))=FALSE,LEFT($I5236,6)&lt;&gt;"VACUUM"),"CDU",IF($H5236="FLUID CAT CRACKING","FCC",IF(OR($H5236="HYDROCRACKING",$H5236="RESID_HYDROCRACKING"),"Hydrocracker",IF($H5236="REFORMING","Reformer",""))))</f>
        <v/>
      </c>
      <c r="H5236" s="6" t="s">
        <v>43</v>
      </c>
      <c r="I5236" s="6" t="s">
        <v>466</v>
      </c>
      <c r="J5236" s="6" t="s">
        <v>349</v>
      </c>
      <c r="K5236" s="10">
        <v>9</v>
      </c>
      <c r="L5236" s="10">
        <v>50</v>
      </c>
      <c r="M5236" s="6" t="s">
        <v>386</v>
      </c>
    </row>
    <row r="5237" spans="1:13">
      <c r="A5237" s="6">
        <v>2025</v>
      </c>
      <c r="B5237" s="6">
        <v>2</v>
      </c>
      <c r="C5237" s="6" t="s">
        <v>60</v>
      </c>
      <c r="D5237" s="6" t="s">
        <v>946</v>
      </c>
      <c r="E5237" s="6" t="s">
        <v>405</v>
      </c>
      <c r="F5237" s="6" t="str">
        <f>IF($M5237="PADD I","PADD 1",IF($M5237="PADD II","PADD 2",IF($M5237="PADD III","PADD 3",IF($M5237="PADD IV","PADD 4",IF($M5237="PADD V","PADD 5","")))))</f>
        <v>PADD 5</v>
      </c>
      <c r="G5237" s="6">
        <f>IF(AND($H5237="ATMOS DISTILLATION",ISNUMBER(SEARCH("VPS",$I5237))=FALSE,LEFT($I5237,6)&lt;&gt;"VACUUM"),"CDU",IF($H5237="FLUID CAT CRACKING","FCC",IF(OR($H5237="HYDROCRACKING",$H5237="RESID_HYDROCRACKING"),"Hydrocracker",IF($H5237="REFORMING","Reformer",""))))</f>
        <v/>
      </c>
      <c r="H5237" s="6" t="s">
        <v>435</v>
      </c>
      <c r="I5237" s="6" t="s">
        <v>975</v>
      </c>
      <c r="J5237" s="6" t="s">
        <v>345</v>
      </c>
      <c r="K5237" s="10">
        <v>8.550000000000001</v>
      </c>
      <c r="L5237" s="10">
        <v>15</v>
      </c>
      <c r="M5237" s="6" t="s">
        <v>386</v>
      </c>
    </row>
    <row r="5238" spans="1:13">
      <c r="A5238" s="6">
        <v>2025</v>
      </c>
      <c r="B5238" s="6">
        <v>2</v>
      </c>
      <c r="C5238" s="6" t="s">
        <v>60</v>
      </c>
      <c r="D5238" s="6" t="s">
        <v>610</v>
      </c>
      <c r="E5238" s="6" t="s">
        <v>611</v>
      </c>
      <c r="F5238" s="6" t="str">
        <f>IF($M5238="PADD I","PADD 1",IF($M5238="PADD II","PADD 2",IF($M5238="PADD III","PADD 3",IF($M5238="PADD IV","PADD 4",IF($M5238="PADD V","PADD 5","")))))</f>
        <v>PADD 2</v>
      </c>
      <c r="G5238" s="6">
        <f>IF(AND($H5238="ATMOS DISTILLATION",ISNUMBER(SEARCH("VPS",$I5238))=FALSE,LEFT($I5238,6)&lt;&gt;"VACUUM"),"CDU",IF($H5238="FLUID CAT CRACKING","FCC",IF(OR($H5238="HYDROCRACKING",$H5238="RESID_HYDROCRACKING"),"Hydrocracker",IF($H5238="REFORMING","Reformer",""))))</f>
        <v/>
      </c>
      <c r="H5238" s="6" t="s">
        <v>460</v>
      </c>
      <c r="I5238" s="6" t="s">
        <v>616</v>
      </c>
      <c r="J5238" s="6" t="s">
        <v>349</v>
      </c>
      <c r="K5238" s="10">
        <v>8</v>
      </c>
      <c r="L5238" s="10">
        <v>8</v>
      </c>
      <c r="M5238" s="6" t="s">
        <v>375</v>
      </c>
    </row>
    <row r="5239" spans="1:13">
      <c r="A5239" s="6">
        <v>2025</v>
      </c>
      <c r="B5239" s="6">
        <v>2</v>
      </c>
      <c r="C5239" s="6" t="s">
        <v>60</v>
      </c>
      <c r="D5239" s="6" t="s">
        <v>319</v>
      </c>
      <c r="E5239" s="6" t="s">
        <v>665</v>
      </c>
      <c r="F5239" s="6" t="str">
        <f>IF($M5239="PADD I","PADD 1",IF($M5239="PADD II","PADD 2",IF($M5239="PADD III","PADD 3",IF($M5239="PADD IV","PADD 4",IF($M5239="PADD V","PADD 5","")))))</f>
        <v>PADD 3</v>
      </c>
      <c r="G5239" s="6" t="str">
        <f>IF(AND($H5239="ATMOS DISTILLATION",ISNUMBER(SEARCH("VPS",$I5239))=FALSE,LEFT($I5239,6)&lt;&gt;"VACUUM"),"CDU",IF($H5239="FLUID CAT CRACKING","FCC",IF(OR($H5239="HYDROCRACKING",$H5239="RESID_HYDROCRACKING"),"Hydrocracker",IF($H5239="REFORMING","Reformer",""))))</f>
        <v>Hydrocracker</v>
      </c>
      <c r="H5239" s="6" t="s">
        <v>444</v>
      </c>
      <c r="I5239" s="6" t="s">
        <v>14</v>
      </c>
      <c r="J5239" s="6" t="s">
        <v>345</v>
      </c>
      <c r="K5239" s="10">
        <v>7.92</v>
      </c>
      <c r="L5239" s="10">
        <v>44</v>
      </c>
      <c r="M5239" s="6" t="s">
        <v>371</v>
      </c>
    </row>
    <row r="5240" spans="1:13">
      <c r="A5240" s="6">
        <v>2025</v>
      </c>
      <c r="B5240" s="6">
        <v>2</v>
      </c>
      <c r="C5240" s="6" t="s">
        <v>60</v>
      </c>
      <c r="D5240" s="6" t="s">
        <v>799</v>
      </c>
      <c r="E5240" s="6" t="s">
        <v>391</v>
      </c>
      <c r="F5240" s="6" t="str">
        <f>IF($M5240="PADD I","PADD 1",IF($M5240="PADD II","PADD 2",IF($M5240="PADD III","PADD 3",IF($M5240="PADD IV","PADD 4",IF($M5240="PADD V","PADD 5","")))))</f>
        <v>PADD 4</v>
      </c>
      <c r="G5240" s="6">
        <f>IF(AND($H5240="ATMOS DISTILLATION",ISNUMBER(SEARCH("VPS",$I5240))=FALSE,LEFT($I5240,6)&lt;&gt;"VACUUM"),"CDU",IF($H5240="FLUID CAT CRACKING","FCC",IF(OR($H5240="HYDROCRACKING",$H5240="RESID_HYDROCRACKING"),"Hydrocracker",IF($H5240="REFORMING","Reformer",""))))</f>
        <v/>
      </c>
      <c r="H5240" s="6" t="s">
        <v>435</v>
      </c>
      <c r="I5240" s="6" t="s">
        <v>1188</v>
      </c>
      <c r="J5240" s="6" t="s">
        <v>349</v>
      </c>
      <c r="K5240" s="10">
        <v>7.872</v>
      </c>
      <c r="L5240" s="10">
        <v>8.199999999999999</v>
      </c>
      <c r="M5240" s="6" t="s">
        <v>430</v>
      </c>
    </row>
    <row r="5241" spans="1:13">
      <c r="A5241" s="6">
        <v>2025</v>
      </c>
      <c r="B5241" s="6">
        <v>2</v>
      </c>
      <c r="C5241" s="6" t="s">
        <v>60</v>
      </c>
      <c r="D5241" s="6" t="s">
        <v>946</v>
      </c>
      <c r="E5241" s="6" t="s">
        <v>405</v>
      </c>
      <c r="F5241" s="6" t="str">
        <f>IF($M5241="PADD I","PADD 1",IF($M5241="PADD II","PADD 2",IF($M5241="PADD III","PADD 3",IF($M5241="PADD IV","PADD 4",IF($M5241="PADD V","PADD 5","")))))</f>
        <v>PADD 5</v>
      </c>
      <c r="G5241" s="6" t="str">
        <f>IF(AND($H5241="ATMOS DISTILLATION",ISNUMBER(SEARCH("VPS",$I5241))=FALSE,LEFT($I5241,6)&lt;&gt;"VACUUM"),"CDU",IF($H5241="FLUID CAT CRACKING","FCC",IF(OR($H5241="HYDROCRACKING",$H5241="RESID_HYDROCRACKING"),"Hydrocracker",IF($H5241="REFORMING","Reformer",""))))</f>
        <v>CDU</v>
      </c>
      <c r="H5241" s="6" t="s">
        <v>38</v>
      </c>
      <c r="I5241" s="6" t="s">
        <v>968</v>
      </c>
      <c r="J5241" s="6" t="s">
        <v>345</v>
      </c>
      <c r="K5241" s="10">
        <v>7.83</v>
      </c>
      <c r="L5241" s="10">
        <v>43.5</v>
      </c>
      <c r="M5241" s="6" t="s">
        <v>386</v>
      </c>
    </row>
    <row r="5242" spans="1:13">
      <c r="A5242" s="6">
        <v>2025</v>
      </c>
      <c r="B5242" s="6">
        <v>2</v>
      </c>
      <c r="C5242" s="6" t="s">
        <v>60</v>
      </c>
      <c r="D5242" s="6" t="s">
        <v>1289</v>
      </c>
      <c r="E5242" s="6" t="s">
        <v>1290</v>
      </c>
      <c r="F5242" s="6" t="str">
        <f>IF($M5242="PADD I","PADD 1",IF($M5242="PADD II","PADD 2",IF($M5242="PADD III","PADD 3",IF($M5242="PADD IV","PADD 4",IF($M5242="PADD V","PADD 5","")))))</f>
        <v>PADD 5</v>
      </c>
      <c r="G5242" s="6" t="str">
        <f>IF(AND($H5242="ATMOS DISTILLATION",ISNUMBER(SEARCH("VPS",$I5242))=FALSE,LEFT($I5242,6)&lt;&gt;"VACUUM"),"CDU",IF($H5242="FLUID CAT CRACKING","FCC",IF(OR($H5242="HYDROCRACKING",$H5242="RESID_HYDROCRACKING"),"Hydrocracker",IF($H5242="REFORMING","Reformer",""))))</f>
        <v>CDU</v>
      </c>
      <c r="H5242" s="6" t="s">
        <v>38</v>
      </c>
      <c r="I5242" s="6" t="s">
        <v>133</v>
      </c>
      <c r="J5242" s="6" t="s">
        <v>349</v>
      </c>
      <c r="K5242" s="10">
        <v>7.776</v>
      </c>
      <c r="L5242" s="10">
        <v>24.3</v>
      </c>
      <c r="M5242" s="6" t="s">
        <v>386</v>
      </c>
    </row>
    <row r="5243" spans="1:13">
      <c r="A5243" s="6">
        <v>2025</v>
      </c>
      <c r="B5243" s="6">
        <v>2</v>
      </c>
      <c r="C5243" s="6" t="s">
        <v>60</v>
      </c>
      <c r="D5243" s="6" t="s">
        <v>662</v>
      </c>
      <c r="E5243" s="6" t="s">
        <v>552</v>
      </c>
      <c r="F5243" s="6" t="str">
        <f>IF($M5243="PADD I","PADD 1",IF($M5243="PADD II","PADD 2",IF($M5243="PADD III","PADD 3",IF($M5243="PADD IV","PADD 4",IF($M5243="PADD V","PADD 5","")))))</f>
        <v>PADD 3</v>
      </c>
      <c r="G5243" s="6" t="str">
        <f>IF(AND($H5243="ATMOS DISTILLATION",ISNUMBER(SEARCH("VPS",$I5243))=FALSE,LEFT($I5243,6)&lt;&gt;"VACUUM"),"CDU",IF($H5243="FLUID CAT CRACKING","FCC",IF(OR($H5243="HYDROCRACKING",$H5243="RESID_HYDROCRACKING"),"Hydrocracker",IF($H5243="REFORMING","Reformer",""))))</f>
        <v>Reformer</v>
      </c>
      <c r="H5243" s="6" t="s">
        <v>421</v>
      </c>
      <c r="I5243" s="6" t="s">
        <v>1049</v>
      </c>
      <c r="J5243" s="6" t="s">
        <v>349</v>
      </c>
      <c r="K5243" s="10">
        <v>7.74</v>
      </c>
      <c r="L5243" s="10">
        <v>21.5</v>
      </c>
      <c r="M5243" s="6" t="s">
        <v>371</v>
      </c>
    </row>
    <row r="5244" spans="1:13">
      <c r="A5244" s="6">
        <v>2025</v>
      </c>
      <c r="B5244" s="6">
        <v>2</v>
      </c>
      <c r="C5244" s="6" t="s">
        <v>60</v>
      </c>
      <c r="D5244" s="6" t="s">
        <v>446</v>
      </c>
      <c r="E5244" s="6" t="s">
        <v>391</v>
      </c>
      <c r="F5244" s="6" t="str">
        <f>IF($M5244="PADD I","PADD 1",IF($M5244="PADD II","PADD 2",IF($M5244="PADD III","PADD 3",IF($M5244="PADD IV","PADD 4",IF($M5244="PADD V","PADD 5","")))))</f>
        <v>PADD 3</v>
      </c>
      <c r="G5244" s="6">
        <f>IF(AND($H5244="ATMOS DISTILLATION",ISNUMBER(SEARCH("VPS",$I5244))=FALSE,LEFT($I5244,6)&lt;&gt;"VACUUM"),"CDU",IF($H5244="FLUID CAT CRACKING","FCC",IF(OR($H5244="HYDROCRACKING",$H5244="RESID_HYDROCRACKING"),"Hydrocracker",IF($H5244="REFORMING","Reformer",""))))</f>
        <v/>
      </c>
      <c r="H5244" s="6" t="s">
        <v>378</v>
      </c>
      <c r="I5244" s="6" t="s">
        <v>1041</v>
      </c>
      <c r="J5244" s="6" t="s">
        <v>345</v>
      </c>
      <c r="K5244" s="10">
        <v>7.38</v>
      </c>
      <c r="L5244" s="10">
        <v>41</v>
      </c>
      <c r="M5244" s="6" t="s">
        <v>371</v>
      </c>
    </row>
    <row r="5245" spans="1:13">
      <c r="A5245" s="6">
        <v>2025</v>
      </c>
      <c r="B5245" s="6">
        <v>2</v>
      </c>
      <c r="C5245" s="6" t="s">
        <v>60</v>
      </c>
      <c r="D5245" s="6" t="s">
        <v>322</v>
      </c>
      <c r="E5245" s="6" t="s">
        <v>369</v>
      </c>
      <c r="F5245" s="6" t="str">
        <f>IF($M5245="PADD I","PADD 1",IF($M5245="PADD II","PADD 2",IF($M5245="PADD III","PADD 3",IF($M5245="PADD IV","PADD 4",IF($M5245="PADD V","PADD 5","")))))</f>
        <v>PADD 2</v>
      </c>
      <c r="G5245" s="6">
        <f>IF(AND($H5245="ATMOS DISTILLATION",ISNUMBER(SEARCH("VPS",$I5245))=FALSE,LEFT($I5245,6)&lt;&gt;"VACUUM"),"CDU",IF($H5245="FLUID CAT CRACKING","FCC",IF(OR($H5245="HYDROCRACKING",$H5245="RESID_HYDROCRACKING"),"Hydrocracker",IF($H5245="REFORMING","Reformer",""))))</f>
        <v/>
      </c>
      <c r="H5245" s="6" t="s">
        <v>378</v>
      </c>
      <c r="I5245" s="6" t="s">
        <v>419</v>
      </c>
      <c r="J5245" s="6" t="s">
        <v>349</v>
      </c>
      <c r="K5245" s="10">
        <v>7.35</v>
      </c>
      <c r="L5245" s="10">
        <v>105</v>
      </c>
      <c r="M5245" s="6" t="s">
        <v>375</v>
      </c>
    </row>
    <row r="5246" spans="1:13">
      <c r="A5246" s="6">
        <v>2025</v>
      </c>
      <c r="B5246" s="6">
        <v>2</v>
      </c>
      <c r="C5246" s="6" t="s">
        <v>60</v>
      </c>
      <c r="D5246" s="6" t="s">
        <v>639</v>
      </c>
      <c r="E5246" s="6" t="s">
        <v>452</v>
      </c>
      <c r="F5246" s="6" t="str">
        <f>IF($M5246="PADD I","PADD 1",IF($M5246="PADD II","PADD 2",IF($M5246="PADD III","PADD 3",IF($M5246="PADD IV","PADD 4",IF($M5246="PADD V","PADD 5","")))))</f>
        <v>PADD 5</v>
      </c>
      <c r="G5246" s="6">
        <f>IF(AND($H5246="ATMOS DISTILLATION",ISNUMBER(SEARCH("VPS",$I5246))=FALSE,LEFT($I5246,6)&lt;&gt;"VACUUM"),"CDU",IF($H5246="FLUID CAT CRACKING","FCC",IF(OR($H5246="HYDROCRACKING",$H5246="RESID_HYDROCRACKING"),"Hydrocracker",IF($H5246="REFORMING","Reformer",""))))</f>
        <v/>
      </c>
      <c r="H5246" s="6" t="s">
        <v>435</v>
      </c>
      <c r="I5246" s="6" t="s">
        <v>1096</v>
      </c>
      <c r="J5246" s="6" t="s">
        <v>349</v>
      </c>
      <c r="K5246" s="10">
        <v>7.337</v>
      </c>
      <c r="L5246" s="10">
        <v>25.3</v>
      </c>
      <c r="M5246" s="6" t="s">
        <v>386</v>
      </c>
    </row>
    <row r="5247" spans="1:13">
      <c r="A5247" s="6">
        <v>2025</v>
      </c>
      <c r="B5247" s="6">
        <v>2</v>
      </c>
      <c r="C5247" s="6" t="s">
        <v>60</v>
      </c>
      <c r="D5247" s="6" t="s">
        <v>887</v>
      </c>
      <c r="E5247" s="6" t="s">
        <v>405</v>
      </c>
      <c r="F5247" s="6" t="str">
        <f>IF($M5247="PADD I","PADD 1",IF($M5247="PADD II","PADD 2",IF($M5247="PADD III","PADD 3",IF($M5247="PADD IV","PADD 4",IF($M5247="PADD V","PADD 5","")))))</f>
        <v>PADD 3</v>
      </c>
      <c r="G5247" s="6">
        <f>IF(AND($H5247="ATMOS DISTILLATION",ISNUMBER(SEARCH("VPS",$I5247))=FALSE,LEFT($I5247,6)&lt;&gt;"VACUUM"),"CDU",IF($H5247="FLUID CAT CRACKING","FCC",IF(OR($H5247="HYDROCRACKING",$H5247="RESID_HYDROCRACKING"),"Hydrocracker",IF($H5247="REFORMING","Reformer",""))))</f>
        <v/>
      </c>
      <c r="H5247" s="6" t="s">
        <v>460</v>
      </c>
      <c r="I5247" s="6" t="s">
        <v>616</v>
      </c>
      <c r="J5247" s="6" t="s">
        <v>349</v>
      </c>
      <c r="K5247" s="10">
        <v>6.5</v>
      </c>
      <c r="L5247" s="10">
        <v>6.5</v>
      </c>
      <c r="M5247" s="6" t="s">
        <v>371</v>
      </c>
    </row>
    <row r="5248" spans="1:13">
      <c r="A5248" s="6">
        <v>2025</v>
      </c>
      <c r="B5248" s="6">
        <v>2</v>
      </c>
      <c r="C5248" s="6" t="s">
        <v>60</v>
      </c>
      <c r="D5248" s="6" t="s">
        <v>646</v>
      </c>
      <c r="E5248" s="6" t="s">
        <v>405</v>
      </c>
      <c r="F5248" s="6" t="str">
        <f>IF($M5248="PADD I","PADD 1",IF($M5248="PADD II","PADD 2",IF($M5248="PADD III","PADD 3",IF($M5248="PADD IV","PADD 4",IF($M5248="PADD V","PADD 5","")))))</f>
        <v>PADD 3</v>
      </c>
      <c r="G5248" s="6">
        <f>IF(AND($H5248="ATMOS DISTILLATION",ISNUMBER(SEARCH("VPS",$I5248))=FALSE,LEFT($I5248,6)&lt;&gt;"VACUUM"),"CDU",IF($H5248="FLUID CAT CRACKING","FCC",IF(OR($H5248="HYDROCRACKING",$H5248="RESID_HYDROCRACKING"),"Hydrocracker",IF($H5248="REFORMING","Reformer",""))))</f>
        <v/>
      </c>
      <c r="H5248" s="6" t="s">
        <v>43</v>
      </c>
      <c r="I5248" s="6" t="s">
        <v>647</v>
      </c>
      <c r="J5248" s="6" t="s">
        <v>345</v>
      </c>
      <c r="K5248" s="10">
        <v>6.3</v>
      </c>
      <c r="L5248" s="10">
        <v>45</v>
      </c>
      <c r="M5248" s="6" t="s">
        <v>371</v>
      </c>
    </row>
    <row r="5249" spans="1:13">
      <c r="A5249" s="6">
        <v>2025</v>
      </c>
      <c r="B5249" s="6">
        <v>2</v>
      </c>
      <c r="C5249" s="6" t="s">
        <v>60</v>
      </c>
      <c r="D5249" s="6" t="s">
        <v>434</v>
      </c>
      <c r="E5249" s="6" t="s">
        <v>388</v>
      </c>
      <c r="F5249" s="6" t="str">
        <f>IF($M5249="PADD I","PADD 1",IF($M5249="PADD II","PADD 2",IF($M5249="PADD III","PADD 3",IF($M5249="PADD IV","PADD 4",IF($M5249="PADD V","PADD 5","")))))</f>
        <v>PADD 5</v>
      </c>
      <c r="G5249" s="6">
        <f>IF(AND($H5249="ATMOS DISTILLATION",ISNUMBER(SEARCH("VPS",$I5249))=FALSE,LEFT($I5249,6)&lt;&gt;"VACUUM"),"CDU",IF($H5249="FLUID CAT CRACKING","FCC",IF(OR($H5249="HYDROCRACKING",$H5249="RESID_HYDROCRACKING"),"Hydrocracker",IF($H5249="REFORMING","Reformer",""))))</f>
        <v/>
      </c>
      <c r="H5249" s="6" t="s">
        <v>43</v>
      </c>
      <c r="I5249" s="6" t="s">
        <v>905</v>
      </c>
      <c r="J5249" s="6" t="s">
        <v>345</v>
      </c>
      <c r="K5249" s="10">
        <v>6.25</v>
      </c>
      <c r="L5249" s="10">
        <v>25</v>
      </c>
      <c r="M5249" s="6" t="s">
        <v>386</v>
      </c>
    </row>
    <row r="5250" spans="1:13">
      <c r="A5250" s="6">
        <v>2025</v>
      </c>
      <c r="B5250" s="6">
        <v>2</v>
      </c>
      <c r="C5250" s="6" t="s">
        <v>60</v>
      </c>
      <c r="D5250" s="6" t="s">
        <v>440</v>
      </c>
      <c r="E5250" s="6" t="s">
        <v>369</v>
      </c>
      <c r="F5250" s="6" t="str">
        <f>IF($M5250="PADD I","PADD 1",IF($M5250="PADD II","PADD 2",IF($M5250="PADD III","PADD 3",IF($M5250="PADD IV","PADD 4",IF($M5250="PADD V","PADD 5","")))))</f>
        <v>PADD 5</v>
      </c>
      <c r="G5250" s="6">
        <f>IF(AND($H5250="ATMOS DISTILLATION",ISNUMBER(SEARCH("VPS",$I5250))=FALSE,LEFT($I5250,6)&lt;&gt;"VACUUM"),"CDU",IF($H5250="FLUID CAT CRACKING","FCC",IF(OR($H5250="HYDROCRACKING",$H5250="RESID_HYDROCRACKING"),"Hydrocracker",IF($H5250="REFORMING","Reformer",""))))</f>
        <v/>
      </c>
      <c r="H5250" s="6" t="s">
        <v>43</v>
      </c>
      <c r="I5250" s="6" t="s">
        <v>1271</v>
      </c>
      <c r="J5250" s="6" t="s">
        <v>345</v>
      </c>
      <c r="K5250" s="10">
        <v>6.05</v>
      </c>
      <c r="L5250" s="10">
        <v>55</v>
      </c>
      <c r="M5250" s="6" t="s">
        <v>386</v>
      </c>
    </row>
    <row r="5251" spans="1:13">
      <c r="A5251" s="6">
        <v>2025</v>
      </c>
      <c r="B5251" s="6">
        <v>2</v>
      </c>
      <c r="C5251" s="6" t="s">
        <v>60</v>
      </c>
      <c r="D5251" s="6" t="s">
        <v>887</v>
      </c>
      <c r="E5251" s="6" t="s">
        <v>405</v>
      </c>
      <c r="F5251" s="6" t="str">
        <f>IF($M5251="PADD I","PADD 1",IF($M5251="PADD II","PADD 2",IF($M5251="PADD III","PADD 3",IF($M5251="PADD IV","PADD 4",IF($M5251="PADD V","PADD 5","")))))</f>
        <v>PADD 3</v>
      </c>
      <c r="G5251" s="6">
        <f>IF(AND($H5251="ATMOS DISTILLATION",ISNUMBER(SEARCH("VPS",$I5251))=FALSE,LEFT($I5251,6)&lt;&gt;"VACUUM"),"CDU",IF($H5251="FLUID CAT CRACKING","FCC",IF(OR($H5251="HYDROCRACKING",$H5251="RESID_HYDROCRACKING"),"Hydrocracker",IF($H5251="REFORMING","Reformer",""))))</f>
        <v/>
      </c>
      <c r="H5251" s="6" t="s">
        <v>637</v>
      </c>
      <c r="I5251" s="6" t="s">
        <v>1279</v>
      </c>
      <c r="J5251" s="6" t="s">
        <v>349</v>
      </c>
      <c r="K5251" s="10">
        <v>6</v>
      </c>
      <c r="L5251" s="10">
        <v>6</v>
      </c>
      <c r="M5251" s="6" t="s">
        <v>371</v>
      </c>
    </row>
    <row r="5252" spans="1:13">
      <c r="A5252" s="6">
        <v>2025</v>
      </c>
      <c r="B5252" s="6">
        <v>2</v>
      </c>
      <c r="C5252" s="6" t="s">
        <v>60</v>
      </c>
      <c r="D5252" s="6" t="s">
        <v>50</v>
      </c>
      <c r="E5252" s="6" t="s">
        <v>381</v>
      </c>
      <c r="F5252" s="6" t="str">
        <f>IF($M5252="PADD I","PADD 1",IF($M5252="PADD II","PADD 2",IF($M5252="PADD III","PADD 3",IF($M5252="PADD IV","PADD 4",IF($M5252="PADD V","PADD 5","")))))</f>
        <v>PADD 3</v>
      </c>
      <c r="G5252" s="6" t="str">
        <f>IF(AND($H5252="ATMOS DISTILLATION",ISNUMBER(SEARCH("VPS",$I5252))=FALSE,LEFT($I5252,6)&lt;&gt;"VACUUM"),"CDU",IF($H5252="FLUID CAT CRACKING","FCC",IF(OR($H5252="HYDROCRACKING",$H5252="RESID_HYDROCRACKING"),"Hydrocracker",IF($H5252="REFORMING","Reformer",""))))</f>
        <v>Hydrocracker</v>
      </c>
      <c r="H5252" s="6" t="s">
        <v>444</v>
      </c>
      <c r="I5252" s="6" t="s">
        <v>1195</v>
      </c>
      <c r="J5252" s="6" t="s">
        <v>345</v>
      </c>
      <c r="K5252" s="10">
        <v>5.88</v>
      </c>
      <c r="L5252" s="10">
        <v>28</v>
      </c>
      <c r="M5252" s="6" t="s">
        <v>371</v>
      </c>
    </row>
    <row r="5253" spans="1:13">
      <c r="A5253" s="6">
        <v>2025</v>
      </c>
      <c r="B5253" s="6">
        <v>2</v>
      </c>
      <c r="C5253" s="6" t="s">
        <v>60</v>
      </c>
      <c r="D5253" s="6" t="s">
        <v>40</v>
      </c>
      <c r="E5253" s="6" t="s">
        <v>736</v>
      </c>
      <c r="F5253" s="6" t="str">
        <f>IF($M5253="PADD I","PADD 1",IF($M5253="PADD II","PADD 2",IF($M5253="PADD III","PADD 3",IF($M5253="PADD IV","PADD 4",IF($M5253="PADD V","PADD 5","")))))</f>
        <v>PADD 1</v>
      </c>
      <c r="G5253" s="6" t="str">
        <f>IF(AND($H5253="ATMOS DISTILLATION",ISNUMBER(SEARCH("VPS",$I5253))=FALSE,LEFT($I5253,6)&lt;&gt;"VACUUM"),"CDU",IF($H5253="FLUID CAT CRACKING","FCC",IF(OR($H5253="HYDROCRACKING",$H5253="RESID_HYDROCRACKING"),"Hydrocracker",IF($H5253="REFORMING","Reformer",""))))</f>
        <v>FCC</v>
      </c>
      <c r="H5253" s="6" t="s">
        <v>376</v>
      </c>
      <c r="I5253" s="6" t="s">
        <v>737</v>
      </c>
      <c r="J5253" s="6" t="s">
        <v>345</v>
      </c>
      <c r="K5253" s="10">
        <v>5.83</v>
      </c>
      <c r="L5253" s="10">
        <v>53</v>
      </c>
      <c r="M5253" s="6" t="s">
        <v>413</v>
      </c>
    </row>
    <row r="5254" spans="1:13">
      <c r="A5254" s="6">
        <v>2025</v>
      </c>
      <c r="B5254" s="6">
        <v>2</v>
      </c>
      <c r="C5254" s="6" t="s">
        <v>60</v>
      </c>
      <c r="D5254" s="6" t="s">
        <v>395</v>
      </c>
      <c r="E5254" s="6" t="s">
        <v>396</v>
      </c>
      <c r="F5254" s="6" t="str">
        <f>IF($M5254="PADD I","PADD 1",IF($M5254="PADD II","PADD 2",IF($M5254="PADD III","PADD 3",IF($M5254="PADD IV","PADD 4",IF($M5254="PADD V","PADD 5","")))))</f>
        <v>PADD 3</v>
      </c>
      <c r="G5254" s="6">
        <f>IF(AND($H5254="ATMOS DISTILLATION",ISNUMBER(SEARCH("VPS",$I5254))=FALSE,LEFT($I5254,6)&lt;&gt;"VACUUM"),"CDU",IF($H5254="FLUID CAT CRACKING","FCC",IF(OR($H5254="HYDROCRACKING",$H5254="RESID_HYDROCRACKING"),"Hydrocracker",IF($H5254="REFORMING","Reformer",""))))</f>
        <v/>
      </c>
      <c r="H5254" s="6" t="s">
        <v>43</v>
      </c>
      <c r="I5254" s="6" t="s">
        <v>550</v>
      </c>
      <c r="J5254" s="6" t="s">
        <v>345</v>
      </c>
      <c r="K5254" s="10">
        <v>5.754</v>
      </c>
      <c r="L5254" s="10">
        <v>41.1</v>
      </c>
      <c r="M5254" s="6" t="s">
        <v>371</v>
      </c>
    </row>
    <row r="5255" spans="1:13">
      <c r="A5255" s="6">
        <v>2025</v>
      </c>
      <c r="B5255" s="6">
        <v>2</v>
      </c>
      <c r="C5255" s="6" t="s">
        <v>60</v>
      </c>
      <c r="D5255" s="6" t="s">
        <v>778</v>
      </c>
      <c r="E5255" s="6" t="s">
        <v>779</v>
      </c>
      <c r="F5255" s="6" t="str">
        <f>IF($M5255="PADD I","PADD 1",IF($M5255="PADD II","PADD 2",IF($M5255="PADD III","PADD 3",IF($M5255="PADD IV","PADD 4",IF($M5255="PADD V","PADD 5","")))))</f>
        <v>PADD 3</v>
      </c>
      <c r="G5255" s="6">
        <f>IF(AND($H5255="ATMOS DISTILLATION",ISNUMBER(SEARCH("VPS",$I5255))=FALSE,LEFT($I5255,6)&lt;&gt;"VACUUM"),"CDU",IF($H5255="FLUID CAT CRACKING","FCC",IF(OR($H5255="HYDROCRACKING",$H5255="RESID_HYDROCRACKING"),"Hydrocracker",IF($H5255="REFORMING","Reformer",""))))</f>
        <v/>
      </c>
      <c r="H5255" s="6" t="s">
        <v>460</v>
      </c>
      <c r="I5255" s="6" t="s">
        <v>616</v>
      </c>
      <c r="J5255" s="6" t="s">
        <v>349</v>
      </c>
      <c r="K5255" s="10">
        <v>5.733</v>
      </c>
      <c r="L5255" s="10">
        <v>14.7</v>
      </c>
      <c r="M5255" s="6" t="s">
        <v>371</v>
      </c>
    </row>
    <row r="5256" spans="1:13">
      <c r="A5256" s="6">
        <v>2025</v>
      </c>
      <c r="B5256" s="6">
        <v>2</v>
      </c>
      <c r="C5256" s="6" t="s">
        <v>60</v>
      </c>
      <c r="D5256" s="6" t="s">
        <v>680</v>
      </c>
      <c r="E5256" s="6" t="s">
        <v>681</v>
      </c>
      <c r="F5256" s="6" t="str">
        <f>IF($M5256="PADD I","PADD 1",IF($M5256="PADD II","PADD 2",IF($M5256="PADD III","PADD 3",IF($M5256="PADD IV","PADD 4",IF($M5256="PADD V","PADD 5","")))))</f>
        <v>PADD 3</v>
      </c>
      <c r="G5256" s="6" t="str">
        <f>IF(AND($H5256="ATMOS DISTILLATION",ISNUMBER(SEARCH("VPS",$I5256))=FALSE,LEFT($I5256,6)&lt;&gt;"VACUUM"),"CDU",IF($H5256="FLUID CAT CRACKING","FCC",IF(OR($H5256="HYDROCRACKING",$H5256="RESID_HYDROCRACKING"),"Hydrocracker",IF($H5256="REFORMING","Reformer",""))))</f>
        <v>FCC</v>
      </c>
      <c r="H5256" s="6" t="s">
        <v>376</v>
      </c>
      <c r="I5256" s="6" t="s">
        <v>105</v>
      </c>
      <c r="J5256" s="6" t="s">
        <v>345</v>
      </c>
      <c r="K5256" s="10">
        <v>5.67</v>
      </c>
      <c r="L5256" s="10">
        <v>27</v>
      </c>
      <c r="M5256" s="6" t="s">
        <v>371</v>
      </c>
    </row>
    <row r="5257" spans="1:13">
      <c r="A5257" s="6">
        <v>2025</v>
      </c>
      <c r="B5257" s="6">
        <v>2</v>
      </c>
      <c r="C5257" s="6" t="s">
        <v>60</v>
      </c>
      <c r="D5257" s="6" t="s">
        <v>851</v>
      </c>
      <c r="E5257" s="6" t="s">
        <v>852</v>
      </c>
      <c r="F5257" s="6" t="str">
        <f>IF($M5257="PADD I","PADD 1",IF($M5257="PADD II","PADD 2",IF($M5257="PADD III","PADD 3",IF($M5257="PADD IV","PADD 4",IF($M5257="PADD V","PADD 5","")))))</f>
        <v>PADD 3</v>
      </c>
      <c r="G5257" s="6" t="str">
        <f>IF(AND($H5257="ATMOS DISTILLATION",ISNUMBER(SEARCH("VPS",$I5257))=FALSE,LEFT($I5257,6)&lt;&gt;"VACUUM"),"CDU",IF($H5257="FLUID CAT CRACKING","FCC",IF(OR($H5257="HYDROCRACKING",$H5257="RESID_HYDROCRACKING"),"Hydrocracker",IF($H5257="REFORMING","Reformer",""))))</f>
        <v>CDU</v>
      </c>
      <c r="H5257" s="6" t="s">
        <v>38</v>
      </c>
      <c r="I5257" s="6" t="s">
        <v>854</v>
      </c>
      <c r="J5257" s="6" t="s">
        <v>345</v>
      </c>
      <c r="K5257" s="10">
        <v>5.11</v>
      </c>
      <c r="L5257" s="10">
        <v>73</v>
      </c>
      <c r="M5257" s="6" t="s">
        <v>371</v>
      </c>
    </row>
    <row r="5258" spans="1:13">
      <c r="A5258" s="6">
        <v>2025</v>
      </c>
      <c r="B5258" s="6">
        <v>2</v>
      </c>
      <c r="C5258" s="6" t="s">
        <v>60</v>
      </c>
      <c r="D5258" s="6" t="s">
        <v>851</v>
      </c>
      <c r="E5258" s="6" t="s">
        <v>852</v>
      </c>
      <c r="F5258" s="6" t="str">
        <f>IF($M5258="PADD I","PADD 1",IF($M5258="PADD II","PADD 2",IF($M5258="PADD III","PADD 3",IF($M5258="PADD IV","PADD 4",IF($M5258="PADD V","PADD 5","")))))</f>
        <v>PADD 3</v>
      </c>
      <c r="G5258" s="6" t="str">
        <f>IF(AND($H5258="ATMOS DISTILLATION",ISNUMBER(SEARCH("VPS",$I5258))=FALSE,LEFT($I5258,6)&lt;&gt;"VACUUM"),"CDU",IF($H5258="FLUID CAT CRACKING","FCC",IF(OR($H5258="HYDROCRACKING",$H5258="RESID_HYDROCRACKING"),"Hydrocracker",IF($H5258="REFORMING","Reformer",""))))</f>
        <v>CDU</v>
      </c>
      <c r="H5258" s="6" t="s">
        <v>38</v>
      </c>
      <c r="I5258" s="6" t="s">
        <v>854</v>
      </c>
      <c r="J5258" s="6" t="s">
        <v>345</v>
      </c>
      <c r="K5258" s="10">
        <v>5.11</v>
      </c>
      <c r="L5258" s="10">
        <v>73</v>
      </c>
      <c r="M5258" s="6" t="s">
        <v>371</v>
      </c>
    </row>
    <row r="5259" spans="1:13">
      <c r="A5259" s="6">
        <v>2025</v>
      </c>
      <c r="B5259" s="6">
        <v>2</v>
      </c>
      <c r="C5259" s="6" t="s">
        <v>60</v>
      </c>
      <c r="D5259" s="6" t="s">
        <v>547</v>
      </c>
      <c r="E5259" s="6" t="s">
        <v>391</v>
      </c>
      <c r="F5259" s="6" t="str">
        <f>IF($M5259="PADD I","PADD 1",IF($M5259="PADD II","PADD 2",IF($M5259="PADD III","PADD 3",IF($M5259="PADD IV","PADD 4",IF($M5259="PADD V","PADD 5","")))))</f>
        <v>PADD 5</v>
      </c>
      <c r="G5259" s="6" t="str">
        <f>IF(AND($H5259="ATMOS DISTILLATION",ISNUMBER(SEARCH("VPS",$I5259))=FALSE,LEFT($I5259,6)&lt;&gt;"VACUUM"),"CDU",IF($H5259="FLUID CAT CRACKING","FCC",IF(OR($H5259="HYDROCRACKING",$H5259="RESID_HYDROCRACKING"),"Hydrocracker",IF($H5259="REFORMING","Reformer",""))))</f>
        <v>Hydrocracker</v>
      </c>
      <c r="H5259" s="6" t="s">
        <v>444</v>
      </c>
      <c r="I5259" s="6" t="s">
        <v>734</v>
      </c>
      <c r="J5259" s="6" t="s">
        <v>345</v>
      </c>
      <c r="K5259" s="10">
        <v>4.84</v>
      </c>
      <c r="L5259" s="10">
        <v>44</v>
      </c>
      <c r="M5259" s="6" t="s">
        <v>386</v>
      </c>
    </row>
    <row r="5260" spans="1:13">
      <c r="A5260" s="6">
        <v>2025</v>
      </c>
      <c r="B5260" s="6">
        <v>2</v>
      </c>
      <c r="C5260" s="6" t="s">
        <v>60</v>
      </c>
      <c r="D5260" s="6" t="s">
        <v>774</v>
      </c>
      <c r="E5260" s="6" t="s">
        <v>775</v>
      </c>
      <c r="F5260" s="6" t="str">
        <f>IF($M5260="PADD I","PADD 1",IF($M5260="PADD II","PADD 2",IF($M5260="PADD III","PADD 3",IF($M5260="PADD IV","PADD 4",IF($M5260="PADD V","PADD 5","")))))</f>
        <v>PADD 1</v>
      </c>
      <c r="G5260" s="6">
        <f>IF(AND($H5260="ATMOS DISTILLATION",ISNUMBER(SEARCH("VPS",$I5260))=FALSE,LEFT($I5260,6)&lt;&gt;"VACUUM"),"CDU",IF($H5260="FLUID CAT CRACKING","FCC",IF(OR($H5260="HYDROCRACKING",$H5260="RESID_HYDROCRACKING"),"Hydrocracker",IF($H5260="REFORMING","Reformer",""))))</f>
        <v/>
      </c>
      <c r="H5260" s="6" t="s">
        <v>43</v>
      </c>
      <c r="I5260" s="6" t="s">
        <v>1146</v>
      </c>
      <c r="J5260" s="6" t="s">
        <v>345</v>
      </c>
      <c r="K5260" s="10">
        <v>4.554</v>
      </c>
      <c r="L5260" s="10">
        <v>25.3</v>
      </c>
      <c r="M5260" s="6" t="s">
        <v>413</v>
      </c>
    </row>
    <row r="5261" spans="1:13">
      <c r="A5261" s="6">
        <v>2025</v>
      </c>
      <c r="B5261" s="6">
        <v>2</v>
      </c>
      <c r="C5261" s="6" t="s">
        <v>60</v>
      </c>
      <c r="D5261" s="6" t="s">
        <v>547</v>
      </c>
      <c r="E5261" s="6" t="s">
        <v>391</v>
      </c>
      <c r="F5261" s="6" t="str">
        <f>IF($M5261="PADD I","PADD 1",IF($M5261="PADD II","PADD 2",IF($M5261="PADD III","PADD 3",IF($M5261="PADD IV","PADD 4",IF($M5261="PADD V","PADD 5","")))))</f>
        <v>PADD 5</v>
      </c>
      <c r="G5261" s="6">
        <f>IF(AND($H5261="ATMOS DISTILLATION",ISNUMBER(SEARCH("VPS",$I5261))=FALSE,LEFT($I5261,6)&lt;&gt;"VACUUM"),"CDU",IF($H5261="FLUID CAT CRACKING","FCC",IF(OR($H5261="HYDROCRACKING",$H5261="RESID_HYDROCRACKING"),"Hydrocracker",IF($H5261="REFORMING","Reformer",""))))</f>
        <v/>
      </c>
      <c r="H5261" s="6" t="s">
        <v>43</v>
      </c>
      <c r="I5261" s="6" t="s">
        <v>105</v>
      </c>
      <c r="J5261" s="6" t="s">
        <v>345</v>
      </c>
      <c r="K5261" s="10">
        <v>4.55</v>
      </c>
      <c r="L5261" s="10">
        <v>65</v>
      </c>
      <c r="M5261" s="6" t="s">
        <v>386</v>
      </c>
    </row>
    <row r="5262" spans="1:13">
      <c r="A5262" s="6">
        <v>2025</v>
      </c>
      <c r="B5262" s="6">
        <v>2</v>
      </c>
      <c r="C5262" s="6" t="s">
        <v>60</v>
      </c>
      <c r="D5262" s="6" t="s">
        <v>1289</v>
      </c>
      <c r="E5262" s="6" t="s">
        <v>1290</v>
      </c>
      <c r="F5262" s="6" t="str">
        <f>IF($M5262="PADD I","PADD 1",IF($M5262="PADD II","PADD 2",IF($M5262="PADD III","PADD 3",IF($M5262="PADD IV","PADD 4",IF($M5262="PADD V","PADD 5","")))))</f>
        <v>PADD 5</v>
      </c>
      <c r="G5262" s="6">
        <f>IF(AND($H5262="ATMOS DISTILLATION",ISNUMBER(SEARCH("VPS",$I5262))=FALSE,LEFT($I5262,6)&lt;&gt;"VACUUM"),"CDU",IF($H5262="FLUID CAT CRACKING","FCC",IF(OR($H5262="HYDROCRACKING",$H5262="RESID_HYDROCRACKING"),"Hydrocracker",IF($H5262="REFORMING","Reformer",""))))</f>
        <v/>
      </c>
      <c r="H5262" s="6" t="s">
        <v>378</v>
      </c>
      <c r="I5262" s="6" t="s">
        <v>431</v>
      </c>
      <c r="J5262" s="6" t="s">
        <v>349</v>
      </c>
      <c r="K5262" s="10">
        <v>4.48</v>
      </c>
      <c r="L5262" s="10">
        <v>14</v>
      </c>
      <c r="M5262" s="6" t="s">
        <v>386</v>
      </c>
    </row>
    <row r="5263" spans="1:13">
      <c r="A5263" s="6">
        <v>2025</v>
      </c>
      <c r="B5263" s="6">
        <v>2</v>
      </c>
      <c r="C5263" s="6" t="s">
        <v>60</v>
      </c>
      <c r="D5263" s="6" t="s">
        <v>331</v>
      </c>
      <c r="E5263" s="6" t="s">
        <v>373</v>
      </c>
      <c r="F5263" s="6" t="str">
        <f>IF($M5263="PADD I","PADD 1",IF($M5263="PADD II","PADD 2",IF($M5263="PADD III","PADD 3",IF($M5263="PADD IV","PADD 4",IF($M5263="PADD V","PADD 5","")))))</f>
        <v>PADD 2</v>
      </c>
      <c r="G5263" s="6" t="str">
        <f>IF(AND($H5263="ATMOS DISTILLATION",ISNUMBER(SEARCH("VPS",$I5263))=FALSE,LEFT($I5263,6)&lt;&gt;"VACUUM"),"CDU",IF($H5263="FLUID CAT CRACKING","FCC",IF(OR($H5263="HYDROCRACKING",$H5263="RESID_HYDROCRACKING"),"Hydrocracker",IF($H5263="REFORMING","Reformer",""))))</f>
        <v>Reformer</v>
      </c>
      <c r="H5263" s="6" t="s">
        <v>421</v>
      </c>
      <c r="I5263" s="6" t="s">
        <v>916</v>
      </c>
      <c r="J5263" s="6" t="s">
        <v>345</v>
      </c>
      <c r="K5263" s="10">
        <v>4.4</v>
      </c>
      <c r="L5263" s="10">
        <v>40</v>
      </c>
      <c r="M5263" s="6" t="s">
        <v>375</v>
      </c>
    </row>
    <row r="5264" spans="1:13">
      <c r="A5264" s="6">
        <v>2025</v>
      </c>
      <c r="B5264" s="6">
        <v>2</v>
      </c>
      <c r="C5264" s="6" t="s">
        <v>60</v>
      </c>
      <c r="D5264" s="6" t="s">
        <v>346</v>
      </c>
      <c r="E5264" s="6" t="s">
        <v>383</v>
      </c>
      <c r="F5264" s="6" t="str">
        <f>IF($M5264="PADD I","PADD 1",IF($M5264="PADD II","PADD 2",IF($M5264="PADD III","PADD 3",IF($M5264="PADD IV","PADD 4",IF($M5264="PADD V","PADD 5","")))))</f>
        <v>PADD 2</v>
      </c>
      <c r="G5264" s="6" t="str">
        <f>IF(AND($H5264="ATMOS DISTILLATION",ISNUMBER(SEARCH("VPS",$I5264))=FALSE,LEFT($I5264,6)&lt;&gt;"VACUUM"),"CDU",IF($H5264="FLUID CAT CRACKING","FCC",IF(OR($H5264="HYDROCRACKING",$H5264="RESID_HYDROCRACKING"),"Hydrocracker",IF($H5264="REFORMING","Reformer",""))))</f>
        <v>Reformer</v>
      </c>
      <c r="H5264" s="6" t="s">
        <v>421</v>
      </c>
      <c r="I5264" s="6" t="s">
        <v>516</v>
      </c>
      <c r="J5264" s="6" t="s">
        <v>349</v>
      </c>
      <c r="K5264" s="10">
        <v>4.35</v>
      </c>
      <c r="L5264" s="10">
        <v>15</v>
      </c>
      <c r="M5264" s="6" t="s">
        <v>375</v>
      </c>
    </row>
    <row r="5265" spans="1:13">
      <c r="A5265" s="6">
        <v>2025</v>
      </c>
      <c r="B5265" s="6">
        <v>2</v>
      </c>
      <c r="C5265" s="6" t="s">
        <v>60</v>
      </c>
      <c r="D5265" s="6" t="s">
        <v>321</v>
      </c>
      <c r="E5265" s="6" t="s">
        <v>381</v>
      </c>
      <c r="F5265" s="6" t="str">
        <f>IF($M5265="PADD I","PADD 1",IF($M5265="PADD II","PADD 2",IF($M5265="PADD III","PADD 3",IF($M5265="PADD IV","PADD 4",IF($M5265="PADD V","PADD 5","")))))</f>
        <v>PADD 2</v>
      </c>
      <c r="G5265" s="6" t="str">
        <f>IF(AND($H5265="ATMOS DISTILLATION",ISNUMBER(SEARCH("VPS",$I5265))=FALSE,LEFT($I5265,6)&lt;&gt;"VACUUM"),"CDU",IF($H5265="FLUID CAT CRACKING","FCC",IF(OR($H5265="HYDROCRACKING",$H5265="RESID_HYDROCRACKING"),"Hydrocracker",IF($H5265="REFORMING","Reformer",""))))</f>
        <v>CDU</v>
      </c>
      <c r="H5265" s="6" t="s">
        <v>38</v>
      </c>
      <c r="I5265" s="6" t="s">
        <v>81</v>
      </c>
      <c r="J5265" s="6" t="s">
        <v>345</v>
      </c>
      <c r="K5265" s="10">
        <v>4.125</v>
      </c>
      <c r="L5265" s="10">
        <v>37.5</v>
      </c>
      <c r="M5265" s="6" t="s">
        <v>375</v>
      </c>
    </row>
    <row r="5266" spans="1:13">
      <c r="A5266" s="6">
        <v>2025</v>
      </c>
      <c r="B5266" s="6">
        <v>2</v>
      </c>
      <c r="C5266" s="6" t="s">
        <v>60</v>
      </c>
      <c r="D5266" s="6" t="s">
        <v>662</v>
      </c>
      <c r="E5266" s="6" t="s">
        <v>552</v>
      </c>
      <c r="F5266" s="6" t="str">
        <f>IF($M5266="PADD I","PADD 1",IF($M5266="PADD II","PADD 2",IF($M5266="PADD III","PADD 3",IF($M5266="PADD IV","PADD 4",IF($M5266="PADD V","PADD 5","")))))</f>
        <v>PADD 3</v>
      </c>
      <c r="G5266" s="6">
        <f>IF(AND($H5266="ATMOS DISTILLATION",ISNUMBER(SEARCH("VPS",$I5266))=FALSE,LEFT($I5266,6)&lt;&gt;"VACUUM"),"CDU",IF($H5266="FLUID CAT CRACKING","FCC",IF(OR($H5266="HYDROCRACKING",$H5266="RESID_HYDROCRACKING"),"Hydrocracker",IF($H5266="REFORMING","Reformer",""))))</f>
        <v/>
      </c>
      <c r="H5266" s="6" t="s">
        <v>43</v>
      </c>
      <c r="I5266" s="6" t="s">
        <v>844</v>
      </c>
      <c r="J5266" s="6" t="s">
        <v>349</v>
      </c>
      <c r="K5266" s="10">
        <v>4.1</v>
      </c>
      <c r="L5266" s="10">
        <v>5</v>
      </c>
      <c r="M5266" s="6" t="s">
        <v>371</v>
      </c>
    </row>
    <row r="5267" spans="1:13">
      <c r="A5267" s="6">
        <v>2025</v>
      </c>
      <c r="B5267" s="6">
        <v>2</v>
      </c>
      <c r="C5267" s="6" t="s">
        <v>60</v>
      </c>
      <c r="D5267" s="6" t="s">
        <v>878</v>
      </c>
      <c r="E5267" s="6" t="s">
        <v>452</v>
      </c>
      <c r="F5267" s="6" t="str">
        <f>IF($M5267="PADD I","PADD 1",IF($M5267="PADD II","PADD 2",IF($M5267="PADD III","PADD 3",IF($M5267="PADD IV","PADD 4",IF($M5267="PADD V","PADD 5","")))))</f>
        <v>PADD 2</v>
      </c>
      <c r="G5267" s="6" t="str">
        <f>IF(AND($H5267="ATMOS DISTILLATION",ISNUMBER(SEARCH("VPS",$I5267))=FALSE,LEFT($I5267,6)&lt;&gt;"VACUUM"),"CDU",IF($H5267="FLUID CAT CRACKING","FCC",IF(OR($H5267="HYDROCRACKING",$H5267="RESID_HYDROCRACKING"),"Hydrocracker",IF($H5267="REFORMING","Reformer",""))))</f>
        <v>CDU</v>
      </c>
      <c r="H5267" s="6" t="s">
        <v>38</v>
      </c>
      <c r="I5267" s="6" t="s">
        <v>879</v>
      </c>
      <c r="J5267" s="6" t="s">
        <v>345</v>
      </c>
      <c r="K5267" s="10">
        <v>3.4</v>
      </c>
      <c r="L5267" s="10">
        <v>85</v>
      </c>
      <c r="M5267" s="6" t="s">
        <v>375</v>
      </c>
    </row>
    <row r="5268" spans="1:13">
      <c r="A5268" s="6">
        <v>2025</v>
      </c>
      <c r="B5268" s="6">
        <v>2</v>
      </c>
      <c r="C5268" s="6" t="s">
        <v>60</v>
      </c>
      <c r="D5268" s="6" t="s">
        <v>1286</v>
      </c>
      <c r="E5268" s="6" t="s">
        <v>1287</v>
      </c>
      <c r="F5268" s="6" t="str">
        <f>IF($M5268="PADD I","PADD 1",IF($M5268="PADD II","PADD 2",IF($M5268="PADD III","PADD 3",IF($M5268="PADD IV","PADD 4",IF($M5268="PADD V","PADD 5","")))))</f>
        <v>PADD 4</v>
      </c>
      <c r="G5268" s="6">
        <f>IF(AND($H5268="ATMOS DISTILLATION",ISNUMBER(SEARCH("VPS",$I5268))=FALSE,LEFT($I5268,6)&lt;&gt;"VACUUM"),"CDU",IF($H5268="FLUID CAT CRACKING","FCC",IF(OR($H5268="HYDROCRACKING",$H5268="RESID_HYDROCRACKING"),"Hydrocracker",IF($H5268="REFORMING","Reformer",""))))</f>
        <v/>
      </c>
      <c r="H5268" s="6" t="s">
        <v>43</v>
      </c>
      <c r="I5268" s="6" t="s">
        <v>1291</v>
      </c>
      <c r="J5268" s="6" t="s">
        <v>345</v>
      </c>
      <c r="K5268" s="10">
        <v>3.355</v>
      </c>
      <c r="L5268" s="10">
        <v>5.5</v>
      </c>
      <c r="M5268" s="6" t="s">
        <v>430</v>
      </c>
    </row>
    <row r="5269" spans="1:13">
      <c r="A5269" s="6">
        <v>2025</v>
      </c>
      <c r="B5269" s="6">
        <v>2</v>
      </c>
      <c r="C5269" s="6" t="s">
        <v>60</v>
      </c>
      <c r="D5269" s="6" t="s">
        <v>1286</v>
      </c>
      <c r="E5269" s="6" t="s">
        <v>1287</v>
      </c>
      <c r="F5269" s="6" t="str">
        <f>IF($M5269="PADD I","PADD 1",IF($M5269="PADD II","PADD 2",IF($M5269="PADD III","PADD 3",IF($M5269="PADD IV","PADD 4",IF($M5269="PADD V","PADD 5","")))))</f>
        <v>PADD 4</v>
      </c>
      <c r="G5269" s="6" t="str">
        <f>IF(AND($H5269="ATMOS DISTILLATION",ISNUMBER(SEARCH("VPS",$I5269))=FALSE,LEFT($I5269,6)&lt;&gt;"VACUUM"),"CDU",IF($H5269="FLUID CAT CRACKING","FCC",IF(OR($H5269="HYDROCRACKING",$H5269="RESID_HYDROCRACKING"),"Hydrocracker",IF($H5269="REFORMING","Reformer",""))))</f>
        <v>FCC</v>
      </c>
      <c r="H5269" s="6" t="s">
        <v>376</v>
      </c>
      <c r="I5269" s="6" t="s">
        <v>105</v>
      </c>
      <c r="J5269" s="6" t="s">
        <v>345</v>
      </c>
      <c r="K5269" s="10">
        <v>3.355</v>
      </c>
      <c r="L5269" s="10">
        <v>5.5</v>
      </c>
      <c r="M5269" s="6" t="s">
        <v>430</v>
      </c>
    </row>
    <row r="5270" spans="1:13">
      <c r="A5270" s="6">
        <v>2025</v>
      </c>
      <c r="B5270" s="6">
        <v>2</v>
      </c>
      <c r="C5270" s="6" t="s">
        <v>60</v>
      </c>
      <c r="D5270" s="6" t="s">
        <v>468</v>
      </c>
      <c r="E5270" s="6" t="s">
        <v>369</v>
      </c>
      <c r="F5270" s="6" t="str">
        <f>IF($M5270="PADD I","PADD 1",IF($M5270="PADD II","PADD 2",IF($M5270="PADD III","PADD 3",IF($M5270="PADD IV","PADD 4",IF($M5270="PADD V","PADD 5","")))))</f>
        <v>PADD 3</v>
      </c>
      <c r="G5270" s="6" t="str">
        <f>IF(AND($H5270="ATMOS DISTILLATION",ISNUMBER(SEARCH("VPS",$I5270))=FALSE,LEFT($I5270,6)&lt;&gt;"VACUUM"),"CDU",IF($H5270="FLUID CAT CRACKING","FCC",IF(OR($H5270="HYDROCRACKING",$H5270="RESID_HYDROCRACKING"),"Hydrocracker",IF($H5270="REFORMING","Reformer",""))))</f>
        <v>FCC</v>
      </c>
      <c r="H5270" s="6" t="s">
        <v>376</v>
      </c>
      <c r="I5270" s="6" t="s">
        <v>473</v>
      </c>
      <c r="J5270" s="6" t="s">
        <v>345</v>
      </c>
      <c r="K5270" s="10">
        <v>3.3</v>
      </c>
      <c r="L5270" s="10">
        <v>30</v>
      </c>
      <c r="M5270" s="6" t="s">
        <v>371</v>
      </c>
    </row>
    <row r="5271" spans="1:13">
      <c r="A5271" s="6">
        <v>2025</v>
      </c>
      <c r="B5271" s="6">
        <v>2</v>
      </c>
      <c r="C5271" s="6" t="s">
        <v>60</v>
      </c>
      <c r="D5271" s="6" t="s">
        <v>434</v>
      </c>
      <c r="E5271" s="6" t="s">
        <v>388</v>
      </c>
      <c r="F5271" s="6" t="str">
        <f>IF($M5271="PADD I","PADD 1",IF($M5271="PADD II","PADD 2",IF($M5271="PADD III","PADD 3",IF($M5271="PADD IV","PADD 4",IF($M5271="PADD V","PADD 5","")))))</f>
        <v>PADD 5</v>
      </c>
      <c r="G5271" s="6" t="str">
        <f>IF(AND($H5271="ATMOS DISTILLATION",ISNUMBER(SEARCH("VPS",$I5271))=FALSE,LEFT($I5271,6)&lt;&gt;"VACUUM"),"CDU",IF($H5271="FLUID CAT CRACKING","FCC",IF(OR($H5271="HYDROCRACKING",$H5271="RESID_HYDROCRACKING"),"Hydrocracker",IF($H5271="REFORMING","Reformer",""))))</f>
        <v>Reformer</v>
      </c>
      <c r="H5271" s="6" t="s">
        <v>421</v>
      </c>
      <c r="I5271" s="6" t="s">
        <v>671</v>
      </c>
      <c r="J5271" s="6" t="s">
        <v>345</v>
      </c>
      <c r="K5271" s="10">
        <v>3.25</v>
      </c>
      <c r="L5271" s="10">
        <v>13</v>
      </c>
      <c r="M5271" s="6" t="s">
        <v>386</v>
      </c>
    </row>
    <row r="5272" spans="1:13">
      <c r="A5272" s="6">
        <v>2025</v>
      </c>
      <c r="B5272" s="6">
        <v>2</v>
      </c>
      <c r="C5272" s="6" t="s">
        <v>60</v>
      </c>
      <c r="D5272" s="6" t="s">
        <v>51</v>
      </c>
      <c r="E5272" s="6" t="s">
        <v>391</v>
      </c>
      <c r="F5272" s="6" t="str">
        <f>IF($M5272="PADD I","PADD 1",IF($M5272="PADD II","PADD 2",IF($M5272="PADD III","PADD 3",IF($M5272="PADD IV","PADD 4",IF($M5272="PADD V","PADD 5","")))))</f>
        <v>PADD 5</v>
      </c>
      <c r="G5272" s="6" t="str">
        <f>IF(AND($H5272="ATMOS DISTILLATION",ISNUMBER(SEARCH("VPS",$I5272))=FALSE,LEFT($I5272,6)&lt;&gt;"VACUUM"),"CDU",IF($H5272="FLUID CAT CRACKING","FCC",IF(OR($H5272="HYDROCRACKING",$H5272="RESID_HYDROCRACKING"),"Hydrocracker",IF($H5272="REFORMING","Reformer",""))))</f>
        <v>Hydrocracker</v>
      </c>
      <c r="H5272" s="6" t="s">
        <v>444</v>
      </c>
      <c r="I5272" s="6" t="s">
        <v>1074</v>
      </c>
      <c r="J5272" s="6" t="s">
        <v>345</v>
      </c>
      <c r="K5272" s="10">
        <v>3.15</v>
      </c>
      <c r="L5272" s="10">
        <v>45</v>
      </c>
      <c r="M5272" s="6" t="s">
        <v>386</v>
      </c>
    </row>
    <row r="5273" spans="1:13">
      <c r="A5273" s="6">
        <v>2025</v>
      </c>
      <c r="B5273" s="6">
        <v>2</v>
      </c>
      <c r="C5273" s="6" t="s">
        <v>60</v>
      </c>
      <c r="D5273" s="6" t="s">
        <v>807</v>
      </c>
      <c r="E5273" s="6" t="s">
        <v>779</v>
      </c>
      <c r="F5273" s="6" t="str">
        <f>IF($M5273="PADD I","PADD 1",IF($M5273="PADD II","PADD 2",IF($M5273="PADD III","PADD 3",IF($M5273="PADD IV","PADD 4",IF($M5273="PADD V","PADD 5","")))))</f>
        <v>PADD 3</v>
      </c>
      <c r="G5273" s="6" t="str">
        <f>IF(AND($H5273="ATMOS DISTILLATION",ISNUMBER(SEARCH("VPS",$I5273))=FALSE,LEFT($I5273,6)&lt;&gt;"VACUUM"),"CDU",IF($H5273="FLUID CAT CRACKING","FCC",IF(OR($H5273="HYDROCRACKING",$H5273="RESID_HYDROCRACKING"),"Hydrocracker",IF($H5273="REFORMING","Reformer",""))))</f>
        <v>CDU</v>
      </c>
      <c r="H5273" s="6" t="s">
        <v>38</v>
      </c>
      <c r="I5273" s="6" t="s">
        <v>135</v>
      </c>
      <c r="J5273" s="6" t="s">
        <v>345</v>
      </c>
      <c r="K5273" s="10">
        <v>3</v>
      </c>
      <c r="L5273" s="10">
        <v>75</v>
      </c>
      <c r="M5273" s="6" t="s">
        <v>371</v>
      </c>
    </row>
    <row r="5274" spans="1:13">
      <c r="A5274" s="6">
        <v>2025</v>
      </c>
      <c r="B5274" s="6">
        <v>2</v>
      </c>
      <c r="C5274" s="6" t="s">
        <v>60</v>
      </c>
      <c r="D5274" s="6" t="s">
        <v>662</v>
      </c>
      <c r="E5274" s="6" t="s">
        <v>552</v>
      </c>
      <c r="F5274" s="6" t="str">
        <f>IF($M5274="PADD I","PADD 1",IF($M5274="PADD II","PADD 2",IF($M5274="PADD III","PADD 3",IF($M5274="PADD IV","PADD 4",IF($M5274="PADD V","PADD 5","")))))</f>
        <v>PADD 3</v>
      </c>
      <c r="G5274" s="6">
        <f>IF(AND($H5274="ATMOS DISTILLATION",ISNUMBER(SEARCH("VPS",$I5274))=FALSE,LEFT($I5274,6)&lt;&gt;"VACUUM"),"CDU",IF($H5274="FLUID CAT CRACKING","FCC",IF(OR($H5274="HYDROCRACKING",$H5274="RESID_HYDROCRACKING"),"Hydrocracker",IF($H5274="REFORMING","Reformer",""))))</f>
        <v/>
      </c>
      <c r="H5274" s="6" t="s">
        <v>43</v>
      </c>
      <c r="I5274" s="6" t="s">
        <v>927</v>
      </c>
      <c r="J5274" s="6" t="s">
        <v>349</v>
      </c>
      <c r="K5274" s="10">
        <v>2.805</v>
      </c>
      <c r="L5274" s="10">
        <v>25.5</v>
      </c>
      <c r="M5274" s="6" t="s">
        <v>371</v>
      </c>
    </row>
    <row r="5275" spans="1:13">
      <c r="A5275" s="6">
        <v>2025</v>
      </c>
      <c r="B5275" s="6">
        <v>2</v>
      </c>
      <c r="C5275" s="6" t="s">
        <v>60</v>
      </c>
      <c r="D5275" s="6" t="s">
        <v>437</v>
      </c>
      <c r="E5275" s="6" t="s">
        <v>438</v>
      </c>
      <c r="F5275" s="6" t="str">
        <f>IF($M5275="PADD I","PADD 1",IF($M5275="PADD II","PADD 2",IF($M5275="PADD III","PADD 3",IF($M5275="PADD IV","PADD 4",IF($M5275="PADD V","PADD 5","")))))</f>
        <v>PADD 4</v>
      </c>
      <c r="G5275" s="6" t="str">
        <f>IF(AND($H5275="ATMOS DISTILLATION",ISNUMBER(SEARCH("VPS",$I5275))=FALSE,LEFT($I5275,6)&lt;&gt;"VACUUM"),"CDU",IF($H5275="FLUID CAT CRACKING","FCC",IF(OR($H5275="HYDROCRACKING",$H5275="RESID_HYDROCRACKING"),"Hydrocracker",IF($H5275="REFORMING","Reformer",""))))</f>
        <v>CDU</v>
      </c>
      <c r="H5275" s="6" t="s">
        <v>38</v>
      </c>
      <c r="I5275" s="6" t="s">
        <v>439</v>
      </c>
      <c r="J5275" s="6" t="s">
        <v>345</v>
      </c>
      <c r="K5275" s="10">
        <v>2.73</v>
      </c>
      <c r="L5275" s="10">
        <v>39</v>
      </c>
      <c r="M5275" s="6" t="s">
        <v>430</v>
      </c>
    </row>
    <row r="5276" spans="1:13">
      <c r="A5276" s="6">
        <v>2025</v>
      </c>
      <c r="B5276" s="6">
        <v>2</v>
      </c>
      <c r="C5276" s="6" t="s">
        <v>60</v>
      </c>
      <c r="D5276" s="6" t="s">
        <v>946</v>
      </c>
      <c r="E5276" s="6" t="s">
        <v>405</v>
      </c>
      <c r="F5276" s="6" t="str">
        <f>IF($M5276="PADD I","PADD 1",IF($M5276="PADD II","PADD 2",IF($M5276="PADD III","PADD 3",IF($M5276="PADD IV","PADD 4",IF($M5276="PADD V","PADD 5","")))))</f>
        <v>PADD 5</v>
      </c>
      <c r="G5276" s="6">
        <f>IF(AND($H5276="ATMOS DISTILLATION",ISNUMBER(SEARCH("VPS",$I5276))=FALSE,LEFT($I5276,6)&lt;&gt;"VACUUM"),"CDU",IF($H5276="FLUID CAT CRACKING","FCC",IF(OR($H5276="HYDROCRACKING",$H5276="RESID_HYDROCRACKING"),"Hydrocracker",IF($H5276="REFORMING","Reformer",""))))</f>
        <v/>
      </c>
      <c r="H5276" s="6" t="s">
        <v>435</v>
      </c>
      <c r="I5276" s="6" t="s">
        <v>972</v>
      </c>
      <c r="J5276" s="6" t="s">
        <v>345</v>
      </c>
      <c r="K5276" s="10">
        <v>2.7</v>
      </c>
      <c r="L5276" s="10">
        <v>15</v>
      </c>
      <c r="M5276" s="6" t="s">
        <v>386</v>
      </c>
    </row>
    <row r="5277" spans="1:13">
      <c r="A5277" s="6">
        <v>2025</v>
      </c>
      <c r="B5277" s="6">
        <v>2</v>
      </c>
      <c r="C5277" s="6" t="s">
        <v>60</v>
      </c>
      <c r="D5277" s="6" t="s">
        <v>1224</v>
      </c>
      <c r="E5277" s="6" t="s">
        <v>681</v>
      </c>
      <c r="F5277" s="6" t="str">
        <f>IF($M5277="PADD I","PADD 1",IF($M5277="PADD II","PADD 2",IF($M5277="PADD III","PADD 3",IF($M5277="PADD IV","PADD 4",IF($M5277="PADD V","PADD 5","")))))</f>
        <v>PADD 3</v>
      </c>
      <c r="G5277" s="6" t="str">
        <f>IF(AND($H5277="ATMOS DISTILLATION",ISNUMBER(SEARCH("VPS",$I5277))=FALSE,LEFT($I5277,6)&lt;&gt;"VACUUM"),"CDU",IF($H5277="FLUID CAT CRACKING","FCC",IF(OR($H5277="HYDROCRACKING",$H5277="RESID_HYDROCRACKING"),"Hydrocracker",IF($H5277="REFORMING","Reformer",""))))</f>
        <v>Reformer</v>
      </c>
      <c r="H5277" s="6" t="s">
        <v>421</v>
      </c>
      <c r="I5277" s="6" t="s">
        <v>15</v>
      </c>
      <c r="J5277" s="6" t="s">
        <v>345</v>
      </c>
      <c r="K5277" s="10">
        <v>2.64</v>
      </c>
      <c r="L5277" s="10">
        <v>24</v>
      </c>
      <c r="M5277" s="6" t="s">
        <v>371</v>
      </c>
    </row>
    <row r="5278" spans="1:13">
      <c r="A5278" s="6">
        <v>2025</v>
      </c>
      <c r="B5278" s="6">
        <v>2</v>
      </c>
      <c r="C5278" s="6" t="s">
        <v>60</v>
      </c>
      <c r="D5278" s="6" t="s">
        <v>328</v>
      </c>
      <c r="E5278" s="6" t="s">
        <v>416</v>
      </c>
      <c r="F5278" s="6" t="str">
        <f>IF($M5278="PADD I","PADD 1",IF($M5278="PADD II","PADD 2",IF($M5278="PADD III","PADD 3",IF($M5278="PADD IV","PADD 4",IF($M5278="PADD V","PADD 5","")))))</f>
        <v>PADD 2</v>
      </c>
      <c r="G5278" s="6">
        <f>IF(AND($H5278="ATMOS DISTILLATION",ISNUMBER(SEARCH("VPS",$I5278))=FALSE,LEFT($I5278,6)&lt;&gt;"VACUUM"),"CDU",IF($H5278="FLUID CAT CRACKING","FCC",IF(OR($H5278="HYDROCRACKING",$H5278="RESID_HYDROCRACKING"),"Hydrocracker",IF($H5278="REFORMING","Reformer",""))))</f>
        <v/>
      </c>
      <c r="H5278" s="6" t="s">
        <v>435</v>
      </c>
      <c r="I5278" s="6" t="s">
        <v>1059</v>
      </c>
      <c r="J5278" s="6" t="s">
        <v>349</v>
      </c>
      <c r="K5278" s="10">
        <v>2.6334</v>
      </c>
      <c r="L5278" s="10">
        <v>12.54</v>
      </c>
      <c r="M5278" s="6" t="s">
        <v>375</v>
      </c>
    </row>
    <row r="5279" spans="1:13">
      <c r="A5279" s="6">
        <v>2025</v>
      </c>
      <c r="B5279" s="6">
        <v>2</v>
      </c>
      <c r="C5279" s="6" t="s">
        <v>60</v>
      </c>
      <c r="D5279" s="6" t="s">
        <v>851</v>
      </c>
      <c r="E5279" s="6" t="s">
        <v>852</v>
      </c>
      <c r="F5279" s="6" t="str">
        <f>IF($M5279="PADD I","PADD 1",IF($M5279="PADD II","PADD 2",IF($M5279="PADD III","PADD 3",IF($M5279="PADD IV","PADD 4",IF($M5279="PADD V","PADD 5","")))))</f>
        <v>PADD 3</v>
      </c>
      <c r="G5279" s="6">
        <f>IF(AND($H5279="ATMOS DISTILLATION",ISNUMBER(SEARCH("VPS",$I5279))=FALSE,LEFT($I5279,6)&lt;&gt;"VACUUM"),"CDU",IF($H5279="FLUID CAT CRACKING","FCC",IF(OR($H5279="HYDROCRACKING",$H5279="RESID_HYDROCRACKING"),"Hydrocracker",IF($H5279="REFORMING","Reformer",""))))</f>
        <v/>
      </c>
      <c r="H5279" s="6" t="s">
        <v>378</v>
      </c>
      <c r="I5279" s="6" t="s">
        <v>860</v>
      </c>
      <c r="J5279" s="6" t="s">
        <v>345</v>
      </c>
      <c r="K5279" s="10">
        <v>2.52</v>
      </c>
      <c r="L5279" s="10">
        <v>36</v>
      </c>
      <c r="M5279" s="6" t="s">
        <v>371</v>
      </c>
    </row>
    <row r="5280" spans="1:13">
      <c r="A5280" s="6">
        <v>2025</v>
      </c>
      <c r="B5280" s="6">
        <v>2</v>
      </c>
      <c r="C5280" s="6" t="s">
        <v>60</v>
      </c>
      <c r="D5280" s="6" t="s">
        <v>851</v>
      </c>
      <c r="E5280" s="6" t="s">
        <v>852</v>
      </c>
      <c r="F5280" s="6" t="str">
        <f>IF($M5280="PADD I","PADD 1",IF($M5280="PADD II","PADD 2",IF($M5280="PADD III","PADD 3",IF($M5280="PADD IV","PADD 4",IF($M5280="PADD V","PADD 5","")))))</f>
        <v>PADD 3</v>
      </c>
      <c r="G5280" s="6">
        <f>IF(AND($H5280="ATMOS DISTILLATION",ISNUMBER(SEARCH("VPS",$I5280))=FALSE,LEFT($I5280,6)&lt;&gt;"VACUUM"),"CDU",IF($H5280="FLUID CAT CRACKING","FCC",IF(OR($H5280="HYDROCRACKING",$H5280="RESID_HYDROCRACKING"),"Hydrocracker",IF($H5280="REFORMING","Reformer",""))))</f>
        <v/>
      </c>
      <c r="H5280" s="6" t="s">
        <v>378</v>
      </c>
      <c r="I5280" s="6" t="s">
        <v>860</v>
      </c>
      <c r="J5280" s="6" t="s">
        <v>345</v>
      </c>
      <c r="K5280" s="10">
        <v>2.52</v>
      </c>
      <c r="L5280" s="10">
        <v>36</v>
      </c>
      <c r="M5280" s="6" t="s">
        <v>371</v>
      </c>
    </row>
    <row r="5281" spans="1:13">
      <c r="A5281" s="6">
        <v>2025</v>
      </c>
      <c r="B5281" s="6">
        <v>2</v>
      </c>
      <c r="C5281" s="6" t="s">
        <v>60</v>
      </c>
      <c r="D5281" s="6" t="s">
        <v>468</v>
      </c>
      <c r="E5281" s="6" t="s">
        <v>369</v>
      </c>
      <c r="F5281" s="6" t="str">
        <f>IF($M5281="PADD I","PADD 1",IF($M5281="PADD II","PADD 2",IF($M5281="PADD III","PADD 3",IF($M5281="PADD IV","PADD 4",IF($M5281="PADD V","PADD 5","")))))</f>
        <v>PADD 3</v>
      </c>
      <c r="G5281" s="6" t="str">
        <f>IF(AND($H5281="ATMOS DISTILLATION",ISNUMBER(SEARCH("VPS",$I5281))=FALSE,LEFT($I5281,6)&lt;&gt;"VACUUM"),"CDU",IF($H5281="FLUID CAT CRACKING","FCC",IF(OR($H5281="HYDROCRACKING",$H5281="RESID_HYDROCRACKING"),"Hydrocracker",IF($H5281="REFORMING","Reformer",""))))</f>
        <v>Reformer</v>
      </c>
      <c r="H5281" s="6" t="s">
        <v>421</v>
      </c>
      <c r="I5281" s="6" t="s">
        <v>635</v>
      </c>
      <c r="J5281" s="6" t="s">
        <v>345</v>
      </c>
      <c r="K5281" s="10">
        <v>2.24</v>
      </c>
      <c r="L5281" s="10">
        <v>7</v>
      </c>
      <c r="M5281" s="6" t="s">
        <v>371</v>
      </c>
    </row>
    <row r="5282" spans="1:13">
      <c r="A5282" s="6">
        <v>2025</v>
      </c>
      <c r="B5282" s="6">
        <v>2</v>
      </c>
      <c r="C5282" s="6" t="s">
        <v>60</v>
      </c>
      <c r="D5282" s="6" t="s">
        <v>457</v>
      </c>
      <c r="E5282" s="6" t="s">
        <v>388</v>
      </c>
      <c r="F5282" s="6" t="str">
        <f>IF($M5282="PADD I","PADD 1",IF($M5282="PADD II","PADD 2",IF($M5282="PADD III","PADD 3",IF($M5282="PADD IV","PADD 4",IF($M5282="PADD V","PADD 5","")))))</f>
        <v>PADD 5</v>
      </c>
      <c r="G5282" s="6" t="str">
        <f>IF(AND($H5282="ATMOS DISTILLATION",ISNUMBER(SEARCH("VPS",$I5282))=FALSE,LEFT($I5282,6)&lt;&gt;"VACUUM"),"CDU",IF($H5282="FLUID CAT CRACKING","FCC",IF(OR($H5282="HYDROCRACKING",$H5282="RESID_HYDROCRACKING"),"Hydrocracker",IF($H5282="REFORMING","Reformer",""))))</f>
        <v>Reformer</v>
      </c>
      <c r="H5282" s="6" t="s">
        <v>421</v>
      </c>
      <c r="I5282" s="6" t="s">
        <v>557</v>
      </c>
      <c r="J5282" s="6" t="s">
        <v>345</v>
      </c>
      <c r="K5282" s="10">
        <v>2.2</v>
      </c>
      <c r="L5282" s="10">
        <v>20</v>
      </c>
      <c r="M5282" s="6" t="s">
        <v>386</v>
      </c>
    </row>
    <row r="5283" spans="1:13">
      <c r="A5283" s="6">
        <v>2025</v>
      </c>
      <c r="B5283" s="6">
        <v>2</v>
      </c>
      <c r="C5283" s="6" t="s">
        <v>60</v>
      </c>
      <c r="D5283" s="6" t="s">
        <v>1286</v>
      </c>
      <c r="E5283" s="6" t="s">
        <v>1287</v>
      </c>
      <c r="F5283" s="6" t="str">
        <f>IF($M5283="PADD I","PADD 1",IF($M5283="PADD II","PADD 2",IF($M5283="PADD III","PADD 3",IF($M5283="PADD IV","PADD 4",IF($M5283="PADD V","PADD 5","")))))</f>
        <v>PADD 4</v>
      </c>
      <c r="G5283" s="6">
        <f>IF(AND($H5283="ATMOS DISTILLATION",ISNUMBER(SEARCH("VPS",$I5283))=FALSE,LEFT($I5283,6)&lt;&gt;"VACUUM"),"CDU",IF($H5283="FLUID CAT CRACKING","FCC",IF(OR($H5283="HYDROCRACKING",$H5283="RESID_HYDROCRACKING"),"Hydrocracker",IF($H5283="REFORMING","Reformer",""))))</f>
        <v/>
      </c>
      <c r="H5283" s="6" t="s">
        <v>43</v>
      </c>
      <c r="I5283" s="6" t="s">
        <v>1292</v>
      </c>
      <c r="J5283" s="6" t="s">
        <v>345</v>
      </c>
      <c r="K5283" s="10">
        <v>2.135</v>
      </c>
      <c r="L5283" s="10">
        <v>3.5</v>
      </c>
      <c r="M5283" s="6" t="s">
        <v>430</v>
      </c>
    </row>
    <row r="5284" spans="1:13">
      <c r="A5284" s="6">
        <v>2025</v>
      </c>
      <c r="B5284" s="6">
        <v>2</v>
      </c>
      <c r="C5284" s="6" t="s">
        <v>60</v>
      </c>
      <c r="D5284" s="6" t="s">
        <v>774</v>
      </c>
      <c r="E5284" s="6" t="s">
        <v>775</v>
      </c>
      <c r="F5284" s="6" t="str">
        <f>IF($M5284="PADD I","PADD 1",IF($M5284="PADD II","PADD 2",IF($M5284="PADD III","PADD 3",IF($M5284="PADD IV","PADD 4",IF($M5284="PADD V","PADD 5","")))))</f>
        <v>PADD 1</v>
      </c>
      <c r="G5284" s="6" t="str">
        <f>IF(AND($H5284="ATMOS DISTILLATION",ISNUMBER(SEARCH("VPS",$I5284))=FALSE,LEFT($I5284,6)&lt;&gt;"VACUUM"),"CDU",IF($H5284="FLUID CAT CRACKING","FCC",IF(OR($H5284="HYDROCRACKING",$H5284="RESID_HYDROCRACKING"),"Hydrocracker",IF($H5284="REFORMING","Reformer",""))))</f>
        <v>Hydrocracker</v>
      </c>
      <c r="H5284" s="6" t="s">
        <v>444</v>
      </c>
      <c r="I5284" s="6" t="s">
        <v>14</v>
      </c>
      <c r="J5284" s="6" t="s">
        <v>345</v>
      </c>
      <c r="K5284" s="10">
        <v>1.98</v>
      </c>
      <c r="L5284" s="10">
        <v>18</v>
      </c>
      <c r="M5284" s="6" t="s">
        <v>413</v>
      </c>
    </row>
    <row r="5285" spans="1:13">
      <c r="A5285" s="6">
        <v>2025</v>
      </c>
      <c r="B5285" s="6">
        <v>2</v>
      </c>
      <c r="C5285" s="6" t="s">
        <v>60</v>
      </c>
      <c r="D5285" s="6" t="s">
        <v>1286</v>
      </c>
      <c r="E5285" s="6" t="s">
        <v>1287</v>
      </c>
      <c r="F5285" s="6" t="str">
        <f>IF($M5285="PADD I","PADD 1",IF($M5285="PADD II","PADD 2",IF($M5285="PADD III","PADD 3",IF($M5285="PADD IV","PADD 4",IF($M5285="PADD V","PADD 5","")))))</f>
        <v>PADD 4</v>
      </c>
      <c r="G5285" s="6" t="str">
        <f>IF(AND($H5285="ATMOS DISTILLATION",ISNUMBER(SEARCH("VPS",$I5285))=FALSE,LEFT($I5285,6)&lt;&gt;"VACUUM"),"CDU",IF($H5285="FLUID CAT CRACKING","FCC",IF(OR($H5285="HYDROCRACKING",$H5285="RESID_HYDROCRACKING"),"Hydrocracker",IF($H5285="REFORMING","Reformer",""))))</f>
        <v>Reformer</v>
      </c>
      <c r="H5285" s="6" t="s">
        <v>421</v>
      </c>
      <c r="I5285" s="6" t="s">
        <v>15</v>
      </c>
      <c r="J5285" s="6" t="s">
        <v>345</v>
      </c>
      <c r="K5285" s="10">
        <v>1.952</v>
      </c>
      <c r="L5285" s="10">
        <v>3.2</v>
      </c>
      <c r="M5285" s="6" t="s">
        <v>430</v>
      </c>
    </row>
    <row r="5286" spans="1:13">
      <c r="A5286" s="6">
        <v>2025</v>
      </c>
      <c r="B5286" s="6">
        <v>2</v>
      </c>
      <c r="C5286" s="6" t="s">
        <v>60</v>
      </c>
      <c r="D5286" s="6" t="s">
        <v>500</v>
      </c>
      <c r="E5286" s="6" t="s">
        <v>388</v>
      </c>
      <c r="F5286" s="6" t="str">
        <f>IF($M5286="PADD I","PADD 1",IF($M5286="PADD II","PADD 2",IF($M5286="PADD III","PADD 3",IF($M5286="PADD IV","PADD 4",IF($M5286="PADD V","PADD 5","")))))</f>
        <v>PADD 2</v>
      </c>
      <c r="G5286" s="6">
        <f>IF(AND($H5286="ATMOS DISTILLATION",ISNUMBER(SEARCH("VPS",$I5286))=FALSE,LEFT($I5286,6)&lt;&gt;"VACUUM"),"CDU",IF($H5286="FLUID CAT CRACKING","FCC",IF(OR($H5286="HYDROCRACKING",$H5286="RESID_HYDROCRACKING"),"Hydrocracker",IF($H5286="REFORMING","Reformer",""))))</f>
        <v/>
      </c>
      <c r="H5286" s="6" t="s">
        <v>43</v>
      </c>
      <c r="I5286" s="6" t="s">
        <v>520</v>
      </c>
      <c r="J5286" s="6" t="s">
        <v>345</v>
      </c>
      <c r="K5286" s="10">
        <v>1.645</v>
      </c>
      <c r="L5286" s="10">
        <v>23.5</v>
      </c>
      <c r="M5286" s="6" t="s">
        <v>375</v>
      </c>
    </row>
    <row r="5287" spans="1:13">
      <c r="A5287" s="6">
        <v>2025</v>
      </c>
      <c r="B5287" s="6">
        <v>2</v>
      </c>
      <c r="C5287" s="6" t="s">
        <v>60</v>
      </c>
      <c r="D5287" s="6" t="s">
        <v>326</v>
      </c>
      <c r="E5287" s="6" t="s">
        <v>385</v>
      </c>
      <c r="F5287" s="6" t="str">
        <f>IF($M5287="PADD I","PADD 1",IF($M5287="PADD II","PADD 2",IF($M5287="PADD III","PADD 3",IF($M5287="PADD IV","PADD 4",IF($M5287="PADD V","PADD 5","")))))</f>
        <v>PADD 5</v>
      </c>
      <c r="G5287" s="6">
        <f>IF(AND($H5287="ATMOS DISTILLATION",ISNUMBER(SEARCH("VPS",$I5287))=FALSE,LEFT($I5287,6)&lt;&gt;"VACUUM"),"CDU",IF($H5287="FLUID CAT CRACKING","FCC",IF(OR($H5287="HYDROCRACKING",$H5287="RESID_HYDROCRACKING"),"Hydrocracker",IF($H5287="REFORMING","Reformer",""))))</f>
        <v/>
      </c>
      <c r="H5287" s="6" t="s">
        <v>568</v>
      </c>
      <c r="I5287" s="6" t="s">
        <v>604</v>
      </c>
      <c r="J5287" s="6" t="s">
        <v>345</v>
      </c>
      <c r="K5287" s="10">
        <v>1.5</v>
      </c>
      <c r="L5287" s="10">
        <v>1.5</v>
      </c>
      <c r="M5287" s="6" t="s">
        <v>386</v>
      </c>
    </row>
    <row r="5288" spans="1:13">
      <c r="A5288" s="6">
        <v>2025</v>
      </c>
      <c r="B5288" s="6">
        <v>2</v>
      </c>
      <c r="C5288" s="6" t="s">
        <v>60</v>
      </c>
      <c r="D5288" s="6" t="s">
        <v>457</v>
      </c>
      <c r="E5288" s="6" t="s">
        <v>388</v>
      </c>
      <c r="F5288" s="6" t="str">
        <f>IF($M5288="PADD I","PADD 1",IF($M5288="PADD II","PADD 2",IF($M5288="PADD III","PADD 3",IF($M5288="PADD IV","PADD 4",IF($M5288="PADD V","PADD 5","")))))</f>
        <v>PADD 5</v>
      </c>
      <c r="G5288" s="6" t="str">
        <f>IF(AND($H5288="ATMOS DISTILLATION",ISNUMBER(SEARCH("VPS",$I5288))=FALSE,LEFT($I5288,6)&lt;&gt;"VACUUM"),"CDU",IF($H5288="FLUID CAT CRACKING","FCC",IF(OR($H5288="HYDROCRACKING",$H5288="RESID_HYDROCRACKING"),"Hydrocracker",IF($H5288="REFORMING","Reformer",""))))</f>
        <v>Reformer</v>
      </c>
      <c r="H5288" s="6" t="s">
        <v>421</v>
      </c>
      <c r="I5288" s="6" t="s">
        <v>557</v>
      </c>
      <c r="J5288" s="6" t="s">
        <v>345</v>
      </c>
      <c r="K5288" s="10">
        <v>1.4</v>
      </c>
      <c r="L5288" s="10">
        <v>20</v>
      </c>
      <c r="M5288" s="6" t="s">
        <v>386</v>
      </c>
    </row>
    <row r="5289" spans="1:13">
      <c r="A5289" s="6">
        <v>2025</v>
      </c>
      <c r="B5289" s="6">
        <v>2</v>
      </c>
      <c r="C5289" s="6" t="s">
        <v>60</v>
      </c>
      <c r="D5289" s="6" t="s">
        <v>329</v>
      </c>
      <c r="E5289" s="6" t="s">
        <v>427</v>
      </c>
      <c r="F5289" s="6" t="str">
        <f>IF($M5289="PADD I","PADD 1",IF($M5289="PADD II","PADD 2",IF($M5289="PADD III","PADD 3",IF($M5289="PADD IV","PADD 4",IF($M5289="PADD V","PADD 5","")))))</f>
        <v>PADD 3</v>
      </c>
      <c r="G5289" s="6" t="str">
        <f>IF(AND($H5289="ATMOS DISTILLATION",ISNUMBER(SEARCH("VPS",$I5289))=FALSE,LEFT($I5289,6)&lt;&gt;"VACUUM"),"CDU",IF($H5289="FLUID CAT CRACKING","FCC",IF(OR($H5289="HYDROCRACKING",$H5289="RESID_HYDROCRACKING"),"Hydrocracker",IF($H5289="REFORMING","Reformer",""))))</f>
        <v>Reformer</v>
      </c>
      <c r="H5289" s="6" t="s">
        <v>421</v>
      </c>
      <c r="I5289" s="6" t="s">
        <v>1162</v>
      </c>
      <c r="J5289" s="6" t="s">
        <v>345</v>
      </c>
      <c r="K5289" s="10">
        <v>1.33</v>
      </c>
      <c r="L5289" s="10">
        <v>19</v>
      </c>
      <c r="M5289" s="6" t="s">
        <v>371</v>
      </c>
    </row>
    <row r="5290" spans="1:13">
      <c r="A5290" s="6">
        <v>2025</v>
      </c>
      <c r="B5290" s="6">
        <v>2</v>
      </c>
      <c r="C5290" s="6" t="s">
        <v>60</v>
      </c>
      <c r="D5290" s="6" t="s">
        <v>878</v>
      </c>
      <c r="E5290" s="6" t="s">
        <v>452</v>
      </c>
      <c r="F5290" s="6" t="str">
        <f>IF($M5290="PADD I","PADD 1",IF($M5290="PADD II","PADD 2",IF($M5290="PADD III","PADD 3",IF($M5290="PADD IV","PADD 4",IF($M5290="PADD V","PADD 5","")))))</f>
        <v>PADD 2</v>
      </c>
      <c r="G5290" s="6">
        <f>IF(AND($H5290="ATMOS DISTILLATION",ISNUMBER(SEARCH("VPS",$I5290))=FALSE,LEFT($I5290,6)&lt;&gt;"VACUUM"),"CDU",IF($H5290="FLUID CAT CRACKING","FCC",IF(OR($H5290="HYDROCRACKING",$H5290="RESID_HYDROCRACKING"),"Hydrocracker",IF($H5290="REFORMING","Reformer",""))))</f>
        <v/>
      </c>
      <c r="H5290" s="6" t="s">
        <v>378</v>
      </c>
      <c r="I5290" s="6" t="s">
        <v>536</v>
      </c>
      <c r="J5290" s="6" t="s">
        <v>345</v>
      </c>
      <c r="K5290" s="10">
        <v>1.28</v>
      </c>
      <c r="L5290" s="10">
        <v>32</v>
      </c>
      <c r="M5290" s="6" t="s">
        <v>375</v>
      </c>
    </row>
    <row r="5291" spans="1:13">
      <c r="A5291" s="6">
        <v>2025</v>
      </c>
      <c r="B5291" s="6">
        <v>2</v>
      </c>
      <c r="C5291" s="6" t="s">
        <v>60</v>
      </c>
      <c r="D5291" s="6" t="s">
        <v>526</v>
      </c>
      <c r="E5291" s="6" t="s">
        <v>405</v>
      </c>
      <c r="F5291" s="6" t="str">
        <f>IF($M5291="PADD I","PADD 1",IF($M5291="PADD II","PADD 2",IF($M5291="PADD III","PADD 3",IF($M5291="PADD IV","PADD 4",IF($M5291="PADD V","PADD 5","")))))</f>
        <v>PADD 3</v>
      </c>
      <c r="G5291" s="6">
        <f>IF(AND($H5291="ATMOS DISTILLATION",ISNUMBER(SEARCH("VPS",$I5291))=FALSE,LEFT($I5291,6)&lt;&gt;"VACUUM"),"CDU",IF($H5291="FLUID CAT CRACKING","FCC",IF(OR($H5291="HYDROCRACKING",$H5291="RESID_HYDROCRACKING"),"Hydrocracker",IF($H5291="REFORMING","Reformer",""))))</f>
        <v/>
      </c>
      <c r="H5291" s="6" t="s">
        <v>435</v>
      </c>
      <c r="I5291" s="6" t="s">
        <v>954</v>
      </c>
      <c r="J5291" s="6" t="s">
        <v>345</v>
      </c>
      <c r="K5291" s="10">
        <v>1.2</v>
      </c>
      <c r="L5291" s="10">
        <v>30</v>
      </c>
      <c r="M5291" s="6" t="s">
        <v>371</v>
      </c>
    </row>
    <row r="5292" spans="1:13">
      <c r="A5292" s="6">
        <v>2025</v>
      </c>
      <c r="B5292" s="6">
        <v>2</v>
      </c>
      <c r="C5292" s="6" t="s">
        <v>60</v>
      </c>
      <c r="D5292" s="6" t="s">
        <v>722</v>
      </c>
      <c r="E5292" s="6" t="s">
        <v>452</v>
      </c>
      <c r="F5292" s="6" t="str">
        <f>IF($M5292="PADD I","PADD 1",IF($M5292="PADD II","PADD 2",IF($M5292="PADD III","PADD 3",IF($M5292="PADD IV","PADD 4",IF($M5292="PADD V","PADD 5","")))))</f>
        <v>PADD 4</v>
      </c>
      <c r="G5292" s="6" t="str">
        <f>IF(AND($H5292="ATMOS DISTILLATION",ISNUMBER(SEARCH("VPS",$I5292))=FALSE,LEFT($I5292,6)&lt;&gt;"VACUUM"),"CDU",IF($H5292="FLUID CAT CRACKING","FCC",IF(OR($H5292="HYDROCRACKING",$H5292="RESID_HYDROCRACKING"),"Hydrocracker",IF($H5292="REFORMING","Reformer",""))))</f>
        <v>Hydrocracker</v>
      </c>
      <c r="H5292" s="6" t="s">
        <v>444</v>
      </c>
      <c r="I5292" s="6" t="s">
        <v>1147</v>
      </c>
      <c r="J5292" s="6" t="s">
        <v>345</v>
      </c>
      <c r="K5292" s="10">
        <v>1.05</v>
      </c>
      <c r="L5292" s="10">
        <v>15</v>
      </c>
      <c r="M5292" s="6" t="s">
        <v>430</v>
      </c>
    </row>
    <row r="5293" spans="1:13">
      <c r="A5293" s="6">
        <v>2025</v>
      </c>
      <c r="B5293" s="6">
        <v>2</v>
      </c>
      <c r="C5293" s="6" t="s">
        <v>60</v>
      </c>
      <c r="D5293" s="6" t="s">
        <v>710</v>
      </c>
      <c r="E5293" s="6" t="s">
        <v>711</v>
      </c>
      <c r="F5293" s="6" t="str">
        <f>IF($M5293="PADD I","PADD 1",IF($M5293="PADD II","PADD 2",IF($M5293="PADD III","PADD 3",IF($M5293="PADD IV","PADD 4",IF($M5293="PADD V","PADD 5","")))))</f>
        <v>PADD 3</v>
      </c>
      <c r="G5293" s="6" t="str">
        <f>IF(AND($H5293="ATMOS DISTILLATION",ISNUMBER(SEARCH("VPS",$I5293))=FALSE,LEFT($I5293,6)&lt;&gt;"VACUUM"),"CDU",IF($H5293="FLUID CAT CRACKING","FCC",IF(OR($H5293="HYDROCRACKING",$H5293="RESID_HYDROCRACKING"),"Hydrocracker",IF($H5293="REFORMING","Reformer",""))))</f>
        <v>CDU</v>
      </c>
      <c r="H5293" s="6" t="s">
        <v>38</v>
      </c>
      <c r="I5293" s="6" t="s">
        <v>712</v>
      </c>
      <c r="J5293" s="6" t="s">
        <v>349</v>
      </c>
      <c r="K5293" s="10">
        <v>1</v>
      </c>
      <c r="L5293" s="10">
        <v>25</v>
      </c>
      <c r="M5293" s="6" t="s">
        <v>371</v>
      </c>
    </row>
    <row r="5294" spans="1:13">
      <c r="A5294" s="6">
        <v>2025</v>
      </c>
      <c r="B5294" s="6">
        <v>2</v>
      </c>
      <c r="C5294" s="6" t="s">
        <v>60</v>
      </c>
      <c r="D5294" s="6" t="s">
        <v>1289</v>
      </c>
      <c r="E5294" s="6" t="s">
        <v>1290</v>
      </c>
      <c r="F5294" s="6" t="str">
        <f>IF($M5294="PADD I","PADD 1",IF($M5294="PADD II","PADD 2",IF($M5294="PADD III","PADD 3",IF($M5294="PADD IV","PADD 4",IF($M5294="PADD V","PADD 5","")))))</f>
        <v>PADD 5</v>
      </c>
      <c r="G5294" s="6">
        <f>IF(AND($H5294="ATMOS DISTILLATION",ISNUMBER(SEARCH("VPS",$I5294))=FALSE,LEFT($I5294,6)&lt;&gt;"VACUUM"),"CDU",IF($H5294="FLUID CAT CRACKING","FCC",IF(OR($H5294="HYDROCRACKING",$H5294="RESID_HYDROCRACKING"),"Hydrocracker",IF($H5294="REFORMING","Reformer",""))))</f>
        <v/>
      </c>
      <c r="H5294" s="6" t="s">
        <v>43</v>
      </c>
      <c r="I5294" s="6" t="s">
        <v>784</v>
      </c>
      <c r="J5294" s="6" t="s">
        <v>349</v>
      </c>
      <c r="K5294" s="10">
        <v>0.96</v>
      </c>
      <c r="L5294" s="10">
        <v>3</v>
      </c>
      <c r="M5294" s="6" t="s">
        <v>386</v>
      </c>
    </row>
    <row r="5295" spans="1:13">
      <c r="A5295" s="6">
        <v>2025</v>
      </c>
      <c r="B5295" s="6">
        <v>2</v>
      </c>
      <c r="C5295" s="6" t="s">
        <v>60</v>
      </c>
      <c r="D5295" s="6" t="s">
        <v>887</v>
      </c>
      <c r="E5295" s="6" t="s">
        <v>405</v>
      </c>
      <c r="F5295" s="6" t="str">
        <f>IF($M5295="PADD I","PADD 1",IF($M5295="PADD II","PADD 2",IF($M5295="PADD III","PADD 3",IF($M5295="PADD IV","PADD 4",IF($M5295="PADD V","PADD 5","")))))</f>
        <v>PADD 3</v>
      </c>
      <c r="G5295" s="6" t="str">
        <f>IF(AND($H5295="ATMOS DISTILLATION",ISNUMBER(SEARCH("VPS",$I5295))=FALSE,LEFT($I5295,6)&lt;&gt;"VACUUM"),"CDU",IF($H5295="FLUID CAT CRACKING","FCC",IF(OR($H5295="HYDROCRACKING",$H5295="RESID_HYDROCRACKING"),"Hydrocracker",IF($H5295="REFORMING","Reformer",""))))</f>
        <v>Reformer</v>
      </c>
      <c r="H5295" s="6" t="s">
        <v>421</v>
      </c>
      <c r="I5295" s="6" t="s">
        <v>539</v>
      </c>
      <c r="J5295" s="6" t="s">
        <v>345</v>
      </c>
      <c r="K5295" s="10">
        <v>0.92</v>
      </c>
      <c r="L5295" s="10">
        <v>23</v>
      </c>
      <c r="M5295" s="6" t="s">
        <v>371</v>
      </c>
    </row>
    <row r="5296" spans="1:13">
      <c r="A5296" s="6">
        <v>2025</v>
      </c>
      <c r="B5296" s="6">
        <v>2</v>
      </c>
      <c r="C5296" s="6" t="s">
        <v>60</v>
      </c>
      <c r="D5296" s="6" t="s">
        <v>1286</v>
      </c>
      <c r="E5296" s="6" t="s">
        <v>1287</v>
      </c>
      <c r="F5296" s="6" t="str">
        <f>IF($M5296="PADD I","PADD 1",IF($M5296="PADD II","PADD 2",IF($M5296="PADD III","PADD 3",IF($M5296="PADD IV","PADD 4",IF($M5296="PADD V","PADD 5","")))))</f>
        <v>PADD 4</v>
      </c>
      <c r="G5296" s="6">
        <f>IF(AND($H5296="ATMOS DISTILLATION",ISNUMBER(SEARCH("VPS",$I5296))=FALSE,LEFT($I5296,6)&lt;&gt;"VACUUM"),"CDU",IF($H5296="FLUID CAT CRACKING","FCC",IF(OR($H5296="HYDROCRACKING",$H5296="RESID_HYDROCRACKING"),"Hydrocracker",IF($H5296="REFORMING","Reformer",""))))</f>
        <v/>
      </c>
      <c r="H5296" s="6" t="s">
        <v>378</v>
      </c>
      <c r="I5296" s="6" t="s">
        <v>431</v>
      </c>
      <c r="J5296" s="6" t="s">
        <v>345</v>
      </c>
      <c r="K5296" s="10">
        <v>0.915</v>
      </c>
      <c r="L5296" s="10">
        <v>1.5</v>
      </c>
      <c r="M5296" s="6" t="s">
        <v>430</v>
      </c>
    </row>
    <row r="5297" spans="1:13">
      <c r="A5297" s="6">
        <v>2025</v>
      </c>
      <c r="B5297" s="6">
        <v>2</v>
      </c>
      <c r="C5297" s="6" t="s">
        <v>60</v>
      </c>
      <c r="D5297" s="6" t="s">
        <v>48</v>
      </c>
      <c r="E5297" s="6" t="s">
        <v>388</v>
      </c>
      <c r="F5297" s="6" t="str">
        <f>IF($M5297="PADD I","PADD 1",IF($M5297="PADD II","PADD 2",IF($M5297="PADD III","PADD 3",IF($M5297="PADD IV","PADD 4",IF($M5297="PADD V","PADD 5","")))))</f>
        <v>PADD 2</v>
      </c>
      <c r="G5297" s="6">
        <f>IF(AND($H5297="ATMOS DISTILLATION",ISNUMBER(SEARCH("VPS",$I5297))=FALSE,LEFT($I5297,6)&lt;&gt;"VACUUM"),"CDU",IF($H5297="FLUID CAT CRACKING","FCC",IF(OR($H5297="HYDROCRACKING",$H5297="RESID_HYDROCRACKING"),"Hydrocracker",IF($H5297="REFORMING","Reformer",""))))</f>
        <v/>
      </c>
      <c r="H5297" s="6" t="s">
        <v>435</v>
      </c>
      <c r="I5297" s="6" t="s">
        <v>631</v>
      </c>
      <c r="J5297" s="6" t="s">
        <v>345</v>
      </c>
      <c r="K5297" s="10">
        <v>0.84</v>
      </c>
      <c r="L5297" s="10">
        <v>12</v>
      </c>
      <c r="M5297" s="6" t="s">
        <v>375</v>
      </c>
    </row>
    <row r="5298" spans="1:13">
      <c r="A5298" s="6">
        <v>2025</v>
      </c>
      <c r="B5298" s="6">
        <v>2</v>
      </c>
      <c r="C5298" s="6" t="s">
        <v>60</v>
      </c>
      <c r="D5298" s="6" t="s">
        <v>680</v>
      </c>
      <c r="E5298" s="6" t="s">
        <v>681</v>
      </c>
      <c r="F5298" s="6" t="str">
        <f>IF($M5298="PADD I","PADD 1",IF($M5298="PADD II","PADD 2",IF($M5298="PADD III","PADD 3",IF($M5298="PADD IV","PADD 4",IF($M5298="PADD V","PADD 5","")))))</f>
        <v>PADD 3</v>
      </c>
      <c r="G5298" s="6">
        <f>IF(AND($H5298="ATMOS DISTILLATION",ISNUMBER(SEARCH("VPS",$I5298))=FALSE,LEFT($I5298,6)&lt;&gt;"VACUUM"),"CDU",IF($H5298="FLUID CAT CRACKING","FCC",IF(OR($H5298="HYDROCRACKING",$H5298="RESID_HYDROCRACKING"),"Hydrocracker",IF($H5298="REFORMING","Reformer",""))))</f>
        <v/>
      </c>
      <c r="H5298" s="6" t="s">
        <v>460</v>
      </c>
      <c r="I5298" s="6" t="s">
        <v>616</v>
      </c>
      <c r="J5298" s="6" t="s">
        <v>345</v>
      </c>
      <c r="K5298" s="10">
        <v>0.798</v>
      </c>
      <c r="L5298" s="10">
        <v>5.7</v>
      </c>
      <c r="M5298" s="6" t="s">
        <v>371</v>
      </c>
    </row>
    <row r="5299" spans="1:13">
      <c r="A5299" s="6">
        <v>2025</v>
      </c>
      <c r="B5299" s="6">
        <v>2</v>
      </c>
      <c r="C5299" s="6" t="s">
        <v>60</v>
      </c>
      <c r="D5299" s="6" t="s">
        <v>1286</v>
      </c>
      <c r="E5299" s="6" t="s">
        <v>1287</v>
      </c>
      <c r="F5299" s="6" t="str">
        <f>IF($M5299="PADD I","PADD 1",IF($M5299="PADD II","PADD 2",IF($M5299="PADD III","PADD 3",IF($M5299="PADD IV","PADD 4",IF($M5299="PADD V","PADD 5","")))))</f>
        <v>PADD 4</v>
      </c>
      <c r="G5299" s="6">
        <f>IF(AND($H5299="ATMOS DISTILLATION",ISNUMBER(SEARCH("VPS",$I5299))=FALSE,LEFT($I5299,6)&lt;&gt;"VACUUM"),"CDU",IF($H5299="FLUID CAT CRACKING","FCC",IF(OR($H5299="HYDROCRACKING",$H5299="RESID_HYDROCRACKING"),"Hydrocracker",IF($H5299="REFORMING","Reformer",""))))</f>
        <v/>
      </c>
      <c r="H5299" s="6" t="s">
        <v>460</v>
      </c>
      <c r="I5299" s="6" t="s">
        <v>616</v>
      </c>
      <c r="J5299" s="6" t="s">
        <v>345</v>
      </c>
      <c r="K5299" s="10">
        <v>0.793</v>
      </c>
      <c r="L5299" s="10">
        <v>1.3</v>
      </c>
      <c r="M5299" s="6" t="s">
        <v>430</v>
      </c>
    </row>
    <row r="5300" spans="1:13">
      <c r="A5300" s="6">
        <v>2025</v>
      </c>
      <c r="B5300" s="6">
        <v>2</v>
      </c>
      <c r="C5300" s="6" t="s">
        <v>60</v>
      </c>
      <c r="D5300" s="6" t="s">
        <v>1289</v>
      </c>
      <c r="E5300" s="6" t="s">
        <v>1290</v>
      </c>
      <c r="F5300" s="6" t="str">
        <f>IF($M5300="PADD I","PADD 1",IF($M5300="PADD II","PADD 2",IF($M5300="PADD III","PADD 3",IF($M5300="PADD IV","PADD 4",IF($M5300="PADD V","PADD 5","")))))</f>
        <v>PADD 5</v>
      </c>
      <c r="G5300" s="6">
        <f>IF(AND($H5300="ATMOS DISTILLATION",ISNUMBER(SEARCH("VPS",$I5300))=FALSE,LEFT($I5300,6)&lt;&gt;"VACUUM"),"CDU",IF($H5300="FLUID CAT CRACKING","FCC",IF(OR($H5300="HYDROCRACKING",$H5300="RESID_HYDROCRACKING"),"Hydrocracker",IF($H5300="REFORMING","Reformer",""))))</f>
        <v/>
      </c>
      <c r="H5300" s="6" t="s">
        <v>637</v>
      </c>
      <c r="I5300" s="6" t="s">
        <v>904</v>
      </c>
      <c r="J5300" s="6" t="s">
        <v>349</v>
      </c>
      <c r="K5300" s="10">
        <v>0.64</v>
      </c>
      <c r="L5300" s="10">
        <v>2</v>
      </c>
      <c r="M5300" s="6" t="s">
        <v>386</v>
      </c>
    </row>
    <row r="5301" spans="1:13">
      <c r="A5301" s="6">
        <v>2025</v>
      </c>
      <c r="B5301" s="6">
        <v>2</v>
      </c>
      <c r="C5301" s="6" t="s">
        <v>60</v>
      </c>
      <c r="D5301" s="6" t="s">
        <v>437</v>
      </c>
      <c r="E5301" s="6" t="s">
        <v>438</v>
      </c>
      <c r="F5301" s="6" t="str">
        <f>IF($M5301="PADD I","PADD 1",IF($M5301="PADD II","PADD 2",IF($M5301="PADD III","PADD 3",IF($M5301="PADD IV","PADD 4",IF($M5301="PADD V","PADD 5","")))))</f>
        <v>PADD 4</v>
      </c>
      <c r="G5301" s="6">
        <f>IF(AND($H5301="ATMOS DISTILLATION",ISNUMBER(SEARCH("VPS",$I5301))=FALSE,LEFT($I5301,6)&lt;&gt;"VACUUM"),"CDU",IF($H5301="FLUID CAT CRACKING","FCC",IF(OR($H5301="HYDROCRACKING",$H5301="RESID_HYDROCRACKING"),"Hydrocracker",IF($H5301="REFORMING","Reformer",""))))</f>
        <v/>
      </c>
      <c r="H5301" s="6" t="s">
        <v>378</v>
      </c>
      <c r="I5301" s="6" t="s">
        <v>556</v>
      </c>
      <c r="J5301" s="6" t="s">
        <v>345</v>
      </c>
      <c r="K5301" s="10">
        <v>0.5866</v>
      </c>
      <c r="L5301" s="10">
        <v>8.380000000000001</v>
      </c>
      <c r="M5301" s="6" t="s">
        <v>430</v>
      </c>
    </row>
    <row r="5302" spans="1:13">
      <c r="A5302" s="6">
        <v>2025</v>
      </c>
      <c r="B5302" s="6">
        <v>2</v>
      </c>
      <c r="C5302" s="6" t="s">
        <v>60</v>
      </c>
      <c r="D5302" s="6" t="s">
        <v>1223</v>
      </c>
      <c r="E5302" s="6" t="s">
        <v>1039</v>
      </c>
      <c r="F5302" s="6" t="str">
        <f>IF($M5302="PADD I","PADD 1",IF($M5302="PADD II","PADD 2",IF($M5302="PADD III","PADD 3",IF($M5302="PADD IV","PADD 4",IF($M5302="PADD V","PADD 5","")))))</f>
        <v>PADD 2</v>
      </c>
      <c r="G5302" s="6" t="str">
        <f>IF(AND($H5302="ATMOS DISTILLATION",ISNUMBER(SEARCH("VPS",$I5302))=FALSE,LEFT($I5302,6)&lt;&gt;"VACUUM"),"CDU",IF($H5302="FLUID CAT CRACKING","FCC",IF(OR($H5302="HYDROCRACKING",$H5302="RESID_HYDROCRACKING"),"Hydrocracker",IF($H5302="REFORMING","Reformer",""))))</f>
        <v>Reformer</v>
      </c>
      <c r="H5302" s="6" t="s">
        <v>421</v>
      </c>
      <c r="I5302" s="6" t="s">
        <v>15</v>
      </c>
      <c r="J5302" s="6" t="s">
        <v>345</v>
      </c>
      <c r="K5302" s="10">
        <v>0.5775</v>
      </c>
      <c r="L5302" s="10">
        <v>8.25</v>
      </c>
      <c r="M5302" s="6" t="s">
        <v>375</v>
      </c>
    </row>
    <row r="5303" spans="1:13">
      <c r="A5303" s="6">
        <v>2025</v>
      </c>
      <c r="B5303" s="6">
        <v>2</v>
      </c>
      <c r="C5303" s="6" t="s">
        <v>60</v>
      </c>
      <c r="D5303" s="6" t="s">
        <v>420</v>
      </c>
      <c r="E5303" s="6" t="s">
        <v>373</v>
      </c>
      <c r="F5303" s="6" t="str">
        <f>IF($M5303="PADD I","PADD 1",IF($M5303="PADD II","PADD 2",IF($M5303="PADD III","PADD 3",IF($M5303="PADD IV","PADD 4",IF($M5303="PADD V","PADD 5","")))))</f>
        <v>PADD 2</v>
      </c>
      <c r="G5303" s="6">
        <f>IF(AND($H5303="ATMOS DISTILLATION",ISNUMBER(SEARCH("VPS",$I5303))=FALSE,LEFT($I5303,6)&lt;&gt;"VACUUM"),"CDU",IF($H5303="FLUID CAT CRACKING","FCC",IF(OR($H5303="HYDROCRACKING",$H5303="RESID_HYDROCRACKING"),"Hydrocracker",IF($H5303="REFORMING","Reformer",""))))</f>
        <v/>
      </c>
      <c r="H5303" s="6" t="s">
        <v>460</v>
      </c>
      <c r="I5303" s="6" t="s">
        <v>616</v>
      </c>
      <c r="J5303" s="6" t="s">
        <v>345</v>
      </c>
      <c r="K5303" s="10">
        <v>0.06</v>
      </c>
      <c r="L5303" s="10">
        <v>1.5</v>
      </c>
      <c r="M5303" s="6" t="s">
        <v>375</v>
      </c>
    </row>
    <row r="5304" spans="1:13">
      <c r="A5304" s="6">
        <v>2025</v>
      </c>
      <c r="B5304" s="6">
        <v>3</v>
      </c>
      <c r="C5304" s="6" t="s">
        <v>61</v>
      </c>
      <c r="D5304" s="6" t="s">
        <v>326</v>
      </c>
      <c r="E5304" s="6" t="s">
        <v>385</v>
      </c>
      <c r="F5304" s="6" t="str">
        <f>IF($M5304="PADD I","PADD 1",IF($M5304="PADD II","PADD 2",IF($M5304="PADD III","PADD 3",IF($M5304="PADD IV","PADD 4",IF($M5304="PADD V","PADD 5","")))))</f>
        <v>PADD 5</v>
      </c>
      <c r="G5304" s="6" t="str">
        <f>IF(AND($H5304="ATMOS DISTILLATION",ISNUMBER(SEARCH("VPS",$I5304))=FALSE,LEFT($I5304,6)&lt;&gt;"VACUUM"),"CDU",IF($H5304="FLUID CAT CRACKING","FCC",IF(OR($H5304="HYDROCRACKING",$H5304="RESID_HYDROCRACKING"),"Hydrocracker",IF($H5304="REFORMING","Reformer",""))))</f>
        <v>CDU</v>
      </c>
      <c r="H5304" s="6" t="s">
        <v>38</v>
      </c>
      <c r="I5304" s="6" t="s">
        <v>93</v>
      </c>
      <c r="J5304" s="6" t="s">
        <v>345</v>
      </c>
      <c r="K5304" s="10">
        <v>155</v>
      </c>
      <c r="L5304" s="10">
        <v>155</v>
      </c>
      <c r="M5304" s="6" t="s">
        <v>386</v>
      </c>
    </row>
    <row r="5305" spans="1:13">
      <c r="A5305" s="6">
        <v>2025</v>
      </c>
      <c r="B5305" s="6">
        <v>3</v>
      </c>
      <c r="C5305" s="6" t="s">
        <v>61</v>
      </c>
      <c r="D5305" s="6" t="s">
        <v>411</v>
      </c>
      <c r="E5305" s="6" t="s">
        <v>369</v>
      </c>
      <c r="F5305" s="6" t="str">
        <f>IF($M5305="PADD I","PADD 1",IF($M5305="PADD II","PADD 2",IF($M5305="PADD III","PADD 3",IF($M5305="PADD IV","PADD 4",IF($M5305="PADD V","PADD 5","")))))</f>
        <v>PADD 1</v>
      </c>
      <c r="G5305" s="6" t="str">
        <f>IF(AND($H5305="ATMOS DISTILLATION",ISNUMBER(SEARCH("VPS",$I5305))=FALSE,LEFT($I5305,6)&lt;&gt;"VACUUM"),"CDU",IF($H5305="FLUID CAT CRACKING","FCC",IF(OR($H5305="HYDROCRACKING",$H5305="RESID_HYDROCRACKING"),"Hydrocracker",IF($H5305="REFORMING","Reformer",""))))</f>
        <v>CDU</v>
      </c>
      <c r="H5305" s="6" t="s">
        <v>38</v>
      </c>
      <c r="I5305" s="6" t="s">
        <v>529</v>
      </c>
      <c r="J5305" s="6" t="s">
        <v>349</v>
      </c>
      <c r="K5305" s="10">
        <v>129.5</v>
      </c>
      <c r="L5305" s="10">
        <v>129.5</v>
      </c>
      <c r="M5305" s="6" t="s">
        <v>413</v>
      </c>
    </row>
    <row r="5306" spans="1:13">
      <c r="A5306" s="6">
        <v>2025</v>
      </c>
      <c r="B5306" s="6">
        <v>3</v>
      </c>
      <c r="C5306" s="6" t="s">
        <v>61</v>
      </c>
      <c r="D5306" s="6" t="s">
        <v>411</v>
      </c>
      <c r="E5306" s="6" t="s">
        <v>369</v>
      </c>
      <c r="F5306" s="6" t="str">
        <f>IF($M5306="PADD I","PADD 1",IF($M5306="PADD II","PADD 2",IF($M5306="PADD III","PADD 3",IF($M5306="PADD IV","PADD 4",IF($M5306="PADD V","PADD 5","")))))</f>
        <v>PADD 1</v>
      </c>
      <c r="G5306" s="6" t="str">
        <f>IF(AND($H5306="ATMOS DISTILLATION",ISNUMBER(SEARCH("VPS",$I5306))=FALSE,LEFT($I5306,6)&lt;&gt;"VACUUM"),"CDU",IF($H5306="FLUID CAT CRACKING","FCC",IF(OR($H5306="HYDROCRACKING",$H5306="RESID_HYDROCRACKING"),"Hydrocracker",IF($H5306="REFORMING","Reformer",""))))</f>
        <v>CDU</v>
      </c>
      <c r="H5306" s="6" t="s">
        <v>38</v>
      </c>
      <c r="I5306" s="6" t="s">
        <v>412</v>
      </c>
      <c r="J5306" s="6" t="s">
        <v>349</v>
      </c>
      <c r="K5306" s="10">
        <v>129</v>
      </c>
      <c r="L5306" s="10">
        <v>129</v>
      </c>
      <c r="M5306" s="6" t="s">
        <v>413</v>
      </c>
    </row>
    <row r="5307" spans="1:13">
      <c r="A5307" s="6">
        <v>2025</v>
      </c>
      <c r="B5307" s="6">
        <v>3</v>
      </c>
      <c r="C5307" s="6" t="s">
        <v>61</v>
      </c>
      <c r="D5307" s="6" t="s">
        <v>322</v>
      </c>
      <c r="E5307" s="6" t="s">
        <v>369</v>
      </c>
      <c r="F5307" s="6" t="str">
        <f>IF($M5307="PADD I","PADD 1",IF($M5307="PADD II","PADD 2",IF($M5307="PADD III","PADD 3",IF($M5307="PADD IV","PADD 4",IF($M5307="PADD V","PADD 5","")))))</f>
        <v>PADD 2</v>
      </c>
      <c r="G5307" s="6" t="str">
        <f>IF(AND($H5307="ATMOS DISTILLATION",ISNUMBER(SEARCH("VPS",$I5307))=FALSE,LEFT($I5307,6)&lt;&gt;"VACUUM"),"CDU",IF($H5307="FLUID CAT CRACKING","FCC",IF(OR($H5307="HYDROCRACKING",$H5307="RESID_HYDROCRACKING"),"Hydrocracker",IF($H5307="REFORMING","Reformer",""))))</f>
        <v>CDU</v>
      </c>
      <c r="H5307" s="6" t="s">
        <v>38</v>
      </c>
      <c r="I5307" s="6" t="s">
        <v>1293</v>
      </c>
      <c r="J5307" s="6" t="s">
        <v>349</v>
      </c>
      <c r="K5307" s="10">
        <v>98.59999999999999</v>
      </c>
      <c r="L5307" s="10">
        <v>170</v>
      </c>
      <c r="M5307" s="6" t="s">
        <v>375</v>
      </c>
    </row>
    <row r="5308" spans="1:13">
      <c r="A5308" s="6">
        <v>2025</v>
      </c>
      <c r="B5308" s="6">
        <v>3</v>
      </c>
      <c r="C5308" s="6" t="s">
        <v>61</v>
      </c>
      <c r="D5308" s="6" t="s">
        <v>326</v>
      </c>
      <c r="E5308" s="6" t="s">
        <v>385</v>
      </c>
      <c r="F5308" s="6" t="str">
        <f>IF($M5308="PADD I","PADD 1",IF($M5308="PADD II","PADD 2",IF($M5308="PADD III","PADD 3",IF($M5308="PADD IV","PADD 4",IF($M5308="PADD V","PADD 5","")))))</f>
        <v>PADD 5</v>
      </c>
      <c r="G5308" s="6">
        <f>IF(AND($H5308="ATMOS DISTILLATION",ISNUMBER(SEARCH("VPS",$I5308))=FALSE,LEFT($I5308,6)&lt;&gt;"VACUUM"),"CDU",IF($H5308="FLUID CAT CRACKING","FCC",IF(OR($H5308="HYDROCRACKING",$H5308="RESID_HYDROCRACKING"),"Hydrocracker",IF($H5308="REFORMING","Reformer",""))))</f>
        <v/>
      </c>
      <c r="H5308" s="6" t="s">
        <v>378</v>
      </c>
      <c r="I5308" s="6" t="s">
        <v>431</v>
      </c>
      <c r="J5308" s="6" t="s">
        <v>345</v>
      </c>
      <c r="K5308" s="10">
        <v>90</v>
      </c>
      <c r="L5308" s="10">
        <v>90</v>
      </c>
      <c r="M5308" s="6" t="s">
        <v>386</v>
      </c>
    </row>
    <row r="5309" spans="1:13">
      <c r="A5309" s="6">
        <v>2025</v>
      </c>
      <c r="B5309" s="6">
        <v>3</v>
      </c>
      <c r="C5309" s="6" t="s">
        <v>61</v>
      </c>
      <c r="D5309" s="6" t="s">
        <v>531</v>
      </c>
      <c r="E5309" s="6" t="s">
        <v>532</v>
      </c>
      <c r="F5309" s="6" t="str">
        <f>IF($M5309="PADD I","PADD 1",IF($M5309="PADD II","PADD 2",IF($M5309="PADD III","PADD 3",IF($M5309="PADD IV","PADD 4",IF($M5309="PADD V","PADD 5","")))))</f>
        <v>PADD 5</v>
      </c>
      <c r="G5309" s="6" t="str">
        <f>IF(AND($H5309="ATMOS DISTILLATION",ISNUMBER(SEARCH("VPS",$I5309))=FALSE,LEFT($I5309,6)&lt;&gt;"VACUUM"),"CDU",IF($H5309="FLUID CAT CRACKING","FCC",IF(OR($H5309="HYDROCRACKING",$H5309="RESID_HYDROCRACKING"),"Hydrocracker",IF($H5309="REFORMING","Reformer",""))))</f>
        <v>CDU</v>
      </c>
      <c r="H5309" s="6" t="s">
        <v>38</v>
      </c>
      <c r="I5309" s="6" t="s">
        <v>81</v>
      </c>
      <c r="J5309" s="6" t="s">
        <v>345</v>
      </c>
      <c r="K5309" s="10">
        <v>89.90000000000001</v>
      </c>
      <c r="L5309" s="10">
        <v>155</v>
      </c>
      <c r="M5309" s="6" t="s">
        <v>386</v>
      </c>
    </row>
    <row r="5310" spans="1:13">
      <c r="A5310" s="6">
        <v>2025</v>
      </c>
      <c r="B5310" s="6">
        <v>3</v>
      </c>
      <c r="C5310" s="6" t="s">
        <v>61</v>
      </c>
      <c r="D5310" s="6" t="s">
        <v>490</v>
      </c>
      <c r="E5310" s="6" t="s">
        <v>491</v>
      </c>
      <c r="F5310" s="6" t="str">
        <f>IF($M5310="PADD I","PADD 1",IF($M5310="PADD II","PADD 2",IF($M5310="PADD III","PADD 3",IF($M5310="PADD IV","PADD 4",IF($M5310="PADD V","PADD 5","")))))</f>
        <v>PADD 3</v>
      </c>
      <c r="G5310" s="6" t="str">
        <f>IF(AND($H5310="ATMOS DISTILLATION",ISNUMBER(SEARCH("VPS",$I5310))=FALSE,LEFT($I5310,6)&lt;&gt;"VACUUM"),"CDU",IF($H5310="FLUID CAT CRACKING","FCC",IF(OR($H5310="HYDROCRACKING",$H5310="RESID_HYDROCRACKING"),"Hydrocracker",IF($H5310="REFORMING","Reformer",""))))</f>
        <v>FCC</v>
      </c>
      <c r="H5310" s="6" t="s">
        <v>376</v>
      </c>
      <c r="I5310" s="6" t="s">
        <v>472</v>
      </c>
      <c r="J5310" s="6" t="s">
        <v>349</v>
      </c>
      <c r="K5310" s="10">
        <v>81</v>
      </c>
      <c r="L5310" s="10">
        <v>81</v>
      </c>
      <c r="M5310" s="6" t="s">
        <v>371</v>
      </c>
    </row>
    <row r="5311" spans="1:13">
      <c r="A5311" s="6">
        <v>2025</v>
      </c>
      <c r="B5311" s="6">
        <v>3</v>
      </c>
      <c r="C5311" s="6" t="s">
        <v>61</v>
      </c>
      <c r="D5311" s="6" t="s">
        <v>531</v>
      </c>
      <c r="E5311" s="6" t="s">
        <v>532</v>
      </c>
      <c r="F5311" s="6" t="str">
        <f>IF($M5311="PADD I","PADD 1",IF($M5311="PADD II","PADD 2",IF($M5311="PADD III","PADD 3",IF($M5311="PADD IV","PADD 4",IF($M5311="PADD V","PADD 5","")))))</f>
        <v>PADD 5</v>
      </c>
      <c r="G5311" s="6" t="str">
        <f>IF(AND($H5311="ATMOS DISTILLATION",ISNUMBER(SEARCH("VPS",$I5311))=FALSE,LEFT($I5311,6)&lt;&gt;"VACUUM"),"CDU",IF($H5311="FLUID CAT CRACKING","FCC",IF(OR($H5311="HYDROCRACKING",$H5311="RESID_HYDROCRACKING"),"Hydrocracker",IF($H5311="REFORMING","Reformer",""))))</f>
        <v>CDU</v>
      </c>
      <c r="H5311" s="6" t="s">
        <v>38</v>
      </c>
      <c r="I5311" s="6" t="s">
        <v>81</v>
      </c>
      <c r="J5311" s="6" t="s">
        <v>345</v>
      </c>
      <c r="K5311" s="10">
        <v>79.776</v>
      </c>
      <c r="L5311" s="10">
        <v>166.2</v>
      </c>
      <c r="M5311" s="6" t="s">
        <v>386</v>
      </c>
    </row>
    <row r="5312" spans="1:13">
      <c r="A5312" s="6">
        <v>2025</v>
      </c>
      <c r="B5312" s="6">
        <v>3</v>
      </c>
      <c r="C5312" s="6" t="s">
        <v>61</v>
      </c>
      <c r="D5312" s="6" t="s">
        <v>646</v>
      </c>
      <c r="E5312" s="6" t="s">
        <v>405</v>
      </c>
      <c r="F5312" s="6" t="str">
        <f>IF($M5312="PADD I","PADD 1",IF($M5312="PADD II","PADD 2",IF($M5312="PADD III","PADD 3",IF($M5312="PADD IV","PADD 4",IF($M5312="PADD V","PADD 5","")))))</f>
        <v>PADD 3</v>
      </c>
      <c r="G5312" s="6" t="str">
        <f>IF(AND($H5312="ATMOS DISTILLATION",ISNUMBER(SEARCH("VPS",$I5312))=FALSE,LEFT($I5312,6)&lt;&gt;"VACUUM"),"CDU",IF($H5312="FLUID CAT CRACKING","FCC",IF(OR($H5312="HYDROCRACKING",$H5312="RESID_HYDROCRACKING"),"Hydrocracker",IF($H5312="REFORMING","Reformer",""))))</f>
        <v>CDU</v>
      </c>
      <c r="H5312" s="6" t="s">
        <v>38</v>
      </c>
      <c r="I5312" s="6" t="s">
        <v>126</v>
      </c>
      <c r="J5312" s="6" t="s">
        <v>345</v>
      </c>
      <c r="K5312" s="10">
        <v>78.12</v>
      </c>
      <c r="L5312" s="10">
        <v>93</v>
      </c>
      <c r="M5312" s="6" t="s">
        <v>371</v>
      </c>
    </row>
    <row r="5313" spans="1:13">
      <c r="A5313" s="6">
        <v>2025</v>
      </c>
      <c r="B5313" s="6">
        <v>3</v>
      </c>
      <c r="C5313" s="6" t="s">
        <v>61</v>
      </c>
      <c r="D5313" s="6" t="s">
        <v>326</v>
      </c>
      <c r="E5313" s="6" t="s">
        <v>385</v>
      </c>
      <c r="F5313" s="6" t="str">
        <f>IF($M5313="PADD I","PADD 1",IF($M5313="PADD II","PADD 2",IF($M5313="PADD III","PADD 3",IF($M5313="PADD IV","PADD 4",IF($M5313="PADD V","PADD 5","")))))</f>
        <v>PADD 5</v>
      </c>
      <c r="G5313" s="6">
        <f>IF(AND($H5313="ATMOS DISTILLATION",ISNUMBER(SEARCH("VPS",$I5313))=FALSE,LEFT($I5313,6)&lt;&gt;"VACUUM"),"CDU",IF($H5313="FLUID CAT CRACKING","FCC",IF(OR($H5313="HYDROCRACKING",$H5313="RESID_HYDROCRACKING"),"Hydrocracker",IF($H5313="REFORMING","Reformer",""))))</f>
        <v/>
      </c>
      <c r="H5313" s="6" t="s">
        <v>43</v>
      </c>
      <c r="I5313" s="6" t="s">
        <v>1285</v>
      </c>
      <c r="J5313" s="6" t="s">
        <v>345</v>
      </c>
      <c r="K5313" s="10">
        <v>77.5</v>
      </c>
      <c r="L5313" s="10">
        <v>77.5</v>
      </c>
      <c r="M5313" s="6" t="s">
        <v>386</v>
      </c>
    </row>
    <row r="5314" spans="1:13">
      <c r="A5314" s="6">
        <v>2025</v>
      </c>
      <c r="B5314" s="6">
        <v>3</v>
      </c>
      <c r="C5314" s="6" t="s">
        <v>61</v>
      </c>
      <c r="D5314" s="6" t="s">
        <v>411</v>
      </c>
      <c r="E5314" s="6" t="s">
        <v>369</v>
      </c>
      <c r="F5314" s="6" t="str">
        <f>IF($M5314="PADD I","PADD 1",IF($M5314="PADD II","PADD 2",IF($M5314="PADD III","PADD 3",IF($M5314="PADD IV","PADD 4",IF($M5314="PADD V","PADD 5","")))))</f>
        <v>PADD 1</v>
      </c>
      <c r="G5314" s="6">
        <f>IF(AND($H5314="ATMOS DISTILLATION",ISNUMBER(SEARCH("VPS",$I5314))=FALSE,LEFT($I5314,6)&lt;&gt;"VACUUM"),"CDU",IF($H5314="FLUID CAT CRACKING","FCC",IF(OR($H5314="HYDROCRACKING",$H5314="RESID_HYDROCRACKING"),"Hydrocracker",IF($H5314="REFORMING","Reformer",""))))</f>
        <v/>
      </c>
      <c r="H5314" s="6" t="s">
        <v>378</v>
      </c>
      <c r="I5314" s="6" t="s">
        <v>431</v>
      </c>
      <c r="J5314" s="6" t="s">
        <v>349</v>
      </c>
      <c r="K5314" s="10">
        <v>75</v>
      </c>
      <c r="L5314" s="10">
        <v>75</v>
      </c>
      <c r="M5314" s="6" t="s">
        <v>413</v>
      </c>
    </row>
    <row r="5315" spans="1:13">
      <c r="A5315" s="6">
        <v>2025</v>
      </c>
      <c r="B5315" s="6">
        <v>3</v>
      </c>
      <c r="C5315" s="6" t="s">
        <v>61</v>
      </c>
      <c r="D5315" s="6" t="s">
        <v>610</v>
      </c>
      <c r="E5315" s="6" t="s">
        <v>611</v>
      </c>
      <c r="F5315" s="6" t="str">
        <f>IF($M5315="PADD I","PADD 1",IF($M5315="PADD II","PADD 2",IF($M5315="PADD III","PADD 3",IF($M5315="PADD IV","PADD 4",IF($M5315="PADD V","PADD 5","")))))</f>
        <v>PADD 2</v>
      </c>
      <c r="G5315" s="6" t="str">
        <f>IF(AND($H5315="ATMOS DISTILLATION",ISNUMBER(SEARCH("VPS",$I5315))=FALSE,LEFT($I5315,6)&lt;&gt;"VACUUM"),"CDU",IF($H5315="FLUID CAT CRACKING","FCC",IF(OR($H5315="HYDROCRACKING",$H5315="RESID_HYDROCRACKING"),"Hydrocracker",IF($H5315="REFORMING","Reformer",""))))</f>
        <v>CDU</v>
      </c>
      <c r="H5315" s="6" t="s">
        <v>38</v>
      </c>
      <c r="I5315" s="6" t="s">
        <v>374</v>
      </c>
      <c r="J5315" s="6" t="s">
        <v>349</v>
      </c>
      <c r="K5315" s="10">
        <v>75</v>
      </c>
      <c r="L5315" s="10">
        <v>75</v>
      </c>
      <c r="M5315" s="6" t="s">
        <v>375</v>
      </c>
    </row>
    <row r="5316" spans="1:13">
      <c r="A5316" s="6">
        <v>2025</v>
      </c>
      <c r="B5316" s="6">
        <v>3</v>
      </c>
      <c r="C5316" s="6" t="s">
        <v>61</v>
      </c>
      <c r="D5316" s="6" t="s">
        <v>742</v>
      </c>
      <c r="E5316" s="6" t="s">
        <v>388</v>
      </c>
      <c r="F5316" s="6" t="str">
        <f>IF($M5316="PADD I","PADD 1",IF($M5316="PADD II","PADD 2",IF($M5316="PADD III","PADD 3",IF($M5316="PADD IV","PADD 4",IF($M5316="PADD V","PADD 5","")))))</f>
        <v>PADD 5</v>
      </c>
      <c r="G5316" s="6" t="str">
        <f>IF(AND($H5316="ATMOS DISTILLATION",ISNUMBER(SEARCH("VPS",$I5316))=FALSE,LEFT($I5316,6)&lt;&gt;"VACUUM"),"CDU",IF($H5316="FLUID CAT CRACKING","FCC",IF(OR($H5316="HYDROCRACKING",$H5316="RESID_HYDROCRACKING"),"Hydrocracker",IF($H5316="REFORMING","Reformer",""))))</f>
        <v>CDU</v>
      </c>
      <c r="H5316" s="6" t="s">
        <v>38</v>
      </c>
      <c r="I5316" s="6" t="s">
        <v>81</v>
      </c>
      <c r="J5316" s="6" t="s">
        <v>349</v>
      </c>
      <c r="K5316" s="10">
        <v>62.4</v>
      </c>
      <c r="L5316" s="10">
        <v>120</v>
      </c>
      <c r="M5316" s="6" t="s">
        <v>386</v>
      </c>
    </row>
    <row r="5317" spans="1:13">
      <c r="A5317" s="6">
        <v>2025</v>
      </c>
      <c r="B5317" s="6">
        <v>3</v>
      </c>
      <c r="C5317" s="6" t="s">
        <v>61</v>
      </c>
      <c r="D5317" s="6" t="s">
        <v>531</v>
      </c>
      <c r="E5317" s="6" t="s">
        <v>532</v>
      </c>
      <c r="F5317" s="6" t="str">
        <f>IF($M5317="PADD I","PADD 1",IF($M5317="PADD II","PADD 2",IF($M5317="PADD III","PADD 3",IF($M5317="PADD IV","PADD 4",IF($M5317="PADD V","PADD 5","")))))</f>
        <v>PADD 5</v>
      </c>
      <c r="G5317" s="6" t="str">
        <f>IF(AND($H5317="ATMOS DISTILLATION",ISNUMBER(SEARCH("VPS",$I5317))=FALSE,LEFT($I5317,6)&lt;&gt;"VACUUM"),"CDU",IF($H5317="FLUID CAT CRACKING","FCC",IF(OR($H5317="HYDROCRACKING",$H5317="RESID_HYDROCRACKING"),"Hydrocracker",IF($H5317="REFORMING","Reformer",""))))</f>
        <v>FCC</v>
      </c>
      <c r="H5317" s="6" t="s">
        <v>376</v>
      </c>
      <c r="I5317" s="6" t="s">
        <v>105</v>
      </c>
      <c r="J5317" s="6" t="s">
        <v>345</v>
      </c>
      <c r="K5317" s="10">
        <v>61</v>
      </c>
      <c r="L5317" s="10">
        <v>100</v>
      </c>
      <c r="M5317" s="6" t="s">
        <v>386</v>
      </c>
    </row>
    <row r="5318" spans="1:13">
      <c r="A5318" s="6">
        <v>2025</v>
      </c>
      <c r="B5318" s="6">
        <v>3</v>
      </c>
      <c r="C5318" s="6" t="s">
        <v>61</v>
      </c>
      <c r="D5318" s="6" t="s">
        <v>455</v>
      </c>
      <c r="E5318" s="6" t="s">
        <v>405</v>
      </c>
      <c r="F5318" s="6" t="str">
        <f>IF($M5318="PADD I","PADD 1",IF($M5318="PADD II","PADD 2",IF($M5318="PADD III","PADD 3",IF($M5318="PADD IV","PADD 4",IF($M5318="PADD V","PADD 5","")))))</f>
        <v>PADD 3</v>
      </c>
      <c r="G5318" s="6" t="str">
        <f>IF(AND($H5318="ATMOS DISTILLATION",ISNUMBER(SEARCH("VPS",$I5318))=FALSE,LEFT($I5318,6)&lt;&gt;"VACUUM"),"CDU",IF($H5318="FLUID CAT CRACKING","FCC",IF(OR($H5318="HYDROCRACKING",$H5318="RESID_HYDROCRACKING"),"Hydrocracker",IF($H5318="REFORMING","Reformer",""))))</f>
        <v>FCC</v>
      </c>
      <c r="H5318" s="6" t="s">
        <v>376</v>
      </c>
      <c r="I5318" s="6" t="s">
        <v>105</v>
      </c>
      <c r="J5318" s="6" t="s">
        <v>345</v>
      </c>
      <c r="K5318" s="10">
        <v>61</v>
      </c>
      <c r="L5318" s="10">
        <v>100</v>
      </c>
      <c r="M5318" s="6" t="s">
        <v>371</v>
      </c>
    </row>
    <row r="5319" spans="1:13">
      <c r="A5319" s="6">
        <v>2025</v>
      </c>
      <c r="B5319" s="6">
        <v>3</v>
      </c>
      <c r="C5319" s="6" t="s">
        <v>61</v>
      </c>
      <c r="D5319" s="6" t="s">
        <v>531</v>
      </c>
      <c r="E5319" s="6" t="s">
        <v>532</v>
      </c>
      <c r="F5319" s="6" t="str">
        <f>IF($M5319="PADD I","PADD 1",IF($M5319="PADD II","PADD 2",IF($M5319="PADD III","PADD 3",IF($M5319="PADD IV","PADD 4",IF($M5319="PADD V","PADD 5","")))))</f>
        <v>PADD 5</v>
      </c>
      <c r="G5319" s="6">
        <f>IF(AND($H5319="ATMOS DISTILLATION",ISNUMBER(SEARCH("VPS",$I5319))=FALSE,LEFT($I5319,6)&lt;&gt;"VACUUM"),"CDU",IF($H5319="FLUID CAT CRACKING","FCC",IF(OR($H5319="HYDROCRACKING",$H5319="RESID_HYDROCRACKING"),"Hydrocracker",IF($H5319="REFORMING","Reformer",""))))</f>
        <v/>
      </c>
      <c r="H5319" s="6" t="s">
        <v>43</v>
      </c>
      <c r="I5319" s="6" t="s">
        <v>567</v>
      </c>
      <c r="J5319" s="6" t="s">
        <v>345</v>
      </c>
      <c r="K5319" s="10">
        <v>60.9</v>
      </c>
      <c r="L5319" s="10">
        <v>105</v>
      </c>
      <c r="M5319" s="6" t="s">
        <v>386</v>
      </c>
    </row>
    <row r="5320" spans="1:13">
      <c r="A5320" s="6">
        <v>2025</v>
      </c>
      <c r="B5320" s="6">
        <v>3</v>
      </c>
      <c r="C5320" s="6" t="s">
        <v>61</v>
      </c>
      <c r="D5320" s="6" t="s">
        <v>610</v>
      </c>
      <c r="E5320" s="6" t="s">
        <v>611</v>
      </c>
      <c r="F5320" s="6" t="str">
        <f>IF($M5320="PADD I","PADD 1",IF($M5320="PADD II","PADD 2",IF($M5320="PADD III","PADD 3",IF($M5320="PADD IV","PADD 4",IF($M5320="PADD V","PADD 5","")))))</f>
        <v>PADD 2</v>
      </c>
      <c r="G5320" s="6" t="str">
        <f>IF(AND($H5320="ATMOS DISTILLATION",ISNUMBER(SEARCH("VPS",$I5320))=FALSE,LEFT($I5320,6)&lt;&gt;"VACUUM"),"CDU",IF($H5320="FLUID CAT CRACKING","FCC",IF(OR($H5320="HYDROCRACKING",$H5320="RESID_HYDROCRACKING"),"Hydrocracker",IF($H5320="REFORMING","Reformer",""))))</f>
        <v>CDU</v>
      </c>
      <c r="H5320" s="6" t="s">
        <v>38</v>
      </c>
      <c r="I5320" s="6" t="s">
        <v>332</v>
      </c>
      <c r="J5320" s="6" t="s">
        <v>349</v>
      </c>
      <c r="K5320" s="10">
        <v>60</v>
      </c>
      <c r="L5320" s="10">
        <v>60</v>
      </c>
      <c r="M5320" s="6" t="s">
        <v>375</v>
      </c>
    </row>
    <row r="5321" spans="1:13">
      <c r="A5321" s="6">
        <v>2025</v>
      </c>
      <c r="B5321" s="6">
        <v>3</v>
      </c>
      <c r="C5321" s="6" t="s">
        <v>61</v>
      </c>
      <c r="D5321" s="6" t="s">
        <v>411</v>
      </c>
      <c r="E5321" s="6" t="s">
        <v>369</v>
      </c>
      <c r="F5321" s="6" t="str">
        <f>IF($M5321="PADD I","PADD 1",IF($M5321="PADD II","PADD 2",IF($M5321="PADD III","PADD 3",IF($M5321="PADD IV","PADD 4",IF($M5321="PADD V","PADD 5","")))))</f>
        <v>PADD 1</v>
      </c>
      <c r="G5321" s="6">
        <f>IF(AND($H5321="ATMOS DISTILLATION",ISNUMBER(SEARCH("VPS",$I5321))=FALSE,LEFT($I5321,6)&lt;&gt;"VACUUM"),"CDU",IF($H5321="FLUID CAT CRACKING","FCC",IF(OR($H5321="HYDROCRACKING",$H5321="RESID_HYDROCRACKING"),"Hydrocracker",IF($H5321="REFORMING","Reformer",""))))</f>
        <v/>
      </c>
      <c r="H5321" s="6" t="s">
        <v>43</v>
      </c>
      <c r="I5321" s="6" t="s">
        <v>458</v>
      </c>
      <c r="J5321" s="6" t="s">
        <v>345</v>
      </c>
      <c r="K5321" s="10">
        <v>58.5</v>
      </c>
      <c r="L5321" s="10">
        <v>58.5</v>
      </c>
      <c r="M5321" s="6" t="s">
        <v>413</v>
      </c>
    </row>
    <row r="5322" spans="1:13">
      <c r="A5322" s="6">
        <v>2025</v>
      </c>
      <c r="B5322" s="6">
        <v>3</v>
      </c>
      <c r="C5322" s="6" t="s">
        <v>61</v>
      </c>
      <c r="D5322" s="6" t="s">
        <v>531</v>
      </c>
      <c r="E5322" s="6" t="s">
        <v>532</v>
      </c>
      <c r="F5322" s="6" t="str">
        <f>IF($M5322="PADD I","PADD 1",IF($M5322="PADD II","PADD 2",IF($M5322="PADD III","PADD 3",IF($M5322="PADD IV","PADD 4",IF($M5322="PADD V","PADD 5","")))))</f>
        <v>PADD 5</v>
      </c>
      <c r="G5322" s="6">
        <f>IF(AND($H5322="ATMOS DISTILLATION",ISNUMBER(SEARCH("VPS",$I5322))=FALSE,LEFT($I5322,6)&lt;&gt;"VACUUM"),"CDU",IF($H5322="FLUID CAT CRACKING","FCC",IF(OR($H5322="HYDROCRACKING",$H5322="RESID_HYDROCRACKING"),"Hydrocracker",IF($H5322="REFORMING","Reformer",""))))</f>
        <v/>
      </c>
      <c r="H5322" s="6" t="s">
        <v>378</v>
      </c>
      <c r="I5322" s="6" t="s">
        <v>379</v>
      </c>
      <c r="J5322" s="6" t="s">
        <v>345</v>
      </c>
      <c r="K5322" s="10">
        <v>56.84</v>
      </c>
      <c r="L5322" s="10">
        <v>98</v>
      </c>
      <c r="M5322" s="6" t="s">
        <v>386</v>
      </c>
    </row>
    <row r="5323" spans="1:13">
      <c r="A5323" s="6">
        <v>2025</v>
      </c>
      <c r="B5323" s="6">
        <v>3</v>
      </c>
      <c r="C5323" s="6" t="s">
        <v>61</v>
      </c>
      <c r="D5323" s="6" t="s">
        <v>451</v>
      </c>
      <c r="E5323" s="6" t="s">
        <v>452</v>
      </c>
      <c r="F5323" s="6" t="str">
        <f>IF($M5323="PADD I","PADD 1",IF($M5323="PADD II","PADD 2",IF($M5323="PADD III","PADD 3",IF($M5323="PADD IV","PADD 4",IF($M5323="PADD V","PADD 5","")))))</f>
        <v>PADD 2</v>
      </c>
      <c r="G5323" s="6">
        <f>IF(AND($H5323="ATMOS DISTILLATION",ISNUMBER(SEARCH("VPS",$I5323))=FALSE,LEFT($I5323,6)&lt;&gt;"VACUUM"),"CDU",IF($H5323="FLUID CAT CRACKING","FCC",IF(OR($H5323="HYDROCRACKING",$H5323="RESID_HYDROCRACKING"),"Hydrocracker",IF($H5323="REFORMING","Reformer",""))))</f>
        <v/>
      </c>
      <c r="H5323" s="6" t="s">
        <v>378</v>
      </c>
      <c r="I5323" s="6" t="s">
        <v>431</v>
      </c>
      <c r="J5323" s="6" t="s">
        <v>349</v>
      </c>
      <c r="K5323" s="10">
        <v>56</v>
      </c>
      <c r="L5323" s="10">
        <v>56</v>
      </c>
      <c r="M5323" s="6" t="s">
        <v>375</v>
      </c>
    </row>
    <row r="5324" spans="1:13">
      <c r="A5324" s="6">
        <v>2025</v>
      </c>
      <c r="B5324" s="6">
        <v>3</v>
      </c>
      <c r="C5324" s="6" t="s">
        <v>61</v>
      </c>
      <c r="D5324" s="6" t="s">
        <v>1214</v>
      </c>
      <c r="E5324" s="6" t="s">
        <v>1215</v>
      </c>
      <c r="F5324" s="6" t="str">
        <f>IF($M5324="PADD I","PADD 1",IF($M5324="PADD II","PADD 2",IF($M5324="PADD III","PADD 3",IF($M5324="PADD IV","PADD 4",IF($M5324="PADD V","PADD 5","")))))</f>
        <v>PADD 1</v>
      </c>
      <c r="G5324" s="6" t="str">
        <f>IF(AND($H5324="ATMOS DISTILLATION",ISNUMBER(SEARCH("VPS",$I5324))=FALSE,LEFT($I5324,6)&lt;&gt;"VACUUM"),"CDU",IF($H5324="FLUID CAT CRACKING","FCC",IF(OR($H5324="HYDROCRACKING",$H5324="RESID_HYDROCRACKING"),"Hydrocracker",IF($H5324="REFORMING","Reformer",""))))</f>
        <v>CDU</v>
      </c>
      <c r="H5324" s="6" t="s">
        <v>38</v>
      </c>
      <c r="I5324" s="6" t="s">
        <v>131</v>
      </c>
      <c r="J5324" s="6" t="s">
        <v>345</v>
      </c>
      <c r="K5324" s="10">
        <v>56</v>
      </c>
      <c r="L5324" s="10">
        <v>56</v>
      </c>
      <c r="M5324" s="6" t="s">
        <v>413</v>
      </c>
    </row>
    <row r="5325" spans="1:13">
      <c r="A5325" s="6">
        <v>2025</v>
      </c>
      <c r="B5325" s="6">
        <v>3</v>
      </c>
      <c r="C5325" s="6" t="s">
        <v>61</v>
      </c>
      <c r="D5325" s="6" t="s">
        <v>676</v>
      </c>
      <c r="E5325" s="6" t="s">
        <v>677</v>
      </c>
      <c r="F5325" s="6" t="str">
        <f>IF($M5325="PADD I","PADD 1",IF($M5325="PADD II","PADD 2",IF($M5325="PADD III","PADD 3",IF($M5325="PADD IV","PADD 4",IF($M5325="PADD V","PADD 5","")))))</f>
        <v>PADD 1</v>
      </c>
      <c r="G5325" s="6" t="str">
        <f>IF(AND($H5325="ATMOS DISTILLATION",ISNUMBER(SEARCH("VPS",$I5325))=FALSE,LEFT($I5325,6)&lt;&gt;"VACUUM"),"CDU",IF($H5325="FLUID CAT CRACKING","FCC",IF(OR($H5325="HYDROCRACKING",$H5325="RESID_HYDROCRACKING"),"Hydrocracker",IF($H5325="REFORMING","Reformer",""))))</f>
        <v>CDU</v>
      </c>
      <c r="H5325" s="6" t="s">
        <v>38</v>
      </c>
      <c r="I5325" s="6" t="s">
        <v>678</v>
      </c>
      <c r="J5325" s="6" t="s">
        <v>345</v>
      </c>
      <c r="K5325" s="10">
        <v>56</v>
      </c>
      <c r="L5325" s="10">
        <v>56</v>
      </c>
      <c r="M5325" s="6" t="s">
        <v>413</v>
      </c>
    </row>
    <row r="5326" spans="1:13">
      <c r="A5326" s="6">
        <v>2025</v>
      </c>
      <c r="B5326" s="6">
        <v>3</v>
      </c>
      <c r="C5326" s="6" t="s">
        <v>61</v>
      </c>
      <c r="D5326" s="6" t="s">
        <v>676</v>
      </c>
      <c r="E5326" s="6" t="s">
        <v>677</v>
      </c>
      <c r="F5326" s="6" t="str">
        <f>IF($M5326="PADD I","PADD 1",IF($M5326="PADD II","PADD 2",IF($M5326="PADD III","PADD 3",IF($M5326="PADD IV","PADD 4",IF($M5326="PADD V","PADD 5","")))))</f>
        <v>PADD 1</v>
      </c>
      <c r="G5326" s="6" t="str">
        <f>IF(AND($H5326="ATMOS DISTILLATION",ISNUMBER(SEARCH("VPS",$I5326))=FALSE,LEFT($I5326,6)&lt;&gt;"VACUUM"),"CDU",IF($H5326="FLUID CAT CRACKING","FCC",IF(OR($H5326="HYDROCRACKING",$H5326="RESID_HYDROCRACKING"),"Hydrocracker",IF($H5326="REFORMING","Reformer",""))))</f>
        <v>CDU</v>
      </c>
      <c r="H5326" s="6" t="s">
        <v>38</v>
      </c>
      <c r="I5326" s="6" t="s">
        <v>1266</v>
      </c>
      <c r="J5326" s="6" t="s">
        <v>345</v>
      </c>
      <c r="K5326" s="10">
        <v>55</v>
      </c>
      <c r="L5326" s="10">
        <v>55</v>
      </c>
      <c r="M5326" s="6" t="s">
        <v>413</v>
      </c>
    </row>
    <row r="5327" spans="1:13">
      <c r="A5327" s="6">
        <v>2025</v>
      </c>
      <c r="B5327" s="6">
        <v>3</v>
      </c>
      <c r="C5327" s="6" t="s">
        <v>61</v>
      </c>
      <c r="D5327" s="6" t="s">
        <v>326</v>
      </c>
      <c r="E5327" s="6" t="s">
        <v>385</v>
      </c>
      <c r="F5327" s="6" t="str">
        <f>IF($M5327="PADD I","PADD 1",IF($M5327="PADD II","PADD 2",IF($M5327="PADD III","PADD 3",IF($M5327="PADD IV","PADD 4",IF($M5327="PADD V","PADD 5","")))))</f>
        <v>PADD 5</v>
      </c>
      <c r="G5327" s="6">
        <f>IF(AND($H5327="ATMOS DISTILLATION",ISNUMBER(SEARCH("VPS",$I5327))=FALSE,LEFT($I5327,6)&lt;&gt;"VACUUM"),"CDU",IF($H5327="FLUID CAT CRACKING","FCC",IF(OR($H5327="HYDROCRACKING",$H5327="RESID_HYDROCRACKING"),"Hydrocracker",IF($H5327="REFORMING","Reformer",""))))</f>
        <v/>
      </c>
      <c r="H5327" s="6" t="s">
        <v>43</v>
      </c>
      <c r="I5327" s="6" t="s">
        <v>1174</v>
      </c>
      <c r="J5327" s="6" t="s">
        <v>345</v>
      </c>
      <c r="K5327" s="10">
        <v>50.2</v>
      </c>
      <c r="L5327" s="10">
        <v>50.2</v>
      </c>
      <c r="M5327" s="6" t="s">
        <v>386</v>
      </c>
    </row>
    <row r="5328" spans="1:13">
      <c r="A5328" s="6">
        <v>2025</v>
      </c>
      <c r="B5328" s="6">
        <v>3</v>
      </c>
      <c r="C5328" s="6" t="s">
        <v>61</v>
      </c>
      <c r="D5328" s="6" t="s">
        <v>490</v>
      </c>
      <c r="E5328" s="6" t="s">
        <v>491</v>
      </c>
      <c r="F5328" s="6" t="str">
        <f>IF($M5328="PADD I","PADD 1",IF($M5328="PADD II","PADD 2",IF($M5328="PADD III","PADD 3",IF($M5328="PADD IV","PADD 4",IF($M5328="PADD V","PADD 5","")))))</f>
        <v>PADD 3</v>
      </c>
      <c r="G5328" s="6">
        <f>IF(AND($H5328="ATMOS DISTILLATION",ISNUMBER(SEARCH("VPS",$I5328))=FALSE,LEFT($I5328,6)&lt;&gt;"VACUUM"),"CDU",IF($H5328="FLUID CAT CRACKING","FCC",IF(OR($H5328="HYDROCRACKING",$H5328="RESID_HYDROCRACKING"),"Hydrocracker",IF($H5328="REFORMING","Reformer",""))))</f>
        <v/>
      </c>
      <c r="H5328" s="6" t="s">
        <v>43</v>
      </c>
      <c r="I5328" s="6" t="s">
        <v>847</v>
      </c>
      <c r="J5328" s="6" t="s">
        <v>349</v>
      </c>
      <c r="K5328" s="10">
        <v>50</v>
      </c>
      <c r="L5328" s="10">
        <v>50</v>
      </c>
      <c r="M5328" s="6" t="s">
        <v>371</v>
      </c>
    </row>
    <row r="5329" spans="1:13">
      <c r="A5329" s="6">
        <v>2025</v>
      </c>
      <c r="B5329" s="6">
        <v>3</v>
      </c>
      <c r="C5329" s="6" t="s">
        <v>61</v>
      </c>
      <c r="D5329" s="6" t="s">
        <v>602</v>
      </c>
      <c r="E5329" s="6" t="s">
        <v>369</v>
      </c>
      <c r="F5329" s="6" t="str">
        <f>IF($M5329="PADD I","PADD 1",IF($M5329="PADD II","PADD 2",IF($M5329="PADD III","PADD 3",IF($M5329="PADD IV","PADD 4",IF($M5329="PADD V","PADD 5","")))))</f>
        <v>PADD 2</v>
      </c>
      <c r="G5329" s="6" t="str">
        <f>IF(AND($H5329="ATMOS DISTILLATION",ISNUMBER(SEARCH("VPS",$I5329))=FALSE,LEFT($I5329,6)&lt;&gt;"VACUUM"),"CDU",IF($H5329="FLUID CAT CRACKING","FCC",IF(OR($H5329="HYDROCRACKING",$H5329="RESID_HYDROCRACKING"),"Hydrocracker",IF($H5329="REFORMING","Reformer",""))))</f>
        <v>CDU</v>
      </c>
      <c r="H5329" s="6" t="s">
        <v>38</v>
      </c>
      <c r="I5329" s="6" t="s">
        <v>1235</v>
      </c>
      <c r="J5329" s="6" t="s">
        <v>349</v>
      </c>
      <c r="K5329" s="10">
        <v>49.7</v>
      </c>
      <c r="L5329" s="10">
        <v>70</v>
      </c>
      <c r="M5329" s="6" t="s">
        <v>375</v>
      </c>
    </row>
    <row r="5330" spans="1:13">
      <c r="A5330" s="6">
        <v>2025</v>
      </c>
      <c r="B5330" s="6">
        <v>3</v>
      </c>
      <c r="C5330" s="6" t="s">
        <v>61</v>
      </c>
      <c r="D5330" s="6" t="s">
        <v>346</v>
      </c>
      <c r="E5330" s="6" t="s">
        <v>383</v>
      </c>
      <c r="F5330" s="6" t="str">
        <f>IF($M5330="PADD I","PADD 1",IF($M5330="PADD II","PADD 2",IF($M5330="PADD III","PADD 3",IF($M5330="PADD IV","PADD 4",IF($M5330="PADD V","PADD 5","")))))</f>
        <v>PADD 2</v>
      </c>
      <c r="G5330" s="6" t="str">
        <f>IF(AND($H5330="ATMOS DISTILLATION",ISNUMBER(SEARCH("VPS",$I5330))=FALSE,LEFT($I5330,6)&lt;&gt;"VACUUM"),"CDU",IF($H5330="FLUID CAT CRACKING","FCC",IF(OR($H5330="HYDROCRACKING",$H5330="RESID_HYDROCRACKING"),"Hydrocracker",IF($H5330="REFORMING","Reformer",""))))</f>
        <v>CDU</v>
      </c>
      <c r="H5330" s="6" t="s">
        <v>38</v>
      </c>
      <c r="I5330" s="6" t="s">
        <v>1058</v>
      </c>
      <c r="J5330" s="6" t="s">
        <v>349</v>
      </c>
      <c r="K5330" s="10">
        <v>49.7</v>
      </c>
      <c r="L5330" s="10">
        <v>70</v>
      </c>
      <c r="M5330" s="6" t="s">
        <v>375</v>
      </c>
    </row>
    <row r="5331" spans="1:13">
      <c r="A5331" s="6">
        <v>2025</v>
      </c>
      <c r="B5331" s="6">
        <v>3</v>
      </c>
      <c r="C5331" s="6" t="s">
        <v>61</v>
      </c>
      <c r="D5331" s="6" t="s">
        <v>319</v>
      </c>
      <c r="E5331" s="6" t="s">
        <v>665</v>
      </c>
      <c r="F5331" s="6" t="str">
        <f>IF($M5331="PADD I","PADD 1",IF($M5331="PADD II","PADD 2",IF($M5331="PADD III","PADD 3",IF($M5331="PADD IV","PADD 4",IF($M5331="PADD V","PADD 5","")))))</f>
        <v>PADD 3</v>
      </c>
      <c r="G5331" s="6" t="str">
        <f>IF(AND($H5331="ATMOS DISTILLATION",ISNUMBER(SEARCH("VPS",$I5331))=FALSE,LEFT($I5331,6)&lt;&gt;"VACUUM"),"CDU",IF($H5331="FLUID CAT CRACKING","FCC",IF(OR($H5331="HYDROCRACKING",$H5331="RESID_HYDROCRACKING"),"Hydrocracker",IF($H5331="REFORMING","Reformer",""))))</f>
        <v>Hydrocracker</v>
      </c>
      <c r="H5331" s="6" t="s">
        <v>444</v>
      </c>
      <c r="I5331" s="6" t="s">
        <v>14</v>
      </c>
      <c r="J5331" s="6" t="s">
        <v>345</v>
      </c>
      <c r="K5331" s="10">
        <v>42.68</v>
      </c>
      <c r="L5331" s="10">
        <v>44</v>
      </c>
      <c r="M5331" s="6" t="s">
        <v>371</v>
      </c>
    </row>
    <row r="5332" spans="1:13">
      <c r="A5332" s="6">
        <v>2025</v>
      </c>
      <c r="B5332" s="6">
        <v>3</v>
      </c>
      <c r="C5332" s="6" t="s">
        <v>61</v>
      </c>
      <c r="D5332" s="6" t="s">
        <v>576</v>
      </c>
      <c r="E5332" s="6" t="s">
        <v>369</v>
      </c>
      <c r="F5332" s="6" t="str">
        <f>IF($M5332="PADD I","PADD 1",IF($M5332="PADD II","PADD 2",IF($M5332="PADD III","PADD 3",IF($M5332="PADD IV","PADD 4",IF($M5332="PADD V","PADD 5","")))))</f>
        <v>PADD 3</v>
      </c>
      <c r="G5332" s="6" t="str">
        <f>IF(AND($H5332="ATMOS DISTILLATION",ISNUMBER(SEARCH("VPS",$I5332))=FALSE,LEFT($I5332,6)&lt;&gt;"VACUUM"),"CDU",IF($H5332="FLUID CAT CRACKING","FCC",IF(OR($H5332="HYDROCRACKING",$H5332="RESID_HYDROCRACKING"),"Hydrocracker",IF($H5332="REFORMING","Reformer",""))))</f>
        <v>CDU</v>
      </c>
      <c r="H5332" s="6" t="s">
        <v>38</v>
      </c>
      <c r="I5332" s="6" t="s">
        <v>332</v>
      </c>
      <c r="J5332" s="6" t="s">
        <v>345</v>
      </c>
      <c r="K5332" s="10">
        <v>42.25</v>
      </c>
      <c r="L5332" s="10">
        <v>65</v>
      </c>
      <c r="M5332" s="6" t="s">
        <v>371</v>
      </c>
    </row>
    <row r="5333" spans="1:13">
      <c r="A5333" s="6">
        <v>2025</v>
      </c>
      <c r="B5333" s="6">
        <v>3</v>
      </c>
      <c r="C5333" s="6" t="s">
        <v>61</v>
      </c>
      <c r="D5333" s="6" t="s">
        <v>326</v>
      </c>
      <c r="E5333" s="6" t="s">
        <v>385</v>
      </c>
      <c r="F5333" s="6" t="str">
        <f>IF($M5333="PADD I","PADD 1",IF($M5333="PADD II","PADD 2",IF($M5333="PADD III","PADD 3",IF($M5333="PADD IV","PADD 4",IF($M5333="PADD V","PADD 5","")))))</f>
        <v>PADD 5</v>
      </c>
      <c r="G5333" s="6" t="str">
        <f>IF(AND($H5333="ATMOS DISTILLATION",ISNUMBER(SEARCH("VPS",$I5333))=FALSE,LEFT($I5333,6)&lt;&gt;"VACUUM"),"CDU",IF($H5333="FLUID CAT CRACKING","FCC",IF(OR($H5333="HYDROCRACKING",$H5333="RESID_HYDROCRACKING"),"Hydrocracker",IF($H5333="REFORMING","Reformer",""))))</f>
        <v>Hydrocracker</v>
      </c>
      <c r="H5333" s="6" t="s">
        <v>444</v>
      </c>
      <c r="I5333" s="6" t="s">
        <v>498</v>
      </c>
      <c r="J5333" s="6" t="s">
        <v>345</v>
      </c>
      <c r="K5333" s="10">
        <v>42</v>
      </c>
      <c r="L5333" s="10">
        <v>42</v>
      </c>
      <c r="M5333" s="6" t="s">
        <v>386</v>
      </c>
    </row>
    <row r="5334" spans="1:13">
      <c r="A5334" s="6">
        <v>2025</v>
      </c>
      <c r="B5334" s="6">
        <v>3</v>
      </c>
      <c r="C5334" s="6" t="s">
        <v>61</v>
      </c>
      <c r="D5334" s="6" t="s">
        <v>326</v>
      </c>
      <c r="E5334" s="6" t="s">
        <v>385</v>
      </c>
      <c r="F5334" s="6" t="str">
        <f>IF($M5334="PADD I","PADD 1",IF($M5334="PADD II","PADD 2",IF($M5334="PADD III","PADD 3",IF($M5334="PADD IV","PADD 4",IF($M5334="PADD V","PADD 5","")))))</f>
        <v>PADD 5</v>
      </c>
      <c r="G5334" s="6" t="str">
        <f>IF(AND($H5334="ATMOS DISTILLATION",ISNUMBER(SEARCH("VPS",$I5334))=FALSE,LEFT($I5334,6)&lt;&gt;"VACUUM"),"CDU",IF($H5334="FLUID CAT CRACKING","FCC",IF(OR($H5334="HYDROCRACKING",$H5334="RESID_HYDROCRACKING"),"Hydrocracker",IF($H5334="REFORMING","Reformer",""))))</f>
        <v>Hydrocracker</v>
      </c>
      <c r="H5334" s="6" t="s">
        <v>444</v>
      </c>
      <c r="I5334" s="6" t="s">
        <v>498</v>
      </c>
      <c r="J5334" s="6" t="s">
        <v>345</v>
      </c>
      <c r="K5334" s="10">
        <v>42</v>
      </c>
      <c r="L5334" s="10">
        <v>42</v>
      </c>
      <c r="M5334" s="6" t="s">
        <v>386</v>
      </c>
    </row>
    <row r="5335" spans="1:13">
      <c r="A5335" s="6">
        <v>2025</v>
      </c>
      <c r="B5335" s="6">
        <v>3</v>
      </c>
      <c r="C5335" s="6" t="s">
        <v>61</v>
      </c>
      <c r="D5335" s="6" t="s">
        <v>1228</v>
      </c>
      <c r="E5335" s="6" t="s">
        <v>611</v>
      </c>
      <c r="F5335" s="6" t="str">
        <f>IF($M5335="PADD I","PADD 1",IF($M5335="PADD II","PADD 2",IF($M5335="PADD III","PADD 3",IF($M5335="PADD IV","PADD 4",IF($M5335="PADD V","PADD 5","")))))</f>
        <v>PADD 2</v>
      </c>
      <c r="G5335" s="6">
        <f>IF(AND($H5335="ATMOS DISTILLATION",ISNUMBER(SEARCH("VPS",$I5335))=FALSE,LEFT($I5335,6)&lt;&gt;"VACUUM"),"CDU",IF($H5335="FLUID CAT CRACKING","FCC",IF(OR($H5335="HYDROCRACKING",$H5335="RESID_HYDROCRACKING"),"Hydrocracker",IF($H5335="REFORMING","Reformer",""))))</f>
        <v/>
      </c>
      <c r="H5335" s="6" t="s">
        <v>43</v>
      </c>
      <c r="I5335" s="6" t="s">
        <v>501</v>
      </c>
      <c r="J5335" s="6" t="s">
        <v>345</v>
      </c>
      <c r="K5335" s="10">
        <v>37.5</v>
      </c>
      <c r="L5335" s="10">
        <v>37.5</v>
      </c>
      <c r="M5335" s="6" t="s">
        <v>375</v>
      </c>
    </row>
    <row r="5336" spans="1:13">
      <c r="A5336" s="6">
        <v>2025</v>
      </c>
      <c r="B5336" s="6">
        <v>3</v>
      </c>
      <c r="C5336" s="6" t="s">
        <v>61</v>
      </c>
      <c r="D5336" s="6" t="s">
        <v>576</v>
      </c>
      <c r="E5336" s="6" t="s">
        <v>369</v>
      </c>
      <c r="F5336" s="6" t="str">
        <f>IF($M5336="PADD I","PADD 1",IF($M5336="PADD II","PADD 2",IF($M5336="PADD III","PADD 3",IF($M5336="PADD IV","PADD 4",IF($M5336="PADD V","PADD 5","")))))</f>
        <v>PADD 3</v>
      </c>
      <c r="G5336" s="6">
        <f>IF(AND($H5336="ATMOS DISTILLATION",ISNUMBER(SEARCH("VPS",$I5336))=FALSE,LEFT($I5336,6)&lt;&gt;"VACUUM"),"CDU",IF($H5336="FLUID CAT CRACKING","FCC",IF(OR($H5336="HYDROCRACKING",$H5336="RESID_HYDROCRACKING"),"Hydrocracker",IF($H5336="REFORMING","Reformer",""))))</f>
        <v/>
      </c>
      <c r="H5336" s="6" t="s">
        <v>378</v>
      </c>
      <c r="I5336" s="6" t="s">
        <v>964</v>
      </c>
      <c r="J5336" s="6" t="s">
        <v>345</v>
      </c>
      <c r="K5336" s="10">
        <v>34.515</v>
      </c>
      <c r="L5336" s="10">
        <v>53.1</v>
      </c>
      <c r="M5336" s="6" t="s">
        <v>371</v>
      </c>
    </row>
    <row r="5337" spans="1:13">
      <c r="A5337" s="6">
        <v>2025</v>
      </c>
      <c r="B5337" s="6">
        <v>3</v>
      </c>
      <c r="C5337" s="6" t="s">
        <v>61</v>
      </c>
      <c r="D5337" s="6" t="s">
        <v>468</v>
      </c>
      <c r="E5337" s="6" t="s">
        <v>369</v>
      </c>
      <c r="F5337" s="6" t="str">
        <f>IF($M5337="PADD I","PADD 1",IF($M5337="PADD II","PADD 2",IF($M5337="PADD III","PADD 3",IF($M5337="PADD IV","PADD 4",IF($M5337="PADD V","PADD 5","")))))</f>
        <v>PADD 3</v>
      </c>
      <c r="G5337" s="6">
        <f>IF(AND($H5337="ATMOS DISTILLATION",ISNUMBER(SEARCH("VPS",$I5337))=FALSE,LEFT($I5337,6)&lt;&gt;"VACUUM"),"CDU",IF($H5337="FLUID CAT CRACKING","FCC",IF(OR($H5337="HYDROCRACKING",$H5337="RESID_HYDROCRACKING"),"Hydrocracker",IF($H5337="REFORMING","Reformer",""))))</f>
        <v/>
      </c>
      <c r="H5337" s="6" t="s">
        <v>43</v>
      </c>
      <c r="I5337" s="6" t="s">
        <v>1028</v>
      </c>
      <c r="J5337" s="6" t="s">
        <v>349</v>
      </c>
      <c r="K5337" s="10">
        <v>34</v>
      </c>
      <c r="L5337" s="10">
        <v>34</v>
      </c>
      <c r="M5337" s="6" t="s">
        <v>371</v>
      </c>
    </row>
    <row r="5338" spans="1:13">
      <c r="A5338" s="6">
        <v>2025</v>
      </c>
      <c r="B5338" s="6">
        <v>3</v>
      </c>
      <c r="C5338" s="6" t="s">
        <v>61</v>
      </c>
      <c r="D5338" s="6" t="s">
        <v>490</v>
      </c>
      <c r="E5338" s="6" t="s">
        <v>491</v>
      </c>
      <c r="F5338" s="6" t="str">
        <f>IF($M5338="PADD I","PADD 1",IF($M5338="PADD II","PADD 2",IF($M5338="PADD III","PADD 3",IF($M5338="PADD IV","PADD 4",IF($M5338="PADD V","PADD 5","")))))</f>
        <v>PADD 3</v>
      </c>
      <c r="G5338" s="6">
        <f>IF(AND($H5338="ATMOS DISTILLATION",ISNUMBER(SEARCH("VPS",$I5338))=FALSE,LEFT($I5338,6)&lt;&gt;"VACUUM"),"CDU",IF($H5338="FLUID CAT CRACKING","FCC",IF(OR($H5338="HYDROCRACKING",$H5338="RESID_HYDROCRACKING"),"Hydrocracker",IF($H5338="REFORMING","Reformer",""))))</f>
        <v/>
      </c>
      <c r="H5338" s="6" t="s">
        <v>435</v>
      </c>
      <c r="I5338" s="6" t="s">
        <v>687</v>
      </c>
      <c r="J5338" s="6" t="s">
        <v>349</v>
      </c>
      <c r="K5338" s="10">
        <v>32.94</v>
      </c>
      <c r="L5338" s="10">
        <v>54</v>
      </c>
      <c r="M5338" s="6" t="s">
        <v>371</v>
      </c>
    </row>
    <row r="5339" spans="1:13">
      <c r="A5339" s="6">
        <v>2025</v>
      </c>
      <c r="B5339" s="6">
        <v>3</v>
      </c>
      <c r="C5339" s="6" t="s">
        <v>61</v>
      </c>
      <c r="D5339" s="6" t="s">
        <v>610</v>
      </c>
      <c r="E5339" s="6" t="s">
        <v>611</v>
      </c>
      <c r="F5339" s="6" t="str">
        <f>IF($M5339="PADD I","PADD 1",IF($M5339="PADD II","PADD 2",IF($M5339="PADD III","PADD 3",IF($M5339="PADD IV","PADD 4",IF($M5339="PADD V","PADD 5","")))))</f>
        <v>PADD 2</v>
      </c>
      <c r="G5339" s="6" t="str">
        <f>IF(AND($H5339="ATMOS DISTILLATION",ISNUMBER(SEARCH("VPS",$I5339))=FALSE,LEFT($I5339,6)&lt;&gt;"VACUUM"),"CDU",IF($H5339="FLUID CAT CRACKING","FCC",IF(OR($H5339="HYDROCRACKING",$H5339="RESID_HYDROCRACKING"),"Hydrocracker",IF($H5339="REFORMING","Reformer",""))))</f>
        <v>FCC</v>
      </c>
      <c r="H5339" s="6" t="s">
        <v>376</v>
      </c>
      <c r="I5339" s="6" t="s">
        <v>105</v>
      </c>
      <c r="J5339" s="6" t="s">
        <v>349</v>
      </c>
      <c r="K5339" s="10">
        <v>32</v>
      </c>
      <c r="L5339" s="10">
        <v>32</v>
      </c>
      <c r="M5339" s="6" t="s">
        <v>375</v>
      </c>
    </row>
    <row r="5340" spans="1:13">
      <c r="A5340" s="6">
        <v>2025</v>
      </c>
      <c r="B5340" s="6">
        <v>3</v>
      </c>
      <c r="C5340" s="6" t="s">
        <v>61</v>
      </c>
      <c r="D5340" s="6" t="s">
        <v>676</v>
      </c>
      <c r="E5340" s="6" t="s">
        <v>677</v>
      </c>
      <c r="F5340" s="6" t="str">
        <f>IF($M5340="PADD I","PADD 1",IF($M5340="PADD II","PADD 2",IF($M5340="PADD III","PADD 3",IF($M5340="PADD IV","PADD 4",IF($M5340="PADD V","PADD 5","")))))</f>
        <v>PADD 1</v>
      </c>
      <c r="G5340" s="6">
        <f>IF(AND($H5340="ATMOS DISTILLATION",ISNUMBER(SEARCH("VPS",$I5340))=FALSE,LEFT($I5340,6)&lt;&gt;"VACUUM"),"CDU",IF($H5340="FLUID CAT CRACKING","FCC",IF(OR($H5340="HYDROCRACKING",$H5340="RESID_HYDROCRACKING"),"Hydrocracker",IF($H5340="REFORMING","Reformer",""))))</f>
        <v/>
      </c>
      <c r="H5340" s="6" t="s">
        <v>378</v>
      </c>
      <c r="I5340" s="6" t="s">
        <v>1262</v>
      </c>
      <c r="J5340" s="6" t="s">
        <v>345</v>
      </c>
      <c r="K5340" s="10">
        <v>31</v>
      </c>
      <c r="L5340" s="10">
        <v>31</v>
      </c>
      <c r="M5340" s="6" t="s">
        <v>413</v>
      </c>
    </row>
    <row r="5341" spans="1:13">
      <c r="A5341" s="6">
        <v>2025</v>
      </c>
      <c r="B5341" s="6">
        <v>3</v>
      </c>
      <c r="C5341" s="6" t="s">
        <v>61</v>
      </c>
      <c r="D5341" s="6" t="s">
        <v>326</v>
      </c>
      <c r="E5341" s="6" t="s">
        <v>385</v>
      </c>
      <c r="F5341" s="6" t="str">
        <f>IF($M5341="PADD I","PADD 1",IF($M5341="PADD II","PADD 2",IF($M5341="PADD III","PADD 3",IF($M5341="PADD IV","PADD 4",IF($M5341="PADD V","PADD 5","")))))</f>
        <v>PADD 5</v>
      </c>
      <c r="G5341" s="6" t="str">
        <f>IF(AND($H5341="ATMOS DISTILLATION",ISNUMBER(SEARCH("VPS",$I5341))=FALSE,LEFT($I5341,6)&lt;&gt;"VACUUM"),"CDU",IF($H5341="FLUID CAT CRACKING","FCC",IF(OR($H5341="HYDROCRACKING",$H5341="RESID_HYDROCRACKING"),"Hydrocracker",IF($H5341="REFORMING","Reformer",""))))</f>
        <v>Reformer</v>
      </c>
      <c r="H5341" s="6" t="s">
        <v>421</v>
      </c>
      <c r="I5341" s="6" t="s">
        <v>15</v>
      </c>
      <c r="J5341" s="6" t="s">
        <v>345</v>
      </c>
      <c r="K5341" s="10">
        <v>31</v>
      </c>
      <c r="L5341" s="10">
        <v>31</v>
      </c>
      <c r="M5341" s="6" t="s">
        <v>386</v>
      </c>
    </row>
    <row r="5342" spans="1:13">
      <c r="A5342" s="6">
        <v>2025</v>
      </c>
      <c r="B5342" s="6">
        <v>3</v>
      </c>
      <c r="C5342" s="6" t="s">
        <v>61</v>
      </c>
      <c r="D5342" s="6" t="s">
        <v>451</v>
      </c>
      <c r="E5342" s="6" t="s">
        <v>452</v>
      </c>
      <c r="F5342" s="6" t="str">
        <f>IF($M5342="PADD I","PADD 1",IF($M5342="PADD II","PADD 2",IF($M5342="PADD III","PADD 3",IF($M5342="PADD IV","PADD 4",IF($M5342="PADD V","PADD 5","")))))</f>
        <v>PADD 2</v>
      </c>
      <c r="G5342" s="6" t="str">
        <f>IF(AND($H5342="ATMOS DISTILLATION",ISNUMBER(SEARCH("VPS",$I5342))=FALSE,LEFT($I5342,6)&lt;&gt;"VACUUM"),"CDU",IF($H5342="FLUID CAT CRACKING","FCC",IF(OR($H5342="HYDROCRACKING",$H5342="RESID_HYDROCRACKING"),"Hydrocracker",IF($H5342="REFORMING","Reformer",""))))</f>
        <v>CDU</v>
      </c>
      <c r="H5342" s="6" t="s">
        <v>38</v>
      </c>
      <c r="I5342" s="6" t="s">
        <v>481</v>
      </c>
      <c r="J5342" s="6" t="s">
        <v>349</v>
      </c>
      <c r="K5342" s="10">
        <v>30.8</v>
      </c>
      <c r="L5342" s="10">
        <v>40</v>
      </c>
      <c r="M5342" s="6" t="s">
        <v>375</v>
      </c>
    </row>
    <row r="5343" spans="1:13">
      <c r="A5343" s="6">
        <v>2025</v>
      </c>
      <c r="B5343" s="6">
        <v>3</v>
      </c>
      <c r="C5343" s="6" t="s">
        <v>61</v>
      </c>
      <c r="D5343" s="6" t="s">
        <v>610</v>
      </c>
      <c r="E5343" s="6" t="s">
        <v>611</v>
      </c>
      <c r="F5343" s="6" t="str">
        <f>IF($M5343="PADD I","PADD 1",IF($M5343="PADD II","PADD 2",IF($M5343="PADD III","PADD 3",IF($M5343="PADD IV","PADD 4",IF($M5343="PADD V","PADD 5","")))))</f>
        <v>PADD 2</v>
      </c>
      <c r="G5343" s="6">
        <f>IF(AND($H5343="ATMOS DISTILLATION",ISNUMBER(SEARCH("VPS",$I5343))=FALSE,LEFT($I5343,6)&lt;&gt;"VACUUM"),"CDU",IF($H5343="FLUID CAT CRACKING","FCC",IF(OR($H5343="HYDROCRACKING",$H5343="RESID_HYDROCRACKING"),"Hydrocracker",IF($H5343="REFORMING","Reformer",""))))</f>
        <v/>
      </c>
      <c r="H5343" s="6" t="s">
        <v>43</v>
      </c>
      <c r="I5343" s="6" t="s">
        <v>622</v>
      </c>
      <c r="J5343" s="6" t="s">
        <v>349</v>
      </c>
      <c r="K5343" s="10">
        <v>30</v>
      </c>
      <c r="L5343" s="10">
        <v>30</v>
      </c>
      <c r="M5343" s="6" t="s">
        <v>375</v>
      </c>
    </row>
    <row r="5344" spans="1:13">
      <c r="A5344" s="6">
        <v>2025</v>
      </c>
      <c r="B5344" s="6">
        <v>3</v>
      </c>
      <c r="C5344" s="6" t="s">
        <v>61</v>
      </c>
      <c r="D5344" s="6" t="s">
        <v>335</v>
      </c>
      <c r="E5344" s="6" t="s">
        <v>369</v>
      </c>
      <c r="F5344" s="6" t="str">
        <f>IF($M5344="PADD I","PADD 1",IF($M5344="PADD II","PADD 2",IF($M5344="PADD III","PADD 3",IF($M5344="PADD IV","PADD 4",IF($M5344="PADD V","PADD 5","")))))</f>
        <v>PADD 3</v>
      </c>
      <c r="G5344" s="6" t="str">
        <f>IF(AND($H5344="ATMOS DISTILLATION",ISNUMBER(SEARCH("VPS",$I5344))=FALSE,LEFT($I5344,6)&lt;&gt;"VACUUM"),"CDU",IF($H5344="FLUID CAT CRACKING","FCC",IF(OR($H5344="HYDROCRACKING",$H5344="RESID_HYDROCRACKING"),"Hydrocracker",IF($H5344="REFORMING","Reformer",""))))</f>
        <v>FCC</v>
      </c>
      <c r="H5344" s="6" t="s">
        <v>376</v>
      </c>
      <c r="I5344" s="6" t="s">
        <v>472</v>
      </c>
      <c r="J5344" s="6" t="s">
        <v>345</v>
      </c>
      <c r="K5344" s="10">
        <v>30</v>
      </c>
      <c r="L5344" s="10">
        <v>30</v>
      </c>
      <c r="M5344" s="6" t="s">
        <v>371</v>
      </c>
    </row>
    <row r="5345" spans="1:13">
      <c r="A5345" s="6">
        <v>2025</v>
      </c>
      <c r="B5345" s="6">
        <v>3</v>
      </c>
      <c r="C5345" s="6" t="s">
        <v>61</v>
      </c>
      <c r="D5345" s="6" t="s">
        <v>490</v>
      </c>
      <c r="E5345" s="6" t="s">
        <v>491</v>
      </c>
      <c r="F5345" s="6" t="str">
        <f>IF($M5345="PADD I","PADD 1",IF($M5345="PADD II","PADD 2",IF($M5345="PADD III","PADD 3",IF($M5345="PADD IV","PADD 4",IF($M5345="PADD V","PADD 5","")))))</f>
        <v>PADD 3</v>
      </c>
      <c r="G5345" s="6" t="str">
        <f>IF(AND($H5345="ATMOS DISTILLATION",ISNUMBER(SEARCH("VPS",$I5345))=FALSE,LEFT($I5345,6)&lt;&gt;"VACUUM"),"CDU",IF($H5345="FLUID CAT CRACKING","FCC",IF(OR($H5345="HYDROCRACKING",$H5345="RESID_HYDROCRACKING"),"Hydrocracker",IF($H5345="REFORMING","Reformer",""))))</f>
        <v>Reformer</v>
      </c>
      <c r="H5345" s="6" t="s">
        <v>421</v>
      </c>
      <c r="I5345" s="6" t="s">
        <v>950</v>
      </c>
      <c r="J5345" s="6" t="s">
        <v>349</v>
      </c>
      <c r="K5345" s="10">
        <v>29.89</v>
      </c>
      <c r="L5345" s="10">
        <v>49</v>
      </c>
      <c r="M5345" s="6" t="s">
        <v>371</v>
      </c>
    </row>
    <row r="5346" spans="1:13">
      <c r="A5346" s="6">
        <v>2025</v>
      </c>
      <c r="B5346" s="6">
        <v>3</v>
      </c>
      <c r="C5346" s="6" t="s">
        <v>61</v>
      </c>
      <c r="D5346" s="6" t="s">
        <v>387</v>
      </c>
      <c r="E5346" s="6" t="s">
        <v>388</v>
      </c>
      <c r="F5346" s="6" t="str">
        <f>IF($M5346="PADD I","PADD 1",IF($M5346="PADD II","PADD 2",IF($M5346="PADD III","PADD 3",IF($M5346="PADD IV","PADD 4",IF($M5346="PADD V","PADD 5","")))))</f>
        <v>PADD 3</v>
      </c>
      <c r="G5346" s="6" t="str">
        <f>IF(AND($H5346="ATMOS DISTILLATION",ISNUMBER(SEARCH("VPS",$I5346))=FALSE,LEFT($I5346,6)&lt;&gt;"VACUUM"),"CDU",IF($H5346="FLUID CAT CRACKING","FCC",IF(OR($H5346="HYDROCRACKING",$H5346="RESID_HYDROCRACKING"),"Hydrocracker",IF($H5346="REFORMING","Reformer",""))))</f>
        <v>CDU</v>
      </c>
      <c r="H5346" s="6" t="s">
        <v>38</v>
      </c>
      <c r="I5346" s="6" t="s">
        <v>1212</v>
      </c>
      <c r="J5346" s="6" t="s">
        <v>349</v>
      </c>
      <c r="K5346" s="10">
        <v>29</v>
      </c>
      <c r="L5346" s="10">
        <v>290</v>
      </c>
      <c r="M5346" s="6" t="s">
        <v>371</v>
      </c>
    </row>
    <row r="5347" spans="1:13">
      <c r="A5347" s="6">
        <v>2025</v>
      </c>
      <c r="B5347" s="6">
        <v>3</v>
      </c>
      <c r="C5347" s="6" t="s">
        <v>61</v>
      </c>
      <c r="D5347" s="6" t="s">
        <v>322</v>
      </c>
      <c r="E5347" s="6" t="s">
        <v>369</v>
      </c>
      <c r="F5347" s="6" t="str">
        <f>IF($M5347="PADD I","PADD 1",IF($M5347="PADD II","PADD 2",IF($M5347="PADD III","PADD 3",IF($M5347="PADD IV","PADD 4",IF($M5347="PADD V","PADD 5","")))))</f>
        <v>PADD 2</v>
      </c>
      <c r="G5347" s="6">
        <f>IF(AND($H5347="ATMOS DISTILLATION",ISNUMBER(SEARCH("VPS",$I5347))=FALSE,LEFT($I5347,6)&lt;&gt;"VACUUM"),"CDU",IF($H5347="FLUID CAT CRACKING","FCC",IF(OR($H5347="HYDROCRACKING",$H5347="RESID_HYDROCRACKING"),"Hydrocracker",IF($H5347="REFORMING","Reformer",""))))</f>
        <v/>
      </c>
      <c r="H5347" s="6" t="s">
        <v>378</v>
      </c>
      <c r="I5347" s="6" t="s">
        <v>1294</v>
      </c>
      <c r="J5347" s="6" t="s">
        <v>349</v>
      </c>
      <c r="K5347" s="10">
        <v>29</v>
      </c>
      <c r="L5347" s="10">
        <v>50</v>
      </c>
      <c r="M5347" s="6" t="s">
        <v>375</v>
      </c>
    </row>
    <row r="5348" spans="1:13">
      <c r="A5348" s="6">
        <v>2025</v>
      </c>
      <c r="B5348" s="6">
        <v>3</v>
      </c>
      <c r="C5348" s="6" t="s">
        <v>61</v>
      </c>
      <c r="D5348" s="6" t="s">
        <v>411</v>
      </c>
      <c r="E5348" s="6" t="s">
        <v>369</v>
      </c>
      <c r="F5348" s="6" t="str">
        <f>IF($M5348="PADD I","PADD 1",IF($M5348="PADD II","PADD 2",IF($M5348="PADD III","PADD 3",IF($M5348="PADD IV","PADD 4",IF($M5348="PADD V","PADD 5","")))))</f>
        <v>PADD 1</v>
      </c>
      <c r="G5348" s="6">
        <f>IF(AND($H5348="ATMOS DISTILLATION",ISNUMBER(SEARCH("VPS",$I5348))=FALSE,LEFT($I5348,6)&lt;&gt;"VACUUM"),"CDU",IF($H5348="FLUID CAT CRACKING","FCC",IF(OR($H5348="HYDROCRACKING",$H5348="RESID_HYDROCRACKING"),"Hydrocracker",IF($H5348="REFORMING","Reformer",""))))</f>
        <v/>
      </c>
      <c r="H5348" s="6" t="s">
        <v>43</v>
      </c>
      <c r="I5348" s="6" t="s">
        <v>884</v>
      </c>
      <c r="J5348" s="6" t="s">
        <v>349</v>
      </c>
      <c r="K5348" s="10">
        <v>29</v>
      </c>
      <c r="L5348" s="10">
        <v>29</v>
      </c>
      <c r="M5348" s="6" t="s">
        <v>413</v>
      </c>
    </row>
    <row r="5349" spans="1:13">
      <c r="A5349" s="6">
        <v>2025</v>
      </c>
      <c r="B5349" s="6">
        <v>3</v>
      </c>
      <c r="C5349" s="6" t="s">
        <v>61</v>
      </c>
      <c r="D5349" s="6" t="s">
        <v>490</v>
      </c>
      <c r="E5349" s="6" t="s">
        <v>491</v>
      </c>
      <c r="F5349" s="6" t="str">
        <f>IF($M5349="PADD I","PADD 1",IF($M5349="PADD II","PADD 2",IF($M5349="PADD III","PADD 3",IF($M5349="PADD IV","PADD 4",IF($M5349="PADD V","PADD 5","")))))</f>
        <v>PADD 3</v>
      </c>
      <c r="G5349" s="6">
        <f>IF(AND($H5349="ATMOS DISTILLATION",ISNUMBER(SEARCH("VPS",$I5349))=FALSE,LEFT($I5349,6)&lt;&gt;"VACUUM"),"CDU",IF($H5349="FLUID CAT CRACKING","FCC",IF(OR($H5349="HYDROCRACKING",$H5349="RESID_HYDROCRACKING"),"Hydrocracker",IF($H5349="REFORMING","Reformer",""))))</f>
        <v/>
      </c>
      <c r="H5349" s="6" t="s">
        <v>43</v>
      </c>
      <c r="I5349" s="6" t="s">
        <v>847</v>
      </c>
      <c r="J5349" s="6" t="s">
        <v>345</v>
      </c>
      <c r="K5349" s="10">
        <v>29</v>
      </c>
      <c r="L5349" s="10">
        <v>50</v>
      </c>
      <c r="M5349" s="6" t="s">
        <v>371</v>
      </c>
    </row>
    <row r="5350" spans="1:13">
      <c r="A5350" s="6">
        <v>2025</v>
      </c>
      <c r="B5350" s="6">
        <v>3</v>
      </c>
      <c r="C5350" s="6" t="s">
        <v>61</v>
      </c>
      <c r="D5350" s="6" t="s">
        <v>326</v>
      </c>
      <c r="E5350" s="6" t="s">
        <v>385</v>
      </c>
      <c r="F5350" s="6" t="str">
        <f>IF($M5350="PADD I","PADD 1",IF($M5350="PADD II","PADD 2",IF($M5350="PADD III","PADD 3",IF($M5350="PADD IV","PADD 4",IF($M5350="PADD V","PADD 5","")))))</f>
        <v>PADD 5</v>
      </c>
      <c r="G5350" s="6">
        <f>IF(AND($H5350="ATMOS DISTILLATION",ISNUMBER(SEARCH("VPS",$I5350))=FALSE,LEFT($I5350,6)&lt;&gt;"VACUUM"),"CDU",IF($H5350="FLUID CAT CRACKING","FCC",IF(OR($H5350="HYDROCRACKING",$H5350="RESID_HYDROCRACKING"),"Hydrocracker",IF($H5350="REFORMING","Reformer",""))))</f>
        <v/>
      </c>
      <c r="H5350" s="6" t="s">
        <v>43</v>
      </c>
      <c r="I5350" s="6" t="s">
        <v>501</v>
      </c>
      <c r="J5350" s="6" t="s">
        <v>345</v>
      </c>
      <c r="K5350" s="10">
        <v>28</v>
      </c>
      <c r="L5350" s="10">
        <v>28</v>
      </c>
      <c r="M5350" s="6" t="s">
        <v>386</v>
      </c>
    </row>
    <row r="5351" spans="1:13">
      <c r="A5351" s="6">
        <v>2025</v>
      </c>
      <c r="B5351" s="6">
        <v>3</v>
      </c>
      <c r="C5351" s="6" t="s">
        <v>61</v>
      </c>
      <c r="D5351" s="6" t="s">
        <v>390</v>
      </c>
      <c r="E5351" s="6" t="s">
        <v>391</v>
      </c>
      <c r="F5351" s="6" t="str">
        <f>IF($M5351="PADD I","PADD 1",IF($M5351="PADD II","PADD 2",IF($M5351="PADD III","PADD 3",IF($M5351="PADD IV","PADD 4",IF($M5351="PADD V","PADD 5","")))))</f>
        <v>PADD 3</v>
      </c>
      <c r="G5351" s="6" t="str">
        <f>IF(AND($H5351="ATMOS DISTILLATION",ISNUMBER(SEARCH("VPS",$I5351))=FALSE,LEFT($I5351,6)&lt;&gt;"VACUUM"),"CDU",IF($H5351="FLUID CAT CRACKING","FCC",IF(OR($H5351="HYDROCRACKING",$H5351="RESID_HYDROCRACKING"),"Hydrocracker",IF($H5351="REFORMING","Reformer",""))))</f>
        <v>CDU</v>
      </c>
      <c r="H5351" s="6" t="s">
        <v>38</v>
      </c>
      <c r="I5351" s="6" t="s">
        <v>1295</v>
      </c>
      <c r="J5351" s="6" t="s">
        <v>349</v>
      </c>
      <c r="K5351" s="10">
        <v>28</v>
      </c>
      <c r="L5351" s="10">
        <v>175</v>
      </c>
      <c r="M5351" s="6" t="s">
        <v>371</v>
      </c>
    </row>
    <row r="5352" spans="1:13">
      <c r="A5352" s="6">
        <v>2025</v>
      </c>
      <c r="B5352" s="6">
        <v>3</v>
      </c>
      <c r="C5352" s="6" t="s">
        <v>61</v>
      </c>
      <c r="D5352" s="6" t="s">
        <v>455</v>
      </c>
      <c r="E5352" s="6" t="s">
        <v>405</v>
      </c>
      <c r="F5352" s="6" t="str">
        <f>IF($M5352="PADD I","PADD 1",IF($M5352="PADD II","PADD 2",IF($M5352="PADD III","PADD 3",IF($M5352="PADD IV","PADD 4",IF($M5352="PADD V","PADD 5","")))))</f>
        <v>PADD 3</v>
      </c>
      <c r="G5352" s="6">
        <f>IF(AND($H5352="ATMOS DISTILLATION",ISNUMBER(SEARCH("VPS",$I5352))=FALSE,LEFT($I5352,6)&lt;&gt;"VACUUM"),"CDU",IF($H5352="FLUID CAT CRACKING","FCC",IF(OR($H5352="HYDROCRACKING",$H5352="RESID_HYDROCRACKING"),"Hydrocracker",IF($H5352="REFORMING","Reformer",""))))</f>
        <v/>
      </c>
      <c r="H5352" s="6" t="s">
        <v>43</v>
      </c>
      <c r="I5352" s="6" t="s">
        <v>1273</v>
      </c>
      <c r="J5352" s="6" t="s">
        <v>349</v>
      </c>
      <c r="K5352" s="10">
        <v>27</v>
      </c>
      <c r="L5352" s="10">
        <v>60</v>
      </c>
      <c r="M5352" s="6" t="s">
        <v>371</v>
      </c>
    </row>
    <row r="5353" spans="1:13">
      <c r="A5353" s="6">
        <v>2025</v>
      </c>
      <c r="B5353" s="6">
        <v>3</v>
      </c>
      <c r="C5353" s="6" t="s">
        <v>61</v>
      </c>
      <c r="D5353" s="6" t="s">
        <v>1228</v>
      </c>
      <c r="E5353" s="6" t="s">
        <v>611</v>
      </c>
      <c r="F5353" s="6" t="str">
        <f>IF($M5353="PADD I","PADD 1",IF($M5353="PADD II","PADD 2",IF($M5353="PADD III","PADD 3",IF($M5353="PADD IV","PADD 4",IF($M5353="PADD V","PADD 5","")))))</f>
        <v>PADD 2</v>
      </c>
      <c r="G5353" s="6" t="str">
        <f>IF(AND($H5353="ATMOS DISTILLATION",ISNUMBER(SEARCH("VPS",$I5353))=FALSE,LEFT($I5353,6)&lt;&gt;"VACUUM"),"CDU",IF($H5353="FLUID CAT CRACKING","FCC",IF(OR($H5353="HYDROCRACKING",$H5353="RESID_HYDROCRACKING"),"Hydrocracker",IF($H5353="REFORMING","Reformer",""))))</f>
        <v>Reformer</v>
      </c>
      <c r="H5353" s="6" t="s">
        <v>421</v>
      </c>
      <c r="I5353" s="6" t="s">
        <v>15</v>
      </c>
      <c r="J5353" s="6" t="s">
        <v>345</v>
      </c>
      <c r="K5353" s="10">
        <v>26.5</v>
      </c>
      <c r="L5353" s="10">
        <v>26.5</v>
      </c>
      <c r="M5353" s="6" t="s">
        <v>375</v>
      </c>
    </row>
    <row r="5354" spans="1:13">
      <c r="A5354" s="6">
        <v>2025</v>
      </c>
      <c r="B5354" s="6">
        <v>3</v>
      </c>
      <c r="C5354" s="6" t="s">
        <v>61</v>
      </c>
      <c r="D5354" s="6" t="s">
        <v>531</v>
      </c>
      <c r="E5354" s="6" t="s">
        <v>532</v>
      </c>
      <c r="F5354" s="6" t="str">
        <f>IF($M5354="PADD I","PADD 1",IF($M5354="PADD II","PADD 2",IF($M5354="PADD III","PADD 3",IF($M5354="PADD IV","PADD 4",IF($M5354="PADD V","PADD 5","")))))</f>
        <v>PADD 5</v>
      </c>
      <c r="G5354" s="6" t="str">
        <f>IF(AND($H5354="ATMOS DISTILLATION",ISNUMBER(SEARCH("VPS",$I5354))=FALSE,LEFT($I5354,6)&lt;&gt;"VACUUM"),"CDU",IF($H5354="FLUID CAT CRACKING","FCC",IF(OR($H5354="HYDROCRACKING",$H5354="RESID_HYDROCRACKING"),"Hydrocracker",IF($H5354="REFORMING","Reformer",""))))</f>
        <v>Reformer</v>
      </c>
      <c r="H5354" s="6" t="s">
        <v>421</v>
      </c>
      <c r="I5354" s="6" t="s">
        <v>557</v>
      </c>
      <c r="J5354" s="6" t="s">
        <v>345</v>
      </c>
      <c r="K5354" s="10">
        <v>26.1</v>
      </c>
      <c r="L5354" s="10">
        <v>45</v>
      </c>
      <c r="M5354" s="6" t="s">
        <v>386</v>
      </c>
    </row>
    <row r="5355" spans="1:13">
      <c r="A5355" s="6">
        <v>2025</v>
      </c>
      <c r="B5355" s="6">
        <v>3</v>
      </c>
      <c r="C5355" s="6" t="s">
        <v>61</v>
      </c>
      <c r="D5355" s="6" t="s">
        <v>468</v>
      </c>
      <c r="E5355" s="6" t="s">
        <v>369</v>
      </c>
      <c r="F5355" s="6" t="str">
        <f>IF($M5355="PADD I","PADD 1",IF($M5355="PADD II","PADD 2",IF($M5355="PADD III","PADD 3",IF($M5355="PADD IV","PADD 4",IF($M5355="PADD V","PADD 5","")))))</f>
        <v>PADD 3</v>
      </c>
      <c r="G5355" s="6" t="str">
        <f>IF(AND($H5355="ATMOS DISTILLATION",ISNUMBER(SEARCH("VPS",$I5355))=FALSE,LEFT($I5355,6)&lt;&gt;"VACUUM"),"CDU",IF($H5355="FLUID CAT CRACKING","FCC",IF(OR($H5355="HYDROCRACKING",$H5355="RESID_HYDROCRACKING"),"Hydrocracker",IF($H5355="REFORMING","Reformer",""))))</f>
        <v>FCC</v>
      </c>
      <c r="H5355" s="6" t="s">
        <v>376</v>
      </c>
      <c r="I5355" s="6" t="s">
        <v>469</v>
      </c>
      <c r="J5355" s="6" t="s">
        <v>349</v>
      </c>
      <c r="K5355" s="10">
        <v>26.1</v>
      </c>
      <c r="L5355" s="10">
        <v>30</v>
      </c>
      <c r="M5355" s="6" t="s">
        <v>371</v>
      </c>
    </row>
    <row r="5356" spans="1:13">
      <c r="A5356" s="6">
        <v>2025</v>
      </c>
      <c r="B5356" s="6">
        <v>3</v>
      </c>
      <c r="C5356" s="6" t="s">
        <v>61</v>
      </c>
      <c r="D5356" s="6" t="s">
        <v>321</v>
      </c>
      <c r="E5356" s="6" t="s">
        <v>381</v>
      </c>
      <c r="F5356" s="6" t="str">
        <f>IF($M5356="PADD I","PADD 1",IF($M5356="PADD II","PADD 2",IF($M5356="PADD III","PADD 3",IF($M5356="PADD IV","PADD 4",IF($M5356="PADD V","PADD 5","")))))</f>
        <v>PADD 2</v>
      </c>
      <c r="G5356" s="6" t="str">
        <f>IF(AND($H5356="ATMOS DISTILLATION",ISNUMBER(SEARCH("VPS",$I5356))=FALSE,LEFT($I5356,6)&lt;&gt;"VACUUM"),"CDU",IF($H5356="FLUID CAT CRACKING","FCC",IF(OR($H5356="HYDROCRACKING",$H5356="RESID_HYDROCRACKING"),"Hydrocracker",IF($H5356="REFORMING","Reformer",""))))</f>
        <v>CDU</v>
      </c>
      <c r="H5356" s="6" t="s">
        <v>38</v>
      </c>
      <c r="I5356" s="6" t="s">
        <v>81</v>
      </c>
      <c r="J5356" s="6" t="s">
        <v>349</v>
      </c>
      <c r="K5356" s="10">
        <v>26.1</v>
      </c>
      <c r="L5356" s="10">
        <v>90</v>
      </c>
      <c r="M5356" s="6" t="s">
        <v>375</v>
      </c>
    </row>
    <row r="5357" spans="1:13">
      <c r="A5357" s="6">
        <v>2025</v>
      </c>
      <c r="B5357" s="6">
        <v>3</v>
      </c>
      <c r="C5357" s="6" t="s">
        <v>61</v>
      </c>
      <c r="D5357" s="6" t="s">
        <v>411</v>
      </c>
      <c r="E5357" s="6" t="s">
        <v>369</v>
      </c>
      <c r="F5357" s="6" t="str">
        <f>IF($M5357="PADD I","PADD 1",IF($M5357="PADD II","PADD 2",IF($M5357="PADD III","PADD 3",IF($M5357="PADD IV","PADD 4",IF($M5357="PADD V","PADD 5","")))))</f>
        <v>PADD 1</v>
      </c>
      <c r="G5357" s="6" t="str">
        <f>IF(AND($H5357="ATMOS DISTILLATION",ISNUMBER(SEARCH("VPS",$I5357))=FALSE,LEFT($I5357,6)&lt;&gt;"VACUUM"),"CDU",IF($H5357="FLUID CAT CRACKING","FCC",IF(OR($H5357="HYDROCRACKING",$H5357="RESID_HYDROCRACKING"),"Hydrocracker",IF($H5357="REFORMING","Reformer",""))))</f>
        <v>Reformer</v>
      </c>
      <c r="H5357" s="6" t="s">
        <v>421</v>
      </c>
      <c r="I5357" s="6" t="s">
        <v>886</v>
      </c>
      <c r="J5357" s="6" t="s">
        <v>349</v>
      </c>
      <c r="K5357" s="10">
        <v>26</v>
      </c>
      <c r="L5357" s="10">
        <v>26</v>
      </c>
      <c r="M5357" s="6" t="s">
        <v>413</v>
      </c>
    </row>
    <row r="5358" spans="1:13">
      <c r="A5358" s="6">
        <v>2025</v>
      </c>
      <c r="B5358" s="6">
        <v>3</v>
      </c>
      <c r="C5358" s="6" t="s">
        <v>61</v>
      </c>
      <c r="D5358" s="6" t="s">
        <v>326</v>
      </c>
      <c r="E5358" s="6" t="s">
        <v>385</v>
      </c>
      <c r="F5358" s="6" t="str">
        <f>IF($M5358="PADD I","PADD 1",IF($M5358="PADD II","PADD 2",IF($M5358="PADD III","PADD 3",IF($M5358="PADD IV","PADD 4",IF($M5358="PADD V","PADD 5","")))))</f>
        <v>PADD 5</v>
      </c>
      <c r="G5358" s="6">
        <f>IF(AND($H5358="ATMOS DISTILLATION",ISNUMBER(SEARCH("VPS",$I5358))=FALSE,LEFT($I5358,6)&lt;&gt;"VACUUM"),"CDU",IF($H5358="FLUID CAT CRACKING","FCC",IF(OR($H5358="HYDROCRACKING",$H5358="RESID_HYDROCRACKING"),"Hydrocracker",IF($H5358="REFORMING","Reformer",""))))</f>
        <v/>
      </c>
      <c r="H5358" s="6" t="s">
        <v>43</v>
      </c>
      <c r="I5358" s="6" t="s">
        <v>1183</v>
      </c>
      <c r="J5358" s="6" t="s">
        <v>345</v>
      </c>
      <c r="K5358" s="10">
        <v>26</v>
      </c>
      <c r="L5358" s="10">
        <v>26</v>
      </c>
      <c r="M5358" s="6" t="s">
        <v>386</v>
      </c>
    </row>
    <row r="5359" spans="1:13">
      <c r="A5359" s="6">
        <v>2025</v>
      </c>
      <c r="B5359" s="6">
        <v>3</v>
      </c>
      <c r="C5359" s="6" t="s">
        <v>61</v>
      </c>
      <c r="D5359" s="6" t="s">
        <v>670</v>
      </c>
      <c r="E5359" s="6" t="s">
        <v>405</v>
      </c>
      <c r="F5359" s="6" t="str">
        <f>IF($M5359="PADD I","PADD 1",IF($M5359="PADD II","PADD 2",IF($M5359="PADD III","PADD 3",IF($M5359="PADD IV","PADD 4",IF($M5359="PADD V","PADD 5","")))))</f>
        <v>PADD 2</v>
      </c>
      <c r="G5359" s="6" t="str">
        <f>IF(AND($H5359="ATMOS DISTILLATION",ISNUMBER(SEARCH("VPS",$I5359))=FALSE,LEFT($I5359,6)&lt;&gt;"VACUUM"),"CDU",IF($H5359="FLUID CAT CRACKING","FCC",IF(OR($H5359="HYDROCRACKING",$H5359="RESID_HYDROCRACKING"),"Hydrocracker",IF($H5359="REFORMING","Reformer",""))))</f>
        <v>Reformer</v>
      </c>
      <c r="H5359" s="6" t="s">
        <v>421</v>
      </c>
      <c r="I5359" s="6" t="s">
        <v>228</v>
      </c>
      <c r="J5359" s="6" t="s">
        <v>349</v>
      </c>
      <c r="K5359" s="10">
        <v>25.56</v>
      </c>
      <c r="L5359" s="10">
        <v>36</v>
      </c>
      <c r="M5359" s="6" t="s">
        <v>375</v>
      </c>
    </row>
    <row r="5360" spans="1:13">
      <c r="A5360" s="6">
        <v>2025</v>
      </c>
      <c r="B5360" s="6">
        <v>3</v>
      </c>
      <c r="C5360" s="6" t="s">
        <v>61</v>
      </c>
      <c r="D5360" s="6" t="s">
        <v>333</v>
      </c>
      <c r="E5360" s="6" t="s">
        <v>381</v>
      </c>
      <c r="F5360" s="6" t="str">
        <f>IF($M5360="PADD I","PADD 1",IF($M5360="PADD II","PADD 2",IF($M5360="PADD III","PADD 3",IF($M5360="PADD IV","PADD 4",IF($M5360="PADD V","PADD 5","")))))</f>
        <v>PADD 3</v>
      </c>
      <c r="G5360" s="6">
        <f>IF(AND($H5360="ATMOS DISTILLATION",ISNUMBER(SEARCH("VPS",$I5360))=FALSE,LEFT($I5360,6)&lt;&gt;"VACUUM"),"CDU",IF($H5360="FLUID CAT CRACKING","FCC",IF(OR($H5360="HYDROCRACKING",$H5360="RESID_HYDROCRACKING"),"Hydrocracker",IF($H5360="REFORMING","Reformer",""))))</f>
        <v/>
      </c>
      <c r="H5360" s="6" t="s">
        <v>435</v>
      </c>
      <c r="I5360" s="6" t="s">
        <v>441</v>
      </c>
      <c r="J5360" s="6" t="s">
        <v>349</v>
      </c>
      <c r="K5360" s="10">
        <v>25.2</v>
      </c>
      <c r="L5360" s="10">
        <v>60</v>
      </c>
      <c r="M5360" s="6" t="s">
        <v>371</v>
      </c>
    </row>
    <row r="5361" spans="1:13">
      <c r="A5361" s="6">
        <v>2025</v>
      </c>
      <c r="B5361" s="6">
        <v>3</v>
      </c>
      <c r="C5361" s="6" t="s">
        <v>61</v>
      </c>
      <c r="D5361" s="6" t="s">
        <v>610</v>
      </c>
      <c r="E5361" s="6" t="s">
        <v>611</v>
      </c>
      <c r="F5361" s="6" t="str">
        <f>IF($M5361="PADD I","PADD 1",IF($M5361="PADD II","PADD 2",IF($M5361="PADD III","PADD 3",IF($M5361="PADD IV","PADD 4",IF($M5361="PADD V","PADD 5","")))))</f>
        <v>PADD 2</v>
      </c>
      <c r="G5361" s="6" t="str">
        <f>IF(AND($H5361="ATMOS DISTILLATION",ISNUMBER(SEARCH("VPS",$I5361))=FALSE,LEFT($I5361,6)&lt;&gt;"VACUUM"),"CDU",IF($H5361="FLUID CAT CRACKING","FCC",IF(OR($H5361="HYDROCRACKING",$H5361="RESID_HYDROCRACKING"),"Hydrocracker",IF($H5361="REFORMING","Reformer",""))))</f>
        <v>Reformer</v>
      </c>
      <c r="H5361" s="6" t="s">
        <v>421</v>
      </c>
      <c r="I5361" s="6" t="s">
        <v>15</v>
      </c>
      <c r="J5361" s="6" t="s">
        <v>349</v>
      </c>
      <c r="K5361" s="10">
        <v>25</v>
      </c>
      <c r="L5361" s="10">
        <v>25</v>
      </c>
      <c r="M5361" s="6" t="s">
        <v>375</v>
      </c>
    </row>
    <row r="5362" spans="1:13">
      <c r="A5362" s="6">
        <v>2025</v>
      </c>
      <c r="B5362" s="6">
        <v>3</v>
      </c>
      <c r="C5362" s="6" t="s">
        <v>61</v>
      </c>
      <c r="D5362" s="6" t="s">
        <v>610</v>
      </c>
      <c r="E5362" s="6" t="s">
        <v>611</v>
      </c>
      <c r="F5362" s="6" t="str">
        <f>IF($M5362="PADD I","PADD 1",IF($M5362="PADD II","PADD 2",IF($M5362="PADD III","PADD 3",IF($M5362="PADD IV","PADD 4",IF($M5362="PADD V","PADD 5","")))))</f>
        <v>PADD 2</v>
      </c>
      <c r="G5362" s="6">
        <f>IF(AND($H5362="ATMOS DISTILLATION",ISNUMBER(SEARCH("VPS",$I5362))=FALSE,LEFT($I5362,6)&lt;&gt;"VACUUM"),"CDU",IF($H5362="FLUID CAT CRACKING","FCC",IF(OR($H5362="HYDROCRACKING",$H5362="RESID_HYDROCRACKING"),"Hydrocracker",IF($H5362="REFORMING","Reformer",""))))</f>
        <v/>
      </c>
      <c r="H5362" s="6" t="s">
        <v>43</v>
      </c>
      <c r="I5362" s="6" t="s">
        <v>624</v>
      </c>
      <c r="J5362" s="6" t="s">
        <v>349</v>
      </c>
      <c r="K5362" s="10">
        <v>25</v>
      </c>
      <c r="L5362" s="10">
        <v>25</v>
      </c>
      <c r="M5362" s="6" t="s">
        <v>375</v>
      </c>
    </row>
    <row r="5363" spans="1:13">
      <c r="A5363" s="6">
        <v>2025</v>
      </c>
      <c r="B5363" s="6">
        <v>3</v>
      </c>
      <c r="C5363" s="6" t="s">
        <v>61</v>
      </c>
      <c r="D5363" s="6" t="s">
        <v>610</v>
      </c>
      <c r="E5363" s="6" t="s">
        <v>611</v>
      </c>
      <c r="F5363" s="6" t="str">
        <f>IF($M5363="PADD I","PADD 1",IF($M5363="PADD II","PADD 2",IF($M5363="PADD III","PADD 3",IF($M5363="PADD IV","PADD 4",IF($M5363="PADD V","PADD 5","")))))</f>
        <v>PADD 2</v>
      </c>
      <c r="G5363" s="6">
        <f>IF(AND($H5363="ATMOS DISTILLATION",ISNUMBER(SEARCH("VPS",$I5363))=FALSE,LEFT($I5363,6)&lt;&gt;"VACUUM"),"CDU",IF($H5363="FLUID CAT CRACKING","FCC",IF(OR($H5363="HYDROCRACKING",$H5363="RESID_HYDROCRACKING"),"Hydrocracker",IF($H5363="REFORMING","Reformer",""))))</f>
        <v/>
      </c>
      <c r="H5363" s="6" t="s">
        <v>43</v>
      </c>
      <c r="I5363" s="6" t="s">
        <v>458</v>
      </c>
      <c r="J5363" s="6" t="s">
        <v>349</v>
      </c>
      <c r="K5363" s="10">
        <v>25</v>
      </c>
      <c r="L5363" s="10">
        <v>25</v>
      </c>
      <c r="M5363" s="6" t="s">
        <v>375</v>
      </c>
    </row>
    <row r="5364" spans="1:13">
      <c r="A5364" s="6">
        <v>2025</v>
      </c>
      <c r="B5364" s="6">
        <v>3</v>
      </c>
      <c r="C5364" s="6" t="s">
        <v>61</v>
      </c>
      <c r="D5364" s="6" t="s">
        <v>710</v>
      </c>
      <c r="E5364" s="6" t="s">
        <v>711</v>
      </c>
      <c r="F5364" s="6" t="str">
        <f>IF($M5364="PADD I","PADD 1",IF($M5364="PADD II","PADD 2",IF($M5364="PADD III","PADD 3",IF($M5364="PADD IV","PADD 4",IF($M5364="PADD V","PADD 5","")))))</f>
        <v>PADD 3</v>
      </c>
      <c r="G5364" s="6" t="str">
        <f>IF(AND($H5364="ATMOS DISTILLATION",ISNUMBER(SEARCH("VPS",$I5364))=FALSE,LEFT($I5364,6)&lt;&gt;"VACUUM"),"CDU",IF($H5364="FLUID CAT CRACKING","FCC",IF(OR($H5364="HYDROCRACKING",$H5364="RESID_HYDROCRACKING"),"Hydrocracker",IF($H5364="REFORMING","Reformer",""))))</f>
        <v>CDU</v>
      </c>
      <c r="H5364" s="6" t="s">
        <v>38</v>
      </c>
      <c r="I5364" s="6" t="s">
        <v>712</v>
      </c>
      <c r="J5364" s="6" t="s">
        <v>349</v>
      </c>
      <c r="K5364" s="10">
        <v>25</v>
      </c>
      <c r="L5364" s="10">
        <v>25</v>
      </c>
      <c r="M5364" s="6" t="s">
        <v>371</v>
      </c>
    </row>
    <row r="5365" spans="1:13">
      <c r="A5365" s="6">
        <v>2025</v>
      </c>
      <c r="B5365" s="6">
        <v>3</v>
      </c>
      <c r="C5365" s="6" t="s">
        <v>61</v>
      </c>
      <c r="D5365" s="6" t="s">
        <v>326</v>
      </c>
      <c r="E5365" s="6" t="s">
        <v>385</v>
      </c>
      <c r="F5365" s="6" t="str">
        <f>IF($M5365="PADD I","PADD 1",IF($M5365="PADD II","PADD 2",IF($M5365="PADD III","PADD 3",IF($M5365="PADD IV","PADD 4",IF($M5365="PADD V","PADD 5","")))))</f>
        <v>PADD 5</v>
      </c>
      <c r="G5365" s="6">
        <f>IF(AND($H5365="ATMOS DISTILLATION",ISNUMBER(SEARCH("VPS",$I5365))=FALSE,LEFT($I5365,6)&lt;&gt;"VACUUM"),"CDU",IF($H5365="FLUID CAT CRACKING","FCC",IF(OR($H5365="HYDROCRACKING",$H5365="RESID_HYDROCRACKING"),"Hydrocracker",IF($H5365="REFORMING","Reformer",""))))</f>
        <v/>
      </c>
      <c r="H5365" s="6" t="s">
        <v>435</v>
      </c>
      <c r="I5365" s="6" t="s">
        <v>813</v>
      </c>
      <c r="J5365" s="6" t="s">
        <v>345</v>
      </c>
      <c r="K5365" s="10">
        <v>25</v>
      </c>
      <c r="L5365" s="10">
        <v>25</v>
      </c>
      <c r="M5365" s="6" t="s">
        <v>386</v>
      </c>
    </row>
    <row r="5366" spans="1:13">
      <c r="A5366" s="6">
        <v>2025</v>
      </c>
      <c r="B5366" s="6">
        <v>3</v>
      </c>
      <c r="C5366" s="6" t="s">
        <v>61</v>
      </c>
      <c r="D5366" s="6" t="s">
        <v>953</v>
      </c>
      <c r="E5366" s="6" t="s">
        <v>733</v>
      </c>
      <c r="F5366" s="6" t="str">
        <f>IF($M5366="PADD I","PADD 1",IF($M5366="PADD II","PADD 2",IF($M5366="PADD III","PADD 3",IF($M5366="PADD IV","PADD 4",IF($M5366="PADD V","PADD 5","")))))</f>
        <v>PADD 2</v>
      </c>
      <c r="G5366" s="6" t="str">
        <f>IF(AND($H5366="ATMOS DISTILLATION",ISNUMBER(SEARCH("VPS",$I5366))=FALSE,LEFT($I5366,6)&lt;&gt;"VACUUM"),"CDU",IF($H5366="FLUID CAT CRACKING","FCC",IF(OR($H5366="HYDROCRACKING",$H5366="RESID_HYDROCRACKING"),"Hydrocracker",IF($H5366="REFORMING","Reformer",""))))</f>
        <v>CDU</v>
      </c>
      <c r="H5366" s="6" t="s">
        <v>38</v>
      </c>
      <c r="I5366" s="6" t="s">
        <v>123</v>
      </c>
      <c r="J5366" s="6" t="s">
        <v>349</v>
      </c>
      <c r="K5366" s="10">
        <v>24.78</v>
      </c>
      <c r="L5366" s="10">
        <v>59</v>
      </c>
      <c r="M5366" s="6" t="s">
        <v>375</v>
      </c>
    </row>
    <row r="5367" spans="1:13">
      <c r="A5367" s="6">
        <v>2025</v>
      </c>
      <c r="B5367" s="6">
        <v>3</v>
      </c>
      <c r="C5367" s="6" t="s">
        <v>61</v>
      </c>
      <c r="D5367" s="6" t="s">
        <v>610</v>
      </c>
      <c r="E5367" s="6" t="s">
        <v>611</v>
      </c>
      <c r="F5367" s="6" t="str">
        <f>IF($M5367="PADD I","PADD 1",IF($M5367="PADD II","PADD 2",IF($M5367="PADD III","PADD 3",IF($M5367="PADD IV","PADD 4",IF($M5367="PADD V","PADD 5","")))))</f>
        <v>PADD 2</v>
      </c>
      <c r="G5367" s="6">
        <f>IF(AND($H5367="ATMOS DISTILLATION",ISNUMBER(SEARCH("VPS",$I5367))=FALSE,LEFT($I5367,6)&lt;&gt;"VACUUM"),"CDU",IF($H5367="FLUID CAT CRACKING","FCC",IF(OR($H5367="HYDROCRACKING",$H5367="RESID_HYDROCRACKING"),"Hydrocracker",IF($H5367="REFORMING","Reformer",""))))</f>
        <v/>
      </c>
      <c r="H5367" s="6" t="s">
        <v>43</v>
      </c>
      <c r="I5367" s="6" t="s">
        <v>626</v>
      </c>
      <c r="J5367" s="6" t="s">
        <v>349</v>
      </c>
      <c r="K5367" s="10">
        <v>23</v>
      </c>
      <c r="L5367" s="10">
        <v>23</v>
      </c>
      <c r="M5367" s="6" t="s">
        <v>375</v>
      </c>
    </row>
    <row r="5368" spans="1:13">
      <c r="A5368" s="6">
        <v>2025</v>
      </c>
      <c r="B5368" s="6">
        <v>3</v>
      </c>
      <c r="C5368" s="6" t="s">
        <v>61</v>
      </c>
      <c r="D5368" s="6" t="s">
        <v>602</v>
      </c>
      <c r="E5368" s="6" t="s">
        <v>369</v>
      </c>
      <c r="F5368" s="6" t="str">
        <f>IF($M5368="PADD I","PADD 1",IF($M5368="PADD II","PADD 2",IF($M5368="PADD III","PADD 3",IF($M5368="PADD IV","PADD 4",IF($M5368="PADD V","PADD 5","")))))</f>
        <v>PADD 2</v>
      </c>
      <c r="G5368" s="6" t="str">
        <f>IF(AND($H5368="ATMOS DISTILLATION",ISNUMBER(SEARCH("VPS",$I5368))=FALSE,LEFT($I5368,6)&lt;&gt;"VACUUM"),"CDU",IF($H5368="FLUID CAT CRACKING","FCC",IF(OR($H5368="HYDROCRACKING",$H5368="RESID_HYDROCRACKING"),"Hydrocracker",IF($H5368="REFORMING","Reformer",""))))</f>
        <v>FCC</v>
      </c>
      <c r="H5368" s="6" t="s">
        <v>376</v>
      </c>
      <c r="I5368" s="6" t="s">
        <v>1124</v>
      </c>
      <c r="J5368" s="6" t="s">
        <v>345</v>
      </c>
      <c r="K5368" s="10">
        <v>22.88</v>
      </c>
      <c r="L5368" s="10">
        <v>44</v>
      </c>
      <c r="M5368" s="6" t="s">
        <v>375</v>
      </c>
    </row>
    <row r="5369" spans="1:13">
      <c r="A5369" s="6">
        <v>2025</v>
      </c>
      <c r="B5369" s="6">
        <v>3</v>
      </c>
      <c r="C5369" s="6" t="s">
        <v>61</v>
      </c>
      <c r="D5369" s="6" t="s">
        <v>542</v>
      </c>
      <c r="E5369" s="6" t="s">
        <v>543</v>
      </c>
      <c r="F5369" s="6" t="str">
        <f>IF($M5369="PADD I","PADD 1",IF($M5369="PADD II","PADD 2",IF($M5369="PADD III","PADD 3",IF($M5369="PADD IV","PADD 4",IF($M5369="PADD V","PADD 5","")))))</f>
        <v>PADD 2</v>
      </c>
      <c r="G5369" s="6">
        <f>IF(AND($H5369="ATMOS DISTILLATION",ISNUMBER(SEARCH("VPS",$I5369))=FALSE,LEFT($I5369,6)&lt;&gt;"VACUUM"),"CDU",IF($H5369="FLUID CAT CRACKING","FCC",IF(OR($H5369="HYDROCRACKING",$H5369="RESID_HYDROCRACKING"),"Hydrocracker",IF($H5369="REFORMING","Reformer",""))))</f>
        <v/>
      </c>
      <c r="H5369" s="6" t="s">
        <v>568</v>
      </c>
      <c r="I5369" s="6" t="s">
        <v>604</v>
      </c>
      <c r="J5369" s="6" t="s">
        <v>349</v>
      </c>
      <c r="K5369" s="10">
        <v>22.599</v>
      </c>
      <c r="L5369" s="10">
        <v>27.9</v>
      </c>
      <c r="M5369" s="6" t="s">
        <v>375</v>
      </c>
    </row>
    <row r="5370" spans="1:13">
      <c r="A5370" s="6">
        <v>2025</v>
      </c>
      <c r="B5370" s="6">
        <v>3</v>
      </c>
      <c r="C5370" s="6" t="s">
        <v>61</v>
      </c>
      <c r="D5370" s="6" t="s">
        <v>742</v>
      </c>
      <c r="E5370" s="6" t="s">
        <v>388</v>
      </c>
      <c r="F5370" s="6" t="str">
        <f>IF($M5370="PADD I","PADD 1",IF($M5370="PADD II","PADD 2",IF($M5370="PADD III","PADD 3",IF($M5370="PADD IV","PADD 4",IF($M5370="PADD V","PADD 5","")))))</f>
        <v>PADD 5</v>
      </c>
      <c r="G5370" s="6">
        <f>IF(AND($H5370="ATMOS DISTILLATION",ISNUMBER(SEARCH("VPS",$I5370))=FALSE,LEFT($I5370,6)&lt;&gt;"VACUUM"),"CDU",IF($H5370="FLUID CAT CRACKING","FCC",IF(OR($H5370="HYDROCRACKING",$H5370="RESID_HYDROCRACKING"),"Hydrocracker",IF($H5370="REFORMING","Reformer",""))))</f>
        <v/>
      </c>
      <c r="H5370" s="6" t="s">
        <v>378</v>
      </c>
      <c r="I5370" s="6" t="s">
        <v>431</v>
      </c>
      <c r="J5370" s="6" t="s">
        <v>349</v>
      </c>
      <c r="K5370" s="10">
        <v>22.56</v>
      </c>
      <c r="L5370" s="10">
        <v>47</v>
      </c>
      <c r="M5370" s="6" t="s">
        <v>386</v>
      </c>
    </row>
    <row r="5371" spans="1:13">
      <c r="A5371" s="6">
        <v>2025</v>
      </c>
      <c r="B5371" s="6">
        <v>3</v>
      </c>
      <c r="C5371" s="6" t="s">
        <v>61</v>
      </c>
      <c r="D5371" s="6" t="s">
        <v>51</v>
      </c>
      <c r="E5371" s="6" t="s">
        <v>391</v>
      </c>
      <c r="F5371" s="6" t="str">
        <f>IF($M5371="PADD I","PADD 1",IF($M5371="PADD II","PADD 2",IF($M5371="PADD III","PADD 3",IF($M5371="PADD IV","PADD 4",IF($M5371="PADD V","PADD 5","")))))</f>
        <v>PADD 5</v>
      </c>
      <c r="G5371" s="6">
        <f>IF(AND($H5371="ATMOS DISTILLATION",ISNUMBER(SEARCH("VPS",$I5371))=FALSE,LEFT($I5371,6)&lt;&gt;"VACUUM"),"CDU",IF($H5371="FLUID CAT CRACKING","FCC",IF(OR($H5371="HYDROCRACKING",$H5371="RESID_HYDROCRACKING"),"Hydrocracker",IF($H5371="REFORMING","Reformer",""))))</f>
        <v/>
      </c>
      <c r="H5371" s="6" t="s">
        <v>43</v>
      </c>
      <c r="I5371" s="6" t="s">
        <v>859</v>
      </c>
      <c r="J5371" s="6" t="s">
        <v>345</v>
      </c>
      <c r="K5371" s="10">
        <v>22.4</v>
      </c>
      <c r="L5371" s="10">
        <v>70</v>
      </c>
      <c r="M5371" s="6" t="s">
        <v>386</v>
      </c>
    </row>
    <row r="5372" spans="1:13">
      <c r="A5372" s="6">
        <v>2025</v>
      </c>
      <c r="B5372" s="6">
        <v>3</v>
      </c>
      <c r="C5372" s="6" t="s">
        <v>61</v>
      </c>
      <c r="D5372" s="6" t="s">
        <v>953</v>
      </c>
      <c r="E5372" s="6" t="s">
        <v>733</v>
      </c>
      <c r="F5372" s="6" t="str">
        <f>IF($M5372="PADD I","PADD 1",IF($M5372="PADD II","PADD 2",IF($M5372="PADD III","PADD 3",IF($M5372="PADD IV","PADD 4",IF($M5372="PADD V","PADD 5","")))))</f>
        <v>PADD 2</v>
      </c>
      <c r="G5372" s="6">
        <f>IF(AND($H5372="ATMOS DISTILLATION",ISNUMBER(SEARCH("VPS",$I5372))=FALSE,LEFT($I5372,6)&lt;&gt;"VACUUM"),"CDU",IF($H5372="FLUID CAT CRACKING","FCC",IF(OR($H5372="HYDROCRACKING",$H5372="RESID_HYDROCRACKING"),"Hydrocracker",IF($H5372="REFORMING","Reformer",""))))</f>
        <v/>
      </c>
      <c r="H5372" s="6" t="s">
        <v>43</v>
      </c>
      <c r="I5372" s="6" t="s">
        <v>520</v>
      </c>
      <c r="J5372" s="6" t="s">
        <v>345</v>
      </c>
      <c r="K5372" s="10">
        <v>22.385</v>
      </c>
      <c r="L5372" s="10">
        <v>40.7</v>
      </c>
      <c r="M5372" s="6" t="s">
        <v>375</v>
      </c>
    </row>
    <row r="5373" spans="1:13">
      <c r="A5373" s="6">
        <v>2025</v>
      </c>
      <c r="B5373" s="6">
        <v>3</v>
      </c>
      <c r="C5373" s="6" t="s">
        <v>61</v>
      </c>
      <c r="D5373" s="6" t="s">
        <v>610</v>
      </c>
      <c r="E5373" s="6" t="s">
        <v>611</v>
      </c>
      <c r="F5373" s="6" t="str">
        <f>IF($M5373="PADD I","PADD 1",IF($M5373="PADD II","PADD 2",IF($M5373="PADD III","PADD 3",IF($M5373="PADD IV","PADD 4",IF($M5373="PADD V","PADD 5","")))))</f>
        <v>PADD 2</v>
      </c>
      <c r="G5373" s="6">
        <f>IF(AND($H5373="ATMOS DISTILLATION",ISNUMBER(SEARCH("VPS",$I5373))=FALSE,LEFT($I5373,6)&lt;&gt;"VACUUM"),"CDU",IF($H5373="FLUID CAT CRACKING","FCC",IF(OR($H5373="HYDROCRACKING",$H5373="RESID_HYDROCRACKING"),"Hydrocracker",IF($H5373="REFORMING","Reformer",""))))</f>
        <v/>
      </c>
      <c r="H5373" s="6" t="s">
        <v>568</v>
      </c>
      <c r="I5373" s="6" t="s">
        <v>604</v>
      </c>
      <c r="J5373" s="6" t="s">
        <v>349</v>
      </c>
      <c r="K5373" s="10">
        <v>22.2</v>
      </c>
      <c r="L5373" s="10">
        <v>22.2</v>
      </c>
      <c r="M5373" s="6" t="s">
        <v>375</v>
      </c>
    </row>
    <row r="5374" spans="1:13">
      <c r="A5374" s="6">
        <v>2025</v>
      </c>
      <c r="B5374" s="6">
        <v>3</v>
      </c>
      <c r="C5374" s="6" t="s">
        <v>61</v>
      </c>
      <c r="D5374" s="6" t="s">
        <v>455</v>
      </c>
      <c r="E5374" s="6" t="s">
        <v>405</v>
      </c>
      <c r="F5374" s="6" t="str">
        <f>IF($M5374="PADD I","PADD 1",IF($M5374="PADD II","PADD 2",IF($M5374="PADD III","PADD 3",IF($M5374="PADD IV","PADD 4",IF($M5374="PADD V","PADD 5","")))))</f>
        <v>PADD 3</v>
      </c>
      <c r="G5374" s="6">
        <f>IF(AND($H5374="ATMOS DISTILLATION",ISNUMBER(SEARCH("VPS",$I5374))=FALSE,LEFT($I5374,6)&lt;&gt;"VACUUM"),"CDU",IF($H5374="FLUID CAT CRACKING","FCC",IF(OR($H5374="HYDROCRACKING",$H5374="RESID_HYDROCRACKING"),"Hydrocracker",IF($H5374="REFORMING","Reformer",""))))</f>
        <v/>
      </c>
      <c r="H5374" s="6" t="s">
        <v>43</v>
      </c>
      <c r="I5374" s="6" t="s">
        <v>1274</v>
      </c>
      <c r="J5374" s="6" t="s">
        <v>349</v>
      </c>
      <c r="K5374" s="10">
        <v>22.05</v>
      </c>
      <c r="L5374" s="10">
        <v>49</v>
      </c>
      <c r="M5374" s="6" t="s">
        <v>371</v>
      </c>
    </row>
    <row r="5375" spans="1:13">
      <c r="A5375" s="6">
        <v>2025</v>
      </c>
      <c r="B5375" s="6">
        <v>3</v>
      </c>
      <c r="C5375" s="6" t="s">
        <v>61</v>
      </c>
      <c r="D5375" s="6" t="s">
        <v>610</v>
      </c>
      <c r="E5375" s="6" t="s">
        <v>611</v>
      </c>
      <c r="F5375" s="6" t="str">
        <f>IF($M5375="PADD I","PADD 1",IF($M5375="PADD II","PADD 2",IF($M5375="PADD III","PADD 3",IF($M5375="PADD IV","PADD 4",IF($M5375="PADD V","PADD 5","")))))</f>
        <v>PADD 2</v>
      </c>
      <c r="G5375" s="6">
        <f>IF(AND($H5375="ATMOS DISTILLATION",ISNUMBER(SEARCH("VPS",$I5375))=FALSE,LEFT($I5375,6)&lt;&gt;"VACUUM"),"CDU",IF($H5375="FLUID CAT CRACKING","FCC",IF(OR($H5375="HYDROCRACKING",$H5375="RESID_HYDROCRACKING"),"Hydrocracker",IF($H5375="REFORMING","Reformer",""))))</f>
        <v/>
      </c>
      <c r="H5375" s="6" t="s">
        <v>378</v>
      </c>
      <c r="I5375" s="6" t="s">
        <v>627</v>
      </c>
      <c r="J5375" s="6" t="s">
        <v>349</v>
      </c>
      <c r="K5375" s="10">
        <v>22</v>
      </c>
      <c r="L5375" s="10">
        <v>22</v>
      </c>
      <c r="M5375" s="6" t="s">
        <v>375</v>
      </c>
    </row>
    <row r="5376" spans="1:13">
      <c r="A5376" s="6">
        <v>2025</v>
      </c>
      <c r="B5376" s="6">
        <v>3</v>
      </c>
      <c r="C5376" s="6" t="s">
        <v>61</v>
      </c>
      <c r="D5376" s="6" t="s">
        <v>326</v>
      </c>
      <c r="E5376" s="6" t="s">
        <v>385</v>
      </c>
      <c r="F5376" s="6" t="str">
        <f>IF($M5376="PADD I","PADD 1",IF($M5376="PADD II","PADD 2",IF($M5376="PADD III","PADD 3",IF($M5376="PADD IV","PADD 4",IF($M5376="PADD V","PADD 5","")))))</f>
        <v>PADD 5</v>
      </c>
      <c r="G5376" s="6">
        <f>IF(AND($H5376="ATMOS DISTILLATION",ISNUMBER(SEARCH("VPS",$I5376))=FALSE,LEFT($I5376,6)&lt;&gt;"VACUUM"),"CDU",IF($H5376="FLUID CAT CRACKING","FCC",IF(OR($H5376="HYDROCRACKING",$H5376="RESID_HYDROCRACKING"),"Hydrocracker",IF($H5376="REFORMING","Reformer",""))))</f>
        <v/>
      </c>
      <c r="H5376" s="6" t="s">
        <v>435</v>
      </c>
      <c r="I5376" s="6" t="s">
        <v>441</v>
      </c>
      <c r="J5376" s="6" t="s">
        <v>345</v>
      </c>
      <c r="K5376" s="10">
        <v>22</v>
      </c>
      <c r="L5376" s="10">
        <v>22</v>
      </c>
      <c r="M5376" s="6" t="s">
        <v>386</v>
      </c>
    </row>
    <row r="5377" spans="1:13">
      <c r="A5377" s="6">
        <v>2025</v>
      </c>
      <c r="B5377" s="6">
        <v>3</v>
      </c>
      <c r="C5377" s="6" t="s">
        <v>61</v>
      </c>
      <c r="D5377" s="6" t="s">
        <v>50</v>
      </c>
      <c r="E5377" s="6" t="s">
        <v>381</v>
      </c>
      <c r="F5377" s="6" t="str">
        <f>IF($M5377="PADD I","PADD 1",IF($M5377="PADD II","PADD 2",IF($M5377="PADD III","PADD 3",IF($M5377="PADD IV","PADD 4",IF($M5377="PADD V","PADD 5","")))))</f>
        <v>PADD 3</v>
      </c>
      <c r="G5377" s="6" t="str">
        <f>IF(AND($H5377="ATMOS DISTILLATION",ISNUMBER(SEARCH("VPS",$I5377))=FALSE,LEFT($I5377,6)&lt;&gt;"VACUUM"),"CDU",IF($H5377="FLUID CAT CRACKING","FCC",IF(OR($H5377="HYDROCRACKING",$H5377="RESID_HYDROCRACKING"),"Hydrocracker",IF($H5377="REFORMING","Reformer",""))))</f>
        <v>CDU</v>
      </c>
      <c r="H5377" s="6" t="s">
        <v>38</v>
      </c>
      <c r="I5377" s="6" t="s">
        <v>1267</v>
      </c>
      <c r="J5377" s="6" t="s">
        <v>349</v>
      </c>
      <c r="K5377" s="10">
        <v>21.6</v>
      </c>
      <c r="L5377" s="10">
        <v>135</v>
      </c>
      <c r="M5377" s="6" t="s">
        <v>371</v>
      </c>
    </row>
    <row r="5378" spans="1:13">
      <c r="A5378" s="6">
        <v>2025</v>
      </c>
      <c r="B5378" s="6">
        <v>3</v>
      </c>
      <c r="C5378" s="6" t="s">
        <v>61</v>
      </c>
      <c r="D5378" s="6" t="s">
        <v>646</v>
      </c>
      <c r="E5378" s="6" t="s">
        <v>405</v>
      </c>
      <c r="F5378" s="6" t="str">
        <f>IF($M5378="PADD I","PADD 1",IF($M5378="PADD II","PADD 2",IF($M5378="PADD III","PADD 3",IF($M5378="PADD IV","PADD 4",IF($M5378="PADD V","PADD 5","")))))</f>
        <v>PADD 3</v>
      </c>
      <c r="G5378" s="6">
        <f>IF(AND($H5378="ATMOS DISTILLATION",ISNUMBER(SEARCH("VPS",$I5378))=FALSE,LEFT($I5378,6)&lt;&gt;"VACUUM"),"CDU",IF($H5378="FLUID CAT CRACKING","FCC",IF(OR($H5378="HYDROCRACKING",$H5378="RESID_HYDROCRACKING"),"Hydrocracker",IF($H5378="REFORMING","Reformer",""))))</f>
        <v/>
      </c>
      <c r="H5378" s="6" t="s">
        <v>43</v>
      </c>
      <c r="I5378" s="6" t="s">
        <v>647</v>
      </c>
      <c r="J5378" s="6" t="s">
        <v>345</v>
      </c>
      <c r="K5378" s="10">
        <v>21.6</v>
      </c>
      <c r="L5378" s="10">
        <v>45</v>
      </c>
      <c r="M5378" s="6" t="s">
        <v>371</v>
      </c>
    </row>
    <row r="5379" spans="1:13">
      <c r="A5379" s="6">
        <v>2025</v>
      </c>
      <c r="B5379" s="6">
        <v>3</v>
      </c>
      <c r="C5379" s="6" t="s">
        <v>61</v>
      </c>
      <c r="D5379" s="6" t="s">
        <v>448</v>
      </c>
      <c r="E5379" s="6" t="s">
        <v>391</v>
      </c>
      <c r="F5379" s="6" t="str">
        <f>IF($M5379="PADD I","PADD 1",IF($M5379="PADD II","PADD 2",IF($M5379="PADD III","PADD 3",IF($M5379="PADD IV","PADD 4",IF($M5379="PADD V","PADD 5","")))))</f>
        <v>PADD 3</v>
      </c>
      <c r="G5379" s="6">
        <f>IF(AND($H5379="ATMOS DISTILLATION",ISNUMBER(SEARCH("VPS",$I5379))=FALSE,LEFT($I5379,6)&lt;&gt;"VACUUM"),"CDU",IF($H5379="FLUID CAT CRACKING","FCC",IF(OR($H5379="HYDROCRACKING",$H5379="RESID_HYDROCRACKING"),"Hydrocracker",IF($H5379="REFORMING","Reformer",""))))</f>
        <v/>
      </c>
      <c r="H5379" s="6" t="s">
        <v>43</v>
      </c>
      <c r="I5379" s="6" t="s">
        <v>449</v>
      </c>
      <c r="J5379" s="6" t="s">
        <v>345</v>
      </c>
      <c r="K5379" s="10">
        <v>21.35</v>
      </c>
      <c r="L5379" s="10">
        <v>35</v>
      </c>
      <c r="M5379" s="6" t="s">
        <v>371</v>
      </c>
    </row>
    <row r="5380" spans="1:13">
      <c r="A5380" s="6">
        <v>2025</v>
      </c>
      <c r="B5380" s="6">
        <v>3</v>
      </c>
      <c r="C5380" s="6" t="s">
        <v>61</v>
      </c>
      <c r="D5380" s="6" t="s">
        <v>1171</v>
      </c>
      <c r="E5380" s="6" t="s">
        <v>1172</v>
      </c>
      <c r="F5380" s="6" t="str">
        <f>IF($M5380="PADD I","PADD 1",IF($M5380="PADD II","PADD 2",IF($M5380="PADD III","PADD 3",IF($M5380="PADD IV","PADD 4",IF($M5380="PADD V","PADD 5","")))))</f>
        <v>PADD 3</v>
      </c>
      <c r="G5380" s="6" t="str">
        <f>IF(AND($H5380="ATMOS DISTILLATION",ISNUMBER(SEARCH("VPS",$I5380))=FALSE,LEFT($I5380,6)&lt;&gt;"VACUUM"),"CDU",IF($H5380="FLUID CAT CRACKING","FCC",IF(OR($H5380="HYDROCRACKING",$H5380="RESID_HYDROCRACKING"),"Hydrocracker",IF($H5380="REFORMING","Reformer",""))))</f>
        <v>CDU</v>
      </c>
      <c r="H5380" s="6" t="s">
        <v>38</v>
      </c>
      <c r="I5380" s="6" t="s">
        <v>1173</v>
      </c>
      <c r="J5380" s="6" t="s">
        <v>349</v>
      </c>
      <c r="K5380" s="10">
        <v>21</v>
      </c>
      <c r="L5380" s="10">
        <v>50</v>
      </c>
      <c r="M5380" s="6" t="s">
        <v>371</v>
      </c>
    </row>
    <row r="5381" spans="1:13">
      <c r="A5381" s="6">
        <v>2025</v>
      </c>
      <c r="B5381" s="6">
        <v>3</v>
      </c>
      <c r="C5381" s="6" t="s">
        <v>61</v>
      </c>
      <c r="D5381" s="6" t="s">
        <v>1171</v>
      </c>
      <c r="E5381" s="6" t="s">
        <v>1172</v>
      </c>
      <c r="F5381" s="6" t="str">
        <f>IF($M5381="PADD I","PADD 1",IF($M5381="PADD II","PADD 2",IF($M5381="PADD III","PADD 3",IF($M5381="PADD IV","PADD 4",IF($M5381="PADD V","PADD 5","")))))</f>
        <v>PADD 3</v>
      </c>
      <c r="G5381" s="6" t="str">
        <f>IF(AND($H5381="ATMOS DISTILLATION",ISNUMBER(SEARCH("VPS",$I5381))=FALSE,LEFT($I5381,6)&lt;&gt;"VACUUM"),"CDU",IF($H5381="FLUID CAT CRACKING","FCC",IF(OR($H5381="HYDROCRACKING",$H5381="RESID_HYDROCRACKING"),"Hydrocracker",IF($H5381="REFORMING","Reformer",""))))</f>
        <v>CDU</v>
      </c>
      <c r="H5381" s="6" t="s">
        <v>38</v>
      </c>
      <c r="I5381" s="6" t="s">
        <v>1175</v>
      </c>
      <c r="J5381" s="6" t="s">
        <v>349</v>
      </c>
      <c r="K5381" s="10">
        <v>21</v>
      </c>
      <c r="L5381" s="10">
        <v>50</v>
      </c>
      <c r="M5381" s="6" t="s">
        <v>371</v>
      </c>
    </row>
    <row r="5382" spans="1:13">
      <c r="A5382" s="6">
        <v>2025</v>
      </c>
      <c r="B5382" s="6">
        <v>3</v>
      </c>
      <c r="C5382" s="6" t="s">
        <v>61</v>
      </c>
      <c r="D5382" s="6" t="s">
        <v>953</v>
      </c>
      <c r="E5382" s="6" t="s">
        <v>733</v>
      </c>
      <c r="F5382" s="6" t="str">
        <f>IF($M5382="PADD I","PADD 1",IF($M5382="PADD II","PADD 2",IF($M5382="PADD III","PADD 3",IF($M5382="PADD IV","PADD 4",IF($M5382="PADD V","PADD 5","")))))</f>
        <v>PADD 2</v>
      </c>
      <c r="G5382" s="6" t="str">
        <f>IF(AND($H5382="ATMOS DISTILLATION",ISNUMBER(SEARCH("VPS",$I5382))=FALSE,LEFT($I5382,6)&lt;&gt;"VACUUM"),"CDU",IF($H5382="FLUID CAT CRACKING","FCC",IF(OR($H5382="HYDROCRACKING",$H5382="RESID_HYDROCRACKING"),"Hydrocracker",IF($H5382="REFORMING","Reformer",""))))</f>
        <v>CDU</v>
      </c>
      <c r="H5382" s="6" t="s">
        <v>38</v>
      </c>
      <c r="I5382" s="6" t="s">
        <v>330</v>
      </c>
      <c r="J5382" s="6" t="s">
        <v>349</v>
      </c>
      <c r="K5382" s="10">
        <v>21</v>
      </c>
      <c r="L5382" s="10">
        <v>50</v>
      </c>
      <c r="M5382" s="6" t="s">
        <v>375</v>
      </c>
    </row>
    <row r="5383" spans="1:13">
      <c r="A5383" s="6">
        <v>2025</v>
      </c>
      <c r="B5383" s="6">
        <v>3</v>
      </c>
      <c r="C5383" s="6" t="s">
        <v>61</v>
      </c>
      <c r="D5383" s="6" t="s">
        <v>526</v>
      </c>
      <c r="E5383" s="6" t="s">
        <v>405</v>
      </c>
      <c r="F5383" s="6" t="str">
        <f>IF($M5383="PADD I","PADD 1",IF($M5383="PADD II","PADD 2",IF($M5383="PADD III","PADD 3",IF($M5383="PADD IV","PADD 4",IF($M5383="PADD V","PADD 5","")))))</f>
        <v>PADD 3</v>
      </c>
      <c r="G5383" s="6">
        <f>IF(AND($H5383="ATMOS DISTILLATION",ISNUMBER(SEARCH("VPS",$I5383))=FALSE,LEFT($I5383,6)&lt;&gt;"VACUUM"),"CDU",IF($H5383="FLUID CAT CRACKING","FCC",IF(OR($H5383="HYDROCRACKING",$H5383="RESID_HYDROCRACKING"),"Hydrocracker",IF($H5383="REFORMING","Reformer",""))))</f>
        <v/>
      </c>
      <c r="H5383" s="6" t="s">
        <v>43</v>
      </c>
      <c r="I5383" s="6" t="s">
        <v>1089</v>
      </c>
      <c r="J5383" s="6" t="s">
        <v>349</v>
      </c>
      <c r="K5383" s="10">
        <v>20.64</v>
      </c>
      <c r="L5383" s="10">
        <v>43</v>
      </c>
      <c r="M5383" s="6" t="s">
        <v>371</v>
      </c>
    </row>
    <row r="5384" spans="1:13">
      <c r="A5384" s="6">
        <v>2025</v>
      </c>
      <c r="B5384" s="6">
        <v>3</v>
      </c>
      <c r="C5384" s="6" t="s">
        <v>61</v>
      </c>
      <c r="D5384" s="6" t="s">
        <v>742</v>
      </c>
      <c r="E5384" s="6" t="s">
        <v>388</v>
      </c>
      <c r="F5384" s="6" t="str">
        <f>IF($M5384="PADD I","PADD 1",IF($M5384="PADD II","PADD 2",IF($M5384="PADD III","PADD 3",IF($M5384="PADD IV","PADD 4",IF($M5384="PADD V","PADD 5","")))))</f>
        <v>PADD 5</v>
      </c>
      <c r="G5384" s="6" t="str">
        <f>IF(AND($H5384="ATMOS DISTILLATION",ISNUMBER(SEARCH("VPS",$I5384))=FALSE,LEFT($I5384,6)&lt;&gt;"VACUUM"),"CDU",IF($H5384="FLUID CAT CRACKING","FCC",IF(OR($H5384="HYDROCRACKING",$H5384="RESID_HYDROCRACKING"),"Hydrocracker",IF($H5384="REFORMING","Reformer",""))))</f>
        <v>FCC</v>
      </c>
      <c r="H5384" s="6" t="s">
        <v>376</v>
      </c>
      <c r="I5384" s="6" t="s">
        <v>105</v>
      </c>
      <c r="J5384" s="6" t="s">
        <v>349</v>
      </c>
      <c r="K5384" s="10">
        <v>20.16</v>
      </c>
      <c r="L5384" s="10">
        <v>42</v>
      </c>
      <c r="M5384" s="6" t="s">
        <v>386</v>
      </c>
    </row>
    <row r="5385" spans="1:13">
      <c r="A5385" s="6">
        <v>2025</v>
      </c>
      <c r="B5385" s="6">
        <v>3</v>
      </c>
      <c r="C5385" s="6" t="s">
        <v>61</v>
      </c>
      <c r="D5385" s="6" t="s">
        <v>1286</v>
      </c>
      <c r="E5385" s="6" t="s">
        <v>1287</v>
      </c>
      <c r="F5385" s="6" t="str">
        <f>IF($M5385="PADD I","PADD 1",IF($M5385="PADD II","PADD 2",IF($M5385="PADD III","PADD 3",IF($M5385="PADD IV","PADD 4",IF($M5385="PADD V","PADD 5","")))))</f>
        <v>PADD 4</v>
      </c>
      <c r="G5385" s="6" t="str">
        <f>IF(AND($H5385="ATMOS DISTILLATION",ISNUMBER(SEARCH("VPS",$I5385))=FALSE,LEFT($I5385,6)&lt;&gt;"VACUUM"),"CDU",IF($H5385="FLUID CAT CRACKING","FCC",IF(OR($H5385="HYDROCRACKING",$H5385="RESID_HYDROCRACKING"),"Hydrocracker",IF($H5385="REFORMING","Reformer",""))))</f>
        <v>CDU</v>
      </c>
      <c r="H5385" s="6" t="s">
        <v>38</v>
      </c>
      <c r="I5385" s="6" t="s">
        <v>81</v>
      </c>
      <c r="J5385" s="6" t="s">
        <v>345</v>
      </c>
      <c r="K5385" s="10">
        <v>20</v>
      </c>
      <c r="L5385" s="10">
        <v>20</v>
      </c>
      <c r="M5385" s="6" t="s">
        <v>430</v>
      </c>
    </row>
    <row r="5386" spans="1:13">
      <c r="A5386" s="6">
        <v>2025</v>
      </c>
      <c r="B5386" s="6">
        <v>3</v>
      </c>
      <c r="C5386" s="6" t="s">
        <v>61</v>
      </c>
      <c r="D5386" s="6" t="s">
        <v>468</v>
      </c>
      <c r="E5386" s="6" t="s">
        <v>369</v>
      </c>
      <c r="F5386" s="6" t="str">
        <f>IF($M5386="PADD I","PADD 1",IF($M5386="PADD II","PADD 2",IF($M5386="PADD III","PADD 3",IF($M5386="PADD IV","PADD 4",IF($M5386="PADD V","PADD 5","")))))</f>
        <v>PADD 3</v>
      </c>
      <c r="G5386" s="6">
        <f>IF(AND($H5386="ATMOS DISTILLATION",ISNUMBER(SEARCH("VPS",$I5386))=FALSE,LEFT($I5386,6)&lt;&gt;"VACUUM"),"CDU",IF($H5386="FLUID CAT CRACKING","FCC",IF(OR($H5386="HYDROCRACKING",$H5386="RESID_HYDROCRACKING"),"Hydrocracker",IF($H5386="REFORMING","Reformer",""))))</f>
        <v/>
      </c>
      <c r="H5386" s="6" t="s">
        <v>43</v>
      </c>
      <c r="I5386" s="6" t="s">
        <v>1031</v>
      </c>
      <c r="J5386" s="6" t="s">
        <v>349</v>
      </c>
      <c r="K5386" s="10">
        <v>20</v>
      </c>
      <c r="L5386" s="10">
        <v>20</v>
      </c>
      <c r="M5386" s="6" t="s">
        <v>371</v>
      </c>
    </row>
    <row r="5387" spans="1:13">
      <c r="A5387" s="6">
        <v>2025</v>
      </c>
      <c r="B5387" s="6">
        <v>3</v>
      </c>
      <c r="C5387" s="6" t="s">
        <v>61</v>
      </c>
      <c r="D5387" s="6" t="s">
        <v>468</v>
      </c>
      <c r="E5387" s="6" t="s">
        <v>369</v>
      </c>
      <c r="F5387" s="6" t="str">
        <f>IF($M5387="PADD I","PADD 1",IF($M5387="PADD II","PADD 2",IF($M5387="PADD III","PADD 3",IF($M5387="PADD IV","PADD 4",IF($M5387="PADD V","PADD 5","")))))</f>
        <v>PADD 3</v>
      </c>
      <c r="G5387" s="6" t="str">
        <f>IF(AND($H5387="ATMOS DISTILLATION",ISNUMBER(SEARCH("VPS",$I5387))=FALSE,LEFT($I5387,6)&lt;&gt;"VACUUM"),"CDU",IF($H5387="FLUID CAT CRACKING","FCC",IF(OR($H5387="HYDROCRACKING",$H5387="RESID_HYDROCRACKING"),"Hydrocracker",IF($H5387="REFORMING","Reformer",""))))</f>
        <v>Reformer</v>
      </c>
      <c r="H5387" s="6" t="s">
        <v>421</v>
      </c>
      <c r="I5387" s="6" t="s">
        <v>858</v>
      </c>
      <c r="J5387" s="6" t="s">
        <v>349</v>
      </c>
      <c r="K5387" s="10">
        <v>20</v>
      </c>
      <c r="L5387" s="10">
        <v>20</v>
      </c>
      <c r="M5387" s="6" t="s">
        <v>371</v>
      </c>
    </row>
    <row r="5388" spans="1:13">
      <c r="A5388" s="6">
        <v>2025</v>
      </c>
      <c r="B5388" s="6">
        <v>3</v>
      </c>
      <c r="C5388" s="6" t="s">
        <v>61</v>
      </c>
      <c r="D5388" s="6" t="s">
        <v>610</v>
      </c>
      <c r="E5388" s="6" t="s">
        <v>611</v>
      </c>
      <c r="F5388" s="6" t="str">
        <f>IF($M5388="PADD I","PADD 1",IF($M5388="PADD II","PADD 2",IF($M5388="PADD III","PADD 3",IF($M5388="PADD IV","PADD 4",IF($M5388="PADD V","PADD 5","")))))</f>
        <v>PADD 2</v>
      </c>
      <c r="G5388" s="6">
        <f>IF(AND($H5388="ATMOS DISTILLATION",ISNUMBER(SEARCH("VPS",$I5388))=FALSE,LEFT($I5388,6)&lt;&gt;"VACUUM"),"CDU",IF($H5388="FLUID CAT CRACKING","FCC",IF(OR($H5388="HYDROCRACKING",$H5388="RESID_HYDROCRACKING"),"Hydrocracker",IF($H5388="REFORMING","Reformer",""))))</f>
        <v/>
      </c>
      <c r="H5388" s="6" t="s">
        <v>43</v>
      </c>
      <c r="I5388" s="6" t="s">
        <v>629</v>
      </c>
      <c r="J5388" s="6" t="s">
        <v>349</v>
      </c>
      <c r="K5388" s="10">
        <v>20</v>
      </c>
      <c r="L5388" s="10">
        <v>20</v>
      </c>
      <c r="M5388" s="6" t="s">
        <v>375</v>
      </c>
    </row>
    <row r="5389" spans="1:13">
      <c r="A5389" s="6">
        <v>2025</v>
      </c>
      <c r="B5389" s="6">
        <v>3</v>
      </c>
      <c r="C5389" s="6" t="s">
        <v>61</v>
      </c>
      <c r="D5389" s="6" t="s">
        <v>610</v>
      </c>
      <c r="E5389" s="6" t="s">
        <v>611</v>
      </c>
      <c r="F5389" s="6" t="str">
        <f>IF($M5389="PADD I","PADD 1",IF($M5389="PADD II","PADD 2",IF($M5389="PADD III","PADD 3",IF($M5389="PADD IV","PADD 4",IF($M5389="PADD V","PADD 5","")))))</f>
        <v>PADD 2</v>
      </c>
      <c r="G5389" s="6">
        <f>IF(AND($H5389="ATMOS DISTILLATION",ISNUMBER(SEARCH("VPS",$I5389))=FALSE,LEFT($I5389,6)&lt;&gt;"VACUUM"),"CDU",IF($H5389="FLUID CAT CRACKING","FCC",IF(OR($H5389="HYDROCRACKING",$H5389="RESID_HYDROCRACKING"),"Hydrocracker",IF($H5389="REFORMING","Reformer",""))))</f>
        <v/>
      </c>
      <c r="H5389" s="6" t="s">
        <v>378</v>
      </c>
      <c r="I5389" s="6" t="s">
        <v>494</v>
      </c>
      <c r="J5389" s="6" t="s">
        <v>349</v>
      </c>
      <c r="K5389" s="10">
        <v>20</v>
      </c>
      <c r="L5389" s="10">
        <v>20</v>
      </c>
      <c r="M5389" s="6" t="s">
        <v>375</v>
      </c>
    </row>
    <row r="5390" spans="1:13">
      <c r="A5390" s="6">
        <v>2025</v>
      </c>
      <c r="B5390" s="6">
        <v>3</v>
      </c>
      <c r="C5390" s="6" t="s">
        <v>61</v>
      </c>
      <c r="D5390" s="6" t="s">
        <v>329</v>
      </c>
      <c r="E5390" s="6" t="s">
        <v>427</v>
      </c>
      <c r="F5390" s="6" t="str">
        <f>IF($M5390="PADD I","PADD 1",IF($M5390="PADD II","PADD 2",IF($M5390="PADD III","PADD 3",IF($M5390="PADD IV","PADD 4",IF($M5390="PADD V","PADD 5","")))))</f>
        <v>PADD 3</v>
      </c>
      <c r="G5390" s="6">
        <f>IF(AND($H5390="ATMOS DISTILLATION",ISNUMBER(SEARCH("VPS",$I5390))=FALSE,LEFT($I5390,6)&lt;&gt;"VACUUM"),"CDU",IF($H5390="FLUID CAT CRACKING","FCC",IF(OR($H5390="HYDROCRACKING",$H5390="RESID_HYDROCRACKING"),"Hydrocracker",IF($H5390="REFORMING","Reformer",""))))</f>
        <v/>
      </c>
      <c r="H5390" s="6" t="s">
        <v>43</v>
      </c>
      <c r="I5390" s="6" t="s">
        <v>1208</v>
      </c>
      <c r="J5390" s="6" t="s">
        <v>345</v>
      </c>
      <c r="K5390" s="10">
        <v>19.84</v>
      </c>
      <c r="L5390" s="10">
        <v>62</v>
      </c>
      <c r="M5390" s="6" t="s">
        <v>371</v>
      </c>
    </row>
    <row r="5391" spans="1:13">
      <c r="A5391" s="6">
        <v>2025</v>
      </c>
      <c r="B5391" s="6">
        <v>3</v>
      </c>
      <c r="C5391" s="6" t="s">
        <v>61</v>
      </c>
      <c r="D5391" s="6" t="s">
        <v>48</v>
      </c>
      <c r="E5391" s="6" t="s">
        <v>388</v>
      </c>
      <c r="F5391" s="6" t="str">
        <f>IF($M5391="PADD I","PADD 1",IF($M5391="PADD II","PADD 2",IF($M5391="PADD III","PADD 3",IF($M5391="PADD IV","PADD 4",IF($M5391="PADD V","PADD 5","")))))</f>
        <v>PADD 2</v>
      </c>
      <c r="G5391" s="6" t="str">
        <f>IF(AND($H5391="ATMOS DISTILLATION",ISNUMBER(SEARCH("VPS",$I5391))=FALSE,LEFT($I5391,6)&lt;&gt;"VACUUM"),"CDU",IF($H5391="FLUID CAT CRACKING","FCC",IF(OR($H5391="HYDROCRACKING",$H5391="RESID_HYDROCRACKING"),"Hydrocracker",IF($H5391="REFORMING","Reformer",""))))</f>
        <v>Hydrocracker</v>
      </c>
      <c r="H5391" s="6" t="s">
        <v>444</v>
      </c>
      <c r="I5391" s="6" t="s">
        <v>758</v>
      </c>
      <c r="J5391" s="6" t="s">
        <v>345</v>
      </c>
      <c r="K5391" s="10">
        <v>19.8</v>
      </c>
      <c r="L5391" s="10">
        <v>44</v>
      </c>
      <c r="M5391" s="6" t="s">
        <v>375</v>
      </c>
    </row>
    <row r="5392" spans="1:13">
      <c r="A5392" s="6">
        <v>2025</v>
      </c>
      <c r="B5392" s="6">
        <v>3</v>
      </c>
      <c r="C5392" s="6" t="s">
        <v>61</v>
      </c>
      <c r="D5392" s="6" t="s">
        <v>610</v>
      </c>
      <c r="E5392" s="6" t="s">
        <v>611</v>
      </c>
      <c r="F5392" s="6" t="str">
        <f>IF($M5392="PADD I","PADD 1",IF($M5392="PADD II","PADD 2",IF($M5392="PADD III","PADD 3",IF($M5392="PADD IV","PADD 4",IF($M5392="PADD V","PADD 5","")))))</f>
        <v>PADD 2</v>
      </c>
      <c r="G5392" s="6">
        <f>IF(AND($H5392="ATMOS DISTILLATION",ISNUMBER(SEARCH("VPS",$I5392))=FALSE,LEFT($I5392,6)&lt;&gt;"VACUUM"),"CDU",IF($H5392="FLUID CAT CRACKING","FCC",IF(OR($H5392="HYDROCRACKING",$H5392="RESID_HYDROCRACKING"),"Hydrocracker",IF($H5392="REFORMING","Reformer",""))))</f>
        <v/>
      </c>
      <c r="H5392" s="6" t="s">
        <v>435</v>
      </c>
      <c r="I5392" s="6" t="s">
        <v>441</v>
      </c>
      <c r="J5392" s="6" t="s">
        <v>349</v>
      </c>
      <c r="K5392" s="10">
        <v>19.5</v>
      </c>
      <c r="L5392" s="10">
        <v>19.5</v>
      </c>
      <c r="M5392" s="6" t="s">
        <v>375</v>
      </c>
    </row>
    <row r="5393" spans="1:13">
      <c r="A5393" s="6">
        <v>2025</v>
      </c>
      <c r="B5393" s="6">
        <v>3</v>
      </c>
      <c r="C5393" s="6" t="s">
        <v>61</v>
      </c>
      <c r="D5393" s="6" t="s">
        <v>446</v>
      </c>
      <c r="E5393" s="6" t="s">
        <v>391</v>
      </c>
      <c r="F5393" s="6" t="str">
        <f>IF($M5393="PADD I","PADD 1",IF($M5393="PADD II","PADD 2",IF($M5393="PADD III","PADD 3",IF($M5393="PADD IV","PADD 4",IF($M5393="PADD V","PADD 5","")))))</f>
        <v>PADD 3</v>
      </c>
      <c r="G5393" s="6" t="str">
        <f>IF(AND($H5393="ATMOS DISTILLATION",ISNUMBER(SEARCH("VPS",$I5393))=FALSE,LEFT($I5393,6)&lt;&gt;"VACUUM"),"CDU",IF($H5393="FLUID CAT CRACKING","FCC",IF(OR($H5393="HYDROCRACKING",$H5393="RESID_HYDROCRACKING"),"Hydrocracker",IF($H5393="REFORMING","Reformer",""))))</f>
        <v>CDU</v>
      </c>
      <c r="H5393" s="6" t="s">
        <v>38</v>
      </c>
      <c r="I5393" s="6" t="s">
        <v>81</v>
      </c>
      <c r="J5393" s="6" t="s">
        <v>345</v>
      </c>
      <c r="K5393" s="10">
        <v>18.512</v>
      </c>
      <c r="L5393" s="10">
        <v>115.7</v>
      </c>
      <c r="M5393" s="6" t="s">
        <v>371</v>
      </c>
    </row>
    <row r="5394" spans="1:13">
      <c r="A5394" s="6">
        <v>2025</v>
      </c>
      <c r="B5394" s="6">
        <v>3</v>
      </c>
      <c r="C5394" s="6" t="s">
        <v>61</v>
      </c>
      <c r="D5394" s="6" t="s">
        <v>602</v>
      </c>
      <c r="E5394" s="6" t="s">
        <v>369</v>
      </c>
      <c r="F5394" s="6" t="str">
        <f>IF($M5394="PADD I","PADD 1",IF($M5394="PADD II","PADD 2",IF($M5394="PADD III","PADD 3",IF($M5394="PADD IV","PADD 4",IF($M5394="PADD V","PADD 5","")))))</f>
        <v>PADD 2</v>
      </c>
      <c r="G5394" s="6" t="str">
        <f>IF(AND($H5394="ATMOS DISTILLATION",ISNUMBER(SEARCH("VPS",$I5394))=FALSE,LEFT($I5394,6)&lt;&gt;"VACUUM"),"CDU",IF($H5394="FLUID CAT CRACKING","FCC",IF(OR($H5394="HYDROCRACKING",$H5394="RESID_HYDROCRACKING"),"Hydrocracker",IF($H5394="REFORMING","Reformer",""))))</f>
        <v>FCC</v>
      </c>
      <c r="H5394" s="6" t="s">
        <v>376</v>
      </c>
      <c r="I5394" s="6" t="s">
        <v>654</v>
      </c>
      <c r="J5394" s="6" t="s">
        <v>349</v>
      </c>
      <c r="K5394" s="10">
        <v>18.46</v>
      </c>
      <c r="L5394" s="10">
        <v>26</v>
      </c>
      <c r="M5394" s="6" t="s">
        <v>375</v>
      </c>
    </row>
    <row r="5395" spans="1:13">
      <c r="A5395" s="6">
        <v>2025</v>
      </c>
      <c r="B5395" s="6">
        <v>3</v>
      </c>
      <c r="C5395" s="6" t="s">
        <v>61</v>
      </c>
      <c r="D5395" s="6" t="s">
        <v>576</v>
      </c>
      <c r="E5395" s="6" t="s">
        <v>369</v>
      </c>
      <c r="F5395" s="6" t="str">
        <f>IF($M5395="PADD I","PADD 1",IF($M5395="PADD II","PADD 2",IF($M5395="PADD III","PADD 3",IF($M5395="PADD IV","PADD 4",IF($M5395="PADD V","PADD 5","")))))</f>
        <v>PADD 3</v>
      </c>
      <c r="G5395" s="6" t="str">
        <f>IF(AND($H5395="ATMOS DISTILLATION",ISNUMBER(SEARCH("VPS",$I5395))=FALSE,LEFT($I5395,6)&lt;&gt;"VACUUM"),"CDU",IF($H5395="FLUID CAT CRACKING","FCC",IF(OR($H5395="HYDROCRACKING",$H5395="RESID_HYDROCRACKING"),"Hydrocracker",IF($H5395="REFORMING","Reformer",""))))</f>
        <v>FCC</v>
      </c>
      <c r="H5395" s="6" t="s">
        <v>376</v>
      </c>
      <c r="I5395" s="6" t="s">
        <v>105</v>
      </c>
      <c r="J5395" s="6" t="s">
        <v>345</v>
      </c>
      <c r="K5395" s="10">
        <v>18.018</v>
      </c>
      <c r="L5395" s="10">
        <v>46.2</v>
      </c>
      <c r="M5395" s="6" t="s">
        <v>371</v>
      </c>
    </row>
    <row r="5396" spans="1:13">
      <c r="A5396" s="6">
        <v>2025</v>
      </c>
      <c r="B5396" s="6">
        <v>3</v>
      </c>
      <c r="C5396" s="6" t="s">
        <v>61</v>
      </c>
      <c r="D5396" s="6" t="s">
        <v>774</v>
      </c>
      <c r="E5396" s="6" t="s">
        <v>775</v>
      </c>
      <c r="F5396" s="6" t="str">
        <f>IF($M5396="PADD I","PADD 1",IF($M5396="PADD II","PADD 2",IF($M5396="PADD III","PADD 3",IF($M5396="PADD IV","PADD 4",IF($M5396="PADD V","PADD 5","")))))</f>
        <v>PADD 1</v>
      </c>
      <c r="G5396" s="6" t="str">
        <f>IF(AND($H5396="ATMOS DISTILLATION",ISNUMBER(SEARCH("VPS",$I5396))=FALSE,LEFT($I5396,6)&lt;&gt;"VACUUM"),"CDU",IF($H5396="FLUID CAT CRACKING","FCC",IF(OR($H5396="HYDROCRACKING",$H5396="RESID_HYDROCRACKING"),"Hydrocracker",IF($H5396="REFORMING","Reformer",""))))</f>
        <v>Hydrocracker</v>
      </c>
      <c r="H5396" s="6" t="s">
        <v>444</v>
      </c>
      <c r="I5396" s="6" t="s">
        <v>14</v>
      </c>
      <c r="J5396" s="6" t="s">
        <v>345</v>
      </c>
      <c r="K5396" s="10">
        <v>18</v>
      </c>
      <c r="L5396" s="10">
        <v>18</v>
      </c>
      <c r="M5396" s="6" t="s">
        <v>413</v>
      </c>
    </row>
    <row r="5397" spans="1:13">
      <c r="A5397" s="6">
        <v>2025</v>
      </c>
      <c r="B5397" s="6">
        <v>3</v>
      </c>
      <c r="C5397" s="6" t="s">
        <v>61</v>
      </c>
      <c r="D5397" s="6" t="s">
        <v>322</v>
      </c>
      <c r="E5397" s="6" t="s">
        <v>369</v>
      </c>
      <c r="F5397" s="6" t="str">
        <f>IF($M5397="PADD I","PADD 1",IF($M5397="PADD II","PADD 2",IF($M5397="PADD III","PADD 3",IF($M5397="PADD IV","PADD 4",IF($M5397="PADD V","PADD 5","")))))</f>
        <v>PADD 2</v>
      </c>
      <c r="G5397" s="6" t="str">
        <f>IF(AND($H5397="ATMOS DISTILLATION",ISNUMBER(SEARCH("VPS",$I5397))=FALSE,LEFT($I5397,6)&lt;&gt;"VACUUM"),"CDU",IF($H5397="FLUID CAT CRACKING","FCC",IF(OR($H5397="HYDROCRACKING",$H5397="RESID_HYDROCRACKING"),"Hydrocracker",IF($H5397="REFORMING","Reformer",""))))</f>
        <v>FCC</v>
      </c>
      <c r="H5397" s="6" t="s">
        <v>376</v>
      </c>
      <c r="I5397" s="6" t="s">
        <v>657</v>
      </c>
      <c r="J5397" s="6" t="s">
        <v>349</v>
      </c>
      <c r="K5397" s="10">
        <v>17.64</v>
      </c>
      <c r="L5397" s="10">
        <v>42</v>
      </c>
      <c r="M5397" s="6" t="s">
        <v>375</v>
      </c>
    </row>
    <row r="5398" spans="1:13">
      <c r="A5398" s="6">
        <v>2025</v>
      </c>
      <c r="B5398" s="6">
        <v>3</v>
      </c>
      <c r="C5398" s="6" t="s">
        <v>61</v>
      </c>
      <c r="D5398" s="6" t="s">
        <v>380</v>
      </c>
      <c r="E5398" s="6" t="s">
        <v>381</v>
      </c>
      <c r="F5398" s="6" t="str">
        <f>IF($M5398="PADD I","PADD 1",IF($M5398="PADD II","PADD 2",IF($M5398="PADD III","PADD 3",IF($M5398="PADD IV","PADD 4",IF($M5398="PADD V","PADD 5","")))))</f>
        <v>PADD 3</v>
      </c>
      <c r="G5398" s="6" t="str">
        <f>IF(AND($H5398="ATMOS DISTILLATION",ISNUMBER(SEARCH("VPS",$I5398))=FALSE,LEFT($I5398,6)&lt;&gt;"VACUUM"),"CDU",IF($H5398="FLUID CAT CRACKING","FCC",IF(OR($H5398="HYDROCRACKING",$H5398="RESID_HYDROCRACKING"),"Hydrocracker",IF($H5398="REFORMING","Reformer",""))))</f>
        <v>FCC</v>
      </c>
      <c r="H5398" s="6" t="s">
        <v>376</v>
      </c>
      <c r="I5398" s="6" t="s">
        <v>652</v>
      </c>
      <c r="J5398" s="6" t="s">
        <v>345</v>
      </c>
      <c r="K5398" s="10">
        <v>17.6</v>
      </c>
      <c r="L5398" s="10">
        <v>110</v>
      </c>
      <c r="M5398" s="6" t="s">
        <v>371</v>
      </c>
    </row>
    <row r="5399" spans="1:13">
      <c r="A5399" s="6">
        <v>2025</v>
      </c>
      <c r="B5399" s="6">
        <v>3</v>
      </c>
      <c r="C5399" s="6" t="s">
        <v>61</v>
      </c>
      <c r="D5399" s="6" t="s">
        <v>526</v>
      </c>
      <c r="E5399" s="6" t="s">
        <v>405</v>
      </c>
      <c r="F5399" s="6" t="str">
        <f>IF($M5399="PADD I","PADD 1",IF($M5399="PADD II","PADD 2",IF($M5399="PADD III","PADD 3",IF($M5399="PADD IV","PADD 4",IF($M5399="PADD V","PADD 5","")))))</f>
        <v>PADD 3</v>
      </c>
      <c r="G5399" s="6">
        <f>IF(AND($H5399="ATMOS DISTILLATION",ISNUMBER(SEARCH("VPS",$I5399))=FALSE,LEFT($I5399,6)&lt;&gt;"VACUUM"),"CDU",IF($H5399="FLUID CAT CRACKING","FCC",IF(OR($H5399="HYDROCRACKING",$H5399="RESID_HYDROCRACKING"),"Hydrocracker",IF($H5399="REFORMING","Reformer",""))))</f>
        <v/>
      </c>
      <c r="H5399" s="6" t="s">
        <v>43</v>
      </c>
      <c r="I5399" s="6" t="s">
        <v>1076</v>
      </c>
      <c r="J5399" s="6" t="s">
        <v>345</v>
      </c>
      <c r="K5399" s="10">
        <v>17.6</v>
      </c>
      <c r="L5399" s="10">
        <v>55</v>
      </c>
      <c r="M5399" s="6" t="s">
        <v>371</v>
      </c>
    </row>
    <row r="5400" spans="1:13">
      <c r="A5400" s="6">
        <v>2025</v>
      </c>
      <c r="B5400" s="6">
        <v>3</v>
      </c>
      <c r="C5400" s="6" t="s">
        <v>61</v>
      </c>
      <c r="D5400" s="6" t="s">
        <v>531</v>
      </c>
      <c r="E5400" s="6" t="s">
        <v>532</v>
      </c>
      <c r="F5400" s="6" t="str">
        <f>IF($M5400="PADD I","PADD 1",IF($M5400="PADD II","PADD 2",IF($M5400="PADD III","PADD 3",IF($M5400="PADD IV","PADD 4",IF($M5400="PADD V","PADD 5","")))))</f>
        <v>PADD 5</v>
      </c>
      <c r="G5400" s="6">
        <f>IF(AND($H5400="ATMOS DISTILLATION",ISNUMBER(SEARCH("VPS",$I5400))=FALSE,LEFT($I5400,6)&lt;&gt;"VACUUM"),"CDU",IF($H5400="FLUID CAT CRACKING","FCC",IF(OR($H5400="HYDROCRACKING",$H5400="RESID_HYDROCRACKING"),"Hydrocracker",IF($H5400="REFORMING","Reformer",""))))</f>
        <v/>
      </c>
      <c r="H5400" s="6" t="s">
        <v>43</v>
      </c>
      <c r="I5400" s="6" t="s">
        <v>1129</v>
      </c>
      <c r="J5400" s="6" t="s">
        <v>345</v>
      </c>
      <c r="K5400" s="10">
        <v>17.4</v>
      </c>
      <c r="L5400" s="10">
        <v>30</v>
      </c>
      <c r="M5400" s="6" t="s">
        <v>386</v>
      </c>
    </row>
    <row r="5401" spans="1:13">
      <c r="A5401" s="6">
        <v>2025</v>
      </c>
      <c r="B5401" s="6">
        <v>3</v>
      </c>
      <c r="C5401" s="6" t="s">
        <v>61</v>
      </c>
      <c r="D5401" s="6" t="s">
        <v>953</v>
      </c>
      <c r="E5401" s="6" t="s">
        <v>733</v>
      </c>
      <c r="F5401" s="6" t="str">
        <f>IF($M5401="PADD I","PADD 1",IF($M5401="PADD II","PADD 2",IF($M5401="PADD III","PADD 3",IF($M5401="PADD IV","PADD 4",IF($M5401="PADD V","PADD 5","")))))</f>
        <v>PADD 2</v>
      </c>
      <c r="G5401" s="6" t="str">
        <f>IF(AND($H5401="ATMOS DISTILLATION",ISNUMBER(SEARCH("VPS",$I5401))=FALSE,LEFT($I5401,6)&lt;&gt;"VACUUM"),"CDU",IF($H5401="FLUID CAT CRACKING","FCC",IF(OR($H5401="HYDROCRACKING",$H5401="RESID_HYDROCRACKING"),"Hydrocracker",IF($H5401="REFORMING","Reformer",""))))</f>
        <v>Hydrocracker</v>
      </c>
      <c r="H5401" s="6" t="s">
        <v>444</v>
      </c>
      <c r="I5401" s="6" t="s">
        <v>14</v>
      </c>
      <c r="J5401" s="6" t="s">
        <v>345</v>
      </c>
      <c r="K5401" s="10">
        <v>17.325</v>
      </c>
      <c r="L5401" s="10">
        <v>38.5</v>
      </c>
      <c r="M5401" s="6" t="s">
        <v>375</v>
      </c>
    </row>
    <row r="5402" spans="1:13">
      <c r="A5402" s="6">
        <v>2025</v>
      </c>
      <c r="B5402" s="6">
        <v>3</v>
      </c>
      <c r="C5402" s="6" t="s">
        <v>61</v>
      </c>
      <c r="D5402" s="6" t="s">
        <v>48</v>
      </c>
      <c r="E5402" s="6" t="s">
        <v>388</v>
      </c>
      <c r="F5402" s="6" t="str">
        <f>IF($M5402="PADD I","PADD 1",IF($M5402="PADD II","PADD 2",IF($M5402="PADD III","PADD 3",IF($M5402="PADD IV","PADD 4",IF($M5402="PADD V","PADD 5","")))))</f>
        <v>PADD 2</v>
      </c>
      <c r="G5402" s="6" t="str">
        <f>IF(AND($H5402="ATMOS DISTILLATION",ISNUMBER(SEARCH("VPS",$I5402))=FALSE,LEFT($I5402,6)&lt;&gt;"VACUUM"),"CDU",IF($H5402="FLUID CAT CRACKING","FCC",IF(OR($H5402="HYDROCRACKING",$H5402="RESID_HYDROCRACKING"),"Hydrocracker",IF($H5402="REFORMING","Reformer",""))))</f>
        <v>Reformer</v>
      </c>
      <c r="H5402" s="6" t="s">
        <v>421</v>
      </c>
      <c r="I5402" s="6" t="s">
        <v>721</v>
      </c>
      <c r="J5402" s="6" t="s">
        <v>345</v>
      </c>
      <c r="K5402" s="10">
        <v>16.77</v>
      </c>
      <c r="L5402" s="10">
        <v>43</v>
      </c>
      <c r="M5402" s="6" t="s">
        <v>375</v>
      </c>
    </row>
    <row r="5403" spans="1:13">
      <c r="A5403" s="6">
        <v>2025</v>
      </c>
      <c r="B5403" s="6">
        <v>3</v>
      </c>
      <c r="C5403" s="6" t="s">
        <v>61</v>
      </c>
      <c r="D5403" s="6" t="s">
        <v>48</v>
      </c>
      <c r="E5403" s="6" t="s">
        <v>388</v>
      </c>
      <c r="F5403" s="6" t="str">
        <f>IF($M5403="PADD I","PADD 1",IF($M5403="PADD II","PADD 2",IF($M5403="PADD III","PADD 3",IF($M5403="PADD IV","PADD 4",IF($M5403="PADD V","PADD 5","")))))</f>
        <v>PADD 2</v>
      </c>
      <c r="G5403" s="6" t="str">
        <f>IF(AND($H5403="ATMOS DISTILLATION",ISNUMBER(SEARCH("VPS",$I5403))=FALSE,LEFT($I5403,6)&lt;&gt;"VACUUM"),"CDU",IF($H5403="FLUID CAT CRACKING","FCC",IF(OR($H5403="HYDROCRACKING",$H5403="RESID_HYDROCRACKING"),"Hydrocracker",IF($H5403="REFORMING","Reformer",""))))</f>
        <v>CDU</v>
      </c>
      <c r="H5403" s="6" t="s">
        <v>38</v>
      </c>
      <c r="I5403" s="6" t="s">
        <v>720</v>
      </c>
      <c r="J5403" s="6" t="s">
        <v>349</v>
      </c>
      <c r="K5403" s="10">
        <v>16.575</v>
      </c>
      <c r="L5403" s="10">
        <v>63.75</v>
      </c>
      <c r="M5403" s="6" t="s">
        <v>375</v>
      </c>
    </row>
    <row r="5404" spans="1:13">
      <c r="A5404" s="6">
        <v>2025</v>
      </c>
      <c r="B5404" s="6">
        <v>3</v>
      </c>
      <c r="C5404" s="6" t="s">
        <v>61</v>
      </c>
      <c r="D5404" s="6" t="s">
        <v>953</v>
      </c>
      <c r="E5404" s="6" t="s">
        <v>733</v>
      </c>
      <c r="F5404" s="6" t="str">
        <f>IF($M5404="PADD I","PADD 1",IF($M5404="PADD II","PADD 2",IF($M5404="PADD III","PADD 3",IF($M5404="PADD IV","PADD 4",IF($M5404="PADD V","PADD 5","")))))</f>
        <v>PADD 2</v>
      </c>
      <c r="G5404" s="6">
        <f>IF(AND($H5404="ATMOS DISTILLATION",ISNUMBER(SEARCH("VPS",$I5404))=FALSE,LEFT($I5404,6)&lt;&gt;"VACUUM"),"CDU",IF($H5404="FLUID CAT CRACKING","FCC",IF(OR($H5404="HYDROCRACKING",$H5404="RESID_HYDROCRACKING"),"Hydrocracker",IF($H5404="REFORMING","Reformer",""))))</f>
        <v/>
      </c>
      <c r="H5404" s="6" t="s">
        <v>378</v>
      </c>
      <c r="I5404" s="6" t="s">
        <v>431</v>
      </c>
      <c r="J5404" s="6" t="s">
        <v>349</v>
      </c>
      <c r="K5404" s="10">
        <v>15.75</v>
      </c>
      <c r="L5404" s="10">
        <v>37.5</v>
      </c>
      <c r="M5404" s="6" t="s">
        <v>375</v>
      </c>
    </row>
    <row r="5405" spans="1:13">
      <c r="A5405" s="6">
        <v>2025</v>
      </c>
      <c r="B5405" s="6">
        <v>3</v>
      </c>
      <c r="C5405" s="6" t="s">
        <v>61</v>
      </c>
      <c r="D5405" s="6" t="s">
        <v>531</v>
      </c>
      <c r="E5405" s="6" t="s">
        <v>532</v>
      </c>
      <c r="F5405" s="6" t="str">
        <f>IF($M5405="PADD I","PADD 1",IF($M5405="PADD II","PADD 2",IF($M5405="PADD III","PADD 3",IF($M5405="PADD IV","PADD 4",IF($M5405="PADD V","PADD 5","")))))</f>
        <v>PADD 5</v>
      </c>
      <c r="G5405" s="6">
        <f>IF(AND($H5405="ATMOS DISTILLATION",ISNUMBER(SEARCH("VPS",$I5405))=FALSE,LEFT($I5405,6)&lt;&gt;"VACUUM"),"CDU",IF($H5405="FLUID CAT CRACKING","FCC",IF(OR($H5405="HYDROCRACKING",$H5405="RESID_HYDROCRACKING"),"Hydrocracker",IF($H5405="REFORMING","Reformer",""))))</f>
        <v/>
      </c>
      <c r="H5405" s="6" t="s">
        <v>435</v>
      </c>
      <c r="I5405" s="6" t="s">
        <v>614</v>
      </c>
      <c r="J5405" s="6" t="s">
        <v>345</v>
      </c>
      <c r="K5405" s="10">
        <v>15.66</v>
      </c>
      <c r="L5405" s="10">
        <v>27</v>
      </c>
      <c r="M5405" s="6" t="s">
        <v>386</v>
      </c>
    </row>
    <row r="5406" spans="1:13">
      <c r="A5406" s="6">
        <v>2025</v>
      </c>
      <c r="B5406" s="6">
        <v>3</v>
      </c>
      <c r="C5406" s="6" t="s">
        <v>61</v>
      </c>
      <c r="D5406" s="6" t="s">
        <v>953</v>
      </c>
      <c r="E5406" s="6" t="s">
        <v>733</v>
      </c>
      <c r="F5406" s="6" t="str">
        <f>IF($M5406="PADD I","PADD 1",IF($M5406="PADD II","PADD 2",IF($M5406="PADD III","PADD 3",IF($M5406="PADD IV","PADD 4",IF($M5406="PADD V","PADD 5","")))))</f>
        <v>PADD 2</v>
      </c>
      <c r="G5406" s="6">
        <f>IF(AND($H5406="ATMOS DISTILLATION",ISNUMBER(SEARCH("VPS",$I5406))=FALSE,LEFT($I5406,6)&lt;&gt;"VACUUM"),"CDU",IF($H5406="FLUID CAT CRACKING","FCC",IF(OR($H5406="HYDROCRACKING",$H5406="RESID_HYDROCRACKING"),"Hydrocracker",IF($H5406="REFORMING","Reformer",""))))</f>
        <v/>
      </c>
      <c r="H5406" s="6" t="s">
        <v>43</v>
      </c>
      <c r="I5406" s="6" t="s">
        <v>493</v>
      </c>
      <c r="J5406" s="6" t="s">
        <v>349</v>
      </c>
      <c r="K5406" s="10">
        <v>15.6</v>
      </c>
      <c r="L5406" s="10">
        <v>30</v>
      </c>
      <c r="M5406" s="6" t="s">
        <v>375</v>
      </c>
    </row>
    <row r="5407" spans="1:13">
      <c r="A5407" s="6">
        <v>2025</v>
      </c>
      <c r="B5407" s="6">
        <v>3</v>
      </c>
      <c r="C5407" s="6" t="s">
        <v>61</v>
      </c>
      <c r="D5407" s="6" t="s">
        <v>48</v>
      </c>
      <c r="E5407" s="6" t="s">
        <v>388</v>
      </c>
      <c r="F5407" s="6" t="str">
        <f>IF($M5407="PADD I","PADD 1",IF($M5407="PADD II","PADD 2",IF($M5407="PADD III","PADD 3",IF($M5407="PADD IV","PADD 4",IF($M5407="PADD V","PADD 5","")))))</f>
        <v>PADD 2</v>
      </c>
      <c r="G5407" s="6">
        <f>IF(AND($H5407="ATMOS DISTILLATION",ISNUMBER(SEARCH("VPS",$I5407))=FALSE,LEFT($I5407,6)&lt;&gt;"VACUUM"),"CDU",IF($H5407="FLUID CAT CRACKING","FCC",IF(OR($H5407="HYDROCRACKING",$H5407="RESID_HYDROCRACKING"),"Hydrocracker",IF($H5407="REFORMING","Reformer",""))))</f>
        <v/>
      </c>
      <c r="H5407" s="6" t="s">
        <v>43</v>
      </c>
      <c r="I5407" s="6" t="s">
        <v>741</v>
      </c>
      <c r="J5407" s="6" t="s">
        <v>345</v>
      </c>
      <c r="K5407" s="10">
        <v>14.88</v>
      </c>
      <c r="L5407" s="10">
        <v>46.5</v>
      </c>
      <c r="M5407" s="6" t="s">
        <v>375</v>
      </c>
    </row>
    <row r="5408" spans="1:13">
      <c r="A5408" s="6">
        <v>2025</v>
      </c>
      <c r="B5408" s="6">
        <v>3</v>
      </c>
      <c r="C5408" s="6" t="s">
        <v>61</v>
      </c>
      <c r="D5408" s="6" t="s">
        <v>531</v>
      </c>
      <c r="E5408" s="6" t="s">
        <v>532</v>
      </c>
      <c r="F5408" s="6" t="str">
        <f>IF($M5408="PADD I","PADD 1",IF($M5408="PADD II","PADD 2",IF($M5408="PADD III","PADD 3",IF($M5408="PADD IV","PADD 4",IF($M5408="PADD V","PADD 5","")))))</f>
        <v>PADD 5</v>
      </c>
      <c r="G5408" s="6" t="str">
        <f>IF(AND($H5408="ATMOS DISTILLATION",ISNUMBER(SEARCH("VPS",$I5408))=FALSE,LEFT($I5408,6)&lt;&gt;"VACUUM"),"CDU",IF($H5408="FLUID CAT CRACKING","FCC",IF(OR($H5408="HYDROCRACKING",$H5408="RESID_HYDROCRACKING"),"Hydrocracker",IF($H5408="REFORMING","Reformer",""))))</f>
        <v>Hydrocracker</v>
      </c>
      <c r="H5408" s="6" t="s">
        <v>444</v>
      </c>
      <c r="I5408" s="6" t="s">
        <v>14</v>
      </c>
      <c r="J5408" s="6" t="s">
        <v>345</v>
      </c>
      <c r="K5408" s="10">
        <v>14.64</v>
      </c>
      <c r="L5408" s="10">
        <v>24</v>
      </c>
      <c r="M5408" s="6" t="s">
        <v>386</v>
      </c>
    </row>
    <row r="5409" spans="1:13">
      <c r="A5409" s="6">
        <v>2025</v>
      </c>
      <c r="B5409" s="6">
        <v>3</v>
      </c>
      <c r="C5409" s="6" t="s">
        <v>61</v>
      </c>
      <c r="D5409" s="6" t="s">
        <v>531</v>
      </c>
      <c r="E5409" s="6" t="s">
        <v>532</v>
      </c>
      <c r="F5409" s="6" t="str">
        <f>IF($M5409="PADD I","PADD 1",IF($M5409="PADD II","PADD 2",IF($M5409="PADD III","PADD 3",IF($M5409="PADD IV","PADD 4",IF($M5409="PADD V","PADD 5","")))))</f>
        <v>PADD 5</v>
      </c>
      <c r="G5409" s="6">
        <f>IF(AND($H5409="ATMOS DISTILLATION",ISNUMBER(SEARCH("VPS",$I5409))=FALSE,LEFT($I5409,6)&lt;&gt;"VACUUM"),"CDU",IF($H5409="FLUID CAT CRACKING","FCC",IF(OR($H5409="HYDROCRACKING",$H5409="RESID_HYDROCRACKING"),"Hydrocracker",IF($H5409="REFORMING","Reformer",""))))</f>
        <v/>
      </c>
      <c r="H5409" s="6" t="s">
        <v>435</v>
      </c>
      <c r="I5409" s="6" t="s">
        <v>599</v>
      </c>
      <c r="J5409" s="6" t="s">
        <v>345</v>
      </c>
      <c r="K5409" s="10">
        <v>14.5</v>
      </c>
      <c r="L5409" s="10">
        <v>25</v>
      </c>
      <c r="M5409" s="6" t="s">
        <v>386</v>
      </c>
    </row>
    <row r="5410" spans="1:13">
      <c r="A5410" s="6">
        <v>2025</v>
      </c>
      <c r="B5410" s="6">
        <v>3</v>
      </c>
      <c r="C5410" s="6" t="s">
        <v>61</v>
      </c>
      <c r="D5410" s="6" t="s">
        <v>531</v>
      </c>
      <c r="E5410" s="6" t="s">
        <v>532</v>
      </c>
      <c r="F5410" s="6" t="str">
        <f>IF($M5410="PADD I","PADD 1",IF($M5410="PADD II","PADD 2",IF($M5410="PADD III","PADD 3",IF($M5410="PADD IV","PADD 4",IF($M5410="PADD V","PADD 5","")))))</f>
        <v>PADD 5</v>
      </c>
      <c r="G5410" s="6">
        <f>IF(AND($H5410="ATMOS DISTILLATION",ISNUMBER(SEARCH("VPS",$I5410))=FALSE,LEFT($I5410,6)&lt;&gt;"VACUUM"),"CDU",IF($H5410="FLUID CAT CRACKING","FCC",IF(OR($H5410="HYDROCRACKING",$H5410="RESID_HYDROCRACKING"),"Hydrocracker",IF($H5410="REFORMING","Reformer",""))))</f>
        <v/>
      </c>
      <c r="H5410" s="6" t="s">
        <v>637</v>
      </c>
      <c r="I5410" s="6" t="s">
        <v>1296</v>
      </c>
      <c r="J5410" s="6" t="s">
        <v>345</v>
      </c>
      <c r="K5410" s="10">
        <v>14.5</v>
      </c>
      <c r="L5410" s="10">
        <v>25</v>
      </c>
      <c r="M5410" s="6" t="s">
        <v>386</v>
      </c>
    </row>
    <row r="5411" spans="1:13">
      <c r="A5411" s="6">
        <v>2025</v>
      </c>
      <c r="B5411" s="6">
        <v>3</v>
      </c>
      <c r="C5411" s="6" t="s">
        <v>61</v>
      </c>
      <c r="D5411" s="6" t="s">
        <v>953</v>
      </c>
      <c r="E5411" s="6" t="s">
        <v>733</v>
      </c>
      <c r="F5411" s="6" t="str">
        <f>IF($M5411="PADD I","PADD 1",IF($M5411="PADD II","PADD 2",IF($M5411="PADD III","PADD 3",IF($M5411="PADD IV","PADD 4",IF($M5411="PADD V","PADD 5","")))))</f>
        <v>PADD 2</v>
      </c>
      <c r="G5411" s="6" t="str">
        <f>IF(AND($H5411="ATMOS DISTILLATION",ISNUMBER(SEARCH("VPS",$I5411))=FALSE,LEFT($I5411,6)&lt;&gt;"VACUUM"),"CDU",IF($H5411="FLUID CAT CRACKING","FCC",IF(OR($H5411="HYDROCRACKING",$H5411="RESID_HYDROCRACKING"),"Hydrocracker",IF($H5411="REFORMING","Reformer",""))))</f>
        <v>Reformer</v>
      </c>
      <c r="H5411" s="6" t="s">
        <v>421</v>
      </c>
      <c r="I5411" s="6" t="s">
        <v>782</v>
      </c>
      <c r="J5411" s="6" t="s">
        <v>349</v>
      </c>
      <c r="K5411" s="10">
        <v>13.44</v>
      </c>
      <c r="L5411" s="10">
        <v>32</v>
      </c>
      <c r="M5411" s="6" t="s">
        <v>375</v>
      </c>
    </row>
    <row r="5412" spans="1:13">
      <c r="A5412" s="6">
        <v>2025</v>
      </c>
      <c r="B5412" s="6">
        <v>3</v>
      </c>
      <c r="C5412" s="6" t="s">
        <v>61</v>
      </c>
      <c r="D5412" s="6" t="s">
        <v>531</v>
      </c>
      <c r="E5412" s="6" t="s">
        <v>532</v>
      </c>
      <c r="F5412" s="6" t="str">
        <f>IF($M5412="PADD I","PADD 1",IF($M5412="PADD II","PADD 2",IF($M5412="PADD III","PADD 3",IF($M5412="PADD IV","PADD 4",IF($M5412="PADD V","PADD 5","")))))</f>
        <v>PADD 5</v>
      </c>
      <c r="G5412" s="6">
        <f>IF(AND($H5412="ATMOS DISTILLATION",ISNUMBER(SEARCH("VPS",$I5412))=FALSE,LEFT($I5412,6)&lt;&gt;"VACUUM"),"CDU",IF($H5412="FLUID CAT CRACKING","FCC",IF(OR($H5412="HYDROCRACKING",$H5412="RESID_HYDROCRACKING"),"Hydrocracker",IF($H5412="REFORMING","Reformer",""))))</f>
        <v/>
      </c>
      <c r="H5412" s="6" t="s">
        <v>460</v>
      </c>
      <c r="I5412" s="6" t="s">
        <v>616</v>
      </c>
      <c r="J5412" s="6" t="s">
        <v>345</v>
      </c>
      <c r="K5412" s="10">
        <v>13.42</v>
      </c>
      <c r="L5412" s="10">
        <v>22</v>
      </c>
      <c r="M5412" s="6" t="s">
        <v>386</v>
      </c>
    </row>
    <row r="5413" spans="1:13">
      <c r="A5413" s="6">
        <v>2025</v>
      </c>
      <c r="B5413" s="6">
        <v>3</v>
      </c>
      <c r="C5413" s="6" t="s">
        <v>61</v>
      </c>
      <c r="D5413" s="6" t="s">
        <v>953</v>
      </c>
      <c r="E5413" s="6" t="s">
        <v>733</v>
      </c>
      <c r="F5413" s="6" t="str">
        <f>IF($M5413="PADD I","PADD 1",IF($M5413="PADD II","PADD 2",IF($M5413="PADD III","PADD 3",IF($M5413="PADD IV","PADD 4",IF($M5413="PADD V","PADD 5","")))))</f>
        <v>PADD 2</v>
      </c>
      <c r="G5413" s="6">
        <f>IF(AND($H5413="ATMOS DISTILLATION",ISNUMBER(SEARCH("VPS",$I5413))=FALSE,LEFT($I5413,6)&lt;&gt;"VACUUM"),"CDU",IF($H5413="FLUID CAT CRACKING","FCC",IF(OR($H5413="HYDROCRACKING",$H5413="RESID_HYDROCRACKING"),"Hydrocracker",IF($H5413="REFORMING","Reformer",""))))</f>
        <v/>
      </c>
      <c r="H5413" s="6" t="s">
        <v>568</v>
      </c>
      <c r="I5413" s="6" t="s">
        <v>1105</v>
      </c>
      <c r="J5413" s="6" t="s">
        <v>349</v>
      </c>
      <c r="K5413" s="10">
        <v>13.104</v>
      </c>
      <c r="L5413" s="10">
        <v>25.2</v>
      </c>
      <c r="M5413" s="6" t="s">
        <v>375</v>
      </c>
    </row>
    <row r="5414" spans="1:13">
      <c r="A5414" s="6">
        <v>2025</v>
      </c>
      <c r="B5414" s="6">
        <v>3</v>
      </c>
      <c r="C5414" s="6" t="s">
        <v>61</v>
      </c>
      <c r="D5414" s="6" t="s">
        <v>390</v>
      </c>
      <c r="E5414" s="6" t="s">
        <v>391</v>
      </c>
      <c r="F5414" s="6" t="str">
        <f>IF($M5414="PADD I","PADD 1",IF($M5414="PADD II","PADD 2",IF($M5414="PADD III","PADD 3",IF($M5414="PADD IV","PADD 4",IF($M5414="PADD V","PADD 5","")))))</f>
        <v>PADD 3</v>
      </c>
      <c r="G5414" s="6">
        <f>IF(AND($H5414="ATMOS DISTILLATION",ISNUMBER(SEARCH("VPS",$I5414))=FALSE,LEFT($I5414,6)&lt;&gt;"VACUUM"),"CDU",IF($H5414="FLUID CAT CRACKING","FCC",IF(OR($H5414="HYDROCRACKING",$H5414="RESID_HYDROCRACKING"),"Hydrocracker",IF($H5414="REFORMING","Reformer",""))))</f>
        <v/>
      </c>
      <c r="H5414" s="6" t="s">
        <v>378</v>
      </c>
      <c r="I5414" s="6" t="s">
        <v>1297</v>
      </c>
      <c r="J5414" s="6" t="s">
        <v>349</v>
      </c>
      <c r="K5414" s="10">
        <v>12.8</v>
      </c>
      <c r="L5414" s="10">
        <v>80</v>
      </c>
      <c r="M5414" s="6" t="s">
        <v>371</v>
      </c>
    </row>
    <row r="5415" spans="1:13">
      <c r="A5415" s="6">
        <v>2025</v>
      </c>
      <c r="B5415" s="6">
        <v>3</v>
      </c>
      <c r="C5415" s="6" t="s">
        <v>61</v>
      </c>
      <c r="D5415" s="6" t="s">
        <v>742</v>
      </c>
      <c r="E5415" s="6" t="s">
        <v>388</v>
      </c>
      <c r="F5415" s="6" t="str">
        <f>IF($M5415="PADD I","PADD 1",IF($M5415="PADD II","PADD 2",IF($M5415="PADD III","PADD 3",IF($M5415="PADD IV","PADD 4",IF($M5415="PADD V","PADD 5","")))))</f>
        <v>PADD 5</v>
      </c>
      <c r="G5415" s="6">
        <f>IF(AND($H5415="ATMOS DISTILLATION",ISNUMBER(SEARCH("VPS",$I5415))=FALSE,LEFT($I5415,6)&lt;&gt;"VACUUM"),"CDU",IF($H5415="FLUID CAT CRACKING","FCC",IF(OR($H5415="HYDROCRACKING",$H5415="RESID_HYDROCRACKING"),"Hydrocracker",IF($H5415="REFORMING","Reformer",""))))</f>
        <v/>
      </c>
      <c r="H5415" s="6" t="s">
        <v>43</v>
      </c>
      <c r="I5415" s="6" t="s">
        <v>520</v>
      </c>
      <c r="J5415" s="6" t="s">
        <v>349</v>
      </c>
      <c r="K5415" s="10">
        <v>12</v>
      </c>
      <c r="L5415" s="10">
        <v>25</v>
      </c>
      <c r="M5415" s="6" t="s">
        <v>386</v>
      </c>
    </row>
    <row r="5416" spans="1:13">
      <c r="A5416" s="6">
        <v>2025</v>
      </c>
      <c r="B5416" s="6">
        <v>3</v>
      </c>
      <c r="C5416" s="6" t="s">
        <v>61</v>
      </c>
      <c r="D5416" s="6" t="s">
        <v>326</v>
      </c>
      <c r="E5416" s="6" t="s">
        <v>385</v>
      </c>
      <c r="F5416" s="6" t="str">
        <f>IF($M5416="PADD I","PADD 1",IF($M5416="PADD II","PADD 2",IF($M5416="PADD III","PADD 3",IF($M5416="PADD IV","PADD 4",IF($M5416="PADD V","PADD 5","")))))</f>
        <v>PADD 5</v>
      </c>
      <c r="G5416" s="6">
        <f>IF(AND($H5416="ATMOS DISTILLATION",ISNUMBER(SEARCH("VPS",$I5416))=FALSE,LEFT($I5416,6)&lt;&gt;"VACUUM"),"CDU",IF($H5416="FLUID CAT CRACKING","FCC",IF(OR($H5416="HYDROCRACKING",$H5416="RESID_HYDROCRACKING"),"Hydrocracker",IF($H5416="REFORMING","Reformer",""))))</f>
        <v/>
      </c>
      <c r="H5416" s="6" t="s">
        <v>460</v>
      </c>
      <c r="I5416" s="6" t="s">
        <v>1288</v>
      </c>
      <c r="J5416" s="6" t="s">
        <v>345</v>
      </c>
      <c r="K5416" s="10">
        <v>12</v>
      </c>
      <c r="L5416" s="10">
        <v>12</v>
      </c>
      <c r="M5416" s="6" t="s">
        <v>386</v>
      </c>
    </row>
    <row r="5417" spans="1:13">
      <c r="A5417" s="6">
        <v>2025</v>
      </c>
      <c r="B5417" s="6">
        <v>3</v>
      </c>
      <c r="C5417" s="6" t="s">
        <v>61</v>
      </c>
      <c r="D5417" s="6" t="s">
        <v>630</v>
      </c>
      <c r="E5417" s="6" t="s">
        <v>491</v>
      </c>
      <c r="F5417" s="6" t="str">
        <f>IF($M5417="PADD I","PADD 1",IF($M5417="PADD II","PADD 2",IF($M5417="PADD III","PADD 3",IF($M5417="PADD IV","PADD 4",IF($M5417="PADD V","PADD 5","")))))</f>
        <v>PADD 3</v>
      </c>
      <c r="G5417" s="6">
        <f>IF(AND($H5417="ATMOS DISTILLATION",ISNUMBER(SEARCH("VPS",$I5417))=FALSE,LEFT($I5417,6)&lt;&gt;"VACUUM"),"CDU",IF($H5417="FLUID CAT CRACKING","FCC",IF(OR($H5417="HYDROCRACKING",$H5417="RESID_HYDROCRACKING"),"Hydrocracker",IF($H5417="REFORMING","Reformer",""))))</f>
        <v/>
      </c>
      <c r="H5417" s="6" t="s">
        <v>43</v>
      </c>
      <c r="I5417" s="6" t="s">
        <v>464</v>
      </c>
      <c r="J5417" s="6" t="s">
        <v>345</v>
      </c>
      <c r="K5417" s="10">
        <v>12</v>
      </c>
      <c r="L5417" s="10">
        <v>12</v>
      </c>
      <c r="M5417" s="6" t="s">
        <v>371</v>
      </c>
    </row>
    <row r="5418" spans="1:13">
      <c r="A5418" s="6">
        <v>2025</v>
      </c>
      <c r="B5418" s="6">
        <v>3</v>
      </c>
      <c r="C5418" s="6" t="s">
        <v>61</v>
      </c>
      <c r="D5418" s="6" t="s">
        <v>742</v>
      </c>
      <c r="E5418" s="6" t="s">
        <v>388</v>
      </c>
      <c r="F5418" s="6" t="str">
        <f>IF($M5418="PADD I","PADD 1",IF($M5418="PADD II","PADD 2",IF($M5418="PADD III","PADD 3",IF($M5418="PADD IV","PADD 4",IF($M5418="PADD V","PADD 5","")))))</f>
        <v>PADD 5</v>
      </c>
      <c r="G5418" s="6" t="str">
        <f>IF(AND($H5418="ATMOS DISTILLATION",ISNUMBER(SEARCH("VPS",$I5418))=FALSE,LEFT($I5418,6)&lt;&gt;"VACUUM"),"CDU",IF($H5418="FLUID CAT CRACKING","FCC",IF(OR($H5418="HYDROCRACKING",$H5418="RESID_HYDROCRACKING"),"Hydrocracker",IF($H5418="REFORMING","Reformer",""))))</f>
        <v>Reformer</v>
      </c>
      <c r="H5418" s="6" t="s">
        <v>421</v>
      </c>
      <c r="I5418" s="6" t="s">
        <v>15</v>
      </c>
      <c r="J5418" s="6" t="s">
        <v>345</v>
      </c>
      <c r="K5418" s="10">
        <v>11.7</v>
      </c>
      <c r="L5418" s="10">
        <v>26</v>
      </c>
      <c r="M5418" s="6" t="s">
        <v>386</v>
      </c>
    </row>
    <row r="5419" spans="1:13">
      <c r="A5419" s="6">
        <v>2025</v>
      </c>
      <c r="B5419" s="6">
        <v>3</v>
      </c>
      <c r="C5419" s="6" t="s">
        <v>61</v>
      </c>
      <c r="D5419" s="6" t="s">
        <v>742</v>
      </c>
      <c r="E5419" s="6" t="s">
        <v>388</v>
      </c>
      <c r="F5419" s="6" t="str">
        <f>IF($M5419="PADD I","PADD 1",IF($M5419="PADD II","PADD 2",IF($M5419="PADD III","PADD 3",IF($M5419="PADD IV","PADD 4",IF($M5419="PADD V","PADD 5","")))))</f>
        <v>PADD 5</v>
      </c>
      <c r="G5419" s="6" t="str">
        <f>IF(AND($H5419="ATMOS DISTILLATION",ISNUMBER(SEARCH("VPS",$I5419))=FALSE,LEFT($I5419,6)&lt;&gt;"VACUUM"),"CDU",IF($H5419="FLUID CAT CRACKING","FCC",IF(OR($H5419="HYDROCRACKING",$H5419="RESID_HYDROCRACKING"),"Hydrocracker",IF($H5419="REFORMING","Reformer",""))))</f>
        <v>Reformer</v>
      </c>
      <c r="H5419" s="6" t="s">
        <v>421</v>
      </c>
      <c r="I5419" s="6" t="s">
        <v>15</v>
      </c>
      <c r="J5419" s="6" t="s">
        <v>349</v>
      </c>
      <c r="K5419" s="10">
        <v>11.664</v>
      </c>
      <c r="L5419" s="10">
        <v>24.3</v>
      </c>
      <c r="M5419" s="6" t="s">
        <v>386</v>
      </c>
    </row>
    <row r="5420" spans="1:13">
      <c r="A5420" s="6">
        <v>2025</v>
      </c>
      <c r="B5420" s="6">
        <v>3</v>
      </c>
      <c r="C5420" s="6" t="s">
        <v>61</v>
      </c>
      <c r="D5420" s="6" t="s">
        <v>437</v>
      </c>
      <c r="E5420" s="6" t="s">
        <v>438</v>
      </c>
      <c r="F5420" s="6" t="str">
        <f>IF($M5420="PADD I","PADD 1",IF($M5420="PADD II","PADD 2",IF($M5420="PADD III","PADD 3",IF($M5420="PADD IV","PADD 4",IF($M5420="PADD V","PADD 5","")))))</f>
        <v>PADD 4</v>
      </c>
      <c r="G5420" s="6" t="str">
        <f>IF(AND($H5420="ATMOS DISTILLATION",ISNUMBER(SEARCH("VPS",$I5420))=FALSE,LEFT($I5420,6)&lt;&gt;"VACUUM"),"CDU",IF($H5420="FLUID CAT CRACKING","FCC",IF(OR($H5420="HYDROCRACKING",$H5420="RESID_HYDROCRACKING"),"Hydrocracker",IF($H5420="REFORMING","Reformer",""))))</f>
        <v>CDU</v>
      </c>
      <c r="H5420" s="6" t="s">
        <v>38</v>
      </c>
      <c r="I5420" s="6" t="s">
        <v>330</v>
      </c>
      <c r="J5420" s="6" t="s">
        <v>345</v>
      </c>
      <c r="K5420" s="10">
        <v>11.31</v>
      </c>
      <c r="L5420" s="10">
        <v>39</v>
      </c>
      <c r="M5420" s="6" t="s">
        <v>430</v>
      </c>
    </row>
    <row r="5421" spans="1:13">
      <c r="A5421" s="6">
        <v>2025</v>
      </c>
      <c r="B5421" s="6">
        <v>3</v>
      </c>
      <c r="C5421" s="6" t="s">
        <v>61</v>
      </c>
      <c r="D5421" s="6" t="s">
        <v>387</v>
      </c>
      <c r="E5421" s="6" t="s">
        <v>388</v>
      </c>
      <c r="F5421" s="6" t="str">
        <f>IF($M5421="PADD I","PADD 1",IF($M5421="PADD II","PADD 2",IF($M5421="PADD III","PADD 3",IF($M5421="PADD IV","PADD 4",IF($M5421="PADD V","PADD 5","")))))</f>
        <v>PADD 3</v>
      </c>
      <c r="G5421" s="6">
        <f>IF(AND($H5421="ATMOS DISTILLATION",ISNUMBER(SEARCH("VPS",$I5421))=FALSE,LEFT($I5421,6)&lt;&gt;"VACUUM"),"CDU",IF($H5421="FLUID CAT CRACKING","FCC",IF(OR($H5421="HYDROCRACKING",$H5421="RESID_HYDROCRACKING"),"Hydrocracker",IF($H5421="REFORMING","Reformer",""))))</f>
        <v/>
      </c>
      <c r="H5421" s="6" t="s">
        <v>378</v>
      </c>
      <c r="I5421" s="6" t="s">
        <v>1269</v>
      </c>
      <c r="J5421" s="6" t="s">
        <v>349</v>
      </c>
      <c r="K5421" s="10">
        <v>11.25</v>
      </c>
      <c r="L5421" s="10">
        <v>112.5</v>
      </c>
      <c r="M5421" s="6" t="s">
        <v>371</v>
      </c>
    </row>
    <row r="5422" spans="1:13">
      <c r="A5422" s="6">
        <v>2025</v>
      </c>
      <c r="B5422" s="6">
        <v>3</v>
      </c>
      <c r="C5422" s="6" t="s">
        <v>61</v>
      </c>
      <c r="D5422" s="6" t="s">
        <v>953</v>
      </c>
      <c r="E5422" s="6" t="s">
        <v>733</v>
      </c>
      <c r="F5422" s="6" t="str">
        <f>IF($M5422="PADD I","PADD 1",IF($M5422="PADD II","PADD 2",IF($M5422="PADD III","PADD 3",IF($M5422="PADD IV","PADD 4",IF($M5422="PADD V","PADD 5","")))))</f>
        <v>PADD 2</v>
      </c>
      <c r="G5422" s="6">
        <f>IF(AND($H5422="ATMOS DISTILLATION",ISNUMBER(SEARCH("VPS",$I5422))=FALSE,LEFT($I5422,6)&lt;&gt;"VACUUM"),"CDU",IF($H5422="FLUID CAT CRACKING","FCC",IF(OR($H5422="HYDROCRACKING",$H5422="RESID_HYDROCRACKING"),"Hydrocracker",IF($H5422="REFORMING","Reformer",""))))</f>
        <v/>
      </c>
      <c r="H5422" s="6" t="s">
        <v>435</v>
      </c>
      <c r="I5422" s="6" t="s">
        <v>441</v>
      </c>
      <c r="J5422" s="6" t="s">
        <v>349</v>
      </c>
      <c r="K5422" s="10">
        <v>10.5</v>
      </c>
      <c r="L5422" s="10">
        <v>25</v>
      </c>
      <c r="M5422" s="6" t="s">
        <v>375</v>
      </c>
    </row>
    <row r="5423" spans="1:13">
      <c r="A5423" s="6">
        <v>2025</v>
      </c>
      <c r="B5423" s="6">
        <v>3</v>
      </c>
      <c r="C5423" s="6" t="s">
        <v>61</v>
      </c>
      <c r="D5423" s="6" t="s">
        <v>408</v>
      </c>
      <c r="E5423" s="6" t="s">
        <v>409</v>
      </c>
      <c r="F5423" s="6" t="str">
        <f>IF($M5423="PADD I","PADD 1",IF($M5423="PADD II","PADD 2",IF($M5423="PADD III","PADD 3",IF($M5423="PADD IV","PADD 4",IF($M5423="PADD V","PADD 5","")))))</f>
        <v>PADD 3</v>
      </c>
      <c r="G5423" s="6" t="str">
        <f>IF(AND($H5423="ATMOS DISTILLATION",ISNUMBER(SEARCH("VPS",$I5423))=FALSE,LEFT($I5423,6)&lt;&gt;"VACUUM"),"CDU",IF($H5423="FLUID CAT CRACKING","FCC",IF(OR($H5423="HYDROCRACKING",$H5423="RESID_HYDROCRACKING"),"Hydrocracker",IF($H5423="REFORMING","Reformer",""))))</f>
        <v>CDU</v>
      </c>
      <c r="H5423" s="6" t="s">
        <v>38</v>
      </c>
      <c r="I5423" s="6" t="s">
        <v>410</v>
      </c>
      <c r="J5423" s="6" t="s">
        <v>345</v>
      </c>
      <c r="K5423" s="10">
        <v>10.4</v>
      </c>
      <c r="L5423" s="10">
        <v>80</v>
      </c>
      <c r="M5423" s="6" t="s">
        <v>371</v>
      </c>
    </row>
    <row r="5424" spans="1:13">
      <c r="A5424" s="6">
        <v>2025</v>
      </c>
      <c r="B5424" s="6">
        <v>3</v>
      </c>
      <c r="C5424" s="6" t="s">
        <v>61</v>
      </c>
      <c r="D5424" s="6" t="s">
        <v>953</v>
      </c>
      <c r="E5424" s="6" t="s">
        <v>733</v>
      </c>
      <c r="F5424" s="6" t="str">
        <f>IF($M5424="PADD I","PADD 1",IF($M5424="PADD II","PADD 2",IF($M5424="PADD III","PADD 3",IF($M5424="PADD IV","PADD 4",IF($M5424="PADD V","PADD 5","")))))</f>
        <v>PADD 2</v>
      </c>
      <c r="G5424" s="6" t="str">
        <f>IF(AND($H5424="ATMOS DISTILLATION",ISNUMBER(SEARCH("VPS",$I5424))=FALSE,LEFT($I5424,6)&lt;&gt;"VACUUM"),"CDU",IF($H5424="FLUID CAT CRACKING","FCC",IF(OR($H5424="HYDROCRACKING",$H5424="RESID_HYDROCRACKING"),"Hydrocracker",IF($H5424="REFORMING","Reformer",""))))</f>
        <v>FCC</v>
      </c>
      <c r="H5424" s="6" t="s">
        <v>376</v>
      </c>
      <c r="I5424" s="6" t="s">
        <v>105</v>
      </c>
      <c r="J5424" s="6" t="s">
        <v>349</v>
      </c>
      <c r="K5424" s="10">
        <v>10.215</v>
      </c>
      <c r="L5424" s="10">
        <v>22.7</v>
      </c>
      <c r="M5424" s="6" t="s">
        <v>375</v>
      </c>
    </row>
    <row r="5425" spans="1:13">
      <c r="A5425" s="6">
        <v>2025</v>
      </c>
      <c r="B5425" s="6">
        <v>3</v>
      </c>
      <c r="C5425" s="6" t="s">
        <v>61</v>
      </c>
      <c r="D5425" s="6" t="s">
        <v>321</v>
      </c>
      <c r="E5425" s="6" t="s">
        <v>381</v>
      </c>
      <c r="F5425" s="6" t="str">
        <f>IF($M5425="PADD I","PADD 1",IF($M5425="PADD II","PADD 2",IF($M5425="PADD III","PADD 3",IF($M5425="PADD IV","PADD 4",IF($M5425="PADD V","PADD 5","")))))</f>
        <v>PADD 2</v>
      </c>
      <c r="G5425" s="6" t="str">
        <f>IF(AND($H5425="ATMOS DISTILLATION",ISNUMBER(SEARCH("VPS",$I5425))=FALSE,LEFT($I5425,6)&lt;&gt;"VACUUM"),"CDU",IF($H5425="FLUID CAT CRACKING","FCC",IF(OR($H5425="HYDROCRACKING",$H5425="RESID_HYDROCRACKING"),"Hydrocracker",IF($H5425="REFORMING","Reformer",""))))</f>
        <v>FCC</v>
      </c>
      <c r="H5425" s="6" t="s">
        <v>376</v>
      </c>
      <c r="I5425" s="6" t="s">
        <v>105</v>
      </c>
      <c r="J5425" s="6" t="s">
        <v>349</v>
      </c>
      <c r="K5425" s="10">
        <v>10.15</v>
      </c>
      <c r="L5425" s="10">
        <v>35</v>
      </c>
      <c r="M5425" s="6" t="s">
        <v>375</v>
      </c>
    </row>
    <row r="5426" spans="1:13">
      <c r="A5426" s="6">
        <v>2025</v>
      </c>
      <c r="B5426" s="6">
        <v>3</v>
      </c>
      <c r="C5426" s="6" t="s">
        <v>61</v>
      </c>
      <c r="D5426" s="6" t="s">
        <v>448</v>
      </c>
      <c r="E5426" s="6" t="s">
        <v>391</v>
      </c>
      <c r="F5426" s="6" t="str">
        <f>IF($M5426="PADD I","PADD 1",IF($M5426="PADD II","PADD 2",IF($M5426="PADD III","PADD 3",IF($M5426="PADD IV","PADD 4",IF($M5426="PADD V","PADD 5","")))))</f>
        <v>PADD 3</v>
      </c>
      <c r="G5426" s="6">
        <f>IF(AND($H5426="ATMOS DISTILLATION",ISNUMBER(SEARCH("VPS",$I5426))=FALSE,LEFT($I5426,6)&lt;&gt;"VACUUM"),"CDU",IF($H5426="FLUID CAT CRACKING","FCC",IF(OR($H5426="HYDROCRACKING",$H5426="RESID_HYDROCRACKING"),"Hydrocracker",IF($H5426="REFORMING","Reformer",""))))</f>
        <v/>
      </c>
      <c r="H5426" s="6" t="s">
        <v>43</v>
      </c>
      <c r="I5426" s="6" t="s">
        <v>449</v>
      </c>
      <c r="J5426" s="6" t="s">
        <v>345</v>
      </c>
      <c r="K5426" s="10">
        <v>10.15</v>
      </c>
      <c r="L5426" s="10">
        <v>35</v>
      </c>
      <c r="M5426" s="6" t="s">
        <v>371</v>
      </c>
    </row>
    <row r="5427" spans="1:13">
      <c r="A5427" s="6">
        <v>2025</v>
      </c>
      <c r="B5427" s="6">
        <v>3</v>
      </c>
      <c r="C5427" s="6" t="s">
        <v>61</v>
      </c>
      <c r="D5427" s="6" t="s">
        <v>490</v>
      </c>
      <c r="E5427" s="6" t="s">
        <v>491</v>
      </c>
      <c r="F5427" s="6" t="str">
        <f>IF($M5427="PADD I","PADD 1",IF($M5427="PADD II","PADD 2",IF($M5427="PADD III","PADD 3",IF($M5427="PADD IV","PADD 4",IF($M5427="PADD V","PADD 5","")))))</f>
        <v>PADD 3</v>
      </c>
      <c r="G5427" s="6">
        <f>IF(AND($H5427="ATMOS DISTILLATION",ISNUMBER(SEARCH("VPS",$I5427))=FALSE,LEFT($I5427,6)&lt;&gt;"VACUUM"),"CDU",IF($H5427="FLUID CAT CRACKING","FCC",IF(OR($H5427="HYDROCRACKING",$H5427="RESID_HYDROCRACKING"),"Hydrocracker",IF($H5427="REFORMING","Reformer",""))))</f>
        <v/>
      </c>
      <c r="H5427" s="6" t="s">
        <v>460</v>
      </c>
      <c r="I5427" s="6" t="s">
        <v>1193</v>
      </c>
      <c r="J5427" s="6" t="s">
        <v>349</v>
      </c>
      <c r="K5427" s="10">
        <v>9.9</v>
      </c>
      <c r="L5427" s="10">
        <v>18</v>
      </c>
      <c r="M5427" s="6" t="s">
        <v>371</v>
      </c>
    </row>
    <row r="5428" spans="1:13">
      <c r="A5428" s="6">
        <v>2025</v>
      </c>
      <c r="B5428" s="6">
        <v>3</v>
      </c>
      <c r="C5428" s="6" t="s">
        <v>61</v>
      </c>
      <c r="D5428" s="6" t="s">
        <v>321</v>
      </c>
      <c r="E5428" s="6" t="s">
        <v>381</v>
      </c>
      <c r="F5428" s="6" t="str">
        <f>IF($M5428="PADD I","PADD 1",IF($M5428="PADD II","PADD 2",IF($M5428="PADD III","PADD 3",IF($M5428="PADD IV","PADD 4",IF($M5428="PADD V","PADD 5","")))))</f>
        <v>PADD 2</v>
      </c>
      <c r="G5428" s="6" t="str">
        <f>IF(AND($H5428="ATMOS DISTILLATION",ISNUMBER(SEARCH("VPS",$I5428))=FALSE,LEFT($I5428,6)&lt;&gt;"VACUUM"),"CDU",IF($H5428="FLUID CAT CRACKING","FCC",IF(OR($H5428="HYDROCRACKING",$H5428="RESID_HYDROCRACKING"),"Hydrocracker",IF($H5428="REFORMING","Reformer",""))))</f>
        <v>CDU</v>
      </c>
      <c r="H5428" s="6" t="s">
        <v>38</v>
      </c>
      <c r="I5428" s="6" t="s">
        <v>81</v>
      </c>
      <c r="J5428" s="6" t="s">
        <v>349</v>
      </c>
      <c r="K5428" s="10">
        <v>9.5</v>
      </c>
      <c r="L5428" s="10">
        <v>50</v>
      </c>
      <c r="M5428" s="6" t="s">
        <v>375</v>
      </c>
    </row>
    <row r="5429" spans="1:13">
      <c r="A5429" s="6">
        <v>2025</v>
      </c>
      <c r="B5429" s="6">
        <v>3</v>
      </c>
      <c r="C5429" s="6" t="s">
        <v>61</v>
      </c>
      <c r="D5429" s="6" t="s">
        <v>851</v>
      </c>
      <c r="E5429" s="6" t="s">
        <v>852</v>
      </c>
      <c r="F5429" s="6" t="str">
        <f>IF($M5429="PADD I","PADD 1",IF($M5429="PADD II","PADD 2",IF($M5429="PADD III","PADD 3",IF($M5429="PADD IV","PADD 4",IF($M5429="PADD V","PADD 5","")))))</f>
        <v>PADD 3</v>
      </c>
      <c r="G5429" s="6" t="str">
        <f>IF(AND($H5429="ATMOS DISTILLATION",ISNUMBER(SEARCH("VPS",$I5429))=FALSE,LEFT($I5429,6)&lt;&gt;"VACUUM"),"CDU",IF($H5429="FLUID CAT CRACKING","FCC",IF(OR($H5429="HYDROCRACKING",$H5429="RESID_HYDROCRACKING"),"Hydrocracker",IF($H5429="REFORMING","Reformer",""))))</f>
        <v>CDU</v>
      </c>
      <c r="H5429" s="6" t="s">
        <v>38</v>
      </c>
      <c r="I5429" s="6" t="s">
        <v>854</v>
      </c>
      <c r="J5429" s="6" t="s">
        <v>345</v>
      </c>
      <c r="K5429" s="10">
        <v>9.49</v>
      </c>
      <c r="L5429" s="10">
        <v>73</v>
      </c>
      <c r="M5429" s="6" t="s">
        <v>371</v>
      </c>
    </row>
    <row r="5430" spans="1:13">
      <c r="A5430" s="6">
        <v>2025</v>
      </c>
      <c r="B5430" s="6">
        <v>3</v>
      </c>
      <c r="C5430" s="6" t="s">
        <v>61</v>
      </c>
      <c r="D5430" s="6" t="s">
        <v>455</v>
      </c>
      <c r="E5430" s="6" t="s">
        <v>405</v>
      </c>
      <c r="F5430" s="6" t="str">
        <f>IF($M5430="PADD I","PADD 1",IF($M5430="PADD II","PADD 2",IF($M5430="PADD III","PADD 3",IF($M5430="PADD IV","PADD 4",IF($M5430="PADD V","PADD 5","")))))</f>
        <v>PADD 3</v>
      </c>
      <c r="G5430" s="6">
        <f>IF(AND($H5430="ATMOS DISTILLATION",ISNUMBER(SEARCH("VPS",$I5430))=FALSE,LEFT($I5430,6)&lt;&gt;"VACUUM"),"CDU",IF($H5430="FLUID CAT CRACKING","FCC",IF(OR($H5430="HYDROCRACKING",$H5430="RESID_HYDROCRACKING"),"Hydrocracker",IF($H5430="REFORMING","Reformer",""))))</f>
        <v/>
      </c>
      <c r="H5430" s="6" t="s">
        <v>460</v>
      </c>
      <c r="I5430" s="6" t="s">
        <v>461</v>
      </c>
      <c r="J5430" s="6" t="s">
        <v>349</v>
      </c>
      <c r="K5430" s="10">
        <v>9.449999999999999</v>
      </c>
      <c r="L5430" s="10">
        <v>21</v>
      </c>
      <c r="M5430" s="6" t="s">
        <v>371</v>
      </c>
    </row>
    <row r="5431" spans="1:13">
      <c r="A5431" s="6">
        <v>2025</v>
      </c>
      <c r="B5431" s="6">
        <v>3</v>
      </c>
      <c r="C5431" s="6" t="s">
        <v>61</v>
      </c>
      <c r="D5431" s="6" t="s">
        <v>326</v>
      </c>
      <c r="E5431" s="6" t="s">
        <v>385</v>
      </c>
      <c r="F5431" s="6" t="str">
        <f>IF($M5431="PADD I","PADD 1",IF($M5431="PADD II","PADD 2",IF($M5431="PADD III","PADD 3",IF($M5431="PADD IV","PADD 4",IF($M5431="PADD V","PADD 5","")))))</f>
        <v>PADD 5</v>
      </c>
      <c r="G5431" s="6" t="str">
        <f>IF(AND($H5431="ATMOS DISTILLATION",ISNUMBER(SEARCH("VPS",$I5431))=FALSE,LEFT($I5431,6)&lt;&gt;"VACUUM"),"CDU",IF($H5431="FLUID CAT CRACKING","FCC",IF(OR($H5431="HYDROCRACKING",$H5431="RESID_HYDROCRACKING"),"Hydrocracker",IF($H5431="REFORMING","Reformer",""))))</f>
        <v>FCC</v>
      </c>
      <c r="H5431" s="6" t="s">
        <v>376</v>
      </c>
      <c r="I5431" s="6" t="s">
        <v>504</v>
      </c>
      <c r="J5431" s="6" t="s">
        <v>345</v>
      </c>
      <c r="K5431" s="10">
        <v>9.1</v>
      </c>
      <c r="L5431" s="10">
        <v>70</v>
      </c>
      <c r="M5431" s="6" t="s">
        <v>386</v>
      </c>
    </row>
    <row r="5432" spans="1:13">
      <c r="A5432" s="6">
        <v>2025</v>
      </c>
      <c r="B5432" s="6">
        <v>3</v>
      </c>
      <c r="C5432" s="6" t="s">
        <v>61</v>
      </c>
      <c r="D5432" s="6" t="s">
        <v>321</v>
      </c>
      <c r="E5432" s="6" t="s">
        <v>381</v>
      </c>
      <c r="F5432" s="6" t="str">
        <f>IF($M5432="PADD I","PADD 1",IF($M5432="PADD II","PADD 2",IF($M5432="PADD III","PADD 3",IF($M5432="PADD IV","PADD 4",IF($M5432="PADD V","PADD 5","")))))</f>
        <v>PADD 2</v>
      </c>
      <c r="G5432" s="6">
        <f>IF(AND($H5432="ATMOS DISTILLATION",ISNUMBER(SEARCH("VPS",$I5432))=FALSE,LEFT($I5432,6)&lt;&gt;"VACUUM"),"CDU",IF($H5432="FLUID CAT CRACKING","FCC",IF(OR($H5432="HYDROCRACKING",$H5432="RESID_HYDROCRACKING"),"Hydrocracker",IF($H5432="REFORMING","Reformer",""))))</f>
        <v/>
      </c>
      <c r="H5432" s="6" t="s">
        <v>435</v>
      </c>
      <c r="I5432" s="6" t="s">
        <v>441</v>
      </c>
      <c r="J5432" s="6" t="s">
        <v>349</v>
      </c>
      <c r="K5432" s="10">
        <v>8.699999999999999</v>
      </c>
      <c r="L5432" s="10">
        <v>30</v>
      </c>
      <c r="M5432" s="6" t="s">
        <v>375</v>
      </c>
    </row>
    <row r="5433" spans="1:13">
      <c r="A5433" s="6">
        <v>2025</v>
      </c>
      <c r="B5433" s="6">
        <v>3</v>
      </c>
      <c r="C5433" s="6" t="s">
        <v>61</v>
      </c>
      <c r="D5433" s="6" t="s">
        <v>610</v>
      </c>
      <c r="E5433" s="6" t="s">
        <v>611</v>
      </c>
      <c r="F5433" s="6" t="str">
        <f>IF($M5433="PADD I","PADD 1",IF($M5433="PADD II","PADD 2",IF($M5433="PADD III","PADD 3",IF($M5433="PADD IV","PADD 4",IF($M5433="PADD V","PADD 5","")))))</f>
        <v>PADD 2</v>
      </c>
      <c r="G5433" s="6">
        <f>IF(AND($H5433="ATMOS DISTILLATION",ISNUMBER(SEARCH("VPS",$I5433))=FALSE,LEFT($I5433,6)&lt;&gt;"VACUUM"),"CDU",IF($H5433="FLUID CAT CRACKING","FCC",IF(OR($H5433="HYDROCRACKING",$H5433="RESID_HYDROCRACKING"),"Hydrocracker",IF($H5433="REFORMING","Reformer",""))))</f>
        <v/>
      </c>
      <c r="H5433" s="6" t="s">
        <v>460</v>
      </c>
      <c r="I5433" s="6" t="s">
        <v>616</v>
      </c>
      <c r="J5433" s="6" t="s">
        <v>349</v>
      </c>
      <c r="K5433" s="10">
        <v>8</v>
      </c>
      <c r="L5433" s="10">
        <v>8</v>
      </c>
      <c r="M5433" s="6" t="s">
        <v>375</v>
      </c>
    </row>
    <row r="5434" spans="1:13">
      <c r="A5434" s="6">
        <v>2025</v>
      </c>
      <c r="B5434" s="6">
        <v>3</v>
      </c>
      <c r="C5434" s="6" t="s">
        <v>61</v>
      </c>
      <c r="D5434" s="6" t="s">
        <v>322</v>
      </c>
      <c r="E5434" s="6" t="s">
        <v>369</v>
      </c>
      <c r="F5434" s="6" t="str">
        <f>IF($M5434="PADD I","PADD 1",IF($M5434="PADD II","PADD 2",IF($M5434="PADD III","PADD 3",IF($M5434="PADD IV","PADD 4",IF($M5434="PADD V","PADD 5","")))))</f>
        <v>PADD 2</v>
      </c>
      <c r="G5434" s="6" t="str">
        <f>IF(AND($H5434="ATMOS DISTILLATION",ISNUMBER(SEARCH("VPS",$I5434))=FALSE,LEFT($I5434,6)&lt;&gt;"VACUUM"),"CDU",IF($H5434="FLUID CAT CRACKING","FCC",IF(OR($H5434="HYDROCRACKING",$H5434="RESID_HYDROCRACKING"),"Hydrocracker",IF($H5434="REFORMING","Reformer",""))))</f>
        <v>Reformer</v>
      </c>
      <c r="H5434" s="6" t="s">
        <v>421</v>
      </c>
      <c r="I5434" s="6" t="s">
        <v>706</v>
      </c>
      <c r="J5434" s="6" t="s">
        <v>345</v>
      </c>
      <c r="K5434" s="10">
        <v>7.215</v>
      </c>
      <c r="L5434" s="10">
        <v>18.5</v>
      </c>
      <c r="M5434" s="6" t="s">
        <v>375</v>
      </c>
    </row>
    <row r="5435" spans="1:13">
      <c r="A5435" s="6">
        <v>2025</v>
      </c>
      <c r="B5435" s="6">
        <v>3</v>
      </c>
      <c r="C5435" s="6" t="s">
        <v>61</v>
      </c>
      <c r="D5435" s="6" t="s">
        <v>451</v>
      </c>
      <c r="E5435" s="6" t="s">
        <v>452</v>
      </c>
      <c r="F5435" s="6" t="str">
        <f>IF($M5435="PADD I","PADD 1",IF($M5435="PADD II","PADD 2",IF($M5435="PADD III","PADD 3",IF($M5435="PADD IV","PADD 4",IF($M5435="PADD V","PADD 5","")))))</f>
        <v>PADD 2</v>
      </c>
      <c r="G5435" s="6">
        <f>IF(AND($H5435="ATMOS DISTILLATION",ISNUMBER(SEARCH("VPS",$I5435))=FALSE,LEFT($I5435,6)&lt;&gt;"VACUUM"),"CDU",IF($H5435="FLUID CAT CRACKING","FCC",IF(OR($H5435="HYDROCRACKING",$H5435="RESID_HYDROCRACKING"),"Hydrocracker",IF($H5435="REFORMING","Reformer",""))))</f>
        <v/>
      </c>
      <c r="H5435" s="6" t="s">
        <v>43</v>
      </c>
      <c r="I5435" s="6" t="s">
        <v>896</v>
      </c>
      <c r="J5435" s="6" t="s">
        <v>349</v>
      </c>
      <c r="K5435" s="10">
        <v>7</v>
      </c>
      <c r="L5435" s="10">
        <v>7</v>
      </c>
      <c r="M5435" s="6" t="s">
        <v>375</v>
      </c>
    </row>
    <row r="5436" spans="1:13">
      <c r="A5436" s="6">
        <v>2025</v>
      </c>
      <c r="B5436" s="6">
        <v>3</v>
      </c>
      <c r="C5436" s="6" t="s">
        <v>61</v>
      </c>
      <c r="D5436" s="6" t="s">
        <v>878</v>
      </c>
      <c r="E5436" s="6" t="s">
        <v>452</v>
      </c>
      <c r="F5436" s="6" t="str">
        <f>IF($M5436="PADD I","PADD 1",IF($M5436="PADD II","PADD 2",IF($M5436="PADD III","PADD 3",IF($M5436="PADD IV","PADD 4",IF($M5436="PADD V","PADD 5","")))))</f>
        <v>PADD 2</v>
      </c>
      <c r="G5436" s="6">
        <f>IF(AND($H5436="ATMOS DISTILLATION",ISNUMBER(SEARCH("VPS",$I5436))=FALSE,LEFT($I5436,6)&lt;&gt;"VACUUM"),"CDU",IF($H5436="FLUID CAT CRACKING","FCC",IF(OR($H5436="HYDROCRACKING",$H5436="RESID_HYDROCRACKING"),"Hydrocracker",IF($H5436="REFORMING","Reformer",""))))</f>
        <v/>
      </c>
      <c r="H5436" s="6" t="s">
        <v>435</v>
      </c>
      <c r="I5436" s="6" t="s">
        <v>441</v>
      </c>
      <c r="J5436" s="6" t="s">
        <v>345</v>
      </c>
      <c r="K5436" s="10">
        <v>6.885</v>
      </c>
      <c r="L5436" s="10">
        <v>8.5</v>
      </c>
      <c r="M5436" s="6" t="s">
        <v>375</v>
      </c>
    </row>
    <row r="5437" spans="1:13">
      <c r="A5437" s="6">
        <v>2025</v>
      </c>
      <c r="B5437" s="6">
        <v>3</v>
      </c>
      <c r="C5437" s="6" t="s">
        <v>61</v>
      </c>
      <c r="D5437" s="6" t="s">
        <v>408</v>
      </c>
      <c r="E5437" s="6" t="s">
        <v>409</v>
      </c>
      <c r="F5437" s="6" t="str">
        <f>IF($M5437="PADD I","PADD 1",IF($M5437="PADD II","PADD 2",IF($M5437="PADD III","PADD 3",IF($M5437="PADD IV","PADD 4",IF($M5437="PADD V","PADD 5","")))))</f>
        <v>PADD 3</v>
      </c>
      <c r="G5437" s="6">
        <f>IF(AND($H5437="ATMOS DISTILLATION",ISNUMBER(SEARCH("VPS",$I5437))=FALSE,LEFT($I5437,6)&lt;&gt;"VACUUM"),"CDU",IF($H5437="FLUID CAT CRACKING","FCC",IF(OR($H5437="HYDROCRACKING",$H5437="RESID_HYDROCRACKING"),"Hydrocracker",IF($H5437="REFORMING","Reformer",""))))</f>
        <v/>
      </c>
      <c r="H5437" s="6" t="s">
        <v>378</v>
      </c>
      <c r="I5437" s="6" t="s">
        <v>506</v>
      </c>
      <c r="J5437" s="6" t="s">
        <v>345</v>
      </c>
      <c r="K5437" s="10">
        <v>6.76</v>
      </c>
      <c r="L5437" s="10">
        <v>52</v>
      </c>
      <c r="M5437" s="6" t="s">
        <v>371</v>
      </c>
    </row>
    <row r="5438" spans="1:13">
      <c r="A5438" s="6">
        <v>2025</v>
      </c>
      <c r="B5438" s="6">
        <v>3</v>
      </c>
      <c r="C5438" s="6" t="s">
        <v>61</v>
      </c>
      <c r="D5438" s="6" t="s">
        <v>321</v>
      </c>
      <c r="E5438" s="6" t="s">
        <v>381</v>
      </c>
      <c r="F5438" s="6" t="str">
        <f>IF($M5438="PADD I","PADD 1",IF($M5438="PADD II","PADD 2",IF($M5438="PADD III","PADD 3",IF($M5438="PADD IV","PADD 4",IF($M5438="PADD V","PADD 5","")))))</f>
        <v>PADD 2</v>
      </c>
      <c r="G5438" s="6" t="str">
        <f>IF(AND($H5438="ATMOS DISTILLATION",ISNUMBER(SEARCH("VPS",$I5438))=FALSE,LEFT($I5438,6)&lt;&gt;"VACUUM"),"CDU",IF($H5438="FLUID CAT CRACKING","FCC",IF(OR($H5438="HYDROCRACKING",$H5438="RESID_HYDROCRACKING"),"Hydrocracker",IF($H5438="REFORMING","Reformer",""))))</f>
        <v>FCC</v>
      </c>
      <c r="H5438" s="6" t="s">
        <v>376</v>
      </c>
      <c r="I5438" s="6" t="s">
        <v>105</v>
      </c>
      <c r="J5438" s="6" t="s">
        <v>349</v>
      </c>
      <c r="K5438" s="10">
        <v>6.65</v>
      </c>
      <c r="L5438" s="10">
        <v>35</v>
      </c>
      <c r="M5438" s="6" t="s">
        <v>375</v>
      </c>
    </row>
    <row r="5439" spans="1:13">
      <c r="A5439" s="6">
        <v>2025</v>
      </c>
      <c r="B5439" s="6">
        <v>3</v>
      </c>
      <c r="C5439" s="6" t="s">
        <v>61</v>
      </c>
      <c r="D5439" s="6" t="s">
        <v>639</v>
      </c>
      <c r="E5439" s="6" t="s">
        <v>452</v>
      </c>
      <c r="F5439" s="6" t="str">
        <f>IF($M5439="PADD I","PADD 1",IF($M5439="PADD II","PADD 2",IF($M5439="PADD III","PADD 3",IF($M5439="PADD IV","PADD 4",IF($M5439="PADD V","PADD 5","")))))</f>
        <v>PADD 5</v>
      </c>
      <c r="G5439" s="6">
        <f>IF(AND($H5439="ATMOS DISTILLATION",ISNUMBER(SEARCH("VPS",$I5439))=FALSE,LEFT($I5439,6)&lt;&gt;"VACUUM"),"CDU",IF($H5439="FLUID CAT CRACKING","FCC",IF(OR($H5439="HYDROCRACKING",$H5439="RESID_HYDROCRACKING"),"Hydrocracker",IF($H5439="REFORMING","Reformer",""))))</f>
        <v/>
      </c>
      <c r="H5439" s="6" t="s">
        <v>435</v>
      </c>
      <c r="I5439" s="6" t="s">
        <v>1096</v>
      </c>
      <c r="J5439" s="6" t="s">
        <v>349</v>
      </c>
      <c r="K5439" s="10">
        <v>6.578</v>
      </c>
      <c r="L5439" s="10">
        <v>25.3</v>
      </c>
      <c r="M5439" s="6" t="s">
        <v>386</v>
      </c>
    </row>
    <row r="5440" spans="1:13">
      <c r="A5440" s="6">
        <v>2025</v>
      </c>
      <c r="B5440" s="6">
        <v>3</v>
      </c>
      <c r="C5440" s="6" t="s">
        <v>61</v>
      </c>
      <c r="D5440" s="6" t="s">
        <v>446</v>
      </c>
      <c r="E5440" s="6" t="s">
        <v>391</v>
      </c>
      <c r="F5440" s="6" t="str">
        <f>IF($M5440="PADD I","PADD 1",IF($M5440="PADD II","PADD 2",IF($M5440="PADD III","PADD 3",IF($M5440="PADD IV","PADD 4",IF($M5440="PADD V","PADD 5","")))))</f>
        <v>PADD 3</v>
      </c>
      <c r="G5440" s="6">
        <f>IF(AND($H5440="ATMOS DISTILLATION",ISNUMBER(SEARCH("VPS",$I5440))=FALSE,LEFT($I5440,6)&lt;&gt;"VACUUM"),"CDU",IF($H5440="FLUID CAT CRACKING","FCC",IF(OR($H5440="HYDROCRACKING",$H5440="RESID_HYDROCRACKING"),"Hydrocracker",IF($H5440="REFORMING","Reformer",""))))</f>
        <v/>
      </c>
      <c r="H5440" s="6" t="s">
        <v>378</v>
      </c>
      <c r="I5440" s="6" t="s">
        <v>1041</v>
      </c>
      <c r="J5440" s="6" t="s">
        <v>345</v>
      </c>
      <c r="K5440" s="10">
        <v>6.56</v>
      </c>
      <c r="L5440" s="10">
        <v>41</v>
      </c>
      <c r="M5440" s="6" t="s">
        <v>371</v>
      </c>
    </row>
    <row r="5441" spans="1:13">
      <c r="A5441" s="6">
        <v>2025</v>
      </c>
      <c r="B5441" s="6">
        <v>3</v>
      </c>
      <c r="C5441" s="6" t="s">
        <v>61</v>
      </c>
      <c r="D5441" s="6" t="s">
        <v>465</v>
      </c>
      <c r="E5441" s="6" t="s">
        <v>369</v>
      </c>
      <c r="F5441" s="6" t="str">
        <f>IF($M5441="PADD I","PADD 1",IF($M5441="PADD II","PADD 2",IF($M5441="PADD III","PADD 3",IF($M5441="PADD IV","PADD 4",IF($M5441="PADD V","PADD 5","")))))</f>
        <v>PADD 5</v>
      </c>
      <c r="G5441" s="6" t="str">
        <f>IF(AND($H5441="ATMOS DISTILLATION",ISNUMBER(SEARCH("VPS",$I5441))=FALSE,LEFT($I5441,6)&lt;&gt;"VACUUM"),"CDU",IF($H5441="FLUID CAT CRACKING","FCC",IF(OR($H5441="HYDROCRACKING",$H5441="RESID_HYDROCRACKING"),"Hydrocracker",IF($H5441="REFORMING","Reformer",""))))</f>
        <v>FCC</v>
      </c>
      <c r="H5441" s="6" t="s">
        <v>376</v>
      </c>
      <c r="I5441" s="6" t="s">
        <v>105</v>
      </c>
      <c r="J5441" s="6" t="s">
        <v>349</v>
      </c>
      <c r="K5441" s="10">
        <v>6.5</v>
      </c>
      <c r="L5441" s="10">
        <v>50</v>
      </c>
      <c r="M5441" s="6" t="s">
        <v>386</v>
      </c>
    </row>
    <row r="5442" spans="1:13">
      <c r="A5442" s="6">
        <v>2025</v>
      </c>
      <c r="B5442" s="6">
        <v>3</v>
      </c>
      <c r="C5442" s="6" t="s">
        <v>61</v>
      </c>
      <c r="D5442" s="6" t="s">
        <v>429</v>
      </c>
      <c r="E5442" s="6" t="s">
        <v>388</v>
      </c>
      <c r="F5442" s="6" t="str">
        <f>IF($M5442="PADD I","PADD 1",IF($M5442="PADD II","PADD 2",IF($M5442="PADD III","PADD 3",IF($M5442="PADD IV","PADD 4",IF($M5442="PADD V","PADD 5","")))))</f>
        <v>PADD 4</v>
      </c>
      <c r="G5442" s="6" t="str">
        <f>IF(AND($H5442="ATMOS DISTILLATION",ISNUMBER(SEARCH("VPS",$I5442))=FALSE,LEFT($I5442,6)&lt;&gt;"VACUUM"),"CDU",IF($H5442="FLUID CAT CRACKING","FCC",IF(OR($H5442="HYDROCRACKING",$H5442="RESID_HYDROCRACKING"),"Hydrocracker",IF($H5442="REFORMING","Reformer",""))))</f>
        <v>CDU</v>
      </c>
      <c r="H5442" s="6" t="s">
        <v>38</v>
      </c>
      <c r="I5442" s="6" t="s">
        <v>81</v>
      </c>
      <c r="J5442" s="6" t="s">
        <v>349</v>
      </c>
      <c r="K5442" s="10">
        <v>6.4</v>
      </c>
      <c r="L5442" s="10">
        <v>64</v>
      </c>
      <c r="M5442" s="6" t="s">
        <v>430</v>
      </c>
    </row>
    <row r="5443" spans="1:13">
      <c r="A5443" s="6">
        <v>2025</v>
      </c>
      <c r="B5443" s="6">
        <v>3</v>
      </c>
      <c r="C5443" s="6" t="s">
        <v>61</v>
      </c>
      <c r="D5443" s="6" t="s">
        <v>953</v>
      </c>
      <c r="E5443" s="6" t="s">
        <v>733</v>
      </c>
      <c r="F5443" s="6" t="str">
        <f>IF($M5443="PADD I","PADD 1",IF($M5443="PADD II","PADD 2",IF($M5443="PADD III","PADD 3",IF($M5443="PADD IV","PADD 4",IF($M5443="PADD V","PADD 5","")))))</f>
        <v>PADD 2</v>
      </c>
      <c r="G5443" s="6">
        <f>IF(AND($H5443="ATMOS DISTILLATION",ISNUMBER(SEARCH("VPS",$I5443))=FALSE,LEFT($I5443,6)&lt;&gt;"VACUUM"),"CDU",IF($H5443="FLUID CAT CRACKING","FCC",IF(OR($H5443="HYDROCRACKING",$H5443="RESID_HYDROCRACKING"),"Hydrocracker",IF($H5443="REFORMING","Reformer",""))))</f>
        <v/>
      </c>
      <c r="H5443" s="6" t="s">
        <v>43</v>
      </c>
      <c r="I5443" s="6" t="s">
        <v>449</v>
      </c>
      <c r="J5443" s="6" t="s">
        <v>349</v>
      </c>
      <c r="K5443" s="10">
        <v>6.24</v>
      </c>
      <c r="L5443" s="10">
        <v>12</v>
      </c>
      <c r="M5443" s="6" t="s">
        <v>375</v>
      </c>
    </row>
    <row r="5444" spans="1:13">
      <c r="A5444" s="6">
        <v>2025</v>
      </c>
      <c r="B5444" s="6">
        <v>3</v>
      </c>
      <c r="C5444" s="6" t="s">
        <v>61</v>
      </c>
      <c r="D5444" s="6" t="s">
        <v>730</v>
      </c>
      <c r="E5444" s="6" t="s">
        <v>731</v>
      </c>
      <c r="F5444" s="6" t="str">
        <f>IF($M5444="PADD I","PADD 1",IF($M5444="PADD II","PADD 2",IF($M5444="PADD III","PADD 3",IF($M5444="PADD IV","PADD 4",IF($M5444="PADD V","PADD 5","")))))</f>
        <v>PADD 3</v>
      </c>
      <c r="G5444" s="6" t="str">
        <f>IF(AND($H5444="ATMOS DISTILLATION",ISNUMBER(SEARCH("VPS",$I5444))=FALSE,LEFT($I5444,6)&lt;&gt;"VACUUM"),"CDU",IF($H5444="FLUID CAT CRACKING","FCC",IF(OR($H5444="HYDROCRACKING",$H5444="RESID_HYDROCRACKING"),"Hydrocracker",IF($H5444="REFORMING","Reformer",""))))</f>
        <v>Reformer</v>
      </c>
      <c r="H5444" s="6" t="s">
        <v>421</v>
      </c>
      <c r="I5444" s="6" t="s">
        <v>15</v>
      </c>
      <c r="J5444" s="6" t="s">
        <v>345</v>
      </c>
      <c r="K5444" s="10">
        <v>6.05</v>
      </c>
      <c r="L5444" s="10">
        <v>11</v>
      </c>
      <c r="M5444" s="6" t="s">
        <v>371</v>
      </c>
    </row>
    <row r="5445" spans="1:13">
      <c r="A5445" s="6">
        <v>2025</v>
      </c>
      <c r="B5445" s="6">
        <v>3</v>
      </c>
      <c r="C5445" s="6" t="s">
        <v>61</v>
      </c>
      <c r="D5445" s="6" t="s">
        <v>51</v>
      </c>
      <c r="E5445" s="6" t="s">
        <v>391</v>
      </c>
      <c r="F5445" s="6" t="str">
        <f>IF($M5445="PADD I","PADD 1",IF($M5445="PADD II","PADD 2",IF($M5445="PADD III","PADD 3",IF($M5445="PADD IV","PADD 4",IF($M5445="PADD V","PADD 5","")))))</f>
        <v>PADD 5</v>
      </c>
      <c r="G5445" s="6" t="str">
        <f>IF(AND($H5445="ATMOS DISTILLATION",ISNUMBER(SEARCH("VPS",$I5445))=FALSE,LEFT($I5445,6)&lt;&gt;"VACUUM"),"CDU",IF($H5445="FLUID CAT CRACKING","FCC",IF(OR($H5445="HYDROCRACKING",$H5445="RESID_HYDROCRACKING"),"Hydrocracker",IF($H5445="REFORMING","Reformer",""))))</f>
        <v>Hydrocracker</v>
      </c>
      <c r="H5445" s="6" t="s">
        <v>444</v>
      </c>
      <c r="I5445" s="6" t="s">
        <v>1074</v>
      </c>
      <c r="J5445" s="6" t="s">
        <v>345</v>
      </c>
      <c r="K5445" s="10">
        <v>5.85</v>
      </c>
      <c r="L5445" s="10">
        <v>45</v>
      </c>
      <c r="M5445" s="6" t="s">
        <v>386</v>
      </c>
    </row>
    <row r="5446" spans="1:13">
      <c r="A5446" s="6">
        <v>2025</v>
      </c>
      <c r="B5446" s="6">
        <v>3</v>
      </c>
      <c r="C5446" s="6" t="s">
        <v>61</v>
      </c>
      <c r="D5446" s="6" t="s">
        <v>675</v>
      </c>
      <c r="E5446" s="6" t="s">
        <v>452</v>
      </c>
      <c r="F5446" s="6" t="str">
        <f>IF($M5446="PADD I","PADD 1",IF($M5446="PADD II","PADD 2",IF($M5446="PADD III","PADD 3",IF($M5446="PADD IV","PADD 4",IF($M5446="PADD V","PADD 5","")))))</f>
        <v>PADD 2</v>
      </c>
      <c r="G5446" s="6">
        <f>IF(AND($H5446="ATMOS DISTILLATION",ISNUMBER(SEARCH("VPS",$I5446))=FALSE,LEFT($I5446,6)&lt;&gt;"VACUUM"),"CDU",IF($H5446="FLUID CAT CRACKING","FCC",IF(OR($H5446="HYDROCRACKING",$H5446="RESID_HYDROCRACKING"),"Hydrocracker",IF($H5446="REFORMING","Reformer",""))))</f>
        <v/>
      </c>
      <c r="H5446" s="6" t="s">
        <v>43</v>
      </c>
      <c r="I5446" s="6" t="s">
        <v>1142</v>
      </c>
      <c r="J5446" s="6" t="s">
        <v>345</v>
      </c>
      <c r="K5446" s="10">
        <v>5.85</v>
      </c>
      <c r="L5446" s="10">
        <v>45</v>
      </c>
      <c r="M5446" s="6" t="s">
        <v>375</v>
      </c>
    </row>
    <row r="5447" spans="1:13">
      <c r="A5447" s="6">
        <v>2025</v>
      </c>
      <c r="B5447" s="6">
        <v>3</v>
      </c>
      <c r="C5447" s="6" t="s">
        <v>61</v>
      </c>
      <c r="D5447" s="6" t="s">
        <v>451</v>
      </c>
      <c r="E5447" s="6" t="s">
        <v>452</v>
      </c>
      <c r="F5447" s="6" t="str">
        <f>IF($M5447="PADD I","PADD 1",IF($M5447="PADD II","PADD 2",IF($M5447="PADD III","PADD 3",IF($M5447="PADD IV","PADD 4",IF($M5447="PADD V","PADD 5","")))))</f>
        <v>PADD 2</v>
      </c>
      <c r="G5447" s="6" t="str">
        <f>IF(AND($H5447="ATMOS DISTILLATION",ISNUMBER(SEARCH("VPS",$I5447))=FALSE,LEFT($I5447,6)&lt;&gt;"VACUUM"),"CDU",IF($H5447="FLUID CAT CRACKING","FCC",IF(OR($H5447="HYDROCRACKING",$H5447="RESID_HYDROCRACKING"),"Hydrocracker",IF($H5447="REFORMING","Reformer",""))))</f>
        <v>FCC</v>
      </c>
      <c r="H5447" s="6" t="s">
        <v>376</v>
      </c>
      <c r="I5447" s="6" t="s">
        <v>105</v>
      </c>
      <c r="J5447" s="6" t="s">
        <v>349</v>
      </c>
      <c r="K5447" s="10">
        <v>5.8</v>
      </c>
      <c r="L5447" s="10">
        <v>5.8</v>
      </c>
      <c r="M5447" s="6" t="s">
        <v>375</v>
      </c>
    </row>
    <row r="5448" spans="1:13">
      <c r="A5448" s="6">
        <v>2025</v>
      </c>
      <c r="B5448" s="6">
        <v>3</v>
      </c>
      <c r="C5448" s="6" t="s">
        <v>61</v>
      </c>
      <c r="D5448" s="6" t="s">
        <v>887</v>
      </c>
      <c r="E5448" s="6" t="s">
        <v>405</v>
      </c>
      <c r="F5448" s="6" t="str">
        <f>IF($M5448="PADD I","PADD 1",IF($M5448="PADD II","PADD 2",IF($M5448="PADD III","PADD 3",IF($M5448="PADD IV","PADD 4",IF($M5448="PADD V","PADD 5","")))))</f>
        <v>PADD 3</v>
      </c>
      <c r="G5448" s="6" t="str">
        <f>IF(AND($H5448="ATMOS DISTILLATION",ISNUMBER(SEARCH("VPS",$I5448))=FALSE,LEFT($I5448,6)&lt;&gt;"VACUUM"),"CDU",IF($H5448="FLUID CAT CRACKING","FCC",IF(OR($H5448="HYDROCRACKING",$H5448="RESID_HYDROCRACKING"),"Hydrocracker",IF($H5448="REFORMING","Reformer",""))))</f>
        <v>Hydrocracker</v>
      </c>
      <c r="H5448" s="6" t="s">
        <v>444</v>
      </c>
      <c r="I5448" s="6" t="s">
        <v>1022</v>
      </c>
      <c r="J5448" s="6" t="s">
        <v>349</v>
      </c>
      <c r="K5448" s="10">
        <v>5.7</v>
      </c>
      <c r="L5448" s="10">
        <v>30</v>
      </c>
      <c r="M5448" s="6" t="s">
        <v>371</v>
      </c>
    </row>
    <row r="5449" spans="1:13">
      <c r="A5449" s="6">
        <v>2025</v>
      </c>
      <c r="B5449" s="6">
        <v>3</v>
      </c>
      <c r="C5449" s="6" t="s">
        <v>61</v>
      </c>
      <c r="D5449" s="6" t="s">
        <v>321</v>
      </c>
      <c r="E5449" s="6" t="s">
        <v>381</v>
      </c>
      <c r="F5449" s="6" t="str">
        <f>IF($M5449="PADD I","PADD 1",IF($M5449="PADD II","PADD 2",IF($M5449="PADD III","PADD 3",IF($M5449="PADD IV","PADD 4",IF($M5449="PADD V","PADD 5","")))))</f>
        <v>PADD 2</v>
      </c>
      <c r="G5449" s="6">
        <f>IF(AND($H5449="ATMOS DISTILLATION",ISNUMBER(SEARCH("VPS",$I5449))=FALSE,LEFT($I5449,6)&lt;&gt;"VACUUM"),"CDU",IF($H5449="FLUID CAT CRACKING","FCC",IF(OR($H5449="HYDROCRACKING",$H5449="RESID_HYDROCRACKING"),"Hydrocracker",IF($H5449="REFORMING","Reformer",""))))</f>
        <v/>
      </c>
      <c r="H5449" s="6" t="s">
        <v>435</v>
      </c>
      <c r="I5449" s="6" t="s">
        <v>441</v>
      </c>
      <c r="J5449" s="6" t="s">
        <v>349</v>
      </c>
      <c r="K5449" s="10">
        <v>5.7</v>
      </c>
      <c r="L5449" s="10">
        <v>30</v>
      </c>
      <c r="M5449" s="6" t="s">
        <v>375</v>
      </c>
    </row>
    <row r="5450" spans="1:13">
      <c r="A5450" s="6">
        <v>2025</v>
      </c>
      <c r="B5450" s="6">
        <v>3</v>
      </c>
      <c r="C5450" s="6" t="s">
        <v>61</v>
      </c>
      <c r="D5450" s="6" t="s">
        <v>346</v>
      </c>
      <c r="E5450" s="6" t="s">
        <v>383</v>
      </c>
      <c r="F5450" s="6" t="str">
        <f>IF($M5450="PADD I","PADD 1",IF($M5450="PADD II","PADD 2",IF($M5450="PADD III","PADD 3",IF($M5450="PADD IV","PADD 4",IF($M5450="PADD V","PADD 5","")))))</f>
        <v>PADD 2</v>
      </c>
      <c r="G5450" s="6" t="str">
        <f>IF(AND($H5450="ATMOS DISTILLATION",ISNUMBER(SEARCH("VPS",$I5450))=FALSE,LEFT($I5450,6)&lt;&gt;"VACUUM"),"CDU",IF($H5450="FLUID CAT CRACKING","FCC",IF(OR($H5450="HYDROCRACKING",$H5450="RESID_HYDROCRACKING"),"Hydrocracker",IF($H5450="REFORMING","Reformer",""))))</f>
        <v>CDU</v>
      </c>
      <c r="H5450" s="6" t="s">
        <v>38</v>
      </c>
      <c r="I5450" s="6" t="s">
        <v>384</v>
      </c>
      <c r="J5450" s="6" t="s">
        <v>345</v>
      </c>
      <c r="K5450" s="10">
        <v>5.64</v>
      </c>
      <c r="L5450" s="10">
        <v>94</v>
      </c>
      <c r="M5450" s="6" t="s">
        <v>375</v>
      </c>
    </row>
    <row r="5451" spans="1:13">
      <c r="A5451" s="6">
        <v>2025</v>
      </c>
      <c r="B5451" s="6">
        <v>3</v>
      </c>
      <c r="C5451" s="6" t="s">
        <v>61</v>
      </c>
      <c r="D5451" s="6" t="s">
        <v>321</v>
      </c>
      <c r="E5451" s="6" t="s">
        <v>381</v>
      </c>
      <c r="F5451" s="6" t="str">
        <f>IF($M5451="PADD I","PADD 1",IF($M5451="PADD II","PADD 2",IF($M5451="PADD III","PADD 3",IF($M5451="PADD IV","PADD 4",IF($M5451="PADD V","PADD 5","")))))</f>
        <v>PADD 2</v>
      </c>
      <c r="G5451" s="6">
        <f>IF(AND($H5451="ATMOS DISTILLATION",ISNUMBER(SEARCH("VPS",$I5451))=FALSE,LEFT($I5451,6)&lt;&gt;"VACUUM"),"CDU",IF($H5451="FLUID CAT CRACKING","FCC",IF(OR($H5451="HYDROCRACKING",$H5451="RESID_HYDROCRACKING"),"Hydrocracker",IF($H5451="REFORMING","Reformer",""))))</f>
        <v/>
      </c>
      <c r="H5451" s="6" t="s">
        <v>43</v>
      </c>
      <c r="I5451" s="6" t="s">
        <v>1165</v>
      </c>
      <c r="J5451" s="6" t="s">
        <v>349</v>
      </c>
      <c r="K5451" s="10">
        <v>5.51</v>
      </c>
      <c r="L5451" s="10">
        <v>19</v>
      </c>
      <c r="M5451" s="6" t="s">
        <v>375</v>
      </c>
    </row>
    <row r="5452" spans="1:13">
      <c r="A5452" s="6">
        <v>2025</v>
      </c>
      <c r="B5452" s="6">
        <v>3</v>
      </c>
      <c r="C5452" s="6" t="s">
        <v>61</v>
      </c>
      <c r="D5452" s="6" t="s">
        <v>1286</v>
      </c>
      <c r="E5452" s="6" t="s">
        <v>1287</v>
      </c>
      <c r="F5452" s="6" t="str">
        <f>IF($M5452="PADD I","PADD 1",IF($M5452="PADD II","PADD 2",IF($M5452="PADD III","PADD 3",IF($M5452="PADD IV","PADD 4",IF($M5452="PADD V","PADD 5","")))))</f>
        <v>PADD 4</v>
      </c>
      <c r="G5452" s="6">
        <f>IF(AND($H5452="ATMOS DISTILLATION",ISNUMBER(SEARCH("VPS",$I5452))=FALSE,LEFT($I5452,6)&lt;&gt;"VACUUM"),"CDU",IF($H5452="FLUID CAT CRACKING","FCC",IF(OR($H5452="HYDROCRACKING",$H5452="RESID_HYDROCRACKING"),"Hydrocracker",IF($H5452="REFORMING","Reformer",""))))</f>
        <v/>
      </c>
      <c r="H5452" s="6" t="s">
        <v>43</v>
      </c>
      <c r="I5452" s="6" t="s">
        <v>1291</v>
      </c>
      <c r="J5452" s="6" t="s">
        <v>345</v>
      </c>
      <c r="K5452" s="10">
        <v>5.5</v>
      </c>
      <c r="L5452" s="10">
        <v>5.5</v>
      </c>
      <c r="M5452" s="6" t="s">
        <v>430</v>
      </c>
    </row>
    <row r="5453" spans="1:13">
      <c r="A5453" s="6">
        <v>2025</v>
      </c>
      <c r="B5453" s="6">
        <v>3</v>
      </c>
      <c r="C5453" s="6" t="s">
        <v>61</v>
      </c>
      <c r="D5453" s="6" t="s">
        <v>1286</v>
      </c>
      <c r="E5453" s="6" t="s">
        <v>1287</v>
      </c>
      <c r="F5453" s="6" t="str">
        <f>IF($M5453="PADD I","PADD 1",IF($M5453="PADD II","PADD 2",IF($M5453="PADD III","PADD 3",IF($M5453="PADD IV","PADD 4",IF($M5453="PADD V","PADD 5","")))))</f>
        <v>PADD 4</v>
      </c>
      <c r="G5453" s="6" t="str">
        <f>IF(AND($H5453="ATMOS DISTILLATION",ISNUMBER(SEARCH("VPS",$I5453))=FALSE,LEFT($I5453,6)&lt;&gt;"VACUUM"),"CDU",IF($H5453="FLUID CAT CRACKING","FCC",IF(OR($H5453="HYDROCRACKING",$H5453="RESID_HYDROCRACKING"),"Hydrocracker",IF($H5453="REFORMING","Reformer",""))))</f>
        <v>FCC</v>
      </c>
      <c r="H5453" s="6" t="s">
        <v>376</v>
      </c>
      <c r="I5453" s="6" t="s">
        <v>105</v>
      </c>
      <c r="J5453" s="6" t="s">
        <v>345</v>
      </c>
      <c r="K5453" s="10">
        <v>5.5</v>
      </c>
      <c r="L5453" s="10">
        <v>5.5</v>
      </c>
      <c r="M5453" s="6" t="s">
        <v>430</v>
      </c>
    </row>
    <row r="5454" spans="1:13">
      <c r="A5454" s="6">
        <v>2025</v>
      </c>
      <c r="B5454" s="6">
        <v>3</v>
      </c>
      <c r="C5454" s="6" t="s">
        <v>61</v>
      </c>
      <c r="D5454" s="6" t="s">
        <v>48</v>
      </c>
      <c r="E5454" s="6" t="s">
        <v>388</v>
      </c>
      <c r="F5454" s="6" t="str">
        <f>IF($M5454="PADD I","PADD 1",IF($M5454="PADD II","PADD 2",IF($M5454="PADD III","PADD 3",IF($M5454="PADD IV","PADD 4",IF($M5454="PADD V","PADD 5","")))))</f>
        <v>PADD 2</v>
      </c>
      <c r="G5454" s="6" t="str">
        <f>IF(AND($H5454="ATMOS DISTILLATION",ISNUMBER(SEARCH("VPS",$I5454))=FALSE,LEFT($I5454,6)&lt;&gt;"VACUUM"),"CDU",IF($H5454="FLUID CAT CRACKING","FCC",IF(OR($H5454="HYDROCRACKING",$H5454="RESID_HYDROCRACKING"),"Hydrocracker",IF($H5454="REFORMING","Reformer",""))))</f>
        <v>FCC</v>
      </c>
      <c r="H5454" s="6" t="s">
        <v>376</v>
      </c>
      <c r="I5454" s="6" t="s">
        <v>105</v>
      </c>
      <c r="J5454" s="6" t="s">
        <v>345</v>
      </c>
      <c r="K5454" s="10">
        <v>5.45</v>
      </c>
      <c r="L5454" s="10">
        <v>54.5</v>
      </c>
      <c r="M5454" s="6" t="s">
        <v>375</v>
      </c>
    </row>
    <row r="5455" spans="1:13">
      <c r="A5455" s="6">
        <v>2025</v>
      </c>
      <c r="B5455" s="6">
        <v>3</v>
      </c>
      <c r="C5455" s="6" t="s">
        <v>61</v>
      </c>
      <c r="D5455" s="6" t="s">
        <v>572</v>
      </c>
      <c r="E5455" s="6" t="s">
        <v>573</v>
      </c>
      <c r="F5455" s="6" t="str">
        <f>IF($M5455="PADD I","PADD 1",IF($M5455="PADD II","PADD 2",IF($M5455="PADD III","PADD 3",IF($M5455="PADD IV","PADD 4",IF($M5455="PADD V","PADD 5","")))))</f>
        <v>PADD 3</v>
      </c>
      <c r="G5455" s="6" t="str">
        <f>IF(AND($H5455="ATMOS DISTILLATION",ISNUMBER(SEARCH("VPS",$I5455))=FALSE,LEFT($I5455,6)&lt;&gt;"VACUUM"),"CDU",IF($H5455="FLUID CAT CRACKING","FCC",IF(OR($H5455="HYDROCRACKING",$H5455="RESID_HYDROCRACKING"),"Hydrocracker",IF($H5455="REFORMING","Reformer",""))))</f>
        <v>CDU</v>
      </c>
      <c r="H5455" s="6" t="s">
        <v>38</v>
      </c>
      <c r="I5455" s="6" t="s">
        <v>574</v>
      </c>
      <c r="J5455" s="6" t="s">
        <v>345</v>
      </c>
      <c r="K5455" s="10">
        <v>5</v>
      </c>
      <c r="L5455" s="10">
        <v>50</v>
      </c>
      <c r="M5455" s="6" t="s">
        <v>371</v>
      </c>
    </row>
    <row r="5456" spans="1:13">
      <c r="A5456" s="6">
        <v>2025</v>
      </c>
      <c r="B5456" s="6">
        <v>3</v>
      </c>
      <c r="C5456" s="6" t="s">
        <v>61</v>
      </c>
      <c r="D5456" s="6" t="s">
        <v>437</v>
      </c>
      <c r="E5456" s="6" t="s">
        <v>438</v>
      </c>
      <c r="F5456" s="6" t="str">
        <f>IF($M5456="PADD I","PADD 1",IF($M5456="PADD II","PADD 2",IF($M5456="PADD III","PADD 3",IF($M5456="PADD IV","PADD 4",IF($M5456="PADD V","PADD 5","")))))</f>
        <v>PADD 4</v>
      </c>
      <c r="G5456" s="6">
        <f>IF(AND($H5456="ATMOS DISTILLATION",ISNUMBER(SEARCH("VPS",$I5456))=FALSE,LEFT($I5456,6)&lt;&gt;"VACUUM"),"CDU",IF($H5456="FLUID CAT CRACKING","FCC",IF(OR($H5456="HYDROCRACKING",$H5456="RESID_HYDROCRACKING"),"Hydrocracker",IF($H5456="REFORMING","Reformer",""))))</f>
        <v/>
      </c>
      <c r="H5456" s="6" t="s">
        <v>378</v>
      </c>
      <c r="I5456" s="6" t="s">
        <v>494</v>
      </c>
      <c r="J5456" s="6" t="s">
        <v>345</v>
      </c>
      <c r="K5456" s="10">
        <v>4.8575</v>
      </c>
      <c r="L5456" s="10">
        <v>16.75</v>
      </c>
      <c r="M5456" s="6" t="s">
        <v>430</v>
      </c>
    </row>
    <row r="5457" spans="1:13">
      <c r="A5457" s="6">
        <v>2025</v>
      </c>
      <c r="B5457" s="6">
        <v>3</v>
      </c>
      <c r="C5457" s="6" t="s">
        <v>61</v>
      </c>
      <c r="D5457" s="6" t="s">
        <v>390</v>
      </c>
      <c r="E5457" s="6" t="s">
        <v>391</v>
      </c>
      <c r="F5457" s="6" t="str">
        <f>IF($M5457="PADD I","PADD 1",IF($M5457="PADD II","PADD 2",IF($M5457="PADD III","PADD 3",IF($M5457="PADD IV","PADD 4",IF($M5457="PADD V","PADD 5","")))))</f>
        <v>PADD 3</v>
      </c>
      <c r="G5457" s="6">
        <f>IF(AND($H5457="ATMOS DISTILLATION",ISNUMBER(SEARCH("VPS",$I5457))=FALSE,LEFT($I5457,6)&lt;&gt;"VACUUM"),"CDU",IF($H5457="FLUID CAT CRACKING","FCC",IF(OR($H5457="HYDROCRACKING",$H5457="RESID_HYDROCRACKING"),"Hydrocracker",IF($H5457="REFORMING","Reformer",""))))</f>
        <v/>
      </c>
      <c r="H5457" s="6" t="s">
        <v>43</v>
      </c>
      <c r="I5457" s="6" t="s">
        <v>1298</v>
      </c>
      <c r="J5457" s="6" t="s">
        <v>349</v>
      </c>
      <c r="K5457" s="10">
        <v>4.8</v>
      </c>
      <c r="L5457" s="10">
        <v>30</v>
      </c>
      <c r="M5457" s="6" t="s">
        <v>371</v>
      </c>
    </row>
    <row r="5458" spans="1:13">
      <c r="A5458" s="6">
        <v>2025</v>
      </c>
      <c r="B5458" s="6">
        <v>3</v>
      </c>
      <c r="C5458" s="6" t="s">
        <v>61</v>
      </c>
      <c r="D5458" s="6" t="s">
        <v>851</v>
      </c>
      <c r="E5458" s="6" t="s">
        <v>852</v>
      </c>
      <c r="F5458" s="6" t="str">
        <f>IF($M5458="PADD I","PADD 1",IF($M5458="PADD II","PADD 2",IF($M5458="PADD III","PADD 3",IF($M5458="PADD IV","PADD 4",IF($M5458="PADD V","PADD 5","")))))</f>
        <v>PADD 3</v>
      </c>
      <c r="G5458" s="6">
        <f>IF(AND($H5458="ATMOS DISTILLATION",ISNUMBER(SEARCH("VPS",$I5458))=FALSE,LEFT($I5458,6)&lt;&gt;"VACUUM"),"CDU",IF($H5458="FLUID CAT CRACKING","FCC",IF(OR($H5458="HYDROCRACKING",$H5458="RESID_HYDROCRACKING"),"Hydrocracker",IF($H5458="REFORMING","Reformer",""))))</f>
        <v/>
      </c>
      <c r="H5458" s="6" t="s">
        <v>378</v>
      </c>
      <c r="I5458" s="6" t="s">
        <v>860</v>
      </c>
      <c r="J5458" s="6" t="s">
        <v>345</v>
      </c>
      <c r="K5458" s="10">
        <v>4.68</v>
      </c>
      <c r="L5458" s="10">
        <v>36</v>
      </c>
      <c r="M5458" s="6" t="s">
        <v>371</v>
      </c>
    </row>
    <row r="5459" spans="1:13">
      <c r="A5459" s="6">
        <v>2025</v>
      </c>
      <c r="B5459" s="6">
        <v>3</v>
      </c>
      <c r="C5459" s="6" t="s">
        <v>61</v>
      </c>
      <c r="D5459" s="6" t="s">
        <v>48</v>
      </c>
      <c r="E5459" s="6" t="s">
        <v>388</v>
      </c>
      <c r="F5459" s="6" t="str">
        <f>IF($M5459="PADD I","PADD 1",IF($M5459="PADD II","PADD 2",IF($M5459="PADD III","PADD 3",IF($M5459="PADD IV","PADD 4",IF($M5459="PADD V","PADD 5","")))))</f>
        <v>PADD 2</v>
      </c>
      <c r="G5459" s="6">
        <f>IF(AND($H5459="ATMOS DISTILLATION",ISNUMBER(SEARCH("VPS",$I5459))=FALSE,LEFT($I5459,6)&lt;&gt;"VACUUM"),"CDU",IF($H5459="FLUID CAT CRACKING","FCC",IF(OR($H5459="HYDROCRACKING",$H5459="RESID_HYDROCRACKING"),"Hydrocracker",IF($H5459="REFORMING","Reformer",""))))</f>
        <v/>
      </c>
      <c r="H5459" s="6" t="s">
        <v>637</v>
      </c>
      <c r="I5459" s="6" t="s">
        <v>604</v>
      </c>
      <c r="J5459" s="6" t="s">
        <v>345</v>
      </c>
      <c r="K5459" s="10">
        <v>4.64</v>
      </c>
      <c r="L5459" s="10">
        <v>16</v>
      </c>
      <c r="M5459" s="6" t="s">
        <v>375</v>
      </c>
    </row>
    <row r="5460" spans="1:13">
      <c r="A5460" s="6">
        <v>2025</v>
      </c>
      <c r="B5460" s="6">
        <v>3</v>
      </c>
      <c r="C5460" s="6" t="s">
        <v>61</v>
      </c>
      <c r="D5460" s="6" t="s">
        <v>887</v>
      </c>
      <c r="E5460" s="6" t="s">
        <v>405</v>
      </c>
      <c r="F5460" s="6" t="str">
        <f>IF($M5460="PADD I","PADD 1",IF($M5460="PADD II","PADD 2",IF($M5460="PADD III","PADD 3",IF($M5460="PADD IV","PADD 4",IF($M5460="PADD V","PADD 5","")))))</f>
        <v>PADD 3</v>
      </c>
      <c r="G5460" s="6" t="str">
        <f>IF(AND($H5460="ATMOS DISTILLATION",ISNUMBER(SEARCH("VPS",$I5460))=FALSE,LEFT($I5460,6)&lt;&gt;"VACUUM"),"CDU",IF($H5460="FLUID CAT CRACKING","FCC",IF(OR($H5460="HYDROCRACKING",$H5460="RESID_HYDROCRACKING"),"Hydrocracker",IF($H5460="REFORMING","Reformer",""))))</f>
        <v>FCC</v>
      </c>
      <c r="H5460" s="6" t="s">
        <v>376</v>
      </c>
      <c r="I5460" s="6" t="s">
        <v>806</v>
      </c>
      <c r="J5460" s="6" t="s">
        <v>349</v>
      </c>
      <c r="K5460" s="10">
        <v>4.56</v>
      </c>
      <c r="L5460" s="10">
        <v>24</v>
      </c>
      <c r="M5460" s="6" t="s">
        <v>371</v>
      </c>
    </row>
    <row r="5461" spans="1:13">
      <c r="A5461" s="6">
        <v>2025</v>
      </c>
      <c r="B5461" s="6">
        <v>3</v>
      </c>
      <c r="C5461" s="6" t="s">
        <v>61</v>
      </c>
      <c r="D5461" s="6" t="s">
        <v>451</v>
      </c>
      <c r="E5461" s="6" t="s">
        <v>452</v>
      </c>
      <c r="F5461" s="6" t="str">
        <f>IF($M5461="PADD I","PADD 1",IF($M5461="PADD II","PADD 2",IF($M5461="PADD III","PADD 3",IF($M5461="PADD IV","PADD 4",IF($M5461="PADD V","PADD 5","")))))</f>
        <v>PADD 2</v>
      </c>
      <c r="G5461" s="6" t="str">
        <f>IF(AND($H5461="ATMOS DISTILLATION",ISNUMBER(SEARCH("VPS",$I5461))=FALSE,LEFT($I5461,6)&lt;&gt;"VACUUM"),"CDU",IF($H5461="FLUID CAT CRACKING","FCC",IF(OR($H5461="HYDROCRACKING",$H5461="RESID_HYDROCRACKING"),"Hydrocracker",IF($H5461="REFORMING","Reformer",""))))</f>
        <v>Reformer</v>
      </c>
      <c r="H5461" s="6" t="s">
        <v>421</v>
      </c>
      <c r="I5461" s="6" t="s">
        <v>899</v>
      </c>
      <c r="J5461" s="6" t="s">
        <v>349</v>
      </c>
      <c r="K5461" s="10">
        <v>4.4</v>
      </c>
      <c r="L5461" s="10">
        <v>4.4</v>
      </c>
      <c r="M5461" s="6" t="s">
        <v>375</v>
      </c>
    </row>
    <row r="5462" spans="1:13">
      <c r="A5462" s="6">
        <v>2025</v>
      </c>
      <c r="B5462" s="6">
        <v>3</v>
      </c>
      <c r="C5462" s="6" t="s">
        <v>61</v>
      </c>
      <c r="D5462" s="6" t="s">
        <v>451</v>
      </c>
      <c r="E5462" s="6" t="s">
        <v>452</v>
      </c>
      <c r="F5462" s="6" t="str">
        <f>IF($M5462="PADD I","PADD 1",IF($M5462="PADD II","PADD 2",IF($M5462="PADD III","PADD 3",IF($M5462="PADD IV","PADD 4",IF($M5462="PADD V","PADD 5","")))))</f>
        <v>PADD 2</v>
      </c>
      <c r="G5462" s="6">
        <f>IF(AND($H5462="ATMOS DISTILLATION",ISNUMBER(SEARCH("VPS",$I5462))=FALSE,LEFT($I5462,6)&lt;&gt;"VACUUM"),"CDU",IF($H5462="FLUID CAT CRACKING","FCC",IF(OR($H5462="HYDROCRACKING",$H5462="RESID_HYDROCRACKING"),"Hydrocracker",IF($H5462="REFORMING","Reformer",""))))</f>
        <v/>
      </c>
      <c r="H5462" s="6" t="s">
        <v>43</v>
      </c>
      <c r="I5462" s="6" t="s">
        <v>900</v>
      </c>
      <c r="J5462" s="6" t="s">
        <v>349</v>
      </c>
      <c r="K5462" s="10">
        <v>4.4</v>
      </c>
      <c r="L5462" s="10">
        <v>4.4</v>
      </c>
      <c r="M5462" s="6" t="s">
        <v>375</v>
      </c>
    </row>
    <row r="5463" spans="1:13">
      <c r="A5463" s="6">
        <v>2025</v>
      </c>
      <c r="B5463" s="6">
        <v>3</v>
      </c>
      <c r="C5463" s="6" t="s">
        <v>61</v>
      </c>
      <c r="D5463" s="6" t="s">
        <v>851</v>
      </c>
      <c r="E5463" s="6" t="s">
        <v>852</v>
      </c>
      <c r="F5463" s="6" t="str">
        <f>IF($M5463="PADD I","PADD 1",IF($M5463="PADD II","PADD 2",IF($M5463="PADD III","PADD 3",IF($M5463="PADD IV","PADD 4",IF($M5463="PADD V","PADD 5","")))))</f>
        <v>PADD 3</v>
      </c>
      <c r="G5463" s="6" t="str">
        <f>IF(AND($H5463="ATMOS DISTILLATION",ISNUMBER(SEARCH("VPS",$I5463))=FALSE,LEFT($I5463,6)&lt;&gt;"VACUUM"),"CDU",IF($H5463="FLUID CAT CRACKING","FCC",IF(OR($H5463="HYDROCRACKING",$H5463="RESID_HYDROCRACKING"),"Hydrocracker",IF($H5463="REFORMING","Reformer",""))))</f>
        <v>CDU</v>
      </c>
      <c r="H5463" s="6" t="s">
        <v>38</v>
      </c>
      <c r="I5463" s="6" t="s">
        <v>854</v>
      </c>
      <c r="J5463" s="6" t="s">
        <v>345</v>
      </c>
      <c r="K5463" s="10">
        <v>4.38</v>
      </c>
      <c r="L5463" s="10">
        <v>73</v>
      </c>
      <c r="M5463" s="6" t="s">
        <v>371</v>
      </c>
    </row>
    <row r="5464" spans="1:13">
      <c r="A5464" s="6">
        <v>2025</v>
      </c>
      <c r="B5464" s="6">
        <v>3</v>
      </c>
      <c r="C5464" s="6" t="s">
        <v>61</v>
      </c>
      <c r="D5464" s="6" t="s">
        <v>1152</v>
      </c>
      <c r="E5464" s="6" t="s">
        <v>452</v>
      </c>
      <c r="F5464" s="6" t="str">
        <f>IF($M5464="PADD I","PADD 1",IF($M5464="PADD II","PADD 2",IF($M5464="PADD III","PADD 3",IF($M5464="PADD IV","PADD 4",IF($M5464="PADD V","PADD 5","")))))</f>
        <v>PADD 4</v>
      </c>
      <c r="G5464" s="6">
        <f>IF(AND($H5464="ATMOS DISTILLATION",ISNUMBER(SEARCH("VPS",$I5464))=FALSE,LEFT($I5464,6)&lt;&gt;"VACUUM"),"CDU",IF($H5464="FLUID CAT CRACKING","FCC",IF(OR($H5464="HYDROCRACKING",$H5464="RESID_HYDROCRACKING"),"Hydrocracker",IF($H5464="REFORMING","Reformer",""))))</f>
        <v/>
      </c>
      <c r="H5464" s="6" t="s">
        <v>43</v>
      </c>
      <c r="I5464" s="6" t="s">
        <v>493</v>
      </c>
      <c r="J5464" s="6" t="s">
        <v>345</v>
      </c>
      <c r="K5464" s="10">
        <v>4.375</v>
      </c>
      <c r="L5464" s="10">
        <v>12.5</v>
      </c>
      <c r="M5464" s="6" t="s">
        <v>430</v>
      </c>
    </row>
    <row r="5465" spans="1:13">
      <c r="A5465" s="6">
        <v>2025</v>
      </c>
      <c r="B5465" s="6">
        <v>3</v>
      </c>
      <c r="C5465" s="6" t="s">
        <v>61</v>
      </c>
      <c r="D5465" s="6" t="s">
        <v>887</v>
      </c>
      <c r="E5465" s="6" t="s">
        <v>405</v>
      </c>
      <c r="F5465" s="6" t="str">
        <f>IF($M5465="PADD I","PADD 1",IF($M5465="PADD II","PADD 2",IF($M5465="PADD III","PADD 3",IF($M5465="PADD IV","PADD 4",IF($M5465="PADD V","PADD 5","")))))</f>
        <v>PADD 3</v>
      </c>
      <c r="G5465" s="6" t="str">
        <f>IF(AND($H5465="ATMOS DISTILLATION",ISNUMBER(SEARCH("VPS",$I5465))=FALSE,LEFT($I5465,6)&lt;&gt;"VACUUM"),"CDU",IF($H5465="FLUID CAT CRACKING","FCC",IF(OR($H5465="HYDROCRACKING",$H5465="RESID_HYDROCRACKING"),"Hydrocracker",IF($H5465="REFORMING","Reformer",""))))</f>
        <v>Reformer</v>
      </c>
      <c r="H5465" s="6" t="s">
        <v>421</v>
      </c>
      <c r="I5465" s="6" t="s">
        <v>539</v>
      </c>
      <c r="J5465" s="6" t="s">
        <v>349</v>
      </c>
      <c r="K5465" s="10">
        <v>4.37</v>
      </c>
      <c r="L5465" s="10">
        <v>23</v>
      </c>
      <c r="M5465" s="6" t="s">
        <v>371</v>
      </c>
    </row>
    <row r="5466" spans="1:13">
      <c r="A5466" s="6">
        <v>2025</v>
      </c>
      <c r="B5466" s="6">
        <v>3</v>
      </c>
      <c r="C5466" s="6" t="s">
        <v>61</v>
      </c>
      <c r="D5466" s="6" t="s">
        <v>887</v>
      </c>
      <c r="E5466" s="6" t="s">
        <v>405</v>
      </c>
      <c r="F5466" s="6" t="str">
        <f>IF($M5466="PADD I","PADD 1",IF($M5466="PADD II","PADD 2",IF($M5466="PADD III","PADD 3",IF($M5466="PADD IV","PADD 4",IF($M5466="PADD V","PADD 5","")))))</f>
        <v>PADD 3</v>
      </c>
      <c r="G5466" s="6">
        <f>IF(AND($H5466="ATMOS DISTILLATION",ISNUMBER(SEARCH("VPS",$I5466))=FALSE,LEFT($I5466,6)&lt;&gt;"VACUUM"),"CDU",IF($H5466="FLUID CAT CRACKING","FCC",IF(OR($H5466="HYDROCRACKING",$H5466="RESID_HYDROCRACKING"),"Hydrocracker",IF($H5466="REFORMING","Reformer",""))))</f>
        <v/>
      </c>
      <c r="H5466" s="6" t="s">
        <v>43</v>
      </c>
      <c r="I5466" s="6" t="s">
        <v>493</v>
      </c>
      <c r="J5466" s="6" t="s">
        <v>349</v>
      </c>
      <c r="K5466" s="10">
        <v>4.18</v>
      </c>
      <c r="L5466" s="10">
        <v>22</v>
      </c>
      <c r="M5466" s="6" t="s">
        <v>371</v>
      </c>
    </row>
    <row r="5467" spans="1:13">
      <c r="A5467" s="6">
        <v>2025</v>
      </c>
      <c r="B5467" s="6">
        <v>3</v>
      </c>
      <c r="C5467" s="6" t="s">
        <v>61</v>
      </c>
      <c r="D5467" s="6" t="s">
        <v>946</v>
      </c>
      <c r="E5467" s="6" t="s">
        <v>405</v>
      </c>
      <c r="F5467" s="6" t="str">
        <f>IF($M5467="PADD I","PADD 1",IF($M5467="PADD II","PADD 2",IF($M5467="PADD III","PADD 3",IF($M5467="PADD IV","PADD 4",IF($M5467="PADD V","PADD 5","")))))</f>
        <v>PADD 5</v>
      </c>
      <c r="G5467" s="6">
        <f>IF(AND($H5467="ATMOS DISTILLATION",ISNUMBER(SEARCH("VPS",$I5467))=FALSE,LEFT($I5467,6)&lt;&gt;"VACUUM"),"CDU",IF($H5467="FLUID CAT CRACKING","FCC",IF(OR($H5467="HYDROCRACKING",$H5467="RESID_HYDROCRACKING"),"Hydrocracker",IF($H5467="REFORMING","Reformer",""))))</f>
        <v/>
      </c>
      <c r="H5467" s="6" t="s">
        <v>460</v>
      </c>
      <c r="I5467" s="6" t="s">
        <v>952</v>
      </c>
      <c r="J5467" s="6" t="s">
        <v>345</v>
      </c>
      <c r="K5467" s="10">
        <v>4.18</v>
      </c>
      <c r="L5467" s="10">
        <v>22</v>
      </c>
      <c r="M5467" s="6" t="s">
        <v>386</v>
      </c>
    </row>
    <row r="5468" spans="1:13">
      <c r="A5468" s="6">
        <v>2025</v>
      </c>
      <c r="B5468" s="6">
        <v>3</v>
      </c>
      <c r="C5468" s="6" t="s">
        <v>61</v>
      </c>
      <c r="D5468" s="6" t="s">
        <v>50</v>
      </c>
      <c r="E5468" s="6" t="s">
        <v>381</v>
      </c>
      <c r="F5468" s="6" t="str">
        <f>IF($M5468="PADD I","PADD 1",IF($M5468="PADD II","PADD 2",IF($M5468="PADD III","PADD 3",IF($M5468="PADD IV","PADD 4",IF($M5468="PADD V","PADD 5","")))))</f>
        <v>PADD 3</v>
      </c>
      <c r="G5468" s="6">
        <f>IF(AND($H5468="ATMOS DISTILLATION",ISNUMBER(SEARCH("VPS",$I5468))=FALSE,LEFT($I5468,6)&lt;&gt;"VACUUM"),"CDU",IF($H5468="FLUID CAT CRACKING","FCC",IF(OR($H5468="HYDROCRACKING",$H5468="RESID_HYDROCRACKING"),"Hydrocracker",IF($H5468="REFORMING","Reformer",""))))</f>
        <v/>
      </c>
      <c r="H5468" s="6" t="s">
        <v>435</v>
      </c>
      <c r="I5468" s="6" t="s">
        <v>1272</v>
      </c>
      <c r="J5468" s="6" t="s">
        <v>349</v>
      </c>
      <c r="K5468" s="10">
        <v>4.12</v>
      </c>
      <c r="L5468" s="10">
        <v>25.75</v>
      </c>
      <c r="M5468" s="6" t="s">
        <v>371</v>
      </c>
    </row>
    <row r="5469" spans="1:13">
      <c r="A5469" s="6">
        <v>2025</v>
      </c>
      <c r="B5469" s="6">
        <v>3</v>
      </c>
      <c r="C5469" s="6" t="s">
        <v>61</v>
      </c>
      <c r="D5469" s="6" t="s">
        <v>468</v>
      </c>
      <c r="E5469" s="6" t="s">
        <v>369</v>
      </c>
      <c r="F5469" s="6" t="str">
        <f>IF($M5469="PADD I","PADD 1",IF($M5469="PADD II","PADD 2",IF($M5469="PADD III","PADD 3",IF($M5469="PADD IV","PADD 4",IF($M5469="PADD V","PADD 5","")))))</f>
        <v>PADD 3</v>
      </c>
      <c r="G5469" s="6" t="str">
        <f>IF(AND($H5469="ATMOS DISTILLATION",ISNUMBER(SEARCH("VPS",$I5469))=FALSE,LEFT($I5469,6)&lt;&gt;"VACUUM"),"CDU",IF($H5469="FLUID CAT CRACKING","FCC",IF(OR($H5469="HYDROCRACKING",$H5469="RESID_HYDROCRACKING"),"Hydrocracker",IF($H5469="REFORMING","Reformer",""))))</f>
        <v>Reformer</v>
      </c>
      <c r="H5469" s="6" t="s">
        <v>421</v>
      </c>
      <c r="I5469" s="6" t="s">
        <v>635</v>
      </c>
      <c r="J5469" s="6" t="s">
        <v>345</v>
      </c>
      <c r="K5469" s="10">
        <v>3.85</v>
      </c>
      <c r="L5469" s="10">
        <v>7</v>
      </c>
      <c r="M5469" s="6" t="s">
        <v>371</v>
      </c>
    </row>
    <row r="5470" spans="1:13">
      <c r="A5470" s="6">
        <v>2025</v>
      </c>
      <c r="B5470" s="6">
        <v>3</v>
      </c>
      <c r="C5470" s="6" t="s">
        <v>61</v>
      </c>
      <c r="D5470" s="6" t="s">
        <v>390</v>
      </c>
      <c r="E5470" s="6" t="s">
        <v>391</v>
      </c>
      <c r="F5470" s="6" t="str">
        <f>IF($M5470="PADD I","PADD 1",IF($M5470="PADD II","PADD 2",IF($M5470="PADD III","PADD 3",IF($M5470="PADD IV","PADD 4",IF($M5470="PADD V","PADD 5","")))))</f>
        <v>PADD 3</v>
      </c>
      <c r="G5470" s="6" t="str">
        <f>IF(AND($H5470="ATMOS DISTILLATION",ISNUMBER(SEARCH("VPS",$I5470))=FALSE,LEFT($I5470,6)&lt;&gt;"VACUUM"),"CDU",IF($H5470="FLUID CAT CRACKING","FCC",IF(OR($H5470="HYDROCRACKING",$H5470="RESID_HYDROCRACKING"),"Hydrocracker",IF($H5470="REFORMING","Reformer",""))))</f>
        <v>Hydrocracker</v>
      </c>
      <c r="H5470" s="6" t="s">
        <v>444</v>
      </c>
      <c r="I5470" s="6" t="s">
        <v>1299</v>
      </c>
      <c r="J5470" s="6" t="s">
        <v>349</v>
      </c>
      <c r="K5470" s="10">
        <v>3.84</v>
      </c>
      <c r="L5470" s="10">
        <v>24</v>
      </c>
      <c r="M5470" s="6" t="s">
        <v>371</v>
      </c>
    </row>
    <row r="5471" spans="1:13">
      <c r="A5471" s="6">
        <v>2025</v>
      </c>
      <c r="B5471" s="6">
        <v>3</v>
      </c>
      <c r="C5471" s="6" t="s">
        <v>61</v>
      </c>
      <c r="D5471" s="6" t="s">
        <v>714</v>
      </c>
      <c r="E5471" s="6" t="s">
        <v>405</v>
      </c>
      <c r="F5471" s="6" t="str">
        <f>IF($M5471="PADD I","PADD 1",IF($M5471="PADD II","PADD 2",IF($M5471="PADD III","PADD 3",IF($M5471="PADD IV","PADD 4",IF($M5471="PADD V","PADD 5","")))))</f>
        <v>PADD 3</v>
      </c>
      <c r="G5471" s="6" t="str">
        <f>IF(AND($H5471="ATMOS DISTILLATION",ISNUMBER(SEARCH("VPS",$I5471))=FALSE,LEFT($I5471,6)&lt;&gt;"VACUUM"),"CDU",IF($H5471="FLUID CAT CRACKING","FCC",IF(OR($H5471="HYDROCRACKING",$H5471="RESID_HYDROCRACKING"),"Hydrocracker",IF($H5471="REFORMING","Reformer",""))))</f>
        <v>Hydrocracker</v>
      </c>
      <c r="H5471" s="6" t="s">
        <v>444</v>
      </c>
      <c r="I5471" s="6" t="s">
        <v>14</v>
      </c>
      <c r="J5471" s="6" t="s">
        <v>345</v>
      </c>
      <c r="K5471" s="10">
        <v>3.835</v>
      </c>
      <c r="L5471" s="10">
        <v>29.5</v>
      </c>
      <c r="M5471" s="6" t="s">
        <v>371</v>
      </c>
    </row>
    <row r="5472" spans="1:13">
      <c r="A5472" s="6">
        <v>2025</v>
      </c>
      <c r="B5472" s="6">
        <v>3</v>
      </c>
      <c r="C5472" s="6" t="s">
        <v>61</v>
      </c>
      <c r="D5472" s="6" t="s">
        <v>887</v>
      </c>
      <c r="E5472" s="6" t="s">
        <v>405</v>
      </c>
      <c r="F5472" s="6" t="str">
        <f>IF($M5472="PADD I","PADD 1",IF($M5472="PADD II","PADD 2",IF($M5472="PADD III","PADD 3",IF($M5472="PADD IV","PADD 4",IF($M5472="PADD V","PADD 5","")))))</f>
        <v>PADD 3</v>
      </c>
      <c r="G5472" s="6">
        <f>IF(AND($H5472="ATMOS DISTILLATION",ISNUMBER(SEARCH("VPS",$I5472))=FALSE,LEFT($I5472,6)&lt;&gt;"VACUUM"),"CDU",IF($H5472="FLUID CAT CRACKING","FCC",IF(OR($H5472="HYDROCRACKING",$H5472="RESID_HYDROCRACKING"),"Hydrocracker",IF($H5472="REFORMING","Reformer",""))))</f>
        <v/>
      </c>
      <c r="H5472" s="6" t="s">
        <v>43</v>
      </c>
      <c r="I5472" s="6" t="s">
        <v>918</v>
      </c>
      <c r="J5472" s="6" t="s">
        <v>349</v>
      </c>
      <c r="K5472" s="10">
        <v>3.8</v>
      </c>
      <c r="L5472" s="10">
        <v>20</v>
      </c>
      <c r="M5472" s="6" t="s">
        <v>371</v>
      </c>
    </row>
    <row r="5473" spans="1:13">
      <c r="A5473" s="6">
        <v>2025</v>
      </c>
      <c r="B5473" s="6">
        <v>3</v>
      </c>
      <c r="C5473" s="6" t="s">
        <v>61</v>
      </c>
      <c r="D5473" s="6" t="s">
        <v>321</v>
      </c>
      <c r="E5473" s="6" t="s">
        <v>381</v>
      </c>
      <c r="F5473" s="6" t="str">
        <f>IF($M5473="PADD I","PADD 1",IF($M5473="PADD II","PADD 2",IF($M5473="PADD III","PADD 3",IF($M5473="PADD IV","PADD 4",IF($M5473="PADD V","PADD 5","")))))</f>
        <v>PADD 2</v>
      </c>
      <c r="G5473" s="6">
        <f>IF(AND($H5473="ATMOS DISTILLATION",ISNUMBER(SEARCH("VPS",$I5473))=FALSE,LEFT($I5473,6)&lt;&gt;"VACUUM"),"CDU",IF($H5473="FLUID CAT CRACKING","FCC",IF(OR($H5473="HYDROCRACKING",$H5473="RESID_HYDROCRACKING"),"Hydrocracker",IF($H5473="REFORMING","Reformer",""))))</f>
        <v/>
      </c>
      <c r="H5473" s="6" t="s">
        <v>43</v>
      </c>
      <c r="I5473" s="6" t="s">
        <v>1165</v>
      </c>
      <c r="J5473" s="6" t="s">
        <v>349</v>
      </c>
      <c r="K5473" s="10">
        <v>3.8</v>
      </c>
      <c r="L5473" s="10">
        <v>20</v>
      </c>
      <c r="M5473" s="6" t="s">
        <v>375</v>
      </c>
    </row>
    <row r="5474" spans="1:13">
      <c r="A5474" s="6">
        <v>2025</v>
      </c>
      <c r="B5474" s="6">
        <v>3</v>
      </c>
      <c r="C5474" s="6" t="s">
        <v>61</v>
      </c>
      <c r="D5474" s="6" t="s">
        <v>714</v>
      </c>
      <c r="E5474" s="6" t="s">
        <v>405</v>
      </c>
      <c r="F5474" s="6" t="str">
        <f>IF($M5474="PADD I","PADD 1",IF($M5474="PADD II","PADD 2",IF($M5474="PADD III","PADD 3",IF($M5474="PADD IV","PADD 4",IF($M5474="PADD V","PADD 5","")))))</f>
        <v>PADD 3</v>
      </c>
      <c r="G5474" s="6" t="str">
        <f>IF(AND($H5474="ATMOS DISTILLATION",ISNUMBER(SEARCH("VPS",$I5474))=FALSE,LEFT($I5474,6)&lt;&gt;"VACUUM"),"CDU",IF($H5474="FLUID CAT CRACKING","FCC",IF(OR($H5474="HYDROCRACKING",$H5474="RESID_HYDROCRACKING"),"Hydrocracker",IF($H5474="REFORMING","Reformer",""))))</f>
        <v>Reformer</v>
      </c>
      <c r="H5474" s="6" t="s">
        <v>421</v>
      </c>
      <c r="I5474" s="6" t="s">
        <v>864</v>
      </c>
      <c r="J5474" s="6" t="s">
        <v>345</v>
      </c>
      <c r="K5474" s="10">
        <v>3.757</v>
      </c>
      <c r="L5474" s="10">
        <v>28.9</v>
      </c>
      <c r="M5474" s="6" t="s">
        <v>371</v>
      </c>
    </row>
    <row r="5475" spans="1:13">
      <c r="A5475" s="6">
        <v>2025</v>
      </c>
      <c r="B5475" s="6">
        <v>3</v>
      </c>
      <c r="C5475" s="6" t="s">
        <v>61</v>
      </c>
      <c r="D5475" s="6" t="s">
        <v>1286</v>
      </c>
      <c r="E5475" s="6" t="s">
        <v>1287</v>
      </c>
      <c r="F5475" s="6" t="str">
        <f>IF($M5475="PADD I","PADD 1",IF($M5475="PADD II","PADD 2",IF($M5475="PADD III","PADD 3",IF($M5475="PADD IV","PADD 4",IF($M5475="PADD V","PADD 5","")))))</f>
        <v>PADD 4</v>
      </c>
      <c r="G5475" s="6">
        <f>IF(AND($H5475="ATMOS DISTILLATION",ISNUMBER(SEARCH("VPS",$I5475))=FALSE,LEFT($I5475,6)&lt;&gt;"VACUUM"),"CDU",IF($H5475="FLUID CAT CRACKING","FCC",IF(OR($H5475="HYDROCRACKING",$H5475="RESID_HYDROCRACKING"),"Hydrocracker",IF($H5475="REFORMING","Reformer",""))))</f>
        <v/>
      </c>
      <c r="H5475" s="6" t="s">
        <v>43</v>
      </c>
      <c r="I5475" s="6" t="s">
        <v>1292</v>
      </c>
      <c r="J5475" s="6" t="s">
        <v>345</v>
      </c>
      <c r="K5475" s="10">
        <v>3.5</v>
      </c>
      <c r="L5475" s="10">
        <v>3.5</v>
      </c>
      <c r="M5475" s="6" t="s">
        <v>430</v>
      </c>
    </row>
    <row r="5476" spans="1:13">
      <c r="A5476" s="6">
        <v>2025</v>
      </c>
      <c r="B5476" s="6">
        <v>3</v>
      </c>
      <c r="C5476" s="6" t="s">
        <v>61</v>
      </c>
      <c r="D5476" s="6" t="s">
        <v>953</v>
      </c>
      <c r="E5476" s="6" t="s">
        <v>733</v>
      </c>
      <c r="F5476" s="6" t="str">
        <f>IF($M5476="PADD I","PADD 1",IF($M5476="PADD II","PADD 2",IF($M5476="PADD III","PADD 3",IF($M5476="PADD IV","PADD 4",IF($M5476="PADD V","PADD 5","")))))</f>
        <v>PADD 2</v>
      </c>
      <c r="G5476" s="6">
        <f>IF(AND($H5476="ATMOS DISTILLATION",ISNUMBER(SEARCH("VPS",$I5476))=FALSE,LEFT($I5476,6)&lt;&gt;"VACUUM"),"CDU",IF($H5476="FLUID CAT CRACKING","FCC",IF(OR($H5476="HYDROCRACKING",$H5476="RESID_HYDROCRACKING"),"Hydrocracker",IF($H5476="REFORMING","Reformer",""))))</f>
        <v/>
      </c>
      <c r="H5476" s="6" t="s">
        <v>460</v>
      </c>
      <c r="I5476" s="6" t="s">
        <v>616</v>
      </c>
      <c r="J5476" s="6" t="s">
        <v>349</v>
      </c>
      <c r="K5476" s="10">
        <v>3.432</v>
      </c>
      <c r="L5476" s="10">
        <v>6.6</v>
      </c>
      <c r="M5476" s="6" t="s">
        <v>375</v>
      </c>
    </row>
    <row r="5477" spans="1:13">
      <c r="A5477" s="6">
        <v>2025</v>
      </c>
      <c r="B5477" s="6">
        <v>3</v>
      </c>
      <c r="C5477" s="6" t="s">
        <v>61</v>
      </c>
      <c r="D5477" s="6" t="s">
        <v>1286</v>
      </c>
      <c r="E5477" s="6" t="s">
        <v>1287</v>
      </c>
      <c r="F5477" s="6" t="str">
        <f>IF($M5477="PADD I","PADD 1",IF($M5477="PADD II","PADD 2",IF($M5477="PADD III","PADD 3",IF($M5477="PADD IV","PADD 4",IF($M5477="PADD V","PADD 5","")))))</f>
        <v>PADD 4</v>
      </c>
      <c r="G5477" s="6" t="str">
        <f>IF(AND($H5477="ATMOS DISTILLATION",ISNUMBER(SEARCH("VPS",$I5477))=FALSE,LEFT($I5477,6)&lt;&gt;"VACUUM"),"CDU",IF($H5477="FLUID CAT CRACKING","FCC",IF(OR($H5477="HYDROCRACKING",$H5477="RESID_HYDROCRACKING"),"Hydrocracker",IF($H5477="REFORMING","Reformer",""))))</f>
        <v>Reformer</v>
      </c>
      <c r="H5477" s="6" t="s">
        <v>421</v>
      </c>
      <c r="I5477" s="6" t="s">
        <v>15</v>
      </c>
      <c r="J5477" s="6" t="s">
        <v>345</v>
      </c>
      <c r="K5477" s="10">
        <v>3.2</v>
      </c>
      <c r="L5477" s="10">
        <v>3.2</v>
      </c>
      <c r="M5477" s="6" t="s">
        <v>430</v>
      </c>
    </row>
    <row r="5478" spans="1:13">
      <c r="A5478" s="6">
        <v>2025</v>
      </c>
      <c r="B5478" s="6">
        <v>3</v>
      </c>
      <c r="C5478" s="6" t="s">
        <v>61</v>
      </c>
      <c r="D5478" s="6" t="s">
        <v>451</v>
      </c>
      <c r="E5478" s="6" t="s">
        <v>452</v>
      </c>
      <c r="F5478" s="6" t="str">
        <f>IF($M5478="PADD I","PADD 1",IF($M5478="PADD II","PADD 2",IF($M5478="PADD III","PADD 3",IF($M5478="PADD IV","PADD 4",IF($M5478="PADD V","PADD 5","")))))</f>
        <v>PADD 2</v>
      </c>
      <c r="G5478" s="6">
        <f>IF(AND($H5478="ATMOS DISTILLATION",ISNUMBER(SEARCH("VPS",$I5478))=FALSE,LEFT($I5478,6)&lt;&gt;"VACUUM"),"CDU",IF($H5478="FLUID CAT CRACKING","FCC",IF(OR($H5478="HYDROCRACKING",$H5478="RESID_HYDROCRACKING"),"Hydrocracker",IF($H5478="REFORMING","Reformer",""))))</f>
        <v/>
      </c>
      <c r="H5478" s="6" t="s">
        <v>43</v>
      </c>
      <c r="I5478" s="6" t="s">
        <v>902</v>
      </c>
      <c r="J5478" s="6" t="s">
        <v>349</v>
      </c>
      <c r="K5478" s="10">
        <v>3.2</v>
      </c>
      <c r="L5478" s="10">
        <v>3.2</v>
      </c>
      <c r="M5478" s="6" t="s">
        <v>375</v>
      </c>
    </row>
    <row r="5479" spans="1:13">
      <c r="A5479" s="6">
        <v>2025</v>
      </c>
      <c r="B5479" s="6">
        <v>3</v>
      </c>
      <c r="C5479" s="6" t="s">
        <v>61</v>
      </c>
      <c r="D5479" s="6" t="s">
        <v>324</v>
      </c>
      <c r="E5479" s="6" t="s">
        <v>388</v>
      </c>
      <c r="F5479" s="6" t="str">
        <f>IF($M5479="PADD I","PADD 1",IF($M5479="PADD II","PADD 2",IF($M5479="PADD III","PADD 3",IF($M5479="PADD IV","PADD 4",IF($M5479="PADD V","PADD 5","")))))</f>
        <v>PADD 3</v>
      </c>
      <c r="G5479" s="6">
        <f>IF(AND($H5479="ATMOS DISTILLATION",ISNUMBER(SEARCH("VPS",$I5479))=FALSE,LEFT($I5479,6)&lt;&gt;"VACUUM"),"CDU",IF($H5479="FLUID CAT CRACKING","FCC",IF(OR($H5479="HYDROCRACKING",$H5479="RESID_HYDROCRACKING"),"Hydrocracker",IF($H5479="REFORMING","Reformer",""))))</f>
        <v/>
      </c>
      <c r="H5479" s="6" t="s">
        <v>43</v>
      </c>
      <c r="I5479" s="6" t="s">
        <v>682</v>
      </c>
      <c r="J5479" s="6" t="s">
        <v>349</v>
      </c>
      <c r="K5479" s="10">
        <v>3.18</v>
      </c>
      <c r="L5479" s="10">
        <v>106</v>
      </c>
      <c r="M5479" s="6" t="s">
        <v>371</v>
      </c>
    </row>
    <row r="5480" spans="1:13">
      <c r="A5480" s="6">
        <v>2025</v>
      </c>
      <c r="B5480" s="6">
        <v>3</v>
      </c>
      <c r="C5480" s="6" t="s">
        <v>61</v>
      </c>
      <c r="D5480" s="6" t="s">
        <v>372</v>
      </c>
      <c r="E5480" s="6" t="s">
        <v>373</v>
      </c>
      <c r="F5480" s="6" t="str">
        <f>IF($M5480="PADD I","PADD 1",IF($M5480="PADD II","PADD 2",IF($M5480="PADD III","PADD 3",IF($M5480="PADD IV","PADD 4",IF($M5480="PADD V","PADD 5","")))))</f>
        <v>PADD 2</v>
      </c>
      <c r="G5480" s="6">
        <f>IF(AND($H5480="ATMOS DISTILLATION",ISNUMBER(SEARCH("VPS",$I5480))=FALSE,LEFT($I5480,6)&lt;&gt;"VACUUM"),"CDU",IF($H5480="FLUID CAT CRACKING","FCC",IF(OR($H5480="HYDROCRACKING",$H5480="RESID_HYDROCRACKING"),"Hydrocracker",IF($H5480="REFORMING","Reformer",""))))</f>
        <v/>
      </c>
      <c r="H5480" s="6" t="s">
        <v>435</v>
      </c>
      <c r="I5480" s="6" t="s">
        <v>584</v>
      </c>
      <c r="J5480" s="6" t="s">
        <v>345</v>
      </c>
      <c r="K5480" s="10">
        <v>2.925</v>
      </c>
      <c r="L5480" s="10">
        <v>7.5</v>
      </c>
      <c r="M5480" s="6" t="s">
        <v>375</v>
      </c>
    </row>
    <row r="5481" spans="1:13">
      <c r="A5481" s="6">
        <v>2025</v>
      </c>
      <c r="B5481" s="6">
        <v>3</v>
      </c>
      <c r="C5481" s="6" t="s">
        <v>61</v>
      </c>
      <c r="D5481" s="6" t="s">
        <v>40</v>
      </c>
      <c r="E5481" s="6" t="s">
        <v>736</v>
      </c>
      <c r="F5481" s="6" t="str">
        <f>IF($M5481="PADD I","PADD 1",IF($M5481="PADD II","PADD 2",IF($M5481="PADD III","PADD 3",IF($M5481="PADD IV","PADD 4",IF($M5481="PADD V","PADD 5","")))))</f>
        <v>PADD 1</v>
      </c>
      <c r="G5481" s="6" t="str">
        <f>IF(AND($H5481="ATMOS DISTILLATION",ISNUMBER(SEARCH("VPS",$I5481))=FALSE,LEFT($I5481,6)&lt;&gt;"VACUUM"),"CDU",IF($H5481="FLUID CAT CRACKING","FCC",IF(OR($H5481="HYDROCRACKING",$H5481="RESID_HYDROCRACKING"),"Hydrocracker",IF($H5481="REFORMING","Reformer",""))))</f>
        <v>Hydrocracker</v>
      </c>
      <c r="H5481" s="6" t="s">
        <v>444</v>
      </c>
      <c r="I5481" s="6" t="s">
        <v>445</v>
      </c>
      <c r="J5481" s="6" t="s">
        <v>345</v>
      </c>
      <c r="K5481" s="10">
        <v>2.3</v>
      </c>
      <c r="L5481" s="10">
        <v>23</v>
      </c>
      <c r="M5481" s="6" t="s">
        <v>413</v>
      </c>
    </row>
    <row r="5482" spans="1:13">
      <c r="A5482" s="6">
        <v>2025</v>
      </c>
      <c r="B5482" s="6">
        <v>3</v>
      </c>
      <c r="C5482" s="6" t="s">
        <v>61</v>
      </c>
      <c r="D5482" s="6" t="s">
        <v>851</v>
      </c>
      <c r="E5482" s="6" t="s">
        <v>852</v>
      </c>
      <c r="F5482" s="6" t="str">
        <f>IF($M5482="PADD I","PADD 1",IF($M5482="PADD II","PADD 2",IF($M5482="PADD III","PADD 3",IF($M5482="PADD IV","PADD 4",IF($M5482="PADD V","PADD 5","")))))</f>
        <v>PADD 3</v>
      </c>
      <c r="G5482" s="6">
        <f>IF(AND($H5482="ATMOS DISTILLATION",ISNUMBER(SEARCH("VPS",$I5482))=FALSE,LEFT($I5482,6)&lt;&gt;"VACUUM"),"CDU",IF($H5482="FLUID CAT CRACKING","FCC",IF(OR($H5482="HYDROCRACKING",$H5482="RESID_HYDROCRACKING"),"Hydrocracker",IF($H5482="REFORMING","Reformer",""))))</f>
        <v/>
      </c>
      <c r="H5482" s="6" t="s">
        <v>378</v>
      </c>
      <c r="I5482" s="6" t="s">
        <v>860</v>
      </c>
      <c r="J5482" s="6" t="s">
        <v>345</v>
      </c>
      <c r="K5482" s="10">
        <v>2.16</v>
      </c>
      <c r="L5482" s="10">
        <v>36</v>
      </c>
      <c r="M5482" s="6" t="s">
        <v>371</v>
      </c>
    </row>
    <row r="5483" spans="1:13">
      <c r="A5483" s="6">
        <v>2025</v>
      </c>
      <c r="B5483" s="6">
        <v>3</v>
      </c>
      <c r="C5483" s="6" t="s">
        <v>61</v>
      </c>
      <c r="D5483" s="6" t="s">
        <v>457</v>
      </c>
      <c r="E5483" s="6" t="s">
        <v>388</v>
      </c>
      <c r="F5483" s="6" t="str">
        <f>IF($M5483="PADD I","PADD 1",IF($M5483="PADD II","PADD 2",IF($M5483="PADD III","PADD 3",IF($M5483="PADD IV","PADD 4",IF($M5483="PADD V","PADD 5","")))))</f>
        <v>PADD 5</v>
      </c>
      <c r="G5483" s="6" t="str">
        <f>IF(AND($H5483="ATMOS DISTILLATION",ISNUMBER(SEARCH("VPS",$I5483))=FALSE,LEFT($I5483,6)&lt;&gt;"VACUUM"),"CDU",IF($H5483="FLUID CAT CRACKING","FCC",IF(OR($H5483="HYDROCRACKING",$H5483="RESID_HYDROCRACKING"),"Hydrocracker",IF($H5483="REFORMING","Reformer",""))))</f>
        <v>Reformer</v>
      </c>
      <c r="H5483" s="6" t="s">
        <v>421</v>
      </c>
      <c r="I5483" s="6" t="s">
        <v>557</v>
      </c>
      <c r="J5483" s="6" t="s">
        <v>345</v>
      </c>
      <c r="K5483" s="10">
        <v>2</v>
      </c>
      <c r="L5483" s="10">
        <v>20</v>
      </c>
      <c r="M5483" s="6" t="s">
        <v>386</v>
      </c>
    </row>
    <row r="5484" spans="1:13">
      <c r="A5484" s="6">
        <v>2025</v>
      </c>
      <c r="B5484" s="6">
        <v>3</v>
      </c>
      <c r="C5484" s="6" t="s">
        <v>61</v>
      </c>
      <c r="D5484" s="6" t="s">
        <v>372</v>
      </c>
      <c r="E5484" s="6" t="s">
        <v>373</v>
      </c>
      <c r="F5484" s="6" t="str">
        <f>IF($M5484="PADD I","PADD 1",IF($M5484="PADD II","PADD 2",IF($M5484="PADD III","PADD 3",IF($M5484="PADD IV","PADD 4",IF($M5484="PADD V","PADD 5","")))))</f>
        <v>PADD 2</v>
      </c>
      <c r="G5484" s="6" t="str">
        <f>IF(AND($H5484="ATMOS DISTILLATION",ISNUMBER(SEARCH("VPS",$I5484))=FALSE,LEFT($I5484,6)&lt;&gt;"VACUUM"),"CDU",IF($H5484="FLUID CAT CRACKING","FCC",IF(OR($H5484="HYDROCRACKING",$H5484="RESID_HYDROCRACKING"),"Hydrocracker",IF($H5484="REFORMING","Reformer",""))))</f>
        <v>FCC</v>
      </c>
      <c r="H5484" s="6" t="s">
        <v>376</v>
      </c>
      <c r="I5484" s="6" t="s">
        <v>407</v>
      </c>
      <c r="J5484" s="6" t="s">
        <v>345</v>
      </c>
      <c r="K5484" s="10">
        <v>1.65</v>
      </c>
      <c r="L5484" s="10">
        <v>55</v>
      </c>
      <c r="M5484" s="6" t="s">
        <v>375</v>
      </c>
    </row>
    <row r="5485" spans="1:13">
      <c r="A5485" s="6">
        <v>2025</v>
      </c>
      <c r="B5485" s="6">
        <v>3</v>
      </c>
      <c r="C5485" s="6" t="s">
        <v>61</v>
      </c>
      <c r="D5485" s="6" t="s">
        <v>415</v>
      </c>
      <c r="E5485" s="6" t="s">
        <v>416</v>
      </c>
      <c r="F5485" s="6" t="str">
        <f>IF($M5485="PADD I","PADD 1",IF($M5485="PADD II","PADD 2",IF($M5485="PADD III","PADD 3",IF($M5485="PADD IV","PADD 4",IF($M5485="PADD V","PADD 5","")))))</f>
        <v>PADD 3</v>
      </c>
      <c r="G5485" s="6" t="str">
        <f>IF(AND($H5485="ATMOS DISTILLATION",ISNUMBER(SEARCH("VPS",$I5485))=FALSE,LEFT($I5485,6)&lt;&gt;"VACUUM"),"CDU",IF($H5485="FLUID CAT CRACKING","FCC",IF(OR($H5485="HYDROCRACKING",$H5485="RESID_HYDROCRACKING"),"Hydrocracker",IF($H5485="REFORMING","Reformer",""))))</f>
        <v>Reformer</v>
      </c>
      <c r="H5485" s="6" t="s">
        <v>421</v>
      </c>
      <c r="I5485" s="6" t="s">
        <v>454</v>
      </c>
      <c r="J5485" s="6" t="s">
        <v>345</v>
      </c>
      <c r="K5485" s="10">
        <v>1.596</v>
      </c>
      <c r="L5485" s="10">
        <v>53.2</v>
      </c>
      <c r="M5485" s="6" t="s">
        <v>371</v>
      </c>
    </row>
    <row r="5486" spans="1:13">
      <c r="A5486" s="6">
        <v>2025</v>
      </c>
      <c r="B5486" s="6">
        <v>3</v>
      </c>
      <c r="C5486" s="6" t="s">
        <v>61</v>
      </c>
      <c r="D5486" s="6" t="s">
        <v>1286</v>
      </c>
      <c r="E5486" s="6" t="s">
        <v>1287</v>
      </c>
      <c r="F5486" s="6" t="str">
        <f>IF($M5486="PADD I","PADD 1",IF($M5486="PADD II","PADD 2",IF($M5486="PADD III","PADD 3",IF($M5486="PADD IV","PADD 4",IF($M5486="PADD V","PADD 5","")))))</f>
        <v>PADD 4</v>
      </c>
      <c r="G5486" s="6">
        <f>IF(AND($H5486="ATMOS DISTILLATION",ISNUMBER(SEARCH("VPS",$I5486))=FALSE,LEFT($I5486,6)&lt;&gt;"VACUUM"),"CDU",IF($H5486="FLUID CAT CRACKING","FCC",IF(OR($H5486="HYDROCRACKING",$H5486="RESID_HYDROCRACKING"),"Hydrocracker",IF($H5486="REFORMING","Reformer",""))))</f>
        <v/>
      </c>
      <c r="H5486" s="6" t="s">
        <v>378</v>
      </c>
      <c r="I5486" s="6" t="s">
        <v>431</v>
      </c>
      <c r="J5486" s="6" t="s">
        <v>345</v>
      </c>
      <c r="K5486" s="10">
        <v>1.5</v>
      </c>
      <c r="L5486" s="10">
        <v>1.5</v>
      </c>
      <c r="M5486" s="6" t="s">
        <v>430</v>
      </c>
    </row>
    <row r="5487" spans="1:13">
      <c r="A5487" s="6">
        <v>2025</v>
      </c>
      <c r="B5487" s="6">
        <v>3</v>
      </c>
      <c r="C5487" s="6" t="s">
        <v>61</v>
      </c>
      <c r="D5487" s="6" t="s">
        <v>326</v>
      </c>
      <c r="E5487" s="6" t="s">
        <v>385</v>
      </c>
      <c r="F5487" s="6" t="str">
        <f>IF($M5487="PADD I","PADD 1",IF($M5487="PADD II","PADD 2",IF($M5487="PADD III","PADD 3",IF($M5487="PADD IV","PADD 4",IF($M5487="PADD V","PADD 5","")))))</f>
        <v>PADD 5</v>
      </c>
      <c r="G5487" s="6">
        <f>IF(AND($H5487="ATMOS DISTILLATION",ISNUMBER(SEARCH("VPS",$I5487))=FALSE,LEFT($I5487,6)&lt;&gt;"VACUUM"),"CDU",IF($H5487="FLUID CAT CRACKING","FCC",IF(OR($H5487="HYDROCRACKING",$H5487="RESID_HYDROCRACKING"),"Hydrocracker",IF($H5487="REFORMING","Reformer",""))))</f>
        <v/>
      </c>
      <c r="H5487" s="6" t="s">
        <v>568</v>
      </c>
      <c r="I5487" s="6" t="s">
        <v>604</v>
      </c>
      <c r="J5487" s="6" t="s">
        <v>345</v>
      </c>
      <c r="K5487" s="10">
        <v>1.5</v>
      </c>
      <c r="L5487" s="10">
        <v>1.5</v>
      </c>
      <c r="M5487" s="6" t="s">
        <v>386</v>
      </c>
    </row>
    <row r="5488" spans="1:13">
      <c r="A5488" s="6">
        <v>2025</v>
      </c>
      <c r="B5488" s="6">
        <v>3</v>
      </c>
      <c r="C5488" s="6" t="s">
        <v>61</v>
      </c>
      <c r="D5488" s="6" t="s">
        <v>722</v>
      </c>
      <c r="E5488" s="6" t="s">
        <v>452</v>
      </c>
      <c r="F5488" s="6" t="str">
        <f>IF($M5488="PADD I","PADD 1",IF($M5488="PADD II","PADD 2",IF($M5488="PADD III","PADD 3",IF($M5488="PADD IV","PADD 4",IF($M5488="PADD V","PADD 5","")))))</f>
        <v>PADD 4</v>
      </c>
      <c r="G5488" s="6" t="str">
        <f>IF(AND($H5488="ATMOS DISTILLATION",ISNUMBER(SEARCH("VPS",$I5488))=FALSE,LEFT($I5488,6)&lt;&gt;"VACUUM"),"CDU",IF($H5488="FLUID CAT CRACKING","FCC",IF(OR($H5488="HYDROCRACKING",$H5488="RESID_HYDROCRACKING"),"Hydrocracker",IF($H5488="REFORMING","Reformer",""))))</f>
        <v>Hydrocracker</v>
      </c>
      <c r="H5488" s="6" t="s">
        <v>444</v>
      </c>
      <c r="I5488" s="6" t="s">
        <v>1147</v>
      </c>
      <c r="J5488" s="6" t="s">
        <v>345</v>
      </c>
      <c r="K5488" s="10">
        <v>1.5</v>
      </c>
      <c r="L5488" s="10">
        <v>15</v>
      </c>
      <c r="M5488" s="6" t="s">
        <v>430</v>
      </c>
    </row>
    <row r="5489" spans="1:13">
      <c r="A5489" s="6">
        <v>2025</v>
      </c>
      <c r="B5489" s="6">
        <v>3</v>
      </c>
      <c r="C5489" s="6" t="s">
        <v>61</v>
      </c>
      <c r="D5489" s="6" t="s">
        <v>662</v>
      </c>
      <c r="E5489" s="6" t="s">
        <v>552</v>
      </c>
      <c r="F5489" s="6" t="str">
        <f>IF($M5489="PADD I","PADD 1",IF($M5489="PADD II","PADD 2",IF($M5489="PADD III","PADD 3",IF($M5489="PADD IV","PADD 4",IF($M5489="PADD V","PADD 5","")))))</f>
        <v>PADD 3</v>
      </c>
      <c r="G5489" s="6" t="str">
        <f>IF(AND($H5489="ATMOS DISTILLATION",ISNUMBER(SEARCH("VPS",$I5489))=FALSE,LEFT($I5489,6)&lt;&gt;"VACUUM"),"CDU",IF($H5489="FLUID CAT CRACKING","FCC",IF(OR($H5489="HYDROCRACKING",$H5489="RESID_HYDROCRACKING"),"Hydrocracker",IF($H5489="REFORMING","Reformer",""))))</f>
        <v>FCC</v>
      </c>
      <c r="H5489" s="6" t="s">
        <v>376</v>
      </c>
      <c r="I5489" s="6" t="s">
        <v>105</v>
      </c>
      <c r="J5489" s="6" t="s">
        <v>349</v>
      </c>
      <c r="K5489" s="10">
        <v>1.5</v>
      </c>
      <c r="L5489" s="10">
        <v>25</v>
      </c>
      <c r="M5489" s="6" t="s">
        <v>371</v>
      </c>
    </row>
    <row r="5490" spans="1:13">
      <c r="A5490" s="6">
        <v>2025</v>
      </c>
      <c r="B5490" s="6">
        <v>3</v>
      </c>
      <c r="C5490" s="6" t="s">
        <v>61</v>
      </c>
      <c r="D5490" s="6" t="s">
        <v>1286</v>
      </c>
      <c r="E5490" s="6" t="s">
        <v>1287</v>
      </c>
      <c r="F5490" s="6" t="str">
        <f>IF($M5490="PADD I","PADD 1",IF($M5490="PADD II","PADD 2",IF($M5490="PADD III","PADD 3",IF($M5490="PADD IV","PADD 4",IF($M5490="PADD V","PADD 5","")))))</f>
        <v>PADD 4</v>
      </c>
      <c r="G5490" s="6">
        <f>IF(AND($H5490="ATMOS DISTILLATION",ISNUMBER(SEARCH("VPS",$I5490))=FALSE,LEFT($I5490,6)&lt;&gt;"VACUUM"),"CDU",IF($H5490="FLUID CAT CRACKING","FCC",IF(OR($H5490="HYDROCRACKING",$H5490="RESID_HYDROCRACKING"),"Hydrocracker",IF($H5490="REFORMING","Reformer",""))))</f>
        <v/>
      </c>
      <c r="H5490" s="6" t="s">
        <v>460</v>
      </c>
      <c r="I5490" s="6" t="s">
        <v>616</v>
      </c>
      <c r="J5490" s="6" t="s">
        <v>345</v>
      </c>
      <c r="K5490" s="10">
        <v>1.3</v>
      </c>
      <c r="L5490" s="10">
        <v>1.3</v>
      </c>
      <c r="M5490" s="6" t="s">
        <v>430</v>
      </c>
    </row>
    <row r="5491" spans="1:13">
      <c r="A5491" s="6">
        <v>2025</v>
      </c>
      <c r="B5491" s="6">
        <v>3</v>
      </c>
      <c r="C5491" s="6" t="s">
        <v>61</v>
      </c>
      <c r="D5491" s="6" t="s">
        <v>1152</v>
      </c>
      <c r="E5491" s="6" t="s">
        <v>452</v>
      </c>
      <c r="F5491" s="6" t="str">
        <f>IF($M5491="PADD I","PADD 1",IF($M5491="PADD II","PADD 2",IF($M5491="PADD III","PADD 3",IF($M5491="PADD IV","PADD 4",IF($M5491="PADD V","PADD 5","")))))</f>
        <v>PADD 4</v>
      </c>
      <c r="G5491" s="6">
        <f>IF(AND($H5491="ATMOS DISTILLATION",ISNUMBER(SEARCH("VPS",$I5491))=FALSE,LEFT($I5491,6)&lt;&gt;"VACUUM"),"CDU",IF($H5491="FLUID CAT CRACKING","FCC",IF(OR($H5491="HYDROCRACKING",$H5491="RESID_HYDROCRACKING"),"Hydrocracker",IF($H5491="REFORMING","Reformer",""))))</f>
        <v/>
      </c>
      <c r="H5491" s="6" t="s">
        <v>43</v>
      </c>
      <c r="I5491" s="6" t="s">
        <v>493</v>
      </c>
      <c r="J5491" s="6" t="s">
        <v>345</v>
      </c>
      <c r="K5491" s="10">
        <v>1.25</v>
      </c>
      <c r="L5491" s="10">
        <v>12.5</v>
      </c>
      <c r="M5491" s="6" t="s">
        <v>430</v>
      </c>
    </row>
    <row r="5492" spans="1:13">
      <c r="A5492" s="6">
        <v>2025</v>
      </c>
      <c r="B5492" s="6">
        <v>3</v>
      </c>
      <c r="C5492" s="6" t="s">
        <v>61</v>
      </c>
      <c r="D5492" s="6" t="s">
        <v>887</v>
      </c>
      <c r="E5492" s="6" t="s">
        <v>405</v>
      </c>
      <c r="F5492" s="6" t="str">
        <f>IF($M5492="PADD I","PADD 1",IF($M5492="PADD II","PADD 2",IF($M5492="PADD III","PADD 3",IF($M5492="PADD IV","PADD 4",IF($M5492="PADD V","PADD 5","")))))</f>
        <v>PADD 3</v>
      </c>
      <c r="G5492" s="6">
        <f>IF(AND($H5492="ATMOS DISTILLATION",ISNUMBER(SEARCH("VPS",$I5492))=FALSE,LEFT($I5492,6)&lt;&gt;"VACUUM"),"CDU",IF($H5492="FLUID CAT CRACKING","FCC",IF(OR($H5492="HYDROCRACKING",$H5492="RESID_HYDROCRACKING"),"Hydrocracker",IF($H5492="REFORMING","Reformer",""))))</f>
        <v/>
      </c>
      <c r="H5492" s="6" t="s">
        <v>460</v>
      </c>
      <c r="I5492" s="6" t="s">
        <v>616</v>
      </c>
      <c r="J5492" s="6" t="s">
        <v>349</v>
      </c>
      <c r="K5492" s="10">
        <v>1.235</v>
      </c>
      <c r="L5492" s="10">
        <v>6.5</v>
      </c>
      <c r="M5492" s="6" t="s">
        <v>371</v>
      </c>
    </row>
    <row r="5493" spans="1:13">
      <c r="A5493" s="6">
        <v>2025</v>
      </c>
      <c r="B5493" s="6">
        <v>3</v>
      </c>
      <c r="C5493" s="6" t="s">
        <v>61</v>
      </c>
      <c r="D5493" s="6" t="s">
        <v>801</v>
      </c>
      <c r="E5493" s="6" t="s">
        <v>779</v>
      </c>
      <c r="F5493" s="6" t="str">
        <f>IF($M5493="PADD I","PADD 1",IF($M5493="PADD II","PADD 2",IF($M5493="PADD III","PADD 3",IF($M5493="PADD IV","PADD 4",IF($M5493="PADD V","PADD 5","")))))</f>
        <v>PADD 2</v>
      </c>
      <c r="G5493" s="6">
        <f>IF(AND($H5493="ATMOS DISTILLATION",ISNUMBER(SEARCH("VPS",$I5493))=FALSE,LEFT($I5493,6)&lt;&gt;"VACUUM"),"CDU",IF($H5493="FLUID CAT CRACKING","FCC",IF(OR($H5493="HYDROCRACKING",$H5493="RESID_HYDROCRACKING"),"Hydrocracker",IF($H5493="REFORMING","Reformer",""))))</f>
        <v/>
      </c>
      <c r="H5493" s="6" t="s">
        <v>43</v>
      </c>
      <c r="I5493" s="6" t="s">
        <v>996</v>
      </c>
      <c r="J5493" s="6" t="s">
        <v>349</v>
      </c>
      <c r="K5493" s="10">
        <v>1.2</v>
      </c>
      <c r="L5493" s="10">
        <v>40</v>
      </c>
      <c r="M5493" s="6" t="s">
        <v>375</v>
      </c>
    </row>
    <row r="5494" spans="1:13">
      <c r="A5494" s="6">
        <v>2025</v>
      </c>
      <c r="B5494" s="6">
        <v>3</v>
      </c>
      <c r="C5494" s="6" t="s">
        <v>61</v>
      </c>
      <c r="D5494" s="6" t="s">
        <v>632</v>
      </c>
      <c r="E5494" s="6" t="s">
        <v>633</v>
      </c>
      <c r="F5494" s="6" t="str">
        <f>IF($M5494="PADD I","PADD 1",IF($M5494="PADD II","PADD 2",IF($M5494="PADD III","PADD 3",IF($M5494="PADD IV","PADD 4",IF($M5494="PADD V","PADD 5","")))))</f>
        <v>PADD 4</v>
      </c>
      <c r="G5494" s="6">
        <f>IF(AND($H5494="ATMOS DISTILLATION",ISNUMBER(SEARCH("VPS",$I5494))=FALSE,LEFT($I5494,6)&lt;&gt;"VACUUM"),"CDU",IF($H5494="FLUID CAT CRACKING","FCC",IF(OR($H5494="HYDROCRACKING",$H5494="RESID_HYDROCRACKING"),"Hydrocracker",IF($H5494="REFORMING","Reformer",""))))</f>
        <v/>
      </c>
      <c r="H5494" s="6" t="s">
        <v>43</v>
      </c>
      <c r="I5494" s="6" t="s">
        <v>674</v>
      </c>
      <c r="J5494" s="6" t="s">
        <v>345</v>
      </c>
      <c r="K5494" s="10">
        <v>1.15</v>
      </c>
      <c r="L5494" s="10">
        <v>11.5</v>
      </c>
      <c r="M5494" s="6" t="s">
        <v>430</v>
      </c>
    </row>
    <row r="5495" spans="1:13">
      <c r="A5495" s="6">
        <v>2025</v>
      </c>
      <c r="B5495" s="6">
        <v>3</v>
      </c>
      <c r="C5495" s="6" t="s">
        <v>61</v>
      </c>
      <c r="D5495" s="6" t="s">
        <v>887</v>
      </c>
      <c r="E5495" s="6" t="s">
        <v>405</v>
      </c>
      <c r="F5495" s="6" t="str">
        <f>IF($M5495="PADD I","PADD 1",IF($M5495="PADD II","PADD 2",IF($M5495="PADD III","PADD 3",IF($M5495="PADD IV","PADD 4",IF($M5495="PADD V","PADD 5","")))))</f>
        <v>PADD 3</v>
      </c>
      <c r="G5495" s="6">
        <f>IF(AND($H5495="ATMOS DISTILLATION",ISNUMBER(SEARCH("VPS",$I5495))=FALSE,LEFT($I5495,6)&lt;&gt;"VACUUM"),"CDU",IF($H5495="FLUID CAT CRACKING","FCC",IF(OR($H5495="HYDROCRACKING",$H5495="RESID_HYDROCRACKING"),"Hydrocracker",IF($H5495="REFORMING","Reformer",""))))</f>
        <v/>
      </c>
      <c r="H5495" s="6" t="s">
        <v>637</v>
      </c>
      <c r="I5495" s="6" t="s">
        <v>1279</v>
      </c>
      <c r="J5495" s="6" t="s">
        <v>349</v>
      </c>
      <c r="K5495" s="10">
        <v>1.14</v>
      </c>
      <c r="L5495" s="10">
        <v>6</v>
      </c>
      <c r="M5495" s="6" t="s">
        <v>371</v>
      </c>
    </row>
    <row r="5496" spans="1:13">
      <c r="A5496" s="6">
        <v>2025</v>
      </c>
      <c r="B5496" s="6">
        <v>3</v>
      </c>
      <c r="C5496" s="6" t="s">
        <v>61</v>
      </c>
      <c r="D5496" s="6" t="s">
        <v>451</v>
      </c>
      <c r="E5496" s="6" t="s">
        <v>452</v>
      </c>
      <c r="F5496" s="6" t="str">
        <f>IF($M5496="PADD I","PADD 1",IF($M5496="PADD II","PADD 2",IF($M5496="PADD III","PADD 3",IF($M5496="PADD IV","PADD 4",IF($M5496="PADD V","PADD 5","")))))</f>
        <v>PADD 2</v>
      </c>
      <c r="G5496" s="6">
        <f>IF(AND($H5496="ATMOS DISTILLATION",ISNUMBER(SEARCH("VPS",$I5496))=FALSE,LEFT($I5496,6)&lt;&gt;"VACUUM"),"CDU",IF($H5496="FLUID CAT CRACKING","FCC",IF(OR($H5496="HYDROCRACKING",$H5496="RESID_HYDROCRACKING"),"Hydrocracker",IF($H5496="REFORMING","Reformer",""))))</f>
        <v/>
      </c>
      <c r="H5496" s="6" t="s">
        <v>568</v>
      </c>
      <c r="I5496" s="6" t="s">
        <v>604</v>
      </c>
      <c r="J5496" s="6" t="s">
        <v>349</v>
      </c>
      <c r="K5496" s="10">
        <v>1.1</v>
      </c>
      <c r="L5496" s="10">
        <v>1.1</v>
      </c>
      <c r="M5496" s="6" t="s">
        <v>375</v>
      </c>
    </row>
    <row r="5497" spans="1:13">
      <c r="A5497" s="6">
        <v>2025</v>
      </c>
      <c r="B5497" s="6">
        <v>3</v>
      </c>
      <c r="C5497" s="6" t="s">
        <v>61</v>
      </c>
      <c r="D5497" s="6" t="s">
        <v>887</v>
      </c>
      <c r="E5497" s="6" t="s">
        <v>405</v>
      </c>
      <c r="F5497" s="6" t="str">
        <f>IF($M5497="PADD I","PADD 1",IF($M5497="PADD II","PADD 2",IF($M5497="PADD III","PADD 3",IF($M5497="PADD IV","PADD 4",IF($M5497="PADD V","PADD 5","")))))</f>
        <v>PADD 3</v>
      </c>
      <c r="G5497" s="6" t="str">
        <f>IF(AND($H5497="ATMOS DISTILLATION",ISNUMBER(SEARCH("VPS",$I5497))=FALSE,LEFT($I5497,6)&lt;&gt;"VACUUM"),"CDU",IF($H5497="FLUID CAT CRACKING","FCC",IF(OR($H5497="HYDROCRACKING",$H5497="RESID_HYDROCRACKING"),"Hydrocracker",IF($H5497="REFORMING","Reformer",""))))</f>
        <v>Reformer</v>
      </c>
      <c r="H5497" s="6" t="s">
        <v>421</v>
      </c>
      <c r="I5497" s="6" t="s">
        <v>559</v>
      </c>
      <c r="J5497" s="6" t="s">
        <v>345</v>
      </c>
      <c r="K5497" s="10">
        <v>1.1</v>
      </c>
      <c r="L5497" s="10">
        <v>11</v>
      </c>
      <c r="M5497" s="6" t="s">
        <v>371</v>
      </c>
    </row>
    <row r="5498" spans="1:13">
      <c r="A5498" s="6">
        <v>2025</v>
      </c>
      <c r="B5498" s="6">
        <v>3</v>
      </c>
      <c r="C5498" s="6" t="s">
        <v>61</v>
      </c>
      <c r="D5498" s="6" t="s">
        <v>1063</v>
      </c>
      <c r="E5498" s="6" t="s">
        <v>388</v>
      </c>
      <c r="F5498" s="6" t="str">
        <f>IF($M5498="PADD I","PADD 1",IF($M5498="PADD II","PADD 2",IF($M5498="PADD III","PADD 3",IF($M5498="PADD IV","PADD 4",IF($M5498="PADD V","PADD 5","")))))</f>
        <v>PADD 2</v>
      </c>
      <c r="G5498" s="6">
        <f>IF(AND($H5498="ATMOS DISTILLATION",ISNUMBER(SEARCH("VPS",$I5498))=FALSE,LEFT($I5498,6)&lt;&gt;"VACUUM"),"CDU",IF($H5498="FLUID CAT CRACKING","FCC",IF(OR($H5498="HYDROCRACKING",$H5498="RESID_HYDROCRACKING"),"Hydrocracker",IF($H5498="REFORMING","Reformer",""))))</f>
        <v/>
      </c>
      <c r="H5498" s="6" t="s">
        <v>435</v>
      </c>
      <c r="I5498" s="6" t="s">
        <v>441</v>
      </c>
      <c r="J5498" s="6" t="s">
        <v>345</v>
      </c>
      <c r="K5498" s="10">
        <v>0.84</v>
      </c>
      <c r="L5498" s="10">
        <v>28</v>
      </c>
      <c r="M5498" s="6" t="s">
        <v>375</v>
      </c>
    </row>
    <row r="5499" spans="1:13">
      <c r="A5499" s="6">
        <v>2025</v>
      </c>
      <c r="B5499" s="6">
        <v>3</v>
      </c>
      <c r="C5499" s="6" t="s">
        <v>61</v>
      </c>
      <c r="D5499" s="6" t="s">
        <v>799</v>
      </c>
      <c r="E5499" s="6" t="s">
        <v>391</v>
      </c>
      <c r="F5499" s="6" t="str">
        <f>IF($M5499="PADD I","PADD 1",IF($M5499="PADD II","PADD 2",IF($M5499="PADD III","PADD 3",IF($M5499="PADD IV","PADD 4",IF($M5499="PADD V","PADD 5","")))))</f>
        <v>PADD 4</v>
      </c>
      <c r="G5499" s="6">
        <f>IF(AND($H5499="ATMOS DISTILLATION",ISNUMBER(SEARCH("VPS",$I5499))=FALSE,LEFT($I5499,6)&lt;&gt;"VACUUM"),"CDU",IF($H5499="FLUID CAT CRACKING","FCC",IF(OR($H5499="HYDROCRACKING",$H5499="RESID_HYDROCRACKING"),"Hydrocracker",IF($H5499="REFORMING","Reformer",""))))</f>
        <v/>
      </c>
      <c r="H5499" s="6" t="s">
        <v>435</v>
      </c>
      <c r="I5499" s="6" t="s">
        <v>1188</v>
      </c>
      <c r="J5499" s="6" t="s">
        <v>349</v>
      </c>
      <c r="K5499" s="10">
        <v>0.82</v>
      </c>
      <c r="L5499" s="10">
        <v>8.199999999999999</v>
      </c>
      <c r="M5499" s="6" t="s">
        <v>430</v>
      </c>
    </row>
    <row r="5500" spans="1:13">
      <c r="A5500" s="6">
        <v>2025</v>
      </c>
      <c r="B5500" s="6">
        <v>3</v>
      </c>
      <c r="C5500" s="6" t="s">
        <v>61</v>
      </c>
      <c r="D5500" s="6" t="s">
        <v>48</v>
      </c>
      <c r="E5500" s="6" t="s">
        <v>388</v>
      </c>
      <c r="F5500" s="6" t="str">
        <f>IF($M5500="PADD I","PADD 1",IF($M5500="PADD II","PADD 2",IF($M5500="PADD III","PADD 3",IF($M5500="PADD IV","PADD 4",IF($M5500="PADD V","PADD 5","")))))</f>
        <v>PADD 2</v>
      </c>
      <c r="G5500" s="6">
        <f>IF(AND($H5500="ATMOS DISTILLATION",ISNUMBER(SEARCH("VPS",$I5500))=FALSE,LEFT($I5500,6)&lt;&gt;"VACUUM"),"CDU",IF($H5500="FLUID CAT CRACKING","FCC",IF(OR($H5500="HYDROCRACKING",$H5500="RESID_HYDROCRACKING"),"Hydrocracker",IF($H5500="REFORMING","Reformer",""))))</f>
        <v/>
      </c>
      <c r="H5500" s="6" t="s">
        <v>435</v>
      </c>
      <c r="I5500" s="6" t="s">
        <v>631</v>
      </c>
      <c r="J5500" s="6" t="s">
        <v>345</v>
      </c>
      <c r="K5500" s="10">
        <v>0.72</v>
      </c>
      <c r="L5500" s="10">
        <v>12</v>
      </c>
      <c r="M5500" s="6" t="s">
        <v>375</v>
      </c>
    </row>
    <row r="5501" spans="1:13">
      <c r="A5501" s="6">
        <v>2025</v>
      </c>
      <c r="B5501" s="6">
        <v>3</v>
      </c>
      <c r="C5501" s="6" t="s">
        <v>61</v>
      </c>
      <c r="D5501" s="6" t="s">
        <v>727</v>
      </c>
      <c r="E5501" s="6" t="s">
        <v>728</v>
      </c>
      <c r="F5501" s="6" t="str">
        <f>IF($M5501="PADD I","PADD 1",IF($M5501="PADD II","PADD 2",IF($M5501="PADD III","PADD 3",IF($M5501="PADD IV","PADD 4",IF($M5501="PADD V","PADD 5","")))))</f>
        <v>PADD 1</v>
      </c>
      <c r="G5501" s="6" t="str">
        <f>IF(AND($H5501="ATMOS DISTILLATION",ISNUMBER(SEARCH("VPS",$I5501))=FALSE,LEFT($I5501,6)&lt;&gt;"VACUUM"),"CDU",IF($H5501="FLUID CAT CRACKING","FCC",IF(OR($H5501="HYDROCRACKING",$H5501="RESID_HYDROCRACKING"),"Hydrocracker",IF($H5501="REFORMING","Reformer",""))))</f>
        <v>CDU</v>
      </c>
      <c r="H5501" s="6" t="s">
        <v>38</v>
      </c>
      <c r="I5501" s="6" t="s">
        <v>81</v>
      </c>
      <c r="J5501" s="6" t="s">
        <v>349</v>
      </c>
      <c r="K5501" s="10">
        <v>0.6899999999999999</v>
      </c>
      <c r="L5501" s="10">
        <v>23</v>
      </c>
      <c r="M5501" s="6" t="s">
        <v>413</v>
      </c>
    </row>
    <row r="5502" spans="1:13">
      <c r="A5502" s="6">
        <v>2025</v>
      </c>
      <c r="B5502" s="6">
        <v>3</v>
      </c>
      <c r="C5502" s="6" t="s">
        <v>61</v>
      </c>
      <c r="D5502" s="6" t="s">
        <v>451</v>
      </c>
      <c r="E5502" s="6" t="s">
        <v>452</v>
      </c>
      <c r="F5502" s="6" t="str">
        <f>IF($M5502="PADD I","PADD 1",IF($M5502="PADD II","PADD 2",IF($M5502="PADD III","PADD 3",IF($M5502="PADD IV","PADD 4",IF($M5502="PADD V","PADD 5","")))))</f>
        <v>PADD 2</v>
      </c>
      <c r="G5502" s="6">
        <f>IF(AND($H5502="ATMOS DISTILLATION",ISNUMBER(SEARCH("VPS",$I5502))=FALSE,LEFT($I5502,6)&lt;&gt;"VACUUM"),"CDU",IF($H5502="FLUID CAT CRACKING","FCC",IF(OR($H5502="HYDROCRACKING",$H5502="RESID_HYDROCRACKING"),"Hydrocracker",IF($H5502="REFORMING","Reformer",""))))</f>
        <v/>
      </c>
      <c r="H5502" s="6" t="s">
        <v>460</v>
      </c>
      <c r="I5502" s="6" t="s">
        <v>461</v>
      </c>
      <c r="J5502" s="6" t="s">
        <v>349</v>
      </c>
      <c r="K5502" s="10">
        <v>0.6</v>
      </c>
      <c r="L5502" s="10">
        <v>0.6</v>
      </c>
      <c r="M5502" s="6" t="s">
        <v>375</v>
      </c>
    </row>
    <row r="5503" spans="1:13">
      <c r="A5503" s="6">
        <v>2025</v>
      </c>
      <c r="B5503" s="6">
        <v>3</v>
      </c>
      <c r="C5503" s="6" t="s">
        <v>61</v>
      </c>
      <c r="D5503" s="6" t="s">
        <v>329</v>
      </c>
      <c r="E5503" s="6" t="s">
        <v>427</v>
      </c>
      <c r="F5503" s="6" t="str">
        <f>IF($M5503="PADD I","PADD 1",IF($M5503="PADD II","PADD 2",IF($M5503="PADD III","PADD 3",IF($M5503="PADD IV","PADD 4",IF($M5503="PADD V","PADD 5","")))))</f>
        <v>PADD 3</v>
      </c>
      <c r="G5503" s="6" t="str">
        <f>IF(AND($H5503="ATMOS DISTILLATION",ISNUMBER(SEARCH("VPS",$I5503))=FALSE,LEFT($I5503,6)&lt;&gt;"VACUUM"),"CDU",IF($H5503="FLUID CAT CRACKING","FCC",IF(OR($H5503="HYDROCRACKING",$H5503="RESID_HYDROCRACKING"),"Hydrocracker",IF($H5503="REFORMING","Reformer",""))))</f>
        <v>Reformer</v>
      </c>
      <c r="H5503" s="6" t="s">
        <v>421</v>
      </c>
      <c r="I5503" s="6" t="s">
        <v>1162</v>
      </c>
      <c r="J5503" s="6" t="s">
        <v>345</v>
      </c>
      <c r="K5503" s="10">
        <v>0.57</v>
      </c>
      <c r="L5503" s="10">
        <v>19</v>
      </c>
      <c r="M5503" s="6" t="s">
        <v>371</v>
      </c>
    </row>
    <row r="5504" spans="1:13">
      <c r="A5504" s="6">
        <v>2025</v>
      </c>
      <c r="B5504" s="6">
        <v>3</v>
      </c>
      <c r="C5504" s="6" t="s">
        <v>61</v>
      </c>
      <c r="D5504" s="6" t="s">
        <v>48</v>
      </c>
      <c r="E5504" s="6" t="s">
        <v>388</v>
      </c>
      <c r="F5504" s="6" t="str">
        <f>IF($M5504="PADD I","PADD 1",IF($M5504="PADD II","PADD 2",IF($M5504="PADD III","PADD 3",IF($M5504="PADD IV","PADD 4",IF($M5504="PADD V","PADD 5","")))))</f>
        <v>PADD 2</v>
      </c>
      <c r="G5504" s="6">
        <f>IF(AND($H5504="ATMOS DISTILLATION",ISNUMBER(SEARCH("VPS",$I5504))=FALSE,LEFT($I5504,6)&lt;&gt;"VACUUM"),"CDU",IF($H5504="FLUID CAT CRACKING","FCC",IF(OR($H5504="HYDROCRACKING",$H5504="RESID_HYDROCRACKING"),"Hydrocracker",IF($H5504="REFORMING","Reformer",""))))</f>
        <v/>
      </c>
      <c r="H5504" s="6" t="s">
        <v>435</v>
      </c>
      <c r="I5504" s="6" t="s">
        <v>631</v>
      </c>
      <c r="J5504" s="6" t="s">
        <v>345</v>
      </c>
      <c r="K5504" s="10">
        <v>0.36</v>
      </c>
      <c r="L5504" s="10">
        <v>12</v>
      </c>
      <c r="M5504" s="6" t="s">
        <v>375</v>
      </c>
    </row>
    <row r="5505" spans="1:13">
      <c r="A5505" s="6">
        <v>2025</v>
      </c>
      <c r="B5505" s="6">
        <v>3</v>
      </c>
      <c r="C5505" s="6" t="s">
        <v>61</v>
      </c>
      <c r="D5505" s="6" t="s">
        <v>727</v>
      </c>
      <c r="E5505" s="6" t="s">
        <v>728</v>
      </c>
      <c r="F5505" s="6" t="str">
        <f>IF($M5505="PADD I","PADD 1",IF($M5505="PADD II","PADD 2",IF($M5505="PADD III","PADD 3",IF($M5505="PADD IV","PADD 4",IF($M5505="PADD V","PADD 5","")))))</f>
        <v>PADD 1</v>
      </c>
      <c r="G5505" s="6">
        <f>IF(AND($H5505="ATMOS DISTILLATION",ISNUMBER(SEARCH("VPS",$I5505))=FALSE,LEFT($I5505,6)&lt;&gt;"VACUUM"),"CDU",IF($H5505="FLUID CAT CRACKING","FCC",IF(OR($H5505="HYDROCRACKING",$H5505="RESID_HYDROCRACKING"),"Hydrocracker",IF($H5505="REFORMING","Reformer",""))))</f>
        <v/>
      </c>
      <c r="H5505" s="6" t="s">
        <v>378</v>
      </c>
      <c r="I5505" s="6" t="s">
        <v>431</v>
      </c>
      <c r="J5505" s="6" t="s">
        <v>349</v>
      </c>
      <c r="K5505" s="10">
        <v>0.255</v>
      </c>
      <c r="L5505" s="10">
        <v>8.5</v>
      </c>
      <c r="M5505" s="6" t="s">
        <v>413</v>
      </c>
    </row>
    <row r="5506" spans="1:13">
      <c r="A5506" s="6">
        <v>2025</v>
      </c>
      <c r="B5506" s="6">
        <v>3</v>
      </c>
      <c r="C5506" s="6" t="s">
        <v>61</v>
      </c>
      <c r="D5506" s="6" t="s">
        <v>727</v>
      </c>
      <c r="E5506" s="6" t="s">
        <v>728</v>
      </c>
      <c r="F5506" s="6" t="str">
        <f>IF($M5506="PADD I","PADD 1",IF($M5506="PADD II","PADD 2",IF($M5506="PADD III","PADD 3",IF($M5506="PADD IV","PADD 4",IF($M5506="PADD V","PADD 5","")))))</f>
        <v>PADD 1</v>
      </c>
      <c r="G5506" s="6">
        <f>IF(AND($H5506="ATMOS DISTILLATION",ISNUMBER(SEARCH("VPS",$I5506))=FALSE,LEFT($I5506,6)&lt;&gt;"VACUUM"),"CDU",IF($H5506="FLUID CAT CRACKING","FCC",IF(OR($H5506="HYDROCRACKING",$H5506="RESID_HYDROCRACKING"),"Hydrocracker",IF($H5506="REFORMING","Reformer",""))))</f>
        <v/>
      </c>
      <c r="H5506" s="6" t="s">
        <v>43</v>
      </c>
      <c r="I5506" s="6" t="s">
        <v>520</v>
      </c>
      <c r="J5506" s="6" t="s">
        <v>349</v>
      </c>
      <c r="K5506" s="10">
        <v>0.24</v>
      </c>
      <c r="L5506" s="10">
        <v>8</v>
      </c>
      <c r="M5506" s="6" t="s">
        <v>413</v>
      </c>
    </row>
    <row r="5507" spans="1:13">
      <c r="A5507" s="6">
        <v>2025</v>
      </c>
      <c r="B5507" s="6">
        <v>3</v>
      </c>
      <c r="C5507" s="6" t="s">
        <v>61</v>
      </c>
      <c r="D5507" s="6" t="s">
        <v>801</v>
      </c>
      <c r="E5507" s="6" t="s">
        <v>779</v>
      </c>
      <c r="F5507" s="6" t="str">
        <f>IF($M5507="PADD I","PADD 1",IF($M5507="PADD II","PADD 2",IF($M5507="PADD III","PADD 3",IF($M5507="PADD IV","PADD 4",IF($M5507="PADD V","PADD 5","")))))</f>
        <v>PADD 2</v>
      </c>
      <c r="G5507" s="6">
        <f>IF(AND($H5507="ATMOS DISTILLATION",ISNUMBER(SEARCH("VPS",$I5507))=FALSE,LEFT($I5507,6)&lt;&gt;"VACUUM"),"CDU",IF($H5507="FLUID CAT CRACKING","FCC",IF(OR($H5507="HYDROCRACKING",$H5507="RESID_HYDROCRACKING"),"Hydrocracker",IF($H5507="REFORMING","Reformer",""))))</f>
        <v/>
      </c>
      <c r="H5507" s="6" t="s">
        <v>460</v>
      </c>
      <c r="I5507" s="6" t="s">
        <v>461</v>
      </c>
      <c r="J5507" s="6" t="s">
        <v>349</v>
      </c>
      <c r="K5507" s="10">
        <v>0.18</v>
      </c>
      <c r="L5507" s="10">
        <v>6</v>
      </c>
      <c r="M5507" s="6" t="s">
        <v>375</v>
      </c>
    </row>
    <row r="5508" spans="1:13">
      <c r="A5508" s="6">
        <v>2025</v>
      </c>
      <c r="B5508" s="6">
        <v>3</v>
      </c>
      <c r="C5508" s="6" t="s">
        <v>61</v>
      </c>
      <c r="D5508" s="6" t="s">
        <v>727</v>
      </c>
      <c r="E5508" s="6" t="s">
        <v>728</v>
      </c>
      <c r="F5508" s="6" t="str">
        <f>IF($M5508="PADD I","PADD 1",IF($M5508="PADD II","PADD 2",IF($M5508="PADD III","PADD 3",IF($M5508="PADD IV","PADD 4",IF($M5508="PADD V","PADD 5","")))))</f>
        <v>PADD 1</v>
      </c>
      <c r="G5508" s="6">
        <f>IF(AND($H5508="ATMOS DISTILLATION",ISNUMBER(SEARCH("VPS",$I5508))=FALSE,LEFT($I5508,6)&lt;&gt;"VACUUM"),"CDU",IF($H5508="FLUID CAT CRACKING","FCC",IF(OR($H5508="HYDROCRACKING",$H5508="RESID_HYDROCRACKING"),"Hydrocracker",IF($H5508="REFORMING","Reformer",""))))</f>
        <v/>
      </c>
      <c r="H5508" s="6" t="s">
        <v>568</v>
      </c>
      <c r="I5508" s="6" t="s">
        <v>713</v>
      </c>
      <c r="J5508" s="6" t="s">
        <v>349</v>
      </c>
      <c r="K5508" s="10">
        <v>0.15</v>
      </c>
      <c r="L5508" s="10">
        <v>5</v>
      </c>
      <c r="M5508" s="6" t="s">
        <v>413</v>
      </c>
    </row>
    <row r="5509" spans="1:13">
      <c r="A5509" s="6">
        <v>2025</v>
      </c>
      <c r="B5509" s="6">
        <v>3</v>
      </c>
      <c r="C5509" s="6" t="s">
        <v>61</v>
      </c>
      <c r="D5509" s="6" t="s">
        <v>727</v>
      </c>
      <c r="E5509" s="6" t="s">
        <v>728</v>
      </c>
      <c r="F5509" s="6" t="str">
        <f>IF($M5509="PADD I","PADD 1",IF($M5509="PADD II","PADD 2",IF($M5509="PADD III","PADD 3",IF($M5509="PADD IV","PADD 4",IF($M5509="PADD V","PADD 5","")))))</f>
        <v>PADD 1</v>
      </c>
      <c r="G5509" s="6">
        <f>IF(AND($H5509="ATMOS DISTILLATION",ISNUMBER(SEARCH("VPS",$I5509))=FALSE,LEFT($I5509,6)&lt;&gt;"VACUUM"),"CDU",IF($H5509="FLUID CAT CRACKING","FCC",IF(OR($H5509="HYDROCRACKING",$H5509="RESID_HYDROCRACKING"),"Hydrocracker",IF($H5509="REFORMING","Reformer",""))))</f>
        <v/>
      </c>
      <c r="H5509" s="6" t="s">
        <v>43</v>
      </c>
      <c r="I5509" s="6" t="s">
        <v>752</v>
      </c>
      <c r="J5509" s="6" t="s">
        <v>349</v>
      </c>
      <c r="K5509" s="10">
        <v>0.138</v>
      </c>
      <c r="L5509" s="10">
        <v>4.6</v>
      </c>
      <c r="M5509" s="6" t="s">
        <v>413</v>
      </c>
    </row>
    <row r="5510" spans="1:13">
      <c r="A5510" s="6">
        <v>2025</v>
      </c>
      <c r="B5510" s="6">
        <v>3</v>
      </c>
      <c r="C5510" s="6" t="s">
        <v>61</v>
      </c>
      <c r="D5510" s="6" t="s">
        <v>727</v>
      </c>
      <c r="E5510" s="6" t="s">
        <v>728</v>
      </c>
      <c r="F5510" s="6" t="str">
        <f>IF($M5510="PADD I","PADD 1",IF($M5510="PADD II","PADD 2",IF($M5510="PADD III","PADD 3",IF($M5510="PADD IV","PADD 4",IF($M5510="PADD V","PADD 5","")))))</f>
        <v>PADD 1</v>
      </c>
      <c r="G5510" s="6">
        <f>IF(AND($H5510="ATMOS DISTILLATION",ISNUMBER(SEARCH("VPS",$I5510))=FALSE,LEFT($I5510,6)&lt;&gt;"VACUUM"),"CDU",IF($H5510="FLUID CAT CRACKING","FCC",IF(OR($H5510="HYDROCRACKING",$H5510="RESID_HYDROCRACKING"),"Hydrocracker",IF($H5510="REFORMING","Reformer",""))))</f>
        <v/>
      </c>
      <c r="H5510" s="6" t="s">
        <v>637</v>
      </c>
      <c r="I5510" s="6" t="s">
        <v>1300</v>
      </c>
      <c r="J5510" s="6" t="s">
        <v>349</v>
      </c>
      <c r="K5510" s="10">
        <v>0.135</v>
      </c>
      <c r="L5510" s="10">
        <v>4.5</v>
      </c>
      <c r="M5510" s="6" t="s">
        <v>413</v>
      </c>
    </row>
    <row r="5511" spans="1:13">
      <c r="A5511" s="6">
        <v>2025</v>
      </c>
      <c r="B5511" s="6">
        <v>3</v>
      </c>
      <c r="C5511" s="6" t="s">
        <v>61</v>
      </c>
      <c r="D5511" s="6" t="s">
        <v>727</v>
      </c>
      <c r="E5511" s="6" t="s">
        <v>728</v>
      </c>
      <c r="F5511" s="6" t="str">
        <f>IF($M5511="PADD I","PADD 1",IF($M5511="PADD II","PADD 2",IF($M5511="PADD III","PADD 3",IF($M5511="PADD IV","PADD 4",IF($M5511="PADD V","PADD 5","")))))</f>
        <v>PADD 1</v>
      </c>
      <c r="G5511" s="6">
        <f>IF(AND($H5511="ATMOS DISTILLATION",ISNUMBER(SEARCH("VPS",$I5511))=FALSE,LEFT($I5511,6)&lt;&gt;"VACUUM"),"CDU",IF($H5511="FLUID CAT CRACKING","FCC",IF(OR($H5511="HYDROCRACKING",$H5511="RESID_HYDROCRACKING"),"Hydrocracker",IF($H5511="REFORMING","Reformer",""))))</f>
        <v/>
      </c>
      <c r="H5511" s="6" t="s">
        <v>637</v>
      </c>
      <c r="I5511" s="6" t="s">
        <v>1301</v>
      </c>
      <c r="J5511" s="6" t="s">
        <v>349</v>
      </c>
      <c r="K5511" s="10">
        <v>0.135</v>
      </c>
      <c r="L5511" s="10">
        <v>4.5</v>
      </c>
      <c r="M5511" s="6" t="s">
        <v>413</v>
      </c>
    </row>
    <row r="5512" spans="1:13">
      <c r="A5512" s="6">
        <v>2025</v>
      </c>
      <c r="B5512" s="6">
        <v>3</v>
      </c>
      <c r="C5512" s="6" t="s">
        <v>61</v>
      </c>
      <c r="D5512" s="6" t="s">
        <v>727</v>
      </c>
      <c r="E5512" s="6" t="s">
        <v>728</v>
      </c>
      <c r="F5512" s="6" t="str">
        <f>IF($M5512="PADD I","PADD 1",IF($M5512="PADD II","PADD 2",IF($M5512="PADD III","PADD 3",IF($M5512="PADD IV","PADD 4",IF($M5512="PADD V","PADD 5","")))))</f>
        <v>PADD 1</v>
      </c>
      <c r="G5512" s="6" t="str">
        <f>IF(AND($H5512="ATMOS DISTILLATION",ISNUMBER(SEARCH("VPS",$I5512))=FALSE,LEFT($I5512,6)&lt;&gt;"VACUUM"),"CDU",IF($H5512="FLUID CAT CRACKING","FCC",IF(OR($H5512="HYDROCRACKING",$H5512="RESID_HYDROCRACKING"),"Hydrocracker",IF($H5512="REFORMING","Reformer",""))))</f>
        <v>Hydrocracker</v>
      </c>
      <c r="H5512" s="6" t="s">
        <v>444</v>
      </c>
      <c r="I5512" s="6" t="s">
        <v>753</v>
      </c>
      <c r="J5512" s="6" t="s">
        <v>349</v>
      </c>
      <c r="K5512" s="10">
        <v>0.129</v>
      </c>
      <c r="L5512" s="10">
        <v>4.3</v>
      </c>
      <c r="M5512" s="6" t="s">
        <v>413</v>
      </c>
    </row>
    <row r="5513" spans="1:13">
      <c r="A5513" s="6">
        <v>2025</v>
      </c>
      <c r="B5513" s="6">
        <v>3</v>
      </c>
      <c r="C5513" s="6" t="s">
        <v>61</v>
      </c>
      <c r="D5513" s="6" t="s">
        <v>727</v>
      </c>
      <c r="E5513" s="6" t="s">
        <v>728</v>
      </c>
      <c r="F5513" s="6" t="str">
        <f>IF($M5513="PADD I","PADD 1",IF($M5513="PADD II","PADD 2",IF($M5513="PADD III","PADD 3",IF($M5513="PADD IV","PADD 4",IF($M5513="PADD V","PADD 5","")))))</f>
        <v>PADD 1</v>
      </c>
      <c r="G5513" s="6" t="str">
        <f>IF(AND($H5513="ATMOS DISTILLATION",ISNUMBER(SEARCH("VPS",$I5513))=FALSE,LEFT($I5513,6)&lt;&gt;"VACUUM"),"CDU",IF($H5513="FLUID CAT CRACKING","FCC",IF(OR($H5513="HYDROCRACKING",$H5513="RESID_HYDROCRACKING"),"Hydrocracker",IF($H5513="REFORMING","Reformer",""))))</f>
        <v>Reformer</v>
      </c>
      <c r="H5513" s="6" t="s">
        <v>421</v>
      </c>
      <c r="I5513" s="6" t="s">
        <v>571</v>
      </c>
      <c r="J5513" s="6" t="s">
        <v>349</v>
      </c>
      <c r="K5513" s="10">
        <v>0.108</v>
      </c>
      <c r="L5513" s="10">
        <v>3.6</v>
      </c>
      <c r="M5513" s="6" t="s">
        <v>413</v>
      </c>
    </row>
    <row r="5514" spans="1:13">
      <c r="A5514" s="6">
        <v>2025</v>
      </c>
      <c r="B5514" s="6">
        <v>4</v>
      </c>
      <c r="C5514" s="6" t="s">
        <v>62</v>
      </c>
      <c r="D5514" s="6" t="s">
        <v>390</v>
      </c>
      <c r="E5514" s="6" t="s">
        <v>391</v>
      </c>
      <c r="F5514" s="6" t="str">
        <f>IF($M5514="PADD I","PADD 1",IF($M5514="PADD II","PADD 2",IF($M5514="PADD III","PADD 3",IF($M5514="PADD IV","PADD 4",IF($M5514="PADD V","PADD 5","")))))</f>
        <v>PADD 3</v>
      </c>
      <c r="G5514" s="6" t="str">
        <f>IF(AND($H5514="ATMOS DISTILLATION",ISNUMBER(SEARCH("VPS",$I5514))=FALSE,LEFT($I5514,6)&lt;&gt;"VACUUM"),"CDU",IF($H5514="FLUID CAT CRACKING","FCC",IF(OR($H5514="HYDROCRACKING",$H5514="RESID_HYDROCRACKING"),"Hydrocracker",IF($H5514="REFORMING","Reformer",""))))</f>
        <v>CDU</v>
      </c>
      <c r="H5514" s="6" t="s">
        <v>38</v>
      </c>
      <c r="I5514" s="6" t="s">
        <v>1295</v>
      </c>
      <c r="J5514" s="6" t="s">
        <v>349</v>
      </c>
      <c r="K5514" s="10">
        <v>175</v>
      </c>
      <c r="L5514" s="10">
        <v>175</v>
      </c>
      <c r="M5514" s="6" t="s">
        <v>371</v>
      </c>
    </row>
    <row r="5515" spans="1:13">
      <c r="A5515" s="6">
        <v>2025</v>
      </c>
      <c r="B5515" s="6">
        <v>4</v>
      </c>
      <c r="C5515" s="6" t="s">
        <v>62</v>
      </c>
      <c r="D5515" s="6" t="s">
        <v>322</v>
      </c>
      <c r="E5515" s="6" t="s">
        <v>369</v>
      </c>
      <c r="F5515" s="6" t="str">
        <f>IF($M5515="PADD I","PADD 1",IF($M5515="PADD II","PADD 2",IF($M5515="PADD III","PADD 3",IF($M5515="PADD IV","PADD 4",IF($M5515="PADD V","PADD 5","")))))</f>
        <v>PADD 2</v>
      </c>
      <c r="G5515" s="6" t="str">
        <f>IF(AND($H5515="ATMOS DISTILLATION",ISNUMBER(SEARCH("VPS",$I5515))=FALSE,LEFT($I5515,6)&lt;&gt;"VACUUM"),"CDU",IF($H5515="FLUID CAT CRACKING","FCC",IF(OR($H5515="HYDROCRACKING",$H5515="RESID_HYDROCRACKING"),"Hydrocracker",IF($H5515="REFORMING","Reformer",""))))</f>
        <v>CDU</v>
      </c>
      <c r="H5515" s="6" t="s">
        <v>38</v>
      </c>
      <c r="I5515" s="6" t="s">
        <v>1293</v>
      </c>
      <c r="J5515" s="6" t="s">
        <v>349</v>
      </c>
      <c r="K5515" s="10">
        <v>170</v>
      </c>
      <c r="L5515" s="10">
        <v>170</v>
      </c>
      <c r="M5515" s="6" t="s">
        <v>375</v>
      </c>
    </row>
    <row r="5516" spans="1:13">
      <c r="A5516" s="6">
        <v>2025</v>
      </c>
      <c r="B5516" s="6">
        <v>4</v>
      </c>
      <c r="C5516" s="6" t="s">
        <v>62</v>
      </c>
      <c r="D5516" s="6" t="s">
        <v>531</v>
      </c>
      <c r="E5516" s="6" t="s">
        <v>532</v>
      </c>
      <c r="F5516" s="6" t="str">
        <f>IF($M5516="PADD I","PADD 1",IF($M5516="PADD II","PADD 2",IF($M5516="PADD III","PADD 3",IF($M5516="PADD IV","PADD 4",IF($M5516="PADD V","PADD 5","")))))</f>
        <v>PADD 5</v>
      </c>
      <c r="G5516" s="6" t="str">
        <f>IF(AND($H5516="ATMOS DISTILLATION",ISNUMBER(SEARCH("VPS",$I5516))=FALSE,LEFT($I5516,6)&lt;&gt;"VACUUM"),"CDU",IF($H5516="FLUID CAT CRACKING","FCC",IF(OR($H5516="HYDROCRACKING",$H5516="RESID_HYDROCRACKING"),"Hydrocracker",IF($H5516="REFORMING","Reformer",""))))</f>
        <v>CDU</v>
      </c>
      <c r="H5516" s="6" t="s">
        <v>38</v>
      </c>
      <c r="I5516" s="6" t="s">
        <v>81</v>
      </c>
      <c r="J5516" s="6" t="s">
        <v>345</v>
      </c>
      <c r="K5516" s="10">
        <v>155</v>
      </c>
      <c r="L5516" s="10">
        <v>155</v>
      </c>
      <c r="M5516" s="6" t="s">
        <v>386</v>
      </c>
    </row>
    <row r="5517" spans="1:13">
      <c r="A5517" s="6">
        <v>2025</v>
      </c>
      <c r="B5517" s="6">
        <v>4</v>
      </c>
      <c r="C5517" s="6" t="s">
        <v>62</v>
      </c>
      <c r="D5517" s="6" t="s">
        <v>326</v>
      </c>
      <c r="E5517" s="6" t="s">
        <v>385</v>
      </c>
      <c r="F5517" s="6" t="str">
        <f>IF($M5517="PADD I","PADD 1",IF($M5517="PADD II","PADD 2",IF($M5517="PADD III","PADD 3",IF($M5517="PADD IV","PADD 4",IF($M5517="PADD V","PADD 5","")))))</f>
        <v>PADD 5</v>
      </c>
      <c r="G5517" s="6" t="str">
        <f>IF(AND($H5517="ATMOS DISTILLATION",ISNUMBER(SEARCH("VPS",$I5517))=FALSE,LEFT($I5517,6)&lt;&gt;"VACUUM"),"CDU",IF($H5517="FLUID CAT CRACKING","FCC",IF(OR($H5517="HYDROCRACKING",$H5517="RESID_HYDROCRACKING"),"Hydrocracker",IF($H5517="REFORMING","Reformer",""))))</f>
        <v>CDU</v>
      </c>
      <c r="H5517" s="6" t="s">
        <v>38</v>
      </c>
      <c r="I5517" s="6" t="s">
        <v>93</v>
      </c>
      <c r="J5517" s="6" t="s">
        <v>345</v>
      </c>
      <c r="K5517" s="10">
        <v>134.85</v>
      </c>
      <c r="L5517" s="10">
        <v>155</v>
      </c>
      <c r="M5517" s="6" t="s">
        <v>386</v>
      </c>
    </row>
    <row r="5518" spans="1:13">
      <c r="A5518" s="6">
        <v>2025</v>
      </c>
      <c r="B5518" s="6">
        <v>4</v>
      </c>
      <c r="C5518" s="6" t="s">
        <v>62</v>
      </c>
      <c r="D5518" s="6" t="s">
        <v>53</v>
      </c>
      <c r="E5518" s="6" t="s">
        <v>543</v>
      </c>
      <c r="F5518" s="6" t="str">
        <f>IF($M5518="PADD I","PADD 1",IF($M5518="PADD II","PADD 2",IF($M5518="PADD III","PADD 3",IF($M5518="PADD IV","PADD 4",IF($M5518="PADD V","PADD 5","")))))</f>
        <v>PADD 5</v>
      </c>
      <c r="G5518" s="6" t="str">
        <f>IF(AND($H5518="ATMOS DISTILLATION",ISNUMBER(SEARCH("VPS",$I5518))=FALSE,LEFT($I5518,6)&lt;&gt;"VACUUM"),"CDU",IF($H5518="FLUID CAT CRACKING","FCC",IF(OR($H5518="HYDROCRACKING",$H5518="RESID_HYDROCRACKING"),"Hydrocracker",IF($H5518="REFORMING","Reformer",""))))</f>
        <v>CDU</v>
      </c>
      <c r="H5518" s="6" t="s">
        <v>38</v>
      </c>
      <c r="I5518" s="6" t="s">
        <v>81</v>
      </c>
      <c r="J5518" s="6" t="s">
        <v>345</v>
      </c>
      <c r="K5518" s="10">
        <v>125.5</v>
      </c>
      <c r="L5518" s="10">
        <v>251</v>
      </c>
      <c r="M5518" s="6" t="s">
        <v>386</v>
      </c>
    </row>
    <row r="5519" spans="1:13">
      <c r="A5519" s="6">
        <v>2025</v>
      </c>
      <c r="B5519" s="6">
        <v>4</v>
      </c>
      <c r="C5519" s="6" t="s">
        <v>62</v>
      </c>
      <c r="D5519" s="6" t="s">
        <v>742</v>
      </c>
      <c r="E5519" s="6" t="s">
        <v>388</v>
      </c>
      <c r="F5519" s="6" t="str">
        <f>IF($M5519="PADD I","PADD 1",IF($M5519="PADD II","PADD 2",IF($M5519="PADD III","PADD 3",IF($M5519="PADD IV","PADD 4",IF($M5519="PADD V","PADD 5","")))))</f>
        <v>PADD 5</v>
      </c>
      <c r="G5519" s="6" t="str">
        <f>IF(AND($H5519="ATMOS DISTILLATION",ISNUMBER(SEARCH("VPS",$I5519))=FALSE,LEFT($I5519,6)&lt;&gt;"VACUUM"),"CDU",IF($H5519="FLUID CAT CRACKING","FCC",IF(OR($H5519="HYDROCRACKING",$H5519="RESID_HYDROCRACKING"),"Hydrocracker",IF($H5519="REFORMING","Reformer",""))))</f>
        <v>CDU</v>
      </c>
      <c r="H5519" s="6" t="s">
        <v>38</v>
      </c>
      <c r="I5519" s="6" t="s">
        <v>81</v>
      </c>
      <c r="J5519" s="6" t="s">
        <v>349</v>
      </c>
      <c r="K5519" s="10">
        <v>120</v>
      </c>
      <c r="L5519" s="10">
        <v>120</v>
      </c>
      <c r="M5519" s="6" t="s">
        <v>386</v>
      </c>
    </row>
    <row r="5520" spans="1:13">
      <c r="A5520" s="6">
        <v>2025</v>
      </c>
      <c r="B5520" s="6">
        <v>4</v>
      </c>
      <c r="C5520" s="6" t="s">
        <v>62</v>
      </c>
      <c r="D5520" s="6" t="s">
        <v>801</v>
      </c>
      <c r="E5520" s="6" t="s">
        <v>779</v>
      </c>
      <c r="F5520" s="6" t="str">
        <f>IF($M5520="PADD I","PADD 1",IF($M5520="PADD II","PADD 2",IF($M5520="PADD III","PADD 3",IF($M5520="PADD IV","PADD 4",IF($M5520="PADD V","PADD 5","")))))</f>
        <v>PADD 2</v>
      </c>
      <c r="G5520" s="6" t="str">
        <f>IF(AND($H5520="ATMOS DISTILLATION",ISNUMBER(SEARCH("VPS",$I5520))=FALSE,LEFT($I5520,6)&lt;&gt;"VACUUM"),"CDU",IF($H5520="FLUID CAT CRACKING","FCC",IF(OR($H5520="HYDROCRACKING",$H5520="RESID_HYDROCRACKING"),"Hydrocracker",IF($H5520="REFORMING","Reformer",""))))</f>
        <v>CDU</v>
      </c>
      <c r="H5520" s="6" t="s">
        <v>38</v>
      </c>
      <c r="I5520" s="6" t="s">
        <v>977</v>
      </c>
      <c r="J5520" s="6" t="s">
        <v>349</v>
      </c>
      <c r="K5520" s="10">
        <v>112.05</v>
      </c>
      <c r="L5520" s="10">
        <v>135</v>
      </c>
      <c r="M5520" s="6" t="s">
        <v>375</v>
      </c>
    </row>
    <row r="5521" spans="1:13">
      <c r="A5521" s="6">
        <v>2025</v>
      </c>
      <c r="B5521" s="6">
        <v>4</v>
      </c>
      <c r="C5521" s="6" t="s">
        <v>62</v>
      </c>
      <c r="D5521" s="6" t="s">
        <v>531</v>
      </c>
      <c r="E5521" s="6" t="s">
        <v>532</v>
      </c>
      <c r="F5521" s="6" t="str">
        <f>IF($M5521="PADD I","PADD 1",IF($M5521="PADD II","PADD 2",IF($M5521="PADD III","PADD 3",IF($M5521="PADD IV","PADD 4",IF($M5521="PADD V","PADD 5","")))))</f>
        <v>PADD 5</v>
      </c>
      <c r="G5521" s="6">
        <f>IF(AND($H5521="ATMOS DISTILLATION",ISNUMBER(SEARCH("VPS",$I5521))=FALSE,LEFT($I5521,6)&lt;&gt;"VACUUM"),"CDU",IF($H5521="FLUID CAT CRACKING","FCC",IF(OR($H5521="HYDROCRACKING",$H5521="RESID_HYDROCRACKING"),"Hydrocracker",IF($H5521="REFORMING","Reformer",""))))</f>
        <v/>
      </c>
      <c r="H5521" s="6" t="s">
        <v>43</v>
      </c>
      <c r="I5521" s="6" t="s">
        <v>567</v>
      </c>
      <c r="J5521" s="6" t="s">
        <v>345</v>
      </c>
      <c r="K5521" s="10">
        <v>105</v>
      </c>
      <c r="L5521" s="10">
        <v>105</v>
      </c>
      <c r="M5521" s="6" t="s">
        <v>386</v>
      </c>
    </row>
    <row r="5522" spans="1:13">
      <c r="A5522" s="6">
        <v>2025</v>
      </c>
      <c r="B5522" s="6">
        <v>4</v>
      </c>
      <c r="C5522" s="6" t="s">
        <v>62</v>
      </c>
      <c r="D5522" s="6" t="s">
        <v>531</v>
      </c>
      <c r="E5522" s="6" t="s">
        <v>532</v>
      </c>
      <c r="F5522" s="6" t="str">
        <f>IF($M5522="PADD I","PADD 1",IF($M5522="PADD II","PADD 2",IF($M5522="PADD III","PADD 3",IF($M5522="PADD IV","PADD 4",IF($M5522="PADD V","PADD 5","")))))</f>
        <v>PADD 5</v>
      </c>
      <c r="G5522" s="6">
        <f>IF(AND($H5522="ATMOS DISTILLATION",ISNUMBER(SEARCH("VPS",$I5522))=FALSE,LEFT($I5522,6)&lt;&gt;"VACUUM"),"CDU",IF($H5522="FLUID CAT CRACKING","FCC",IF(OR($H5522="HYDROCRACKING",$H5522="RESID_HYDROCRACKING"),"Hydrocracker",IF($H5522="REFORMING","Reformer",""))))</f>
        <v/>
      </c>
      <c r="H5522" s="6" t="s">
        <v>378</v>
      </c>
      <c r="I5522" s="6" t="s">
        <v>379</v>
      </c>
      <c r="J5522" s="6" t="s">
        <v>345</v>
      </c>
      <c r="K5522" s="10">
        <v>98</v>
      </c>
      <c r="L5522" s="10">
        <v>98</v>
      </c>
      <c r="M5522" s="6" t="s">
        <v>386</v>
      </c>
    </row>
    <row r="5523" spans="1:13">
      <c r="A5523" s="6">
        <v>2025</v>
      </c>
      <c r="B5523" s="6">
        <v>4</v>
      </c>
      <c r="C5523" s="6" t="s">
        <v>62</v>
      </c>
      <c r="D5523" s="6" t="s">
        <v>321</v>
      </c>
      <c r="E5523" s="6" t="s">
        <v>381</v>
      </c>
      <c r="F5523" s="6" t="str">
        <f>IF($M5523="PADD I","PADD 1",IF($M5523="PADD II","PADD 2",IF($M5523="PADD III","PADD 3",IF($M5523="PADD IV","PADD 4",IF($M5523="PADD V","PADD 5","")))))</f>
        <v>PADD 2</v>
      </c>
      <c r="G5523" s="6">
        <f>IF(AND($H5523="ATMOS DISTILLATION",ISNUMBER(SEARCH("VPS",$I5523))=FALSE,LEFT($I5523,6)&lt;&gt;"VACUUM"),"CDU",IF($H5523="FLUID CAT CRACKING","FCC",IF(OR($H5523="HYDROCRACKING",$H5523="RESID_HYDROCRACKING"),"Hydrocracker",IF($H5523="REFORMING","Reformer",""))))</f>
        <v/>
      </c>
      <c r="H5523" s="6" t="s">
        <v>43</v>
      </c>
      <c r="I5523" s="6" t="s">
        <v>1164</v>
      </c>
      <c r="J5523" s="6" t="s">
        <v>349</v>
      </c>
      <c r="K5523" s="10">
        <v>87.3</v>
      </c>
      <c r="L5523" s="10">
        <v>90</v>
      </c>
      <c r="M5523" s="6" t="s">
        <v>375</v>
      </c>
    </row>
    <row r="5524" spans="1:13">
      <c r="A5524" s="6">
        <v>2025</v>
      </c>
      <c r="B5524" s="6">
        <v>4</v>
      </c>
      <c r="C5524" s="6" t="s">
        <v>62</v>
      </c>
      <c r="D5524" s="6" t="s">
        <v>390</v>
      </c>
      <c r="E5524" s="6" t="s">
        <v>391</v>
      </c>
      <c r="F5524" s="6" t="str">
        <f>IF($M5524="PADD I","PADD 1",IF($M5524="PADD II","PADD 2",IF($M5524="PADD III","PADD 3",IF($M5524="PADD IV","PADD 4",IF($M5524="PADD V","PADD 5","")))))</f>
        <v>PADD 3</v>
      </c>
      <c r="G5524" s="6">
        <f>IF(AND($H5524="ATMOS DISTILLATION",ISNUMBER(SEARCH("VPS",$I5524))=FALSE,LEFT($I5524,6)&lt;&gt;"VACUUM"),"CDU",IF($H5524="FLUID CAT CRACKING","FCC",IF(OR($H5524="HYDROCRACKING",$H5524="RESID_HYDROCRACKING"),"Hydrocracker",IF($H5524="REFORMING","Reformer",""))))</f>
        <v/>
      </c>
      <c r="H5524" s="6" t="s">
        <v>378</v>
      </c>
      <c r="I5524" s="6" t="s">
        <v>1297</v>
      </c>
      <c r="J5524" s="6" t="s">
        <v>349</v>
      </c>
      <c r="K5524" s="10">
        <v>80</v>
      </c>
      <c r="L5524" s="10">
        <v>80</v>
      </c>
      <c r="M5524" s="6" t="s">
        <v>371</v>
      </c>
    </row>
    <row r="5525" spans="1:13">
      <c r="A5525" s="6">
        <v>2025</v>
      </c>
      <c r="B5525" s="6">
        <v>4</v>
      </c>
      <c r="C5525" s="6" t="s">
        <v>62</v>
      </c>
      <c r="D5525" s="6" t="s">
        <v>326</v>
      </c>
      <c r="E5525" s="6" t="s">
        <v>385</v>
      </c>
      <c r="F5525" s="6" t="str">
        <f>IF($M5525="PADD I","PADD 1",IF($M5525="PADD II","PADD 2",IF($M5525="PADD III","PADD 3",IF($M5525="PADD IV","PADD 4",IF($M5525="PADD V","PADD 5","")))))</f>
        <v>PADD 5</v>
      </c>
      <c r="G5525" s="6">
        <f>IF(AND($H5525="ATMOS DISTILLATION",ISNUMBER(SEARCH("VPS",$I5525))=FALSE,LEFT($I5525,6)&lt;&gt;"VACUUM"),"CDU",IF($H5525="FLUID CAT CRACKING","FCC",IF(OR($H5525="HYDROCRACKING",$H5525="RESID_HYDROCRACKING"),"Hydrocracker",IF($H5525="REFORMING","Reformer",""))))</f>
        <v/>
      </c>
      <c r="H5525" s="6" t="s">
        <v>378</v>
      </c>
      <c r="I5525" s="6" t="s">
        <v>431</v>
      </c>
      <c r="J5525" s="6" t="s">
        <v>345</v>
      </c>
      <c r="K5525" s="10">
        <v>78.3</v>
      </c>
      <c r="L5525" s="10">
        <v>90</v>
      </c>
      <c r="M5525" s="6" t="s">
        <v>386</v>
      </c>
    </row>
    <row r="5526" spans="1:13">
      <c r="A5526" s="6">
        <v>2025</v>
      </c>
      <c r="B5526" s="6">
        <v>4</v>
      </c>
      <c r="C5526" s="6" t="s">
        <v>62</v>
      </c>
      <c r="D5526" s="6" t="s">
        <v>326</v>
      </c>
      <c r="E5526" s="6" t="s">
        <v>385</v>
      </c>
      <c r="F5526" s="6" t="str">
        <f>IF($M5526="PADD I","PADD 1",IF($M5526="PADD II","PADD 2",IF($M5526="PADD III","PADD 3",IF($M5526="PADD IV","PADD 4",IF($M5526="PADD V","PADD 5","")))))</f>
        <v>PADD 5</v>
      </c>
      <c r="G5526" s="6">
        <f>IF(AND($H5526="ATMOS DISTILLATION",ISNUMBER(SEARCH("VPS",$I5526))=FALSE,LEFT($I5526,6)&lt;&gt;"VACUUM"),"CDU",IF($H5526="FLUID CAT CRACKING","FCC",IF(OR($H5526="HYDROCRACKING",$H5526="RESID_HYDROCRACKING"),"Hydrocracker",IF($H5526="REFORMING","Reformer",""))))</f>
        <v/>
      </c>
      <c r="H5526" s="6" t="s">
        <v>43</v>
      </c>
      <c r="I5526" s="6" t="s">
        <v>1285</v>
      </c>
      <c r="J5526" s="6" t="s">
        <v>345</v>
      </c>
      <c r="K5526" s="10">
        <v>77.5</v>
      </c>
      <c r="L5526" s="10">
        <v>77.5</v>
      </c>
      <c r="M5526" s="6" t="s">
        <v>386</v>
      </c>
    </row>
    <row r="5527" spans="1:13">
      <c r="A5527" s="6">
        <v>2025</v>
      </c>
      <c r="B5527" s="6">
        <v>4</v>
      </c>
      <c r="C5527" s="6" t="s">
        <v>62</v>
      </c>
      <c r="D5527" s="6" t="s">
        <v>610</v>
      </c>
      <c r="E5527" s="6" t="s">
        <v>611</v>
      </c>
      <c r="F5527" s="6" t="str">
        <f>IF($M5527="PADD I","PADD 1",IF($M5527="PADD II","PADD 2",IF($M5527="PADD III","PADD 3",IF($M5527="PADD IV","PADD 4",IF($M5527="PADD V","PADD 5","")))))</f>
        <v>PADD 2</v>
      </c>
      <c r="G5527" s="6" t="str">
        <f>IF(AND($H5527="ATMOS DISTILLATION",ISNUMBER(SEARCH("VPS",$I5527))=FALSE,LEFT($I5527,6)&lt;&gt;"VACUUM"),"CDU",IF($H5527="FLUID CAT CRACKING","FCC",IF(OR($H5527="HYDROCRACKING",$H5527="RESID_HYDROCRACKING"),"Hydrocracker",IF($H5527="REFORMING","Reformer",""))))</f>
        <v>CDU</v>
      </c>
      <c r="H5527" s="6" t="s">
        <v>38</v>
      </c>
      <c r="I5527" s="6" t="s">
        <v>374</v>
      </c>
      <c r="J5527" s="6" t="s">
        <v>349</v>
      </c>
      <c r="K5527" s="10">
        <v>75</v>
      </c>
      <c r="L5527" s="10">
        <v>75</v>
      </c>
      <c r="M5527" s="6" t="s">
        <v>375</v>
      </c>
    </row>
    <row r="5528" spans="1:13">
      <c r="A5528" s="6">
        <v>2025</v>
      </c>
      <c r="B5528" s="6">
        <v>4</v>
      </c>
      <c r="C5528" s="6" t="s">
        <v>62</v>
      </c>
      <c r="D5528" s="6" t="s">
        <v>324</v>
      </c>
      <c r="E5528" s="6" t="s">
        <v>388</v>
      </c>
      <c r="F5528" s="6" t="str">
        <f>IF($M5528="PADD I","PADD 1",IF($M5528="PADD II","PADD 2",IF($M5528="PADD III","PADD 3",IF($M5528="PADD IV","PADD 4",IF($M5528="PADD V","PADD 5","")))))</f>
        <v>PADD 3</v>
      </c>
      <c r="G5528" s="6">
        <f>IF(AND($H5528="ATMOS DISTILLATION",ISNUMBER(SEARCH("VPS",$I5528))=FALSE,LEFT($I5528,6)&lt;&gt;"VACUUM"),"CDU",IF($H5528="FLUID CAT CRACKING","FCC",IF(OR($H5528="HYDROCRACKING",$H5528="RESID_HYDROCRACKING"),"Hydrocracker",IF($H5528="REFORMING","Reformer",""))))</f>
        <v/>
      </c>
      <c r="H5528" s="6" t="s">
        <v>43</v>
      </c>
      <c r="I5528" s="6" t="s">
        <v>682</v>
      </c>
      <c r="J5528" s="6" t="s">
        <v>349</v>
      </c>
      <c r="K5528" s="10">
        <v>74.2</v>
      </c>
      <c r="L5528" s="10">
        <v>106</v>
      </c>
      <c r="M5528" s="6" t="s">
        <v>371</v>
      </c>
    </row>
    <row r="5529" spans="1:13">
      <c r="A5529" s="6">
        <v>2025</v>
      </c>
      <c r="B5529" s="6">
        <v>4</v>
      </c>
      <c r="C5529" s="6" t="s">
        <v>62</v>
      </c>
      <c r="D5529" s="6" t="s">
        <v>801</v>
      </c>
      <c r="E5529" s="6" t="s">
        <v>779</v>
      </c>
      <c r="F5529" s="6" t="str">
        <f>IF($M5529="PADD I","PADD 1",IF($M5529="PADD II","PADD 2",IF($M5529="PADD III","PADD 3",IF($M5529="PADD IV","PADD 4",IF($M5529="PADD V","PADD 5","")))))</f>
        <v>PADD 2</v>
      </c>
      <c r="G5529" s="6" t="str">
        <f>IF(AND($H5529="ATMOS DISTILLATION",ISNUMBER(SEARCH("VPS",$I5529))=FALSE,LEFT($I5529,6)&lt;&gt;"VACUUM"),"CDU",IF($H5529="FLUID CAT CRACKING","FCC",IF(OR($H5529="HYDROCRACKING",$H5529="RESID_HYDROCRACKING"),"Hydrocracker",IF($H5529="REFORMING","Reformer",""))))</f>
        <v>FCC</v>
      </c>
      <c r="H5529" s="6" t="s">
        <v>376</v>
      </c>
      <c r="I5529" s="6" t="s">
        <v>105</v>
      </c>
      <c r="J5529" s="6" t="s">
        <v>349</v>
      </c>
      <c r="K5529" s="10">
        <v>73.95</v>
      </c>
      <c r="L5529" s="10">
        <v>85</v>
      </c>
      <c r="M5529" s="6" t="s">
        <v>375</v>
      </c>
    </row>
    <row r="5530" spans="1:13">
      <c r="A5530" s="6">
        <v>2025</v>
      </c>
      <c r="B5530" s="6">
        <v>4</v>
      </c>
      <c r="C5530" s="6" t="s">
        <v>62</v>
      </c>
      <c r="D5530" s="6" t="s">
        <v>326</v>
      </c>
      <c r="E5530" s="6" t="s">
        <v>385</v>
      </c>
      <c r="F5530" s="6" t="str">
        <f>IF($M5530="PADD I","PADD 1",IF($M5530="PADD II","PADD 2",IF($M5530="PADD III","PADD 3",IF($M5530="PADD IV","PADD 4",IF($M5530="PADD V","PADD 5","")))))</f>
        <v>PADD 5</v>
      </c>
      <c r="G5530" s="6" t="str">
        <f>IF(AND($H5530="ATMOS DISTILLATION",ISNUMBER(SEARCH("VPS",$I5530))=FALSE,LEFT($I5530,6)&lt;&gt;"VACUUM"),"CDU",IF($H5530="FLUID CAT CRACKING","FCC",IF(OR($H5530="HYDROCRACKING",$H5530="RESID_HYDROCRACKING"),"Hydrocracker",IF($H5530="REFORMING","Reformer",""))))</f>
        <v>FCC</v>
      </c>
      <c r="H5530" s="6" t="s">
        <v>376</v>
      </c>
      <c r="I5530" s="6" t="s">
        <v>504</v>
      </c>
      <c r="J5530" s="6" t="s">
        <v>345</v>
      </c>
      <c r="K5530" s="10">
        <v>70</v>
      </c>
      <c r="L5530" s="10">
        <v>70</v>
      </c>
      <c r="M5530" s="6" t="s">
        <v>386</v>
      </c>
    </row>
    <row r="5531" spans="1:13">
      <c r="A5531" s="6">
        <v>2025</v>
      </c>
      <c r="B5531" s="6">
        <v>4</v>
      </c>
      <c r="C5531" s="6" t="s">
        <v>62</v>
      </c>
      <c r="D5531" s="6" t="s">
        <v>610</v>
      </c>
      <c r="E5531" s="6" t="s">
        <v>611</v>
      </c>
      <c r="F5531" s="6" t="str">
        <f>IF($M5531="PADD I","PADD 1",IF($M5531="PADD II","PADD 2",IF($M5531="PADD III","PADD 3",IF($M5531="PADD IV","PADD 4",IF($M5531="PADD V","PADD 5","")))))</f>
        <v>PADD 2</v>
      </c>
      <c r="G5531" s="6" t="str">
        <f>IF(AND($H5531="ATMOS DISTILLATION",ISNUMBER(SEARCH("VPS",$I5531))=FALSE,LEFT($I5531,6)&lt;&gt;"VACUUM"),"CDU",IF($H5531="FLUID CAT CRACKING","FCC",IF(OR($H5531="HYDROCRACKING",$H5531="RESID_HYDROCRACKING"),"Hydrocracker",IF($H5531="REFORMING","Reformer",""))))</f>
        <v>CDU</v>
      </c>
      <c r="H5531" s="6" t="s">
        <v>38</v>
      </c>
      <c r="I5531" s="6" t="s">
        <v>332</v>
      </c>
      <c r="J5531" s="6" t="s">
        <v>349</v>
      </c>
      <c r="K5531" s="10">
        <v>60</v>
      </c>
      <c r="L5531" s="10">
        <v>60</v>
      </c>
      <c r="M5531" s="6" t="s">
        <v>375</v>
      </c>
    </row>
    <row r="5532" spans="1:13">
      <c r="A5532" s="6">
        <v>2025</v>
      </c>
      <c r="B5532" s="6">
        <v>4</v>
      </c>
      <c r="C5532" s="6" t="s">
        <v>62</v>
      </c>
      <c r="D5532" s="6" t="s">
        <v>953</v>
      </c>
      <c r="E5532" s="6" t="s">
        <v>733</v>
      </c>
      <c r="F5532" s="6" t="str">
        <f>IF($M5532="PADD I","PADD 1",IF($M5532="PADD II","PADD 2",IF($M5532="PADD III","PADD 3",IF($M5532="PADD IV","PADD 4",IF($M5532="PADD V","PADD 5","")))))</f>
        <v>PADD 2</v>
      </c>
      <c r="G5532" s="6" t="str">
        <f>IF(AND($H5532="ATMOS DISTILLATION",ISNUMBER(SEARCH("VPS",$I5532))=FALSE,LEFT($I5532,6)&lt;&gt;"VACUUM"),"CDU",IF($H5532="FLUID CAT CRACKING","FCC",IF(OR($H5532="HYDROCRACKING",$H5532="RESID_HYDROCRACKING"),"Hydrocracker",IF($H5532="REFORMING","Reformer",""))))</f>
        <v>CDU</v>
      </c>
      <c r="H5532" s="6" t="s">
        <v>38</v>
      </c>
      <c r="I5532" s="6" t="s">
        <v>123</v>
      </c>
      <c r="J5532" s="6" t="s">
        <v>349</v>
      </c>
      <c r="K5532" s="10">
        <v>57.23</v>
      </c>
      <c r="L5532" s="10">
        <v>59</v>
      </c>
      <c r="M5532" s="6" t="s">
        <v>375</v>
      </c>
    </row>
    <row r="5533" spans="1:13">
      <c r="A5533" s="6">
        <v>2025</v>
      </c>
      <c r="B5533" s="6">
        <v>4</v>
      </c>
      <c r="C5533" s="6" t="s">
        <v>62</v>
      </c>
      <c r="D5533" s="6" t="s">
        <v>48</v>
      </c>
      <c r="E5533" s="6" t="s">
        <v>388</v>
      </c>
      <c r="F5533" s="6" t="str">
        <f>IF($M5533="PADD I","PADD 1",IF($M5533="PADD II","PADD 2",IF($M5533="PADD III","PADD 3",IF($M5533="PADD IV","PADD 4",IF($M5533="PADD V","PADD 5","")))))</f>
        <v>PADD 2</v>
      </c>
      <c r="G5533" s="6" t="str">
        <f>IF(AND($H5533="ATMOS DISTILLATION",ISNUMBER(SEARCH("VPS",$I5533))=FALSE,LEFT($I5533,6)&lt;&gt;"VACUUM"),"CDU",IF($H5533="FLUID CAT CRACKING","FCC",IF(OR($H5533="HYDROCRACKING",$H5533="RESID_HYDROCRACKING"),"Hydrocracker",IF($H5533="REFORMING","Reformer",""))))</f>
        <v>CDU</v>
      </c>
      <c r="H5533" s="6" t="s">
        <v>38</v>
      </c>
      <c r="I5533" s="6" t="s">
        <v>720</v>
      </c>
      <c r="J5533" s="6" t="s">
        <v>349</v>
      </c>
      <c r="K5533" s="10">
        <v>55.4625</v>
      </c>
      <c r="L5533" s="10">
        <v>63.75</v>
      </c>
      <c r="M5533" s="6" t="s">
        <v>375</v>
      </c>
    </row>
    <row r="5534" spans="1:13">
      <c r="A5534" s="6">
        <v>2025</v>
      </c>
      <c r="B5534" s="6">
        <v>4</v>
      </c>
      <c r="C5534" s="6" t="s">
        <v>62</v>
      </c>
      <c r="D5534" s="6" t="s">
        <v>531</v>
      </c>
      <c r="E5534" s="6" t="s">
        <v>532</v>
      </c>
      <c r="F5534" s="6" t="str">
        <f>IF($M5534="PADD I","PADD 1",IF($M5534="PADD II","PADD 2",IF($M5534="PADD III","PADD 3",IF($M5534="PADD IV","PADD 4",IF($M5534="PADD V","PADD 5","")))))</f>
        <v>PADD 5</v>
      </c>
      <c r="G5534" s="6" t="str">
        <f>IF(AND($H5534="ATMOS DISTILLATION",ISNUMBER(SEARCH("VPS",$I5534))=FALSE,LEFT($I5534,6)&lt;&gt;"VACUUM"),"CDU",IF($H5534="FLUID CAT CRACKING","FCC",IF(OR($H5534="HYDROCRACKING",$H5534="RESID_HYDROCRACKING"),"Hydrocracker",IF($H5534="REFORMING","Reformer",""))))</f>
        <v>FCC</v>
      </c>
      <c r="H5534" s="6" t="s">
        <v>376</v>
      </c>
      <c r="I5534" s="6" t="s">
        <v>105</v>
      </c>
      <c r="J5534" s="6" t="s">
        <v>345</v>
      </c>
      <c r="K5534" s="10">
        <v>53</v>
      </c>
      <c r="L5534" s="10">
        <v>100</v>
      </c>
      <c r="M5534" s="6" t="s">
        <v>386</v>
      </c>
    </row>
    <row r="5535" spans="1:13">
      <c r="A5535" s="6">
        <v>2025</v>
      </c>
      <c r="B5535" s="6">
        <v>4</v>
      </c>
      <c r="C5535" s="6" t="s">
        <v>62</v>
      </c>
      <c r="D5535" s="6" t="s">
        <v>321</v>
      </c>
      <c r="E5535" s="6" t="s">
        <v>381</v>
      </c>
      <c r="F5535" s="6" t="str">
        <f>IF($M5535="PADD I","PADD 1",IF($M5535="PADD II","PADD 2",IF($M5535="PADD III","PADD 3",IF($M5535="PADD IV","PADD 4",IF($M5535="PADD V","PADD 5","")))))</f>
        <v>PADD 2</v>
      </c>
      <c r="G5535" s="6" t="str">
        <f>IF(AND($H5535="ATMOS DISTILLATION",ISNUMBER(SEARCH("VPS",$I5535))=FALSE,LEFT($I5535,6)&lt;&gt;"VACUUM"),"CDU",IF($H5535="FLUID CAT CRACKING","FCC",IF(OR($H5535="HYDROCRACKING",$H5535="RESID_HYDROCRACKING"),"Hydrocracker",IF($H5535="REFORMING","Reformer",""))))</f>
        <v>Reformer</v>
      </c>
      <c r="H5535" s="6" t="s">
        <v>421</v>
      </c>
      <c r="I5535" s="6" t="s">
        <v>228</v>
      </c>
      <c r="J5535" s="6" t="s">
        <v>349</v>
      </c>
      <c r="K5535" s="10">
        <v>50.44</v>
      </c>
      <c r="L5535" s="10">
        <v>52</v>
      </c>
      <c r="M5535" s="6" t="s">
        <v>375</v>
      </c>
    </row>
    <row r="5536" spans="1:13">
      <c r="A5536" s="6">
        <v>2025</v>
      </c>
      <c r="B5536" s="6">
        <v>4</v>
      </c>
      <c r="C5536" s="6" t="s">
        <v>62</v>
      </c>
      <c r="D5536" s="6" t="s">
        <v>326</v>
      </c>
      <c r="E5536" s="6" t="s">
        <v>385</v>
      </c>
      <c r="F5536" s="6" t="str">
        <f>IF($M5536="PADD I","PADD 1",IF($M5536="PADD II","PADD 2",IF($M5536="PADD III","PADD 3",IF($M5536="PADD IV","PADD 4",IF($M5536="PADD V","PADD 5","")))))</f>
        <v>PADD 5</v>
      </c>
      <c r="G5536" s="6">
        <f>IF(AND($H5536="ATMOS DISTILLATION",ISNUMBER(SEARCH("VPS",$I5536))=FALSE,LEFT($I5536,6)&lt;&gt;"VACUUM"),"CDU",IF($H5536="FLUID CAT CRACKING","FCC",IF(OR($H5536="HYDROCRACKING",$H5536="RESID_HYDROCRACKING"),"Hydrocracker",IF($H5536="REFORMING","Reformer",""))))</f>
        <v/>
      </c>
      <c r="H5536" s="6" t="s">
        <v>43</v>
      </c>
      <c r="I5536" s="6" t="s">
        <v>1174</v>
      </c>
      <c r="J5536" s="6" t="s">
        <v>345</v>
      </c>
      <c r="K5536" s="10">
        <v>50.2</v>
      </c>
      <c r="L5536" s="10">
        <v>50.2</v>
      </c>
      <c r="M5536" s="6" t="s">
        <v>386</v>
      </c>
    </row>
    <row r="5537" spans="1:13">
      <c r="A5537" s="6">
        <v>2025</v>
      </c>
      <c r="B5537" s="6">
        <v>4</v>
      </c>
      <c r="C5537" s="6" t="s">
        <v>62</v>
      </c>
      <c r="D5537" s="6" t="s">
        <v>322</v>
      </c>
      <c r="E5537" s="6" t="s">
        <v>369</v>
      </c>
      <c r="F5537" s="6" t="str">
        <f>IF($M5537="PADD I","PADD 1",IF($M5537="PADD II","PADD 2",IF($M5537="PADD III","PADD 3",IF($M5537="PADD IV","PADD 4",IF($M5537="PADD V","PADD 5","")))))</f>
        <v>PADD 2</v>
      </c>
      <c r="G5537" s="6">
        <f>IF(AND($H5537="ATMOS DISTILLATION",ISNUMBER(SEARCH("VPS",$I5537))=FALSE,LEFT($I5537,6)&lt;&gt;"VACUUM"),"CDU",IF($H5537="FLUID CAT CRACKING","FCC",IF(OR($H5537="HYDROCRACKING",$H5537="RESID_HYDROCRACKING"),"Hydrocracker",IF($H5537="REFORMING","Reformer",""))))</f>
        <v/>
      </c>
      <c r="H5537" s="6" t="s">
        <v>378</v>
      </c>
      <c r="I5537" s="6" t="s">
        <v>1294</v>
      </c>
      <c r="J5537" s="6" t="s">
        <v>349</v>
      </c>
      <c r="K5537" s="10">
        <v>50</v>
      </c>
      <c r="L5537" s="10">
        <v>50</v>
      </c>
      <c r="M5537" s="6" t="s">
        <v>375</v>
      </c>
    </row>
    <row r="5538" spans="1:13">
      <c r="A5538" s="6">
        <v>2025</v>
      </c>
      <c r="B5538" s="6">
        <v>4</v>
      </c>
      <c r="C5538" s="6" t="s">
        <v>62</v>
      </c>
      <c r="D5538" s="6" t="s">
        <v>372</v>
      </c>
      <c r="E5538" s="6" t="s">
        <v>373</v>
      </c>
      <c r="F5538" s="6" t="str">
        <f>IF($M5538="PADD I","PADD 1",IF($M5538="PADD II","PADD 2",IF($M5538="PADD III","PADD 3",IF($M5538="PADD IV","PADD 4",IF($M5538="PADD V","PADD 5","")))))</f>
        <v>PADD 2</v>
      </c>
      <c r="G5538" s="6" t="str">
        <f>IF(AND($H5538="ATMOS DISTILLATION",ISNUMBER(SEARCH("VPS",$I5538))=FALSE,LEFT($I5538,6)&lt;&gt;"VACUUM"),"CDU",IF($H5538="FLUID CAT CRACKING","FCC",IF(OR($H5538="HYDROCRACKING",$H5538="RESID_HYDROCRACKING"),"Hydrocracker",IF($H5538="REFORMING","Reformer",""))))</f>
        <v>CDU</v>
      </c>
      <c r="H5538" s="6" t="s">
        <v>38</v>
      </c>
      <c r="I5538" s="6" t="s">
        <v>414</v>
      </c>
      <c r="J5538" s="6" t="s">
        <v>345</v>
      </c>
      <c r="K5538" s="10">
        <v>50</v>
      </c>
      <c r="L5538" s="10">
        <v>50</v>
      </c>
      <c r="M5538" s="6" t="s">
        <v>375</v>
      </c>
    </row>
    <row r="5539" spans="1:13">
      <c r="A5539" s="6">
        <v>2025</v>
      </c>
      <c r="B5539" s="6">
        <v>4</v>
      </c>
      <c r="C5539" s="6" t="s">
        <v>62</v>
      </c>
      <c r="D5539" s="6" t="s">
        <v>953</v>
      </c>
      <c r="E5539" s="6" t="s">
        <v>733</v>
      </c>
      <c r="F5539" s="6" t="str">
        <f>IF($M5539="PADD I","PADD 1",IF($M5539="PADD II","PADD 2",IF($M5539="PADD III","PADD 3",IF($M5539="PADD IV","PADD 4",IF($M5539="PADD V","PADD 5","")))))</f>
        <v>PADD 2</v>
      </c>
      <c r="G5539" s="6" t="str">
        <f>IF(AND($H5539="ATMOS DISTILLATION",ISNUMBER(SEARCH("VPS",$I5539))=FALSE,LEFT($I5539,6)&lt;&gt;"VACUUM"),"CDU",IF($H5539="FLUID CAT CRACKING","FCC",IF(OR($H5539="HYDROCRACKING",$H5539="RESID_HYDROCRACKING"),"Hydrocracker",IF($H5539="REFORMING","Reformer",""))))</f>
        <v>CDU</v>
      </c>
      <c r="H5539" s="6" t="s">
        <v>38</v>
      </c>
      <c r="I5539" s="6" t="s">
        <v>330</v>
      </c>
      <c r="J5539" s="6" t="s">
        <v>349</v>
      </c>
      <c r="K5539" s="10">
        <v>48.5</v>
      </c>
      <c r="L5539" s="10">
        <v>50</v>
      </c>
      <c r="M5539" s="6" t="s">
        <v>375</v>
      </c>
    </row>
    <row r="5540" spans="1:13">
      <c r="A5540" s="6">
        <v>2025</v>
      </c>
      <c r="B5540" s="6">
        <v>4</v>
      </c>
      <c r="C5540" s="6" t="s">
        <v>62</v>
      </c>
      <c r="D5540" s="6" t="s">
        <v>531</v>
      </c>
      <c r="E5540" s="6" t="s">
        <v>532</v>
      </c>
      <c r="F5540" s="6" t="str">
        <f>IF($M5540="PADD I","PADD 1",IF($M5540="PADD II","PADD 2",IF($M5540="PADD III","PADD 3",IF($M5540="PADD IV","PADD 4",IF($M5540="PADD V","PADD 5","")))))</f>
        <v>PADD 5</v>
      </c>
      <c r="G5540" s="6" t="str">
        <f>IF(AND($H5540="ATMOS DISTILLATION",ISNUMBER(SEARCH("VPS",$I5540))=FALSE,LEFT($I5540,6)&lt;&gt;"VACUUM"),"CDU",IF($H5540="FLUID CAT CRACKING","FCC",IF(OR($H5540="HYDROCRACKING",$H5540="RESID_HYDROCRACKING"),"Hydrocracker",IF($H5540="REFORMING","Reformer",""))))</f>
        <v>FCC</v>
      </c>
      <c r="H5540" s="6" t="s">
        <v>376</v>
      </c>
      <c r="I5540" s="6" t="s">
        <v>105</v>
      </c>
      <c r="J5540" s="6" t="s">
        <v>345</v>
      </c>
      <c r="K5540" s="10">
        <v>47</v>
      </c>
      <c r="L5540" s="10">
        <v>100</v>
      </c>
      <c r="M5540" s="6" t="s">
        <v>386</v>
      </c>
    </row>
    <row r="5541" spans="1:13">
      <c r="A5541" s="6">
        <v>2025</v>
      </c>
      <c r="B5541" s="6">
        <v>4</v>
      </c>
      <c r="C5541" s="6" t="s">
        <v>62</v>
      </c>
      <c r="D5541" s="6" t="s">
        <v>742</v>
      </c>
      <c r="E5541" s="6" t="s">
        <v>388</v>
      </c>
      <c r="F5541" s="6" t="str">
        <f>IF($M5541="PADD I","PADD 1",IF($M5541="PADD II","PADD 2",IF($M5541="PADD III","PADD 3",IF($M5541="PADD IV","PADD 4",IF($M5541="PADD V","PADD 5","")))))</f>
        <v>PADD 5</v>
      </c>
      <c r="G5541" s="6">
        <f>IF(AND($H5541="ATMOS DISTILLATION",ISNUMBER(SEARCH("VPS",$I5541))=FALSE,LEFT($I5541,6)&lt;&gt;"VACUUM"),"CDU",IF($H5541="FLUID CAT CRACKING","FCC",IF(OR($H5541="HYDROCRACKING",$H5541="RESID_HYDROCRACKING"),"Hydrocracker",IF($H5541="REFORMING","Reformer",""))))</f>
        <v/>
      </c>
      <c r="H5541" s="6" t="s">
        <v>378</v>
      </c>
      <c r="I5541" s="6" t="s">
        <v>431</v>
      </c>
      <c r="J5541" s="6" t="s">
        <v>349</v>
      </c>
      <c r="K5541" s="10">
        <v>47</v>
      </c>
      <c r="L5541" s="10">
        <v>47</v>
      </c>
      <c r="M5541" s="6" t="s">
        <v>386</v>
      </c>
    </row>
    <row r="5542" spans="1:13">
      <c r="A5542" s="6">
        <v>2025</v>
      </c>
      <c r="B5542" s="6">
        <v>4</v>
      </c>
      <c r="C5542" s="6" t="s">
        <v>62</v>
      </c>
      <c r="D5542" s="6" t="s">
        <v>801</v>
      </c>
      <c r="E5542" s="6" t="s">
        <v>779</v>
      </c>
      <c r="F5542" s="6" t="str">
        <f>IF($M5542="PADD I","PADD 1",IF($M5542="PADD II","PADD 2",IF($M5542="PADD III","PADD 3",IF($M5542="PADD IV","PADD 4",IF($M5542="PADD V","PADD 5","")))))</f>
        <v>PADD 2</v>
      </c>
      <c r="G5542" s="6" t="str">
        <f>IF(AND($H5542="ATMOS DISTILLATION",ISNUMBER(SEARCH("VPS",$I5542))=FALSE,LEFT($I5542,6)&lt;&gt;"VACUUM"),"CDU",IF($H5542="FLUID CAT CRACKING","FCC",IF(OR($H5542="HYDROCRACKING",$H5542="RESID_HYDROCRACKING"),"Hydrocracker",IF($H5542="REFORMING","Reformer",""))))</f>
        <v>CDU</v>
      </c>
      <c r="H5542" s="6" t="s">
        <v>38</v>
      </c>
      <c r="I5542" s="6" t="s">
        <v>982</v>
      </c>
      <c r="J5542" s="6" t="s">
        <v>349</v>
      </c>
      <c r="K5542" s="10">
        <v>45.65</v>
      </c>
      <c r="L5542" s="10">
        <v>55</v>
      </c>
      <c r="M5542" s="6" t="s">
        <v>375</v>
      </c>
    </row>
    <row r="5543" spans="1:13">
      <c r="A5543" s="6">
        <v>2025</v>
      </c>
      <c r="B5543" s="6">
        <v>4</v>
      </c>
      <c r="C5543" s="6" t="s">
        <v>62</v>
      </c>
      <c r="D5543" s="6" t="s">
        <v>531</v>
      </c>
      <c r="E5543" s="6" t="s">
        <v>532</v>
      </c>
      <c r="F5543" s="6" t="str">
        <f>IF($M5543="PADD I","PADD 1",IF($M5543="PADD II","PADD 2",IF($M5543="PADD III","PADD 3",IF($M5543="PADD IV","PADD 4",IF($M5543="PADD V","PADD 5","")))))</f>
        <v>PADD 5</v>
      </c>
      <c r="G5543" s="6" t="str">
        <f>IF(AND($H5543="ATMOS DISTILLATION",ISNUMBER(SEARCH("VPS",$I5543))=FALSE,LEFT($I5543,6)&lt;&gt;"VACUUM"),"CDU",IF($H5543="FLUID CAT CRACKING","FCC",IF(OR($H5543="HYDROCRACKING",$H5543="RESID_HYDROCRACKING"),"Hydrocracker",IF($H5543="REFORMING","Reformer",""))))</f>
        <v>Reformer</v>
      </c>
      <c r="H5543" s="6" t="s">
        <v>421</v>
      </c>
      <c r="I5543" s="6" t="s">
        <v>557</v>
      </c>
      <c r="J5543" s="6" t="s">
        <v>345</v>
      </c>
      <c r="K5543" s="10">
        <v>45</v>
      </c>
      <c r="L5543" s="10">
        <v>45</v>
      </c>
      <c r="M5543" s="6" t="s">
        <v>386</v>
      </c>
    </row>
    <row r="5544" spans="1:13">
      <c r="A5544" s="6">
        <v>2025</v>
      </c>
      <c r="B5544" s="6">
        <v>4</v>
      </c>
      <c r="C5544" s="6" t="s">
        <v>62</v>
      </c>
      <c r="D5544" s="6" t="s">
        <v>742</v>
      </c>
      <c r="E5544" s="6" t="s">
        <v>388</v>
      </c>
      <c r="F5544" s="6" t="str">
        <f>IF($M5544="PADD I","PADD 1",IF($M5544="PADD II","PADD 2",IF($M5544="PADD III","PADD 3",IF($M5544="PADD IV","PADD 4",IF($M5544="PADD V","PADD 5","")))))</f>
        <v>PADD 5</v>
      </c>
      <c r="G5544" s="6" t="str">
        <f>IF(AND($H5544="ATMOS DISTILLATION",ISNUMBER(SEARCH("VPS",$I5544))=FALSE,LEFT($I5544,6)&lt;&gt;"VACUUM"),"CDU",IF($H5544="FLUID CAT CRACKING","FCC",IF(OR($H5544="HYDROCRACKING",$H5544="RESID_HYDROCRACKING"),"Hydrocracker",IF($H5544="REFORMING","Reformer",""))))</f>
        <v>FCC</v>
      </c>
      <c r="H5544" s="6" t="s">
        <v>376</v>
      </c>
      <c r="I5544" s="6" t="s">
        <v>105</v>
      </c>
      <c r="J5544" s="6" t="s">
        <v>349</v>
      </c>
      <c r="K5544" s="10">
        <v>42</v>
      </c>
      <c r="L5544" s="10">
        <v>42</v>
      </c>
      <c r="M5544" s="6" t="s">
        <v>386</v>
      </c>
    </row>
    <row r="5545" spans="1:13">
      <c r="A5545" s="6">
        <v>2025</v>
      </c>
      <c r="B5545" s="6">
        <v>4</v>
      </c>
      <c r="C5545" s="6" t="s">
        <v>62</v>
      </c>
      <c r="D5545" s="6" t="s">
        <v>326</v>
      </c>
      <c r="E5545" s="6" t="s">
        <v>385</v>
      </c>
      <c r="F5545" s="6" t="str">
        <f>IF($M5545="PADD I","PADD 1",IF($M5545="PADD II","PADD 2",IF($M5545="PADD III","PADD 3",IF($M5545="PADD IV","PADD 4",IF($M5545="PADD V","PADD 5","")))))</f>
        <v>PADD 5</v>
      </c>
      <c r="G5545" s="6" t="str">
        <f>IF(AND($H5545="ATMOS DISTILLATION",ISNUMBER(SEARCH("VPS",$I5545))=FALSE,LEFT($I5545,6)&lt;&gt;"VACUUM"),"CDU",IF($H5545="FLUID CAT CRACKING","FCC",IF(OR($H5545="HYDROCRACKING",$H5545="RESID_HYDROCRACKING"),"Hydrocracker",IF($H5545="REFORMING","Reformer",""))))</f>
        <v>Hydrocracker</v>
      </c>
      <c r="H5545" s="6" t="s">
        <v>444</v>
      </c>
      <c r="I5545" s="6" t="s">
        <v>498</v>
      </c>
      <c r="J5545" s="6" t="s">
        <v>345</v>
      </c>
      <c r="K5545" s="10">
        <v>42</v>
      </c>
      <c r="L5545" s="10">
        <v>42</v>
      </c>
      <c r="M5545" s="6" t="s">
        <v>386</v>
      </c>
    </row>
    <row r="5546" spans="1:13">
      <c r="A5546" s="6">
        <v>2025</v>
      </c>
      <c r="B5546" s="6">
        <v>4</v>
      </c>
      <c r="C5546" s="6" t="s">
        <v>62</v>
      </c>
      <c r="D5546" s="6" t="s">
        <v>322</v>
      </c>
      <c r="E5546" s="6" t="s">
        <v>369</v>
      </c>
      <c r="F5546" s="6" t="str">
        <f>IF($M5546="PADD I","PADD 1",IF($M5546="PADD II","PADD 2",IF($M5546="PADD III","PADD 3",IF($M5546="PADD IV","PADD 4",IF($M5546="PADD V","PADD 5","")))))</f>
        <v>PADD 2</v>
      </c>
      <c r="G5546" s="6" t="str">
        <f>IF(AND($H5546="ATMOS DISTILLATION",ISNUMBER(SEARCH("VPS",$I5546))=FALSE,LEFT($I5546,6)&lt;&gt;"VACUUM"),"CDU",IF($H5546="FLUID CAT CRACKING","FCC",IF(OR($H5546="HYDROCRACKING",$H5546="RESID_HYDROCRACKING"),"Hydrocracker",IF($H5546="REFORMING","Reformer",""))))</f>
        <v>FCC</v>
      </c>
      <c r="H5546" s="6" t="s">
        <v>376</v>
      </c>
      <c r="I5546" s="6" t="s">
        <v>657</v>
      </c>
      <c r="J5546" s="6" t="s">
        <v>349</v>
      </c>
      <c r="K5546" s="10">
        <v>42</v>
      </c>
      <c r="L5546" s="10">
        <v>42</v>
      </c>
      <c r="M5546" s="6" t="s">
        <v>375</v>
      </c>
    </row>
    <row r="5547" spans="1:13">
      <c r="A5547" s="6">
        <v>2025</v>
      </c>
      <c r="B5547" s="6">
        <v>4</v>
      </c>
      <c r="C5547" s="6" t="s">
        <v>62</v>
      </c>
      <c r="D5547" s="6" t="s">
        <v>576</v>
      </c>
      <c r="E5547" s="6" t="s">
        <v>369</v>
      </c>
      <c r="F5547" s="6" t="str">
        <f>IF($M5547="PADD I","PADD 1",IF($M5547="PADD II","PADD 2",IF($M5547="PADD III","PADD 3",IF($M5547="PADD IV","PADD 4",IF($M5547="PADD V","PADD 5","")))))</f>
        <v>PADD 3</v>
      </c>
      <c r="G5547" s="6" t="str">
        <f>IF(AND($H5547="ATMOS DISTILLATION",ISNUMBER(SEARCH("VPS",$I5547))=FALSE,LEFT($I5547,6)&lt;&gt;"VACUUM"),"CDU",IF($H5547="FLUID CAT CRACKING","FCC",IF(OR($H5547="HYDROCRACKING",$H5547="RESID_HYDROCRACKING"),"Hydrocracker",IF($H5547="REFORMING","Reformer",""))))</f>
        <v>CDU</v>
      </c>
      <c r="H5547" s="6" t="s">
        <v>38</v>
      </c>
      <c r="I5547" s="6" t="s">
        <v>332</v>
      </c>
      <c r="J5547" s="6" t="s">
        <v>345</v>
      </c>
      <c r="K5547" s="10">
        <v>40.95</v>
      </c>
      <c r="L5547" s="10">
        <v>65</v>
      </c>
      <c r="M5547" s="6" t="s">
        <v>371</v>
      </c>
    </row>
    <row r="5548" spans="1:13">
      <c r="A5548" s="6">
        <v>2025</v>
      </c>
      <c r="B5548" s="6">
        <v>4</v>
      </c>
      <c r="C5548" s="6" t="s">
        <v>62</v>
      </c>
      <c r="D5548" s="6" t="s">
        <v>953</v>
      </c>
      <c r="E5548" s="6" t="s">
        <v>733</v>
      </c>
      <c r="F5548" s="6" t="str">
        <f>IF($M5548="PADD I","PADD 1",IF($M5548="PADD II","PADD 2",IF($M5548="PADD III","PADD 3",IF($M5548="PADD IV","PADD 4",IF($M5548="PADD V","PADD 5","")))))</f>
        <v>PADD 2</v>
      </c>
      <c r="G5548" s="6">
        <f>IF(AND($H5548="ATMOS DISTILLATION",ISNUMBER(SEARCH("VPS",$I5548))=FALSE,LEFT($I5548,6)&lt;&gt;"VACUUM"),"CDU",IF($H5548="FLUID CAT CRACKING","FCC",IF(OR($H5548="HYDROCRACKING",$H5548="RESID_HYDROCRACKING"),"Hydrocracker",IF($H5548="REFORMING","Reformer",""))))</f>
        <v/>
      </c>
      <c r="H5548" s="6" t="s">
        <v>43</v>
      </c>
      <c r="I5548" s="6" t="s">
        <v>520</v>
      </c>
      <c r="J5548" s="6" t="s">
        <v>345</v>
      </c>
      <c r="K5548" s="10">
        <v>40.7</v>
      </c>
      <c r="L5548" s="10">
        <v>40.7</v>
      </c>
      <c r="M5548" s="6" t="s">
        <v>375</v>
      </c>
    </row>
    <row r="5549" spans="1:13">
      <c r="A5549" s="6">
        <v>2025</v>
      </c>
      <c r="B5549" s="6">
        <v>4</v>
      </c>
      <c r="C5549" s="6" t="s">
        <v>62</v>
      </c>
      <c r="D5549" s="6" t="s">
        <v>490</v>
      </c>
      <c r="E5549" s="6" t="s">
        <v>491</v>
      </c>
      <c r="F5549" s="6" t="str">
        <f>IF($M5549="PADD I","PADD 1",IF($M5549="PADD II","PADD 2",IF($M5549="PADD III","PADD 3",IF($M5549="PADD IV","PADD 4",IF($M5549="PADD V","PADD 5","")))))</f>
        <v>PADD 3</v>
      </c>
      <c r="G5549" s="6" t="str">
        <f>IF(AND($H5549="ATMOS DISTILLATION",ISNUMBER(SEARCH("VPS",$I5549))=FALSE,LEFT($I5549,6)&lt;&gt;"VACUUM"),"CDU",IF($H5549="FLUID CAT CRACKING","FCC",IF(OR($H5549="HYDROCRACKING",$H5549="RESID_HYDROCRACKING"),"Hydrocracker",IF($H5549="REFORMING","Reformer",""))))</f>
        <v>FCC</v>
      </c>
      <c r="H5549" s="6" t="s">
        <v>376</v>
      </c>
      <c r="I5549" s="6" t="s">
        <v>472</v>
      </c>
      <c r="J5549" s="6" t="s">
        <v>349</v>
      </c>
      <c r="K5549" s="10">
        <v>40.5</v>
      </c>
      <c r="L5549" s="10">
        <v>81</v>
      </c>
      <c r="M5549" s="6" t="s">
        <v>371</v>
      </c>
    </row>
    <row r="5550" spans="1:13">
      <c r="A5550" s="6">
        <v>2025</v>
      </c>
      <c r="B5550" s="6">
        <v>4</v>
      </c>
      <c r="C5550" s="6" t="s">
        <v>62</v>
      </c>
      <c r="D5550" s="6" t="s">
        <v>801</v>
      </c>
      <c r="E5550" s="6" t="s">
        <v>779</v>
      </c>
      <c r="F5550" s="6" t="str">
        <f>IF($M5550="PADD I","PADD 1",IF($M5550="PADD II","PADD 2",IF($M5550="PADD III","PADD 3",IF($M5550="PADD IV","PADD 4",IF($M5550="PADD V","PADD 5","")))))</f>
        <v>PADD 2</v>
      </c>
      <c r="G5550" s="6">
        <f>IF(AND($H5550="ATMOS DISTILLATION",ISNUMBER(SEARCH("VPS",$I5550))=FALSE,LEFT($I5550,6)&lt;&gt;"VACUUM"),"CDU",IF($H5550="FLUID CAT CRACKING","FCC",IF(OR($H5550="HYDROCRACKING",$H5550="RESID_HYDROCRACKING"),"Hydrocracker",IF($H5550="REFORMING","Reformer",""))))</f>
        <v/>
      </c>
      <c r="H5550" s="6" t="s">
        <v>43</v>
      </c>
      <c r="I5550" s="6" t="s">
        <v>996</v>
      </c>
      <c r="J5550" s="6" t="s">
        <v>349</v>
      </c>
      <c r="K5550" s="10">
        <v>40</v>
      </c>
      <c r="L5550" s="10">
        <v>40</v>
      </c>
      <c r="M5550" s="6" t="s">
        <v>375</v>
      </c>
    </row>
    <row r="5551" spans="1:13">
      <c r="A5551" s="6">
        <v>2025</v>
      </c>
      <c r="B5551" s="6">
        <v>4</v>
      </c>
      <c r="C5551" s="6" t="s">
        <v>62</v>
      </c>
      <c r="D5551" s="6" t="s">
        <v>953</v>
      </c>
      <c r="E5551" s="6" t="s">
        <v>733</v>
      </c>
      <c r="F5551" s="6" t="str">
        <f>IF($M5551="PADD I","PADD 1",IF($M5551="PADD II","PADD 2",IF($M5551="PADD III","PADD 3",IF($M5551="PADD IV","PADD 4",IF($M5551="PADD V","PADD 5","")))))</f>
        <v>PADD 2</v>
      </c>
      <c r="G5551" s="6" t="str">
        <f>IF(AND($H5551="ATMOS DISTILLATION",ISNUMBER(SEARCH("VPS",$I5551))=FALSE,LEFT($I5551,6)&lt;&gt;"VACUUM"),"CDU",IF($H5551="FLUID CAT CRACKING","FCC",IF(OR($H5551="HYDROCRACKING",$H5551="RESID_HYDROCRACKING"),"Hydrocracker",IF($H5551="REFORMING","Reformer",""))))</f>
        <v>Hydrocracker</v>
      </c>
      <c r="H5551" s="6" t="s">
        <v>444</v>
      </c>
      <c r="I5551" s="6" t="s">
        <v>14</v>
      </c>
      <c r="J5551" s="6" t="s">
        <v>345</v>
      </c>
      <c r="K5551" s="10">
        <v>38.5</v>
      </c>
      <c r="L5551" s="10">
        <v>38.5</v>
      </c>
      <c r="M5551" s="6" t="s">
        <v>375</v>
      </c>
    </row>
    <row r="5552" spans="1:13">
      <c r="A5552" s="6">
        <v>2025</v>
      </c>
      <c r="B5552" s="6">
        <v>4</v>
      </c>
      <c r="C5552" s="6" t="s">
        <v>62</v>
      </c>
      <c r="D5552" s="6" t="s">
        <v>739</v>
      </c>
      <c r="E5552" s="6" t="s">
        <v>405</v>
      </c>
      <c r="F5552" s="6" t="str">
        <f>IF($M5552="PADD I","PADD 1",IF($M5552="PADD II","PADD 2",IF($M5552="PADD III","PADD 3",IF($M5552="PADD IV","PADD 4",IF($M5552="PADD V","PADD 5","")))))</f>
        <v>PADD 2</v>
      </c>
      <c r="G5552" s="6" t="str">
        <f>IF(AND($H5552="ATMOS DISTILLATION",ISNUMBER(SEARCH("VPS",$I5552))=FALSE,LEFT($I5552,6)&lt;&gt;"VACUUM"),"CDU",IF($H5552="FLUID CAT CRACKING","FCC",IF(OR($H5552="HYDROCRACKING",$H5552="RESID_HYDROCRACKING"),"Hydrocracker",IF($H5552="REFORMING","Reformer",""))))</f>
        <v>CDU</v>
      </c>
      <c r="H5552" s="6" t="s">
        <v>38</v>
      </c>
      <c r="I5552" s="6" t="s">
        <v>133</v>
      </c>
      <c r="J5552" s="6" t="s">
        <v>345</v>
      </c>
      <c r="K5552" s="10">
        <v>37.84</v>
      </c>
      <c r="L5552" s="10">
        <v>88</v>
      </c>
      <c r="M5552" s="6" t="s">
        <v>375</v>
      </c>
    </row>
    <row r="5553" spans="1:13">
      <c r="A5553" s="6">
        <v>2025</v>
      </c>
      <c r="B5553" s="6">
        <v>4</v>
      </c>
      <c r="C5553" s="6" t="s">
        <v>62</v>
      </c>
      <c r="D5553" s="6" t="s">
        <v>326</v>
      </c>
      <c r="E5553" s="6" t="s">
        <v>385</v>
      </c>
      <c r="F5553" s="6" t="str">
        <f>IF($M5553="PADD I","PADD 1",IF($M5553="PADD II","PADD 2",IF($M5553="PADD III","PADD 3",IF($M5553="PADD IV","PADD 4",IF($M5553="PADD V","PADD 5","")))))</f>
        <v>PADD 5</v>
      </c>
      <c r="G5553" s="6" t="str">
        <f>IF(AND($H5553="ATMOS DISTILLATION",ISNUMBER(SEARCH("VPS",$I5553))=FALSE,LEFT($I5553,6)&lt;&gt;"VACUUM"),"CDU",IF($H5553="FLUID CAT CRACKING","FCC",IF(OR($H5553="HYDROCRACKING",$H5553="RESID_HYDROCRACKING"),"Hydrocracker",IF($H5553="REFORMING","Reformer",""))))</f>
        <v>Hydrocracker</v>
      </c>
      <c r="H5553" s="6" t="s">
        <v>444</v>
      </c>
      <c r="I5553" s="6" t="s">
        <v>498</v>
      </c>
      <c r="J5553" s="6" t="s">
        <v>345</v>
      </c>
      <c r="K5553" s="10">
        <v>36.54</v>
      </c>
      <c r="L5553" s="10">
        <v>42</v>
      </c>
      <c r="M5553" s="6" t="s">
        <v>386</v>
      </c>
    </row>
    <row r="5554" spans="1:13">
      <c r="A5554" s="6">
        <v>2025</v>
      </c>
      <c r="B5554" s="6">
        <v>4</v>
      </c>
      <c r="C5554" s="6" t="s">
        <v>62</v>
      </c>
      <c r="D5554" s="6" t="s">
        <v>411</v>
      </c>
      <c r="E5554" s="6" t="s">
        <v>369</v>
      </c>
      <c r="F5554" s="6" t="str">
        <f>IF($M5554="PADD I","PADD 1",IF($M5554="PADD II","PADD 2",IF($M5554="PADD III","PADD 3",IF($M5554="PADD IV","PADD 4",IF($M5554="PADD V","PADD 5","")))))</f>
        <v>PADD 1</v>
      </c>
      <c r="G5554" s="6" t="str">
        <f>IF(AND($H5554="ATMOS DISTILLATION",ISNUMBER(SEARCH("VPS",$I5554))=FALSE,LEFT($I5554,6)&lt;&gt;"VACUUM"),"CDU",IF($H5554="FLUID CAT CRACKING","FCC",IF(OR($H5554="HYDROCRACKING",$H5554="RESID_HYDROCRACKING"),"Hydrocracker",IF($H5554="REFORMING","Reformer",""))))</f>
        <v>FCC</v>
      </c>
      <c r="H5554" s="6" t="s">
        <v>376</v>
      </c>
      <c r="I5554" s="6" t="s">
        <v>105</v>
      </c>
      <c r="J5554" s="6" t="s">
        <v>345</v>
      </c>
      <c r="K5554" s="10">
        <v>36.375</v>
      </c>
      <c r="L5554" s="10">
        <v>37.5</v>
      </c>
      <c r="M5554" s="6" t="s">
        <v>413</v>
      </c>
    </row>
    <row r="5555" spans="1:13">
      <c r="A5555" s="6">
        <v>2025</v>
      </c>
      <c r="B5555" s="6">
        <v>4</v>
      </c>
      <c r="C5555" s="6" t="s">
        <v>62</v>
      </c>
      <c r="D5555" s="6" t="s">
        <v>953</v>
      </c>
      <c r="E5555" s="6" t="s">
        <v>733</v>
      </c>
      <c r="F5555" s="6" t="str">
        <f>IF($M5555="PADD I","PADD 1",IF($M5555="PADD II","PADD 2",IF($M5555="PADD III","PADD 3",IF($M5555="PADD IV","PADD 4",IF($M5555="PADD V","PADD 5","")))))</f>
        <v>PADD 2</v>
      </c>
      <c r="G5555" s="6">
        <f>IF(AND($H5555="ATMOS DISTILLATION",ISNUMBER(SEARCH("VPS",$I5555))=FALSE,LEFT($I5555,6)&lt;&gt;"VACUUM"),"CDU",IF($H5555="FLUID CAT CRACKING","FCC",IF(OR($H5555="HYDROCRACKING",$H5555="RESID_HYDROCRACKING"),"Hydrocracker",IF($H5555="REFORMING","Reformer",""))))</f>
        <v/>
      </c>
      <c r="H5555" s="6" t="s">
        <v>378</v>
      </c>
      <c r="I5555" s="6" t="s">
        <v>431</v>
      </c>
      <c r="J5555" s="6" t="s">
        <v>349</v>
      </c>
      <c r="K5555" s="10">
        <v>36.375</v>
      </c>
      <c r="L5555" s="10">
        <v>37.5</v>
      </c>
      <c r="M5555" s="6" t="s">
        <v>375</v>
      </c>
    </row>
    <row r="5556" spans="1:13">
      <c r="A5556" s="6">
        <v>2025</v>
      </c>
      <c r="B5556" s="6">
        <v>4</v>
      </c>
      <c r="C5556" s="6" t="s">
        <v>62</v>
      </c>
      <c r="D5556" s="6" t="s">
        <v>448</v>
      </c>
      <c r="E5556" s="6" t="s">
        <v>391</v>
      </c>
      <c r="F5556" s="6" t="str">
        <f>IF($M5556="PADD I","PADD 1",IF($M5556="PADD II","PADD 2",IF($M5556="PADD III","PADD 3",IF($M5556="PADD IV","PADD 4",IF($M5556="PADD V","PADD 5","")))))</f>
        <v>PADD 3</v>
      </c>
      <c r="G5556" s="6">
        <f>IF(AND($H5556="ATMOS DISTILLATION",ISNUMBER(SEARCH("VPS",$I5556))=FALSE,LEFT($I5556,6)&lt;&gt;"VACUUM"),"CDU",IF($H5556="FLUID CAT CRACKING","FCC",IF(OR($H5556="HYDROCRACKING",$H5556="RESID_HYDROCRACKING"),"Hydrocracker",IF($H5556="REFORMING","Reformer",""))))</f>
        <v/>
      </c>
      <c r="H5556" s="6" t="s">
        <v>43</v>
      </c>
      <c r="I5556" s="6" t="s">
        <v>449</v>
      </c>
      <c r="J5556" s="6" t="s">
        <v>345</v>
      </c>
      <c r="K5556" s="10">
        <v>35</v>
      </c>
      <c r="L5556" s="10">
        <v>35</v>
      </c>
      <c r="M5556" s="6" t="s">
        <v>371</v>
      </c>
    </row>
    <row r="5557" spans="1:13">
      <c r="A5557" s="6">
        <v>2025</v>
      </c>
      <c r="B5557" s="6">
        <v>4</v>
      </c>
      <c r="C5557" s="6" t="s">
        <v>62</v>
      </c>
      <c r="D5557" s="6" t="s">
        <v>576</v>
      </c>
      <c r="E5557" s="6" t="s">
        <v>369</v>
      </c>
      <c r="F5557" s="6" t="str">
        <f>IF($M5557="PADD I","PADD 1",IF($M5557="PADD II","PADD 2",IF($M5557="PADD III","PADD 3",IF($M5557="PADD IV","PADD 4",IF($M5557="PADD V","PADD 5","")))))</f>
        <v>PADD 3</v>
      </c>
      <c r="G5557" s="6">
        <f>IF(AND($H5557="ATMOS DISTILLATION",ISNUMBER(SEARCH("VPS",$I5557))=FALSE,LEFT($I5557,6)&lt;&gt;"VACUUM"),"CDU",IF($H5557="FLUID CAT CRACKING","FCC",IF(OR($H5557="HYDROCRACKING",$H5557="RESID_HYDROCRACKING"),"Hydrocracker",IF($H5557="REFORMING","Reformer",""))))</f>
        <v/>
      </c>
      <c r="H5557" s="6" t="s">
        <v>378</v>
      </c>
      <c r="I5557" s="6" t="s">
        <v>964</v>
      </c>
      <c r="J5557" s="6" t="s">
        <v>345</v>
      </c>
      <c r="K5557" s="10">
        <v>33.453</v>
      </c>
      <c r="L5557" s="10">
        <v>53.1</v>
      </c>
      <c r="M5557" s="6" t="s">
        <v>371</v>
      </c>
    </row>
    <row r="5558" spans="1:13">
      <c r="A5558" s="6">
        <v>2025</v>
      </c>
      <c r="B5558" s="6">
        <v>4</v>
      </c>
      <c r="C5558" s="6" t="s">
        <v>62</v>
      </c>
      <c r="D5558" s="6" t="s">
        <v>380</v>
      </c>
      <c r="E5558" s="6" t="s">
        <v>381</v>
      </c>
      <c r="F5558" s="6" t="str">
        <f>IF($M5558="PADD I","PADD 1",IF($M5558="PADD II","PADD 2",IF($M5558="PADD III","PADD 3",IF($M5558="PADD IV","PADD 4",IF($M5558="PADD V","PADD 5","")))))</f>
        <v>PADD 3</v>
      </c>
      <c r="G5558" s="6" t="str">
        <f>IF(AND($H5558="ATMOS DISTILLATION",ISNUMBER(SEARCH("VPS",$I5558))=FALSE,LEFT($I5558,6)&lt;&gt;"VACUUM"),"CDU",IF($H5558="FLUID CAT CRACKING","FCC",IF(OR($H5558="HYDROCRACKING",$H5558="RESID_HYDROCRACKING"),"Hydrocracker",IF($H5558="REFORMING","Reformer",""))))</f>
        <v>CDU</v>
      </c>
      <c r="H5558" s="6" t="s">
        <v>38</v>
      </c>
      <c r="I5558" s="6" t="s">
        <v>978</v>
      </c>
      <c r="J5558" s="6" t="s">
        <v>349</v>
      </c>
      <c r="K5558" s="10">
        <v>33.3</v>
      </c>
      <c r="L5558" s="10">
        <v>90</v>
      </c>
      <c r="M5558" s="6" t="s">
        <v>371</v>
      </c>
    </row>
    <row r="5559" spans="1:13">
      <c r="A5559" s="6">
        <v>2025</v>
      </c>
      <c r="B5559" s="6">
        <v>4</v>
      </c>
      <c r="C5559" s="6" t="s">
        <v>62</v>
      </c>
      <c r="D5559" s="6" t="s">
        <v>1228</v>
      </c>
      <c r="E5559" s="6" t="s">
        <v>611</v>
      </c>
      <c r="F5559" s="6" t="str">
        <f>IF($M5559="PADD I","PADD 1",IF($M5559="PADD II","PADD 2",IF($M5559="PADD III","PADD 3",IF($M5559="PADD IV","PADD 4",IF($M5559="PADD V","PADD 5","")))))</f>
        <v>PADD 2</v>
      </c>
      <c r="G5559" s="6">
        <f>IF(AND($H5559="ATMOS DISTILLATION",ISNUMBER(SEARCH("VPS",$I5559))=FALSE,LEFT($I5559,6)&lt;&gt;"VACUUM"),"CDU",IF($H5559="FLUID CAT CRACKING","FCC",IF(OR($H5559="HYDROCRACKING",$H5559="RESID_HYDROCRACKING"),"Hydrocracker",IF($H5559="REFORMING","Reformer",""))))</f>
        <v/>
      </c>
      <c r="H5559" s="6" t="s">
        <v>43</v>
      </c>
      <c r="I5559" s="6" t="s">
        <v>501</v>
      </c>
      <c r="J5559" s="6" t="s">
        <v>345</v>
      </c>
      <c r="K5559" s="10">
        <v>32.625</v>
      </c>
      <c r="L5559" s="10">
        <v>37.5</v>
      </c>
      <c r="M5559" s="6" t="s">
        <v>375</v>
      </c>
    </row>
    <row r="5560" spans="1:13">
      <c r="A5560" s="6">
        <v>2025</v>
      </c>
      <c r="B5560" s="6">
        <v>4</v>
      </c>
      <c r="C5560" s="6" t="s">
        <v>62</v>
      </c>
      <c r="D5560" s="6" t="s">
        <v>48</v>
      </c>
      <c r="E5560" s="6" t="s">
        <v>388</v>
      </c>
      <c r="F5560" s="6" t="str">
        <f>IF($M5560="PADD I","PADD 1",IF($M5560="PADD II","PADD 2",IF($M5560="PADD III","PADD 3",IF($M5560="PADD IV","PADD 4",IF($M5560="PADD V","PADD 5","")))))</f>
        <v>PADD 2</v>
      </c>
      <c r="G5560" s="6" t="str">
        <f>IF(AND($H5560="ATMOS DISTILLATION",ISNUMBER(SEARCH("VPS",$I5560))=FALSE,LEFT($I5560,6)&lt;&gt;"VACUUM"),"CDU",IF($H5560="FLUID CAT CRACKING","FCC",IF(OR($H5560="HYDROCRACKING",$H5560="RESID_HYDROCRACKING"),"Hydrocracker",IF($H5560="REFORMING","Reformer",""))))</f>
        <v>Hydrocracker</v>
      </c>
      <c r="H5560" s="6" t="s">
        <v>444</v>
      </c>
      <c r="I5560" s="6" t="s">
        <v>758</v>
      </c>
      <c r="J5560" s="6" t="s">
        <v>345</v>
      </c>
      <c r="K5560" s="10">
        <v>32.12</v>
      </c>
      <c r="L5560" s="10">
        <v>44</v>
      </c>
      <c r="M5560" s="6" t="s">
        <v>375</v>
      </c>
    </row>
    <row r="5561" spans="1:13">
      <c r="A5561" s="6">
        <v>2025</v>
      </c>
      <c r="B5561" s="6">
        <v>4</v>
      </c>
      <c r="C5561" s="6" t="s">
        <v>62</v>
      </c>
      <c r="D5561" s="6" t="s">
        <v>610</v>
      </c>
      <c r="E5561" s="6" t="s">
        <v>611</v>
      </c>
      <c r="F5561" s="6" t="str">
        <f>IF($M5561="PADD I","PADD 1",IF($M5561="PADD II","PADD 2",IF($M5561="PADD III","PADD 3",IF($M5561="PADD IV","PADD 4",IF($M5561="PADD V","PADD 5","")))))</f>
        <v>PADD 2</v>
      </c>
      <c r="G5561" s="6" t="str">
        <f>IF(AND($H5561="ATMOS DISTILLATION",ISNUMBER(SEARCH("VPS",$I5561))=FALSE,LEFT($I5561,6)&lt;&gt;"VACUUM"),"CDU",IF($H5561="FLUID CAT CRACKING","FCC",IF(OR($H5561="HYDROCRACKING",$H5561="RESID_HYDROCRACKING"),"Hydrocracker",IF($H5561="REFORMING","Reformer",""))))</f>
        <v>FCC</v>
      </c>
      <c r="H5561" s="6" t="s">
        <v>376</v>
      </c>
      <c r="I5561" s="6" t="s">
        <v>105</v>
      </c>
      <c r="J5561" s="6" t="s">
        <v>349</v>
      </c>
      <c r="K5561" s="10">
        <v>32</v>
      </c>
      <c r="L5561" s="10">
        <v>32</v>
      </c>
      <c r="M5561" s="6" t="s">
        <v>375</v>
      </c>
    </row>
    <row r="5562" spans="1:13">
      <c r="A5562" s="6">
        <v>2025</v>
      </c>
      <c r="B5562" s="6">
        <v>4</v>
      </c>
      <c r="C5562" s="6" t="s">
        <v>62</v>
      </c>
      <c r="D5562" s="6" t="s">
        <v>415</v>
      </c>
      <c r="E5562" s="6" t="s">
        <v>416</v>
      </c>
      <c r="F5562" s="6" t="str">
        <f>IF($M5562="PADD I","PADD 1",IF($M5562="PADD II","PADD 2",IF($M5562="PADD III","PADD 3",IF($M5562="PADD IV","PADD 4",IF($M5562="PADD V","PADD 5","")))))</f>
        <v>PADD 3</v>
      </c>
      <c r="G5562" s="6" t="str">
        <f>IF(AND($H5562="ATMOS DISTILLATION",ISNUMBER(SEARCH("VPS",$I5562))=FALSE,LEFT($I5562,6)&lt;&gt;"VACUUM"),"CDU",IF($H5562="FLUID CAT CRACKING","FCC",IF(OR($H5562="HYDROCRACKING",$H5562="RESID_HYDROCRACKING"),"Hydrocracker",IF($H5562="REFORMING","Reformer",""))))</f>
        <v>Reformer</v>
      </c>
      <c r="H5562" s="6" t="s">
        <v>421</v>
      </c>
      <c r="I5562" s="6" t="s">
        <v>454</v>
      </c>
      <c r="J5562" s="6" t="s">
        <v>345</v>
      </c>
      <c r="K5562" s="10">
        <v>31.92</v>
      </c>
      <c r="L5562" s="10">
        <v>53.2</v>
      </c>
      <c r="M5562" s="6" t="s">
        <v>371</v>
      </c>
    </row>
    <row r="5563" spans="1:13">
      <c r="A5563" s="6">
        <v>2025</v>
      </c>
      <c r="B5563" s="6">
        <v>4</v>
      </c>
      <c r="C5563" s="6" t="s">
        <v>62</v>
      </c>
      <c r="D5563" s="6" t="s">
        <v>411</v>
      </c>
      <c r="E5563" s="6" t="s">
        <v>369</v>
      </c>
      <c r="F5563" s="6" t="str">
        <f>IF($M5563="PADD I","PADD 1",IF($M5563="PADD II","PADD 2",IF($M5563="PADD III","PADD 3",IF($M5563="PADD IV","PADD 4",IF($M5563="PADD V","PADD 5","")))))</f>
        <v>PADD 1</v>
      </c>
      <c r="G5563" s="6" t="str">
        <f>IF(AND($H5563="ATMOS DISTILLATION",ISNUMBER(SEARCH("VPS",$I5563))=FALSE,LEFT($I5563,6)&lt;&gt;"VACUUM"),"CDU",IF($H5563="FLUID CAT CRACKING","FCC",IF(OR($H5563="HYDROCRACKING",$H5563="RESID_HYDROCRACKING"),"Hydrocracker",IF($H5563="REFORMING","Reformer",""))))</f>
        <v>CDU</v>
      </c>
      <c r="H5563" s="6" t="s">
        <v>38</v>
      </c>
      <c r="I5563" s="6" t="s">
        <v>529</v>
      </c>
      <c r="J5563" s="6" t="s">
        <v>345</v>
      </c>
      <c r="K5563" s="10">
        <v>31.4086</v>
      </c>
      <c r="L5563" s="10">
        <v>32.38</v>
      </c>
      <c r="M5563" s="6" t="s">
        <v>413</v>
      </c>
    </row>
    <row r="5564" spans="1:13">
      <c r="A5564" s="6">
        <v>2025</v>
      </c>
      <c r="B5564" s="6">
        <v>4</v>
      </c>
      <c r="C5564" s="6" t="s">
        <v>62</v>
      </c>
      <c r="D5564" s="6" t="s">
        <v>411</v>
      </c>
      <c r="E5564" s="6" t="s">
        <v>369</v>
      </c>
      <c r="F5564" s="6" t="str">
        <f>IF($M5564="PADD I","PADD 1",IF($M5564="PADD II","PADD 2",IF($M5564="PADD III","PADD 3",IF($M5564="PADD IV","PADD 4",IF($M5564="PADD V","PADD 5","")))))</f>
        <v>PADD 1</v>
      </c>
      <c r="G5564" s="6" t="str">
        <f>IF(AND($H5564="ATMOS DISTILLATION",ISNUMBER(SEARCH("VPS",$I5564))=FALSE,LEFT($I5564,6)&lt;&gt;"VACUUM"),"CDU",IF($H5564="FLUID CAT CRACKING","FCC",IF(OR($H5564="HYDROCRACKING",$H5564="RESID_HYDROCRACKING"),"Hydrocracker",IF($H5564="REFORMING","Reformer",""))))</f>
        <v>CDU</v>
      </c>
      <c r="H5564" s="6" t="s">
        <v>38</v>
      </c>
      <c r="I5564" s="6" t="s">
        <v>412</v>
      </c>
      <c r="J5564" s="6" t="s">
        <v>345</v>
      </c>
      <c r="K5564" s="10">
        <v>31.2825</v>
      </c>
      <c r="L5564" s="10">
        <v>32.25</v>
      </c>
      <c r="M5564" s="6" t="s">
        <v>413</v>
      </c>
    </row>
    <row r="5565" spans="1:13">
      <c r="A5565" s="6">
        <v>2025</v>
      </c>
      <c r="B5565" s="6">
        <v>4</v>
      </c>
      <c r="C5565" s="6" t="s">
        <v>62</v>
      </c>
      <c r="D5565" s="6" t="s">
        <v>953</v>
      </c>
      <c r="E5565" s="6" t="s">
        <v>733</v>
      </c>
      <c r="F5565" s="6" t="str">
        <f>IF($M5565="PADD I","PADD 1",IF($M5565="PADD II","PADD 2",IF($M5565="PADD III","PADD 3",IF($M5565="PADD IV","PADD 4",IF($M5565="PADD V","PADD 5","")))))</f>
        <v>PADD 2</v>
      </c>
      <c r="G5565" s="6" t="str">
        <f>IF(AND($H5565="ATMOS DISTILLATION",ISNUMBER(SEARCH("VPS",$I5565))=FALSE,LEFT($I5565,6)&lt;&gt;"VACUUM"),"CDU",IF($H5565="FLUID CAT CRACKING","FCC",IF(OR($H5565="HYDROCRACKING",$H5565="RESID_HYDROCRACKING"),"Hydrocracker",IF($H5565="REFORMING","Reformer",""))))</f>
        <v>Reformer</v>
      </c>
      <c r="H5565" s="6" t="s">
        <v>421</v>
      </c>
      <c r="I5565" s="6" t="s">
        <v>782</v>
      </c>
      <c r="J5565" s="6" t="s">
        <v>349</v>
      </c>
      <c r="K5565" s="10">
        <v>31.04</v>
      </c>
      <c r="L5565" s="10">
        <v>32</v>
      </c>
      <c r="M5565" s="6" t="s">
        <v>375</v>
      </c>
    </row>
    <row r="5566" spans="1:13">
      <c r="A5566" s="6">
        <v>2025</v>
      </c>
      <c r="B5566" s="6">
        <v>4</v>
      </c>
      <c r="C5566" s="6" t="s">
        <v>62</v>
      </c>
      <c r="D5566" s="6" t="s">
        <v>531</v>
      </c>
      <c r="E5566" s="6" t="s">
        <v>532</v>
      </c>
      <c r="F5566" s="6" t="str">
        <f>IF($M5566="PADD I","PADD 1",IF($M5566="PADD II","PADD 2",IF($M5566="PADD III","PADD 3",IF($M5566="PADD IV","PADD 4",IF($M5566="PADD V","PADD 5","")))))</f>
        <v>PADD 5</v>
      </c>
      <c r="G5566" s="6">
        <f>IF(AND($H5566="ATMOS DISTILLATION",ISNUMBER(SEARCH("VPS",$I5566))=FALSE,LEFT($I5566,6)&lt;&gt;"VACUUM"),"CDU",IF($H5566="FLUID CAT CRACKING","FCC",IF(OR($H5566="HYDROCRACKING",$H5566="RESID_HYDROCRACKING"),"Hydrocracker",IF($H5566="REFORMING","Reformer",""))))</f>
        <v/>
      </c>
      <c r="H5566" s="6" t="s">
        <v>43</v>
      </c>
      <c r="I5566" s="6" t="s">
        <v>1129</v>
      </c>
      <c r="J5566" s="6" t="s">
        <v>345</v>
      </c>
      <c r="K5566" s="10">
        <v>30</v>
      </c>
      <c r="L5566" s="10">
        <v>30</v>
      </c>
      <c r="M5566" s="6" t="s">
        <v>386</v>
      </c>
    </row>
    <row r="5567" spans="1:13">
      <c r="A5567" s="6">
        <v>2025</v>
      </c>
      <c r="B5567" s="6">
        <v>4</v>
      </c>
      <c r="C5567" s="6" t="s">
        <v>62</v>
      </c>
      <c r="D5567" s="6" t="s">
        <v>610</v>
      </c>
      <c r="E5567" s="6" t="s">
        <v>611</v>
      </c>
      <c r="F5567" s="6" t="str">
        <f>IF($M5567="PADD I","PADD 1",IF($M5567="PADD II","PADD 2",IF($M5567="PADD III","PADD 3",IF($M5567="PADD IV","PADD 4",IF($M5567="PADD V","PADD 5","")))))</f>
        <v>PADD 2</v>
      </c>
      <c r="G5567" s="6">
        <f>IF(AND($H5567="ATMOS DISTILLATION",ISNUMBER(SEARCH("VPS",$I5567))=FALSE,LEFT($I5567,6)&lt;&gt;"VACUUM"),"CDU",IF($H5567="FLUID CAT CRACKING","FCC",IF(OR($H5567="HYDROCRACKING",$H5567="RESID_HYDROCRACKING"),"Hydrocracker",IF($H5567="REFORMING","Reformer",""))))</f>
        <v/>
      </c>
      <c r="H5567" s="6" t="s">
        <v>43</v>
      </c>
      <c r="I5567" s="6" t="s">
        <v>622</v>
      </c>
      <c r="J5567" s="6" t="s">
        <v>349</v>
      </c>
      <c r="K5567" s="10">
        <v>30</v>
      </c>
      <c r="L5567" s="10">
        <v>30</v>
      </c>
      <c r="M5567" s="6" t="s">
        <v>375</v>
      </c>
    </row>
    <row r="5568" spans="1:13">
      <c r="A5568" s="6">
        <v>2025</v>
      </c>
      <c r="B5568" s="6">
        <v>4</v>
      </c>
      <c r="C5568" s="6" t="s">
        <v>62</v>
      </c>
      <c r="D5568" s="6" t="s">
        <v>390</v>
      </c>
      <c r="E5568" s="6" t="s">
        <v>391</v>
      </c>
      <c r="F5568" s="6" t="str">
        <f>IF($M5568="PADD I","PADD 1",IF($M5568="PADD II","PADD 2",IF($M5568="PADD III","PADD 3",IF($M5568="PADD IV","PADD 4",IF($M5568="PADD V","PADD 5","")))))</f>
        <v>PADD 3</v>
      </c>
      <c r="G5568" s="6">
        <f>IF(AND($H5568="ATMOS DISTILLATION",ISNUMBER(SEARCH("VPS",$I5568))=FALSE,LEFT($I5568,6)&lt;&gt;"VACUUM"),"CDU",IF($H5568="FLUID CAT CRACKING","FCC",IF(OR($H5568="HYDROCRACKING",$H5568="RESID_HYDROCRACKING"),"Hydrocracker",IF($H5568="REFORMING","Reformer",""))))</f>
        <v/>
      </c>
      <c r="H5568" s="6" t="s">
        <v>43</v>
      </c>
      <c r="I5568" s="6" t="s">
        <v>1298</v>
      </c>
      <c r="J5568" s="6" t="s">
        <v>349</v>
      </c>
      <c r="K5568" s="10">
        <v>30</v>
      </c>
      <c r="L5568" s="10">
        <v>30</v>
      </c>
      <c r="M5568" s="6" t="s">
        <v>371</v>
      </c>
    </row>
    <row r="5569" spans="1:13">
      <c r="A5569" s="6">
        <v>2025</v>
      </c>
      <c r="B5569" s="6">
        <v>4</v>
      </c>
      <c r="C5569" s="6" t="s">
        <v>62</v>
      </c>
      <c r="D5569" s="6" t="s">
        <v>953</v>
      </c>
      <c r="E5569" s="6" t="s">
        <v>733</v>
      </c>
      <c r="F5569" s="6" t="str">
        <f>IF($M5569="PADD I","PADD 1",IF($M5569="PADD II","PADD 2",IF($M5569="PADD III","PADD 3",IF($M5569="PADD IV","PADD 4",IF($M5569="PADD V","PADD 5","")))))</f>
        <v>PADD 2</v>
      </c>
      <c r="G5569" s="6">
        <f>IF(AND($H5569="ATMOS DISTILLATION",ISNUMBER(SEARCH("VPS",$I5569))=FALSE,LEFT($I5569,6)&lt;&gt;"VACUUM"),"CDU",IF($H5569="FLUID CAT CRACKING","FCC",IF(OR($H5569="HYDROCRACKING",$H5569="RESID_HYDROCRACKING"),"Hydrocracker",IF($H5569="REFORMING","Reformer",""))))</f>
        <v/>
      </c>
      <c r="H5569" s="6" t="s">
        <v>43</v>
      </c>
      <c r="I5569" s="6" t="s">
        <v>493</v>
      </c>
      <c r="J5569" s="6" t="s">
        <v>349</v>
      </c>
      <c r="K5569" s="10">
        <v>29.1</v>
      </c>
      <c r="L5569" s="10">
        <v>30</v>
      </c>
      <c r="M5569" s="6" t="s">
        <v>375</v>
      </c>
    </row>
    <row r="5570" spans="1:13">
      <c r="A5570" s="6">
        <v>2025</v>
      </c>
      <c r="B5570" s="6">
        <v>4</v>
      </c>
      <c r="C5570" s="6" t="s">
        <v>62</v>
      </c>
      <c r="D5570" s="6" t="s">
        <v>326</v>
      </c>
      <c r="E5570" s="6" t="s">
        <v>385</v>
      </c>
      <c r="F5570" s="6" t="str">
        <f>IF($M5570="PADD I","PADD 1",IF($M5570="PADD II","PADD 2",IF($M5570="PADD III","PADD 3",IF($M5570="PADD IV","PADD 4",IF($M5570="PADD V","PADD 5","")))))</f>
        <v>PADD 5</v>
      </c>
      <c r="G5570" s="6">
        <f>IF(AND($H5570="ATMOS DISTILLATION",ISNUMBER(SEARCH("VPS",$I5570))=FALSE,LEFT($I5570,6)&lt;&gt;"VACUUM"),"CDU",IF($H5570="FLUID CAT CRACKING","FCC",IF(OR($H5570="HYDROCRACKING",$H5570="RESID_HYDROCRACKING"),"Hydrocracker",IF($H5570="REFORMING","Reformer",""))))</f>
        <v/>
      </c>
      <c r="H5570" s="6" t="s">
        <v>43</v>
      </c>
      <c r="I5570" s="6" t="s">
        <v>501</v>
      </c>
      <c r="J5570" s="6" t="s">
        <v>345</v>
      </c>
      <c r="K5570" s="10">
        <v>28</v>
      </c>
      <c r="L5570" s="10">
        <v>28</v>
      </c>
      <c r="M5570" s="6" t="s">
        <v>386</v>
      </c>
    </row>
    <row r="5571" spans="1:13">
      <c r="A5571" s="6">
        <v>2025</v>
      </c>
      <c r="B5571" s="6">
        <v>4</v>
      </c>
      <c r="C5571" s="6" t="s">
        <v>62</v>
      </c>
      <c r="D5571" s="6" t="s">
        <v>542</v>
      </c>
      <c r="E5571" s="6" t="s">
        <v>543</v>
      </c>
      <c r="F5571" s="6" t="str">
        <f>IF($M5571="PADD I","PADD 1",IF($M5571="PADD II","PADD 2",IF($M5571="PADD III","PADD 3",IF($M5571="PADD IV","PADD 4",IF($M5571="PADD V","PADD 5","")))))</f>
        <v>PADD 2</v>
      </c>
      <c r="G5571" s="6">
        <f>IF(AND($H5571="ATMOS DISTILLATION",ISNUMBER(SEARCH("VPS",$I5571))=FALSE,LEFT($I5571,6)&lt;&gt;"VACUUM"),"CDU",IF($H5571="FLUID CAT CRACKING","FCC",IF(OR($H5571="HYDROCRACKING",$H5571="RESID_HYDROCRACKING"),"Hydrocracker",IF($H5571="REFORMING","Reformer",""))))</f>
        <v/>
      </c>
      <c r="H5571" s="6" t="s">
        <v>568</v>
      </c>
      <c r="I5571" s="6" t="s">
        <v>604</v>
      </c>
      <c r="J5571" s="6" t="s">
        <v>349</v>
      </c>
      <c r="K5571" s="10">
        <v>27.9</v>
      </c>
      <c r="L5571" s="10">
        <v>27.9</v>
      </c>
      <c r="M5571" s="6" t="s">
        <v>375</v>
      </c>
    </row>
    <row r="5572" spans="1:13">
      <c r="A5572" s="6">
        <v>2025</v>
      </c>
      <c r="B5572" s="6">
        <v>4</v>
      </c>
      <c r="C5572" s="6" t="s">
        <v>62</v>
      </c>
      <c r="D5572" s="6" t="s">
        <v>53</v>
      </c>
      <c r="E5572" s="6" t="s">
        <v>543</v>
      </c>
      <c r="F5572" s="6" t="str">
        <f>IF($M5572="PADD I","PADD 1",IF($M5572="PADD II","PADD 2",IF($M5572="PADD III","PADD 3",IF($M5572="PADD IV","PADD 4",IF($M5572="PADD V","PADD 5","")))))</f>
        <v>PADD 5</v>
      </c>
      <c r="G5572" s="6">
        <f>IF(AND($H5572="ATMOS DISTILLATION",ISNUMBER(SEARCH("VPS",$I5572))=FALSE,LEFT($I5572,6)&lt;&gt;"VACUUM"),"CDU",IF($H5572="FLUID CAT CRACKING","FCC",IF(OR($H5572="HYDROCRACKING",$H5572="RESID_HYDROCRACKING"),"Hydrocracker",IF($H5572="REFORMING","Reformer",""))))</f>
        <v/>
      </c>
      <c r="H5572" s="6" t="s">
        <v>435</v>
      </c>
      <c r="I5572" s="6" t="s">
        <v>441</v>
      </c>
      <c r="J5572" s="6" t="s">
        <v>345</v>
      </c>
      <c r="K5572" s="10">
        <v>27.5</v>
      </c>
      <c r="L5572" s="10">
        <v>55</v>
      </c>
      <c r="M5572" s="6" t="s">
        <v>386</v>
      </c>
    </row>
    <row r="5573" spans="1:13">
      <c r="A5573" s="6">
        <v>2025</v>
      </c>
      <c r="B5573" s="6">
        <v>4</v>
      </c>
      <c r="C5573" s="6" t="s">
        <v>62</v>
      </c>
      <c r="D5573" s="6" t="s">
        <v>531</v>
      </c>
      <c r="E5573" s="6" t="s">
        <v>532</v>
      </c>
      <c r="F5573" s="6" t="str">
        <f>IF($M5573="PADD I","PADD 1",IF($M5573="PADD II","PADD 2",IF($M5573="PADD III","PADD 3",IF($M5573="PADD IV","PADD 4",IF($M5573="PADD V","PADD 5","")))))</f>
        <v>PADD 5</v>
      </c>
      <c r="G5573" s="6">
        <f>IF(AND($H5573="ATMOS DISTILLATION",ISNUMBER(SEARCH("VPS",$I5573))=FALSE,LEFT($I5573,6)&lt;&gt;"VACUUM"),"CDU",IF($H5573="FLUID CAT CRACKING","FCC",IF(OR($H5573="HYDROCRACKING",$H5573="RESID_HYDROCRACKING"),"Hydrocracker",IF($H5573="REFORMING","Reformer",""))))</f>
        <v/>
      </c>
      <c r="H5573" s="6" t="s">
        <v>435</v>
      </c>
      <c r="I5573" s="6" t="s">
        <v>614</v>
      </c>
      <c r="J5573" s="6" t="s">
        <v>345</v>
      </c>
      <c r="K5573" s="10">
        <v>27</v>
      </c>
      <c r="L5573" s="10">
        <v>27</v>
      </c>
      <c r="M5573" s="6" t="s">
        <v>386</v>
      </c>
    </row>
    <row r="5574" spans="1:13">
      <c r="A5574" s="6">
        <v>2025</v>
      </c>
      <c r="B5574" s="6">
        <v>4</v>
      </c>
      <c r="C5574" s="6" t="s">
        <v>62</v>
      </c>
      <c r="D5574" s="6" t="s">
        <v>326</v>
      </c>
      <c r="E5574" s="6" t="s">
        <v>385</v>
      </c>
      <c r="F5574" s="6" t="str">
        <f>IF($M5574="PADD I","PADD 1",IF($M5574="PADD II","PADD 2",IF($M5574="PADD III","PADD 3",IF($M5574="PADD IV","PADD 4",IF($M5574="PADD V","PADD 5","")))))</f>
        <v>PADD 5</v>
      </c>
      <c r="G5574" s="6" t="str">
        <f>IF(AND($H5574="ATMOS DISTILLATION",ISNUMBER(SEARCH("VPS",$I5574))=FALSE,LEFT($I5574,6)&lt;&gt;"VACUUM"),"CDU",IF($H5574="FLUID CAT CRACKING","FCC",IF(OR($H5574="HYDROCRACKING",$H5574="RESID_HYDROCRACKING"),"Hydrocracker",IF($H5574="REFORMING","Reformer",""))))</f>
        <v>Reformer</v>
      </c>
      <c r="H5574" s="6" t="s">
        <v>421</v>
      </c>
      <c r="I5574" s="6" t="s">
        <v>15</v>
      </c>
      <c r="J5574" s="6" t="s">
        <v>345</v>
      </c>
      <c r="K5574" s="10">
        <v>26.97</v>
      </c>
      <c r="L5574" s="10">
        <v>31</v>
      </c>
      <c r="M5574" s="6" t="s">
        <v>386</v>
      </c>
    </row>
    <row r="5575" spans="1:13">
      <c r="A5575" s="6">
        <v>2025</v>
      </c>
      <c r="B5575" s="6">
        <v>4</v>
      </c>
      <c r="C5575" s="6" t="s">
        <v>62</v>
      </c>
      <c r="D5575" s="6" t="s">
        <v>451</v>
      </c>
      <c r="E5575" s="6" t="s">
        <v>452</v>
      </c>
      <c r="F5575" s="6" t="str">
        <f>IF($M5575="PADD I","PADD 1",IF($M5575="PADD II","PADD 2",IF($M5575="PADD III","PADD 3",IF($M5575="PADD IV","PADD 4",IF($M5575="PADD V","PADD 5","")))))</f>
        <v>PADD 2</v>
      </c>
      <c r="G5575" s="6">
        <f>IF(AND($H5575="ATMOS DISTILLATION",ISNUMBER(SEARCH("VPS",$I5575))=FALSE,LEFT($I5575,6)&lt;&gt;"VACUUM"),"CDU",IF($H5575="FLUID CAT CRACKING","FCC",IF(OR($H5575="HYDROCRACKING",$H5575="RESID_HYDROCRACKING"),"Hydrocracker",IF($H5575="REFORMING","Reformer",""))))</f>
        <v/>
      </c>
      <c r="H5575" s="6" t="s">
        <v>378</v>
      </c>
      <c r="I5575" s="6" t="s">
        <v>431</v>
      </c>
      <c r="J5575" s="6" t="s">
        <v>349</v>
      </c>
      <c r="K5575" s="10">
        <v>26.32</v>
      </c>
      <c r="L5575" s="10">
        <v>56</v>
      </c>
      <c r="M5575" s="6" t="s">
        <v>375</v>
      </c>
    </row>
    <row r="5576" spans="1:13">
      <c r="A5576" s="6">
        <v>2025</v>
      </c>
      <c r="B5576" s="6">
        <v>4</v>
      </c>
      <c r="C5576" s="6" t="s">
        <v>62</v>
      </c>
      <c r="D5576" s="6" t="s">
        <v>326</v>
      </c>
      <c r="E5576" s="6" t="s">
        <v>385</v>
      </c>
      <c r="F5576" s="6" t="str">
        <f>IF($M5576="PADD I","PADD 1",IF($M5576="PADD II","PADD 2",IF($M5576="PADD III","PADD 3",IF($M5576="PADD IV","PADD 4",IF($M5576="PADD V","PADD 5","")))))</f>
        <v>PADD 5</v>
      </c>
      <c r="G5576" s="6">
        <f>IF(AND($H5576="ATMOS DISTILLATION",ISNUMBER(SEARCH("VPS",$I5576))=FALSE,LEFT($I5576,6)&lt;&gt;"VACUUM"),"CDU",IF($H5576="FLUID CAT CRACKING","FCC",IF(OR($H5576="HYDROCRACKING",$H5576="RESID_HYDROCRACKING"),"Hydrocracker",IF($H5576="REFORMING","Reformer",""))))</f>
        <v/>
      </c>
      <c r="H5576" s="6" t="s">
        <v>43</v>
      </c>
      <c r="I5576" s="6" t="s">
        <v>1183</v>
      </c>
      <c r="J5576" s="6" t="s">
        <v>345</v>
      </c>
      <c r="K5576" s="10">
        <v>26</v>
      </c>
      <c r="L5576" s="10">
        <v>26</v>
      </c>
      <c r="M5576" s="6" t="s">
        <v>386</v>
      </c>
    </row>
    <row r="5577" spans="1:13">
      <c r="A5577" s="6">
        <v>2025</v>
      </c>
      <c r="B5577" s="6">
        <v>4</v>
      </c>
      <c r="C5577" s="6" t="s">
        <v>62</v>
      </c>
      <c r="D5577" s="6" t="s">
        <v>742</v>
      </c>
      <c r="E5577" s="6" t="s">
        <v>388</v>
      </c>
      <c r="F5577" s="6" t="str">
        <f>IF($M5577="PADD I","PADD 1",IF($M5577="PADD II","PADD 2",IF($M5577="PADD III","PADD 3",IF($M5577="PADD IV","PADD 4",IF($M5577="PADD V","PADD 5","")))))</f>
        <v>PADD 5</v>
      </c>
      <c r="G5577" s="6" t="str">
        <f>IF(AND($H5577="ATMOS DISTILLATION",ISNUMBER(SEARCH("VPS",$I5577))=FALSE,LEFT($I5577,6)&lt;&gt;"VACUUM"),"CDU",IF($H5577="FLUID CAT CRACKING","FCC",IF(OR($H5577="HYDROCRACKING",$H5577="RESID_HYDROCRACKING"),"Hydrocracker",IF($H5577="REFORMING","Reformer",""))))</f>
        <v>Reformer</v>
      </c>
      <c r="H5577" s="6" t="s">
        <v>421</v>
      </c>
      <c r="I5577" s="6" t="s">
        <v>15</v>
      </c>
      <c r="J5577" s="6" t="s">
        <v>345</v>
      </c>
      <c r="K5577" s="10">
        <v>26</v>
      </c>
      <c r="L5577" s="10">
        <v>26</v>
      </c>
      <c r="M5577" s="6" t="s">
        <v>386</v>
      </c>
    </row>
    <row r="5578" spans="1:13">
      <c r="A5578" s="6">
        <v>2025</v>
      </c>
      <c r="B5578" s="6">
        <v>4</v>
      </c>
      <c r="C5578" s="6" t="s">
        <v>62</v>
      </c>
      <c r="D5578" s="6" t="s">
        <v>48</v>
      </c>
      <c r="E5578" s="6" t="s">
        <v>388</v>
      </c>
      <c r="F5578" s="6" t="str">
        <f>IF($M5578="PADD I","PADD 1",IF($M5578="PADD II","PADD 2",IF($M5578="PADD III","PADD 3",IF($M5578="PADD IV","PADD 4",IF($M5578="PADD V","PADD 5","")))))</f>
        <v>PADD 2</v>
      </c>
      <c r="G5578" s="6" t="str">
        <f>IF(AND($H5578="ATMOS DISTILLATION",ISNUMBER(SEARCH("VPS",$I5578))=FALSE,LEFT($I5578,6)&lt;&gt;"VACUUM"),"CDU",IF($H5578="FLUID CAT CRACKING","FCC",IF(OR($H5578="HYDROCRACKING",$H5578="RESID_HYDROCRACKING"),"Hydrocracker",IF($H5578="REFORMING","Reformer",""))))</f>
        <v>Reformer</v>
      </c>
      <c r="H5578" s="6" t="s">
        <v>421</v>
      </c>
      <c r="I5578" s="6" t="s">
        <v>721</v>
      </c>
      <c r="J5578" s="6" t="s">
        <v>345</v>
      </c>
      <c r="K5578" s="10">
        <v>25.8</v>
      </c>
      <c r="L5578" s="10">
        <v>43</v>
      </c>
      <c r="M5578" s="6" t="s">
        <v>375</v>
      </c>
    </row>
    <row r="5579" spans="1:13">
      <c r="A5579" s="6">
        <v>2025</v>
      </c>
      <c r="B5579" s="6">
        <v>4</v>
      </c>
      <c r="C5579" s="6" t="s">
        <v>62</v>
      </c>
      <c r="D5579" s="6" t="s">
        <v>531</v>
      </c>
      <c r="E5579" s="6" t="s">
        <v>532</v>
      </c>
      <c r="F5579" s="6" t="str">
        <f>IF($M5579="PADD I","PADD 1",IF($M5579="PADD II","PADD 2",IF($M5579="PADD III","PADD 3",IF($M5579="PADD IV","PADD 4",IF($M5579="PADD V","PADD 5","")))))</f>
        <v>PADD 5</v>
      </c>
      <c r="G5579" s="6">
        <f>IF(AND($H5579="ATMOS DISTILLATION",ISNUMBER(SEARCH("VPS",$I5579))=FALSE,LEFT($I5579,6)&lt;&gt;"VACUUM"),"CDU",IF($H5579="FLUID CAT CRACKING","FCC",IF(OR($H5579="HYDROCRACKING",$H5579="RESID_HYDROCRACKING"),"Hydrocracker",IF($H5579="REFORMING","Reformer",""))))</f>
        <v/>
      </c>
      <c r="H5579" s="6" t="s">
        <v>435</v>
      </c>
      <c r="I5579" s="6" t="s">
        <v>599</v>
      </c>
      <c r="J5579" s="6" t="s">
        <v>345</v>
      </c>
      <c r="K5579" s="10">
        <v>25</v>
      </c>
      <c r="L5579" s="10">
        <v>25</v>
      </c>
      <c r="M5579" s="6" t="s">
        <v>386</v>
      </c>
    </row>
    <row r="5580" spans="1:13">
      <c r="A5580" s="6">
        <v>2025</v>
      </c>
      <c r="B5580" s="6">
        <v>4</v>
      </c>
      <c r="C5580" s="6" t="s">
        <v>62</v>
      </c>
      <c r="D5580" s="6" t="s">
        <v>531</v>
      </c>
      <c r="E5580" s="6" t="s">
        <v>532</v>
      </c>
      <c r="F5580" s="6" t="str">
        <f>IF($M5580="PADD I","PADD 1",IF($M5580="PADD II","PADD 2",IF($M5580="PADD III","PADD 3",IF($M5580="PADD IV","PADD 4",IF($M5580="PADD V","PADD 5","")))))</f>
        <v>PADD 5</v>
      </c>
      <c r="G5580" s="6">
        <f>IF(AND($H5580="ATMOS DISTILLATION",ISNUMBER(SEARCH("VPS",$I5580))=FALSE,LEFT($I5580,6)&lt;&gt;"VACUUM"),"CDU",IF($H5580="FLUID CAT CRACKING","FCC",IF(OR($H5580="HYDROCRACKING",$H5580="RESID_HYDROCRACKING"),"Hydrocracker",IF($H5580="REFORMING","Reformer",""))))</f>
        <v/>
      </c>
      <c r="H5580" s="6" t="s">
        <v>637</v>
      </c>
      <c r="I5580" s="6" t="s">
        <v>1296</v>
      </c>
      <c r="J5580" s="6" t="s">
        <v>345</v>
      </c>
      <c r="K5580" s="10">
        <v>25</v>
      </c>
      <c r="L5580" s="10">
        <v>25</v>
      </c>
      <c r="M5580" s="6" t="s">
        <v>386</v>
      </c>
    </row>
    <row r="5581" spans="1:13">
      <c r="A5581" s="6">
        <v>2025</v>
      </c>
      <c r="B5581" s="6">
        <v>4</v>
      </c>
      <c r="C5581" s="6" t="s">
        <v>62</v>
      </c>
      <c r="D5581" s="6" t="s">
        <v>610</v>
      </c>
      <c r="E5581" s="6" t="s">
        <v>611</v>
      </c>
      <c r="F5581" s="6" t="str">
        <f>IF($M5581="PADD I","PADD 1",IF($M5581="PADD II","PADD 2",IF($M5581="PADD III","PADD 3",IF($M5581="PADD IV","PADD 4",IF($M5581="PADD V","PADD 5","")))))</f>
        <v>PADD 2</v>
      </c>
      <c r="G5581" s="6" t="str">
        <f>IF(AND($H5581="ATMOS DISTILLATION",ISNUMBER(SEARCH("VPS",$I5581))=FALSE,LEFT($I5581,6)&lt;&gt;"VACUUM"),"CDU",IF($H5581="FLUID CAT CRACKING","FCC",IF(OR($H5581="HYDROCRACKING",$H5581="RESID_HYDROCRACKING"),"Hydrocracker",IF($H5581="REFORMING","Reformer",""))))</f>
        <v>Reformer</v>
      </c>
      <c r="H5581" s="6" t="s">
        <v>421</v>
      </c>
      <c r="I5581" s="6" t="s">
        <v>15</v>
      </c>
      <c r="J5581" s="6" t="s">
        <v>349</v>
      </c>
      <c r="K5581" s="10">
        <v>25</v>
      </c>
      <c r="L5581" s="10">
        <v>25</v>
      </c>
      <c r="M5581" s="6" t="s">
        <v>375</v>
      </c>
    </row>
    <row r="5582" spans="1:13">
      <c r="A5582" s="6">
        <v>2025</v>
      </c>
      <c r="B5582" s="6">
        <v>4</v>
      </c>
      <c r="C5582" s="6" t="s">
        <v>62</v>
      </c>
      <c r="D5582" s="6" t="s">
        <v>610</v>
      </c>
      <c r="E5582" s="6" t="s">
        <v>611</v>
      </c>
      <c r="F5582" s="6" t="str">
        <f>IF($M5582="PADD I","PADD 1",IF($M5582="PADD II","PADD 2",IF($M5582="PADD III","PADD 3",IF($M5582="PADD IV","PADD 4",IF($M5582="PADD V","PADD 5","")))))</f>
        <v>PADD 2</v>
      </c>
      <c r="G5582" s="6">
        <f>IF(AND($H5582="ATMOS DISTILLATION",ISNUMBER(SEARCH("VPS",$I5582))=FALSE,LEFT($I5582,6)&lt;&gt;"VACUUM"),"CDU",IF($H5582="FLUID CAT CRACKING","FCC",IF(OR($H5582="HYDROCRACKING",$H5582="RESID_HYDROCRACKING"),"Hydrocracker",IF($H5582="REFORMING","Reformer",""))))</f>
        <v/>
      </c>
      <c r="H5582" s="6" t="s">
        <v>43</v>
      </c>
      <c r="I5582" s="6" t="s">
        <v>624</v>
      </c>
      <c r="J5582" s="6" t="s">
        <v>349</v>
      </c>
      <c r="K5582" s="10">
        <v>25</v>
      </c>
      <c r="L5582" s="10">
        <v>25</v>
      </c>
      <c r="M5582" s="6" t="s">
        <v>375</v>
      </c>
    </row>
    <row r="5583" spans="1:13">
      <c r="A5583" s="6">
        <v>2025</v>
      </c>
      <c r="B5583" s="6">
        <v>4</v>
      </c>
      <c r="C5583" s="6" t="s">
        <v>62</v>
      </c>
      <c r="D5583" s="6" t="s">
        <v>610</v>
      </c>
      <c r="E5583" s="6" t="s">
        <v>611</v>
      </c>
      <c r="F5583" s="6" t="str">
        <f>IF($M5583="PADD I","PADD 1",IF($M5583="PADD II","PADD 2",IF($M5583="PADD III","PADD 3",IF($M5583="PADD IV","PADD 4",IF($M5583="PADD V","PADD 5","")))))</f>
        <v>PADD 2</v>
      </c>
      <c r="G5583" s="6">
        <f>IF(AND($H5583="ATMOS DISTILLATION",ISNUMBER(SEARCH("VPS",$I5583))=FALSE,LEFT($I5583,6)&lt;&gt;"VACUUM"),"CDU",IF($H5583="FLUID CAT CRACKING","FCC",IF(OR($H5583="HYDROCRACKING",$H5583="RESID_HYDROCRACKING"),"Hydrocracker",IF($H5583="REFORMING","Reformer",""))))</f>
        <v/>
      </c>
      <c r="H5583" s="6" t="s">
        <v>43</v>
      </c>
      <c r="I5583" s="6" t="s">
        <v>458</v>
      </c>
      <c r="J5583" s="6" t="s">
        <v>349</v>
      </c>
      <c r="K5583" s="10">
        <v>25</v>
      </c>
      <c r="L5583" s="10">
        <v>25</v>
      </c>
      <c r="M5583" s="6" t="s">
        <v>375</v>
      </c>
    </row>
    <row r="5584" spans="1:13">
      <c r="A5584" s="6">
        <v>2025</v>
      </c>
      <c r="B5584" s="6">
        <v>4</v>
      </c>
      <c r="C5584" s="6" t="s">
        <v>62</v>
      </c>
      <c r="D5584" s="6" t="s">
        <v>742</v>
      </c>
      <c r="E5584" s="6" t="s">
        <v>388</v>
      </c>
      <c r="F5584" s="6" t="str">
        <f>IF($M5584="PADD I","PADD 1",IF($M5584="PADD II","PADD 2",IF($M5584="PADD III","PADD 3",IF($M5584="PADD IV","PADD 4",IF($M5584="PADD V","PADD 5","")))))</f>
        <v>PADD 5</v>
      </c>
      <c r="G5584" s="6">
        <f>IF(AND($H5584="ATMOS DISTILLATION",ISNUMBER(SEARCH("VPS",$I5584))=FALSE,LEFT($I5584,6)&lt;&gt;"VACUUM"),"CDU",IF($H5584="FLUID CAT CRACKING","FCC",IF(OR($H5584="HYDROCRACKING",$H5584="RESID_HYDROCRACKING"),"Hydrocracker",IF($H5584="REFORMING","Reformer",""))))</f>
        <v/>
      </c>
      <c r="H5584" s="6" t="s">
        <v>43</v>
      </c>
      <c r="I5584" s="6" t="s">
        <v>520</v>
      </c>
      <c r="J5584" s="6" t="s">
        <v>349</v>
      </c>
      <c r="K5584" s="10">
        <v>25</v>
      </c>
      <c r="L5584" s="10">
        <v>25</v>
      </c>
      <c r="M5584" s="6" t="s">
        <v>386</v>
      </c>
    </row>
    <row r="5585" spans="1:13">
      <c r="A5585" s="6">
        <v>2025</v>
      </c>
      <c r="B5585" s="6">
        <v>4</v>
      </c>
      <c r="C5585" s="6" t="s">
        <v>62</v>
      </c>
      <c r="D5585" s="6" t="s">
        <v>953</v>
      </c>
      <c r="E5585" s="6" t="s">
        <v>733</v>
      </c>
      <c r="F5585" s="6" t="str">
        <f>IF($M5585="PADD I","PADD 1",IF($M5585="PADD II","PADD 2",IF($M5585="PADD III","PADD 3",IF($M5585="PADD IV","PADD 4",IF($M5585="PADD V","PADD 5","")))))</f>
        <v>PADD 2</v>
      </c>
      <c r="G5585" s="6">
        <f>IF(AND($H5585="ATMOS DISTILLATION",ISNUMBER(SEARCH("VPS",$I5585))=FALSE,LEFT($I5585,6)&lt;&gt;"VACUUM"),"CDU",IF($H5585="FLUID CAT CRACKING","FCC",IF(OR($H5585="HYDROCRACKING",$H5585="RESID_HYDROCRACKING"),"Hydrocracker",IF($H5585="REFORMING","Reformer",""))))</f>
        <v/>
      </c>
      <c r="H5585" s="6" t="s">
        <v>568</v>
      </c>
      <c r="I5585" s="6" t="s">
        <v>1105</v>
      </c>
      <c r="J5585" s="6" t="s">
        <v>349</v>
      </c>
      <c r="K5585" s="10">
        <v>24.444</v>
      </c>
      <c r="L5585" s="10">
        <v>25.2</v>
      </c>
      <c r="M5585" s="6" t="s">
        <v>375</v>
      </c>
    </row>
    <row r="5586" spans="1:13">
      <c r="A5586" s="6">
        <v>2025</v>
      </c>
      <c r="B5586" s="6">
        <v>4</v>
      </c>
      <c r="C5586" s="6" t="s">
        <v>62</v>
      </c>
      <c r="D5586" s="6" t="s">
        <v>742</v>
      </c>
      <c r="E5586" s="6" t="s">
        <v>388</v>
      </c>
      <c r="F5586" s="6" t="str">
        <f>IF($M5586="PADD I","PADD 1",IF($M5586="PADD II","PADD 2",IF($M5586="PADD III","PADD 3",IF($M5586="PADD IV","PADD 4",IF($M5586="PADD V","PADD 5","")))))</f>
        <v>PADD 5</v>
      </c>
      <c r="G5586" s="6" t="str">
        <f>IF(AND($H5586="ATMOS DISTILLATION",ISNUMBER(SEARCH("VPS",$I5586))=FALSE,LEFT($I5586,6)&lt;&gt;"VACUUM"),"CDU",IF($H5586="FLUID CAT CRACKING","FCC",IF(OR($H5586="HYDROCRACKING",$H5586="RESID_HYDROCRACKING"),"Hydrocracker",IF($H5586="REFORMING","Reformer",""))))</f>
        <v>Reformer</v>
      </c>
      <c r="H5586" s="6" t="s">
        <v>421</v>
      </c>
      <c r="I5586" s="6" t="s">
        <v>15</v>
      </c>
      <c r="J5586" s="6" t="s">
        <v>349</v>
      </c>
      <c r="K5586" s="10">
        <v>24.3</v>
      </c>
      <c r="L5586" s="10">
        <v>24.3</v>
      </c>
      <c r="M5586" s="6" t="s">
        <v>386</v>
      </c>
    </row>
    <row r="5587" spans="1:13">
      <c r="A5587" s="6">
        <v>2025</v>
      </c>
      <c r="B5587" s="6">
        <v>4</v>
      </c>
      <c r="C5587" s="6" t="s">
        <v>62</v>
      </c>
      <c r="D5587" s="6" t="s">
        <v>953</v>
      </c>
      <c r="E5587" s="6" t="s">
        <v>733</v>
      </c>
      <c r="F5587" s="6" t="str">
        <f>IF($M5587="PADD I","PADD 1",IF($M5587="PADD II","PADD 2",IF($M5587="PADD III","PADD 3",IF($M5587="PADD IV","PADD 4",IF($M5587="PADD V","PADD 5","")))))</f>
        <v>PADD 2</v>
      </c>
      <c r="G5587" s="6">
        <f>IF(AND($H5587="ATMOS DISTILLATION",ISNUMBER(SEARCH("VPS",$I5587))=FALSE,LEFT($I5587,6)&lt;&gt;"VACUUM"),"CDU",IF($H5587="FLUID CAT CRACKING","FCC",IF(OR($H5587="HYDROCRACKING",$H5587="RESID_HYDROCRACKING"),"Hydrocracker",IF($H5587="REFORMING","Reformer",""))))</f>
        <v/>
      </c>
      <c r="H5587" s="6" t="s">
        <v>435</v>
      </c>
      <c r="I5587" s="6" t="s">
        <v>441</v>
      </c>
      <c r="J5587" s="6" t="s">
        <v>349</v>
      </c>
      <c r="K5587" s="10">
        <v>24.25</v>
      </c>
      <c r="L5587" s="10">
        <v>25</v>
      </c>
      <c r="M5587" s="6" t="s">
        <v>375</v>
      </c>
    </row>
    <row r="5588" spans="1:13">
      <c r="A5588" s="6">
        <v>2025</v>
      </c>
      <c r="B5588" s="6">
        <v>4</v>
      </c>
      <c r="C5588" s="6" t="s">
        <v>62</v>
      </c>
      <c r="D5588" s="6" t="s">
        <v>390</v>
      </c>
      <c r="E5588" s="6" t="s">
        <v>391</v>
      </c>
      <c r="F5588" s="6" t="str">
        <f>IF($M5588="PADD I","PADD 1",IF($M5588="PADD II","PADD 2",IF($M5588="PADD III","PADD 3",IF($M5588="PADD IV","PADD 4",IF($M5588="PADD V","PADD 5","")))))</f>
        <v>PADD 3</v>
      </c>
      <c r="G5588" s="6" t="str">
        <f>IF(AND($H5588="ATMOS DISTILLATION",ISNUMBER(SEARCH("VPS",$I5588))=FALSE,LEFT($I5588,6)&lt;&gt;"VACUUM"),"CDU",IF($H5588="FLUID CAT CRACKING","FCC",IF(OR($H5588="HYDROCRACKING",$H5588="RESID_HYDROCRACKING"),"Hydrocracker",IF($H5588="REFORMING","Reformer",""))))</f>
        <v>Hydrocracker</v>
      </c>
      <c r="H5588" s="6" t="s">
        <v>444</v>
      </c>
      <c r="I5588" s="6" t="s">
        <v>1299</v>
      </c>
      <c r="J5588" s="6" t="s">
        <v>349</v>
      </c>
      <c r="K5588" s="10">
        <v>24</v>
      </c>
      <c r="L5588" s="10">
        <v>24</v>
      </c>
      <c r="M5588" s="6" t="s">
        <v>371</v>
      </c>
    </row>
    <row r="5589" spans="1:13">
      <c r="A5589" s="6">
        <v>2025</v>
      </c>
      <c r="B5589" s="6">
        <v>4</v>
      </c>
      <c r="C5589" s="6" t="s">
        <v>62</v>
      </c>
      <c r="D5589" s="6" t="s">
        <v>48</v>
      </c>
      <c r="E5589" s="6" t="s">
        <v>388</v>
      </c>
      <c r="F5589" s="6" t="str">
        <f>IF($M5589="PADD I","PADD 1",IF($M5589="PADD II","PADD 2",IF($M5589="PADD III","PADD 3",IF($M5589="PADD IV","PADD 4",IF($M5589="PADD V","PADD 5","")))))</f>
        <v>PADD 2</v>
      </c>
      <c r="G5589" s="6">
        <f>IF(AND($H5589="ATMOS DISTILLATION",ISNUMBER(SEARCH("VPS",$I5589))=FALSE,LEFT($I5589,6)&lt;&gt;"VACUUM"),"CDU",IF($H5589="FLUID CAT CRACKING","FCC",IF(OR($H5589="HYDROCRACKING",$H5589="RESID_HYDROCRACKING"),"Hydrocracker",IF($H5589="REFORMING","Reformer",""))))</f>
        <v/>
      </c>
      <c r="H5589" s="6" t="s">
        <v>43</v>
      </c>
      <c r="I5589" s="6" t="s">
        <v>741</v>
      </c>
      <c r="J5589" s="6" t="s">
        <v>345</v>
      </c>
      <c r="K5589" s="10">
        <v>23.25</v>
      </c>
      <c r="L5589" s="10">
        <v>46.5</v>
      </c>
      <c r="M5589" s="6" t="s">
        <v>375</v>
      </c>
    </row>
    <row r="5590" spans="1:13">
      <c r="A5590" s="6">
        <v>2025</v>
      </c>
      <c r="B5590" s="6">
        <v>4</v>
      </c>
      <c r="C5590" s="6" t="s">
        <v>62</v>
      </c>
      <c r="D5590" s="6" t="s">
        <v>446</v>
      </c>
      <c r="E5590" s="6" t="s">
        <v>391</v>
      </c>
      <c r="F5590" s="6" t="str">
        <f>IF($M5590="PADD I","PADD 1",IF($M5590="PADD II","PADD 2",IF($M5590="PADD III","PADD 3",IF($M5590="PADD IV","PADD 4",IF($M5590="PADD V","PADD 5","")))))</f>
        <v>PADD 3</v>
      </c>
      <c r="G5590" s="6" t="str">
        <f>IF(AND($H5590="ATMOS DISTILLATION",ISNUMBER(SEARCH("VPS",$I5590))=FALSE,LEFT($I5590,6)&lt;&gt;"VACUUM"),"CDU",IF($H5590="FLUID CAT CRACKING","FCC",IF(OR($H5590="HYDROCRACKING",$H5590="RESID_HYDROCRACKING"),"Hydrocracker",IF($H5590="REFORMING","Reformer",""))))</f>
        <v>CDU</v>
      </c>
      <c r="H5590" s="6" t="s">
        <v>38</v>
      </c>
      <c r="I5590" s="6" t="s">
        <v>81</v>
      </c>
      <c r="J5590" s="6" t="s">
        <v>345</v>
      </c>
      <c r="K5590" s="10">
        <v>23.14</v>
      </c>
      <c r="L5590" s="10">
        <v>115.7</v>
      </c>
      <c r="M5590" s="6" t="s">
        <v>371</v>
      </c>
    </row>
    <row r="5591" spans="1:13">
      <c r="A5591" s="6">
        <v>2025</v>
      </c>
      <c r="B5591" s="6">
        <v>4</v>
      </c>
      <c r="C5591" s="6" t="s">
        <v>62</v>
      </c>
      <c r="D5591" s="6" t="s">
        <v>610</v>
      </c>
      <c r="E5591" s="6" t="s">
        <v>611</v>
      </c>
      <c r="F5591" s="6" t="str">
        <f>IF($M5591="PADD I","PADD 1",IF($M5591="PADD II","PADD 2",IF($M5591="PADD III","PADD 3",IF($M5591="PADD IV","PADD 4",IF($M5591="PADD V","PADD 5","")))))</f>
        <v>PADD 2</v>
      </c>
      <c r="G5591" s="6">
        <f>IF(AND($H5591="ATMOS DISTILLATION",ISNUMBER(SEARCH("VPS",$I5591))=FALSE,LEFT($I5591,6)&lt;&gt;"VACUUM"),"CDU",IF($H5591="FLUID CAT CRACKING","FCC",IF(OR($H5591="HYDROCRACKING",$H5591="RESID_HYDROCRACKING"),"Hydrocracker",IF($H5591="REFORMING","Reformer",""))))</f>
        <v/>
      </c>
      <c r="H5591" s="6" t="s">
        <v>43</v>
      </c>
      <c r="I5591" s="6" t="s">
        <v>626</v>
      </c>
      <c r="J5591" s="6" t="s">
        <v>349</v>
      </c>
      <c r="K5591" s="10">
        <v>23</v>
      </c>
      <c r="L5591" s="10">
        <v>23</v>
      </c>
      <c r="M5591" s="6" t="s">
        <v>375</v>
      </c>
    </row>
    <row r="5592" spans="1:13">
      <c r="A5592" s="6">
        <v>2025</v>
      </c>
      <c r="B5592" s="6">
        <v>4</v>
      </c>
      <c r="C5592" s="6" t="s">
        <v>62</v>
      </c>
      <c r="D5592" s="6" t="s">
        <v>727</v>
      </c>
      <c r="E5592" s="6" t="s">
        <v>728</v>
      </c>
      <c r="F5592" s="6" t="str">
        <f>IF($M5592="PADD I","PADD 1",IF($M5592="PADD II","PADD 2",IF($M5592="PADD III","PADD 3",IF($M5592="PADD IV","PADD 4",IF($M5592="PADD V","PADD 5","")))))</f>
        <v>PADD 1</v>
      </c>
      <c r="G5592" s="6" t="str">
        <f>IF(AND($H5592="ATMOS DISTILLATION",ISNUMBER(SEARCH("VPS",$I5592))=FALSE,LEFT($I5592,6)&lt;&gt;"VACUUM"),"CDU",IF($H5592="FLUID CAT CRACKING","FCC",IF(OR($H5592="HYDROCRACKING",$H5592="RESID_HYDROCRACKING"),"Hydrocracker",IF($H5592="REFORMING","Reformer",""))))</f>
        <v>CDU</v>
      </c>
      <c r="H5592" s="6" t="s">
        <v>38</v>
      </c>
      <c r="I5592" s="6" t="s">
        <v>81</v>
      </c>
      <c r="J5592" s="6" t="s">
        <v>349</v>
      </c>
      <c r="K5592" s="10">
        <v>23</v>
      </c>
      <c r="L5592" s="10">
        <v>23</v>
      </c>
      <c r="M5592" s="6" t="s">
        <v>413</v>
      </c>
    </row>
    <row r="5593" spans="1:13">
      <c r="A5593" s="6">
        <v>2025</v>
      </c>
      <c r="B5593" s="6">
        <v>4</v>
      </c>
      <c r="C5593" s="6" t="s">
        <v>62</v>
      </c>
      <c r="D5593" s="6" t="s">
        <v>500</v>
      </c>
      <c r="E5593" s="6" t="s">
        <v>388</v>
      </c>
      <c r="F5593" s="6" t="str">
        <f>IF($M5593="PADD I","PADD 1",IF($M5593="PADD II","PADD 2",IF($M5593="PADD III","PADD 3",IF($M5593="PADD IV","PADD 4",IF($M5593="PADD V","PADD 5","")))))</f>
        <v>PADD 2</v>
      </c>
      <c r="G5593" s="6" t="str">
        <f>IF(AND($H5593="ATMOS DISTILLATION",ISNUMBER(SEARCH("VPS",$I5593))=FALSE,LEFT($I5593,6)&lt;&gt;"VACUUM"),"CDU",IF($H5593="FLUID CAT CRACKING","FCC",IF(OR($H5593="HYDROCRACKING",$H5593="RESID_HYDROCRACKING"),"Hydrocracker",IF($H5593="REFORMING","Reformer",""))))</f>
        <v>CDU</v>
      </c>
      <c r="H5593" s="6" t="s">
        <v>38</v>
      </c>
      <c r="I5593" s="6" t="s">
        <v>530</v>
      </c>
      <c r="J5593" s="6" t="s">
        <v>345</v>
      </c>
      <c r="K5593" s="10">
        <v>22.5</v>
      </c>
      <c r="L5593" s="10">
        <v>75</v>
      </c>
      <c r="M5593" s="6" t="s">
        <v>375</v>
      </c>
    </row>
    <row r="5594" spans="1:13">
      <c r="A5594" s="6">
        <v>2025</v>
      </c>
      <c r="B5594" s="6">
        <v>4</v>
      </c>
      <c r="C5594" s="6" t="s">
        <v>62</v>
      </c>
      <c r="D5594" s="6" t="s">
        <v>610</v>
      </c>
      <c r="E5594" s="6" t="s">
        <v>611</v>
      </c>
      <c r="F5594" s="6" t="str">
        <f>IF($M5594="PADD I","PADD 1",IF($M5594="PADD II","PADD 2",IF($M5594="PADD III","PADD 3",IF($M5594="PADD IV","PADD 4",IF($M5594="PADD V","PADD 5","")))))</f>
        <v>PADD 2</v>
      </c>
      <c r="G5594" s="6">
        <f>IF(AND($H5594="ATMOS DISTILLATION",ISNUMBER(SEARCH("VPS",$I5594))=FALSE,LEFT($I5594,6)&lt;&gt;"VACUUM"),"CDU",IF($H5594="FLUID CAT CRACKING","FCC",IF(OR($H5594="HYDROCRACKING",$H5594="RESID_HYDROCRACKING"),"Hydrocracker",IF($H5594="REFORMING","Reformer",""))))</f>
        <v/>
      </c>
      <c r="H5594" s="6" t="s">
        <v>568</v>
      </c>
      <c r="I5594" s="6" t="s">
        <v>604</v>
      </c>
      <c r="J5594" s="6" t="s">
        <v>349</v>
      </c>
      <c r="K5594" s="10">
        <v>22.2</v>
      </c>
      <c r="L5594" s="10">
        <v>22.2</v>
      </c>
      <c r="M5594" s="6" t="s">
        <v>375</v>
      </c>
    </row>
    <row r="5595" spans="1:13">
      <c r="A5595" s="6">
        <v>2025</v>
      </c>
      <c r="B5595" s="6">
        <v>4</v>
      </c>
      <c r="C5595" s="6" t="s">
        <v>62</v>
      </c>
      <c r="D5595" s="6" t="s">
        <v>953</v>
      </c>
      <c r="E5595" s="6" t="s">
        <v>733</v>
      </c>
      <c r="F5595" s="6" t="str">
        <f>IF($M5595="PADD I","PADD 1",IF($M5595="PADD II","PADD 2",IF($M5595="PADD III","PADD 3",IF($M5595="PADD IV","PADD 4",IF($M5595="PADD V","PADD 5","")))))</f>
        <v>PADD 2</v>
      </c>
      <c r="G5595" s="6" t="str">
        <f>IF(AND($H5595="ATMOS DISTILLATION",ISNUMBER(SEARCH("VPS",$I5595))=FALSE,LEFT($I5595,6)&lt;&gt;"VACUUM"),"CDU",IF($H5595="FLUID CAT CRACKING","FCC",IF(OR($H5595="HYDROCRACKING",$H5595="RESID_HYDROCRACKING"),"Hydrocracker",IF($H5595="REFORMING","Reformer",""))))</f>
        <v>FCC</v>
      </c>
      <c r="H5595" s="6" t="s">
        <v>376</v>
      </c>
      <c r="I5595" s="6" t="s">
        <v>105</v>
      </c>
      <c r="J5595" s="6" t="s">
        <v>349</v>
      </c>
      <c r="K5595" s="10">
        <v>22.019</v>
      </c>
      <c r="L5595" s="10">
        <v>22.7</v>
      </c>
      <c r="M5595" s="6" t="s">
        <v>375</v>
      </c>
    </row>
    <row r="5596" spans="1:13">
      <c r="A5596" s="6">
        <v>2025</v>
      </c>
      <c r="B5596" s="6">
        <v>4</v>
      </c>
      <c r="C5596" s="6" t="s">
        <v>62</v>
      </c>
      <c r="D5596" s="6" t="s">
        <v>610</v>
      </c>
      <c r="E5596" s="6" t="s">
        <v>611</v>
      </c>
      <c r="F5596" s="6" t="str">
        <f>IF($M5596="PADD I","PADD 1",IF($M5596="PADD II","PADD 2",IF($M5596="PADD III","PADD 3",IF($M5596="PADD IV","PADD 4",IF($M5596="PADD V","PADD 5","")))))</f>
        <v>PADD 2</v>
      </c>
      <c r="G5596" s="6">
        <f>IF(AND($H5596="ATMOS DISTILLATION",ISNUMBER(SEARCH("VPS",$I5596))=FALSE,LEFT($I5596,6)&lt;&gt;"VACUUM"),"CDU",IF($H5596="FLUID CAT CRACKING","FCC",IF(OR($H5596="HYDROCRACKING",$H5596="RESID_HYDROCRACKING"),"Hydrocracker",IF($H5596="REFORMING","Reformer",""))))</f>
        <v/>
      </c>
      <c r="H5596" s="6" t="s">
        <v>378</v>
      </c>
      <c r="I5596" s="6" t="s">
        <v>627</v>
      </c>
      <c r="J5596" s="6" t="s">
        <v>349</v>
      </c>
      <c r="K5596" s="10">
        <v>22</v>
      </c>
      <c r="L5596" s="10">
        <v>22</v>
      </c>
      <c r="M5596" s="6" t="s">
        <v>375</v>
      </c>
    </row>
    <row r="5597" spans="1:13">
      <c r="A5597" s="6">
        <v>2025</v>
      </c>
      <c r="B5597" s="6">
        <v>4</v>
      </c>
      <c r="C5597" s="6" t="s">
        <v>62</v>
      </c>
      <c r="D5597" s="6" t="s">
        <v>326</v>
      </c>
      <c r="E5597" s="6" t="s">
        <v>385</v>
      </c>
      <c r="F5597" s="6" t="str">
        <f>IF($M5597="PADD I","PADD 1",IF($M5597="PADD II","PADD 2",IF($M5597="PADD III","PADD 3",IF($M5597="PADD IV","PADD 4",IF($M5597="PADD V","PADD 5","")))))</f>
        <v>PADD 5</v>
      </c>
      <c r="G5597" s="6">
        <f>IF(AND($H5597="ATMOS DISTILLATION",ISNUMBER(SEARCH("VPS",$I5597))=FALSE,LEFT($I5597,6)&lt;&gt;"VACUUM"),"CDU",IF($H5597="FLUID CAT CRACKING","FCC",IF(OR($H5597="HYDROCRACKING",$H5597="RESID_HYDROCRACKING"),"Hydrocracker",IF($H5597="REFORMING","Reformer",""))))</f>
        <v/>
      </c>
      <c r="H5597" s="6" t="s">
        <v>435</v>
      </c>
      <c r="I5597" s="6" t="s">
        <v>441</v>
      </c>
      <c r="J5597" s="6" t="s">
        <v>345</v>
      </c>
      <c r="K5597" s="10">
        <v>22</v>
      </c>
      <c r="L5597" s="10">
        <v>22</v>
      </c>
      <c r="M5597" s="6" t="s">
        <v>386</v>
      </c>
    </row>
    <row r="5598" spans="1:13">
      <c r="A5598" s="6">
        <v>2025</v>
      </c>
      <c r="B5598" s="6">
        <v>4</v>
      </c>
      <c r="C5598" s="6" t="s">
        <v>62</v>
      </c>
      <c r="D5598" s="6" t="s">
        <v>739</v>
      </c>
      <c r="E5598" s="6" t="s">
        <v>405</v>
      </c>
      <c r="F5598" s="6" t="str">
        <f>IF($M5598="PADD I","PADD 1",IF($M5598="PADD II","PADD 2",IF($M5598="PADD III","PADD 3",IF($M5598="PADD IV","PADD 4",IF($M5598="PADD V","PADD 5","")))))</f>
        <v>PADD 2</v>
      </c>
      <c r="G5598" s="6">
        <f>IF(AND($H5598="ATMOS DISTILLATION",ISNUMBER(SEARCH("VPS",$I5598))=FALSE,LEFT($I5598,6)&lt;&gt;"VACUUM"),"CDU",IF($H5598="FLUID CAT CRACKING","FCC",IF(OR($H5598="HYDROCRACKING",$H5598="RESID_HYDROCRACKING"),"Hydrocracker",IF($H5598="REFORMING","Reformer",""))))</f>
        <v/>
      </c>
      <c r="H5598" s="6" t="s">
        <v>43</v>
      </c>
      <c r="I5598" s="6" t="s">
        <v>740</v>
      </c>
      <c r="J5598" s="6" t="s">
        <v>345</v>
      </c>
      <c r="K5598" s="10">
        <v>21.44</v>
      </c>
      <c r="L5598" s="10">
        <v>32</v>
      </c>
      <c r="M5598" s="6" t="s">
        <v>375</v>
      </c>
    </row>
    <row r="5599" spans="1:13">
      <c r="A5599" s="6">
        <v>2025</v>
      </c>
      <c r="B5599" s="6">
        <v>4</v>
      </c>
      <c r="C5599" s="6" t="s">
        <v>62</v>
      </c>
      <c r="D5599" s="6" t="s">
        <v>372</v>
      </c>
      <c r="E5599" s="6" t="s">
        <v>373</v>
      </c>
      <c r="F5599" s="6" t="str">
        <f>IF($M5599="PADD I","PADD 1",IF($M5599="PADD II","PADD 2",IF($M5599="PADD III","PADD 3",IF($M5599="PADD IV","PADD 4",IF($M5599="PADD V","PADD 5","")))))</f>
        <v>PADD 2</v>
      </c>
      <c r="G5599" s="6" t="str">
        <f>IF(AND($H5599="ATMOS DISTILLATION",ISNUMBER(SEARCH("VPS",$I5599))=FALSE,LEFT($I5599,6)&lt;&gt;"VACUUM"),"CDU",IF($H5599="FLUID CAT CRACKING","FCC",IF(OR($H5599="HYDROCRACKING",$H5599="RESID_HYDROCRACKING"),"Hydrocracker",IF($H5599="REFORMING","Reformer",""))))</f>
        <v>Reformer</v>
      </c>
      <c r="H5599" s="6" t="s">
        <v>421</v>
      </c>
      <c r="I5599" s="6" t="s">
        <v>423</v>
      </c>
      <c r="J5599" s="6" t="s">
        <v>349</v>
      </c>
      <c r="K5599" s="10">
        <v>21.2</v>
      </c>
      <c r="L5599" s="10">
        <v>40</v>
      </c>
      <c r="M5599" s="6" t="s">
        <v>375</v>
      </c>
    </row>
    <row r="5600" spans="1:13">
      <c r="A5600" s="6">
        <v>2025</v>
      </c>
      <c r="B5600" s="6">
        <v>4</v>
      </c>
      <c r="C5600" s="6" t="s">
        <v>62</v>
      </c>
      <c r="D5600" s="6" t="s">
        <v>372</v>
      </c>
      <c r="E5600" s="6" t="s">
        <v>373</v>
      </c>
      <c r="F5600" s="6" t="str">
        <f>IF($M5600="PADD I","PADD 1",IF($M5600="PADD II","PADD 2",IF($M5600="PADD III","PADD 3",IF($M5600="PADD IV","PADD 4",IF($M5600="PADD V","PADD 5","")))))</f>
        <v>PADD 2</v>
      </c>
      <c r="G5600" s="6" t="str">
        <f>IF(AND($H5600="ATMOS DISTILLATION",ISNUMBER(SEARCH("VPS",$I5600))=FALSE,LEFT($I5600,6)&lt;&gt;"VACUUM"),"CDU",IF($H5600="FLUID CAT CRACKING","FCC",IF(OR($H5600="HYDROCRACKING",$H5600="RESID_HYDROCRACKING"),"Hydrocracker",IF($H5600="REFORMING","Reformer",""))))</f>
        <v>CDU</v>
      </c>
      <c r="H5600" s="6" t="s">
        <v>38</v>
      </c>
      <c r="I5600" s="6" t="s">
        <v>414</v>
      </c>
      <c r="J5600" s="6" t="s">
        <v>345</v>
      </c>
      <c r="K5600" s="10">
        <v>21.2</v>
      </c>
      <c r="L5600" s="10">
        <v>40</v>
      </c>
      <c r="M5600" s="6" t="s">
        <v>375</v>
      </c>
    </row>
    <row r="5601" spans="1:13">
      <c r="A5601" s="6">
        <v>2025</v>
      </c>
      <c r="B5601" s="6">
        <v>4</v>
      </c>
      <c r="C5601" s="6" t="s">
        <v>62</v>
      </c>
      <c r="D5601" s="6" t="s">
        <v>411</v>
      </c>
      <c r="E5601" s="6" t="s">
        <v>369</v>
      </c>
      <c r="F5601" s="6" t="str">
        <f>IF($M5601="PADD I","PADD 1",IF($M5601="PADD II","PADD 2",IF($M5601="PADD III","PADD 3",IF($M5601="PADD IV","PADD 4",IF($M5601="PADD V","PADD 5","")))))</f>
        <v>PADD 1</v>
      </c>
      <c r="G5601" s="6">
        <f>IF(AND($H5601="ATMOS DISTILLATION",ISNUMBER(SEARCH("VPS",$I5601))=FALSE,LEFT($I5601,6)&lt;&gt;"VACUUM"),"CDU",IF($H5601="FLUID CAT CRACKING","FCC",IF(OR($H5601="HYDROCRACKING",$H5601="RESID_HYDROCRACKING"),"Hydrocracker",IF($H5601="REFORMING","Reformer",""))))</f>
        <v/>
      </c>
      <c r="H5601" s="6" t="s">
        <v>43</v>
      </c>
      <c r="I5601" s="6" t="s">
        <v>458</v>
      </c>
      <c r="J5601" s="6" t="s">
        <v>345</v>
      </c>
      <c r="K5601" s="10">
        <v>20.6125</v>
      </c>
      <c r="L5601" s="10">
        <v>21.25</v>
      </c>
      <c r="M5601" s="6" t="s">
        <v>413</v>
      </c>
    </row>
    <row r="5602" spans="1:13">
      <c r="A5602" s="6">
        <v>2025</v>
      </c>
      <c r="B5602" s="6">
        <v>4</v>
      </c>
      <c r="C5602" s="6" t="s">
        <v>62</v>
      </c>
      <c r="D5602" s="6" t="s">
        <v>1286</v>
      </c>
      <c r="E5602" s="6" t="s">
        <v>1287</v>
      </c>
      <c r="F5602" s="6" t="str">
        <f>IF($M5602="PADD I","PADD 1",IF($M5602="PADD II","PADD 2",IF($M5602="PADD III","PADD 3",IF($M5602="PADD IV","PADD 4",IF($M5602="PADD V","PADD 5","")))))</f>
        <v>PADD 4</v>
      </c>
      <c r="G5602" s="6" t="str">
        <f>IF(AND($H5602="ATMOS DISTILLATION",ISNUMBER(SEARCH("VPS",$I5602))=FALSE,LEFT($I5602,6)&lt;&gt;"VACUUM"),"CDU",IF($H5602="FLUID CAT CRACKING","FCC",IF(OR($H5602="HYDROCRACKING",$H5602="RESID_HYDROCRACKING"),"Hydrocracker",IF($H5602="REFORMING","Reformer",""))))</f>
        <v>CDU</v>
      </c>
      <c r="H5602" s="6" t="s">
        <v>38</v>
      </c>
      <c r="I5602" s="6" t="s">
        <v>81</v>
      </c>
      <c r="J5602" s="6" t="s">
        <v>345</v>
      </c>
      <c r="K5602" s="10">
        <v>20</v>
      </c>
      <c r="L5602" s="10">
        <v>20</v>
      </c>
      <c r="M5602" s="6" t="s">
        <v>430</v>
      </c>
    </row>
    <row r="5603" spans="1:13">
      <c r="A5603" s="6">
        <v>2025</v>
      </c>
      <c r="B5603" s="6">
        <v>4</v>
      </c>
      <c r="C5603" s="6" t="s">
        <v>62</v>
      </c>
      <c r="D5603" s="6" t="s">
        <v>490</v>
      </c>
      <c r="E5603" s="6" t="s">
        <v>491</v>
      </c>
      <c r="F5603" s="6" t="str">
        <f>IF($M5603="PADD I","PADD 1",IF($M5603="PADD II","PADD 2",IF($M5603="PADD III","PADD 3",IF($M5603="PADD IV","PADD 4",IF($M5603="PADD V","PADD 5","")))))</f>
        <v>PADD 3</v>
      </c>
      <c r="G5603" s="6">
        <f>IF(AND($H5603="ATMOS DISTILLATION",ISNUMBER(SEARCH("VPS",$I5603))=FALSE,LEFT($I5603,6)&lt;&gt;"VACUUM"),"CDU",IF($H5603="FLUID CAT CRACKING","FCC",IF(OR($H5603="HYDROCRACKING",$H5603="RESID_HYDROCRACKING"),"Hydrocracker",IF($H5603="REFORMING","Reformer",""))))</f>
        <v/>
      </c>
      <c r="H5603" s="6" t="s">
        <v>43</v>
      </c>
      <c r="I5603" s="6" t="s">
        <v>847</v>
      </c>
      <c r="J5603" s="6" t="s">
        <v>349</v>
      </c>
      <c r="K5603" s="10">
        <v>20</v>
      </c>
      <c r="L5603" s="10">
        <v>50</v>
      </c>
      <c r="M5603" s="6" t="s">
        <v>371</v>
      </c>
    </row>
    <row r="5604" spans="1:13">
      <c r="A5604" s="6">
        <v>2025</v>
      </c>
      <c r="B5604" s="6">
        <v>4</v>
      </c>
      <c r="C5604" s="6" t="s">
        <v>62</v>
      </c>
      <c r="D5604" s="6" t="s">
        <v>610</v>
      </c>
      <c r="E5604" s="6" t="s">
        <v>611</v>
      </c>
      <c r="F5604" s="6" t="str">
        <f>IF($M5604="PADD I","PADD 1",IF($M5604="PADD II","PADD 2",IF($M5604="PADD III","PADD 3",IF($M5604="PADD IV","PADD 4",IF($M5604="PADD V","PADD 5","")))))</f>
        <v>PADD 2</v>
      </c>
      <c r="G5604" s="6">
        <f>IF(AND($H5604="ATMOS DISTILLATION",ISNUMBER(SEARCH("VPS",$I5604))=FALSE,LEFT($I5604,6)&lt;&gt;"VACUUM"),"CDU",IF($H5604="FLUID CAT CRACKING","FCC",IF(OR($H5604="HYDROCRACKING",$H5604="RESID_HYDROCRACKING"),"Hydrocracker",IF($H5604="REFORMING","Reformer",""))))</f>
        <v/>
      </c>
      <c r="H5604" s="6" t="s">
        <v>43</v>
      </c>
      <c r="I5604" s="6" t="s">
        <v>629</v>
      </c>
      <c r="J5604" s="6" t="s">
        <v>349</v>
      </c>
      <c r="K5604" s="10">
        <v>20</v>
      </c>
      <c r="L5604" s="10">
        <v>20</v>
      </c>
      <c r="M5604" s="6" t="s">
        <v>375</v>
      </c>
    </row>
    <row r="5605" spans="1:13">
      <c r="A5605" s="6">
        <v>2025</v>
      </c>
      <c r="B5605" s="6">
        <v>4</v>
      </c>
      <c r="C5605" s="6" t="s">
        <v>62</v>
      </c>
      <c r="D5605" s="6" t="s">
        <v>610</v>
      </c>
      <c r="E5605" s="6" t="s">
        <v>611</v>
      </c>
      <c r="F5605" s="6" t="str">
        <f>IF($M5605="PADD I","PADD 1",IF($M5605="PADD II","PADD 2",IF($M5605="PADD III","PADD 3",IF($M5605="PADD IV","PADD 4",IF($M5605="PADD V","PADD 5","")))))</f>
        <v>PADD 2</v>
      </c>
      <c r="G5605" s="6">
        <f>IF(AND($H5605="ATMOS DISTILLATION",ISNUMBER(SEARCH("VPS",$I5605))=FALSE,LEFT($I5605,6)&lt;&gt;"VACUUM"),"CDU",IF($H5605="FLUID CAT CRACKING","FCC",IF(OR($H5605="HYDROCRACKING",$H5605="RESID_HYDROCRACKING"),"Hydrocracker",IF($H5605="REFORMING","Reformer",""))))</f>
        <v/>
      </c>
      <c r="H5605" s="6" t="s">
        <v>378</v>
      </c>
      <c r="I5605" s="6" t="s">
        <v>494</v>
      </c>
      <c r="J5605" s="6" t="s">
        <v>349</v>
      </c>
      <c r="K5605" s="10">
        <v>20</v>
      </c>
      <c r="L5605" s="10">
        <v>20</v>
      </c>
      <c r="M5605" s="6" t="s">
        <v>375</v>
      </c>
    </row>
    <row r="5606" spans="1:13">
      <c r="A5606" s="6">
        <v>2025</v>
      </c>
      <c r="B5606" s="6">
        <v>4</v>
      </c>
      <c r="C5606" s="6" t="s">
        <v>62</v>
      </c>
      <c r="D5606" s="6" t="s">
        <v>851</v>
      </c>
      <c r="E5606" s="6" t="s">
        <v>852</v>
      </c>
      <c r="F5606" s="6" t="str">
        <f>IF($M5606="PADD I","PADD 1",IF($M5606="PADD II","PADD 2",IF($M5606="PADD III","PADD 3",IF($M5606="PADD IV","PADD 4",IF($M5606="PADD V","PADD 5","")))))</f>
        <v>PADD 3</v>
      </c>
      <c r="G5606" s="6" t="str">
        <f>IF(AND($H5606="ATMOS DISTILLATION",ISNUMBER(SEARCH("VPS",$I5606))=FALSE,LEFT($I5606,6)&lt;&gt;"VACUUM"),"CDU",IF($H5606="FLUID CAT CRACKING","FCC",IF(OR($H5606="HYDROCRACKING",$H5606="RESID_HYDROCRACKING"),"Hydrocracker",IF($H5606="REFORMING","Reformer",""))))</f>
        <v>CDU</v>
      </c>
      <c r="H5606" s="6" t="s">
        <v>38</v>
      </c>
      <c r="I5606" s="6" t="s">
        <v>853</v>
      </c>
      <c r="J5606" s="6" t="s">
        <v>349</v>
      </c>
      <c r="K5606" s="10">
        <v>19.5</v>
      </c>
      <c r="L5606" s="10">
        <v>65</v>
      </c>
      <c r="M5606" s="6" t="s">
        <v>371</v>
      </c>
    </row>
    <row r="5607" spans="1:13">
      <c r="A5607" s="6">
        <v>2025</v>
      </c>
      <c r="B5607" s="6">
        <v>4</v>
      </c>
      <c r="C5607" s="6" t="s">
        <v>62</v>
      </c>
      <c r="D5607" s="6" t="s">
        <v>851</v>
      </c>
      <c r="E5607" s="6" t="s">
        <v>852</v>
      </c>
      <c r="F5607" s="6" t="str">
        <f>IF($M5607="PADD I","PADD 1",IF($M5607="PADD II","PADD 2",IF($M5607="PADD III","PADD 3",IF($M5607="PADD IV","PADD 4",IF($M5607="PADD V","PADD 5","")))))</f>
        <v>PADD 3</v>
      </c>
      <c r="G5607" s="6" t="str">
        <f>IF(AND($H5607="ATMOS DISTILLATION",ISNUMBER(SEARCH("VPS",$I5607))=FALSE,LEFT($I5607,6)&lt;&gt;"VACUUM"),"CDU",IF($H5607="FLUID CAT CRACKING","FCC",IF(OR($H5607="HYDROCRACKING",$H5607="RESID_HYDROCRACKING"),"Hydrocracker",IF($H5607="REFORMING","Reformer",""))))</f>
        <v>CDU</v>
      </c>
      <c r="H5607" s="6" t="s">
        <v>38</v>
      </c>
      <c r="I5607" s="6" t="s">
        <v>854</v>
      </c>
      <c r="J5607" s="6" t="s">
        <v>349</v>
      </c>
      <c r="K5607" s="10">
        <v>19.5</v>
      </c>
      <c r="L5607" s="10">
        <v>65</v>
      </c>
      <c r="M5607" s="6" t="s">
        <v>371</v>
      </c>
    </row>
    <row r="5608" spans="1:13">
      <c r="A5608" s="6">
        <v>2025</v>
      </c>
      <c r="B5608" s="6">
        <v>4</v>
      </c>
      <c r="C5608" s="6" t="s">
        <v>62</v>
      </c>
      <c r="D5608" s="6" t="s">
        <v>610</v>
      </c>
      <c r="E5608" s="6" t="s">
        <v>611</v>
      </c>
      <c r="F5608" s="6" t="str">
        <f>IF($M5608="PADD I","PADD 1",IF($M5608="PADD II","PADD 2",IF($M5608="PADD III","PADD 3",IF($M5608="PADD IV","PADD 4",IF($M5608="PADD V","PADD 5","")))))</f>
        <v>PADD 2</v>
      </c>
      <c r="G5608" s="6">
        <f>IF(AND($H5608="ATMOS DISTILLATION",ISNUMBER(SEARCH("VPS",$I5608))=FALSE,LEFT($I5608,6)&lt;&gt;"VACUUM"),"CDU",IF($H5608="FLUID CAT CRACKING","FCC",IF(OR($H5608="HYDROCRACKING",$H5608="RESID_HYDROCRACKING"),"Hydrocracker",IF($H5608="REFORMING","Reformer",""))))</f>
        <v/>
      </c>
      <c r="H5608" s="6" t="s">
        <v>435</v>
      </c>
      <c r="I5608" s="6" t="s">
        <v>441</v>
      </c>
      <c r="J5608" s="6" t="s">
        <v>349</v>
      </c>
      <c r="K5608" s="10">
        <v>19.5</v>
      </c>
      <c r="L5608" s="10">
        <v>19.5</v>
      </c>
      <c r="M5608" s="6" t="s">
        <v>375</v>
      </c>
    </row>
    <row r="5609" spans="1:13">
      <c r="A5609" s="6">
        <v>2025</v>
      </c>
      <c r="B5609" s="6">
        <v>4</v>
      </c>
      <c r="C5609" s="6" t="s">
        <v>62</v>
      </c>
      <c r="D5609" s="6" t="s">
        <v>468</v>
      </c>
      <c r="E5609" s="6" t="s">
        <v>369</v>
      </c>
      <c r="F5609" s="6" t="str">
        <f>IF($M5609="PADD I","PADD 1",IF($M5609="PADD II","PADD 2",IF($M5609="PADD III","PADD 3",IF($M5609="PADD IV","PADD 4",IF($M5609="PADD V","PADD 5","")))))</f>
        <v>PADD 3</v>
      </c>
      <c r="G5609" s="6">
        <f>IF(AND($H5609="ATMOS DISTILLATION",ISNUMBER(SEARCH("VPS",$I5609))=FALSE,LEFT($I5609,6)&lt;&gt;"VACUUM"),"CDU",IF($H5609="FLUID CAT CRACKING","FCC",IF(OR($H5609="HYDROCRACKING",$H5609="RESID_HYDROCRACKING"),"Hydrocracker",IF($H5609="REFORMING","Reformer",""))))</f>
        <v/>
      </c>
      <c r="H5609" s="6" t="s">
        <v>43</v>
      </c>
      <c r="I5609" s="6" t="s">
        <v>1028</v>
      </c>
      <c r="J5609" s="6" t="s">
        <v>349</v>
      </c>
      <c r="K5609" s="10">
        <v>19.38</v>
      </c>
      <c r="L5609" s="10">
        <v>34</v>
      </c>
      <c r="M5609" s="6" t="s">
        <v>371</v>
      </c>
    </row>
    <row r="5610" spans="1:13">
      <c r="A5610" s="6">
        <v>2025</v>
      </c>
      <c r="B5610" s="6">
        <v>4</v>
      </c>
      <c r="C5610" s="6" t="s">
        <v>62</v>
      </c>
      <c r="D5610" s="6" t="s">
        <v>1228</v>
      </c>
      <c r="E5610" s="6" t="s">
        <v>611</v>
      </c>
      <c r="F5610" s="6" t="str">
        <f>IF($M5610="PADD I","PADD 1",IF($M5610="PADD II","PADD 2",IF($M5610="PADD III","PADD 3",IF($M5610="PADD IV","PADD 4",IF($M5610="PADD V","PADD 5","")))))</f>
        <v>PADD 2</v>
      </c>
      <c r="G5610" s="6" t="str">
        <f>IF(AND($H5610="ATMOS DISTILLATION",ISNUMBER(SEARCH("VPS",$I5610))=FALSE,LEFT($I5610,6)&lt;&gt;"VACUUM"),"CDU",IF($H5610="FLUID CAT CRACKING","FCC",IF(OR($H5610="HYDROCRACKING",$H5610="RESID_HYDROCRACKING"),"Hydrocracker",IF($H5610="REFORMING","Reformer",""))))</f>
        <v>Reformer</v>
      </c>
      <c r="H5610" s="6" t="s">
        <v>421</v>
      </c>
      <c r="I5610" s="6" t="s">
        <v>15</v>
      </c>
      <c r="J5610" s="6" t="s">
        <v>345</v>
      </c>
      <c r="K5610" s="10">
        <v>19.345</v>
      </c>
      <c r="L5610" s="10">
        <v>26.5</v>
      </c>
      <c r="M5610" s="6" t="s">
        <v>375</v>
      </c>
    </row>
    <row r="5611" spans="1:13">
      <c r="A5611" s="6">
        <v>2025</v>
      </c>
      <c r="B5611" s="6">
        <v>4</v>
      </c>
      <c r="C5611" s="6" t="s">
        <v>62</v>
      </c>
      <c r="D5611" s="6" t="s">
        <v>451</v>
      </c>
      <c r="E5611" s="6" t="s">
        <v>452</v>
      </c>
      <c r="F5611" s="6" t="str">
        <f>IF($M5611="PADD I","PADD 1",IF($M5611="PADD II","PADD 2",IF($M5611="PADD III","PADD 3",IF($M5611="PADD IV","PADD 4",IF($M5611="PADD V","PADD 5","")))))</f>
        <v>PADD 2</v>
      </c>
      <c r="G5611" s="6" t="str">
        <f>IF(AND($H5611="ATMOS DISTILLATION",ISNUMBER(SEARCH("VPS",$I5611))=FALSE,LEFT($I5611,6)&lt;&gt;"VACUUM"),"CDU",IF($H5611="FLUID CAT CRACKING","FCC",IF(OR($H5611="HYDROCRACKING",$H5611="RESID_HYDROCRACKING"),"Hydrocracker",IF($H5611="REFORMING","Reformer",""))))</f>
        <v>CDU</v>
      </c>
      <c r="H5611" s="6" t="s">
        <v>38</v>
      </c>
      <c r="I5611" s="6" t="s">
        <v>481</v>
      </c>
      <c r="J5611" s="6" t="s">
        <v>349</v>
      </c>
      <c r="K5611" s="10">
        <v>18.8</v>
      </c>
      <c r="L5611" s="10">
        <v>40</v>
      </c>
      <c r="M5611" s="6" t="s">
        <v>375</v>
      </c>
    </row>
    <row r="5612" spans="1:13">
      <c r="A5612" s="6">
        <v>2025</v>
      </c>
      <c r="B5612" s="6">
        <v>4</v>
      </c>
      <c r="C5612" s="6" t="s">
        <v>62</v>
      </c>
      <c r="D5612" s="6" t="s">
        <v>372</v>
      </c>
      <c r="E5612" s="6" t="s">
        <v>373</v>
      </c>
      <c r="F5612" s="6" t="str">
        <f>IF($M5612="PADD I","PADD 1",IF($M5612="PADD II","PADD 2",IF($M5612="PADD III","PADD 3",IF($M5612="PADD IV","PADD 4",IF($M5612="PADD V","PADD 5","")))))</f>
        <v>PADD 2</v>
      </c>
      <c r="G5612" s="6" t="str">
        <f>IF(AND($H5612="ATMOS DISTILLATION",ISNUMBER(SEARCH("VPS",$I5612))=FALSE,LEFT($I5612,6)&lt;&gt;"VACUUM"),"CDU",IF($H5612="FLUID CAT CRACKING","FCC",IF(OR($H5612="HYDROCRACKING",$H5612="RESID_HYDROCRACKING"),"Hydrocracker",IF($H5612="REFORMING","Reformer",""))))</f>
        <v>Hydrocracker</v>
      </c>
      <c r="H5612" s="6" t="s">
        <v>444</v>
      </c>
      <c r="I5612" s="6" t="s">
        <v>445</v>
      </c>
      <c r="J5612" s="6" t="s">
        <v>349</v>
      </c>
      <c r="K5612" s="10">
        <v>18.55</v>
      </c>
      <c r="L5612" s="10">
        <v>35</v>
      </c>
      <c r="M5612" s="6" t="s">
        <v>375</v>
      </c>
    </row>
    <row r="5613" spans="1:13">
      <c r="A5613" s="6">
        <v>2025</v>
      </c>
      <c r="B5613" s="6">
        <v>4</v>
      </c>
      <c r="C5613" s="6" t="s">
        <v>62</v>
      </c>
      <c r="D5613" s="6" t="s">
        <v>645</v>
      </c>
      <c r="E5613" s="6" t="s">
        <v>388</v>
      </c>
      <c r="F5613" s="6" t="str">
        <f>IF($M5613="PADD I","PADD 1",IF($M5613="PADD II","PADD 2",IF($M5613="PADD III","PADD 3",IF($M5613="PADD IV","PADD 4",IF($M5613="PADD V","PADD 5","")))))</f>
        <v>PADD 3</v>
      </c>
      <c r="G5613" s="6">
        <f>IF(AND($H5613="ATMOS DISTILLATION",ISNUMBER(SEARCH("VPS",$I5613))=FALSE,LEFT($I5613,6)&lt;&gt;"VACUUM"),"CDU",IF($H5613="FLUID CAT CRACKING","FCC",IF(OR($H5613="HYDROCRACKING",$H5613="RESID_HYDROCRACKING"),"Hydrocracker",IF($H5613="REFORMING","Reformer",""))))</f>
        <v/>
      </c>
      <c r="H5613" s="6" t="s">
        <v>43</v>
      </c>
      <c r="I5613" s="6" t="s">
        <v>449</v>
      </c>
      <c r="J5613" s="6" t="s">
        <v>345</v>
      </c>
      <c r="K5613" s="10">
        <v>18.4</v>
      </c>
      <c r="L5613" s="10">
        <v>80</v>
      </c>
      <c r="M5613" s="6" t="s">
        <v>371</v>
      </c>
    </row>
    <row r="5614" spans="1:13">
      <c r="A5614" s="6">
        <v>2025</v>
      </c>
      <c r="B5614" s="6">
        <v>4</v>
      </c>
      <c r="C5614" s="6" t="s">
        <v>62</v>
      </c>
      <c r="D5614" s="6" t="s">
        <v>788</v>
      </c>
      <c r="E5614" s="6" t="s">
        <v>405</v>
      </c>
      <c r="F5614" s="6" t="str">
        <f>IF($M5614="PADD I","PADD 1",IF($M5614="PADD II","PADD 2",IF($M5614="PADD III","PADD 3",IF($M5614="PADD IV","PADD 4",IF($M5614="PADD V","PADD 5","")))))</f>
        <v>PADD 3</v>
      </c>
      <c r="G5614" s="6" t="str">
        <f>IF(AND($H5614="ATMOS DISTILLATION",ISNUMBER(SEARCH("VPS",$I5614))=FALSE,LEFT($I5614,6)&lt;&gt;"VACUUM"),"CDU",IF($H5614="FLUID CAT CRACKING","FCC",IF(OR($H5614="HYDROCRACKING",$H5614="RESID_HYDROCRACKING"),"Hydrocracker",IF($H5614="REFORMING","Reformer",""))))</f>
        <v>Reformer</v>
      </c>
      <c r="H5614" s="6" t="s">
        <v>421</v>
      </c>
      <c r="I5614" s="6" t="s">
        <v>782</v>
      </c>
      <c r="J5614" s="6" t="s">
        <v>345</v>
      </c>
      <c r="K5614" s="10">
        <v>18.24</v>
      </c>
      <c r="L5614" s="10">
        <v>32</v>
      </c>
      <c r="M5614" s="6" t="s">
        <v>371</v>
      </c>
    </row>
    <row r="5615" spans="1:13">
      <c r="A5615" s="6">
        <v>2025</v>
      </c>
      <c r="B5615" s="6">
        <v>4</v>
      </c>
      <c r="C5615" s="6" t="s">
        <v>62</v>
      </c>
      <c r="D5615" s="6" t="s">
        <v>411</v>
      </c>
      <c r="E5615" s="6" t="s">
        <v>369</v>
      </c>
      <c r="F5615" s="6" t="str">
        <f>IF($M5615="PADD I","PADD 1",IF($M5615="PADD II","PADD 2",IF($M5615="PADD III","PADD 3",IF($M5615="PADD IV","PADD 4",IF($M5615="PADD V","PADD 5","")))))</f>
        <v>PADD 1</v>
      </c>
      <c r="G5615" s="6">
        <f>IF(AND($H5615="ATMOS DISTILLATION",ISNUMBER(SEARCH("VPS",$I5615))=FALSE,LEFT($I5615,6)&lt;&gt;"VACUUM"),"CDU",IF($H5615="FLUID CAT CRACKING","FCC",IF(OR($H5615="HYDROCRACKING",$H5615="RESID_HYDROCRACKING"),"Hydrocracker",IF($H5615="REFORMING","Reformer",""))))</f>
        <v/>
      </c>
      <c r="H5615" s="6" t="s">
        <v>378</v>
      </c>
      <c r="I5615" s="6" t="s">
        <v>431</v>
      </c>
      <c r="J5615" s="6" t="s">
        <v>345</v>
      </c>
      <c r="K5615" s="10">
        <v>18.1875</v>
      </c>
      <c r="L5615" s="10">
        <v>18.75</v>
      </c>
      <c r="M5615" s="6" t="s">
        <v>413</v>
      </c>
    </row>
    <row r="5616" spans="1:13">
      <c r="A5616" s="6">
        <v>2025</v>
      </c>
      <c r="B5616" s="6">
        <v>4</v>
      </c>
      <c r="C5616" s="6" t="s">
        <v>62</v>
      </c>
      <c r="D5616" s="6" t="s">
        <v>676</v>
      </c>
      <c r="E5616" s="6" t="s">
        <v>677</v>
      </c>
      <c r="F5616" s="6" t="str">
        <f>IF($M5616="PADD I","PADD 1",IF($M5616="PADD II","PADD 2",IF($M5616="PADD III","PADD 3",IF($M5616="PADD IV","PADD 4",IF($M5616="PADD V","PADD 5","")))))</f>
        <v>PADD 1</v>
      </c>
      <c r="G5616" s="6" t="str">
        <f>IF(AND($H5616="ATMOS DISTILLATION",ISNUMBER(SEARCH("VPS",$I5616))=FALSE,LEFT($I5616,6)&lt;&gt;"VACUUM"),"CDU",IF($H5616="FLUID CAT CRACKING","FCC",IF(OR($H5616="HYDROCRACKING",$H5616="RESID_HYDROCRACKING"),"Hydrocracker",IF($H5616="REFORMING","Reformer",""))))</f>
        <v>CDU</v>
      </c>
      <c r="H5616" s="6" t="s">
        <v>38</v>
      </c>
      <c r="I5616" s="6" t="s">
        <v>1266</v>
      </c>
      <c r="J5616" s="6" t="s">
        <v>345</v>
      </c>
      <c r="K5616" s="10">
        <v>18.15</v>
      </c>
      <c r="L5616" s="10">
        <v>55</v>
      </c>
      <c r="M5616" s="6" t="s">
        <v>413</v>
      </c>
    </row>
    <row r="5617" spans="1:13">
      <c r="A5617" s="6">
        <v>2025</v>
      </c>
      <c r="B5617" s="6">
        <v>4</v>
      </c>
      <c r="C5617" s="6" t="s">
        <v>62</v>
      </c>
      <c r="D5617" s="6" t="s">
        <v>321</v>
      </c>
      <c r="E5617" s="6" t="s">
        <v>381</v>
      </c>
      <c r="F5617" s="6" t="str">
        <f>IF($M5617="PADD I","PADD 1",IF($M5617="PADD II","PADD 2",IF($M5617="PADD III","PADD 3",IF($M5617="PADD IV","PADD 4",IF($M5617="PADD V","PADD 5","")))))</f>
        <v>PADD 2</v>
      </c>
      <c r="G5617" s="6" t="str">
        <f>IF(AND($H5617="ATMOS DISTILLATION",ISNUMBER(SEARCH("VPS",$I5617))=FALSE,LEFT($I5617,6)&lt;&gt;"VACUUM"),"CDU",IF($H5617="FLUID CAT CRACKING","FCC",IF(OR($H5617="HYDROCRACKING",$H5617="RESID_HYDROCRACKING"),"Hydrocracker",IF($H5617="REFORMING","Reformer",""))))</f>
        <v>CDU</v>
      </c>
      <c r="H5617" s="6" t="s">
        <v>38</v>
      </c>
      <c r="I5617" s="6" t="s">
        <v>81</v>
      </c>
      <c r="J5617" s="6" t="s">
        <v>349</v>
      </c>
      <c r="K5617" s="10">
        <v>18</v>
      </c>
      <c r="L5617" s="10">
        <v>90</v>
      </c>
      <c r="M5617" s="6" t="s">
        <v>375</v>
      </c>
    </row>
    <row r="5618" spans="1:13">
      <c r="A5618" s="6">
        <v>2025</v>
      </c>
      <c r="B5618" s="6">
        <v>4</v>
      </c>
      <c r="C5618" s="6" t="s">
        <v>62</v>
      </c>
      <c r="D5618" s="6" t="s">
        <v>411</v>
      </c>
      <c r="E5618" s="6" t="s">
        <v>369</v>
      </c>
      <c r="F5618" s="6" t="str">
        <f>IF($M5618="PADD I","PADD 1",IF($M5618="PADD II","PADD 2",IF($M5618="PADD III","PADD 3",IF($M5618="PADD IV","PADD 4",IF($M5618="PADD V","PADD 5","")))))</f>
        <v>PADD 1</v>
      </c>
      <c r="G5618" s="6">
        <f>IF(AND($H5618="ATMOS DISTILLATION",ISNUMBER(SEARCH("VPS",$I5618))=FALSE,LEFT($I5618,6)&lt;&gt;"VACUUM"),"CDU",IF($H5618="FLUID CAT CRACKING","FCC",IF(OR($H5618="HYDROCRACKING",$H5618="RESID_HYDROCRACKING"),"Hydrocracker",IF($H5618="REFORMING","Reformer",""))))</f>
        <v/>
      </c>
      <c r="H5618" s="6" t="s">
        <v>43</v>
      </c>
      <c r="I5618" s="6" t="s">
        <v>458</v>
      </c>
      <c r="J5618" s="6" t="s">
        <v>345</v>
      </c>
      <c r="K5618" s="10">
        <v>17.55</v>
      </c>
      <c r="L5618" s="10">
        <v>58.5</v>
      </c>
      <c r="M5618" s="6" t="s">
        <v>413</v>
      </c>
    </row>
    <row r="5619" spans="1:13">
      <c r="A5619" s="6">
        <v>2025</v>
      </c>
      <c r="B5619" s="6">
        <v>4</v>
      </c>
      <c r="C5619" s="6" t="s">
        <v>62</v>
      </c>
      <c r="D5619" s="6" t="s">
        <v>774</v>
      </c>
      <c r="E5619" s="6" t="s">
        <v>775</v>
      </c>
      <c r="F5619" s="6" t="str">
        <f>IF($M5619="PADD I","PADD 1",IF($M5619="PADD II","PADD 2",IF($M5619="PADD III","PADD 3",IF($M5619="PADD IV","PADD 4",IF($M5619="PADD V","PADD 5","")))))</f>
        <v>PADD 1</v>
      </c>
      <c r="G5619" s="6" t="str">
        <f>IF(AND($H5619="ATMOS DISTILLATION",ISNUMBER(SEARCH("VPS",$I5619))=FALSE,LEFT($I5619,6)&lt;&gt;"VACUUM"),"CDU",IF($H5619="FLUID CAT CRACKING","FCC",IF(OR($H5619="HYDROCRACKING",$H5619="RESID_HYDROCRACKING"),"Hydrocracker",IF($H5619="REFORMING","Reformer",""))))</f>
        <v>Hydrocracker</v>
      </c>
      <c r="H5619" s="6" t="s">
        <v>444</v>
      </c>
      <c r="I5619" s="6" t="s">
        <v>14</v>
      </c>
      <c r="J5619" s="6" t="s">
        <v>349</v>
      </c>
      <c r="K5619" s="10">
        <v>17.46</v>
      </c>
      <c r="L5619" s="10">
        <v>18</v>
      </c>
      <c r="M5619" s="6" t="s">
        <v>413</v>
      </c>
    </row>
    <row r="5620" spans="1:13">
      <c r="A5620" s="6">
        <v>2025</v>
      </c>
      <c r="B5620" s="6">
        <v>4</v>
      </c>
      <c r="C5620" s="6" t="s">
        <v>62</v>
      </c>
      <c r="D5620" s="6" t="s">
        <v>774</v>
      </c>
      <c r="E5620" s="6" t="s">
        <v>775</v>
      </c>
      <c r="F5620" s="6" t="str">
        <f>IF($M5620="PADD I","PADD 1",IF($M5620="PADD II","PADD 2",IF($M5620="PADD III","PADD 3",IF($M5620="PADD IV","PADD 4",IF($M5620="PADD V","PADD 5","")))))</f>
        <v>PADD 1</v>
      </c>
      <c r="G5620" s="6" t="str">
        <f>IF(AND($H5620="ATMOS DISTILLATION",ISNUMBER(SEARCH("VPS",$I5620))=FALSE,LEFT($I5620,6)&lt;&gt;"VACUUM"),"CDU",IF($H5620="FLUID CAT CRACKING","FCC",IF(OR($H5620="HYDROCRACKING",$H5620="RESID_HYDROCRACKING"),"Hydrocracker",IF($H5620="REFORMING","Reformer",""))))</f>
        <v>Hydrocracker</v>
      </c>
      <c r="H5620" s="6" t="s">
        <v>444</v>
      </c>
      <c r="I5620" s="6" t="s">
        <v>14</v>
      </c>
      <c r="J5620" s="6" t="s">
        <v>345</v>
      </c>
      <c r="K5620" s="10">
        <v>17.46</v>
      </c>
      <c r="L5620" s="10">
        <v>18</v>
      </c>
      <c r="M5620" s="6" t="s">
        <v>413</v>
      </c>
    </row>
    <row r="5621" spans="1:13">
      <c r="A5621" s="6">
        <v>2025</v>
      </c>
      <c r="B5621" s="6">
        <v>4</v>
      </c>
      <c r="C5621" s="6" t="s">
        <v>62</v>
      </c>
      <c r="D5621" s="6" t="s">
        <v>468</v>
      </c>
      <c r="E5621" s="6" t="s">
        <v>369</v>
      </c>
      <c r="F5621" s="6" t="str">
        <f>IF($M5621="PADD I","PADD 1",IF($M5621="PADD II","PADD 2",IF($M5621="PADD III","PADD 3",IF($M5621="PADD IV","PADD 4",IF($M5621="PADD V","PADD 5","")))))</f>
        <v>PADD 3</v>
      </c>
      <c r="G5621" s="6" t="str">
        <f>IF(AND($H5621="ATMOS DISTILLATION",ISNUMBER(SEARCH("VPS",$I5621))=FALSE,LEFT($I5621,6)&lt;&gt;"VACUUM"),"CDU",IF($H5621="FLUID CAT CRACKING","FCC",IF(OR($H5621="HYDROCRACKING",$H5621="RESID_HYDROCRACKING"),"Hydrocracker",IF($H5621="REFORMING","Reformer",""))))</f>
        <v>FCC</v>
      </c>
      <c r="H5621" s="6" t="s">
        <v>376</v>
      </c>
      <c r="I5621" s="6" t="s">
        <v>469</v>
      </c>
      <c r="J5621" s="6" t="s">
        <v>349</v>
      </c>
      <c r="K5621" s="10">
        <v>17.1</v>
      </c>
      <c r="L5621" s="10">
        <v>30</v>
      </c>
      <c r="M5621" s="6" t="s">
        <v>371</v>
      </c>
    </row>
    <row r="5622" spans="1:13">
      <c r="A5622" s="6">
        <v>2025</v>
      </c>
      <c r="B5622" s="6">
        <v>4</v>
      </c>
      <c r="C5622" s="6" t="s">
        <v>62</v>
      </c>
      <c r="D5622" s="6" t="s">
        <v>1214</v>
      </c>
      <c r="E5622" s="6" t="s">
        <v>1215</v>
      </c>
      <c r="F5622" s="6" t="str">
        <f>IF($M5622="PADD I","PADD 1",IF($M5622="PADD II","PADD 2",IF($M5622="PADD III","PADD 3",IF($M5622="PADD IV","PADD 4",IF($M5622="PADD V","PADD 5","")))))</f>
        <v>PADD 1</v>
      </c>
      <c r="G5622" s="6" t="str">
        <f>IF(AND($H5622="ATMOS DISTILLATION",ISNUMBER(SEARCH("VPS",$I5622))=FALSE,LEFT($I5622,6)&lt;&gt;"VACUUM"),"CDU",IF($H5622="FLUID CAT CRACKING","FCC",IF(OR($H5622="HYDROCRACKING",$H5622="RESID_HYDROCRACKING"),"Hydrocracker",IF($H5622="REFORMING","Reformer",""))))</f>
        <v>CDU</v>
      </c>
      <c r="H5622" s="6" t="s">
        <v>38</v>
      </c>
      <c r="I5622" s="6" t="s">
        <v>131</v>
      </c>
      <c r="J5622" s="6" t="s">
        <v>345</v>
      </c>
      <c r="K5622" s="10">
        <v>16.8</v>
      </c>
      <c r="L5622" s="10">
        <v>56</v>
      </c>
      <c r="M5622" s="6" t="s">
        <v>413</v>
      </c>
    </row>
    <row r="5623" spans="1:13">
      <c r="A5623" s="6">
        <v>2025</v>
      </c>
      <c r="B5623" s="6">
        <v>4</v>
      </c>
      <c r="C5623" s="6" t="s">
        <v>62</v>
      </c>
      <c r="D5623" s="6" t="s">
        <v>723</v>
      </c>
      <c r="E5623" s="6" t="s">
        <v>724</v>
      </c>
      <c r="F5623" s="6" t="str">
        <f>IF($M5623="PADD I","PADD 1",IF($M5623="PADD II","PADD 2",IF($M5623="PADD III","PADD 3",IF($M5623="PADD IV","PADD 4",IF($M5623="PADD V","PADD 5","")))))</f>
        <v>PADD 4</v>
      </c>
      <c r="G5623" s="6" t="str">
        <f>IF(AND($H5623="ATMOS DISTILLATION",ISNUMBER(SEARCH("VPS",$I5623))=FALSE,LEFT($I5623,6)&lt;&gt;"VACUUM"),"CDU",IF($H5623="FLUID CAT CRACKING","FCC",IF(OR($H5623="HYDROCRACKING",$H5623="RESID_HYDROCRACKING"),"Hydrocracker",IF($H5623="REFORMING","Reformer",""))))</f>
        <v>FCC</v>
      </c>
      <c r="H5623" s="6" t="s">
        <v>376</v>
      </c>
      <c r="I5623" s="6" t="s">
        <v>105</v>
      </c>
      <c r="J5623" s="6" t="s">
        <v>349</v>
      </c>
      <c r="K5623" s="10">
        <v>16.17</v>
      </c>
      <c r="L5623" s="10">
        <v>21</v>
      </c>
      <c r="M5623" s="6" t="s">
        <v>430</v>
      </c>
    </row>
    <row r="5624" spans="1:13">
      <c r="A5624" s="6">
        <v>2025</v>
      </c>
      <c r="B5624" s="6">
        <v>4</v>
      </c>
      <c r="C5624" s="6" t="s">
        <v>62</v>
      </c>
      <c r="D5624" s="6" t="s">
        <v>531</v>
      </c>
      <c r="E5624" s="6" t="s">
        <v>532</v>
      </c>
      <c r="F5624" s="6" t="str">
        <f>IF($M5624="PADD I","PADD 1",IF($M5624="PADD II","PADD 2",IF($M5624="PADD III","PADD 3",IF($M5624="PADD IV","PADD 4",IF($M5624="PADD V","PADD 5","")))))</f>
        <v>PADD 5</v>
      </c>
      <c r="G5624" s="6">
        <f>IF(AND($H5624="ATMOS DISTILLATION",ISNUMBER(SEARCH("VPS",$I5624))=FALSE,LEFT($I5624,6)&lt;&gt;"VACUUM"),"CDU",IF($H5624="FLUID CAT CRACKING","FCC",IF(OR($H5624="HYDROCRACKING",$H5624="RESID_HYDROCRACKING"),"Hydrocracker",IF($H5624="REFORMING","Reformer",""))))</f>
        <v/>
      </c>
      <c r="H5624" s="6" t="s">
        <v>460</v>
      </c>
      <c r="I5624" s="6" t="s">
        <v>616</v>
      </c>
      <c r="J5624" s="6" t="s">
        <v>345</v>
      </c>
      <c r="K5624" s="10">
        <v>14.74</v>
      </c>
      <c r="L5624" s="10">
        <v>22</v>
      </c>
      <c r="M5624" s="6" t="s">
        <v>386</v>
      </c>
    </row>
    <row r="5625" spans="1:13">
      <c r="A5625" s="6">
        <v>2025</v>
      </c>
      <c r="B5625" s="6">
        <v>4</v>
      </c>
      <c r="C5625" s="6" t="s">
        <v>62</v>
      </c>
      <c r="D5625" s="6" t="s">
        <v>739</v>
      </c>
      <c r="E5625" s="6" t="s">
        <v>405</v>
      </c>
      <c r="F5625" s="6" t="str">
        <f>IF($M5625="PADD I","PADD 1",IF($M5625="PADD II","PADD 2",IF($M5625="PADD III","PADD 3",IF($M5625="PADD IV","PADD 4",IF($M5625="PADD V","PADD 5","")))))</f>
        <v>PADD 2</v>
      </c>
      <c r="G5625" s="6" t="str">
        <f>IF(AND($H5625="ATMOS DISTILLATION",ISNUMBER(SEARCH("VPS",$I5625))=FALSE,LEFT($I5625,6)&lt;&gt;"VACUUM"),"CDU",IF($H5625="FLUID CAT CRACKING","FCC",IF(OR($H5625="HYDROCRACKING",$H5625="RESID_HYDROCRACKING"),"Hydrocracker",IF($H5625="REFORMING","Reformer",""))))</f>
        <v>FCC</v>
      </c>
      <c r="H5625" s="6" t="s">
        <v>376</v>
      </c>
      <c r="I5625" s="6" t="s">
        <v>105</v>
      </c>
      <c r="J5625" s="6" t="s">
        <v>349</v>
      </c>
      <c r="K5625" s="10">
        <v>14.1</v>
      </c>
      <c r="L5625" s="10">
        <v>30</v>
      </c>
      <c r="M5625" s="6" t="s">
        <v>375</v>
      </c>
    </row>
    <row r="5626" spans="1:13">
      <c r="A5626" s="6">
        <v>2025</v>
      </c>
      <c r="B5626" s="6">
        <v>4</v>
      </c>
      <c r="C5626" s="6" t="s">
        <v>62</v>
      </c>
      <c r="D5626" s="6" t="s">
        <v>815</v>
      </c>
      <c r="E5626" s="6" t="s">
        <v>452</v>
      </c>
      <c r="F5626" s="6" t="str">
        <f>IF($M5626="PADD I","PADD 1",IF($M5626="PADD II","PADD 2",IF($M5626="PADD III","PADD 3",IF($M5626="PADD IV","PADD 4",IF($M5626="PADD V","PADD 5","")))))</f>
        <v>PADD 4</v>
      </c>
      <c r="G5626" s="6" t="str">
        <f>IF(AND($H5626="ATMOS DISTILLATION",ISNUMBER(SEARCH("VPS",$I5626))=FALSE,LEFT($I5626,6)&lt;&gt;"VACUUM"),"CDU",IF($H5626="FLUID CAT CRACKING","FCC",IF(OR($H5626="HYDROCRACKING",$H5626="RESID_HYDROCRACKING"),"Hydrocracker",IF($H5626="REFORMING","Reformer",""))))</f>
        <v>FCC</v>
      </c>
      <c r="H5626" s="6" t="s">
        <v>376</v>
      </c>
      <c r="I5626" s="6" t="s">
        <v>836</v>
      </c>
      <c r="J5626" s="6" t="s">
        <v>349</v>
      </c>
      <c r="K5626" s="10">
        <v>13.86</v>
      </c>
      <c r="L5626" s="10">
        <v>22</v>
      </c>
      <c r="M5626" s="6" t="s">
        <v>430</v>
      </c>
    </row>
    <row r="5627" spans="1:13">
      <c r="A5627" s="6">
        <v>2025</v>
      </c>
      <c r="B5627" s="6">
        <v>4</v>
      </c>
      <c r="C5627" s="6" t="s">
        <v>62</v>
      </c>
      <c r="D5627" s="6" t="s">
        <v>739</v>
      </c>
      <c r="E5627" s="6" t="s">
        <v>405</v>
      </c>
      <c r="F5627" s="6" t="str">
        <f>IF($M5627="PADD I","PADD 1",IF($M5627="PADD II","PADD 2",IF($M5627="PADD III","PADD 3",IF($M5627="PADD IV","PADD 4",IF($M5627="PADD V","PADD 5","")))))</f>
        <v>PADD 2</v>
      </c>
      <c r="G5627" s="6">
        <f>IF(AND($H5627="ATMOS DISTILLATION",ISNUMBER(SEARCH("VPS",$I5627))=FALSE,LEFT($I5627,6)&lt;&gt;"VACUUM"),"CDU",IF($H5627="FLUID CAT CRACKING","FCC",IF(OR($H5627="HYDROCRACKING",$H5627="RESID_HYDROCRACKING"),"Hydrocracker",IF($H5627="REFORMING","Reformer",""))))</f>
        <v/>
      </c>
      <c r="H5627" s="6" t="s">
        <v>43</v>
      </c>
      <c r="I5627" s="6" t="s">
        <v>689</v>
      </c>
      <c r="J5627" s="6" t="s">
        <v>349</v>
      </c>
      <c r="K5627" s="10">
        <v>13.76</v>
      </c>
      <c r="L5627" s="10">
        <v>32</v>
      </c>
      <c r="M5627" s="6" t="s">
        <v>375</v>
      </c>
    </row>
    <row r="5628" spans="1:13">
      <c r="A5628" s="6">
        <v>2025</v>
      </c>
      <c r="B5628" s="6">
        <v>4</v>
      </c>
      <c r="C5628" s="6" t="s">
        <v>62</v>
      </c>
      <c r="D5628" s="6" t="s">
        <v>739</v>
      </c>
      <c r="E5628" s="6" t="s">
        <v>405</v>
      </c>
      <c r="F5628" s="6" t="str">
        <f>IF($M5628="PADD I","PADD 1",IF($M5628="PADD II","PADD 2",IF($M5628="PADD III","PADD 3",IF($M5628="PADD IV","PADD 4",IF($M5628="PADD V","PADD 5","")))))</f>
        <v>PADD 2</v>
      </c>
      <c r="G5628" s="6">
        <f>IF(AND($H5628="ATMOS DISTILLATION",ISNUMBER(SEARCH("VPS",$I5628))=FALSE,LEFT($I5628,6)&lt;&gt;"VACUUM"),"CDU",IF($H5628="FLUID CAT CRACKING","FCC",IF(OR($H5628="HYDROCRACKING",$H5628="RESID_HYDROCRACKING"),"Hydrocracker",IF($H5628="REFORMING","Reformer",""))))</f>
        <v/>
      </c>
      <c r="H5628" s="6" t="s">
        <v>378</v>
      </c>
      <c r="I5628" s="6" t="s">
        <v>431</v>
      </c>
      <c r="J5628" s="6" t="s">
        <v>349</v>
      </c>
      <c r="K5628" s="10">
        <v>13.76</v>
      </c>
      <c r="L5628" s="10">
        <v>32</v>
      </c>
      <c r="M5628" s="6" t="s">
        <v>375</v>
      </c>
    </row>
    <row r="5629" spans="1:13">
      <c r="A5629" s="6">
        <v>2025</v>
      </c>
      <c r="B5629" s="6">
        <v>4</v>
      </c>
      <c r="C5629" s="6" t="s">
        <v>62</v>
      </c>
      <c r="D5629" s="6" t="s">
        <v>326</v>
      </c>
      <c r="E5629" s="6" t="s">
        <v>385</v>
      </c>
      <c r="F5629" s="6" t="str">
        <f>IF($M5629="PADD I","PADD 1",IF($M5629="PADD II","PADD 2",IF($M5629="PADD III","PADD 3",IF($M5629="PADD IV","PADD 4",IF($M5629="PADD V","PADD 5","")))))</f>
        <v>PADD 5</v>
      </c>
      <c r="G5629" s="6">
        <f>IF(AND($H5629="ATMOS DISTILLATION",ISNUMBER(SEARCH("VPS",$I5629))=FALSE,LEFT($I5629,6)&lt;&gt;"VACUUM"),"CDU",IF($H5629="FLUID CAT CRACKING","FCC",IF(OR($H5629="HYDROCRACKING",$H5629="RESID_HYDROCRACKING"),"Hydrocracker",IF($H5629="REFORMING","Reformer",""))))</f>
        <v/>
      </c>
      <c r="H5629" s="6" t="s">
        <v>435</v>
      </c>
      <c r="I5629" s="6" t="s">
        <v>813</v>
      </c>
      <c r="J5629" s="6" t="s">
        <v>345</v>
      </c>
      <c r="K5629" s="10">
        <v>13.25</v>
      </c>
      <c r="L5629" s="10">
        <v>25</v>
      </c>
      <c r="M5629" s="6" t="s">
        <v>386</v>
      </c>
    </row>
    <row r="5630" spans="1:13">
      <c r="A5630" s="6">
        <v>2025</v>
      </c>
      <c r="B5630" s="6">
        <v>4</v>
      </c>
      <c r="C5630" s="6" t="s">
        <v>62</v>
      </c>
      <c r="D5630" s="6" t="s">
        <v>799</v>
      </c>
      <c r="E5630" s="6" t="s">
        <v>391</v>
      </c>
      <c r="F5630" s="6" t="str">
        <f>IF($M5630="PADD I","PADD 1",IF($M5630="PADD II","PADD 2",IF($M5630="PADD III","PADD 3",IF($M5630="PADD IV","PADD 4",IF($M5630="PADD V","PADD 5","")))))</f>
        <v>PADD 4</v>
      </c>
      <c r="G5630" s="6">
        <f>IF(AND($H5630="ATMOS DISTILLATION",ISNUMBER(SEARCH("VPS",$I5630))=FALSE,LEFT($I5630,6)&lt;&gt;"VACUUM"),"CDU",IF($H5630="FLUID CAT CRACKING","FCC",IF(OR($H5630="HYDROCRACKING",$H5630="RESID_HYDROCRACKING"),"Hydrocracker",IF($H5630="REFORMING","Reformer",""))))</f>
        <v/>
      </c>
      <c r="H5630" s="6" t="s">
        <v>43</v>
      </c>
      <c r="I5630" s="6" t="s">
        <v>800</v>
      </c>
      <c r="J5630" s="6" t="s">
        <v>345</v>
      </c>
      <c r="K5630" s="10">
        <v>13.113</v>
      </c>
      <c r="L5630" s="10">
        <v>27.9</v>
      </c>
      <c r="M5630" s="6" t="s">
        <v>430</v>
      </c>
    </row>
    <row r="5631" spans="1:13">
      <c r="A5631" s="6">
        <v>2025</v>
      </c>
      <c r="B5631" s="6">
        <v>4</v>
      </c>
      <c r="C5631" s="6" t="s">
        <v>62</v>
      </c>
      <c r="D5631" s="6" t="s">
        <v>411</v>
      </c>
      <c r="E5631" s="6" t="s">
        <v>369</v>
      </c>
      <c r="F5631" s="6" t="str">
        <f>IF($M5631="PADD I","PADD 1",IF($M5631="PADD II","PADD 2",IF($M5631="PADD III","PADD 3",IF($M5631="PADD IV","PADD 4",IF($M5631="PADD V","PADD 5","")))))</f>
        <v>PADD 1</v>
      </c>
      <c r="G5631" s="6">
        <f>IF(AND($H5631="ATMOS DISTILLATION",ISNUMBER(SEARCH("VPS",$I5631))=FALSE,LEFT($I5631,6)&lt;&gt;"VACUUM"),"CDU",IF($H5631="FLUID CAT CRACKING","FCC",IF(OR($H5631="HYDROCRACKING",$H5631="RESID_HYDROCRACKING"),"Hydrocracker",IF($H5631="REFORMING","Reformer",""))))</f>
        <v/>
      </c>
      <c r="H5631" s="6" t="s">
        <v>43</v>
      </c>
      <c r="I5631" s="6" t="s">
        <v>488</v>
      </c>
      <c r="J5631" s="6" t="s">
        <v>345</v>
      </c>
      <c r="K5631" s="10">
        <v>13.095</v>
      </c>
      <c r="L5631" s="10">
        <v>13.5</v>
      </c>
      <c r="M5631" s="6" t="s">
        <v>413</v>
      </c>
    </row>
    <row r="5632" spans="1:13">
      <c r="A5632" s="6">
        <v>2025</v>
      </c>
      <c r="B5632" s="6">
        <v>4</v>
      </c>
      <c r="C5632" s="6" t="s">
        <v>62</v>
      </c>
      <c r="D5632" s="6" t="s">
        <v>739</v>
      </c>
      <c r="E5632" s="6" t="s">
        <v>405</v>
      </c>
      <c r="F5632" s="6" t="str">
        <f>IF($M5632="PADD I","PADD 1",IF($M5632="PADD II","PADD 2",IF($M5632="PADD III","PADD 3",IF($M5632="PADD IV","PADD 4",IF($M5632="PADD V","PADD 5","")))))</f>
        <v>PADD 2</v>
      </c>
      <c r="G5632" s="6" t="str">
        <f>IF(AND($H5632="ATMOS DISTILLATION",ISNUMBER(SEARCH("VPS",$I5632))=FALSE,LEFT($I5632,6)&lt;&gt;"VACUUM"),"CDU",IF($H5632="FLUID CAT CRACKING","FCC",IF(OR($H5632="HYDROCRACKING",$H5632="RESID_HYDROCRACKING"),"Hydrocracker",IF($H5632="REFORMING","Reformer",""))))</f>
        <v>Reformer</v>
      </c>
      <c r="H5632" s="6" t="s">
        <v>421</v>
      </c>
      <c r="I5632" s="6" t="s">
        <v>782</v>
      </c>
      <c r="J5632" s="6" t="s">
        <v>349</v>
      </c>
      <c r="K5632" s="10">
        <v>12.9</v>
      </c>
      <c r="L5632" s="10">
        <v>30</v>
      </c>
      <c r="M5632" s="6" t="s">
        <v>375</v>
      </c>
    </row>
    <row r="5633" spans="1:13">
      <c r="A5633" s="6">
        <v>2025</v>
      </c>
      <c r="B5633" s="6">
        <v>4</v>
      </c>
      <c r="C5633" s="6" t="s">
        <v>62</v>
      </c>
      <c r="D5633" s="6" t="s">
        <v>335</v>
      </c>
      <c r="E5633" s="6" t="s">
        <v>369</v>
      </c>
      <c r="F5633" s="6" t="str">
        <f>IF($M5633="PADD I","PADD 1",IF($M5633="PADD II","PADD 2",IF($M5633="PADD III","PADD 3",IF($M5633="PADD IV","PADD 4",IF($M5633="PADD V","PADD 5","")))))</f>
        <v>PADD 3</v>
      </c>
      <c r="G5633" s="6" t="str">
        <f>IF(AND($H5633="ATMOS DISTILLATION",ISNUMBER(SEARCH("VPS",$I5633))=FALSE,LEFT($I5633,6)&lt;&gt;"VACUUM"),"CDU",IF($H5633="FLUID CAT CRACKING","FCC",IF(OR($H5633="HYDROCRACKING",$H5633="RESID_HYDROCRACKING"),"Hydrocracker",IF($H5633="REFORMING","Reformer",""))))</f>
        <v>FCC</v>
      </c>
      <c r="H5633" s="6" t="s">
        <v>376</v>
      </c>
      <c r="I5633" s="6" t="s">
        <v>472</v>
      </c>
      <c r="J5633" s="6" t="s">
        <v>345</v>
      </c>
      <c r="K5633" s="10">
        <v>12.9</v>
      </c>
      <c r="L5633" s="10">
        <v>30</v>
      </c>
      <c r="M5633" s="6" t="s">
        <v>371</v>
      </c>
    </row>
    <row r="5634" spans="1:13">
      <c r="A5634" s="6">
        <v>2025</v>
      </c>
      <c r="B5634" s="6">
        <v>4</v>
      </c>
      <c r="C5634" s="6" t="s">
        <v>62</v>
      </c>
      <c r="D5634" s="6" t="s">
        <v>329</v>
      </c>
      <c r="E5634" s="6" t="s">
        <v>427</v>
      </c>
      <c r="F5634" s="6" t="str">
        <f>IF($M5634="PADD I","PADD 1",IF($M5634="PADD II","PADD 2",IF($M5634="PADD III","PADD 3",IF($M5634="PADD IV","PADD 4",IF($M5634="PADD V","PADD 5","")))))</f>
        <v>PADD 3</v>
      </c>
      <c r="G5634" s="6" t="str">
        <f>IF(AND($H5634="ATMOS DISTILLATION",ISNUMBER(SEARCH("VPS",$I5634))=FALSE,LEFT($I5634,6)&lt;&gt;"VACUUM"),"CDU",IF($H5634="FLUID CAT CRACKING","FCC",IF(OR($H5634="HYDROCRACKING",$H5634="RESID_HYDROCRACKING"),"Hydrocracker",IF($H5634="REFORMING","Reformer",""))))</f>
        <v>CDU</v>
      </c>
      <c r="H5634" s="6" t="s">
        <v>38</v>
      </c>
      <c r="I5634" s="6" t="s">
        <v>123</v>
      </c>
      <c r="J5634" s="6" t="s">
        <v>345</v>
      </c>
      <c r="K5634" s="10">
        <v>12.805</v>
      </c>
      <c r="L5634" s="10">
        <v>98.5</v>
      </c>
      <c r="M5634" s="6" t="s">
        <v>371</v>
      </c>
    </row>
    <row r="5635" spans="1:13">
      <c r="A5635" s="6">
        <v>2025</v>
      </c>
      <c r="B5635" s="6">
        <v>4</v>
      </c>
      <c r="C5635" s="6" t="s">
        <v>62</v>
      </c>
      <c r="D5635" s="6" t="s">
        <v>329</v>
      </c>
      <c r="E5635" s="6" t="s">
        <v>427</v>
      </c>
      <c r="F5635" s="6" t="str">
        <f>IF($M5635="PADD I","PADD 1",IF($M5635="PADD II","PADD 2",IF($M5635="PADD III","PADD 3",IF($M5635="PADD IV","PADD 4",IF($M5635="PADD V","PADD 5","")))))</f>
        <v>PADD 3</v>
      </c>
      <c r="G5635" s="6" t="str">
        <f>IF(AND($H5635="ATMOS DISTILLATION",ISNUMBER(SEARCH("VPS",$I5635))=FALSE,LEFT($I5635,6)&lt;&gt;"VACUUM"),"CDU",IF($H5635="FLUID CAT CRACKING","FCC",IF(OR($H5635="HYDROCRACKING",$H5635="RESID_HYDROCRACKING"),"Hydrocracker",IF($H5635="REFORMING","Reformer",""))))</f>
        <v>CDU</v>
      </c>
      <c r="H5635" s="6" t="s">
        <v>38</v>
      </c>
      <c r="I5635" s="6" t="s">
        <v>330</v>
      </c>
      <c r="J5635" s="6" t="s">
        <v>345</v>
      </c>
      <c r="K5635" s="10">
        <v>12.805</v>
      </c>
      <c r="L5635" s="10">
        <v>98.5</v>
      </c>
      <c r="M5635" s="6" t="s">
        <v>371</v>
      </c>
    </row>
    <row r="5636" spans="1:13">
      <c r="A5636" s="6">
        <v>2025</v>
      </c>
      <c r="B5636" s="6">
        <v>4</v>
      </c>
      <c r="C5636" s="6" t="s">
        <v>62</v>
      </c>
      <c r="D5636" s="6" t="s">
        <v>815</v>
      </c>
      <c r="E5636" s="6" t="s">
        <v>452</v>
      </c>
      <c r="F5636" s="6" t="str">
        <f>IF($M5636="PADD I","PADD 1",IF($M5636="PADD II","PADD 2",IF($M5636="PADD III","PADD 3",IF($M5636="PADD IV","PADD 4",IF($M5636="PADD V","PADD 5","")))))</f>
        <v>PADD 4</v>
      </c>
      <c r="G5636" s="6">
        <f>IF(AND($H5636="ATMOS DISTILLATION",ISNUMBER(SEARCH("VPS",$I5636))=FALSE,LEFT($I5636,6)&lt;&gt;"VACUUM"),"CDU",IF($H5636="FLUID CAT CRACKING","FCC",IF(OR($H5636="HYDROCRACKING",$H5636="RESID_HYDROCRACKING"),"Hydrocracker",IF($H5636="REFORMING","Reformer",""))))</f>
        <v/>
      </c>
      <c r="H5636" s="6" t="s">
        <v>43</v>
      </c>
      <c r="I5636" s="6" t="s">
        <v>1302</v>
      </c>
      <c r="J5636" s="6" t="s">
        <v>349</v>
      </c>
      <c r="K5636" s="10">
        <v>12.6</v>
      </c>
      <c r="L5636" s="10">
        <v>20</v>
      </c>
      <c r="M5636" s="6" t="s">
        <v>430</v>
      </c>
    </row>
    <row r="5637" spans="1:13">
      <c r="A5637" s="6">
        <v>2025</v>
      </c>
      <c r="B5637" s="6">
        <v>4</v>
      </c>
      <c r="C5637" s="6" t="s">
        <v>62</v>
      </c>
      <c r="D5637" s="6" t="s">
        <v>326</v>
      </c>
      <c r="E5637" s="6" t="s">
        <v>385</v>
      </c>
      <c r="F5637" s="6" t="str">
        <f>IF($M5637="PADD I","PADD 1",IF($M5637="PADD II","PADD 2",IF($M5637="PADD III","PADD 3",IF($M5637="PADD IV","PADD 4",IF($M5637="PADD V","PADD 5","")))))</f>
        <v>PADD 5</v>
      </c>
      <c r="G5637" s="6">
        <f>IF(AND($H5637="ATMOS DISTILLATION",ISNUMBER(SEARCH("VPS",$I5637))=FALSE,LEFT($I5637,6)&lt;&gt;"VACUUM"),"CDU",IF($H5637="FLUID CAT CRACKING","FCC",IF(OR($H5637="HYDROCRACKING",$H5637="RESID_HYDROCRACKING"),"Hydrocracker",IF($H5637="REFORMING","Reformer",""))))</f>
        <v/>
      </c>
      <c r="H5637" s="6" t="s">
        <v>460</v>
      </c>
      <c r="I5637" s="6" t="s">
        <v>1288</v>
      </c>
      <c r="J5637" s="6" t="s">
        <v>345</v>
      </c>
      <c r="K5637" s="10">
        <v>12</v>
      </c>
      <c r="L5637" s="10">
        <v>12</v>
      </c>
      <c r="M5637" s="6" t="s">
        <v>386</v>
      </c>
    </row>
    <row r="5638" spans="1:13">
      <c r="A5638" s="6">
        <v>2025</v>
      </c>
      <c r="B5638" s="6">
        <v>4</v>
      </c>
      <c r="C5638" s="6" t="s">
        <v>62</v>
      </c>
      <c r="D5638" s="6" t="s">
        <v>380</v>
      </c>
      <c r="E5638" s="6" t="s">
        <v>381</v>
      </c>
      <c r="F5638" s="6" t="str">
        <f>IF($M5638="PADD I","PADD 1",IF($M5638="PADD II","PADD 2",IF($M5638="PADD III","PADD 3",IF($M5638="PADD IV","PADD 4",IF($M5638="PADD V","PADD 5","")))))</f>
        <v>PADD 3</v>
      </c>
      <c r="G5638" s="6">
        <f>IF(AND($H5638="ATMOS DISTILLATION",ISNUMBER(SEARCH("VPS",$I5638))=FALSE,LEFT($I5638,6)&lt;&gt;"VACUUM"),"CDU",IF($H5638="FLUID CAT CRACKING","FCC",IF(OR($H5638="HYDROCRACKING",$H5638="RESID_HYDROCRACKING"),"Hydrocracker",IF($H5638="REFORMING","Reformer",""))))</f>
        <v/>
      </c>
      <c r="H5638" s="6" t="s">
        <v>378</v>
      </c>
      <c r="I5638" s="6" t="s">
        <v>987</v>
      </c>
      <c r="J5638" s="6" t="s">
        <v>345</v>
      </c>
      <c r="K5638" s="10">
        <v>11.88</v>
      </c>
      <c r="L5638" s="10">
        <v>44</v>
      </c>
      <c r="M5638" s="6" t="s">
        <v>371</v>
      </c>
    </row>
    <row r="5639" spans="1:13">
      <c r="A5639" s="6">
        <v>2025</v>
      </c>
      <c r="B5639" s="6">
        <v>4</v>
      </c>
      <c r="C5639" s="6" t="s">
        <v>62</v>
      </c>
      <c r="D5639" s="6" t="s">
        <v>380</v>
      </c>
      <c r="E5639" s="6" t="s">
        <v>381</v>
      </c>
      <c r="F5639" s="6" t="str">
        <f>IF($M5639="PADD I","PADD 1",IF($M5639="PADD II","PADD 2",IF($M5639="PADD III","PADD 3",IF($M5639="PADD IV","PADD 4",IF($M5639="PADD V","PADD 5","")))))</f>
        <v>PADD 3</v>
      </c>
      <c r="G5639" s="6">
        <f>IF(AND($H5639="ATMOS DISTILLATION",ISNUMBER(SEARCH("VPS",$I5639))=FALSE,LEFT($I5639,6)&lt;&gt;"VACUUM"),"CDU",IF($H5639="FLUID CAT CRACKING","FCC",IF(OR($H5639="HYDROCRACKING",$H5639="RESID_HYDROCRACKING"),"Hydrocracker",IF($H5639="REFORMING","Reformer",""))))</f>
        <v/>
      </c>
      <c r="H5639" s="6" t="s">
        <v>435</v>
      </c>
      <c r="I5639" s="6" t="s">
        <v>515</v>
      </c>
      <c r="J5639" s="6" t="s">
        <v>345</v>
      </c>
      <c r="K5639" s="10">
        <v>11.84</v>
      </c>
      <c r="L5639" s="10">
        <v>32</v>
      </c>
      <c r="M5639" s="6" t="s">
        <v>371</v>
      </c>
    </row>
    <row r="5640" spans="1:13">
      <c r="A5640" s="6">
        <v>2025</v>
      </c>
      <c r="B5640" s="6">
        <v>4</v>
      </c>
      <c r="C5640" s="6" t="s">
        <v>62</v>
      </c>
      <c r="D5640" s="6" t="s">
        <v>953</v>
      </c>
      <c r="E5640" s="6" t="s">
        <v>733</v>
      </c>
      <c r="F5640" s="6" t="str">
        <f>IF($M5640="PADD I","PADD 1",IF($M5640="PADD II","PADD 2",IF($M5640="PADD III","PADD 3",IF($M5640="PADD IV","PADD 4",IF($M5640="PADD V","PADD 5","")))))</f>
        <v>PADD 2</v>
      </c>
      <c r="G5640" s="6">
        <f>IF(AND($H5640="ATMOS DISTILLATION",ISNUMBER(SEARCH("VPS",$I5640))=FALSE,LEFT($I5640,6)&lt;&gt;"VACUUM"),"CDU",IF($H5640="FLUID CAT CRACKING","FCC",IF(OR($H5640="HYDROCRACKING",$H5640="RESID_HYDROCRACKING"),"Hydrocracker",IF($H5640="REFORMING","Reformer",""))))</f>
        <v/>
      </c>
      <c r="H5640" s="6" t="s">
        <v>43</v>
      </c>
      <c r="I5640" s="6" t="s">
        <v>449</v>
      </c>
      <c r="J5640" s="6" t="s">
        <v>349</v>
      </c>
      <c r="K5640" s="10">
        <v>11.64</v>
      </c>
      <c r="L5640" s="10">
        <v>12</v>
      </c>
      <c r="M5640" s="6" t="s">
        <v>375</v>
      </c>
    </row>
    <row r="5641" spans="1:13">
      <c r="A5641" s="6">
        <v>2025</v>
      </c>
      <c r="B5641" s="6">
        <v>4</v>
      </c>
      <c r="C5641" s="6" t="s">
        <v>62</v>
      </c>
      <c r="D5641" s="6" t="s">
        <v>468</v>
      </c>
      <c r="E5641" s="6" t="s">
        <v>369</v>
      </c>
      <c r="F5641" s="6" t="str">
        <f>IF($M5641="PADD I","PADD 1",IF($M5641="PADD II","PADD 2",IF($M5641="PADD III","PADD 3",IF($M5641="PADD IV","PADD 4",IF($M5641="PADD V","PADD 5","")))))</f>
        <v>PADD 3</v>
      </c>
      <c r="G5641" s="6">
        <f>IF(AND($H5641="ATMOS DISTILLATION",ISNUMBER(SEARCH("VPS",$I5641))=FALSE,LEFT($I5641,6)&lt;&gt;"VACUUM"),"CDU",IF($H5641="FLUID CAT CRACKING","FCC",IF(OR($H5641="HYDROCRACKING",$H5641="RESID_HYDROCRACKING"),"Hydrocracker",IF($H5641="REFORMING","Reformer",""))))</f>
        <v/>
      </c>
      <c r="H5641" s="6" t="s">
        <v>43</v>
      </c>
      <c r="I5641" s="6" t="s">
        <v>1031</v>
      </c>
      <c r="J5641" s="6" t="s">
        <v>349</v>
      </c>
      <c r="K5641" s="10">
        <v>11.4</v>
      </c>
      <c r="L5641" s="10">
        <v>20</v>
      </c>
      <c r="M5641" s="6" t="s">
        <v>371</v>
      </c>
    </row>
    <row r="5642" spans="1:13">
      <c r="A5642" s="6">
        <v>2025</v>
      </c>
      <c r="B5642" s="6">
        <v>4</v>
      </c>
      <c r="C5642" s="6" t="s">
        <v>62</v>
      </c>
      <c r="D5642" s="6" t="s">
        <v>468</v>
      </c>
      <c r="E5642" s="6" t="s">
        <v>369</v>
      </c>
      <c r="F5642" s="6" t="str">
        <f>IF($M5642="PADD I","PADD 1",IF($M5642="PADD II","PADD 2",IF($M5642="PADD III","PADD 3",IF($M5642="PADD IV","PADD 4",IF($M5642="PADD V","PADD 5","")))))</f>
        <v>PADD 3</v>
      </c>
      <c r="G5642" s="6" t="str">
        <f>IF(AND($H5642="ATMOS DISTILLATION",ISNUMBER(SEARCH("VPS",$I5642))=FALSE,LEFT($I5642,6)&lt;&gt;"VACUUM"),"CDU",IF($H5642="FLUID CAT CRACKING","FCC",IF(OR($H5642="HYDROCRACKING",$H5642="RESID_HYDROCRACKING"),"Hydrocracker",IF($H5642="REFORMING","Reformer",""))))</f>
        <v>Reformer</v>
      </c>
      <c r="H5642" s="6" t="s">
        <v>421</v>
      </c>
      <c r="I5642" s="6" t="s">
        <v>858</v>
      </c>
      <c r="J5642" s="6" t="s">
        <v>349</v>
      </c>
      <c r="K5642" s="10">
        <v>11.4</v>
      </c>
      <c r="L5642" s="10">
        <v>20</v>
      </c>
      <c r="M5642" s="6" t="s">
        <v>371</v>
      </c>
    </row>
    <row r="5643" spans="1:13">
      <c r="A5643" s="6">
        <v>2025</v>
      </c>
      <c r="B5643" s="6">
        <v>4</v>
      </c>
      <c r="C5643" s="6" t="s">
        <v>62</v>
      </c>
      <c r="D5643" s="6" t="s">
        <v>739</v>
      </c>
      <c r="E5643" s="6" t="s">
        <v>405</v>
      </c>
      <c r="F5643" s="6" t="str">
        <f>IF($M5643="PADD I","PADD 1",IF($M5643="PADD II","PADD 2",IF($M5643="PADD III","PADD 3",IF($M5643="PADD IV","PADD 4",IF($M5643="PADD V","PADD 5","")))))</f>
        <v>PADD 2</v>
      </c>
      <c r="G5643" s="6">
        <f>IF(AND($H5643="ATMOS DISTILLATION",ISNUMBER(SEARCH("VPS",$I5643))=FALSE,LEFT($I5643,6)&lt;&gt;"VACUUM"),"CDU",IF($H5643="FLUID CAT CRACKING","FCC",IF(OR($H5643="HYDROCRACKING",$H5643="RESID_HYDROCRACKING"),"Hydrocracker",IF($H5643="REFORMING","Reformer",""))))</f>
        <v/>
      </c>
      <c r="H5643" s="6" t="s">
        <v>43</v>
      </c>
      <c r="I5643" s="6" t="s">
        <v>493</v>
      </c>
      <c r="J5643" s="6" t="s">
        <v>349</v>
      </c>
      <c r="K5643" s="10">
        <v>11.395</v>
      </c>
      <c r="L5643" s="10">
        <v>26.5</v>
      </c>
      <c r="M5643" s="6" t="s">
        <v>375</v>
      </c>
    </row>
    <row r="5644" spans="1:13">
      <c r="A5644" s="6">
        <v>2025</v>
      </c>
      <c r="B5644" s="6">
        <v>4</v>
      </c>
      <c r="C5644" s="6" t="s">
        <v>62</v>
      </c>
      <c r="D5644" s="6" t="s">
        <v>329</v>
      </c>
      <c r="E5644" s="6" t="s">
        <v>427</v>
      </c>
      <c r="F5644" s="6" t="str">
        <f>IF($M5644="PADD I","PADD 1",IF($M5644="PADD II","PADD 2",IF($M5644="PADD III","PADD 3",IF($M5644="PADD IV","PADD 4",IF($M5644="PADD V","PADD 5","")))))</f>
        <v>PADD 3</v>
      </c>
      <c r="G5644" s="6">
        <f>IF(AND($H5644="ATMOS DISTILLATION",ISNUMBER(SEARCH("VPS",$I5644))=FALSE,LEFT($I5644,6)&lt;&gt;"VACUUM"),"CDU",IF($H5644="FLUID CAT CRACKING","FCC",IF(OR($H5644="HYDROCRACKING",$H5644="RESID_HYDROCRACKING"),"Hydrocracker",IF($H5644="REFORMING","Reformer",""))))</f>
        <v/>
      </c>
      <c r="H5644" s="6" t="s">
        <v>378</v>
      </c>
      <c r="I5644" s="6" t="s">
        <v>428</v>
      </c>
      <c r="J5644" s="6" t="s">
        <v>345</v>
      </c>
      <c r="K5644" s="10">
        <v>11.2</v>
      </c>
      <c r="L5644" s="10">
        <v>112</v>
      </c>
      <c r="M5644" s="6" t="s">
        <v>371</v>
      </c>
    </row>
    <row r="5645" spans="1:13">
      <c r="A5645" s="6">
        <v>2025</v>
      </c>
      <c r="B5645" s="6">
        <v>4</v>
      </c>
      <c r="C5645" s="6" t="s">
        <v>62</v>
      </c>
      <c r="D5645" s="6" t="s">
        <v>408</v>
      </c>
      <c r="E5645" s="6" t="s">
        <v>409</v>
      </c>
      <c r="F5645" s="6" t="str">
        <f>IF($M5645="PADD I","PADD 1",IF($M5645="PADD II","PADD 2",IF($M5645="PADD III","PADD 3",IF($M5645="PADD IV","PADD 4",IF($M5645="PADD V","PADD 5","")))))</f>
        <v>PADD 3</v>
      </c>
      <c r="G5645" s="6" t="str">
        <f>IF(AND($H5645="ATMOS DISTILLATION",ISNUMBER(SEARCH("VPS",$I5645))=FALSE,LEFT($I5645,6)&lt;&gt;"VACUUM"),"CDU",IF($H5645="FLUID CAT CRACKING","FCC",IF(OR($H5645="HYDROCRACKING",$H5645="RESID_HYDROCRACKING"),"Hydrocracker",IF($H5645="REFORMING","Reformer",""))))</f>
        <v>CDU</v>
      </c>
      <c r="H5645" s="6" t="s">
        <v>38</v>
      </c>
      <c r="I5645" s="6" t="s">
        <v>410</v>
      </c>
      <c r="J5645" s="6" t="s">
        <v>345</v>
      </c>
      <c r="K5645" s="10">
        <v>10.4</v>
      </c>
      <c r="L5645" s="10">
        <v>80</v>
      </c>
      <c r="M5645" s="6" t="s">
        <v>371</v>
      </c>
    </row>
    <row r="5646" spans="1:13">
      <c r="A5646" s="6">
        <v>2025</v>
      </c>
      <c r="B5646" s="6">
        <v>4</v>
      </c>
      <c r="C5646" s="6" t="s">
        <v>62</v>
      </c>
      <c r="D5646" s="6" t="s">
        <v>803</v>
      </c>
      <c r="E5646" s="6" t="s">
        <v>388</v>
      </c>
      <c r="F5646" s="6" t="str">
        <f>IF($M5646="PADD I","PADD 1",IF($M5646="PADD II","PADD 2",IF($M5646="PADD III","PADD 3",IF($M5646="PADD IV","PADD 4",IF($M5646="PADD V","PADD 5","")))))</f>
        <v>PADD 2</v>
      </c>
      <c r="G5646" s="6">
        <f>IF(AND($H5646="ATMOS DISTILLATION",ISNUMBER(SEARCH("VPS",$I5646))=FALSE,LEFT($I5646,6)&lt;&gt;"VACUUM"),"CDU",IF($H5646="FLUID CAT CRACKING","FCC",IF(OR($H5646="HYDROCRACKING",$H5646="RESID_HYDROCRACKING"),"Hydrocracker",IF($H5646="REFORMING","Reformer",""))))</f>
        <v/>
      </c>
      <c r="H5646" s="6" t="s">
        <v>43</v>
      </c>
      <c r="I5646" s="6" t="s">
        <v>520</v>
      </c>
      <c r="J5646" s="6" t="s">
        <v>345</v>
      </c>
      <c r="K5646" s="10">
        <v>10.36</v>
      </c>
      <c r="L5646" s="10">
        <v>28</v>
      </c>
      <c r="M5646" s="6" t="s">
        <v>375</v>
      </c>
    </row>
    <row r="5647" spans="1:13">
      <c r="A5647" s="6">
        <v>2025</v>
      </c>
      <c r="B5647" s="6">
        <v>4</v>
      </c>
      <c r="C5647" s="6" t="s">
        <v>62</v>
      </c>
      <c r="D5647" s="6" t="s">
        <v>714</v>
      </c>
      <c r="E5647" s="6" t="s">
        <v>405</v>
      </c>
      <c r="F5647" s="6" t="str">
        <f>IF($M5647="PADD I","PADD 1",IF($M5647="PADD II","PADD 2",IF($M5647="PADD III","PADD 3",IF($M5647="PADD IV","PADD 4",IF($M5647="PADD V","PADD 5","")))))</f>
        <v>PADD 3</v>
      </c>
      <c r="G5647" s="6" t="str">
        <f>IF(AND($H5647="ATMOS DISTILLATION",ISNUMBER(SEARCH("VPS",$I5647))=FALSE,LEFT($I5647,6)&lt;&gt;"VACUUM"),"CDU",IF($H5647="FLUID CAT CRACKING","FCC",IF(OR($H5647="HYDROCRACKING",$H5647="RESID_HYDROCRACKING"),"Hydrocracker",IF($H5647="REFORMING","Reformer",""))))</f>
        <v>Reformer</v>
      </c>
      <c r="H5647" s="6" t="s">
        <v>421</v>
      </c>
      <c r="I5647" s="6" t="s">
        <v>1157</v>
      </c>
      <c r="J5647" s="6" t="s">
        <v>349</v>
      </c>
      <c r="K5647" s="10">
        <v>10.26</v>
      </c>
      <c r="L5647" s="10">
        <v>18</v>
      </c>
      <c r="M5647" s="6" t="s">
        <v>371</v>
      </c>
    </row>
    <row r="5648" spans="1:13">
      <c r="A5648" s="6">
        <v>2025</v>
      </c>
      <c r="B5648" s="6">
        <v>4</v>
      </c>
      <c r="C5648" s="6" t="s">
        <v>62</v>
      </c>
      <c r="D5648" s="6" t="s">
        <v>542</v>
      </c>
      <c r="E5648" s="6" t="s">
        <v>543</v>
      </c>
      <c r="F5648" s="6" t="str">
        <f>IF($M5648="PADD I","PADD 1",IF($M5648="PADD II","PADD 2",IF($M5648="PADD III","PADD 3",IF($M5648="PADD IV","PADD 4",IF($M5648="PADD V","PADD 5","")))))</f>
        <v>PADD 2</v>
      </c>
      <c r="G5648" s="6" t="str">
        <f>IF(AND($H5648="ATMOS DISTILLATION",ISNUMBER(SEARCH("VPS",$I5648))=FALSE,LEFT($I5648,6)&lt;&gt;"VACUUM"),"CDU",IF($H5648="FLUID CAT CRACKING","FCC",IF(OR($H5648="HYDROCRACKING",$H5648="RESID_HYDROCRACKING"),"Hydrocracker",IF($H5648="REFORMING","Reformer",""))))</f>
        <v>Reformer</v>
      </c>
      <c r="H5648" s="6" t="s">
        <v>421</v>
      </c>
      <c r="I5648" s="6" t="s">
        <v>1114</v>
      </c>
      <c r="J5648" s="6" t="s">
        <v>345</v>
      </c>
      <c r="K5648" s="10">
        <v>10.2</v>
      </c>
      <c r="L5648" s="10">
        <v>60</v>
      </c>
      <c r="M5648" s="6" t="s">
        <v>375</v>
      </c>
    </row>
    <row r="5649" spans="1:13">
      <c r="A5649" s="6">
        <v>2025</v>
      </c>
      <c r="B5649" s="6">
        <v>4</v>
      </c>
      <c r="C5649" s="6" t="s">
        <v>62</v>
      </c>
      <c r="D5649" s="6" t="s">
        <v>851</v>
      </c>
      <c r="E5649" s="6" t="s">
        <v>852</v>
      </c>
      <c r="F5649" s="6" t="str">
        <f>IF($M5649="PADD I","PADD 1",IF($M5649="PADD II","PADD 2",IF($M5649="PADD III","PADD 3",IF($M5649="PADD IV","PADD 4",IF($M5649="PADD V","PADD 5","")))))</f>
        <v>PADD 3</v>
      </c>
      <c r="G5649" s="6">
        <f>IF(AND($H5649="ATMOS DISTILLATION",ISNUMBER(SEARCH("VPS",$I5649))=FALSE,LEFT($I5649,6)&lt;&gt;"VACUUM"),"CDU",IF($H5649="FLUID CAT CRACKING","FCC",IF(OR($H5649="HYDROCRACKING",$H5649="RESID_HYDROCRACKING"),"Hydrocracker",IF($H5649="REFORMING","Reformer",""))))</f>
        <v/>
      </c>
      <c r="H5649" s="6" t="s">
        <v>378</v>
      </c>
      <c r="I5649" s="6" t="s">
        <v>860</v>
      </c>
      <c r="J5649" s="6" t="s">
        <v>349</v>
      </c>
      <c r="K5649" s="10">
        <v>9.720000000000001</v>
      </c>
      <c r="L5649" s="10">
        <v>36</v>
      </c>
      <c r="M5649" s="6" t="s">
        <v>371</v>
      </c>
    </row>
    <row r="5650" spans="1:13">
      <c r="A5650" s="6">
        <v>2025</v>
      </c>
      <c r="B5650" s="6">
        <v>4</v>
      </c>
      <c r="C5650" s="6" t="s">
        <v>62</v>
      </c>
      <c r="D5650" s="6" t="s">
        <v>372</v>
      </c>
      <c r="E5650" s="6" t="s">
        <v>373</v>
      </c>
      <c r="F5650" s="6" t="str">
        <f>IF($M5650="PADD I","PADD 1",IF($M5650="PADD II","PADD 2",IF($M5650="PADD III","PADD 3",IF($M5650="PADD IV","PADD 4",IF($M5650="PADD V","PADD 5","")))))</f>
        <v>PADD 2</v>
      </c>
      <c r="G5650" s="6">
        <f>IF(AND($H5650="ATMOS DISTILLATION",ISNUMBER(SEARCH("VPS",$I5650))=FALSE,LEFT($I5650,6)&lt;&gt;"VACUUM"),"CDU",IF($H5650="FLUID CAT CRACKING","FCC",IF(OR($H5650="HYDROCRACKING",$H5650="RESID_HYDROCRACKING"),"Hydrocracker",IF($H5650="REFORMING","Reformer",""))))</f>
        <v/>
      </c>
      <c r="H5650" s="6" t="s">
        <v>378</v>
      </c>
      <c r="I5650" s="6" t="s">
        <v>701</v>
      </c>
      <c r="J5650" s="6" t="s">
        <v>345</v>
      </c>
      <c r="K5650" s="10">
        <v>9.539999999999999</v>
      </c>
      <c r="L5650" s="10">
        <v>18</v>
      </c>
      <c r="M5650" s="6" t="s">
        <v>375</v>
      </c>
    </row>
    <row r="5651" spans="1:13">
      <c r="A5651" s="6">
        <v>2025</v>
      </c>
      <c r="B5651" s="6">
        <v>4</v>
      </c>
      <c r="C5651" s="6" t="s">
        <v>62</v>
      </c>
      <c r="D5651" s="6" t="s">
        <v>739</v>
      </c>
      <c r="E5651" s="6" t="s">
        <v>405</v>
      </c>
      <c r="F5651" s="6" t="str">
        <f>IF($M5651="PADD I","PADD 1",IF($M5651="PADD II","PADD 2",IF($M5651="PADD III","PADD 3",IF($M5651="PADD IV","PADD 4",IF($M5651="PADD V","PADD 5","")))))</f>
        <v>PADD 2</v>
      </c>
      <c r="G5651" s="6" t="str">
        <f>IF(AND($H5651="ATMOS DISTILLATION",ISNUMBER(SEARCH("VPS",$I5651))=FALSE,LEFT($I5651,6)&lt;&gt;"VACUUM"),"CDU",IF($H5651="FLUID CAT CRACKING","FCC",IF(OR($H5651="HYDROCRACKING",$H5651="RESID_HYDROCRACKING"),"Hydrocracker",IF($H5651="REFORMING","Reformer",""))))</f>
        <v>Hydrocracker</v>
      </c>
      <c r="H5651" s="6" t="s">
        <v>444</v>
      </c>
      <c r="I5651" s="6" t="s">
        <v>795</v>
      </c>
      <c r="J5651" s="6" t="s">
        <v>345</v>
      </c>
      <c r="K5651" s="10">
        <v>9.380000000000001</v>
      </c>
      <c r="L5651" s="10">
        <v>14</v>
      </c>
      <c r="M5651" s="6" t="s">
        <v>375</v>
      </c>
    </row>
    <row r="5652" spans="1:13">
      <c r="A5652" s="6">
        <v>2025</v>
      </c>
      <c r="B5652" s="6">
        <v>4</v>
      </c>
      <c r="C5652" s="6" t="s">
        <v>62</v>
      </c>
      <c r="D5652" s="6" t="s">
        <v>676</v>
      </c>
      <c r="E5652" s="6" t="s">
        <v>677</v>
      </c>
      <c r="F5652" s="6" t="str">
        <f>IF($M5652="PADD I","PADD 1",IF($M5652="PADD II","PADD 2",IF($M5652="PADD III","PADD 3",IF($M5652="PADD IV","PADD 4",IF($M5652="PADD V","PADD 5","")))))</f>
        <v>PADD 1</v>
      </c>
      <c r="G5652" s="6">
        <f>IF(AND($H5652="ATMOS DISTILLATION",ISNUMBER(SEARCH("VPS",$I5652))=FALSE,LEFT($I5652,6)&lt;&gt;"VACUUM"),"CDU",IF($H5652="FLUID CAT CRACKING","FCC",IF(OR($H5652="HYDROCRACKING",$H5652="RESID_HYDROCRACKING"),"Hydrocracker",IF($H5652="REFORMING","Reformer",""))))</f>
        <v/>
      </c>
      <c r="H5652" s="6" t="s">
        <v>378</v>
      </c>
      <c r="I5652" s="6" t="s">
        <v>1262</v>
      </c>
      <c r="J5652" s="6" t="s">
        <v>345</v>
      </c>
      <c r="K5652" s="10">
        <v>9.300000000000001</v>
      </c>
      <c r="L5652" s="10">
        <v>31</v>
      </c>
      <c r="M5652" s="6" t="s">
        <v>413</v>
      </c>
    </row>
    <row r="5653" spans="1:13">
      <c r="A5653" s="6">
        <v>2025</v>
      </c>
      <c r="B5653" s="6">
        <v>4</v>
      </c>
      <c r="C5653" s="6" t="s">
        <v>62</v>
      </c>
      <c r="D5653" s="6" t="s">
        <v>500</v>
      </c>
      <c r="E5653" s="6" t="s">
        <v>388</v>
      </c>
      <c r="F5653" s="6" t="str">
        <f>IF($M5653="PADD I","PADD 1",IF($M5653="PADD II","PADD 2",IF($M5653="PADD III","PADD 3",IF($M5653="PADD IV","PADD 4",IF($M5653="PADD V","PADD 5","")))))</f>
        <v>PADD 2</v>
      </c>
      <c r="G5653" s="6">
        <f>IF(AND($H5653="ATMOS DISTILLATION",ISNUMBER(SEARCH("VPS",$I5653))=FALSE,LEFT($I5653,6)&lt;&gt;"VACUUM"),"CDU",IF($H5653="FLUID CAT CRACKING","FCC",IF(OR($H5653="HYDROCRACKING",$H5653="RESID_HYDROCRACKING"),"Hydrocracker",IF($H5653="REFORMING","Reformer",""))))</f>
        <v/>
      </c>
      <c r="H5653" s="6" t="s">
        <v>43</v>
      </c>
      <c r="I5653" s="6" t="s">
        <v>501</v>
      </c>
      <c r="J5653" s="6" t="s">
        <v>345</v>
      </c>
      <c r="K5653" s="10">
        <v>9.15</v>
      </c>
      <c r="L5653" s="10">
        <v>30.5</v>
      </c>
      <c r="M5653" s="6" t="s">
        <v>375</v>
      </c>
    </row>
    <row r="5654" spans="1:13">
      <c r="A5654" s="6">
        <v>2025</v>
      </c>
      <c r="B5654" s="6">
        <v>4</v>
      </c>
      <c r="C5654" s="6" t="s">
        <v>62</v>
      </c>
      <c r="D5654" s="6" t="s">
        <v>542</v>
      </c>
      <c r="E5654" s="6" t="s">
        <v>543</v>
      </c>
      <c r="F5654" s="6" t="str">
        <f>IF($M5654="PADD I","PADD 1",IF($M5654="PADD II","PADD 2",IF($M5654="PADD III","PADD 3",IF($M5654="PADD IV","PADD 4",IF($M5654="PADD V","PADD 5","")))))</f>
        <v>PADD 2</v>
      </c>
      <c r="G5654" s="6" t="str">
        <f>IF(AND($H5654="ATMOS DISTILLATION",ISNUMBER(SEARCH("VPS",$I5654))=FALSE,LEFT($I5654,6)&lt;&gt;"VACUUM"),"CDU",IF($H5654="FLUID CAT CRACKING","FCC",IF(OR($H5654="HYDROCRACKING",$H5654="RESID_HYDROCRACKING"),"Hydrocracker",IF($H5654="REFORMING","Reformer",""))))</f>
        <v>Reformer</v>
      </c>
      <c r="H5654" s="6" t="s">
        <v>421</v>
      </c>
      <c r="I5654" s="6" t="s">
        <v>1112</v>
      </c>
      <c r="J5654" s="6" t="s">
        <v>345</v>
      </c>
      <c r="K5654" s="10">
        <v>9.1</v>
      </c>
      <c r="L5654" s="10">
        <v>70</v>
      </c>
      <c r="M5654" s="6" t="s">
        <v>375</v>
      </c>
    </row>
    <row r="5655" spans="1:13">
      <c r="A5655" s="6">
        <v>2025</v>
      </c>
      <c r="B5655" s="6">
        <v>4</v>
      </c>
      <c r="C5655" s="6" t="s">
        <v>62</v>
      </c>
      <c r="D5655" s="6" t="s">
        <v>321</v>
      </c>
      <c r="E5655" s="6" t="s">
        <v>381</v>
      </c>
      <c r="F5655" s="6" t="str">
        <f>IF($M5655="PADD I","PADD 1",IF($M5655="PADD II","PADD 2",IF($M5655="PADD III","PADD 3",IF($M5655="PADD IV","PADD 4",IF($M5655="PADD V","PADD 5","")))))</f>
        <v>PADD 2</v>
      </c>
      <c r="G5655" s="6">
        <f>IF(AND($H5655="ATMOS DISTILLATION",ISNUMBER(SEARCH("VPS",$I5655))=FALSE,LEFT($I5655,6)&lt;&gt;"VACUUM"),"CDU",IF($H5655="FLUID CAT CRACKING","FCC",IF(OR($H5655="HYDROCRACKING",$H5655="RESID_HYDROCRACKING"),"Hydrocracker",IF($H5655="REFORMING","Reformer",""))))</f>
        <v/>
      </c>
      <c r="H5655" s="6" t="s">
        <v>435</v>
      </c>
      <c r="I5655" s="6" t="s">
        <v>441</v>
      </c>
      <c r="J5655" s="6" t="s">
        <v>349</v>
      </c>
      <c r="K5655" s="10">
        <v>9</v>
      </c>
      <c r="L5655" s="10">
        <v>30</v>
      </c>
      <c r="M5655" s="6" t="s">
        <v>375</v>
      </c>
    </row>
    <row r="5656" spans="1:13">
      <c r="A5656" s="6">
        <v>2025</v>
      </c>
      <c r="B5656" s="6">
        <v>4</v>
      </c>
      <c r="C5656" s="6" t="s">
        <v>62</v>
      </c>
      <c r="D5656" s="6" t="s">
        <v>739</v>
      </c>
      <c r="E5656" s="6" t="s">
        <v>405</v>
      </c>
      <c r="F5656" s="6" t="str">
        <f>IF($M5656="PADD I","PADD 1",IF($M5656="PADD II","PADD 2",IF($M5656="PADD III","PADD 3",IF($M5656="PADD IV","PADD 4",IF($M5656="PADD V","PADD 5","")))))</f>
        <v>PADD 2</v>
      </c>
      <c r="G5656" s="6">
        <f>IF(AND($H5656="ATMOS DISTILLATION",ISNUMBER(SEARCH("VPS",$I5656))=FALSE,LEFT($I5656,6)&lt;&gt;"VACUUM"),"CDU",IF($H5656="FLUID CAT CRACKING","FCC",IF(OR($H5656="HYDROCRACKING",$H5656="RESID_HYDROCRACKING"),"Hydrocracker",IF($H5656="REFORMING","Reformer",""))))</f>
        <v/>
      </c>
      <c r="H5656" s="6" t="s">
        <v>43</v>
      </c>
      <c r="I5656" s="6" t="s">
        <v>1196</v>
      </c>
      <c r="J5656" s="6" t="s">
        <v>349</v>
      </c>
      <c r="K5656" s="10">
        <v>8.6</v>
      </c>
      <c r="L5656" s="10">
        <v>20</v>
      </c>
      <c r="M5656" s="6" t="s">
        <v>375</v>
      </c>
    </row>
    <row r="5657" spans="1:13">
      <c r="A5657" s="6">
        <v>2025</v>
      </c>
      <c r="B5657" s="6">
        <v>4</v>
      </c>
      <c r="C5657" s="6" t="s">
        <v>62</v>
      </c>
      <c r="D5657" s="6" t="s">
        <v>714</v>
      </c>
      <c r="E5657" s="6" t="s">
        <v>405</v>
      </c>
      <c r="F5657" s="6" t="str">
        <f>IF($M5657="PADD I","PADD 1",IF($M5657="PADD II","PADD 2",IF($M5657="PADD III","PADD 3",IF($M5657="PADD IV","PADD 4",IF($M5657="PADD V","PADD 5","")))))</f>
        <v>PADD 3</v>
      </c>
      <c r="G5657" s="6">
        <f>IF(AND($H5657="ATMOS DISTILLATION",ISNUMBER(SEARCH("VPS",$I5657))=FALSE,LEFT($I5657,6)&lt;&gt;"VACUUM"),"CDU",IF($H5657="FLUID CAT CRACKING","FCC",IF(OR($H5657="HYDROCRACKING",$H5657="RESID_HYDROCRACKING"),"Hydrocracker",IF($H5657="REFORMING","Reformer",""))))</f>
        <v/>
      </c>
      <c r="H5657" s="6" t="s">
        <v>43</v>
      </c>
      <c r="I5657" s="6" t="s">
        <v>1303</v>
      </c>
      <c r="J5657" s="6" t="s">
        <v>349</v>
      </c>
      <c r="K5657" s="10">
        <v>8.550000000000001</v>
      </c>
      <c r="L5657" s="10">
        <v>15</v>
      </c>
      <c r="M5657" s="6" t="s">
        <v>371</v>
      </c>
    </row>
    <row r="5658" spans="1:13">
      <c r="A5658" s="6">
        <v>2025</v>
      </c>
      <c r="B5658" s="6">
        <v>4</v>
      </c>
      <c r="C5658" s="6" t="s">
        <v>62</v>
      </c>
      <c r="D5658" s="6" t="s">
        <v>785</v>
      </c>
      <c r="E5658" s="6" t="s">
        <v>779</v>
      </c>
      <c r="F5658" s="6" t="str">
        <f>IF($M5658="PADD I","PADD 1",IF($M5658="PADD II","PADD 2",IF($M5658="PADD III","PADD 3",IF($M5658="PADD IV","PADD 4",IF($M5658="PADD V","PADD 5","")))))</f>
        <v>PADD 2</v>
      </c>
      <c r="G5658" s="6">
        <f>IF(AND($H5658="ATMOS DISTILLATION",ISNUMBER(SEARCH("VPS",$I5658))=FALSE,LEFT($I5658,6)&lt;&gt;"VACUUM"),"CDU",IF($H5658="FLUID CAT CRACKING","FCC",IF(OR($H5658="HYDROCRACKING",$H5658="RESID_HYDROCRACKING"),"Hydrocracker",IF($H5658="REFORMING","Reformer",""))))</f>
        <v/>
      </c>
      <c r="H5658" s="6" t="s">
        <v>378</v>
      </c>
      <c r="I5658" s="6" t="s">
        <v>786</v>
      </c>
      <c r="J5658" s="6" t="s">
        <v>345</v>
      </c>
      <c r="K5658" s="10">
        <v>8.522</v>
      </c>
      <c r="L5658" s="10">
        <v>85.22</v>
      </c>
      <c r="M5658" s="6" t="s">
        <v>375</v>
      </c>
    </row>
    <row r="5659" spans="1:13">
      <c r="A5659" s="6">
        <v>2025</v>
      </c>
      <c r="B5659" s="6">
        <v>4</v>
      </c>
      <c r="C5659" s="6" t="s">
        <v>62</v>
      </c>
      <c r="D5659" s="6" t="s">
        <v>727</v>
      </c>
      <c r="E5659" s="6" t="s">
        <v>728</v>
      </c>
      <c r="F5659" s="6" t="str">
        <f>IF($M5659="PADD I","PADD 1",IF($M5659="PADD II","PADD 2",IF($M5659="PADD III","PADD 3",IF($M5659="PADD IV","PADD 4",IF($M5659="PADD V","PADD 5","")))))</f>
        <v>PADD 1</v>
      </c>
      <c r="G5659" s="6">
        <f>IF(AND($H5659="ATMOS DISTILLATION",ISNUMBER(SEARCH("VPS",$I5659))=FALSE,LEFT($I5659,6)&lt;&gt;"VACUUM"),"CDU",IF($H5659="FLUID CAT CRACKING","FCC",IF(OR($H5659="HYDROCRACKING",$H5659="RESID_HYDROCRACKING"),"Hydrocracker",IF($H5659="REFORMING","Reformer",""))))</f>
        <v/>
      </c>
      <c r="H5659" s="6" t="s">
        <v>378</v>
      </c>
      <c r="I5659" s="6" t="s">
        <v>431</v>
      </c>
      <c r="J5659" s="6" t="s">
        <v>349</v>
      </c>
      <c r="K5659" s="10">
        <v>8.5</v>
      </c>
      <c r="L5659" s="10">
        <v>8.5</v>
      </c>
      <c r="M5659" s="6" t="s">
        <v>413</v>
      </c>
    </row>
    <row r="5660" spans="1:13">
      <c r="A5660" s="6">
        <v>2025</v>
      </c>
      <c r="B5660" s="6">
        <v>4</v>
      </c>
      <c r="C5660" s="6" t="s">
        <v>62</v>
      </c>
      <c r="D5660" s="6" t="s">
        <v>321</v>
      </c>
      <c r="E5660" s="6" t="s">
        <v>381</v>
      </c>
      <c r="F5660" s="6" t="str">
        <f>IF($M5660="PADD I","PADD 1",IF($M5660="PADD II","PADD 2",IF($M5660="PADD III","PADD 3",IF($M5660="PADD IV","PADD 4",IF($M5660="PADD V","PADD 5","")))))</f>
        <v>PADD 2</v>
      </c>
      <c r="G5660" s="6" t="str">
        <f>IF(AND($H5660="ATMOS DISTILLATION",ISNUMBER(SEARCH("VPS",$I5660))=FALSE,LEFT($I5660,6)&lt;&gt;"VACUUM"),"CDU",IF($H5660="FLUID CAT CRACKING","FCC",IF(OR($H5660="HYDROCRACKING",$H5660="RESID_HYDROCRACKING"),"Hydrocracker",IF($H5660="REFORMING","Reformer",""))))</f>
        <v>FCC</v>
      </c>
      <c r="H5660" s="6" t="s">
        <v>376</v>
      </c>
      <c r="I5660" s="6" t="s">
        <v>105</v>
      </c>
      <c r="J5660" s="6" t="s">
        <v>349</v>
      </c>
      <c r="K5660" s="10">
        <v>8.4</v>
      </c>
      <c r="L5660" s="10">
        <v>28</v>
      </c>
      <c r="M5660" s="6" t="s">
        <v>375</v>
      </c>
    </row>
    <row r="5661" spans="1:13">
      <c r="A5661" s="6">
        <v>2025</v>
      </c>
      <c r="B5661" s="6">
        <v>4</v>
      </c>
      <c r="C5661" s="6" t="s">
        <v>62</v>
      </c>
      <c r="D5661" s="6" t="s">
        <v>446</v>
      </c>
      <c r="E5661" s="6" t="s">
        <v>391</v>
      </c>
      <c r="F5661" s="6" t="str">
        <f>IF($M5661="PADD I","PADD 1",IF($M5661="PADD II","PADD 2",IF($M5661="PADD III","PADD 3",IF($M5661="PADD IV","PADD 4",IF($M5661="PADD V","PADD 5","")))))</f>
        <v>PADD 3</v>
      </c>
      <c r="G5661" s="6">
        <f>IF(AND($H5661="ATMOS DISTILLATION",ISNUMBER(SEARCH("VPS",$I5661))=FALSE,LEFT($I5661,6)&lt;&gt;"VACUUM"),"CDU",IF($H5661="FLUID CAT CRACKING","FCC",IF(OR($H5661="HYDROCRACKING",$H5661="RESID_HYDROCRACKING"),"Hydrocracker",IF($H5661="REFORMING","Reformer",""))))</f>
        <v/>
      </c>
      <c r="H5661" s="6" t="s">
        <v>378</v>
      </c>
      <c r="I5661" s="6" t="s">
        <v>1041</v>
      </c>
      <c r="J5661" s="6" t="s">
        <v>345</v>
      </c>
      <c r="K5661" s="10">
        <v>8.199999999999999</v>
      </c>
      <c r="L5661" s="10">
        <v>41</v>
      </c>
      <c r="M5661" s="6" t="s">
        <v>371</v>
      </c>
    </row>
    <row r="5662" spans="1:13">
      <c r="A5662" s="6">
        <v>2025</v>
      </c>
      <c r="B5662" s="6">
        <v>4</v>
      </c>
      <c r="C5662" s="6" t="s">
        <v>62</v>
      </c>
      <c r="D5662" s="6" t="s">
        <v>715</v>
      </c>
      <c r="E5662" s="6" t="s">
        <v>716</v>
      </c>
      <c r="F5662" s="6" t="str">
        <f>IF($M5662="PADD I","PADD 1",IF($M5662="PADD II","PADD 2",IF($M5662="PADD III","PADD 3",IF($M5662="PADD IV","PADD 4",IF($M5662="PADD V","PADD 5","")))))</f>
        <v>PADD 2</v>
      </c>
      <c r="G5662" s="6" t="str">
        <f>IF(AND($H5662="ATMOS DISTILLATION",ISNUMBER(SEARCH("VPS",$I5662))=FALSE,LEFT($I5662,6)&lt;&gt;"VACUUM"),"CDU",IF($H5662="FLUID CAT CRACKING","FCC",IF(OR($H5662="HYDROCRACKING",$H5662="RESID_HYDROCRACKING"),"Hydrocracker",IF($H5662="REFORMING","Reformer",""))))</f>
        <v>CDU</v>
      </c>
      <c r="H5662" s="6" t="s">
        <v>38</v>
      </c>
      <c r="I5662" s="6" t="s">
        <v>1168</v>
      </c>
      <c r="J5662" s="6" t="s">
        <v>349</v>
      </c>
      <c r="K5662" s="10">
        <v>8.050000000000001</v>
      </c>
      <c r="L5662" s="10">
        <v>35</v>
      </c>
      <c r="M5662" s="6" t="s">
        <v>375</v>
      </c>
    </row>
    <row r="5663" spans="1:13">
      <c r="A5663" s="6">
        <v>2025</v>
      </c>
      <c r="B5663" s="6">
        <v>4</v>
      </c>
      <c r="C5663" s="6" t="s">
        <v>62</v>
      </c>
      <c r="D5663" s="6" t="s">
        <v>610</v>
      </c>
      <c r="E5663" s="6" t="s">
        <v>611</v>
      </c>
      <c r="F5663" s="6" t="str">
        <f>IF($M5663="PADD I","PADD 1",IF($M5663="PADD II","PADD 2",IF($M5663="PADD III","PADD 3",IF($M5663="PADD IV","PADD 4",IF($M5663="PADD V","PADD 5","")))))</f>
        <v>PADD 2</v>
      </c>
      <c r="G5663" s="6">
        <f>IF(AND($H5663="ATMOS DISTILLATION",ISNUMBER(SEARCH("VPS",$I5663))=FALSE,LEFT($I5663,6)&lt;&gt;"VACUUM"),"CDU",IF($H5663="FLUID CAT CRACKING","FCC",IF(OR($H5663="HYDROCRACKING",$H5663="RESID_HYDROCRACKING"),"Hydrocracker",IF($H5663="REFORMING","Reformer",""))))</f>
        <v/>
      </c>
      <c r="H5663" s="6" t="s">
        <v>460</v>
      </c>
      <c r="I5663" s="6" t="s">
        <v>616</v>
      </c>
      <c r="J5663" s="6" t="s">
        <v>349</v>
      </c>
      <c r="K5663" s="10">
        <v>8</v>
      </c>
      <c r="L5663" s="10">
        <v>8</v>
      </c>
      <c r="M5663" s="6" t="s">
        <v>375</v>
      </c>
    </row>
    <row r="5664" spans="1:13">
      <c r="A5664" s="6">
        <v>2025</v>
      </c>
      <c r="B5664" s="6">
        <v>4</v>
      </c>
      <c r="C5664" s="6" t="s">
        <v>62</v>
      </c>
      <c r="D5664" s="6" t="s">
        <v>48</v>
      </c>
      <c r="E5664" s="6" t="s">
        <v>388</v>
      </c>
      <c r="F5664" s="6" t="str">
        <f>IF($M5664="PADD I","PADD 1",IF($M5664="PADD II","PADD 2",IF($M5664="PADD III","PADD 3",IF($M5664="PADD IV","PADD 4",IF($M5664="PADD V","PADD 5","")))))</f>
        <v>PADD 2</v>
      </c>
      <c r="G5664" s="6">
        <f>IF(AND($H5664="ATMOS DISTILLATION",ISNUMBER(SEARCH("VPS",$I5664))=FALSE,LEFT($I5664,6)&lt;&gt;"VACUUM"),"CDU",IF($H5664="FLUID CAT CRACKING","FCC",IF(OR($H5664="HYDROCRACKING",$H5664="RESID_HYDROCRACKING"),"Hydrocracker",IF($H5664="REFORMING","Reformer",""))))</f>
        <v/>
      </c>
      <c r="H5664" s="6" t="s">
        <v>637</v>
      </c>
      <c r="I5664" s="6" t="s">
        <v>604</v>
      </c>
      <c r="J5664" s="6" t="s">
        <v>345</v>
      </c>
      <c r="K5664" s="10">
        <v>8</v>
      </c>
      <c r="L5664" s="10">
        <v>16</v>
      </c>
      <c r="M5664" s="6" t="s">
        <v>375</v>
      </c>
    </row>
    <row r="5665" spans="1:13">
      <c r="A5665" s="6">
        <v>2025</v>
      </c>
      <c r="B5665" s="6">
        <v>4</v>
      </c>
      <c r="C5665" s="6" t="s">
        <v>62</v>
      </c>
      <c r="D5665" s="6" t="s">
        <v>727</v>
      </c>
      <c r="E5665" s="6" t="s">
        <v>728</v>
      </c>
      <c r="F5665" s="6" t="str">
        <f>IF($M5665="PADD I","PADD 1",IF($M5665="PADD II","PADD 2",IF($M5665="PADD III","PADD 3",IF($M5665="PADD IV","PADD 4",IF($M5665="PADD V","PADD 5","")))))</f>
        <v>PADD 1</v>
      </c>
      <c r="G5665" s="6">
        <f>IF(AND($H5665="ATMOS DISTILLATION",ISNUMBER(SEARCH("VPS",$I5665))=FALSE,LEFT($I5665,6)&lt;&gt;"VACUUM"),"CDU",IF($H5665="FLUID CAT CRACKING","FCC",IF(OR($H5665="HYDROCRACKING",$H5665="RESID_HYDROCRACKING"),"Hydrocracker",IF($H5665="REFORMING","Reformer",""))))</f>
        <v/>
      </c>
      <c r="H5665" s="6" t="s">
        <v>43</v>
      </c>
      <c r="I5665" s="6" t="s">
        <v>520</v>
      </c>
      <c r="J5665" s="6" t="s">
        <v>349</v>
      </c>
      <c r="K5665" s="10">
        <v>8</v>
      </c>
      <c r="L5665" s="10">
        <v>8</v>
      </c>
      <c r="M5665" s="6" t="s">
        <v>413</v>
      </c>
    </row>
    <row r="5666" spans="1:13">
      <c r="A5666" s="6">
        <v>2025</v>
      </c>
      <c r="B5666" s="6">
        <v>4</v>
      </c>
      <c r="C5666" s="6" t="s">
        <v>62</v>
      </c>
      <c r="D5666" s="6" t="s">
        <v>878</v>
      </c>
      <c r="E5666" s="6" t="s">
        <v>452</v>
      </c>
      <c r="F5666" s="6" t="str">
        <f>IF($M5666="PADD I","PADD 1",IF($M5666="PADD II","PADD 2",IF($M5666="PADD III","PADD 3",IF($M5666="PADD IV","PADD 4",IF($M5666="PADD V","PADD 5","")))))</f>
        <v>PADD 2</v>
      </c>
      <c r="G5666" s="6">
        <f>IF(AND($H5666="ATMOS DISTILLATION",ISNUMBER(SEARCH("VPS",$I5666))=FALSE,LEFT($I5666,6)&lt;&gt;"VACUUM"),"CDU",IF($H5666="FLUID CAT CRACKING","FCC",IF(OR($H5666="HYDROCRACKING",$H5666="RESID_HYDROCRACKING"),"Hydrocracker",IF($H5666="REFORMING","Reformer",""))))</f>
        <v/>
      </c>
      <c r="H5666" s="6" t="s">
        <v>435</v>
      </c>
      <c r="I5666" s="6" t="s">
        <v>441</v>
      </c>
      <c r="J5666" s="6" t="s">
        <v>345</v>
      </c>
      <c r="K5666" s="10">
        <v>7.905</v>
      </c>
      <c r="L5666" s="10">
        <v>8.5</v>
      </c>
      <c r="M5666" s="6" t="s">
        <v>375</v>
      </c>
    </row>
    <row r="5667" spans="1:13">
      <c r="A5667" s="6">
        <v>2025</v>
      </c>
      <c r="B5667" s="6">
        <v>4</v>
      </c>
      <c r="C5667" s="6" t="s">
        <v>62</v>
      </c>
      <c r="D5667" s="6" t="s">
        <v>815</v>
      </c>
      <c r="E5667" s="6" t="s">
        <v>452</v>
      </c>
      <c r="F5667" s="6" t="str">
        <f>IF($M5667="PADD I","PADD 1",IF($M5667="PADD II","PADD 2",IF($M5667="PADD III","PADD 3",IF($M5667="PADD IV","PADD 4",IF($M5667="PADD V","PADD 5","")))))</f>
        <v>PADD 4</v>
      </c>
      <c r="G5667" s="6" t="str">
        <f>IF(AND($H5667="ATMOS DISTILLATION",ISNUMBER(SEARCH("VPS",$I5667))=FALSE,LEFT($I5667,6)&lt;&gt;"VACUUM"),"CDU",IF($H5667="FLUID CAT CRACKING","FCC",IF(OR($H5667="HYDROCRACKING",$H5667="RESID_HYDROCRACKING"),"Hydrocracker",IF($H5667="REFORMING","Reformer",""))))</f>
        <v>Reformer</v>
      </c>
      <c r="H5667" s="6" t="s">
        <v>421</v>
      </c>
      <c r="I5667" s="6" t="s">
        <v>832</v>
      </c>
      <c r="J5667" s="6" t="s">
        <v>349</v>
      </c>
      <c r="K5667" s="10">
        <v>7.875</v>
      </c>
      <c r="L5667" s="10">
        <v>12.5</v>
      </c>
      <c r="M5667" s="6" t="s">
        <v>430</v>
      </c>
    </row>
    <row r="5668" spans="1:13">
      <c r="A5668" s="6">
        <v>2025</v>
      </c>
      <c r="B5668" s="6">
        <v>4</v>
      </c>
      <c r="C5668" s="6" t="s">
        <v>62</v>
      </c>
      <c r="D5668" s="6" t="s">
        <v>500</v>
      </c>
      <c r="E5668" s="6" t="s">
        <v>388</v>
      </c>
      <c r="F5668" s="6" t="str">
        <f>IF($M5668="PADD I","PADD 1",IF($M5668="PADD II","PADD 2",IF($M5668="PADD III","PADD 3",IF($M5668="PADD IV","PADD 4",IF($M5668="PADD V","PADD 5","")))))</f>
        <v>PADD 2</v>
      </c>
      <c r="G5668" s="6" t="str">
        <f>IF(AND($H5668="ATMOS DISTILLATION",ISNUMBER(SEARCH("VPS",$I5668))=FALSE,LEFT($I5668,6)&lt;&gt;"VACUUM"),"CDU",IF($H5668="FLUID CAT CRACKING","FCC",IF(OR($H5668="HYDROCRACKING",$H5668="RESID_HYDROCRACKING"),"Hydrocracker",IF($H5668="REFORMING","Reformer",""))))</f>
        <v>FCC</v>
      </c>
      <c r="H5668" s="6" t="s">
        <v>376</v>
      </c>
      <c r="I5668" s="6" t="s">
        <v>105</v>
      </c>
      <c r="J5668" s="6" t="s">
        <v>345</v>
      </c>
      <c r="K5668" s="10">
        <v>7.8</v>
      </c>
      <c r="L5668" s="10">
        <v>26</v>
      </c>
      <c r="M5668" s="6" t="s">
        <v>375</v>
      </c>
    </row>
    <row r="5669" spans="1:13">
      <c r="A5669" s="6">
        <v>2025</v>
      </c>
      <c r="B5669" s="6">
        <v>4</v>
      </c>
      <c r="C5669" s="6" t="s">
        <v>62</v>
      </c>
      <c r="D5669" s="6" t="s">
        <v>801</v>
      </c>
      <c r="E5669" s="6" t="s">
        <v>779</v>
      </c>
      <c r="F5669" s="6" t="str">
        <f>IF($M5669="PADD I","PADD 1",IF($M5669="PADD II","PADD 2",IF($M5669="PADD III","PADD 3",IF($M5669="PADD IV","PADD 4",IF($M5669="PADD V","PADD 5","")))))</f>
        <v>PADD 2</v>
      </c>
      <c r="G5669" s="6">
        <f>IF(AND($H5669="ATMOS DISTILLATION",ISNUMBER(SEARCH("VPS",$I5669))=FALSE,LEFT($I5669,6)&lt;&gt;"VACUUM"),"CDU",IF($H5669="FLUID CAT CRACKING","FCC",IF(OR($H5669="HYDROCRACKING",$H5669="RESID_HYDROCRACKING"),"Hydrocracker",IF($H5669="REFORMING","Reformer",""))))</f>
        <v/>
      </c>
      <c r="H5669" s="6" t="s">
        <v>435</v>
      </c>
      <c r="I5669" s="6" t="s">
        <v>894</v>
      </c>
      <c r="J5669" s="6" t="s">
        <v>349</v>
      </c>
      <c r="K5669" s="10">
        <v>7.755</v>
      </c>
      <c r="L5669" s="10">
        <v>16.5</v>
      </c>
      <c r="M5669" s="6" t="s">
        <v>375</v>
      </c>
    </row>
    <row r="5670" spans="1:13">
      <c r="A5670" s="6">
        <v>2025</v>
      </c>
      <c r="B5670" s="6">
        <v>4</v>
      </c>
      <c r="C5670" s="6" t="s">
        <v>62</v>
      </c>
      <c r="D5670" s="6" t="s">
        <v>380</v>
      </c>
      <c r="E5670" s="6" t="s">
        <v>381</v>
      </c>
      <c r="F5670" s="6" t="str">
        <f>IF($M5670="PADD I","PADD 1",IF($M5670="PADD II","PADD 2",IF($M5670="PADD III","PADD 3",IF($M5670="PADD IV","PADD 4",IF($M5670="PADD V","PADD 5","")))))</f>
        <v>PADD 3</v>
      </c>
      <c r="G5670" s="6" t="str">
        <f>IF(AND($H5670="ATMOS DISTILLATION",ISNUMBER(SEARCH("VPS",$I5670))=FALSE,LEFT($I5670,6)&lt;&gt;"VACUUM"),"CDU",IF($H5670="FLUID CAT CRACKING","FCC",IF(OR($H5670="HYDROCRACKING",$H5670="RESID_HYDROCRACKING"),"Hydrocracker",IF($H5670="REFORMING","Reformer",""))))</f>
        <v>FCC</v>
      </c>
      <c r="H5670" s="6" t="s">
        <v>376</v>
      </c>
      <c r="I5670" s="6" t="s">
        <v>652</v>
      </c>
      <c r="J5670" s="6" t="s">
        <v>345</v>
      </c>
      <c r="K5670" s="10">
        <v>7.7</v>
      </c>
      <c r="L5670" s="10">
        <v>110</v>
      </c>
      <c r="M5670" s="6" t="s">
        <v>371</v>
      </c>
    </row>
    <row r="5671" spans="1:13">
      <c r="A5671" s="6">
        <v>2025</v>
      </c>
      <c r="B5671" s="6">
        <v>4</v>
      </c>
      <c r="C5671" s="6" t="s">
        <v>62</v>
      </c>
      <c r="D5671" s="6" t="s">
        <v>500</v>
      </c>
      <c r="E5671" s="6" t="s">
        <v>388</v>
      </c>
      <c r="F5671" s="6" t="str">
        <f>IF($M5671="PADD I","PADD 1",IF($M5671="PADD II","PADD 2",IF($M5671="PADD III","PADD 3",IF($M5671="PADD IV","PADD 4",IF($M5671="PADD V","PADD 5","")))))</f>
        <v>PADD 2</v>
      </c>
      <c r="G5671" s="6">
        <f>IF(AND($H5671="ATMOS DISTILLATION",ISNUMBER(SEARCH("VPS",$I5671))=FALSE,LEFT($I5671,6)&lt;&gt;"VACUUM"),"CDU",IF($H5671="FLUID CAT CRACKING","FCC",IF(OR($H5671="HYDROCRACKING",$H5671="RESID_HYDROCRACKING"),"Hydrocracker",IF($H5671="REFORMING","Reformer",""))))</f>
        <v/>
      </c>
      <c r="H5671" s="6" t="s">
        <v>43</v>
      </c>
      <c r="I5671" s="6" t="s">
        <v>520</v>
      </c>
      <c r="J5671" s="6" t="s">
        <v>345</v>
      </c>
      <c r="K5671" s="10">
        <v>7.05</v>
      </c>
      <c r="L5671" s="10">
        <v>23.5</v>
      </c>
      <c r="M5671" s="6" t="s">
        <v>375</v>
      </c>
    </row>
    <row r="5672" spans="1:13">
      <c r="A5672" s="6">
        <v>2025</v>
      </c>
      <c r="B5672" s="6">
        <v>4</v>
      </c>
      <c r="C5672" s="6" t="s">
        <v>62</v>
      </c>
      <c r="D5672" s="6" t="s">
        <v>411</v>
      </c>
      <c r="E5672" s="6" t="s">
        <v>369</v>
      </c>
      <c r="F5672" s="6" t="str">
        <f>IF($M5672="PADD I","PADD 1",IF($M5672="PADD II","PADD 2",IF($M5672="PADD III","PADD 3",IF($M5672="PADD IV","PADD 4",IF($M5672="PADD V","PADD 5","")))))</f>
        <v>PADD 1</v>
      </c>
      <c r="G5672" s="6">
        <f>IF(AND($H5672="ATMOS DISTILLATION",ISNUMBER(SEARCH("VPS",$I5672))=FALSE,LEFT($I5672,6)&lt;&gt;"VACUUM"),"CDU",IF($H5672="FLUID CAT CRACKING","FCC",IF(OR($H5672="HYDROCRACKING",$H5672="RESID_HYDROCRACKING"),"Hydrocracker",IF($H5672="REFORMING","Reformer",""))))</f>
        <v/>
      </c>
      <c r="H5672" s="6" t="s">
        <v>43</v>
      </c>
      <c r="I5672" s="6" t="s">
        <v>884</v>
      </c>
      <c r="J5672" s="6" t="s">
        <v>345</v>
      </c>
      <c r="K5672" s="10">
        <v>7.0325</v>
      </c>
      <c r="L5672" s="10">
        <v>7.25</v>
      </c>
      <c r="M5672" s="6" t="s">
        <v>413</v>
      </c>
    </row>
    <row r="5673" spans="1:13">
      <c r="A5673" s="6">
        <v>2025</v>
      </c>
      <c r="B5673" s="6">
        <v>4</v>
      </c>
      <c r="C5673" s="6" t="s">
        <v>62</v>
      </c>
      <c r="D5673" s="6" t="s">
        <v>321</v>
      </c>
      <c r="E5673" s="6" t="s">
        <v>381</v>
      </c>
      <c r="F5673" s="6" t="str">
        <f>IF($M5673="PADD I","PADD 1",IF($M5673="PADD II","PADD 2",IF($M5673="PADD III","PADD 3",IF($M5673="PADD IV","PADD 4",IF($M5673="PADD V","PADD 5","")))))</f>
        <v>PADD 2</v>
      </c>
      <c r="G5673" s="6" t="str">
        <f>IF(AND($H5673="ATMOS DISTILLATION",ISNUMBER(SEARCH("VPS",$I5673))=FALSE,LEFT($I5673,6)&lt;&gt;"VACUUM"),"CDU",IF($H5673="FLUID CAT CRACKING","FCC",IF(OR($H5673="HYDROCRACKING",$H5673="RESID_HYDROCRACKING"),"Hydrocracker",IF($H5673="REFORMING","Reformer",""))))</f>
        <v>FCC</v>
      </c>
      <c r="H5673" s="6" t="s">
        <v>376</v>
      </c>
      <c r="I5673" s="6" t="s">
        <v>105</v>
      </c>
      <c r="J5673" s="6" t="s">
        <v>349</v>
      </c>
      <c r="K5673" s="10">
        <v>7</v>
      </c>
      <c r="L5673" s="10">
        <v>35</v>
      </c>
      <c r="M5673" s="6" t="s">
        <v>375</v>
      </c>
    </row>
    <row r="5674" spans="1:13">
      <c r="A5674" s="6">
        <v>2025</v>
      </c>
      <c r="B5674" s="6">
        <v>4</v>
      </c>
      <c r="C5674" s="6" t="s">
        <v>62</v>
      </c>
      <c r="D5674" s="6" t="s">
        <v>411</v>
      </c>
      <c r="E5674" s="6" t="s">
        <v>369</v>
      </c>
      <c r="F5674" s="6" t="str">
        <f>IF($M5674="PADD I","PADD 1",IF($M5674="PADD II","PADD 2",IF($M5674="PADD III","PADD 3",IF($M5674="PADD IV","PADD 4",IF($M5674="PADD V","PADD 5","")))))</f>
        <v>PADD 1</v>
      </c>
      <c r="G5674" s="6">
        <f>IF(AND($H5674="ATMOS DISTILLATION",ISNUMBER(SEARCH("VPS",$I5674))=FALSE,LEFT($I5674,6)&lt;&gt;"VACUUM"),"CDU",IF($H5674="FLUID CAT CRACKING","FCC",IF(OR($H5674="HYDROCRACKING",$H5674="RESID_HYDROCRACKING"),"Hydrocracker",IF($H5674="REFORMING","Reformer",""))))</f>
        <v/>
      </c>
      <c r="H5674" s="6" t="s">
        <v>43</v>
      </c>
      <c r="I5674" s="6" t="s">
        <v>885</v>
      </c>
      <c r="J5674" s="6" t="s">
        <v>345</v>
      </c>
      <c r="K5674" s="10">
        <v>6.79</v>
      </c>
      <c r="L5674" s="10">
        <v>7</v>
      </c>
      <c r="M5674" s="6" t="s">
        <v>413</v>
      </c>
    </row>
    <row r="5675" spans="1:13">
      <c r="A5675" s="6">
        <v>2025</v>
      </c>
      <c r="B5675" s="6">
        <v>4</v>
      </c>
      <c r="C5675" s="6" t="s">
        <v>62</v>
      </c>
      <c r="D5675" s="6" t="s">
        <v>408</v>
      </c>
      <c r="E5675" s="6" t="s">
        <v>409</v>
      </c>
      <c r="F5675" s="6" t="str">
        <f>IF($M5675="PADD I","PADD 1",IF($M5675="PADD II","PADD 2",IF($M5675="PADD III","PADD 3",IF($M5675="PADD IV","PADD 4",IF($M5675="PADD V","PADD 5","")))))</f>
        <v>PADD 3</v>
      </c>
      <c r="G5675" s="6">
        <f>IF(AND($H5675="ATMOS DISTILLATION",ISNUMBER(SEARCH("VPS",$I5675))=FALSE,LEFT($I5675,6)&lt;&gt;"VACUUM"),"CDU",IF($H5675="FLUID CAT CRACKING","FCC",IF(OR($H5675="HYDROCRACKING",$H5675="RESID_HYDROCRACKING"),"Hydrocracker",IF($H5675="REFORMING","Reformer",""))))</f>
        <v/>
      </c>
      <c r="H5675" s="6" t="s">
        <v>378</v>
      </c>
      <c r="I5675" s="6" t="s">
        <v>506</v>
      </c>
      <c r="J5675" s="6" t="s">
        <v>345</v>
      </c>
      <c r="K5675" s="10">
        <v>6.76</v>
      </c>
      <c r="L5675" s="10">
        <v>52</v>
      </c>
      <c r="M5675" s="6" t="s">
        <v>371</v>
      </c>
    </row>
    <row r="5676" spans="1:13">
      <c r="A5676" s="6">
        <v>2025</v>
      </c>
      <c r="B5676" s="6">
        <v>4</v>
      </c>
      <c r="C5676" s="6" t="s">
        <v>62</v>
      </c>
      <c r="D5676" s="6" t="s">
        <v>372</v>
      </c>
      <c r="E5676" s="6" t="s">
        <v>373</v>
      </c>
      <c r="F5676" s="6" t="str">
        <f>IF($M5676="PADD I","PADD 1",IF($M5676="PADD II","PADD 2",IF($M5676="PADD III","PADD 3",IF($M5676="PADD IV","PADD 4",IF($M5676="PADD V","PADD 5","")))))</f>
        <v>PADD 2</v>
      </c>
      <c r="G5676" s="6">
        <f>IF(AND($H5676="ATMOS DISTILLATION",ISNUMBER(SEARCH("VPS",$I5676))=FALSE,LEFT($I5676,6)&lt;&gt;"VACUUM"),"CDU",IF($H5676="FLUID CAT CRACKING","FCC",IF(OR($H5676="HYDROCRACKING",$H5676="RESID_HYDROCRACKING"),"Hydrocracker",IF($H5676="REFORMING","Reformer",""))))</f>
        <v/>
      </c>
      <c r="H5676" s="6" t="s">
        <v>435</v>
      </c>
      <c r="I5676" s="6" t="s">
        <v>584</v>
      </c>
      <c r="J5676" s="6" t="s">
        <v>345</v>
      </c>
      <c r="K5676" s="10">
        <v>6.5</v>
      </c>
      <c r="L5676" s="10">
        <v>6.5</v>
      </c>
      <c r="M5676" s="6" t="s">
        <v>375</v>
      </c>
    </row>
    <row r="5677" spans="1:13">
      <c r="A5677" s="6">
        <v>2025</v>
      </c>
      <c r="B5677" s="6">
        <v>4</v>
      </c>
      <c r="C5677" s="6" t="s">
        <v>62</v>
      </c>
      <c r="D5677" s="6" t="s">
        <v>801</v>
      </c>
      <c r="E5677" s="6" t="s">
        <v>779</v>
      </c>
      <c r="F5677" s="6" t="str">
        <f>IF($M5677="PADD I","PADD 1",IF($M5677="PADD II","PADD 2",IF($M5677="PADD III","PADD 3",IF($M5677="PADD IV","PADD 4",IF($M5677="PADD V","PADD 5","")))))</f>
        <v>PADD 2</v>
      </c>
      <c r="G5677" s="6">
        <f>IF(AND($H5677="ATMOS DISTILLATION",ISNUMBER(SEARCH("VPS",$I5677))=FALSE,LEFT($I5677,6)&lt;&gt;"VACUUM"),"CDU",IF($H5677="FLUID CAT CRACKING","FCC",IF(OR($H5677="HYDROCRACKING",$H5677="RESID_HYDROCRACKING"),"Hydrocracker",IF($H5677="REFORMING","Reformer",""))))</f>
        <v/>
      </c>
      <c r="H5677" s="6" t="s">
        <v>435</v>
      </c>
      <c r="I5677" s="6" t="s">
        <v>802</v>
      </c>
      <c r="J5677" s="6" t="s">
        <v>345</v>
      </c>
      <c r="K5677" s="10">
        <v>6.48</v>
      </c>
      <c r="L5677" s="10">
        <v>24</v>
      </c>
      <c r="M5677" s="6" t="s">
        <v>375</v>
      </c>
    </row>
    <row r="5678" spans="1:13">
      <c r="A5678" s="6">
        <v>2025</v>
      </c>
      <c r="B5678" s="6">
        <v>4</v>
      </c>
      <c r="C5678" s="6" t="s">
        <v>62</v>
      </c>
      <c r="D5678" s="6" t="s">
        <v>500</v>
      </c>
      <c r="E5678" s="6" t="s">
        <v>388</v>
      </c>
      <c r="F5678" s="6" t="str">
        <f>IF($M5678="PADD I","PADD 1",IF($M5678="PADD II","PADD 2",IF($M5678="PADD III","PADD 3",IF($M5678="PADD IV","PADD 4",IF($M5678="PADD V","PADD 5","")))))</f>
        <v>PADD 2</v>
      </c>
      <c r="G5678" s="6" t="str">
        <f>IF(AND($H5678="ATMOS DISTILLATION",ISNUMBER(SEARCH("VPS",$I5678))=FALSE,LEFT($I5678,6)&lt;&gt;"VACUUM"),"CDU",IF($H5678="FLUID CAT CRACKING","FCC",IF(OR($H5678="HYDROCRACKING",$H5678="RESID_HYDROCRACKING"),"Hydrocracker",IF($H5678="REFORMING","Reformer",""))))</f>
        <v>Reformer</v>
      </c>
      <c r="H5678" s="6" t="s">
        <v>421</v>
      </c>
      <c r="I5678" s="6" t="s">
        <v>539</v>
      </c>
      <c r="J5678" s="6" t="s">
        <v>345</v>
      </c>
      <c r="K5678" s="10">
        <v>6.45</v>
      </c>
      <c r="L5678" s="10">
        <v>21.5</v>
      </c>
      <c r="M5678" s="6" t="s">
        <v>375</v>
      </c>
    </row>
    <row r="5679" spans="1:13">
      <c r="A5679" s="6">
        <v>2025</v>
      </c>
      <c r="B5679" s="6">
        <v>4</v>
      </c>
      <c r="C5679" s="6" t="s">
        <v>62</v>
      </c>
      <c r="D5679" s="6" t="s">
        <v>953</v>
      </c>
      <c r="E5679" s="6" t="s">
        <v>733</v>
      </c>
      <c r="F5679" s="6" t="str">
        <f>IF($M5679="PADD I","PADD 1",IF($M5679="PADD II","PADD 2",IF($M5679="PADD III","PADD 3",IF($M5679="PADD IV","PADD 4",IF($M5679="PADD V","PADD 5","")))))</f>
        <v>PADD 2</v>
      </c>
      <c r="G5679" s="6">
        <f>IF(AND($H5679="ATMOS DISTILLATION",ISNUMBER(SEARCH("VPS",$I5679))=FALSE,LEFT($I5679,6)&lt;&gt;"VACUUM"),"CDU",IF($H5679="FLUID CAT CRACKING","FCC",IF(OR($H5679="HYDROCRACKING",$H5679="RESID_HYDROCRACKING"),"Hydrocracker",IF($H5679="REFORMING","Reformer",""))))</f>
        <v/>
      </c>
      <c r="H5679" s="6" t="s">
        <v>460</v>
      </c>
      <c r="I5679" s="6" t="s">
        <v>616</v>
      </c>
      <c r="J5679" s="6" t="s">
        <v>349</v>
      </c>
      <c r="K5679" s="10">
        <v>6.402</v>
      </c>
      <c r="L5679" s="10">
        <v>6.6</v>
      </c>
      <c r="M5679" s="6" t="s">
        <v>375</v>
      </c>
    </row>
    <row r="5680" spans="1:13">
      <c r="A5680" s="6">
        <v>2025</v>
      </c>
      <c r="B5680" s="6">
        <v>4</v>
      </c>
      <c r="C5680" s="6" t="s">
        <v>62</v>
      </c>
      <c r="D5680" s="6" t="s">
        <v>411</v>
      </c>
      <c r="E5680" s="6" t="s">
        <v>369</v>
      </c>
      <c r="F5680" s="6" t="str">
        <f>IF($M5680="PADD I","PADD 1",IF($M5680="PADD II","PADD 2",IF($M5680="PADD III","PADD 3",IF($M5680="PADD IV","PADD 4",IF($M5680="PADD V","PADD 5","")))))</f>
        <v>PADD 1</v>
      </c>
      <c r="G5680" s="6">
        <f>IF(AND($H5680="ATMOS DISTILLATION",ISNUMBER(SEARCH("VPS",$I5680))=FALSE,LEFT($I5680,6)&lt;&gt;"VACUUM"),"CDU",IF($H5680="FLUID CAT CRACKING","FCC",IF(OR($H5680="HYDROCRACKING",$H5680="RESID_HYDROCRACKING"),"Hydrocracker",IF($H5680="REFORMING","Reformer",""))))</f>
        <v/>
      </c>
      <c r="H5680" s="6" t="s">
        <v>1304</v>
      </c>
      <c r="I5680" s="6" t="s">
        <v>1305</v>
      </c>
      <c r="J5680" s="6" t="s">
        <v>345</v>
      </c>
      <c r="K5680" s="10">
        <v>6.305</v>
      </c>
      <c r="L5680" s="10">
        <v>6.5</v>
      </c>
      <c r="M5680" s="6" t="s">
        <v>413</v>
      </c>
    </row>
    <row r="5681" spans="1:13">
      <c r="A5681" s="6">
        <v>2025</v>
      </c>
      <c r="B5681" s="6">
        <v>4</v>
      </c>
      <c r="C5681" s="6" t="s">
        <v>62</v>
      </c>
      <c r="D5681" s="6" t="s">
        <v>411</v>
      </c>
      <c r="E5681" s="6" t="s">
        <v>369</v>
      </c>
      <c r="F5681" s="6" t="str">
        <f>IF($M5681="PADD I","PADD 1",IF($M5681="PADD II","PADD 2",IF($M5681="PADD III","PADD 3",IF($M5681="PADD IV","PADD 4",IF($M5681="PADD V","PADD 5","")))))</f>
        <v>PADD 1</v>
      </c>
      <c r="G5681" s="6" t="str">
        <f>IF(AND($H5681="ATMOS DISTILLATION",ISNUMBER(SEARCH("VPS",$I5681))=FALSE,LEFT($I5681,6)&lt;&gt;"VACUUM"),"CDU",IF($H5681="FLUID CAT CRACKING","FCC",IF(OR($H5681="HYDROCRACKING",$H5681="RESID_HYDROCRACKING"),"Hydrocracker",IF($H5681="REFORMING","Reformer",""))))</f>
        <v>Reformer</v>
      </c>
      <c r="H5681" s="6" t="s">
        <v>421</v>
      </c>
      <c r="I5681" s="6" t="s">
        <v>886</v>
      </c>
      <c r="J5681" s="6" t="s">
        <v>345</v>
      </c>
      <c r="K5681" s="10">
        <v>6.305</v>
      </c>
      <c r="L5681" s="10">
        <v>6.5</v>
      </c>
      <c r="M5681" s="6" t="s">
        <v>413</v>
      </c>
    </row>
    <row r="5682" spans="1:13">
      <c r="A5682" s="6">
        <v>2025</v>
      </c>
      <c r="B5682" s="6">
        <v>4</v>
      </c>
      <c r="C5682" s="6" t="s">
        <v>62</v>
      </c>
      <c r="D5682" s="6" t="s">
        <v>54</v>
      </c>
      <c r="E5682" s="6" t="s">
        <v>856</v>
      </c>
      <c r="F5682" s="6" t="str">
        <f>IF($M5682="PADD I","PADD 1",IF($M5682="PADD II","PADD 2",IF($M5682="PADD III","PADD 3",IF($M5682="PADD IV","PADD 4",IF($M5682="PADD V","PADD 5","")))))</f>
        <v>PADD 5</v>
      </c>
      <c r="G5682" s="6" t="str">
        <f>IF(AND($H5682="ATMOS DISTILLATION",ISNUMBER(SEARCH("VPS",$I5682))=FALSE,LEFT($I5682,6)&lt;&gt;"VACUUM"),"CDU",IF($H5682="FLUID CAT CRACKING","FCC",IF(OR($H5682="HYDROCRACKING",$H5682="RESID_HYDROCRACKING"),"Hydrocracker",IF($H5682="REFORMING","Reformer",""))))</f>
        <v>CDU</v>
      </c>
      <c r="H5682" s="6" t="s">
        <v>38</v>
      </c>
      <c r="I5682" s="6" t="s">
        <v>857</v>
      </c>
      <c r="J5682" s="6" t="s">
        <v>349</v>
      </c>
      <c r="K5682" s="10">
        <v>6</v>
      </c>
      <c r="L5682" s="10">
        <v>60</v>
      </c>
      <c r="M5682" s="6" t="s">
        <v>386</v>
      </c>
    </row>
    <row r="5683" spans="1:13">
      <c r="A5683" s="6">
        <v>2025</v>
      </c>
      <c r="B5683" s="6">
        <v>4</v>
      </c>
      <c r="C5683" s="6" t="s">
        <v>62</v>
      </c>
      <c r="D5683" s="6" t="s">
        <v>801</v>
      </c>
      <c r="E5683" s="6" t="s">
        <v>779</v>
      </c>
      <c r="F5683" s="6" t="str">
        <f>IF($M5683="PADD I","PADD 1",IF($M5683="PADD II","PADD 2",IF($M5683="PADD III","PADD 3",IF($M5683="PADD IV","PADD 4",IF($M5683="PADD V","PADD 5","")))))</f>
        <v>PADD 2</v>
      </c>
      <c r="G5683" s="6">
        <f>IF(AND($H5683="ATMOS DISTILLATION",ISNUMBER(SEARCH("VPS",$I5683))=FALSE,LEFT($I5683,6)&lt;&gt;"VACUUM"),"CDU",IF($H5683="FLUID CAT CRACKING","FCC",IF(OR($H5683="HYDROCRACKING",$H5683="RESID_HYDROCRACKING"),"Hydrocracker",IF($H5683="REFORMING","Reformer",""))))</f>
        <v/>
      </c>
      <c r="H5683" s="6" t="s">
        <v>460</v>
      </c>
      <c r="I5683" s="6" t="s">
        <v>461</v>
      </c>
      <c r="J5683" s="6" t="s">
        <v>349</v>
      </c>
      <c r="K5683" s="10">
        <v>6</v>
      </c>
      <c r="L5683" s="10">
        <v>6</v>
      </c>
      <c r="M5683" s="6" t="s">
        <v>375</v>
      </c>
    </row>
    <row r="5684" spans="1:13">
      <c r="A5684" s="6">
        <v>2025</v>
      </c>
      <c r="B5684" s="6">
        <v>4</v>
      </c>
      <c r="C5684" s="6" t="s">
        <v>62</v>
      </c>
      <c r="D5684" s="6" t="s">
        <v>630</v>
      </c>
      <c r="E5684" s="6" t="s">
        <v>491</v>
      </c>
      <c r="F5684" s="6" t="str">
        <f>IF($M5684="PADD I","PADD 1",IF($M5684="PADD II","PADD 2",IF($M5684="PADD III","PADD 3",IF($M5684="PADD IV","PADD 4",IF($M5684="PADD V","PADD 5","")))))</f>
        <v>PADD 3</v>
      </c>
      <c r="G5684" s="6">
        <f>IF(AND($H5684="ATMOS DISTILLATION",ISNUMBER(SEARCH("VPS",$I5684))=FALSE,LEFT($I5684,6)&lt;&gt;"VACUUM"),"CDU",IF($H5684="FLUID CAT CRACKING","FCC",IF(OR($H5684="HYDROCRACKING",$H5684="RESID_HYDROCRACKING"),"Hydrocracker",IF($H5684="REFORMING","Reformer",""))))</f>
        <v/>
      </c>
      <c r="H5684" s="6" t="s">
        <v>43</v>
      </c>
      <c r="I5684" s="6" t="s">
        <v>464</v>
      </c>
      <c r="J5684" s="6" t="s">
        <v>345</v>
      </c>
      <c r="K5684" s="10">
        <v>6</v>
      </c>
      <c r="L5684" s="10">
        <v>12</v>
      </c>
      <c r="M5684" s="6" t="s">
        <v>371</v>
      </c>
    </row>
    <row r="5685" spans="1:13">
      <c r="A5685" s="6">
        <v>2025</v>
      </c>
      <c r="B5685" s="6">
        <v>4</v>
      </c>
      <c r="C5685" s="6" t="s">
        <v>62</v>
      </c>
      <c r="D5685" s="6" t="s">
        <v>321</v>
      </c>
      <c r="E5685" s="6" t="s">
        <v>381</v>
      </c>
      <c r="F5685" s="6" t="str">
        <f>IF($M5685="PADD I","PADD 1",IF($M5685="PADD II","PADD 2",IF($M5685="PADD III","PADD 3",IF($M5685="PADD IV","PADD 4",IF($M5685="PADD V","PADD 5","")))))</f>
        <v>PADD 2</v>
      </c>
      <c r="G5685" s="6">
        <f>IF(AND($H5685="ATMOS DISTILLATION",ISNUMBER(SEARCH("VPS",$I5685))=FALSE,LEFT($I5685,6)&lt;&gt;"VACUUM"),"CDU",IF($H5685="FLUID CAT CRACKING","FCC",IF(OR($H5685="HYDROCRACKING",$H5685="RESID_HYDROCRACKING"),"Hydrocracker",IF($H5685="REFORMING","Reformer",""))))</f>
        <v/>
      </c>
      <c r="H5685" s="6" t="s">
        <v>435</v>
      </c>
      <c r="I5685" s="6" t="s">
        <v>441</v>
      </c>
      <c r="J5685" s="6" t="s">
        <v>349</v>
      </c>
      <c r="K5685" s="10">
        <v>6</v>
      </c>
      <c r="L5685" s="10">
        <v>30</v>
      </c>
      <c r="M5685" s="6" t="s">
        <v>375</v>
      </c>
    </row>
    <row r="5686" spans="1:13">
      <c r="A5686" s="6">
        <v>2025</v>
      </c>
      <c r="B5686" s="6">
        <v>4</v>
      </c>
      <c r="C5686" s="6" t="s">
        <v>62</v>
      </c>
      <c r="D5686" s="6" t="s">
        <v>40</v>
      </c>
      <c r="E5686" s="6" t="s">
        <v>736</v>
      </c>
      <c r="F5686" s="6" t="str">
        <f>IF($M5686="PADD I","PADD 1",IF($M5686="PADD II","PADD 2",IF($M5686="PADD III","PADD 3",IF($M5686="PADD IV","PADD 4",IF($M5686="PADD V","PADD 5","")))))</f>
        <v>PADD 1</v>
      </c>
      <c r="G5686" s="6">
        <f>IF(AND($H5686="ATMOS DISTILLATION",ISNUMBER(SEARCH("VPS",$I5686))=FALSE,LEFT($I5686,6)&lt;&gt;"VACUUM"),"CDU",IF($H5686="FLUID CAT CRACKING","FCC",IF(OR($H5686="HYDROCRACKING",$H5686="RESID_HYDROCRACKING"),"Hydrocracker",IF($H5686="REFORMING","Reformer",""))))</f>
        <v/>
      </c>
      <c r="H5686" s="6" t="s">
        <v>43</v>
      </c>
      <c r="I5686" s="6" t="s">
        <v>1011</v>
      </c>
      <c r="J5686" s="6" t="s">
        <v>345</v>
      </c>
      <c r="K5686" s="10">
        <v>5.98</v>
      </c>
      <c r="L5686" s="10">
        <v>26</v>
      </c>
      <c r="M5686" s="6" t="s">
        <v>413</v>
      </c>
    </row>
    <row r="5687" spans="1:13">
      <c r="A5687" s="6">
        <v>2025</v>
      </c>
      <c r="B5687" s="6">
        <v>4</v>
      </c>
      <c r="C5687" s="6" t="s">
        <v>62</v>
      </c>
      <c r="D5687" s="6" t="s">
        <v>408</v>
      </c>
      <c r="E5687" s="6" t="s">
        <v>409</v>
      </c>
      <c r="F5687" s="6" t="str">
        <f>IF($M5687="PADD I","PADD 1",IF($M5687="PADD II","PADD 2",IF($M5687="PADD III","PADD 3",IF($M5687="PADD IV","PADD 4",IF($M5687="PADD V","PADD 5","")))))</f>
        <v>PADD 3</v>
      </c>
      <c r="G5687" s="6" t="str">
        <f>IF(AND($H5687="ATMOS DISTILLATION",ISNUMBER(SEARCH("VPS",$I5687))=FALSE,LEFT($I5687,6)&lt;&gt;"VACUUM"),"CDU",IF($H5687="FLUID CAT CRACKING","FCC",IF(OR($H5687="HYDROCRACKING",$H5687="RESID_HYDROCRACKING"),"Hydrocracker",IF($H5687="REFORMING","Reformer",""))))</f>
        <v>CDU</v>
      </c>
      <c r="H5687" s="6" t="s">
        <v>38</v>
      </c>
      <c r="I5687" s="6" t="s">
        <v>410</v>
      </c>
      <c r="J5687" s="6" t="s">
        <v>345</v>
      </c>
      <c r="K5687" s="10">
        <v>5.6</v>
      </c>
      <c r="L5687" s="10">
        <v>80</v>
      </c>
      <c r="M5687" s="6" t="s">
        <v>371</v>
      </c>
    </row>
    <row r="5688" spans="1:13">
      <c r="A5688" s="6">
        <v>2025</v>
      </c>
      <c r="B5688" s="6">
        <v>4</v>
      </c>
      <c r="C5688" s="6" t="s">
        <v>62</v>
      </c>
      <c r="D5688" s="6" t="s">
        <v>801</v>
      </c>
      <c r="E5688" s="6" t="s">
        <v>779</v>
      </c>
      <c r="F5688" s="6" t="str">
        <f>IF($M5688="PADD I","PADD 1",IF($M5688="PADD II","PADD 2",IF($M5688="PADD III","PADD 3",IF($M5688="PADD IV","PADD 4",IF($M5688="PADD V","PADD 5","")))))</f>
        <v>PADD 2</v>
      </c>
      <c r="G5688" s="6">
        <f>IF(AND($H5688="ATMOS DISTILLATION",ISNUMBER(SEARCH("VPS",$I5688))=FALSE,LEFT($I5688,6)&lt;&gt;"VACUUM"),"CDU",IF($H5688="FLUID CAT CRACKING","FCC",IF(OR($H5688="HYDROCRACKING",$H5688="RESID_HYDROCRACKING"),"Hydrocracker",IF($H5688="REFORMING","Reformer",""))))</f>
        <v/>
      </c>
      <c r="H5688" s="6" t="s">
        <v>435</v>
      </c>
      <c r="I5688" s="6" t="s">
        <v>1179</v>
      </c>
      <c r="J5688" s="6" t="s">
        <v>345</v>
      </c>
      <c r="K5688" s="10">
        <v>5.52</v>
      </c>
      <c r="L5688" s="10">
        <v>24</v>
      </c>
      <c r="M5688" s="6" t="s">
        <v>375</v>
      </c>
    </row>
    <row r="5689" spans="1:13">
      <c r="A5689" s="6">
        <v>2025</v>
      </c>
      <c r="B5689" s="6">
        <v>4</v>
      </c>
      <c r="C5689" s="6" t="s">
        <v>62</v>
      </c>
      <c r="D5689" s="6" t="s">
        <v>1286</v>
      </c>
      <c r="E5689" s="6" t="s">
        <v>1287</v>
      </c>
      <c r="F5689" s="6" t="str">
        <f>IF($M5689="PADD I","PADD 1",IF($M5689="PADD II","PADD 2",IF($M5689="PADD III","PADD 3",IF($M5689="PADD IV","PADD 4",IF($M5689="PADD V","PADD 5","")))))</f>
        <v>PADD 4</v>
      </c>
      <c r="G5689" s="6">
        <f>IF(AND($H5689="ATMOS DISTILLATION",ISNUMBER(SEARCH("VPS",$I5689))=FALSE,LEFT($I5689,6)&lt;&gt;"VACUUM"),"CDU",IF($H5689="FLUID CAT CRACKING","FCC",IF(OR($H5689="HYDROCRACKING",$H5689="RESID_HYDROCRACKING"),"Hydrocracker",IF($H5689="REFORMING","Reformer",""))))</f>
        <v/>
      </c>
      <c r="H5689" s="6" t="s">
        <v>43</v>
      </c>
      <c r="I5689" s="6" t="s">
        <v>1291</v>
      </c>
      <c r="J5689" s="6" t="s">
        <v>345</v>
      </c>
      <c r="K5689" s="10">
        <v>5.5</v>
      </c>
      <c r="L5689" s="10">
        <v>5.5</v>
      </c>
      <c r="M5689" s="6" t="s">
        <v>430</v>
      </c>
    </row>
    <row r="5690" spans="1:13">
      <c r="A5690" s="6">
        <v>2025</v>
      </c>
      <c r="B5690" s="6">
        <v>4</v>
      </c>
      <c r="C5690" s="6" t="s">
        <v>62</v>
      </c>
      <c r="D5690" s="6" t="s">
        <v>1286</v>
      </c>
      <c r="E5690" s="6" t="s">
        <v>1287</v>
      </c>
      <c r="F5690" s="6" t="str">
        <f>IF($M5690="PADD I","PADD 1",IF($M5690="PADD II","PADD 2",IF($M5690="PADD III","PADD 3",IF($M5690="PADD IV","PADD 4",IF($M5690="PADD V","PADD 5","")))))</f>
        <v>PADD 4</v>
      </c>
      <c r="G5690" s="6" t="str">
        <f>IF(AND($H5690="ATMOS DISTILLATION",ISNUMBER(SEARCH("VPS",$I5690))=FALSE,LEFT($I5690,6)&lt;&gt;"VACUUM"),"CDU",IF($H5690="FLUID CAT CRACKING","FCC",IF(OR($H5690="HYDROCRACKING",$H5690="RESID_HYDROCRACKING"),"Hydrocracker",IF($H5690="REFORMING","Reformer",""))))</f>
        <v>FCC</v>
      </c>
      <c r="H5690" s="6" t="s">
        <v>376</v>
      </c>
      <c r="I5690" s="6" t="s">
        <v>105</v>
      </c>
      <c r="J5690" s="6" t="s">
        <v>345</v>
      </c>
      <c r="K5690" s="10">
        <v>5.5</v>
      </c>
      <c r="L5690" s="10">
        <v>5.5</v>
      </c>
      <c r="M5690" s="6" t="s">
        <v>430</v>
      </c>
    </row>
    <row r="5691" spans="1:13">
      <c r="A5691" s="6">
        <v>2025</v>
      </c>
      <c r="B5691" s="6">
        <v>4</v>
      </c>
      <c r="C5691" s="6" t="s">
        <v>62</v>
      </c>
      <c r="D5691" s="6" t="s">
        <v>411</v>
      </c>
      <c r="E5691" s="6" t="s">
        <v>369</v>
      </c>
      <c r="F5691" s="6" t="str">
        <f>IF($M5691="PADD I","PADD 1",IF($M5691="PADD II","PADD 2",IF($M5691="PADD III","PADD 3",IF($M5691="PADD IV","PADD 4",IF($M5691="PADD V","PADD 5","")))))</f>
        <v>PADD 1</v>
      </c>
      <c r="G5691" s="6">
        <f>IF(AND($H5691="ATMOS DISTILLATION",ISNUMBER(SEARCH("VPS",$I5691))=FALSE,LEFT($I5691,6)&lt;&gt;"VACUUM"),"CDU",IF($H5691="FLUID CAT CRACKING","FCC",IF(OR($H5691="HYDROCRACKING",$H5691="RESID_HYDROCRACKING"),"Hydrocracker",IF($H5691="REFORMING","Reformer",""))))</f>
        <v/>
      </c>
      <c r="H5691" s="6" t="s">
        <v>460</v>
      </c>
      <c r="I5691" s="6" t="s">
        <v>566</v>
      </c>
      <c r="J5691" s="6" t="s">
        <v>345</v>
      </c>
      <c r="K5691" s="10">
        <v>5.335</v>
      </c>
      <c r="L5691" s="10">
        <v>5.5</v>
      </c>
      <c r="M5691" s="6" t="s">
        <v>413</v>
      </c>
    </row>
    <row r="5692" spans="1:13">
      <c r="A5692" s="6">
        <v>2025</v>
      </c>
      <c r="B5692" s="6">
        <v>4</v>
      </c>
      <c r="C5692" s="6" t="s">
        <v>62</v>
      </c>
      <c r="D5692" s="6" t="s">
        <v>727</v>
      </c>
      <c r="E5692" s="6" t="s">
        <v>728</v>
      </c>
      <c r="F5692" s="6" t="str">
        <f>IF($M5692="PADD I","PADD 1",IF($M5692="PADD II","PADD 2",IF($M5692="PADD III","PADD 3",IF($M5692="PADD IV","PADD 4",IF($M5692="PADD V","PADD 5","")))))</f>
        <v>PADD 1</v>
      </c>
      <c r="G5692" s="6">
        <f>IF(AND($H5692="ATMOS DISTILLATION",ISNUMBER(SEARCH("VPS",$I5692))=FALSE,LEFT($I5692,6)&lt;&gt;"VACUUM"),"CDU",IF($H5692="FLUID CAT CRACKING","FCC",IF(OR($H5692="HYDROCRACKING",$H5692="RESID_HYDROCRACKING"),"Hydrocracker",IF($H5692="REFORMING","Reformer",""))))</f>
        <v/>
      </c>
      <c r="H5692" s="6" t="s">
        <v>568</v>
      </c>
      <c r="I5692" s="6" t="s">
        <v>713</v>
      </c>
      <c r="J5692" s="6" t="s">
        <v>349</v>
      </c>
      <c r="K5692" s="10">
        <v>5</v>
      </c>
      <c r="L5692" s="10">
        <v>5</v>
      </c>
      <c r="M5692" s="6" t="s">
        <v>413</v>
      </c>
    </row>
    <row r="5693" spans="1:13">
      <c r="A5693" s="6">
        <v>2025</v>
      </c>
      <c r="B5693" s="6">
        <v>4</v>
      </c>
      <c r="C5693" s="6" t="s">
        <v>62</v>
      </c>
      <c r="D5693" s="6" t="s">
        <v>51</v>
      </c>
      <c r="E5693" s="6" t="s">
        <v>391</v>
      </c>
      <c r="F5693" s="6" t="str">
        <f>IF($M5693="PADD I","PADD 1",IF($M5693="PADD II","PADD 2",IF($M5693="PADD III","PADD 3",IF($M5693="PADD IV","PADD 4",IF($M5693="PADD V","PADD 5","")))))</f>
        <v>PADD 5</v>
      </c>
      <c r="G5693" s="6">
        <f>IF(AND($H5693="ATMOS DISTILLATION",ISNUMBER(SEARCH("VPS",$I5693))=FALSE,LEFT($I5693,6)&lt;&gt;"VACUUM"),"CDU",IF($H5693="FLUID CAT CRACKING","FCC",IF(OR($H5693="HYDROCRACKING",$H5693="RESID_HYDROCRACKING"),"Hydrocracker",IF($H5693="REFORMING","Reformer",""))))</f>
        <v/>
      </c>
      <c r="H5693" s="6" t="s">
        <v>43</v>
      </c>
      <c r="I5693" s="6" t="s">
        <v>859</v>
      </c>
      <c r="J5693" s="6" t="s">
        <v>345</v>
      </c>
      <c r="K5693" s="10">
        <v>4.9</v>
      </c>
      <c r="L5693" s="10">
        <v>70</v>
      </c>
      <c r="M5693" s="6" t="s">
        <v>386</v>
      </c>
    </row>
    <row r="5694" spans="1:13">
      <c r="A5694" s="6">
        <v>2025</v>
      </c>
      <c r="B5694" s="6">
        <v>4</v>
      </c>
      <c r="C5694" s="6" t="s">
        <v>62</v>
      </c>
      <c r="D5694" s="6" t="s">
        <v>437</v>
      </c>
      <c r="E5694" s="6" t="s">
        <v>438</v>
      </c>
      <c r="F5694" s="6" t="str">
        <f>IF($M5694="PADD I","PADD 1",IF($M5694="PADD II","PADD 2",IF($M5694="PADD III","PADD 3",IF($M5694="PADD IV","PADD 4",IF($M5694="PADD V","PADD 5","")))))</f>
        <v>PADD 4</v>
      </c>
      <c r="G5694" s="6">
        <f>IF(AND($H5694="ATMOS DISTILLATION",ISNUMBER(SEARCH("VPS",$I5694))=FALSE,LEFT($I5694,6)&lt;&gt;"VACUUM"),"CDU",IF($H5694="FLUID CAT CRACKING","FCC",IF(OR($H5694="HYDROCRACKING",$H5694="RESID_HYDROCRACKING"),"Hydrocracker",IF($H5694="REFORMING","Reformer",""))))</f>
        <v/>
      </c>
      <c r="H5694" s="6" t="s">
        <v>43</v>
      </c>
      <c r="I5694" s="6" t="s">
        <v>493</v>
      </c>
      <c r="J5694" s="6" t="s">
        <v>345</v>
      </c>
      <c r="K5694" s="10">
        <v>4.83</v>
      </c>
      <c r="L5694" s="10">
        <v>21</v>
      </c>
      <c r="M5694" s="6" t="s">
        <v>430</v>
      </c>
    </row>
    <row r="5695" spans="1:13">
      <c r="A5695" s="6">
        <v>2025</v>
      </c>
      <c r="B5695" s="6">
        <v>4</v>
      </c>
      <c r="C5695" s="6" t="s">
        <v>62</v>
      </c>
      <c r="D5695" s="6" t="s">
        <v>1043</v>
      </c>
      <c r="E5695" s="6" t="s">
        <v>388</v>
      </c>
      <c r="F5695" s="6" t="str">
        <f>IF($M5695="PADD I","PADD 1",IF($M5695="PADD II","PADD 2",IF($M5695="PADD III","PADD 3",IF($M5695="PADD IV","PADD 4",IF($M5695="PADD V","PADD 5","")))))</f>
        <v>PADD 2</v>
      </c>
      <c r="G5695" s="6">
        <f>IF(AND($H5695="ATMOS DISTILLATION",ISNUMBER(SEARCH("VPS",$I5695))=FALSE,LEFT($I5695,6)&lt;&gt;"VACUUM"),"CDU",IF($H5695="FLUID CAT CRACKING","FCC",IF(OR($H5695="HYDROCRACKING",$H5695="RESID_HYDROCRACKING"),"Hydrocracker",IF($H5695="REFORMING","Reformer",""))))</f>
        <v/>
      </c>
      <c r="H5695" s="6" t="s">
        <v>43</v>
      </c>
      <c r="I5695" s="6" t="s">
        <v>1052</v>
      </c>
      <c r="J5695" s="6" t="s">
        <v>345</v>
      </c>
      <c r="K5695" s="10">
        <v>4.76</v>
      </c>
      <c r="L5695" s="10">
        <v>23.8</v>
      </c>
      <c r="M5695" s="6" t="s">
        <v>375</v>
      </c>
    </row>
    <row r="5696" spans="1:13">
      <c r="A5696" s="6">
        <v>2025</v>
      </c>
      <c r="B5696" s="6">
        <v>4</v>
      </c>
      <c r="C5696" s="6" t="s">
        <v>62</v>
      </c>
      <c r="D5696" s="6" t="s">
        <v>727</v>
      </c>
      <c r="E5696" s="6" t="s">
        <v>728</v>
      </c>
      <c r="F5696" s="6" t="str">
        <f>IF($M5696="PADD I","PADD 1",IF($M5696="PADD II","PADD 2",IF($M5696="PADD III","PADD 3",IF($M5696="PADD IV","PADD 4",IF($M5696="PADD V","PADD 5","")))))</f>
        <v>PADD 1</v>
      </c>
      <c r="G5696" s="6">
        <f>IF(AND($H5696="ATMOS DISTILLATION",ISNUMBER(SEARCH("VPS",$I5696))=FALSE,LEFT($I5696,6)&lt;&gt;"VACUUM"),"CDU",IF($H5696="FLUID CAT CRACKING","FCC",IF(OR($H5696="HYDROCRACKING",$H5696="RESID_HYDROCRACKING"),"Hydrocracker",IF($H5696="REFORMING","Reformer",""))))</f>
        <v/>
      </c>
      <c r="H5696" s="6" t="s">
        <v>43</v>
      </c>
      <c r="I5696" s="6" t="s">
        <v>752</v>
      </c>
      <c r="J5696" s="6" t="s">
        <v>349</v>
      </c>
      <c r="K5696" s="10">
        <v>4.6</v>
      </c>
      <c r="L5696" s="10">
        <v>4.6</v>
      </c>
      <c r="M5696" s="6" t="s">
        <v>413</v>
      </c>
    </row>
    <row r="5697" spans="1:13">
      <c r="A5697" s="6">
        <v>2025</v>
      </c>
      <c r="B5697" s="6">
        <v>4</v>
      </c>
      <c r="C5697" s="6" t="s">
        <v>62</v>
      </c>
      <c r="D5697" s="6" t="s">
        <v>727</v>
      </c>
      <c r="E5697" s="6" t="s">
        <v>728</v>
      </c>
      <c r="F5697" s="6" t="str">
        <f>IF($M5697="PADD I","PADD 1",IF($M5697="PADD II","PADD 2",IF($M5697="PADD III","PADD 3",IF($M5697="PADD IV","PADD 4",IF($M5697="PADD V","PADD 5","")))))</f>
        <v>PADD 1</v>
      </c>
      <c r="G5697" s="6">
        <f>IF(AND($H5697="ATMOS DISTILLATION",ISNUMBER(SEARCH("VPS",$I5697))=FALSE,LEFT($I5697,6)&lt;&gt;"VACUUM"),"CDU",IF($H5697="FLUID CAT CRACKING","FCC",IF(OR($H5697="HYDROCRACKING",$H5697="RESID_HYDROCRACKING"),"Hydrocracker",IF($H5697="REFORMING","Reformer",""))))</f>
        <v/>
      </c>
      <c r="H5697" s="6" t="s">
        <v>637</v>
      </c>
      <c r="I5697" s="6" t="s">
        <v>1300</v>
      </c>
      <c r="J5697" s="6" t="s">
        <v>349</v>
      </c>
      <c r="K5697" s="10">
        <v>4.5</v>
      </c>
      <c r="L5697" s="10">
        <v>4.5</v>
      </c>
      <c r="M5697" s="6" t="s">
        <v>413</v>
      </c>
    </row>
    <row r="5698" spans="1:13">
      <c r="A5698" s="6">
        <v>2025</v>
      </c>
      <c r="B5698" s="6">
        <v>4</v>
      </c>
      <c r="C5698" s="6" t="s">
        <v>62</v>
      </c>
      <c r="D5698" s="6" t="s">
        <v>727</v>
      </c>
      <c r="E5698" s="6" t="s">
        <v>728</v>
      </c>
      <c r="F5698" s="6" t="str">
        <f>IF($M5698="PADD I","PADD 1",IF($M5698="PADD II","PADD 2",IF($M5698="PADD III","PADD 3",IF($M5698="PADD IV","PADD 4",IF($M5698="PADD V","PADD 5","")))))</f>
        <v>PADD 1</v>
      </c>
      <c r="G5698" s="6">
        <f>IF(AND($H5698="ATMOS DISTILLATION",ISNUMBER(SEARCH("VPS",$I5698))=FALSE,LEFT($I5698,6)&lt;&gt;"VACUUM"),"CDU",IF($H5698="FLUID CAT CRACKING","FCC",IF(OR($H5698="HYDROCRACKING",$H5698="RESID_HYDROCRACKING"),"Hydrocracker",IF($H5698="REFORMING","Reformer",""))))</f>
        <v/>
      </c>
      <c r="H5698" s="6" t="s">
        <v>637</v>
      </c>
      <c r="I5698" s="6" t="s">
        <v>1301</v>
      </c>
      <c r="J5698" s="6" t="s">
        <v>349</v>
      </c>
      <c r="K5698" s="10">
        <v>4.5</v>
      </c>
      <c r="L5698" s="10">
        <v>4.5</v>
      </c>
      <c r="M5698" s="6" t="s">
        <v>413</v>
      </c>
    </row>
    <row r="5699" spans="1:13">
      <c r="A5699" s="6">
        <v>2025</v>
      </c>
      <c r="B5699" s="6">
        <v>4</v>
      </c>
      <c r="C5699" s="6" t="s">
        <v>62</v>
      </c>
      <c r="D5699" s="6" t="s">
        <v>723</v>
      </c>
      <c r="E5699" s="6" t="s">
        <v>724</v>
      </c>
      <c r="F5699" s="6" t="str">
        <f>IF($M5699="PADD I","PADD 1",IF($M5699="PADD II","PADD 2",IF($M5699="PADD III","PADD 3",IF($M5699="PADD IV","PADD 4",IF($M5699="PADD V","PADD 5","")))))</f>
        <v>PADD 4</v>
      </c>
      <c r="G5699" s="6">
        <f>IF(AND($H5699="ATMOS DISTILLATION",ISNUMBER(SEARCH("VPS",$I5699))=FALSE,LEFT($I5699,6)&lt;&gt;"VACUUM"),"CDU",IF($H5699="FLUID CAT CRACKING","FCC",IF(OR($H5699="HYDROCRACKING",$H5699="RESID_HYDROCRACKING"),"Hydrocracker",IF($H5699="REFORMING","Reformer",""))))</f>
        <v/>
      </c>
      <c r="H5699" s="6" t="s">
        <v>460</v>
      </c>
      <c r="I5699" s="6" t="s">
        <v>616</v>
      </c>
      <c r="J5699" s="6" t="s">
        <v>349</v>
      </c>
      <c r="K5699" s="10">
        <v>4.5</v>
      </c>
      <c r="L5699" s="10">
        <v>4.5</v>
      </c>
      <c r="M5699" s="6" t="s">
        <v>430</v>
      </c>
    </row>
    <row r="5700" spans="1:13">
      <c r="A5700" s="6">
        <v>2025</v>
      </c>
      <c r="B5700" s="6">
        <v>4</v>
      </c>
      <c r="C5700" s="6" t="s">
        <v>62</v>
      </c>
      <c r="D5700" s="6" t="s">
        <v>727</v>
      </c>
      <c r="E5700" s="6" t="s">
        <v>728</v>
      </c>
      <c r="F5700" s="6" t="str">
        <f>IF($M5700="PADD I","PADD 1",IF($M5700="PADD II","PADD 2",IF($M5700="PADD III","PADD 3",IF($M5700="PADD IV","PADD 4",IF($M5700="PADD V","PADD 5","")))))</f>
        <v>PADD 1</v>
      </c>
      <c r="G5700" s="6" t="str">
        <f>IF(AND($H5700="ATMOS DISTILLATION",ISNUMBER(SEARCH("VPS",$I5700))=FALSE,LEFT($I5700,6)&lt;&gt;"VACUUM"),"CDU",IF($H5700="FLUID CAT CRACKING","FCC",IF(OR($H5700="HYDROCRACKING",$H5700="RESID_HYDROCRACKING"),"Hydrocracker",IF($H5700="REFORMING","Reformer",""))))</f>
        <v>Hydrocracker</v>
      </c>
      <c r="H5700" s="6" t="s">
        <v>444</v>
      </c>
      <c r="I5700" s="6" t="s">
        <v>753</v>
      </c>
      <c r="J5700" s="6" t="s">
        <v>349</v>
      </c>
      <c r="K5700" s="10">
        <v>4.3</v>
      </c>
      <c r="L5700" s="10">
        <v>4.3</v>
      </c>
      <c r="M5700" s="6" t="s">
        <v>413</v>
      </c>
    </row>
    <row r="5701" spans="1:13">
      <c r="A5701" s="6">
        <v>2025</v>
      </c>
      <c r="B5701" s="6">
        <v>4</v>
      </c>
      <c r="C5701" s="6" t="s">
        <v>62</v>
      </c>
      <c r="D5701" s="6" t="s">
        <v>803</v>
      </c>
      <c r="E5701" s="6" t="s">
        <v>388</v>
      </c>
      <c r="F5701" s="6" t="str">
        <f>IF($M5701="PADD I","PADD 1",IF($M5701="PADD II","PADD 2",IF($M5701="PADD III","PADD 3",IF($M5701="PADD IV","PADD 4",IF($M5701="PADD V","PADD 5","")))))</f>
        <v>PADD 2</v>
      </c>
      <c r="G5701" s="6" t="str">
        <f>IF(AND($H5701="ATMOS DISTILLATION",ISNUMBER(SEARCH("VPS",$I5701))=FALSE,LEFT($I5701,6)&lt;&gt;"VACUUM"),"CDU",IF($H5701="FLUID CAT CRACKING","FCC",IF(OR($H5701="HYDROCRACKING",$H5701="RESID_HYDROCRACKING"),"Hydrocracker",IF($H5701="REFORMING","Reformer",""))))</f>
        <v>Reformer</v>
      </c>
      <c r="H5701" s="6" t="s">
        <v>421</v>
      </c>
      <c r="I5701" s="6" t="s">
        <v>559</v>
      </c>
      <c r="J5701" s="6" t="s">
        <v>345</v>
      </c>
      <c r="K5701" s="10">
        <v>4.1625</v>
      </c>
      <c r="L5701" s="10">
        <v>11.25</v>
      </c>
      <c r="M5701" s="6" t="s">
        <v>375</v>
      </c>
    </row>
    <row r="5702" spans="1:13">
      <c r="A5702" s="6">
        <v>2025</v>
      </c>
      <c r="B5702" s="6">
        <v>4</v>
      </c>
      <c r="C5702" s="6" t="s">
        <v>62</v>
      </c>
      <c r="D5702" s="6" t="s">
        <v>632</v>
      </c>
      <c r="E5702" s="6" t="s">
        <v>633</v>
      </c>
      <c r="F5702" s="6" t="str">
        <f>IF($M5702="PADD I","PADD 1",IF($M5702="PADD II","PADD 2",IF($M5702="PADD III","PADD 3",IF($M5702="PADD IV","PADD 4",IF($M5702="PADD V","PADD 5","")))))</f>
        <v>PADD 4</v>
      </c>
      <c r="G5702" s="6" t="str">
        <f>IF(AND($H5702="ATMOS DISTILLATION",ISNUMBER(SEARCH("VPS",$I5702))=FALSE,LEFT($I5702,6)&lt;&gt;"VACUUM"),"CDU",IF($H5702="FLUID CAT CRACKING","FCC",IF(OR($H5702="HYDROCRACKING",$H5702="RESID_HYDROCRACKING"),"Hydrocracker",IF($H5702="REFORMING","Reformer",""))))</f>
        <v>FCC</v>
      </c>
      <c r="H5702" s="6" t="s">
        <v>376</v>
      </c>
      <c r="I5702" s="6" t="s">
        <v>634</v>
      </c>
      <c r="J5702" s="6" t="s">
        <v>345</v>
      </c>
      <c r="K5702" s="10">
        <v>4.125</v>
      </c>
      <c r="L5702" s="10">
        <v>12.5</v>
      </c>
      <c r="M5702" s="6" t="s">
        <v>430</v>
      </c>
    </row>
    <row r="5703" spans="1:13">
      <c r="A5703" s="6">
        <v>2025</v>
      </c>
      <c r="B5703" s="6">
        <v>4</v>
      </c>
      <c r="C5703" s="6" t="s">
        <v>62</v>
      </c>
      <c r="D5703" s="6" t="s">
        <v>531</v>
      </c>
      <c r="E5703" s="6" t="s">
        <v>532</v>
      </c>
      <c r="F5703" s="6" t="str">
        <f>IF($M5703="PADD I","PADD 1",IF($M5703="PADD II","PADD 2",IF($M5703="PADD III","PADD 3",IF($M5703="PADD IV","PADD 4",IF($M5703="PADD V","PADD 5","")))))</f>
        <v>PADD 5</v>
      </c>
      <c r="G5703" s="6" t="str">
        <f>IF(AND($H5703="ATMOS DISTILLATION",ISNUMBER(SEARCH("VPS",$I5703))=FALSE,LEFT($I5703,6)&lt;&gt;"VACUUM"),"CDU",IF($H5703="FLUID CAT CRACKING","FCC",IF(OR($H5703="HYDROCRACKING",$H5703="RESID_HYDROCRACKING"),"Hydrocracker",IF($H5703="REFORMING","Reformer",""))))</f>
        <v>Hydrocracker</v>
      </c>
      <c r="H5703" s="6" t="s">
        <v>444</v>
      </c>
      <c r="I5703" s="6" t="s">
        <v>14</v>
      </c>
      <c r="J5703" s="6" t="s">
        <v>345</v>
      </c>
      <c r="K5703" s="10">
        <v>4.08</v>
      </c>
      <c r="L5703" s="10">
        <v>24</v>
      </c>
      <c r="M5703" s="6" t="s">
        <v>386</v>
      </c>
    </row>
    <row r="5704" spans="1:13">
      <c r="A5704" s="6">
        <v>2025</v>
      </c>
      <c r="B5704" s="6">
        <v>4</v>
      </c>
      <c r="C5704" s="6" t="s">
        <v>62</v>
      </c>
      <c r="D5704" s="6" t="s">
        <v>372</v>
      </c>
      <c r="E5704" s="6" t="s">
        <v>373</v>
      </c>
      <c r="F5704" s="6" t="str">
        <f>IF($M5704="PADD I","PADD 1",IF($M5704="PADD II","PADD 2",IF($M5704="PADD III","PADD 3",IF($M5704="PADD IV","PADD 4",IF($M5704="PADD V","PADD 5","")))))</f>
        <v>PADD 2</v>
      </c>
      <c r="G5704" s="6">
        <f>IF(AND($H5704="ATMOS DISTILLATION",ISNUMBER(SEARCH("VPS",$I5704))=FALSE,LEFT($I5704,6)&lt;&gt;"VACUUM"),"CDU",IF($H5704="FLUID CAT CRACKING","FCC",IF(OR($H5704="HYDROCRACKING",$H5704="RESID_HYDROCRACKING"),"Hydrocracker",IF($H5704="REFORMING","Reformer",""))))</f>
        <v/>
      </c>
      <c r="H5704" s="6" t="s">
        <v>435</v>
      </c>
      <c r="I5704" s="6" t="s">
        <v>584</v>
      </c>
      <c r="J5704" s="6" t="s">
        <v>345</v>
      </c>
      <c r="K5704" s="10">
        <v>3.975</v>
      </c>
      <c r="L5704" s="10">
        <v>7.5</v>
      </c>
      <c r="M5704" s="6" t="s">
        <v>375</v>
      </c>
    </row>
    <row r="5705" spans="1:13">
      <c r="A5705" s="6">
        <v>2025</v>
      </c>
      <c r="B5705" s="6">
        <v>4</v>
      </c>
      <c r="C5705" s="6" t="s">
        <v>62</v>
      </c>
      <c r="D5705" s="6" t="s">
        <v>395</v>
      </c>
      <c r="E5705" s="6" t="s">
        <v>396</v>
      </c>
      <c r="F5705" s="6" t="str">
        <f>IF($M5705="PADD I","PADD 1",IF($M5705="PADD II","PADD 2",IF($M5705="PADD III","PADD 3",IF($M5705="PADD IV","PADD 4",IF($M5705="PADD V","PADD 5","")))))</f>
        <v>PADD 3</v>
      </c>
      <c r="G5705" s="6" t="str">
        <f>IF(AND($H5705="ATMOS DISTILLATION",ISNUMBER(SEARCH("VPS",$I5705))=FALSE,LEFT($I5705,6)&lt;&gt;"VACUUM"),"CDU",IF($H5705="FLUID CAT CRACKING","FCC",IF(OR($H5705="HYDROCRACKING",$H5705="RESID_HYDROCRACKING"),"Hydrocracker",IF($H5705="REFORMING","Reformer",""))))</f>
        <v>Reformer</v>
      </c>
      <c r="H5705" s="6" t="s">
        <v>421</v>
      </c>
      <c r="I5705" s="6" t="s">
        <v>540</v>
      </c>
      <c r="J5705" s="6" t="s">
        <v>345</v>
      </c>
      <c r="K5705" s="10">
        <v>3.9</v>
      </c>
      <c r="L5705" s="10">
        <v>30</v>
      </c>
      <c r="M5705" s="6" t="s">
        <v>371</v>
      </c>
    </row>
    <row r="5706" spans="1:13">
      <c r="A5706" s="6">
        <v>2025</v>
      </c>
      <c r="B5706" s="6">
        <v>4</v>
      </c>
      <c r="C5706" s="6" t="s">
        <v>62</v>
      </c>
      <c r="D5706" s="6" t="s">
        <v>411</v>
      </c>
      <c r="E5706" s="6" t="s">
        <v>369</v>
      </c>
      <c r="F5706" s="6" t="str">
        <f>IF($M5706="PADD I","PADD 1",IF($M5706="PADD II","PADD 2",IF($M5706="PADD III","PADD 3",IF($M5706="PADD IV","PADD 4",IF($M5706="PADD V","PADD 5","")))))</f>
        <v>PADD 1</v>
      </c>
      <c r="G5706" s="6" t="str">
        <f>IF(AND($H5706="ATMOS DISTILLATION",ISNUMBER(SEARCH("VPS",$I5706))=FALSE,LEFT($I5706,6)&lt;&gt;"VACUUM"),"CDU",IF($H5706="FLUID CAT CRACKING","FCC",IF(OR($H5706="HYDROCRACKING",$H5706="RESID_HYDROCRACKING"),"Hydrocracker",IF($H5706="REFORMING","Reformer",""))))</f>
        <v>CDU</v>
      </c>
      <c r="H5706" s="6" t="s">
        <v>38</v>
      </c>
      <c r="I5706" s="6" t="s">
        <v>529</v>
      </c>
      <c r="J5706" s="6" t="s">
        <v>349</v>
      </c>
      <c r="K5706" s="10">
        <v>3.885</v>
      </c>
      <c r="L5706" s="10">
        <v>129.5</v>
      </c>
      <c r="M5706" s="6" t="s">
        <v>413</v>
      </c>
    </row>
    <row r="5707" spans="1:13">
      <c r="A5707" s="6">
        <v>2025</v>
      </c>
      <c r="B5707" s="6">
        <v>4</v>
      </c>
      <c r="C5707" s="6" t="s">
        <v>62</v>
      </c>
      <c r="D5707" s="6" t="s">
        <v>411</v>
      </c>
      <c r="E5707" s="6" t="s">
        <v>369</v>
      </c>
      <c r="F5707" s="6" t="str">
        <f>IF($M5707="PADD I","PADD 1",IF($M5707="PADD II","PADD 2",IF($M5707="PADD III","PADD 3",IF($M5707="PADD IV","PADD 4",IF($M5707="PADD V","PADD 5","")))))</f>
        <v>PADD 1</v>
      </c>
      <c r="G5707" s="6" t="str">
        <f>IF(AND($H5707="ATMOS DISTILLATION",ISNUMBER(SEARCH("VPS",$I5707))=FALSE,LEFT($I5707,6)&lt;&gt;"VACUUM"),"CDU",IF($H5707="FLUID CAT CRACKING","FCC",IF(OR($H5707="HYDROCRACKING",$H5707="RESID_HYDROCRACKING"),"Hydrocracker",IF($H5707="REFORMING","Reformer",""))))</f>
        <v>CDU</v>
      </c>
      <c r="H5707" s="6" t="s">
        <v>38</v>
      </c>
      <c r="I5707" s="6" t="s">
        <v>412</v>
      </c>
      <c r="J5707" s="6" t="s">
        <v>349</v>
      </c>
      <c r="K5707" s="10">
        <v>3.87</v>
      </c>
      <c r="L5707" s="10">
        <v>129</v>
      </c>
      <c r="M5707" s="6" t="s">
        <v>413</v>
      </c>
    </row>
    <row r="5708" spans="1:13">
      <c r="A5708" s="6">
        <v>2025</v>
      </c>
      <c r="B5708" s="6">
        <v>4</v>
      </c>
      <c r="C5708" s="6" t="s">
        <v>62</v>
      </c>
      <c r="D5708" s="6" t="s">
        <v>321</v>
      </c>
      <c r="E5708" s="6" t="s">
        <v>381</v>
      </c>
      <c r="F5708" s="6" t="str">
        <f>IF($M5708="PADD I","PADD 1",IF($M5708="PADD II","PADD 2",IF($M5708="PADD III","PADD 3",IF($M5708="PADD IV","PADD 4",IF($M5708="PADD V","PADD 5","")))))</f>
        <v>PADD 2</v>
      </c>
      <c r="G5708" s="6">
        <f>IF(AND($H5708="ATMOS DISTILLATION",ISNUMBER(SEARCH("VPS",$I5708))=FALSE,LEFT($I5708,6)&lt;&gt;"VACUUM"),"CDU",IF($H5708="FLUID CAT CRACKING","FCC",IF(OR($H5708="HYDROCRACKING",$H5708="RESID_HYDROCRACKING"),"Hydrocracker",IF($H5708="REFORMING","Reformer",""))))</f>
        <v/>
      </c>
      <c r="H5708" s="6" t="s">
        <v>43</v>
      </c>
      <c r="I5708" s="6" t="s">
        <v>1165</v>
      </c>
      <c r="J5708" s="6" t="s">
        <v>349</v>
      </c>
      <c r="K5708" s="10">
        <v>3.8</v>
      </c>
      <c r="L5708" s="10">
        <v>19</v>
      </c>
      <c r="M5708" s="6" t="s">
        <v>375</v>
      </c>
    </row>
    <row r="5709" spans="1:13">
      <c r="A5709" s="6">
        <v>2025</v>
      </c>
      <c r="B5709" s="6">
        <v>4</v>
      </c>
      <c r="C5709" s="6" t="s">
        <v>62</v>
      </c>
      <c r="D5709" s="6" t="s">
        <v>1063</v>
      </c>
      <c r="E5709" s="6" t="s">
        <v>388</v>
      </c>
      <c r="F5709" s="6" t="str">
        <f>IF($M5709="PADD I","PADD 1",IF($M5709="PADD II","PADD 2",IF($M5709="PADD III","PADD 3",IF($M5709="PADD IV","PADD 4",IF($M5709="PADD V","PADD 5","")))))</f>
        <v>PADD 2</v>
      </c>
      <c r="G5709" s="6">
        <f>IF(AND($H5709="ATMOS DISTILLATION",ISNUMBER(SEARCH("VPS",$I5709))=FALSE,LEFT($I5709,6)&lt;&gt;"VACUUM"),"CDU",IF($H5709="FLUID CAT CRACKING","FCC",IF(OR($H5709="HYDROCRACKING",$H5709="RESID_HYDROCRACKING"),"Hydrocracker",IF($H5709="REFORMING","Reformer",""))))</f>
        <v/>
      </c>
      <c r="H5709" s="6" t="s">
        <v>435</v>
      </c>
      <c r="I5709" s="6" t="s">
        <v>441</v>
      </c>
      <c r="J5709" s="6" t="s">
        <v>345</v>
      </c>
      <c r="K5709" s="10">
        <v>3.64</v>
      </c>
      <c r="L5709" s="10">
        <v>28</v>
      </c>
      <c r="M5709" s="6" t="s">
        <v>375</v>
      </c>
    </row>
    <row r="5710" spans="1:13">
      <c r="A5710" s="6">
        <v>2025</v>
      </c>
      <c r="B5710" s="6">
        <v>4</v>
      </c>
      <c r="C5710" s="6" t="s">
        <v>62</v>
      </c>
      <c r="D5710" s="6" t="s">
        <v>408</v>
      </c>
      <c r="E5710" s="6" t="s">
        <v>409</v>
      </c>
      <c r="F5710" s="6" t="str">
        <f>IF($M5710="PADD I","PADD 1",IF($M5710="PADD II","PADD 2",IF($M5710="PADD III","PADD 3",IF($M5710="PADD IV","PADD 4",IF($M5710="PADD V","PADD 5","")))))</f>
        <v>PADD 3</v>
      </c>
      <c r="G5710" s="6">
        <f>IF(AND($H5710="ATMOS DISTILLATION",ISNUMBER(SEARCH("VPS",$I5710))=FALSE,LEFT($I5710,6)&lt;&gt;"VACUUM"),"CDU",IF($H5710="FLUID CAT CRACKING","FCC",IF(OR($H5710="HYDROCRACKING",$H5710="RESID_HYDROCRACKING"),"Hydrocracker",IF($H5710="REFORMING","Reformer",""))))</f>
        <v/>
      </c>
      <c r="H5710" s="6" t="s">
        <v>378</v>
      </c>
      <c r="I5710" s="6" t="s">
        <v>506</v>
      </c>
      <c r="J5710" s="6" t="s">
        <v>345</v>
      </c>
      <c r="K5710" s="10">
        <v>3.64</v>
      </c>
      <c r="L5710" s="10">
        <v>52</v>
      </c>
      <c r="M5710" s="6" t="s">
        <v>371</v>
      </c>
    </row>
    <row r="5711" spans="1:13">
      <c r="A5711" s="6">
        <v>2025</v>
      </c>
      <c r="B5711" s="6">
        <v>4</v>
      </c>
      <c r="C5711" s="6" t="s">
        <v>62</v>
      </c>
      <c r="D5711" s="6" t="s">
        <v>727</v>
      </c>
      <c r="E5711" s="6" t="s">
        <v>728</v>
      </c>
      <c r="F5711" s="6" t="str">
        <f>IF($M5711="PADD I","PADD 1",IF($M5711="PADD II","PADD 2",IF($M5711="PADD III","PADD 3",IF($M5711="PADD IV","PADD 4",IF($M5711="PADD V","PADD 5","")))))</f>
        <v>PADD 1</v>
      </c>
      <c r="G5711" s="6" t="str">
        <f>IF(AND($H5711="ATMOS DISTILLATION",ISNUMBER(SEARCH("VPS",$I5711))=FALSE,LEFT($I5711,6)&lt;&gt;"VACUUM"),"CDU",IF($H5711="FLUID CAT CRACKING","FCC",IF(OR($H5711="HYDROCRACKING",$H5711="RESID_HYDROCRACKING"),"Hydrocracker",IF($H5711="REFORMING","Reformer",""))))</f>
        <v>Reformer</v>
      </c>
      <c r="H5711" s="6" t="s">
        <v>421</v>
      </c>
      <c r="I5711" s="6" t="s">
        <v>571</v>
      </c>
      <c r="J5711" s="6" t="s">
        <v>349</v>
      </c>
      <c r="K5711" s="10">
        <v>3.6</v>
      </c>
      <c r="L5711" s="10">
        <v>3.6</v>
      </c>
      <c r="M5711" s="6" t="s">
        <v>413</v>
      </c>
    </row>
    <row r="5712" spans="1:13">
      <c r="A5712" s="6">
        <v>2025</v>
      </c>
      <c r="B5712" s="6">
        <v>4</v>
      </c>
      <c r="C5712" s="6" t="s">
        <v>62</v>
      </c>
      <c r="D5712" s="6" t="s">
        <v>1286</v>
      </c>
      <c r="E5712" s="6" t="s">
        <v>1287</v>
      </c>
      <c r="F5712" s="6" t="str">
        <f>IF($M5712="PADD I","PADD 1",IF($M5712="PADD II","PADD 2",IF($M5712="PADD III","PADD 3",IF($M5712="PADD IV","PADD 4",IF($M5712="PADD V","PADD 5","")))))</f>
        <v>PADD 4</v>
      </c>
      <c r="G5712" s="6">
        <f>IF(AND($H5712="ATMOS DISTILLATION",ISNUMBER(SEARCH("VPS",$I5712))=FALSE,LEFT($I5712,6)&lt;&gt;"VACUUM"),"CDU",IF($H5712="FLUID CAT CRACKING","FCC",IF(OR($H5712="HYDROCRACKING",$H5712="RESID_HYDROCRACKING"),"Hydrocracker",IF($H5712="REFORMING","Reformer",""))))</f>
        <v/>
      </c>
      <c r="H5712" s="6" t="s">
        <v>43</v>
      </c>
      <c r="I5712" s="6" t="s">
        <v>1292</v>
      </c>
      <c r="J5712" s="6" t="s">
        <v>345</v>
      </c>
      <c r="K5712" s="10">
        <v>3.5</v>
      </c>
      <c r="L5712" s="10">
        <v>3.5</v>
      </c>
      <c r="M5712" s="6" t="s">
        <v>430</v>
      </c>
    </row>
    <row r="5713" spans="1:13">
      <c r="A5713" s="6">
        <v>2025</v>
      </c>
      <c r="B5713" s="6">
        <v>4</v>
      </c>
      <c r="C5713" s="6" t="s">
        <v>62</v>
      </c>
      <c r="D5713" s="6" t="s">
        <v>715</v>
      </c>
      <c r="E5713" s="6" t="s">
        <v>716</v>
      </c>
      <c r="F5713" s="6" t="str">
        <f>IF($M5713="PADD I","PADD 1",IF($M5713="PADD II","PADD 2",IF($M5713="PADD III","PADD 3",IF($M5713="PADD IV","PADD 4",IF($M5713="PADD V","PADD 5","")))))</f>
        <v>PADD 2</v>
      </c>
      <c r="G5713" s="6">
        <f>IF(AND($H5713="ATMOS DISTILLATION",ISNUMBER(SEARCH("VPS",$I5713))=FALSE,LEFT($I5713,6)&lt;&gt;"VACUUM"),"CDU",IF($H5713="FLUID CAT CRACKING","FCC",IF(OR($H5713="HYDROCRACKING",$H5713="RESID_HYDROCRACKING"),"Hydrocracker",IF($H5713="REFORMING","Reformer",""))))</f>
        <v/>
      </c>
      <c r="H5713" s="6" t="s">
        <v>43</v>
      </c>
      <c r="I5713" s="6" t="s">
        <v>717</v>
      </c>
      <c r="J5713" s="6" t="s">
        <v>349</v>
      </c>
      <c r="K5713" s="10">
        <v>3.45</v>
      </c>
      <c r="L5713" s="10">
        <v>15</v>
      </c>
      <c r="M5713" s="6" t="s">
        <v>375</v>
      </c>
    </row>
    <row r="5714" spans="1:13">
      <c r="A5714" s="6">
        <v>2025</v>
      </c>
      <c r="B5714" s="6">
        <v>4</v>
      </c>
      <c r="C5714" s="6" t="s">
        <v>62</v>
      </c>
      <c r="D5714" s="6" t="s">
        <v>415</v>
      </c>
      <c r="E5714" s="6" t="s">
        <v>416</v>
      </c>
      <c r="F5714" s="6" t="str">
        <f>IF($M5714="PADD I","PADD 1",IF($M5714="PADD II","PADD 2",IF($M5714="PADD III","PADD 3",IF($M5714="PADD IV","PADD 4",IF($M5714="PADD V","PADD 5","")))))</f>
        <v>PADD 3</v>
      </c>
      <c r="G5714" s="6">
        <f>IF(AND($H5714="ATMOS DISTILLATION",ISNUMBER(SEARCH("VPS",$I5714))=FALSE,LEFT($I5714,6)&lt;&gt;"VACUUM"),"CDU",IF($H5714="FLUID CAT CRACKING","FCC",IF(OR($H5714="HYDROCRACKING",$H5714="RESID_HYDROCRACKING"),"Hydrocracker",IF($H5714="REFORMING","Reformer",""))))</f>
        <v/>
      </c>
      <c r="H5714" s="6" t="s">
        <v>435</v>
      </c>
      <c r="I5714" s="6" t="s">
        <v>453</v>
      </c>
      <c r="J5714" s="6" t="s">
        <v>345</v>
      </c>
      <c r="K5714" s="10">
        <v>3.4</v>
      </c>
      <c r="L5714" s="10">
        <v>34</v>
      </c>
      <c r="M5714" s="6" t="s">
        <v>371</v>
      </c>
    </row>
    <row r="5715" spans="1:13">
      <c r="A5715" s="6">
        <v>2025</v>
      </c>
      <c r="B5715" s="6">
        <v>4</v>
      </c>
      <c r="C5715" s="6" t="s">
        <v>62</v>
      </c>
      <c r="D5715" s="6" t="s">
        <v>451</v>
      </c>
      <c r="E5715" s="6" t="s">
        <v>452</v>
      </c>
      <c r="F5715" s="6" t="str">
        <f>IF($M5715="PADD I","PADD 1",IF($M5715="PADD II","PADD 2",IF($M5715="PADD III","PADD 3",IF($M5715="PADD IV","PADD 4",IF($M5715="PADD V","PADD 5","")))))</f>
        <v>PADD 2</v>
      </c>
      <c r="G5715" s="6">
        <f>IF(AND($H5715="ATMOS DISTILLATION",ISNUMBER(SEARCH("VPS",$I5715))=FALSE,LEFT($I5715,6)&lt;&gt;"VACUUM"),"CDU",IF($H5715="FLUID CAT CRACKING","FCC",IF(OR($H5715="HYDROCRACKING",$H5715="RESID_HYDROCRACKING"),"Hydrocracker",IF($H5715="REFORMING","Reformer",""))))</f>
        <v/>
      </c>
      <c r="H5715" s="6" t="s">
        <v>43</v>
      </c>
      <c r="I5715" s="6" t="s">
        <v>896</v>
      </c>
      <c r="J5715" s="6" t="s">
        <v>349</v>
      </c>
      <c r="K5715" s="10">
        <v>3.29</v>
      </c>
      <c r="L5715" s="10">
        <v>7</v>
      </c>
      <c r="M5715" s="6" t="s">
        <v>375</v>
      </c>
    </row>
    <row r="5716" spans="1:13">
      <c r="A5716" s="6">
        <v>2025</v>
      </c>
      <c r="B5716" s="6">
        <v>4</v>
      </c>
      <c r="C5716" s="6" t="s">
        <v>62</v>
      </c>
      <c r="D5716" s="6" t="s">
        <v>329</v>
      </c>
      <c r="E5716" s="6" t="s">
        <v>427</v>
      </c>
      <c r="F5716" s="6" t="str">
        <f>IF($M5716="PADD I","PADD 1",IF($M5716="PADD II","PADD 2",IF($M5716="PADD III","PADD 3",IF($M5716="PADD IV","PADD 4",IF($M5716="PADD V","PADD 5","")))))</f>
        <v>PADD 3</v>
      </c>
      <c r="G5716" s="6" t="str">
        <f>IF(AND($H5716="ATMOS DISTILLATION",ISNUMBER(SEARCH("VPS",$I5716))=FALSE,LEFT($I5716,6)&lt;&gt;"VACUUM"),"CDU",IF($H5716="FLUID CAT CRACKING","FCC",IF(OR($H5716="HYDROCRACKING",$H5716="RESID_HYDROCRACKING"),"Hydrocracker",IF($H5716="REFORMING","Reformer",""))))</f>
        <v>Reformer</v>
      </c>
      <c r="H5716" s="6" t="s">
        <v>421</v>
      </c>
      <c r="I5716" s="6" t="s">
        <v>1162</v>
      </c>
      <c r="J5716" s="6" t="s">
        <v>345</v>
      </c>
      <c r="K5716" s="10">
        <v>3.23</v>
      </c>
      <c r="L5716" s="10">
        <v>19</v>
      </c>
      <c r="M5716" s="6" t="s">
        <v>371</v>
      </c>
    </row>
    <row r="5717" spans="1:13">
      <c r="A5717" s="6">
        <v>2025</v>
      </c>
      <c r="B5717" s="6">
        <v>4</v>
      </c>
      <c r="C5717" s="6" t="s">
        <v>62</v>
      </c>
      <c r="D5717" s="6" t="s">
        <v>1286</v>
      </c>
      <c r="E5717" s="6" t="s">
        <v>1287</v>
      </c>
      <c r="F5717" s="6" t="str">
        <f>IF($M5717="PADD I","PADD 1",IF($M5717="PADD II","PADD 2",IF($M5717="PADD III","PADD 3",IF($M5717="PADD IV","PADD 4",IF($M5717="PADD V","PADD 5","")))))</f>
        <v>PADD 4</v>
      </c>
      <c r="G5717" s="6" t="str">
        <f>IF(AND($H5717="ATMOS DISTILLATION",ISNUMBER(SEARCH("VPS",$I5717))=FALSE,LEFT($I5717,6)&lt;&gt;"VACUUM"),"CDU",IF($H5717="FLUID CAT CRACKING","FCC",IF(OR($H5717="HYDROCRACKING",$H5717="RESID_HYDROCRACKING"),"Hydrocracker",IF($H5717="REFORMING","Reformer",""))))</f>
        <v>Reformer</v>
      </c>
      <c r="H5717" s="6" t="s">
        <v>421</v>
      </c>
      <c r="I5717" s="6" t="s">
        <v>15</v>
      </c>
      <c r="J5717" s="6" t="s">
        <v>345</v>
      </c>
      <c r="K5717" s="10">
        <v>3.2</v>
      </c>
      <c r="L5717" s="10">
        <v>3.2</v>
      </c>
      <c r="M5717" s="6" t="s">
        <v>430</v>
      </c>
    </row>
    <row r="5718" spans="1:13">
      <c r="A5718" s="6">
        <v>2025</v>
      </c>
      <c r="B5718" s="6">
        <v>4</v>
      </c>
      <c r="C5718" s="6" t="s">
        <v>62</v>
      </c>
      <c r="D5718" s="6" t="s">
        <v>612</v>
      </c>
      <c r="E5718" s="6" t="s">
        <v>416</v>
      </c>
      <c r="F5718" s="6" t="str">
        <f>IF($M5718="PADD I","PADD 1",IF($M5718="PADD II","PADD 2",IF($M5718="PADD III","PADD 3",IF($M5718="PADD IV","PADD 4",IF($M5718="PADD V","PADD 5","")))))</f>
        <v>PADD 3</v>
      </c>
      <c r="G5718" s="6">
        <f>IF(AND($H5718="ATMOS DISTILLATION",ISNUMBER(SEARCH("VPS",$I5718))=FALSE,LEFT($I5718,6)&lt;&gt;"VACUUM"),"CDU",IF($H5718="FLUID CAT CRACKING","FCC",IF(OR($H5718="HYDROCRACKING",$H5718="RESID_HYDROCRACKING"),"Hydrocracker",IF($H5718="REFORMING","Reformer",""))))</f>
        <v/>
      </c>
      <c r="H5718" s="6" t="s">
        <v>435</v>
      </c>
      <c r="I5718" s="6" t="s">
        <v>441</v>
      </c>
      <c r="J5718" s="6" t="s">
        <v>345</v>
      </c>
      <c r="K5718" s="10">
        <v>3.08</v>
      </c>
      <c r="L5718" s="10">
        <v>44</v>
      </c>
      <c r="M5718" s="6" t="s">
        <v>371</v>
      </c>
    </row>
    <row r="5719" spans="1:13">
      <c r="A5719" s="6">
        <v>2025</v>
      </c>
      <c r="B5719" s="6">
        <v>4</v>
      </c>
      <c r="C5719" s="6" t="s">
        <v>62</v>
      </c>
      <c r="D5719" s="6" t="s">
        <v>739</v>
      </c>
      <c r="E5719" s="6" t="s">
        <v>405</v>
      </c>
      <c r="F5719" s="6" t="str">
        <f>IF($M5719="PADD I","PADD 1",IF($M5719="PADD II","PADD 2",IF($M5719="PADD III","PADD 3",IF($M5719="PADD IV","PADD 4",IF($M5719="PADD V","PADD 5","")))))</f>
        <v>PADD 2</v>
      </c>
      <c r="G5719" s="6">
        <f>IF(AND($H5719="ATMOS DISTILLATION",ISNUMBER(SEARCH("VPS",$I5719))=FALSE,LEFT($I5719,6)&lt;&gt;"VACUUM"),"CDU",IF($H5719="FLUID CAT CRACKING","FCC",IF(OR($H5719="HYDROCRACKING",$H5719="RESID_HYDROCRACKING"),"Hydrocracker",IF($H5719="REFORMING","Reformer",""))))</f>
        <v/>
      </c>
      <c r="H5719" s="6" t="s">
        <v>568</v>
      </c>
      <c r="I5719" s="6" t="s">
        <v>604</v>
      </c>
      <c r="J5719" s="6" t="s">
        <v>349</v>
      </c>
      <c r="K5719" s="10">
        <v>3.01</v>
      </c>
      <c r="L5719" s="10">
        <v>7</v>
      </c>
      <c r="M5719" s="6" t="s">
        <v>375</v>
      </c>
    </row>
    <row r="5720" spans="1:13">
      <c r="A5720" s="6">
        <v>2025</v>
      </c>
      <c r="B5720" s="6">
        <v>4</v>
      </c>
      <c r="C5720" s="6" t="s">
        <v>62</v>
      </c>
      <c r="D5720" s="6" t="s">
        <v>815</v>
      </c>
      <c r="E5720" s="6" t="s">
        <v>452</v>
      </c>
      <c r="F5720" s="6" t="str">
        <f>IF($M5720="PADD I","PADD 1",IF($M5720="PADD II","PADD 2",IF($M5720="PADD III","PADD 3",IF($M5720="PADD IV","PADD 4",IF($M5720="PADD V","PADD 5","")))))</f>
        <v>PADD 4</v>
      </c>
      <c r="G5720" s="6">
        <f>IF(AND($H5720="ATMOS DISTILLATION",ISNUMBER(SEARCH("VPS",$I5720))=FALSE,LEFT($I5720,6)&lt;&gt;"VACUUM"),"CDU",IF($H5720="FLUID CAT CRACKING","FCC",IF(OR($H5720="HYDROCRACKING",$H5720="RESID_HYDROCRACKING"),"Hydrocracker",IF($H5720="REFORMING","Reformer",""))))</f>
        <v/>
      </c>
      <c r="H5720" s="6" t="s">
        <v>460</v>
      </c>
      <c r="I5720" s="6" t="s">
        <v>461</v>
      </c>
      <c r="J5720" s="6" t="s">
        <v>349</v>
      </c>
      <c r="K5720" s="10">
        <v>2.835</v>
      </c>
      <c r="L5720" s="10">
        <v>4.5</v>
      </c>
      <c r="M5720" s="6" t="s">
        <v>430</v>
      </c>
    </row>
    <row r="5721" spans="1:13">
      <c r="A5721" s="6">
        <v>2025</v>
      </c>
      <c r="B5721" s="6">
        <v>4</v>
      </c>
      <c r="C5721" s="6" t="s">
        <v>62</v>
      </c>
      <c r="D5721" s="6" t="s">
        <v>333</v>
      </c>
      <c r="E5721" s="6" t="s">
        <v>381</v>
      </c>
      <c r="F5721" s="6" t="str">
        <f>IF($M5721="PADD I","PADD 1",IF($M5721="PADD II","PADD 2",IF($M5721="PADD III","PADD 3",IF($M5721="PADD IV","PADD 4",IF($M5721="PADD V","PADD 5","")))))</f>
        <v>PADD 3</v>
      </c>
      <c r="G5721" s="6">
        <f>IF(AND($H5721="ATMOS DISTILLATION",ISNUMBER(SEARCH("VPS",$I5721))=FALSE,LEFT($I5721,6)&lt;&gt;"VACUUM"),"CDU",IF($H5721="FLUID CAT CRACKING","FCC",IF(OR($H5721="HYDROCRACKING",$H5721="RESID_HYDROCRACKING"),"Hydrocracker",IF($H5721="REFORMING","Reformer",""))))</f>
        <v/>
      </c>
      <c r="H5721" s="6" t="s">
        <v>43</v>
      </c>
      <c r="I5721" s="6" t="s">
        <v>943</v>
      </c>
      <c r="J5721" s="6" t="s">
        <v>345</v>
      </c>
      <c r="K5721" s="10">
        <v>2.8</v>
      </c>
      <c r="L5721" s="10">
        <v>40</v>
      </c>
      <c r="M5721" s="6" t="s">
        <v>371</v>
      </c>
    </row>
    <row r="5722" spans="1:13">
      <c r="A5722" s="6">
        <v>2025</v>
      </c>
      <c r="B5722" s="6">
        <v>4</v>
      </c>
      <c r="C5722" s="6" t="s">
        <v>62</v>
      </c>
      <c r="D5722" s="6" t="s">
        <v>799</v>
      </c>
      <c r="E5722" s="6" t="s">
        <v>391</v>
      </c>
      <c r="F5722" s="6" t="str">
        <f>IF($M5722="PADD I","PADD 1",IF($M5722="PADD II","PADD 2",IF($M5722="PADD III","PADD 3",IF($M5722="PADD IV","PADD 4",IF($M5722="PADD V","PADD 5","")))))</f>
        <v>PADD 4</v>
      </c>
      <c r="G5722" s="6">
        <f>IF(AND($H5722="ATMOS DISTILLATION",ISNUMBER(SEARCH("VPS",$I5722))=FALSE,LEFT($I5722,6)&lt;&gt;"VACUUM"),"CDU",IF($H5722="FLUID CAT CRACKING","FCC",IF(OR($H5722="HYDROCRACKING",$H5722="RESID_HYDROCRACKING"),"Hydrocracker",IF($H5722="REFORMING","Reformer",""))))</f>
        <v/>
      </c>
      <c r="H5722" s="6" t="s">
        <v>43</v>
      </c>
      <c r="I5722" s="6" t="s">
        <v>800</v>
      </c>
      <c r="J5722" s="6" t="s">
        <v>345</v>
      </c>
      <c r="K5722" s="10">
        <v>2.79</v>
      </c>
      <c r="L5722" s="10">
        <v>27.9</v>
      </c>
      <c r="M5722" s="6" t="s">
        <v>430</v>
      </c>
    </row>
    <row r="5723" spans="1:13">
      <c r="A5723" s="6">
        <v>2025</v>
      </c>
      <c r="B5723" s="6">
        <v>4</v>
      </c>
      <c r="C5723" s="6" t="s">
        <v>62</v>
      </c>
      <c r="D5723" s="6" t="s">
        <v>451</v>
      </c>
      <c r="E5723" s="6" t="s">
        <v>452</v>
      </c>
      <c r="F5723" s="6" t="str">
        <f>IF($M5723="PADD I","PADD 1",IF($M5723="PADD II","PADD 2",IF($M5723="PADD III","PADD 3",IF($M5723="PADD IV","PADD 4",IF($M5723="PADD V","PADD 5","")))))</f>
        <v>PADD 2</v>
      </c>
      <c r="G5723" s="6" t="str">
        <f>IF(AND($H5723="ATMOS DISTILLATION",ISNUMBER(SEARCH("VPS",$I5723))=FALSE,LEFT($I5723,6)&lt;&gt;"VACUUM"),"CDU",IF($H5723="FLUID CAT CRACKING","FCC",IF(OR($H5723="HYDROCRACKING",$H5723="RESID_HYDROCRACKING"),"Hydrocracker",IF($H5723="REFORMING","Reformer",""))))</f>
        <v>FCC</v>
      </c>
      <c r="H5723" s="6" t="s">
        <v>376</v>
      </c>
      <c r="I5723" s="6" t="s">
        <v>105</v>
      </c>
      <c r="J5723" s="6" t="s">
        <v>349</v>
      </c>
      <c r="K5723" s="10">
        <v>2.726</v>
      </c>
      <c r="L5723" s="10">
        <v>5.8</v>
      </c>
      <c r="M5723" s="6" t="s">
        <v>375</v>
      </c>
    </row>
    <row r="5724" spans="1:13">
      <c r="A5724" s="6">
        <v>2025</v>
      </c>
      <c r="B5724" s="6">
        <v>4</v>
      </c>
      <c r="C5724" s="6" t="s">
        <v>62</v>
      </c>
      <c r="D5724" s="6" t="s">
        <v>739</v>
      </c>
      <c r="E5724" s="6" t="s">
        <v>405</v>
      </c>
      <c r="F5724" s="6" t="str">
        <f>IF($M5724="PADD I","PADD 1",IF($M5724="PADD II","PADD 2",IF($M5724="PADD III","PADD 3",IF($M5724="PADD IV","PADD 4",IF($M5724="PADD V","PADD 5","")))))</f>
        <v>PADD 2</v>
      </c>
      <c r="G5724" s="6">
        <f>IF(AND($H5724="ATMOS DISTILLATION",ISNUMBER(SEARCH("VPS",$I5724))=FALSE,LEFT($I5724,6)&lt;&gt;"VACUUM"),"CDU",IF($H5724="FLUID CAT CRACKING","FCC",IF(OR($H5724="HYDROCRACKING",$H5724="RESID_HYDROCRACKING"),"Hydrocracker",IF($H5724="REFORMING","Reformer",""))))</f>
        <v/>
      </c>
      <c r="H5724" s="6" t="s">
        <v>460</v>
      </c>
      <c r="I5724" s="6" t="s">
        <v>616</v>
      </c>
      <c r="J5724" s="6" t="s">
        <v>349</v>
      </c>
      <c r="K5724" s="10">
        <v>2.666</v>
      </c>
      <c r="L5724" s="10">
        <v>6.2</v>
      </c>
      <c r="M5724" s="6" t="s">
        <v>375</v>
      </c>
    </row>
    <row r="5725" spans="1:13">
      <c r="A5725" s="6">
        <v>2025</v>
      </c>
      <c r="B5725" s="6">
        <v>4</v>
      </c>
      <c r="C5725" s="6" t="s">
        <v>62</v>
      </c>
      <c r="D5725" s="6" t="s">
        <v>722</v>
      </c>
      <c r="E5725" s="6" t="s">
        <v>452</v>
      </c>
      <c r="F5725" s="6" t="str">
        <f>IF($M5725="PADD I","PADD 1",IF($M5725="PADD II","PADD 2",IF($M5725="PADD III","PADD 3",IF($M5725="PADD IV","PADD 4",IF($M5725="PADD V","PADD 5","")))))</f>
        <v>PADD 4</v>
      </c>
      <c r="G5725" s="6" t="str">
        <f>IF(AND($H5725="ATMOS DISTILLATION",ISNUMBER(SEARCH("VPS",$I5725))=FALSE,LEFT($I5725,6)&lt;&gt;"VACUUM"),"CDU",IF($H5725="FLUID CAT CRACKING","FCC",IF(OR($H5725="HYDROCRACKING",$H5725="RESID_HYDROCRACKING"),"Hydrocracker",IF($H5725="REFORMING","Reformer",""))))</f>
        <v>CDU</v>
      </c>
      <c r="H5725" s="6" t="s">
        <v>38</v>
      </c>
      <c r="I5725" s="6" t="s">
        <v>1161</v>
      </c>
      <c r="J5725" s="6" t="s">
        <v>345</v>
      </c>
      <c r="K5725" s="10">
        <v>2.64</v>
      </c>
      <c r="L5725" s="10">
        <v>26.4</v>
      </c>
      <c r="M5725" s="6" t="s">
        <v>430</v>
      </c>
    </row>
    <row r="5726" spans="1:13">
      <c r="A5726" s="6">
        <v>2025</v>
      </c>
      <c r="B5726" s="6">
        <v>4</v>
      </c>
      <c r="C5726" s="6" t="s">
        <v>62</v>
      </c>
      <c r="D5726" s="6" t="s">
        <v>639</v>
      </c>
      <c r="E5726" s="6" t="s">
        <v>452</v>
      </c>
      <c r="F5726" s="6" t="str">
        <f>IF($M5726="PADD I","PADD 1",IF($M5726="PADD II","PADD 2",IF($M5726="PADD III","PADD 3",IF($M5726="PADD IV","PADD 4",IF($M5726="PADD V","PADD 5","")))))</f>
        <v>PADD 5</v>
      </c>
      <c r="G5726" s="6">
        <f>IF(AND($H5726="ATMOS DISTILLATION",ISNUMBER(SEARCH("VPS",$I5726))=FALSE,LEFT($I5726,6)&lt;&gt;"VACUUM"),"CDU",IF($H5726="FLUID CAT CRACKING","FCC",IF(OR($H5726="HYDROCRACKING",$H5726="RESID_HYDROCRACKING"),"Hydrocracker",IF($H5726="REFORMING","Reformer",""))))</f>
        <v/>
      </c>
      <c r="H5726" s="6" t="s">
        <v>435</v>
      </c>
      <c r="I5726" s="6" t="s">
        <v>1096</v>
      </c>
      <c r="J5726" s="6" t="s">
        <v>349</v>
      </c>
      <c r="K5726" s="10">
        <v>2.53</v>
      </c>
      <c r="L5726" s="10">
        <v>25.3</v>
      </c>
      <c r="M5726" s="6" t="s">
        <v>386</v>
      </c>
    </row>
    <row r="5727" spans="1:13">
      <c r="A5727" s="6">
        <v>2025</v>
      </c>
      <c r="B5727" s="6">
        <v>4</v>
      </c>
      <c r="C5727" s="6" t="s">
        <v>62</v>
      </c>
      <c r="D5727" s="6" t="s">
        <v>715</v>
      </c>
      <c r="E5727" s="6" t="s">
        <v>716</v>
      </c>
      <c r="F5727" s="6" t="str">
        <f>IF($M5727="PADD I","PADD 1",IF($M5727="PADD II","PADD 2",IF($M5727="PADD III","PADD 3",IF($M5727="PADD IV","PADD 4",IF($M5727="PADD V","PADD 5","")))))</f>
        <v>PADD 2</v>
      </c>
      <c r="G5727" s="6">
        <f>IF(AND($H5727="ATMOS DISTILLATION",ISNUMBER(SEARCH("VPS",$I5727))=FALSE,LEFT($I5727,6)&lt;&gt;"VACUUM"),"CDU",IF($H5727="FLUID CAT CRACKING","FCC",IF(OR($H5727="HYDROCRACKING",$H5727="RESID_HYDROCRACKING"),"Hydrocracker",IF($H5727="REFORMING","Reformer",""))))</f>
        <v/>
      </c>
      <c r="H5727" s="6" t="s">
        <v>43</v>
      </c>
      <c r="I5727" s="6" t="s">
        <v>1181</v>
      </c>
      <c r="J5727" s="6" t="s">
        <v>349</v>
      </c>
      <c r="K5727" s="10">
        <v>2.3</v>
      </c>
      <c r="L5727" s="10">
        <v>10</v>
      </c>
      <c r="M5727" s="6" t="s">
        <v>375</v>
      </c>
    </row>
    <row r="5728" spans="1:13">
      <c r="A5728" s="6">
        <v>2025</v>
      </c>
      <c r="B5728" s="6">
        <v>4</v>
      </c>
      <c r="C5728" s="6" t="s">
        <v>62</v>
      </c>
      <c r="D5728" s="6" t="s">
        <v>411</v>
      </c>
      <c r="E5728" s="6" t="s">
        <v>369</v>
      </c>
      <c r="F5728" s="6" t="str">
        <f>IF($M5728="PADD I","PADD 1",IF($M5728="PADD II","PADD 2",IF($M5728="PADD III","PADD 3",IF($M5728="PADD IV","PADD 4",IF($M5728="PADD V","PADD 5","")))))</f>
        <v>PADD 1</v>
      </c>
      <c r="G5728" s="6">
        <f>IF(AND($H5728="ATMOS DISTILLATION",ISNUMBER(SEARCH("VPS",$I5728))=FALSE,LEFT($I5728,6)&lt;&gt;"VACUUM"),"CDU",IF($H5728="FLUID CAT CRACKING","FCC",IF(OR($H5728="HYDROCRACKING",$H5728="RESID_HYDROCRACKING"),"Hydrocracker",IF($H5728="REFORMING","Reformer",""))))</f>
        <v/>
      </c>
      <c r="H5728" s="6" t="s">
        <v>378</v>
      </c>
      <c r="I5728" s="6" t="s">
        <v>431</v>
      </c>
      <c r="J5728" s="6" t="s">
        <v>349</v>
      </c>
      <c r="K5728" s="10">
        <v>2.25</v>
      </c>
      <c r="L5728" s="10">
        <v>75</v>
      </c>
      <c r="M5728" s="6" t="s">
        <v>413</v>
      </c>
    </row>
    <row r="5729" spans="1:13">
      <c r="A5729" s="6">
        <v>2025</v>
      </c>
      <c r="B5729" s="6">
        <v>4</v>
      </c>
      <c r="C5729" s="6" t="s">
        <v>62</v>
      </c>
      <c r="D5729" s="6" t="s">
        <v>451</v>
      </c>
      <c r="E5729" s="6" t="s">
        <v>452</v>
      </c>
      <c r="F5729" s="6" t="str">
        <f>IF($M5729="PADD I","PADD 1",IF($M5729="PADD II","PADD 2",IF($M5729="PADD III","PADD 3",IF($M5729="PADD IV","PADD 4",IF($M5729="PADD V","PADD 5","")))))</f>
        <v>PADD 2</v>
      </c>
      <c r="G5729" s="6" t="str">
        <f>IF(AND($H5729="ATMOS DISTILLATION",ISNUMBER(SEARCH("VPS",$I5729))=FALSE,LEFT($I5729,6)&lt;&gt;"VACUUM"),"CDU",IF($H5729="FLUID CAT CRACKING","FCC",IF(OR($H5729="HYDROCRACKING",$H5729="RESID_HYDROCRACKING"),"Hydrocracker",IF($H5729="REFORMING","Reformer",""))))</f>
        <v>Reformer</v>
      </c>
      <c r="H5729" s="6" t="s">
        <v>421</v>
      </c>
      <c r="I5729" s="6" t="s">
        <v>899</v>
      </c>
      <c r="J5729" s="6" t="s">
        <v>349</v>
      </c>
      <c r="K5729" s="10">
        <v>2.068</v>
      </c>
      <c r="L5729" s="10">
        <v>4.4</v>
      </c>
      <c r="M5729" s="6" t="s">
        <v>375</v>
      </c>
    </row>
    <row r="5730" spans="1:13">
      <c r="A5730" s="6">
        <v>2025</v>
      </c>
      <c r="B5730" s="6">
        <v>4</v>
      </c>
      <c r="C5730" s="6" t="s">
        <v>62</v>
      </c>
      <c r="D5730" s="6" t="s">
        <v>451</v>
      </c>
      <c r="E5730" s="6" t="s">
        <v>452</v>
      </c>
      <c r="F5730" s="6" t="str">
        <f>IF($M5730="PADD I","PADD 1",IF($M5730="PADD II","PADD 2",IF($M5730="PADD III","PADD 3",IF($M5730="PADD IV","PADD 4",IF($M5730="PADD V","PADD 5","")))))</f>
        <v>PADD 2</v>
      </c>
      <c r="G5730" s="6">
        <f>IF(AND($H5730="ATMOS DISTILLATION",ISNUMBER(SEARCH("VPS",$I5730))=FALSE,LEFT($I5730,6)&lt;&gt;"VACUUM"),"CDU",IF($H5730="FLUID CAT CRACKING","FCC",IF(OR($H5730="HYDROCRACKING",$H5730="RESID_HYDROCRACKING"),"Hydrocracker",IF($H5730="REFORMING","Reformer",""))))</f>
        <v/>
      </c>
      <c r="H5730" s="6" t="s">
        <v>43</v>
      </c>
      <c r="I5730" s="6" t="s">
        <v>900</v>
      </c>
      <c r="J5730" s="6" t="s">
        <v>349</v>
      </c>
      <c r="K5730" s="10">
        <v>2.068</v>
      </c>
      <c r="L5730" s="10">
        <v>4.4</v>
      </c>
      <c r="M5730" s="6" t="s">
        <v>375</v>
      </c>
    </row>
    <row r="5731" spans="1:13">
      <c r="A5731" s="6">
        <v>2025</v>
      </c>
      <c r="B5731" s="6">
        <v>4</v>
      </c>
      <c r="C5731" s="6" t="s">
        <v>62</v>
      </c>
      <c r="D5731" s="6" t="s">
        <v>395</v>
      </c>
      <c r="E5731" s="6" t="s">
        <v>396</v>
      </c>
      <c r="F5731" s="6" t="str">
        <f>IF($M5731="PADD I","PADD 1",IF($M5731="PADD II","PADD 2",IF($M5731="PADD III","PADD 3",IF($M5731="PADD IV","PADD 4",IF($M5731="PADD V","PADD 5","")))))</f>
        <v>PADD 3</v>
      </c>
      <c r="G5731" s="6" t="str">
        <f>IF(AND($H5731="ATMOS DISTILLATION",ISNUMBER(SEARCH("VPS",$I5731))=FALSE,LEFT($I5731,6)&lt;&gt;"VACUUM"),"CDU",IF($H5731="FLUID CAT CRACKING","FCC",IF(OR($H5731="HYDROCRACKING",$H5731="RESID_HYDROCRACKING"),"Hydrocracker",IF($H5731="REFORMING","Reformer",""))))</f>
        <v>CDU</v>
      </c>
      <c r="H5731" s="6" t="s">
        <v>38</v>
      </c>
      <c r="I5731" s="6" t="s">
        <v>397</v>
      </c>
      <c r="J5731" s="6" t="s">
        <v>345</v>
      </c>
      <c r="K5731" s="10">
        <v>2.025</v>
      </c>
      <c r="L5731" s="10">
        <v>67.5</v>
      </c>
      <c r="M5731" s="6" t="s">
        <v>371</v>
      </c>
    </row>
    <row r="5732" spans="1:13">
      <c r="A5732" s="6">
        <v>2025</v>
      </c>
      <c r="B5732" s="6">
        <v>4</v>
      </c>
      <c r="C5732" s="6" t="s">
        <v>62</v>
      </c>
      <c r="D5732" s="6" t="s">
        <v>723</v>
      </c>
      <c r="E5732" s="6" t="s">
        <v>724</v>
      </c>
      <c r="F5732" s="6" t="str">
        <f>IF($M5732="PADD I","PADD 1",IF($M5732="PADD II","PADD 2",IF($M5732="PADD III","PADD 3",IF($M5732="PADD IV","PADD 4",IF($M5732="PADD V","PADD 5","")))))</f>
        <v>PADD 4</v>
      </c>
      <c r="G5732" s="6">
        <f>IF(AND($H5732="ATMOS DISTILLATION",ISNUMBER(SEARCH("VPS",$I5732))=FALSE,LEFT($I5732,6)&lt;&gt;"VACUUM"),"CDU",IF($H5732="FLUID CAT CRACKING","FCC",IF(OR($H5732="HYDROCRACKING",$H5732="RESID_HYDROCRACKING"),"Hydrocracker",IF($H5732="REFORMING","Reformer",""))))</f>
        <v/>
      </c>
      <c r="H5732" s="6" t="s">
        <v>435</v>
      </c>
      <c r="I5732" s="6" t="s">
        <v>1135</v>
      </c>
      <c r="J5732" s="6" t="s">
        <v>345</v>
      </c>
      <c r="K5732" s="10">
        <v>1.7</v>
      </c>
      <c r="L5732" s="10">
        <v>10</v>
      </c>
      <c r="M5732" s="6" t="s">
        <v>430</v>
      </c>
    </row>
    <row r="5733" spans="1:13">
      <c r="A5733" s="6">
        <v>2025</v>
      </c>
      <c r="B5733" s="6">
        <v>4</v>
      </c>
      <c r="C5733" s="6" t="s">
        <v>62</v>
      </c>
      <c r="D5733" s="6" t="s">
        <v>451</v>
      </c>
      <c r="E5733" s="6" t="s">
        <v>452</v>
      </c>
      <c r="F5733" s="6" t="str">
        <f>IF($M5733="PADD I","PADD 1",IF($M5733="PADD II","PADD 2",IF($M5733="PADD III","PADD 3",IF($M5733="PADD IV","PADD 4",IF($M5733="PADD V","PADD 5","")))))</f>
        <v>PADD 2</v>
      </c>
      <c r="G5733" s="6">
        <f>IF(AND($H5733="ATMOS DISTILLATION",ISNUMBER(SEARCH("VPS",$I5733))=FALSE,LEFT($I5733,6)&lt;&gt;"VACUUM"),"CDU",IF($H5733="FLUID CAT CRACKING","FCC",IF(OR($H5733="HYDROCRACKING",$H5733="RESID_HYDROCRACKING"),"Hydrocracker",IF($H5733="REFORMING","Reformer",""))))</f>
        <v/>
      </c>
      <c r="H5733" s="6" t="s">
        <v>43</v>
      </c>
      <c r="I5733" s="6" t="s">
        <v>902</v>
      </c>
      <c r="J5733" s="6" t="s">
        <v>349</v>
      </c>
      <c r="K5733" s="10">
        <v>1.504</v>
      </c>
      <c r="L5733" s="10">
        <v>3.2</v>
      </c>
      <c r="M5733" s="6" t="s">
        <v>375</v>
      </c>
    </row>
    <row r="5734" spans="1:13">
      <c r="A5734" s="6">
        <v>2025</v>
      </c>
      <c r="B5734" s="6">
        <v>4</v>
      </c>
      <c r="C5734" s="6" t="s">
        <v>62</v>
      </c>
      <c r="D5734" s="6" t="s">
        <v>1286</v>
      </c>
      <c r="E5734" s="6" t="s">
        <v>1287</v>
      </c>
      <c r="F5734" s="6" t="str">
        <f>IF($M5734="PADD I","PADD 1",IF($M5734="PADD II","PADD 2",IF($M5734="PADD III","PADD 3",IF($M5734="PADD IV","PADD 4",IF($M5734="PADD V","PADD 5","")))))</f>
        <v>PADD 4</v>
      </c>
      <c r="G5734" s="6">
        <f>IF(AND($H5734="ATMOS DISTILLATION",ISNUMBER(SEARCH("VPS",$I5734))=FALSE,LEFT($I5734,6)&lt;&gt;"VACUUM"),"CDU",IF($H5734="FLUID CAT CRACKING","FCC",IF(OR($H5734="HYDROCRACKING",$H5734="RESID_HYDROCRACKING"),"Hydrocracker",IF($H5734="REFORMING","Reformer",""))))</f>
        <v/>
      </c>
      <c r="H5734" s="6" t="s">
        <v>378</v>
      </c>
      <c r="I5734" s="6" t="s">
        <v>431</v>
      </c>
      <c r="J5734" s="6" t="s">
        <v>345</v>
      </c>
      <c r="K5734" s="10">
        <v>1.5</v>
      </c>
      <c r="L5734" s="10">
        <v>1.5</v>
      </c>
      <c r="M5734" s="6" t="s">
        <v>430</v>
      </c>
    </row>
    <row r="5735" spans="1:13">
      <c r="A5735" s="6">
        <v>2025</v>
      </c>
      <c r="B5735" s="6">
        <v>4</v>
      </c>
      <c r="C5735" s="6" t="s">
        <v>62</v>
      </c>
      <c r="D5735" s="6" t="s">
        <v>326</v>
      </c>
      <c r="E5735" s="6" t="s">
        <v>385</v>
      </c>
      <c r="F5735" s="6" t="str">
        <f>IF($M5735="PADD I","PADD 1",IF($M5735="PADD II","PADD 2",IF($M5735="PADD III","PADD 3",IF($M5735="PADD IV","PADD 4",IF($M5735="PADD V","PADD 5","")))))</f>
        <v>PADD 5</v>
      </c>
      <c r="G5735" s="6">
        <f>IF(AND($H5735="ATMOS DISTILLATION",ISNUMBER(SEARCH("VPS",$I5735))=FALSE,LEFT($I5735,6)&lt;&gt;"VACUUM"),"CDU",IF($H5735="FLUID CAT CRACKING","FCC",IF(OR($H5735="HYDROCRACKING",$H5735="RESID_HYDROCRACKING"),"Hydrocracker",IF($H5735="REFORMING","Reformer",""))))</f>
        <v/>
      </c>
      <c r="H5735" s="6" t="s">
        <v>568</v>
      </c>
      <c r="I5735" s="6" t="s">
        <v>604</v>
      </c>
      <c r="J5735" s="6" t="s">
        <v>345</v>
      </c>
      <c r="K5735" s="10">
        <v>1.5</v>
      </c>
      <c r="L5735" s="10">
        <v>1.5</v>
      </c>
      <c r="M5735" s="6" t="s">
        <v>386</v>
      </c>
    </row>
    <row r="5736" spans="1:13">
      <c r="A5736" s="6">
        <v>2025</v>
      </c>
      <c r="B5736" s="6">
        <v>4</v>
      </c>
      <c r="C5736" s="6" t="s">
        <v>62</v>
      </c>
      <c r="D5736" s="6" t="s">
        <v>756</v>
      </c>
      <c r="E5736" s="6" t="s">
        <v>757</v>
      </c>
      <c r="F5736" s="6" t="str">
        <f>IF($M5736="PADD I","PADD 1",IF($M5736="PADD II","PADD 2",IF($M5736="PADD III","PADD 3",IF($M5736="PADD IV","PADD 4",IF($M5736="PADD V","PADD 5","")))))</f>
        <v>PADD 3</v>
      </c>
      <c r="G5736" s="6" t="str">
        <f>IF(AND($H5736="ATMOS DISTILLATION",ISNUMBER(SEARCH("VPS",$I5736))=FALSE,LEFT($I5736,6)&lt;&gt;"VACUUM"),"CDU",IF($H5736="FLUID CAT CRACKING","FCC",IF(OR($H5736="HYDROCRACKING",$H5736="RESID_HYDROCRACKING"),"Hydrocracker",IF($H5736="REFORMING","Reformer",""))))</f>
        <v>CDU</v>
      </c>
      <c r="H5736" s="6" t="s">
        <v>38</v>
      </c>
      <c r="I5736" s="6" t="s">
        <v>81</v>
      </c>
      <c r="J5736" s="6" t="s">
        <v>345</v>
      </c>
      <c r="K5736" s="10">
        <v>1.5</v>
      </c>
      <c r="L5736" s="10">
        <v>15</v>
      </c>
      <c r="M5736" s="6" t="s">
        <v>371</v>
      </c>
    </row>
    <row r="5737" spans="1:13">
      <c r="A5737" s="6">
        <v>2025</v>
      </c>
      <c r="B5737" s="6">
        <v>4</v>
      </c>
      <c r="C5737" s="6" t="s">
        <v>62</v>
      </c>
      <c r="D5737" s="6" t="s">
        <v>715</v>
      </c>
      <c r="E5737" s="6" t="s">
        <v>716</v>
      </c>
      <c r="F5737" s="6" t="str">
        <f>IF($M5737="PADD I","PADD 1",IF($M5737="PADD II","PADD 2",IF($M5737="PADD III","PADD 3",IF($M5737="PADD IV","PADD 4",IF($M5737="PADD V","PADD 5","")))))</f>
        <v>PADD 2</v>
      </c>
      <c r="G5737" s="6">
        <f>IF(AND($H5737="ATMOS DISTILLATION",ISNUMBER(SEARCH("VPS",$I5737))=FALSE,LEFT($I5737,6)&lt;&gt;"VACUUM"),"CDU",IF($H5737="FLUID CAT CRACKING","FCC",IF(OR($H5737="HYDROCRACKING",$H5737="RESID_HYDROCRACKING"),"Hydrocracker",IF($H5737="REFORMING","Reformer",""))))</f>
        <v/>
      </c>
      <c r="H5737" s="6" t="s">
        <v>43</v>
      </c>
      <c r="I5737" s="6" t="s">
        <v>458</v>
      </c>
      <c r="J5737" s="6" t="s">
        <v>349</v>
      </c>
      <c r="K5737" s="10">
        <v>1.495</v>
      </c>
      <c r="L5737" s="10">
        <v>6.5</v>
      </c>
      <c r="M5737" s="6" t="s">
        <v>375</v>
      </c>
    </row>
    <row r="5738" spans="1:13">
      <c r="A5738" s="6">
        <v>2025</v>
      </c>
      <c r="B5738" s="6">
        <v>4</v>
      </c>
      <c r="C5738" s="6" t="s">
        <v>62</v>
      </c>
      <c r="D5738" s="6" t="s">
        <v>715</v>
      </c>
      <c r="E5738" s="6" t="s">
        <v>716</v>
      </c>
      <c r="F5738" s="6" t="str">
        <f>IF($M5738="PADD I","PADD 1",IF($M5738="PADD II","PADD 2",IF($M5738="PADD III","PADD 3",IF($M5738="PADD IV","PADD 4",IF($M5738="PADD V","PADD 5","")))))</f>
        <v>PADD 2</v>
      </c>
      <c r="G5738" s="6" t="str">
        <f>IF(AND($H5738="ATMOS DISTILLATION",ISNUMBER(SEARCH("VPS",$I5738))=FALSE,LEFT($I5738,6)&lt;&gt;"VACUUM"),"CDU",IF($H5738="FLUID CAT CRACKING","FCC",IF(OR($H5738="HYDROCRACKING",$H5738="RESID_HYDROCRACKING"),"Hydrocracker",IF($H5738="REFORMING","Reformer",""))))</f>
        <v>Reformer</v>
      </c>
      <c r="H5738" s="6" t="s">
        <v>421</v>
      </c>
      <c r="I5738" s="6" t="s">
        <v>539</v>
      </c>
      <c r="J5738" s="6" t="s">
        <v>349</v>
      </c>
      <c r="K5738" s="10">
        <v>1.495</v>
      </c>
      <c r="L5738" s="10">
        <v>6.5</v>
      </c>
      <c r="M5738" s="6" t="s">
        <v>375</v>
      </c>
    </row>
    <row r="5739" spans="1:13">
      <c r="A5739" s="6">
        <v>2025</v>
      </c>
      <c r="B5739" s="6">
        <v>4</v>
      </c>
      <c r="C5739" s="6" t="s">
        <v>62</v>
      </c>
      <c r="D5739" s="6" t="s">
        <v>612</v>
      </c>
      <c r="E5739" s="6" t="s">
        <v>416</v>
      </c>
      <c r="F5739" s="6" t="str">
        <f>IF($M5739="PADD I","PADD 1",IF($M5739="PADD II","PADD 2",IF($M5739="PADD III","PADD 3",IF($M5739="PADD IV","PADD 4",IF($M5739="PADD V","PADD 5","")))))</f>
        <v>PADD 3</v>
      </c>
      <c r="G5739" s="6">
        <f>IF(AND($H5739="ATMOS DISTILLATION",ISNUMBER(SEARCH("VPS",$I5739))=FALSE,LEFT($I5739,6)&lt;&gt;"VACUUM"),"CDU",IF($H5739="FLUID CAT CRACKING","FCC",IF(OR($H5739="HYDROCRACKING",$H5739="RESID_HYDROCRACKING"),"Hydrocracker",IF($H5739="REFORMING","Reformer",""))))</f>
        <v/>
      </c>
      <c r="H5739" s="6" t="s">
        <v>435</v>
      </c>
      <c r="I5739" s="6" t="s">
        <v>441</v>
      </c>
      <c r="J5739" s="6" t="s">
        <v>345</v>
      </c>
      <c r="K5739" s="10">
        <v>1.32</v>
      </c>
      <c r="L5739" s="10">
        <v>44</v>
      </c>
      <c r="M5739" s="6" t="s">
        <v>371</v>
      </c>
    </row>
    <row r="5740" spans="1:13">
      <c r="A5740" s="6">
        <v>2025</v>
      </c>
      <c r="B5740" s="6">
        <v>4</v>
      </c>
      <c r="C5740" s="6" t="s">
        <v>62</v>
      </c>
      <c r="D5740" s="6" t="s">
        <v>1286</v>
      </c>
      <c r="E5740" s="6" t="s">
        <v>1287</v>
      </c>
      <c r="F5740" s="6" t="str">
        <f>IF($M5740="PADD I","PADD 1",IF($M5740="PADD II","PADD 2",IF($M5740="PADD III","PADD 3",IF($M5740="PADD IV","PADD 4",IF($M5740="PADD V","PADD 5","")))))</f>
        <v>PADD 4</v>
      </c>
      <c r="G5740" s="6">
        <f>IF(AND($H5740="ATMOS DISTILLATION",ISNUMBER(SEARCH("VPS",$I5740))=FALSE,LEFT($I5740,6)&lt;&gt;"VACUUM"),"CDU",IF($H5740="FLUID CAT CRACKING","FCC",IF(OR($H5740="HYDROCRACKING",$H5740="RESID_HYDROCRACKING"),"Hydrocracker",IF($H5740="REFORMING","Reformer",""))))</f>
        <v/>
      </c>
      <c r="H5740" s="6" t="s">
        <v>460</v>
      </c>
      <c r="I5740" s="6" t="s">
        <v>616</v>
      </c>
      <c r="J5740" s="6" t="s">
        <v>345</v>
      </c>
      <c r="K5740" s="10">
        <v>1.3</v>
      </c>
      <c r="L5740" s="10">
        <v>1.3</v>
      </c>
      <c r="M5740" s="6" t="s">
        <v>430</v>
      </c>
    </row>
    <row r="5741" spans="1:13">
      <c r="A5741" s="6">
        <v>2025</v>
      </c>
      <c r="B5741" s="6">
        <v>4</v>
      </c>
      <c r="C5741" s="6" t="s">
        <v>62</v>
      </c>
      <c r="D5741" s="6" t="s">
        <v>395</v>
      </c>
      <c r="E5741" s="6" t="s">
        <v>396</v>
      </c>
      <c r="F5741" s="6" t="str">
        <f>IF($M5741="PADD I","PADD 1",IF($M5741="PADD II","PADD 2",IF($M5741="PADD III","PADD 3",IF($M5741="PADD IV","PADD 4",IF($M5741="PADD V","PADD 5","")))))</f>
        <v>PADD 3</v>
      </c>
      <c r="G5741" s="6">
        <f>IF(AND($H5741="ATMOS DISTILLATION",ISNUMBER(SEARCH("VPS",$I5741))=FALSE,LEFT($I5741,6)&lt;&gt;"VACUUM"),"CDU",IF($H5741="FLUID CAT CRACKING","FCC",IF(OR($H5741="HYDROCRACKING",$H5741="RESID_HYDROCRACKING"),"Hydrocracker",IF($H5741="REFORMING","Reformer",""))))</f>
        <v/>
      </c>
      <c r="H5741" s="6" t="s">
        <v>43</v>
      </c>
      <c r="I5741" s="6" t="s">
        <v>550</v>
      </c>
      <c r="J5741" s="6" t="s">
        <v>345</v>
      </c>
      <c r="K5741" s="10">
        <v>1.233</v>
      </c>
      <c r="L5741" s="10">
        <v>41.1</v>
      </c>
      <c r="M5741" s="6" t="s">
        <v>371</v>
      </c>
    </row>
    <row r="5742" spans="1:13">
      <c r="A5742" s="6">
        <v>2025</v>
      </c>
      <c r="B5742" s="6">
        <v>4</v>
      </c>
      <c r="C5742" s="6" t="s">
        <v>62</v>
      </c>
      <c r="D5742" s="6" t="s">
        <v>887</v>
      </c>
      <c r="E5742" s="6" t="s">
        <v>405</v>
      </c>
      <c r="F5742" s="6" t="str">
        <f>IF($M5742="PADD I","PADD 1",IF($M5742="PADD II","PADD 2",IF($M5742="PADD III","PADD 3",IF($M5742="PADD IV","PADD 4",IF($M5742="PADD V","PADD 5","")))))</f>
        <v>PADD 3</v>
      </c>
      <c r="G5742" s="6" t="str">
        <f>IF(AND($H5742="ATMOS DISTILLATION",ISNUMBER(SEARCH("VPS",$I5742))=FALSE,LEFT($I5742,6)&lt;&gt;"VACUUM"),"CDU",IF($H5742="FLUID CAT CRACKING","FCC",IF(OR($H5742="HYDROCRACKING",$H5742="RESID_HYDROCRACKING"),"Hydrocracker",IF($H5742="REFORMING","Reformer",""))))</f>
        <v>Reformer</v>
      </c>
      <c r="H5742" s="6" t="s">
        <v>421</v>
      </c>
      <c r="I5742" s="6" t="s">
        <v>559</v>
      </c>
      <c r="J5742" s="6" t="s">
        <v>345</v>
      </c>
      <c r="K5742" s="10">
        <v>1.1</v>
      </c>
      <c r="L5742" s="10">
        <v>11</v>
      </c>
      <c r="M5742" s="6" t="s">
        <v>371</v>
      </c>
    </row>
    <row r="5743" spans="1:13">
      <c r="A5743" s="6">
        <v>2025</v>
      </c>
      <c r="B5743" s="6">
        <v>4</v>
      </c>
      <c r="C5743" s="6" t="s">
        <v>62</v>
      </c>
      <c r="D5743" s="6" t="s">
        <v>411</v>
      </c>
      <c r="E5743" s="6" t="s">
        <v>369</v>
      </c>
      <c r="F5743" s="6" t="str">
        <f>IF($M5743="PADD I","PADD 1",IF($M5743="PADD II","PADD 2",IF($M5743="PADD III","PADD 3",IF($M5743="PADD IV","PADD 4",IF($M5743="PADD V","PADD 5","")))))</f>
        <v>PADD 1</v>
      </c>
      <c r="G5743" s="6">
        <f>IF(AND($H5743="ATMOS DISTILLATION",ISNUMBER(SEARCH("VPS",$I5743))=FALSE,LEFT($I5743,6)&lt;&gt;"VACUUM"),"CDU",IF($H5743="FLUID CAT CRACKING","FCC",IF(OR($H5743="HYDROCRACKING",$H5743="RESID_HYDROCRACKING"),"Hydrocracker",IF($H5743="REFORMING","Reformer",""))))</f>
        <v/>
      </c>
      <c r="H5743" s="6" t="s">
        <v>43</v>
      </c>
      <c r="I5743" s="6" t="s">
        <v>884</v>
      </c>
      <c r="J5743" s="6" t="s">
        <v>349</v>
      </c>
      <c r="K5743" s="10">
        <v>0.87</v>
      </c>
      <c r="L5743" s="10">
        <v>29</v>
      </c>
      <c r="M5743" s="6" t="s">
        <v>413</v>
      </c>
    </row>
    <row r="5744" spans="1:13">
      <c r="A5744" s="6">
        <v>2025</v>
      </c>
      <c r="B5744" s="6">
        <v>4</v>
      </c>
      <c r="C5744" s="6" t="s">
        <v>62</v>
      </c>
      <c r="D5744" s="6" t="s">
        <v>411</v>
      </c>
      <c r="E5744" s="6" t="s">
        <v>369</v>
      </c>
      <c r="F5744" s="6" t="str">
        <f>IF($M5744="PADD I","PADD 1",IF($M5744="PADD II","PADD 2",IF($M5744="PADD III","PADD 3",IF($M5744="PADD IV","PADD 4",IF($M5744="PADD V","PADD 5","")))))</f>
        <v>PADD 1</v>
      </c>
      <c r="G5744" s="6" t="str">
        <f>IF(AND($H5744="ATMOS DISTILLATION",ISNUMBER(SEARCH("VPS",$I5744))=FALSE,LEFT($I5744,6)&lt;&gt;"VACUUM"),"CDU",IF($H5744="FLUID CAT CRACKING","FCC",IF(OR($H5744="HYDROCRACKING",$H5744="RESID_HYDROCRACKING"),"Hydrocracker",IF($H5744="REFORMING","Reformer",""))))</f>
        <v>Reformer</v>
      </c>
      <c r="H5744" s="6" t="s">
        <v>421</v>
      </c>
      <c r="I5744" s="6" t="s">
        <v>886</v>
      </c>
      <c r="J5744" s="6" t="s">
        <v>349</v>
      </c>
      <c r="K5744" s="10">
        <v>0.78</v>
      </c>
      <c r="L5744" s="10">
        <v>26</v>
      </c>
      <c r="M5744" s="6" t="s">
        <v>413</v>
      </c>
    </row>
    <row r="5745" spans="1:13">
      <c r="A5745" s="6">
        <v>2025</v>
      </c>
      <c r="B5745" s="6">
        <v>4</v>
      </c>
      <c r="C5745" s="6" t="s">
        <v>62</v>
      </c>
      <c r="D5745" s="6" t="s">
        <v>395</v>
      </c>
      <c r="E5745" s="6" t="s">
        <v>396</v>
      </c>
      <c r="F5745" s="6" t="str">
        <f>IF($M5745="PADD I","PADD 1",IF($M5745="PADD II","PADD 2",IF($M5745="PADD III","PADD 3",IF($M5745="PADD IV","PADD 4",IF($M5745="PADD V","PADD 5","")))))</f>
        <v>PADD 3</v>
      </c>
      <c r="G5745" s="6" t="str">
        <f>IF(AND($H5745="ATMOS DISTILLATION",ISNUMBER(SEARCH("VPS",$I5745))=FALSE,LEFT($I5745,6)&lt;&gt;"VACUUM"),"CDU",IF($H5745="FLUID CAT CRACKING","FCC",IF(OR($H5745="HYDROCRACKING",$H5745="RESID_HYDROCRACKING"),"Hydrocracker",IF($H5745="REFORMING","Reformer",""))))</f>
        <v>CDU</v>
      </c>
      <c r="H5745" s="6" t="s">
        <v>38</v>
      </c>
      <c r="I5745" s="6" t="s">
        <v>510</v>
      </c>
      <c r="J5745" s="6" t="s">
        <v>345</v>
      </c>
      <c r="K5745" s="10">
        <v>0.525</v>
      </c>
      <c r="L5745" s="10">
        <v>17.5</v>
      </c>
      <c r="M5745" s="6" t="s">
        <v>371</v>
      </c>
    </row>
    <row r="5746" spans="1:13">
      <c r="A5746" s="6">
        <v>2025</v>
      </c>
      <c r="B5746" s="6">
        <v>4</v>
      </c>
      <c r="C5746" s="6" t="s">
        <v>62</v>
      </c>
      <c r="D5746" s="6" t="s">
        <v>451</v>
      </c>
      <c r="E5746" s="6" t="s">
        <v>452</v>
      </c>
      <c r="F5746" s="6" t="str">
        <f>IF($M5746="PADD I","PADD 1",IF($M5746="PADD II","PADD 2",IF($M5746="PADD III","PADD 3",IF($M5746="PADD IV","PADD 4",IF($M5746="PADD V","PADD 5","")))))</f>
        <v>PADD 2</v>
      </c>
      <c r="G5746" s="6">
        <f>IF(AND($H5746="ATMOS DISTILLATION",ISNUMBER(SEARCH("VPS",$I5746))=FALSE,LEFT($I5746,6)&lt;&gt;"VACUUM"),"CDU",IF($H5746="FLUID CAT CRACKING","FCC",IF(OR($H5746="HYDROCRACKING",$H5746="RESID_HYDROCRACKING"),"Hydrocracker",IF($H5746="REFORMING","Reformer",""))))</f>
        <v/>
      </c>
      <c r="H5746" s="6" t="s">
        <v>568</v>
      </c>
      <c r="I5746" s="6" t="s">
        <v>604</v>
      </c>
      <c r="J5746" s="6" t="s">
        <v>349</v>
      </c>
      <c r="K5746" s="10">
        <v>0.517</v>
      </c>
      <c r="L5746" s="10">
        <v>1.1</v>
      </c>
      <c r="M5746" s="6" t="s">
        <v>375</v>
      </c>
    </row>
    <row r="5747" spans="1:13">
      <c r="A5747" s="6">
        <v>2025</v>
      </c>
      <c r="B5747" s="6">
        <v>4</v>
      </c>
      <c r="C5747" s="6" t="s">
        <v>62</v>
      </c>
      <c r="D5747" s="6" t="s">
        <v>756</v>
      </c>
      <c r="E5747" s="6" t="s">
        <v>757</v>
      </c>
      <c r="F5747" s="6" t="str">
        <f>IF($M5747="PADD I","PADD 1",IF($M5747="PADD II","PADD 2",IF($M5747="PADD III","PADD 3",IF($M5747="PADD IV","PADD 4",IF($M5747="PADD V","PADD 5","")))))</f>
        <v>PADD 3</v>
      </c>
      <c r="G5747" s="6" t="str">
        <f>IF(AND($H5747="ATMOS DISTILLATION",ISNUMBER(SEARCH("VPS",$I5747))=FALSE,LEFT($I5747,6)&lt;&gt;"VACUUM"),"CDU",IF($H5747="FLUID CAT CRACKING","FCC",IF(OR($H5747="HYDROCRACKING",$H5747="RESID_HYDROCRACKING"),"Hydrocracker",IF($H5747="REFORMING","Reformer",""))))</f>
        <v>CDU</v>
      </c>
      <c r="H5747" s="6" t="s">
        <v>38</v>
      </c>
      <c r="I5747" s="6" t="s">
        <v>81</v>
      </c>
      <c r="J5747" s="6" t="s">
        <v>345</v>
      </c>
      <c r="K5747" s="10">
        <v>0.45</v>
      </c>
      <c r="L5747" s="10">
        <v>15</v>
      </c>
      <c r="M5747" s="6" t="s">
        <v>371</v>
      </c>
    </row>
    <row r="5748" spans="1:13">
      <c r="A5748" s="6">
        <v>2025</v>
      </c>
      <c r="B5748" s="6">
        <v>4</v>
      </c>
      <c r="C5748" s="6" t="s">
        <v>62</v>
      </c>
      <c r="D5748" s="6" t="s">
        <v>48</v>
      </c>
      <c r="E5748" s="6" t="s">
        <v>388</v>
      </c>
      <c r="F5748" s="6" t="str">
        <f>IF($M5748="PADD I","PADD 1",IF($M5748="PADD II","PADD 2",IF($M5748="PADD III","PADD 3",IF($M5748="PADD IV","PADD 4",IF($M5748="PADD V","PADD 5","")))))</f>
        <v>PADD 2</v>
      </c>
      <c r="G5748" s="6">
        <f>IF(AND($H5748="ATMOS DISTILLATION",ISNUMBER(SEARCH("VPS",$I5748))=FALSE,LEFT($I5748,6)&lt;&gt;"VACUUM"),"CDU",IF($H5748="FLUID CAT CRACKING","FCC",IF(OR($H5748="HYDROCRACKING",$H5748="RESID_HYDROCRACKING"),"Hydrocracker",IF($H5748="REFORMING","Reformer",""))))</f>
        <v/>
      </c>
      <c r="H5748" s="6" t="s">
        <v>435</v>
      </c>
      <c r="I5748" s="6" t="s">
        <v>631</v>
      </c>
      <c r="J5748" s="6" t="s">
        <v>345</v>
      </c>
      <c r="K5748" s="10">
        <v>0.36</v>
      </c>
      <c r="L5748" s="10">
        <v>12</v>
      </c>
      <c r="M5748" s="6" t="s">
        <v>375</v>
      </c>
    </row>
    <row r="5749" spans="1:13">
      <c r="A5749" s="6">
        <v>2025</v>
      </c>
      <c r="B5749" s="6">
        <v>4</v>
      </c>
      <c r="C5749" s="6" t="s">
        <v>62</v>
      </c>
      <c r="D5749" s="6" t="s">
        <v>451</v>
      </c>
      <c r="E5749" s="6" t="s">
        <v>452</v>
      </c>
      <c r="F5749" s="6" t="str">
        <f>IF($M5749="PADD I","PADD 1",IF($M5749="PADD II","PADD 2",IF($M5749="PADD III","PADD 3",IF($M5749="PADD IV","PADD 4",IF($M5749="PADD V","PADD 5","")))))</f>
        <v>PADD 2</v>
      </c>
      <c r="G5749" s="6">
        <f>IF(AND($H5749="ATMOS DISTILLATION",ISNUMBER(SEARCH("VPS",$I5749))=FALSE,LEFT($I5749,6)&lt;&gt;"VACUUM"),"CDU",IF($H5749="FLUID CAT CRACKING","FCC",IF(OR($H5749="HYDROCRACKING",$H5749="RESID_HYDROCRACKING"),"Hydrocracker",IF($H5749="REFORMING","Reformer",""))))</f>
        <v/>
      </c>
      <c r="H5749" s="6" t="s">
        <v>460</v>
      </c>
      <c r="I5749" s="6" t="s">
        <v>461</v>
      </c>
      <c r="J5749" s="6" t="s">
        <v>349</v>
      </c>
      <c r="K5749" s="10">
        <v>0.282</v>
      </c>
      <c r="L5749" s="10">
        <v>0.6</v>
      </c>
      <c r="M5749" s="6" t="s">
        <v>375</v>
      </c>
    </row>
    <row r="5750" spans="1:13">
      <c r="A5750" s="6">
        <v>2025</v>
      </c>
      <c r="B5750" s="6">
        <v>4</v>
      </c>
      <c r="C5750" s="6" t="s">
        <v>62</v>
      </c>
      <c r="D5750" s="6" t="s">
        <v>799</v>
      </c>
      <c r="E5750" s="6" t="s">
        <v>391</v>
      </c>
      <c r="F5750" s="6" t="str">
        <f>IF($M5750="PADD I","PADD 1",IF($M5750="PADD II","PADD 2",IF($M5750="PADD III","PADD 3",IF($M5750="PADD IV","PADD 4",IF($M5750="PADD V","PADD 5","")))))</f>
        <v>PADD 4</v>
      </c>
      <c r="G5750" s="6">
        <f>IF(AND($H5750="ATMOS DISTILLATION",ISNUMBER(SEARCH("VPS",$I5750))=FALSE,LEFT($I5750,6)&lt;&gt;"VACUUM"),"CDU",IF($H5750="FLUID CAT CRACKING","FCC",IF(OR($H5750="HYDROCRACKING",$H5750="RESID_HYDROCRACKING"),"Hydrocracker",IF($H5750="REFORMING","Reformer",""))))</f>
        <v/>
      </c>
      <c r="H5750" s="6" t="s">
        <v>460</v>
      </c>
      <c r="I5750" s="6" t="s">
        <v>908</v>
      </c>
      <c r="J5750" s="6" t="s">
        <v>345</v>
      </c>
      <c r="K5750" s="10">
        <v>0.168</v>
      </c>
      <c r="L5750" s="10">
        <v>5.6</v>
      </c>
      <c r="M5750" s="6" t="s">
        <v>430</v>
      </c>
    </row>
    <row r="5751" spans="1:13">
      <c r="A5751" s="6">
        <v>2025</v>
      </c>
      <c r="B5751" s="6">
        <v>5</v>
      </c>
      <c r="C5751" s="6" t="s">
        <v>63</v>
      </c>
      <c r="D5751" s="6" t="s">
        <v>53</v>
      </c>
      <c r="E5751" s="6" t="s">
        <v>543</v>
      </c>
      <c r="F5751" s="6" t="str">
        <f>IF($M5751="PADD I","PADD 1",IF($M5751="PADD II","PADD 2",IF($M5751="PADD III","PADD 3",IF($M5751="PADD IV","PADD 4",IF($M5751="PADD V","PADD 5","")))))</f>
        <v>PADD 5</v>
      </c>
      <c r="G5751" s="6" t="str">
        <f>IF(AND($H5751="ATMOS DISTILLATION",ISNUMBER(SEARCH("VPS",$I5751))=FALSE,LEFT($I5751,6)&lt;&gt;"VACUUM"),"CDU",IF($H5751="FLUID CAT CRACKING","FCC",IF(OR($H5751="HYDROCRACKING",$H5751="RESID_HYDROCRACKING"),"Hydrocracker",IF($H5751="REFORMING","Reformer",""))))</f>
        <v>CDU</v>
      </c>
      <c r="H5751" s="6" t="s">
        <v>38</v>
      </c>
      <c r="I5751" s="6" t="s">
        <v>81</v>
      </c>
      <c r="J5751" s="6" t="s">
        <v>345</v>
      </c>
      <c r="K5751" s="10">
        <v>251</v>
      </c>
      <c r="L5751" s="10">
        <v>251</v>
      </c>
      <c r="M5751" s="6" t="s">
        <v>386</v>
      </c>
    </row>
    <row r="5752" spans="1:13">
      <c r="A5752" s="6">
        <v>2025</v>
      </c>
      <c r="B5752" s="6">
        <v>5</v>
      </c>
      <c r="C5752" s="6" t="s">
        <v>63</v>
      </c>
      <c r="D5752" s="6" t="s">
        <v>739</v>
      </c>
      <c r="E5752" s="6" t="s">
        <v>405</v>
      </c>
      <c r="F5752" s="6" t="str">
        <f>IF($M5752="PADD I","PADD 1",IF($M5752="PADD II","PADD 2",IF($M5752="PADD III","PADD 3",IF($M5752="PADD IV","PADD 4",IF($M5752="PADD V","PADD 5","")))))</f>
        <v>PADD 2</v>
      </c>
      <c r="G5752" s="6" t="str">
        <f>IF(AND($H5752="ATMOS DISTILLATION",ISNUMBER(SEARCH("VPS",$I5752))=FALSE,LEFT($I5752,6)&lt;&gt;"VACUUM"),"CDU",IF($H5752="FLUID CAT CRACKING","FCC",IF(OR($H5752="HYDROCRACKING",$H5752="RESID_HYDROCRACKING"),"Hydrocracker",IF($H5752="REFORMING","Reformer",""))))</f>
        <v>CDU</v>
      </c>
      <c r="H5752" s="6" t="s">
        <v>38</v>
      </c>
      <c r="I5752" s="6" t="s">
        <v>133</v>
      </c>
      <c r="J5752" s="6" t="s">
        <v>345</v>
      </c>
      <c r="K5752" s="10">
        <v>88</v>
      </c>
      <c r="L5752" s="10">
        <v>88</v>
      </c>
      <c r="M5752" s="6" t="s">
        <v>375</v>
      </c>
    </row>
    <row r="5753" spans="1:13">
      <c r="A5753" s="6">
        <v>2025</v>
      </c>
      <c r="B5753" s="6">
        <v>5</v>
      </c>
      <c r="C5753" s="6" t="s">
        <v>63</v>
      </c>
      <c r="D5753" s="6" t="s">
        <v>326</v>
      </c>
      <c r="E5753" s="6" t="s">
        <v>385</v>
      </c>
      <c r="F5753" s="6" t="str">
        <f>IF($M5753="PADD I","PADD 1",IF($M5753="PADD II","PADD 2",IF($M5753="PADD III","PADD 3",IF($M5753="PADD IV","PADD 4",IF($M5753="PADD V","PADD 5","")))))</f>
        <v>PADD 5</v>
      </c>
      <c r="G5753" s="6">
        <f>IF(AND($H5753="ATMOS DISTILLATION",ISNUMBER(SEARCH("VPS",$I5753))=FALSE,LEFT($I5753,6)&lt;&gt;"VACUUM"),"CDU",IF($H5753="FLUID CAT CRACKING","FCC",IF(OR($H5753="HYDROCRACKING",$H5753="RESID_HYDROCRACKING"),"Hydrocracker",IF($H5753="REFORMING","Reformer",""))))</f>
        <v/>
      </c>
      <c r="H5753" s="6" t="s">
        <v>43</v>
      </c>
      <c r="I5753" s="6" t="s">
        <v>1285</v>
      </c>
      <c r="J5753" s="6" t="s">
        <v>345</v>
      </c>
      <c r="K5753" s="10">
        <v>77.5</v>
      </c>
      <c r="L5753" s="10">
        <v>77.5</v>
      </c>
      <c r="M5753" s="6" t="s">
        <v>386</v>
      </c>
    </row>
    <row r="5754" spans="1:13">
      <c r="A5754" s="6">
        <v>2025</v>
      </c>
      <c r="B5754" s="6">
        <v>5</v>
      </c>
      <c r="C5754" s="6" t="s">
        <v>63</v>
      </c>
      <c r="D5754" s="6" t="s">
        <v>801</v>
      </c>
      <c r="E5754" s="6" t="s">
        <v>779</v>
      </c>
      <c r="F5754" s="6" t="str">
        <f>IF($M5754="PADD I","PADD 1",IF($M5754="PADD II","PADD 2",IF($M5754="PADD III","PADD 3",IF($M5754="PADD IV","PADD 4",IF($M5754="PADD V","PADD 5","")))))</f>
        <v>PADD 2</v>
      </c>
      <c r="G5754" s="6" t="str">
        <f>IF(AND($H5754="ATMOS DISTILLATION",ISNUMBER(SEARCH("VPS",$I5754))=FALSE,LEFT($I5754,6)&lt;&gt;"VACUUM"),"CDU",IF($H5754="FLUID CAT CRACKING","FCC",IF(OR($H5754="HYDROCRACKING",$H5754="RESID_HYDROCRACKING"),"Hydrocracker",IF($H5754="REFORMING","Reformer",""))))</f>
        <v>FCC</v>
      </c>
      <c r="H5754" s="6" t="s">
        <v>376</v>
      </c>
      <c r="I5754" s="6" t="s">
        <v>105</v>
      </c>
      <c r="J5754" s="6" t="s">
        <v>349</v>
      </c>
      <c r="K5754" s="10">
        <v>76.5</v>
      </c>
      <c r="L5754" s="10">
        <v>85</v>
      </c>
      <c r="M5754" s="6" t="s">
        <v>375</v>
      </c>
    </row>
    <row r="5755" spans="1:13">
      <c r="A5755" s="6">
        <v>2025</v>
      </c>
      <c r="B5755" s="6">
        <v>5</v>
      </c>
      <c r="C5755" s="6" t="s">
        <v>63</v>
      </c>
      <c r="D5755" s="6" t="s">
        <v>326</v>
      </c>
      <c r="E5755" s="6" t="s">
        <v>385</v>
      </c>
      <c r="F5755" s="6" t="str">
        <f>IF($M5755="PADD I","PADD 1",IF($M5755="PADD II","PADD 2",IF($M5755="PADD III","PADD 3",IF($M5755="PADD IV","PADD 4",IF($M5755="PADD V","PADD 5","")))))</f>
        <v>PADD 5</v>
      </c>
      <c r="G5755" s="6" t="str">
        <f>IF(AND($H5755="ATMOS DISTILLATION",ISNUMBER(SEARCH("VPS",$I5755))=FALSE,LEFT($I5755,6)&lt;&gt;"VACUUM"),"CDU",IF($H5755="FLUID CAT CRACKING","FCC",IF(OR($H5755="HYDROCRACKING",$H5755="RESID_HYDROCRACKING"),"Hydrocracker",IF($H5755="REFORMING","Reformer",""))))</f>
        <v>FCC</v>
      </c>
      <c r="H5755" s="6" t="s">
        <v>376</v>
      </c>
      <c r="I5755" s="6" t="s">
        <v>504</v>
      </c>
      <c r="J5755" s="6" t="s">
        <v>345</v>
      </c>
      <c r="K5755" s="10">
        <v>70</v>
      </c>
      <c r="L5755" s="10">
        <v>70</v>
      </c>
      <c r="M5755" s="6" t="s">
        <v>386</v>
      </c>
    </row>
    <row r="5756" spans="1:13">
      <c r="A5756" s="6">
        <v>2025</v>
      </c>
      <c r="B5756" s="6">
        <v>5</v>
      </c>
      <c r="C5756" s="6" t="s">
        <v>63</v>
      </c>
      <c r="D5756" s="6" t="s">
        <v>615</v>
      </c>
      <c r="E5756" s="6" t="s">
        <v>405</v>
      </c>
      <c r="F5756" s="6" t="str">
        <f>IF($M5756="PADD I","PADD 1",IF($M5756="PADD II","PADD 2",IF($M5756="PADD III","PADD 3",IF($M5756="PADD IV","PADD 4",IF($M5756="PADD V","PADD 5","")))))</f>
        <v>PADD 5</v>
      </c>
      <c r="G5756" s="6" t="str">
        <f>IF(AND($H5756="ATMOS DISTILLATION",ISNUMBER(SEARCH("VPS",$I5756))=FALSE,LEFT($I5756,6)&lt;&gt;"VACUUM"),"CDU",IF($H5756="FLUID CAT CRACKING","FCC",IF(OR($H5756="HYDROCRACKING",$H5756="RESID_HYDROCRACKING"),"Hydrocracker",IF($H5756="REFORMING","Reformer",""))))</f>
        <v>FCC</v>
      </c>
      <c r="H5756" s="6" t="s">
        <v>376</v>
      </c>
      <c r="I5756" s="6" t="s">
        <v>105</v>
      </c>
      <c r="J5756" s="6" t="s">
        <v>345</v>
      </c>
      <c r="K5756" s="10">
        <v>66.98999999999999</v>
      </c>
      <c r="L5756" s="10">
        <v>77</v>
      </c>
      <c r="M5756" s="6" t="s">
        <v>386</v>
      </c>
    </row>
    <row r="5757" spans="1:13">
      <c r="A5757" s="6">
        <v>2025</v>
      </c>
      <c r="B5757" s="6">
        <v>5</v>
      </c>
      <c r="C5757" s="6" t="s">
        <v>63</v>
      </c>
      <c r="D5757" s="6" t="s">
        <v>53</v>
      </c>
      <c r="E5757" s="6" t="s">
        <v>543</v>
      </c>
      <c r="F5757" s="6" t="str">
        <f>IF($M5757="PADD I","PADD 1",IF($M5757="PADD II","PADD 2",IF($M5757="PADD III","PADD 3",IF($M5757="PADD IV","PADD 4",IF($M5757="PADD V","PADD 5","")))))</f>
        <v>PADD 5</v>
      </c>
      <c r="G5757" s="6">
        <f>IF(AND($H5757="ATMOS DISTILLATION",ISNUMBER(SEARCH("VPS",$I5757))=FALSE,LEFT($I5757,6)&lt;&gt;"VACUUM"),"CDU",IF($H5757="FLUID CAT CRACKING","FCC",IF(OR($H5757="HYDROCRACKING",$H5757="RESID_HYDROCRACKING"),"Hydrocracker",IF($H5757="REFORMING","Reformer",""))))</f>
        <v/>
      </c>
      <c r="H5757" s="6" t="s">
        <v>435</v>
      </c>
      <c r="I5757" s="6" t="s">
        <v>441</v>
      </c>
      <c r="J5757" s="6" t="s">
        <v>345</v>
      </c>
      <c r="K5757" s="10">
        <v>55</v>
      </c>
      <c r="L5757" s="10">
        <v>55</v>
      </c>
      <c r="M5757" s="6" t="s">
        <v>386</v>
      </c>
    </row>
    <row r="5758" spans="1:13">
      <c r="A5758" s="6">
        <v>2025</v>
      </c>
      <c r="B5758" s="6">
        <v>5</v>
      </c>
      <c r="C5758" s="6" t="s">
        <v>63</v>
      </c>
      <c r="D5758" s="6" t="s">
        <v>372</v>
      </c>
      <c r="E5758" s="6" t="s">
        <v>373</v>
      </c>
      <c r="F5758" s="6" t="str">
        <f>IF($M5758="PADD I","PADD 1",IF($M5758="PADD II","PADD 2",IF($M5758="PADD III","PADD 3",IF($M5758="PADD IV","PADD 4",IF($M5758="PADD V","PADD 5","")))))</f>
        <v>PADD 2</v>
      </c>
      <c r="G5758" s="6" t="str">
        <f>IF(AND($H5758="ATMOS DISTILLATION",ISNUMBER(SEARCH("VPS",$I5758))=FALSE,LEFT($I5758,6)&lt;&gt;"VACUUM"),"CDU",IF($H5758="FLUID CAT CRACKING","FCC",IF(OR($H5758="HYDROCRACKING",$H5758="RESID_HYDROCRACKING"),"Hydrocracker",IF($H5758="REFORMING","Reformer",""))))</f>
        <v>CDU</v>
      </c>
      <c r="H5758" s="6" t="s">
        <v>38</v>
      </c>
      <c r="I5758" s="6" t="s">
        <v>414</v>
      </c>
      <c r="J5758" s="6" t="s">
        <v>345</v>
      </c>
      <c r="K5758" s="10">
        <v>50</v>
      </c>
      <c r="L5758" s="10">
        <v>50</v>
      </c>
      <c r="M5758" s="6" t="s">
        <v>375</v>
      </c>
    </row>
    <row r="5759" spans="1:13">
      <c r="A5759" s="6">
        <v>2025</v>
      </c>
      <c r="B5759" s="6">
        <v>5</v>
      </c>
      <c r="C5759" s="6" t="s">
        <v>63</v>
      </c>
      <c r="D5759" s="6" t="s">
        <v>322</v>
      </c>
      <c r="E5759" s="6" t="s">
        <v>369</v>
      </c>
      <c r="F5759" s="6" t="str">
        <f>IF($M5759="PADD I","PADD 1",IF($M5759="PADD II","PADD 2",IF($M5759="PADD III","PADD 3",IF($M5759="PADD IV","PADD 4",IF($M5759="PADD V","PADD 5","")))))</f>
        <v>PADD 2</v>
      </c>
      <c r="G5759" s="6" t="str">
        <f>IF(AND($H5759="ATMOS DISTILLATION",ISNUMBER(SEARCH("VPS",$I5759))=FALSE,LEFT($I5759,6)&lt;&gt;"VACUUM"),"CDU",IF($H5759="FLUID CAT CRACKING","FCC",IF(OR($H5759="HYDROCRACKING",$H5759="RESID_HYDROCRACKING"),"Hydrocracker",IF($H5759="REFORMING","Reformer",""))))</f>
        <v>CDU</v>
      </c>
      <c r="H5759" s="6" t="s">
        <v>38</v>
      </c>
      <c r="I5759" s="6" t="s">
        <v>1293</v>
      </c>
      <c r="J5759" s="6" t="s">
        <v>349</v>
      </c>
      <c r="K5759" s="10">
        <v>49.3</v>
      </c>
      <c r="L5759" s="10">
        <v>170</v>
      </c>
      <c r="M5759" s="6" t="s">
        <v>375</v>
      </c>
    </row>
    <row r="5760" spans="1:13">
      <c r="A5760" s="6">
        <v>2025</v>
      </c>
      <c r="B5760" s="6">
        <v>5</v>
      </c>
      <c r="C5760" s="6" t="s">
        <v>63</v>
      </c>
      <c r="D5760" s="6" t="s">
        <v>326</v>
      </c>
      <c r="E5760" s="6" t="s">
        <v>385</v>
      </c>
      <c r="F5760" s="6" t="str">
        <f>IF($M5760="PADD I","PADD 1",IF($M5760="PADD II","PADD 2",IF($M5760="PADD III","PADD 3",IF($M5760="PADD IV","PADD 4",IF($M5760="PADD V","PADD 5","")))))</f>
        <v>PADD 5</v>
      </c>
      <c r="G5760" s="6" t="str">
        <f>IF(AND($H5760="ATMOS DISTILLATION",ISNUMBER(SEARCH("VPS",$I5760))=FALSE,LEFT($I5760,6)&lt;&gt;"VACUUM"),"CDU",IF($H5760="FLUID CAT CRACKING","FCC",IF(OR($H5760="HYDROCRACKING",$H5760="RESID_HYDROCRACKING"),"Hydrocracker",IF($H5760="REFORMING","Reformer",""))))</f>
        <v>Hydrocracker</v>
      </c>
      <c r="H5760" s="6" t="s">
        <v>444</v>
      </c>
      <c r="I5760" s="6" t="s">
        <v>498</v>
      </c>
      <c r="J5760" s="6" t="s">
        <v>345</v>
      </c>
      <c r="K5760" s="10">
        <v>42</v>
      </c>
      <c r="L5760" s="10">
        <v>42</v>
      </c>
      <c r="M5760" s="6" t="s">
        <v>386</v>
      </c>
    </row>
    <row r="5761" spans="1:13">
      <c r="A5761" s="6">
        <v>2025</v>
      </c>
      <c r="B5761" s="6">
        <v>5</v>
      </c>
      <c r="C5761" s="6" t="s">
        <v>63</v>
      </c>
      <c r="D5761" s="6" t="s">
        <v>372</v>
      </c>
      <c r="E5761" s="6" t="s">
        <v>373</v>
      </c>
      <c r="F5761" s="6" t="str">
        <f>IF($M5761="PADD I","PADD 1",IF($M5761="PADD II","PADD 2",IF($M5761="PADD III","PADD 3",IF($M5761="PADD IV","PADD 4",IF($M5761="PADD V","PADD 5","")))))</f>
        <v>PADD 2</v>
      </c>
      <c r="G5761" s="6" t="str">
        <f>IF(AND($H5761="ATMOS DISTILLATION",ISNUMBER(SEARCH("VPS",$I5761))=FALSE,LEFT($I5761,6)&lt;&gt;"VACUUM"),"CDU",IF($H5761="FLUID CAT CRACKING","FCC",IF(OR($H5761="HYDROCRACKING",$H5761="RESID_HYDROCRACKING"),"Hydrocracker",IF($H5761="REFORMING","Reformer",""))))</f>
        <v>Reformer</v>
      </c>
      <c r="H5761" s="6" t="s">
        <v>421</v>
      </c>
      <c r="I5761" s="6" t="s">
        <v>423</v>
      </c>
      <c r="J5761" s="6" t="s">
        <v>349</v>
      </c>
      <c r="K5761" s="10">
        <v>40</v>
      </c>
      <c r="L5761" s="10">
        <v>40</v>
      </c>
      <c r="M5761" s="6" t="s">
        <v>375</v>
      </c>
    </row>
    <row r="5762" spans="1:13">
      <c r="A5762" s="6">
        <v>2025</v>
      </c>
      <c r="B5762" s="6">
        <v>5</v>
      </c>
      <c r="C5762" s="6" t="s">
        <v>63</v>
      </c>
      <c r="D5762" s="6" t="s">
        <v>333</v>
      </c>
      <c r="E5762" s="6" t="s">
        <v>381</v>
      </c>
      <c r="F5762" s="6" t="str">
        <f>IF($M5762="PADD I","PADD 1",IF($M5762="PADD II","PADD 2",IF($M5762="PADD III","PADD 3",IF($M5762="PADD IV","PADD 4",IF($M5762="PADD V","PADD 5","")))))</f>
        <v>PADD 3</v>
      </c>
      <c r="G5762" s="6">
        <f>IF(AND($H5762="ATMOS DISTILLATION",ISNUMBER(SEARCH("VPS",$I5762))=FALSE,LEFT($I5762,6)&lt;&gt;"VACUUM"),"CDU",IF($H5762="FLUID CAT CRACKING","FCC",IF(OR($H5762="HYDROCRACKING",$H5762="RESID_HYDROCRACKING"),"Hydrocracker",IF($H5762="REFORMING","Reformer",""))))</f>
        <v/>
      </c>
      <c r="H5762" s="6" t="s">
        <v>43</v>
      </c>
      <c r="I5762" s="6" t="s">
        <v>943</v>
      </c>
      <c r="J5762" s="6" t="s">
        <v>345</v>
      </c>
      <c r="K5762" s="10">
        <v>40</v>
      </c>
      <c r="L5762" s="10">
        <v>40</v>
      </c>
      <c r="M5762" s="6" t="s">
        <v>371</v>
      </c>
    </row>
    <row r="5763" spans="1:13">
      <c r="A5763" s="6">
        <v>2025</v>
      </c>
      <c r="B5763" s="6">
        <v>5</v>
      </c>
      <c r="C5763" s="6" t="s">
        <v>63</v>
      </c>
      <c r="D5763" s="6" t="s">
        <v>851</v>
      </c>
      <c r="E5763" s="6" t="s">
        <v>852</v>
      </c>
      <c r="F5763" s="6" t="str">
        <f>IF($M5763="PADD I","PADD 1",IF($M5763="PADD II","PADD 2",IF($M5763="PADD III","PADD 3",IF($M5763="PADD IV","PADD 4",IF($M5763="PADD V","PADD 5","")))))</f>
        <v>PADD 3</v>
      </c>
      <c r="G5763" s="6" t="str">
        <f>IF(AND($H5763="ATMOS DISTILLATION",ISNUMBER(SEARCH("VPS",$I5763))=FALSE,LEFT($I5763,6)&lt;&gt;"VACUUM"),"CDU",IF($H5763="FLUID CAT CRACKING","FCC",IF(OR($H5763="HYDROCRACKING",$H5763="RESID_HYDROCRACKING"),"Hydrocracker",IF($H5763="REFORMING","Reformer",""))))</f>
        <v>CDU</v>
      </c>
      <c r="H5763" s="6" t="s">
        <v>38</v>
      </c>
      <c r="I5763" s="6" t="s">
        <v>853</v>
      </c>
      <c r="J5763" s="6" t="s">
        <v>349</v>
      </c>
      <c r="K5763" s="10">
        <v>39.65</v>
      </c>
      <c r="L5763" s="10">
        <v>65</v>
      </c>
      <c r="M5763" s="6" t="s">
        <v>371</v>
      </c>
    </row>
    <row r="5764" spans="1:13">
      <c r="A5764" s="6">
        <v>2025</v>
      </c>
      <c r="B5764" s="6">
        <v>5</v>
      </c>
      <c r="C5764" s="6" t="s">
        <v>63</v>
      </c>
      <c r="D5764" s="6" t="s">
        <v>851</v>
      </c>
      <c r="E5764" s="6" t="s">
        <v>852</v>
      </c>
      <c r="F5764" s="6" t="str">
        <f>IF($M5764="PADD I","PADD 1",IF($M5764="PADD II","PADD 2",IF($M5764="PADD III","PADD 3",IF($M5764="PADD IV","PADD 4",IF($M5764="PADD V","PADD 5","")))))</f>
        <v>PADD 3</v>
      </c>
      <c r="G5764" s="6" t="str">
        <f>IF(AND($H5764="ATMOS DISTILLATION",ISNUMBER(SEARCH("VPS",$I5764))=FALSE,LEFT($I5764,6)&lt;&gt;"VACUUM"),"CDU",IF($H5764="FLUID CAT CRACKING","FCC",IF(OR($H5764="HYDROCRACKING",$H5764="RESID_HYDROCRACKING"),"Hydrocracker",IF($H5764="REFORMING","Reformer",""))))</f>
        <v>CDU</v>
      </c>
      <c r="H5764" s="6" t="s">
        <v>38</v>
      </c>
      <c r="I5764" s="6" t="s">
        <v>854</v>
      </c>
      <c r="J5764" s="6" t="s">
        <v>349</v>
      </c>
      <c r="K5764" s="10">
        <v>39.65</v>
      </c>
      <c r="L5764" s="10">
        <v>65</v>
      </c>
      <c r="M5764" s="6" t="s">
        <v>371</v>
      </c>
    </row>
    <row r="5765" spans="1:13">
      <c r="A5765" s="6">
        <v>2025</v>
      </c>
      <c r="B5765" s="6">
        <v>5</v>
      </c>
      <c r="C5765" s="6" t="s">
        <v>63</v>
      </c>
      <c r="D5765" s="6" t="s">
        <v>801</v>
      </c>
      <c r="E5765" s="6" t="s">
        <v>779</v>
      </c>
      <c r="F5765" s="6" t="str">
        <f>IF($M5765="PADD I","PADD 1",IF($M5765="PADD II","PADD 2",IF($M5765="PADD III","PADD 3",IF($M5765="PADD IV","PADD 4",IF($M5765="PADD V","PADD 5","")))))</f>
        <v>PADD 2</v>
      </c>
      <c r="G5765" s="6" t="str">
        <f>IF(AND($H5765="ATMOS DISTILLATION",ISNUMBER(SEARCH("VPS",$I5765))=FALSE,LEFT($I5765,6)&lt;&gt;"VACUUM"),"CDU",IF($H5765="FLUID CAT CRACKING","FCC",IF(OR($H5765="HYDROCRACKING",$H5765="RESID_HYDROCRACKING"),"Hydrocracker",IF($H5765="REFORMING","Reformer",""))))</f>
        <v>CDU</v>
      </c>
      <c r="H5765" s="6" t="s">
        <v>38</v>
      </c>
      <c r="I5765" s="6" t="s">
        <v>977</v>
      </c>
      <c r="J5765" s="6" t="s">
        <v>349</v>
      </c>
      <c r="K5765" s="10">
        <v>39.15</v>
      </c>
      <c r="L5765" s="10">
        <v>135</v>
      </c>
      <c r="M5765" s="6" t="s">
        <v>375</v>
      </c>
    </row>
    <row r="5766" spans="1:13">
      <c r="A5766" s="6">
        <v>2025</v>
      </c>
      <c r="B5766" s="6">
        <v>5</v>
      </c>
      <c r="C5766" s="6" t="s">
        <v>63</v>
      </c>
      <c r="D5766" s="6" t="s">
        <v>411</v>
      </c>
      <c r="E5766" s="6" t="s">
        <v>369</v>
      </c>
      <c r="F5766" s="6" t="str">
        <f>IF($M5766="PADD I","PADD 1",IF($M5766="PADD II","PADD 2",IF($M5766="PADD III","PADD 3",IF($M5766="PADD IV","PADD 4",IF($M5766="PADD V","PADD 5","")))))</f>
        <v>PADD 1</v>
      </c>
      <c r="G5766" s="6" t="str">
        <f>IF(AND($H5766="ATMOS DISTILLATION",ISNUMBER(SEARCH("VPS",$I5766))=FALSE,LEFT($I5766,6)&lt;&gt;"VACUUM"),"CDU",IF($H5766="FLUID CAT CRACKING","FCC",IF(OR($H5766="HYDROCRACKING",$H5766="RESID_HYDROCRACKING"),"Hydrocracker",IF($H5766="REFORMING","Reformer",""))))</f>
        <v>FCC</v>
      </c>
      <c r="H5766" s="6" t="s">
        <v>376</v>
      </c>
      <c r="I5766" s="6" t="s">
        <v>105</v>
      </c>
      <c r="J5766" s="6" t="s">
        <v>345</v>
      </c>
      <c r="K5766" s="10">
        <v>37.5</v>
      </c>
      <c r="L5766" s="10">
        <v>37.5</v>
      </c>
      <c r="M5766" s="6" t="s">
        <v>413</v>
      </c>
    </row>
    <row r="5767" spans="1:13">
      <c r="A5767" s="6">
        <v>2025</v>
      </c>
      <c r="B5767" s="6">
        <v>5</v>
      </c>
      <c r="C5767" s="6" t="s">
        <v>63</v>
      </c>
      <c r="D5767" s="6" t="s">
        <v>788</v>
      </c>
      <c r="E5767" s="6" t="s">
        <v>405</v>
      </c>
      <c r="F5767" s="6" t="str">
        <f>IF($M5767="PADD I","PADD 1",IF($M5767="PADD II","PADD 2",IF($M5767="PADD III","PADD 3",IF($M5767="PADD IV","PADD 4",IF($M5767="PADD V","PADD 5","")))))</f>
        <v>PADD 3</v>
      </c>
      <c r="G5767" s="6" t="str">
        <f>IF(AND($H5767="ATMOS DISTILLATION",ISNUMBER(SEARCH("VPS",$I5767))=FALSE,LEFT($I5767,6)&lt;&gt;"VACUUM"),"CDU",IF($H5767="FLUID CAT CRACKING","FCC",IF(OR($H5767="HYDROCRACKING",$H5767="RESID_HYDROCRACKING"),"Hydrocracker",IF($H5767="REFORMING","Reformer",""))))</f>
        <v>CDU</v>
      </c>
      <c r="H5767" s="6" t="s">
        <v>38</v>
      </c>
      <c r="I5767" s="6" t="s">
        <v>135</v>
      </c>
      <c r="J5767" s="6" t="s">
        <v>345</v>
      </c>
      <c r="K5767" s="10">
        <v>37.12</v>
      </c>
      <c r="L5767" s="10">
        <v>128</v>
      </c>
      <c r="M5767" s="6" t="s">
        <v>371</v>
      </c>
    </row>
    <row r="5768" spans="1:13">
      <c r="A5768" s="6">
        <v>2025</v>
      </c>
      <c r="B5768" s="6">
        <v>5</v>
      </c>
      <c r="C5768" s="6" t="s">
        <v>63</v>
      </c>
      <c r="D5768" s="6" t="s">
        <v>372</v>
      </c>
      <c r="E5768" s="6" t="s">
        <v>373</v>
      </c>
      <c r="F5768" s="6" t="str">
        <f>IF($M5768="PADD I","PADD 1",IF($M5768="PADD II","PADD 2",IF($M5768="PADD III","PADD 3",IF($M5768="PADD IV","PADD 4",IF($M5768="PADD V","PADD 5","")))))</f>
        <v>PADD 2</v>
      </c>
      <c r="G5768" s="6" t="str">
        <f>IF(AND($H5768="ATMOS DISTILLATION",ISNUMBER(SEARCH("VPS",$I5768))=FALSE,LEFT($I5768,6)&lt;&gt;"VACUUM"),"CDU",IF($H5768="FLUID CAT CRACKING","FCC",IF(OR($H5768="HYDROCRACKING",$H5768="RESID_HYDROCRACKING"),"Hydrocracker",IF($H5768="REFORMING","Reformer",""))))</f>
        <v>Hydrocracker</v>
      </c>
      <c r="H5768" s="6" t="s">
        <v>444</v>
      </c>
      <c r="I5768" s="6" t="s">
        <v>445</v>
      </c>
      <c r="J5768" s="6" t="s">
        <v>349</v>
      </c>
      <c r="K5768" s="10">
        <v>35</v>
      </c>
      <c r="L5768" s="10">
        <v>35</v>
      </c>
      <c r="M5768" s="6" t="s">
        <v>375</v>
      </c>
    </row>
    <row r="5769" spans="1:13">
      <c r="A5769" s="6">
        <v>2025</v>
      </c>
      <c r="B5769" s="6">
        <v>5</v>
      </c>
      <c r="C5769" s="6" t="s">
        <v>63</v>
      </c>
      <c r="D5769" s="6" t="s">
        <v>372</v>
      </c>
      <c r="E5769" s="6" t="s">
        <v>373</v>
      </c>
      <c r="F5769" s="6" t="str">
        <f>IF($M5769="PADD I","PADD 1",IF($M5769="PADD II","PADD 2",IF($M5769="PADD III","PADD 3",IF($M5769="PADD IV","PADD 4",IF($M5769="PADD V","PADD 5","")))))</f>
        <v>PADD 2</v>
      </c>
      <c r="G5769" s="6" t="str">
        <f>IF(AND($H5769="ATMOS DISTILLATION",ISNUMBER(SEARCH("VPS",$I5769))=FALSE,LEFT($I5769,6)&lt;&gt;"VACUUM"),"CDU",IF($H5769="FLUID CAT CRACKING","FCC",IF(OR($H5769="HYDROCRACKING",$H5769="RESID_HYDROCRACKING"),"Hydrocracker",IF($H5769="REFORMING","Reformer",""))))</f>
        <v>CDU</v>
      </c>
      <c r="H5769" s="6" t="s">
        <v>38</v>
      </c>
      <c r="I5769" s="6" t="s">
        <v>414</v>
      </c>
      <c r="J5769" s="6" t="s">
        <v>345</v>
      </c>
      <c r="K5769" s="10">
        <v>33.6</v>
      </c>
      <c r="L5769" s="10">
        <v>40</v>
      </c>
      <c r="M5769" s="6" t="s">
        <v>375</v>
      </c>
    </row>
    <row r="5770" spans="1:13">
      <c r="A5770" s="6">
        <v>2025</v>
      </c>
      <c r="B5770" s="6">
        <v>5</v>
      </c>
      <c r="C5770" s="6" t="s">
        <v>63</v>
      </c>
      <c r="D5770" s="6" t="s">
        <v>415</v>
      </c>
      <c r="E5770" s="6" t="s">
        <v>416</v>
      </c>
      <c r="F5770" s="6" t="str">
        <f>IF($M5770="PADD I","PADD 1",IF($M5770="PADD II","PADD 2",IF($M5770="PADD III","PADD 3",IF($M5770="PADD IV","PADD 4",IF($M5770="PADD V","PADD 5","")))))</f>
        <v>PADD 3</v>
      </c>
      <c r="G5770" s="6">
        <f>IF(AND($H5770="ATMOS DISTILLATION",ISNUMBER(SEARCH("VPS",$I5770))=FALSE,LEFT($I5770,6)&lt;&gt;"VACUUM"),"CDU",IF($H5770="FLUID CAT CRACKING","FCC",IF(OR($H5770="HYDROCRACKING",$H5770="RESID_HYDROCRACKING"),"Hydrocracker",IF($H5770="REFORMING","Reformer",""))))</f>
        <v/>
      </c>
      <c r="H5770" s="6" t="s">
        <v>435</v>
      </c>
      <c r="I5770" s="6" t="s">
        <v>453</v>
      </c>
      <c r="J5770" s="6" t="s">
        <v>345</v>
      </c>
      <c r="K5770" s="10">
        <v>32.98</v>
      </c>
      <c r="L5770" s="10">
        <v>34</v>
      </c>
      <c r="M5770" s="6" t="s">
        <v>371</v>
      </c>
    </row>
    <row r="5771" spans="1:13">
      <c r="A5771" s="6">
        <v>2025</v>
      </c>
      <c r="B5771" s="6">
        <v>5</v>
      </c>
      <c r="C5771" s="6" t="s">
        <v>63</v>
      </c>
      <c r="D5771" s="6" t="s">
        <v>411</v>
      </c>
      <c r="E5771" s="6" t="s">
        <v>369</v>
      </c>
      <c r="F5771" s="6" t="str">
        <f>IF($M5771="PADD I","PADD 1",IF($M5771="PADD II","PADD 2",IF($M5771="PADD III","PADD 3",IF($M5771="PADD IV","PADD 4",IF($M5771="PADD V","PADD 5","")))))</f>
        <v>PADD 1</v>
      </c>
      <c r="G5771" s="6" t="str">
        <f>IF(AND($H5771="ATMOS DISTILLATION",ISNUMBER(SEARCH("VPS",$I5771))=FALSE,LEFT($I5771,6)&lt;&gt;"VACUUM"),"CDU",IF($H5771="FLUID CAT CRACKING","FCC",IF(OR($H5771="HYDROCRACKING",$H5771="RESID_HYDROCRACKING"),"Hydrocracker",IF($H5771="REFORMING","Reformer",""))))</f>
        <v>CDU</v>
      </c>
      <c r="H5771" s="6" t="s">
        <v>38</v>
      </c>
      <c r="I5771" s="6" t="s">
        <v>529</v>
      </c>
      <c r="J5771" s="6" t="s">
        <v>345</v>
      </c>
      <c r="K5771" s="10">
        <v>32.38</v>
      </c>
      <c r="L5771" s="10">
        <v>32.38</v>
      </c>
      <c r="M5771" s="6" t="s">
        <v>413</v>
      </c>
    </row>
    <row r="5772" spans="1:13">
      <c r="A5772" s="6">
        <v>2025</v>
      </c>
      <c r="B5772" s="6">
        <v>5</v>
      </c>
      <c r="C5772" s="6" t="s">
        <v>63</v>
      </c>
      <c r="D5772" s="6" t="s">
        <v>411</v>
      </c>
      <c r="E5772" s="6" t="s">
        <v>369</v>
      </c>
      <c r="F5772" s="6" t="str">
        <f>IF($M5772="PADD I","PADD 1",IF($M5772="PADD II","PADD 2",IF($M5772="PADD III","PADD 3",IF($M5772="PADD IV","PADD 4",IF($M5772="PADD V","PADD 5","")))))</f>
        <v>PADD 1</v>
      </c>
      <c r="G5772" s="6" t="str">
        <f>IF(AND($H5772="ATMOS DISTILLATION",ISNUMBER(SEARCH("VPS",$I5772))=FALSE,LEFT($I5772,6)&lt;&gt;"VACUUM"),"CDU",IF($H5772="FLUID CAT CRACKING","FCC",IF(OR($H5772="HYDROCRACKING",$H5772="RESID_HYDROCRACKING"),"Hydrocracker",IF($H5772="REFORMING","Reformer",""))))</f>
        <v>CDU</v>
      </c>
      <c r="H5772" s="6" t="s">
        <v>38</v>
      </c>
      <c r="I5772" s="6" t="s">
        <v>412</v>
      </c>
      <c r="J5772" s="6" t="s">
        <v>345</v>
      </c>
      <c r="K5772" s="10">
        <v>32.25</v>
      </c>
      <c r="L5772" s="10">
        <v>32.25</v>
      </c>
      <c r="M5772" s="6" t="s">
        <v>413</v>
      </c>
    </row>
    <row r="5773" spans="1:13">
      <c r="A5773" s="6">
        <v>2025</v>
      </c>
      <c r="B5773" s="6">
        <v>5</v>
      </c>
      <c r="C5773" s="6" t="s">
        <v>63</v>
      </c>
      <c r="D5773" s="6" t="s">
        <v>739</v>
      </c>
      <c r="E5773" s="6" t="s">
        <v>405</v>
      </c>
      <c r="F5773" s="6" t="str">
        <f>IF($M5773="PADD I","PADD 1",IF($M5773="PADD II","PADD 2",IF($M5773="PADD III","PADD 3",IF($M5773="PADD IV","PADD 4",IF($M5773="PADD V","PADD 5","")))))</f>
        <v>PADD 2</v>
      </c>
      <c r="G5773" s="6">
        <f>IF(AND($H5773="ATMOS DISTILLATION",ISNUMBER(SEARCH("VPS",$I5773))=FALSE,LEFT($I5773,6)&lt;&gt;"VACUUM"),"CDU",IF($H5773="FLUID CAT CRACKING","FCC",IF(OR($H5773="HYDROCRACKING",$H5773="RESID_HYDROCRACKING"),"Hydrocracker",IF($H5773="REFORMING","Reformer",""))))</f>
        <v/>
      </c>
      <c r="H5773" s="6" t="s">
        <v>43</v>
      </c>
      <c r="I5773" s="6" t="s">
        <v>689</v>
      </c>
      <c r="J5773" s="6" t="s">
        <v>349</v>
      </c>
      <c r="K5773" s="10">
        <v>32</v>
      </c>
      <c r="L5773" s="10">
        <v>32</v>
      </c>
      <c r="M5773" s="6" t="s">
        <v>375</v>
      </c>
    </row>
    <row r="5774" spans="1:13">
      <c r="A5774" s="6">
        <v>2025</v>
      </c>
      <c r="B5774" s="6">
        <v>5</v>
      </c>
      <c r="C5774" s="6" t="s">
        <v>63</v>
      </c>
      <c r="D5774" s="6" t="s">
        <v>739</v>
      </c>
      <c r="E5774" s="6" t="s">
        <v>405</v>
      </c>
      <c r="F5774" s="6" t="str">
        <f>IF($M5774="PADD I","PADD 1",IF($M5774="PADD II","PADD 2",IF($M5774="PADD III","PADD 3",IF($M5774="PADD IV","PADD 4",IF($M5774="PADD V","PADD 5","")))))</f>
        <v>PADD 2</v>
      </c>
      <c r="G5774" s="6">
        <f>IF(AND($H5774="ATMOS DISTILLATION",ISNUMBER(SEARCH("VPS",$I5774))=FALSE,LEFT($I5774,6)&lt;&gt;"VACUUM"),"CDU",IF($H5774="FLUID CAT CRACKING","FCC",IF(OR($H5774="HYDROCRACKING",$H5774="RESID_HYDROCRACKING"),"Hydrocracker",IF($H5774="REFORMING","Reformer",""))))</f>
        <v/>
      </c>
      <c r="H5774" s="6" t="s">
        <v>378</v>
      </c>
      <c r="I5774" s="6" t="s">
        <v>431</v>
      </c>
      <c r="J5774" s="6" t="s">
        <v>349</v>
      </c>
      <c r="K5774" s="10">
        <v>32</v>
      </c>
      <c r="L5774" s="10">
        <v>32</v>
      </c>
      <c r="M5774" s="6" t="s">
        <v>375</v>
      </c>
    </row>
    <row r="5775" spans="1:13">
      <c r="A5775" s="6">
        <v>2025</v>
      </c>
      <c r="B5775" s="6">
        <v>5</v>
      </c>
      <c r="C5775" s="6" t="s">
        <v>63</v>
      </c>
      <c r="D5775" s="6" t="s">
        <v>739</v>
      </c>
      <c r="E5775" s="6" t="s">
        <v>405</v>
      </c>
      <c r="F5775" s="6" t="str">
        <f>IF($M5775="PADD I","PADD 1",IF($M5775="PADD II","PADD 2",IF($M5775="PADD III","PADD 3",IF($M5775="PADD IV","PADD 4",IF($M5775="PADD V","PADD 5","")))))</f>
        <v>PADD 2</v>
      </c>
      <c r="G5775" s="6">
        <f>IF(AND($H5775="ATMOS DISTILLATION",ISNUMBER(SEARCH("VPS",$I5775))=FALSE,LEFT($I5775,6)&lt;&gt;"VACUUM"),"CDU",IF($H5775="FLUID CAT CRACKING","FCC",IF(OR($H5775="HYDROCRACKING",$H5775="RESID_HYDROCRACKING"),"Hydrocracker",IF($H5775="REFORMING","Reformer",""))))</f>
        <v/>
      </c>
      <c r="H5775" s="6" t="s">
        <v>43</v>
      </c>
      <c r="I5775" s="6" t="s">
        <v>740</v>
      </c>
      <c r="J5775" s="6" t="s">
        <v>345</v>
      </c>
      <c r="K5775" s="10">
        <v>32</v>
      </c>
      <c r="L5775" s="10">
        <v>32</v>
      </c>
      <c r="M5775" s="6" t="s">
        <v>375</v>
      </c>
    </row>
    <row r="5776" spans="1:13">
      <c r="A5776" s="6">
        <v>2025</v>
      </c>
      <c r="B5776" s="6">
        <v>5</v>
      </c>
      <c r="C5776" s="6" t="s">
        <v>63</v>
      </c>
      <c r="D5776" s="6" t="s">
        <v>51</v>
      </c>
      <c r="E5776" s="6" t="s">
        <v>391</v>
      </c>
      <c r="F5776" s="6" t="str">
        <f>IF($M5776="PADD I","PADD 1",IF($M5776="PADD II","PADD 2",IF($M5776="PADD III","PADD 3",IF($M5776="PADD IV","PADD 4",IF($M5776="PADD V","PADD 5","")))))</f>
        <v>PADD 5</v>
      </c>
      <c r="G5776" s="6">
        <f>IF(AND($H5776="ATMOS DISTILLATION",ISNUMBER(SEARCH("VPS",$I5776))=FALSE,LEFT($I5776,6)&lt;&gt;"VACUUM"),"CDU",IF($H5776="FLUID CAT CRACKING","FCC",IF(OR($H5776="HYDROCRACKING",$H5776="RESID_HYDROCRACKING"),"Hydrocracker",IF($H5776="REFORMING","Reformer",""))))</f>
        <v/>
      </c>
      <c r="H5776" s="6" t="s">
        <v>378</v>
      </c>
      <c r="I5776" s="6" t="s">
        <v>1035</v>
      </c>
      <c r="J5776" s="6" t="s">
        <v>345</v>
      </c>
      <c r="K5776" s="10">
        <v>30.59</v>
      </c>
      <c r="L5776" s="10">
        <v>161</v>
      </c>
      <c r="M5776" s="6" t="s">
        <v>386</v>
      </c>
    </row>
    <row r="5777" spans="1:13">
      <c r="A5777" s="6">
        <v>2025</v>
      </c>
      <c r="B5777" s="6">
        <v>5</v>
      </c>
      <c r="C5777" s="6" t="s">
        <v>63</v>
      </c>
      <c r="D5777" s="6" t="s">
        <v>739</v>
      </c>
      <c r="E5777" s="6" t="s">
        <v>405</v>
      </c>
      <c r="F5777" s="6" t="str">
        <f>IF($M5777="PADD I","PADD 1",IF($M5777="PADD II","PADD 2",IF($M5777="PADD III","PADD 3",IF($M5777="PADD IV","PADD 4",IF($M5777="PADD V","PADD 5","")))))</f>
        <v>PADD 2</v>
      </c>
      <c r="G5777" s="6" t="str">
        <f>IF(AND($H5777="ATMOS DISTILLATION",ISNUMBER(SEARCH("VPS",$I5777))=FALSE,LEFT($I5777,6)&lt;&gt;"VACUUM"),"CDU",IF($H5777="FLUID CAT CRACKING","FCC",IF(OR($H5777="HYDROCRACKING",$H5777="RESID_HYDROCRACKING"),"Hydrocracker",IF($H5777="REFORMING","Reformer",""))))</f>
        <v>Reformer</v>
      </c>
      <c r="H5777" s="6" t="s">
        <v>421</v>
      </c>
      <c r="I5777" s="6" t="s">
        <v>782</v>
      </c>
      <c r="J5777" s="6" t="s">
        <v>349</v>
      </c>
      <c r="K5777" s="10">
        <v>30</v>
      </c>
      <c r="L5777" s="10">
        <v>30</v>
      </c>
      <c r="M5777" s="6" t="s">
        <v>375</v>
      </c>
    </row>
    <row r="5778" spans="1:13">
      <c r="A5778" s="6">
        <v>2025</v>
      </c>
      <c r="B5778" s="6">
        <v>5</v>
      </c>
      <c r="C5778" s="6" t="s">
        <v>63</v>
      </c>
      <c r="D5778" s="6" t="s">
        <v>739</v>
      </c>
      <c r="E5778" s="6" t="s">
        <v>405</v>
      </c>
      <c r="F5778" s="6" t="str">
        <f>IF($M5778="PADD I","PADD 1",IF($M5778="PADD II","PADD 2",IF($M5778="PADD III","PADD 3",IF($M5778="PADD IV","PADD 4",IF($M5778="PADD V","PADD 5","")))))</f>
        <v>PADD 2</v>
      </c>
      <c r="G5778" s="6" t="str">
        <f>IF(AND($H5778="ATMOS DISTILLATION",ISNUMBER(SEARCH("VPS",$I5778))=FALSE,LEFT($I5778,6)&lt;&gt;"VACUUM"),"CDU",IF($H5778="FLUID CAT CRACKING","FCC",IF(OR($H5778="HYDROCRACKING",$H5778="RESID_HYDROCRACKING"),"Hydrocracker",IF($H5778="REFORMING","Reformer",""))))</f>
        <v>FCC</v>
      </c>
      <c r="H5778" s="6" t="s">
        <v>376</v>
      </c>
      <c r="I5778" s="6" t="s">
        <v>105</v>
      </c>
      <c r="J5778" s="6" t="s">
        <v>349</v>
      </c>
      <c r="K5778" s="10">
        <v>30</v>
      </c>
      <c r="L5778" s="10">
        <v>30</v>
      </c>
      <c r="M5778" s="6" t="s">
        <v>375</v>
      </c>
    </row>
    <row r="5779" spans="1:13">
      <c r="A5779" s="6">
        <v>2025</v>
      </c>
      <c r="B5779" s="6">
        <v>5</v>
      </c>
      <c r="C5779" s="6" t="s">
        <v>63</v>
      </c>
      <c r="D5779" s="6" t="s">
        <v>1119</v>
      </c>
      <c r="E5779" s="6" t="s">
        <v>1120</v>
      </c>
      <c r="F5779" s="6" t="str">
        <f>IF($M5779="PADD I","PADD 1",IF($M5779="PADD II","PADD 2",IF($M5779="PADD III","PADD 3",IF($M5779="PADD IV","PADD 4",IF($M5779="PADD V","PADD 5","")))))</f>
        <v>PADD 3</v>
      </c>
      <c r="G5779" s="6" t="str">
        <f>IF(AND($H5779="ATMOS DISTILLATION",ISNUMBER(SEARCH("VPS",$I5779))=FALSE,LEFT($I5779,6)&lt;&gt;"VACUUM"),"CDU",IF($H5779="FLUID CAT CRACKING","FCC",IF(OR($H5779="HYDROCRACKING",$H5779="RESID_HYDROCRACKING"),"Hydrocracker",IF($H5779="REFORMING","Reformer",""))))</f>
        <v>CDU</v>
      </c>
      <c r="H5779" s="6" t="s">
        <v>38</v>
      </c>
      <c r="I5779" s="6" t="s">
        <v>1121</v>
      </c>
      <c r="J5779" s="6" t="s">
        <v>349</v>
      </c>
      <c r="K5779" s="10">
        <v>27.5</v>
      </c>
      <c r="L5779" s="10">
        <v>50</v>
      </c>
      <c r="M5779" s="6" t="s">
        <v>371</v>
      </c>
    </row>
    <row r="5780" spans="1:13">
      <c r="A5780" s="6">
        <v>2025</v>
      </c>
      <c r="B5780" s="6">
        <v>5</v>
      </c>
      <c r="C5780" s="6" t="s">
        <v>63</v>
      </c>
      <c r="D5780" s="6" t="s">
        <v>739</v>
      </c>
      <c r="E5780" s="6" t="s">
        <v>405</v>
      </c>
      <c r="F5780" s="6" t="str">
        <f>IF($M5780="PADD I","PADD 1",IF($M5780="PADD II","PADD 2",IF($M5780="PADD III","PADD 3",IF($M5780="PADD IV","PADD 4",IF($M5780="PADD V","PADD 5","")))))</f>
        <v>PADD 2</v>
      </c>
      <c r="G5780" s="6">
        <f>IF(AND($H5780="ATMOS DISTILLATION",ISNUMBER(SEARCH("VPS",$I5780))=FALSE,LEFT($I5780,6)&lt;&gt;"VACUUM"),"CDU",IF($H5780="FLUID CAT CRACKING","FCC",IF(OR($H5780="HYDROCRACKING",$H5780="RESID_HYDROCRACKING"),"Hydrocracker",IF($H5780="REFORMING","Reformer",""))))</f>
        <v/>
      </c>
      <c r="H5780" s="6" t="s">
        <v>43</v>
      </c>
      <c r="I5780" s="6" t="s">
        <v>493</v>
      </c>
      <c r="J5780" s="6" t="s">
        <v>349</v>
      </c>
      <c r="K5780" s="10">
        <v>26.5</v>
      </c>
      <c r="L5780" s="10">
        <v>26.5</v>
      </c>
      <c r="M5780" s="6" t="s">
        <v>375</v>
      </c>
    </row>
    <row r="5781" spans="1:13">
      <c r="A5781" s="6">
        <v>2025</v>
      </c>
      <c r="B5781" s="6">
        <v>5</v>
      </c>
      <c r="C5781" s="6" t="s">
        <v>63</v>
      </c>
      <c r="D5781" s="6" t="s">
        <v>326</v>
      </c>
      <c r="E5781" s="6" t="s">
        <v>385</v>
      </c>
      <c r="F5781" s="6" t="str">
        <f>IF($M5781="PADD I","PADD 1",IF($M5781="PADD II","PADD 2",IF($M5781="PADD III","PADD 3",IF($M5781="PADD IV","PADD 4",IF($M5781="PADD V","PADD 5","")))))</f>
        <v>PADD 5</v>
      </c>
      <c r="G5781" s="6">
        <f>IF(AND($H5781="ATMOS DISTILLATION",ISNUMBER(SEARCH("VPS",$I5781))=FALSE,LEFT($I5781,6)&lt;&gt;"VACUUM"),"CDU",IF($H5781="FLUID CAT CRACKING","FCC",IF(OR($H5781="HYDROCRACKING",$H5781="RESID_HYDROCRACKING"),"Hydrocracker",IF($H5781="REFORMING","Reformer",""))))</f>
        <v/>
      </c>
      <c r="H5781" s="6" t="s">
        <v>43</v>
      </c>
      <c r="I5781" s="6" t="s">
        <v>1174</v>
      </c>
      <c r="J5781" s="6" t="s">
        <v>345</v>
      </c>
      <c r="K5781" s="10">
        <v>26.104</v>
      </c>
      <c r="L5781" s="10">
        <v>50.2</v>
      </c>
      <c r="M5781" s="6" t="s">
        <v>386</v>
      </c>
    </row>
    <row r="5782" spans="1:13">
      <c r="A5782" s="6">
        <v>2025</v>
      </c>
      <c r="B5782" s="6">
        <v>5</v>
      </c>
      <c r="C5782" s="6" t="s">
        <v>63</v>
      </c>
      <c r="D5782" s="6" t="s">
        <v>326</v>
      </c>
      <c r="E5782" s="6" t="s">
        <v>385</v>
      </c>
      <c r="F5782" s="6" t="str">
        <f>IF($M5782="PADD I","PADD 1",IF($M5782="PADD II","PADD 2",IF($M5782="PADD III","PADD 3",IF($M5782="PADD IV","PADD 4",IF($M5782="PADD V","PADD 5","")))))</f>
        <v>PADD 5</v>
      </c>
      <c r="G5782" s="6" t="str">
        <f>IF(AND($H5782="ATMOS DISTILLATION",ISNUMBER(SEARCH("VPS",$I5782))=FALSE,LEFT($I5782,6)&lt;&gt;"VACUUM"),"CDU",IF($H5782="FLUID CAT CRACKING","FCC",IF(OR($H5782="HYDROCRACKING",$H5782="RESID_HYDROCRACKING"),"Hydrocracker",IF($H5782="REFORMING","Reformer",""))))</f>
        <v>CDU</v>
      </c>
      <c r="H5782" s="6" t="s">
        <v>38</v>
      </c>
      <c r="I5782" s="6" t="s">
        <v>93</v>
      </c>
      <c r="J5782" s="6" t="s">
        <v>345</v>
      </c>
      <c r="K5782" s="10">
        <v>26.04</v>
      </c>
      <c r="L5782" s="10">
        <v>54.25</v>
      </c>
      <c r="M5782" s="6" t="s">
        <v>386</v>
      </c>
    </row>
    <row r="5783" spans="1:13">
      <c r="A5783" s="6">
        <v>2025</v>
      </c>
      <c r="B5783" s="6">
        <v>5</v>
      </c>
      <c r="C5783" s="6" t="s">
        <v>63</v>
      </c>
      <c r="D5783" s="6" t="s">
        <v>615</v>
      </c>
      <c r="E5783" s="6" t="s">
        <v>405</v>
      </c>
      <c r="F5783" s="6" t="str">
        <f>IF($M5783="PADD I","PADD 1",IF($M5783="PADD II","PADD 2",IF($M5783="PADD III","PADD 3",IF($M5783="PADD IV","PADD 4",IF($M5783="PADD V","PADD 5","")))))</f>
        <v>PADD 5</v>
      </c>
      <c r="G5783" s="6" t="str">
        <f>IF(AND($H5783="ATMOS DISTILLATION",ISNUMBER(SEARCH("VPS",$I5783))=FALSE,LEFT($I5783,6)&lt;&gt;"VACUUM"),"CDU",IF($H5783="FLUID CAT CRACKING","FCC",IF(OR($H5783="HYDROCRACKING",$H5783="RESID_HYDROCRACKING"),"Hydrocracker",IF($H5783="REFORMING","Reformer",""))))</f>
        <v>FCC</v>
      </c>
      <c r="H5783" s="6" t="s">
        <v>376</v>
      </c>
      <c r="I5783" s="6" t="s">
        <v>105</v>
      </c>
      <c r="J5783" s="6" t="s">
        <v>349</v>
      </c>
      <c r="K5783" s="10">
        <v>24.64</v>
      </c>
      <c r="L5783" s="10">
        <v>77</v>
      </c>
      <c r="M5783" s="6" t="s">
        <v>386</v>
      </c>
    </row>
    <row r="5784" spans="1:13">
      <c r="A5784" s="6">
        <v>2025</v>
      </c>
      <c r="B5784" s="6">
        <v>5</v>
      </c>
      <c r="C5784" s="6" t="s">
        <v>63</v>
      </c>
      <c r="D5784" s="6" t="s">
        <v>742</v>
      </c>
      <c r="E5784" s="6" t="s">
        <v>388</v>
      </c>
      <c r="F5784" s="6" t="str">
        <f>IF($M5784="PADD I","PADD 1",IF($M5784="PADD II","PADD 2",IF($M5784="PADD III","PADD 3",IF($M5784="PADD IV","PADD 4",IF($M5784="PADD V","PADD 5","")))))</f>
        <v>PADD 5</v>
      </c>
      <c r="G5784" s="6" t="str">
        <f>IF(AND($H5784="ATMOS DISTILLATION",ISNUMBER(SEARCH("VPS",$I5784))=FALSE,LEFT($I5784,6)&lt;&gt;"VACUUM"),"CDU",IF($H5784="FLUID CAT CRACKING","FCC",IF(OR($H5784="HYDROCRACKING",$H5784="RESID_HYDROCRACKING"),"Hydrocracker",IF($H5784="REFORMING","Reformer",""))))</f>
        <v>Reformer</v>
      </c>
      <c r="H5784" s="6" t="s">
        <v>421</v>
      </c>
      <c r="I5784" s="6" t="s">
        <v>15</v>
      </c>
      <c r="J5784" s="6" t="s">
        <v>349</v>
      </c>
      <c r="K5784" s="10">
        <v>23.571</v>
      </c>
      <c r="L5784" s="10">
        <v>24.3</v>
      </c>
      <c r="M5784" s="6" t="s">
        <v>386</v>
      </c>
    </row>
    <row r="5785" spans="1:13">
      <c r="A5785" s="6">
        <v>2025</v>
      </c>
      <c r="B5785" s="6">
        <v>5</v>
      </c>
      <c r="C5785" s="6" t="s">
        <v>63</v>
      </c>
      <c r="D5785" s="6" t="s">
        <v>54</v>
      </c>
      <c r="E5785" s="6" t="s">
        <v>856</v>
      </c>
      <c r="F5785" s="6" t="str">
        <f>IF($M5785="PADD I","PADD 1",IF($M5785="PADD II","PADD 2",IF($M5785="PADD III","PADD 3",IF($M5785="PADD IV","PADD 4",IF($M5785="PADD V","PADD 5","")))))</f>
        <v>PADD 5</v>
      </c>
      <c r="G5785" s="6" t="str">
        <f>IF(AND($H5785="ATMOS DISTILLATION",ISNUMBER(SEARCH("VPS",$I5785))=FALSE,LEFT($I5785,6)&lt;&gt;"VACUUM"),"CDU",IF($H5785="FLUID CAT CRACKING","FCC",IF(OR($H5785="HYDROCRACKING",$H5785="RESID_HYDROCRACKING"),"Hydrocracker",IF($H5785="REFORMING","Reformer",""))))</f>
        <v>CDU</v>
      </c>
      <c r="H5785" s="6" t="s">
        <v>38</v>
      </c>
      <c r="I5785" s="6" t="s">
        <v>857</v>
      </c>
      <c r="J5785" s="6" t="s">
        <v>349</v>
      </c>
      <c r="K5785" s="10">
        <v>23.4</v>
      </c>
      <c r="L5785" s="10">
        <v>60</v>
      </c>
      <c r="M5785" s="6" t="s">
        <v>386</v>
      </c>
    </row>
    <row r="5786" spans="1:13">
      <c r="A5786" s="6">
        <v>2025</v>
      </c>
      <c r="B5786" s="6">
        <v>5</v>
      </c>
      <c r="C5786" s="6" t="s">
        <v>63</v>
      </c>
      <c r="D5786" s="6" t="s">
        <v>727</v>
      </c>
      <c r="E5786" s="6" t="s">
        <v>728</v>
      </c>
      <c r="F5786" s="6" t="str">
        <f>IF($M5786="PADD I","PADD 1",IF($M5786="PADD II","PADD 2",IF($M5786="PADD III","PADD 3",IF($M5786="PADD IV","PADD 4",IF($M5786="PADD V","PADD 5","")))))</f>
        <v>PADD 1</v>
      </c>
      <c r="G5786" s="6" t="str">
        <f>IF(AND($H5786="ATMOS DISTILLATION",ISNUMBER(SEARCH("VPS",$I5786))=FALSE,LEFT($I5786,6)&lt;&gt;"VACUUM"),"CDU",IF($H5786="FLUID CAT CRACKING","FCC",IF(OR($H5786="HYDROCRACKING",$H5786="RESID_HYDROCRACKING"),"Hydrocracker",IF($H5786="REFORMING","Reformer",""))))</f>
        <v>CDU</v>
      </c>
      <c r="H5786" s="6" t="s">
        <v>38</v>
      </c>
      <c r="I5786" s="6" t="s">
        <v>81</v>
      </c>
      <c r="J5786" s="6" t="s">
        <v>349</v>
      </c>
      <c r="K5786" s="10">
        <v>23</v>
      </c>
      <c r="L5786" s="10">
        <v>23</v>
      </c>
      <c r="M5786" s="6" t="s">
        <v>413</v>
      </c>
    </row>
    <row r="5787" spans="1:13">
      <c r="A5787" s="6">
        <v>2025</v>
      </c>
      <c r="B5787" s="6">
        <v>5</v>
      </c>
      <c r="C5787" s="6" t="s">
        <v>63</v>
      </c>
      <c r="D5787" s="6" t="s">
        <v>851</v>
      </c>
      <c r="E5787" s="6" t="s">
        <v>852</v>
      </c>
      <c r="F5787" s="6" t="str">
        <f>IF($M5787="PADD I","PADD 1",IF($M5787="PADD II","PADD 2",IF($M5787="PADD III","PADD 3",IF($M5787="PADD IV","PADD 4",IF($M5787="PADD V","PADD 5","")))))</f>
        <v>PADD 3</v>
      </c>
      <c r="G5787" s="6">
        <f>IF(AND($H5787="ATMOS DISTILLATION",ISNUMBER(SEARCH("VPS",$I5787))=FALSE,LEFT($I5787,6)&lt;&gt;"VACUUM"),"CDU",IF($H5787="FLUID CAT CRACKING","FCC",IF(OR($H5787="HYDROCRACKING",$H5787="RESID_HYDROCRACKING"),"Hydrocracker",IF($H5787="REFORMING","Reformer",""))))</f>
        <v/>
      </c>
      <c r="H5787" s="6" t="s">
        <v>378</v>
      </c>
      <c r="I5787" s="6" t="s">
        <v>860</v>
      </c>
      <c r="J5787" s="6" t="s">
        <v>349</v>
      </c>
      <c r="K5787" s="10">
        <v>21.96</v>
      </c>
      <c r="L5787" s="10">
        <v>36</v>
      </c>
      <c r="M5787" s="6" t="s">
        <v>371</v>
      </c>
    </row>
    <row r="5788" spans="1:13">
      <c r="A5788" s="6">
        <v>2025</v>
      </c>
      <c r="B5788" s="6">
        <v>5</v>
      </c>
      <c r="C5788" s="6" t="s">
        <v>63</v>
      </c>
      <c r="D5788" s="6" t="s">
        <v>411</v>
      </c>
      <c r="E5788" s="6" t="s">
        <v>369</v>
      </c>
      <c r="F5788" s="6" t="str">
        <f>IF($M5788="PADD I","PADD 1",IF($M5788="PADD II","PADD 2",IF($M5788="PADD III","PADD 3",IF($M5788="PADD IV","PADD 4",IF($M5788="PADD V","PADD 5","")))))</f>
        <v>PADD 1</v>
      </c>
      <c r="G5788" s="6">
        <f>IF(AND($H5788="ATMOS DISTILLATION",ISNUMBER(SEARCH("VPS",$I5788))=FALSE,LEFT($I5788,6)&lt;&gt;"VACUUM"),"CDU",IF($H5788="FLUID CAT CRACKING","FCC",IF(OR($H5788="HYDROCRACKING",$H5788="RESID_HYDROCRACKING"),"Hydrocracker",IF($H5788="REFORMING","Reformer",""))))</f>
        <v/>
      </c>
      <c r="H5788" s="6" t="s">
        <v>43</v>
      </c>
      <c r="I5788" s="6" t="s">
        <v>458</v>
      </c>
      <c r="J5788" s="6" t="s">
        <v>345</v>
      </c>
      <c r="K5788" s="10">
        <v>21.25</v>
      </c>
      <c r="L5788" s="10">
        <v>21.25</v>
      </c>
      <c r="M5788" s="6" t="s">
        <v>413</v>
      </c>
    </row>
    <row r="5789" spans="1:13">
      <c r="A5789" s="6">
        <v>2025</v>
      </c>
      <c r="B5789" s="6">
        <v>5</v>
      </c>
      <c r="C5789" s="6" t="s">
        <v>63</v>
      </c>
      <c r="D5789" s="6" t="s">
        <v>451</v>
      </c>
      <c r="E5789" s="6" t="s">
        <v>452</v>
      </c>
      <c r="F5789" s="6" t="str">
        <f>IF($M5789="PADD I","PADD 1",IF($M5789="PADD II","PADD 2",IF($M5789="PADD III","PADD 3",IF($M5789="PADD IV","PADD 4",IF($M5789="PADD V","PADD 5","")))))</f>
        <v>PADD 2</v>
      </c>
      <c r="G5789" s="6" t="str">
        <f>IF(AND($H5789="ATMOS DISTILLATION",ISNUMBER(SEARCH("VPS",$I5789))=FALSE,LEFT($I5789,6)&lt;&gt;"VACUUM"),"CDU",IF($H5789="FLUID CAT CRACKING","FCC",IF(OR($H5789="HYDROCRACKING",$H5789="RESID_HYDROCRACKING"),"Hydrocracker",IF($H5789="REFORMING","Reformer",""))))</f>
        <v>CDU</v>
      </c>
      <c r="H5789" s="6" t="s">
        <v>38</v>
      </c>
      <c r="I5789" s="6" t="s">
        <v>481</v>
      </c>
      <c r="J5789" s="6" t="s">
        <v>345</v>
      </c>
      <c r="K5789" s="10">
        <v>20.8</v>
      </c>
      <c r="L5789" s="10">
        <v>40</v>
      </c>
      <c r="M5789" s="6" t="s">
        <v>375</v>
      </c>
    </row>
    <row r="5790" spans="1:13">
      <c r="A5790" s="6">
        <v>2025</v>
      </c>
      <c r="B5790" s="6">
        <v>5</v>
      </c>
      <c r="C5790" s="6" t="s">
        <v>63</v>
      </c>
      <c r="D5790" s="6" t="s">
        <v>788</v>
      </c>
      <c r="E5790" s="6" t="s">
        <v>405</v>
      </c>
      <c r="F5790" s="6" t="str">
        <f>IF($M5790="PADD I","PADD 1",IF($M5790="PADD II","PADD 2",IF($M5790="PADD III","PADD 3",IF($M5790="PADD IV","PADD 4",IF($M5790="PADD V","PADD 5","")))))</f>
        <v>PADD 3</v>
      </c>
      <c r="G5790" s="6" t="str">
        <f>IF(AND($H5790="ATMOS DISTILLATION",ISNUMBER(SEARCH("VPS",$I5790))=FALSE,LEFT($I5790,6)&lt;&gt;"VACUUM"),"CDU",IF($H5790="FLUID CAT CRACKING","FCC",IF(OR($H5790="HYDROCRACKING",$H5790="RESID_HYDROCRACKING"),"Hydrocracker",IF($H5790="REFORMING","Reformer",""))))</f>
        <v>CDU</v>
      </c>
      <c r="H5790" s="6" t="s">
        <v>38</v>
      </c>
      <c r="I5790" s="6" t="s">
        <v>135</v>
      </c>
      <c r="J5790" s="6" t="s">
        <v>345</v>
      </c>
      <c r="K5790" s="10">
        <v>20.48</v>
      </c>
      <c r="L5790" s="10">
        <v>128</v>
      </c>
      <c r="M5790" s="6" t="s">
        <v>371</v>
      </c>
    </row>
    <row r="5791" spans="1:13">
      <c r="A5791" s="6">
        <v>2025</v>
      </c>
      <c r="B5791" s="6">
        <v>5</v>
      </c>
      <c r="C5791" s="6" t="s">
        <v>63</v>
      </c>
      <c r="D5791" s="6" t="s">
        <v>739</v>
      </c>
      <c r="E5791" s="6" t="s">
        <v>405</v>
      </c>
      <c r="F5791" s="6" t="str">
        <f>IF($M5791="PADD I","PADD 1",IF($M5791="PADD II","PADD 2",IF($M5791="PADD III","PADD 3",IF($M5791="PADD IV","PADD 4",IF($M5791="PADD V","PADD 5","")))))</f>
        <v>PADD 2</v>
      </c>
      <c r="G5791" s="6">
        <f>IF(AND($H5791="ATMOS DISTILLATION",ISNUMBER(SEARCH("VPS",$I5791))=FALSE,LEFT($I5791,6)&lt;&gt;"VACUUM"),"CDU",IF($H5791="FLUID CAT CRACKING","FCC",IF(OR($H5791="HYDROCRACKING",$H5791="RESID_HYDROCRACKING"),"Hydrocracker",IF($H5791="REFORMING","Reformer",""))))</f>
        <v/>
      </c>
      <c r="H5791" s="6" t="s">
        <v>43</v>
      </c>
      <c r="I5791" s="6" t="s">
        <v>1196</v>
      </c>
      <c r="J5791" s="6" t="s">
        <v>349</v>
      </c>
      <c r="K5791" s="10">
        <v>20</v>
      </c>
      <c r="L5791" s="10">
        <v>20</v>
      </c>
      <c r="M5791" s="6" t="s">
        <v>375</v>
      </c>
    </row>
    <row r="5792" spans="1:13">
      <c r="A5792" s="6">
        <v>2025</v>
      </c>
      <c r="B5792" s="6">
        <v>5</v>
      </c>
      <c r="C5792" s="6" t="s">
        <v>63</v>
      </c>
      <c r="D5792" s="6" t="s">
        <v>411</v>
      </c>
      <c r="E5792" s="6" t="s">
        <v>369</v>
      </c>
      <c r="F5792" s="6" t="str">
        <f>IF($M5792="PADD I","PADD 1",IF($M5792="PADD II","PADD 2",IF($M5792="PADD III","PADD 3",IF($M5792="PADD IV","PADD 4",IF($M5792="PADD V","PADD 5","")))))</f>
        <v>PADD 1</v>
      </c>
      <c r="G5792" s="6">
        <f>IF(AND($H5792="ATMOS DISTILLATION",ISNUMBER(SEARCH("VPS",$I5792))=FALSE,LEFT($I5792,6)&lt;&gt;"VACUUM"),"CDU",IF($H5792="FLUID CAT CRACKING","FCC",IF(OR($H5792="HYDROCRACKING",$H5792="RESID_HYDROCRACKING"),"Hydrocracker",IF($H5792="REFORMING","Reformer",""))))</f>
        <v/>
      </c>
      <c r="H5792" s="6" t="s">
        <v>378</v>
      </c>
      <c r="I5792" s="6" t="s">
        <v>431</v>
      </c>
      <c r="J5792" s="6" t="s">
        <v>345</v>
      </c>
      <c r="K5792" s="10">
        <v>18.75</v>
      </c>
      <c r="L5792" s="10">
        <v>18.75</v>
      </c>
      <c r="M5792" s="6" t="s">
        <v>413</v>
      </c>
    </row>
    <row r="5793" spans="1:13">
      <c r="A5793" s="6">
        <v>2025</v>
      </c>
      <c r="B5793" s="6">
        <v>5</v>
      </c>
      <c r="C5793" s="6" t="s">
        <v>63</v>
      </c>
      <c r="D5793" s="6" t="s">
        <v>615</v>
      </c>
      <c r="E5793" s="6" t="s">
        <v>405</v>
      </c>
      <c r="F5793" s="6" t="str">
        <f>IF($M5793="PADD I","PADD 1",IF($M5793="PADD II","PADD 2",IF($M5793="PADD III","PADD 3",IF($M5793="PADD IV","PADD 4",IF($M5793="PADD V","PADD 5","")))))</f>
        <v>PADD 5</v>
      </c>
      <c r="G5793" s="6" t="str">
        <f>IF(AND($H5793="ATMOS DISTILLATION",ISNUMBER(SEARCH("VPS",$I5793))=FALSE,LEFT($I5793,6)&lt;&gt;"VACUUM"),"CDU",IF($H5793="FLUID CAT CRACKING","FCC",IF(OR($H5793="HYDROCRACKING",$H5793="RESID_HYDROCRACKING"),"Hydrocracker",IF($H5793="REFORMING","Reformer",""))))</f>
        <v>CDU</v>
      </c>
      <c r="H5793" s="6" t="s">
        <v>38</v>
      </c>
      <c r="I5793" s="6" t="s">
        <v>1306</v>
      </c>
      <c r="J5793" s="6" t="s">
        <v>345</v>
      </c>
      <c r="K5793" s="10">
        <v>18.72</v>
      </c>
      <c r="L5793" s="10">
        <v>144</v>
      </c>
      <c r="M5793" s="6" t="s">
        <v>386</v>
      </c>
    </row>
    <row r="5794" spans="1:13">
      <c r="A5794" s="6">
        <v>2025</v>
      </c>
      <c r="B5794" s="6">
        <v>5</v>
      </c>
      <c r="C5794" s="6" t="s">
        <v>63</v>
      </c>
      <c r="D5794" s="6" t="s">
        <v>770</v>
      </c>
      <c r="E5794" s="6" t="s">
        <v>660</v>
      </c>
      <c r="F5794" s="6" t="str">
        <f>IF($M5794="PADD I","PADD 1",IF($M5794="PADD II","PADD 2",IF($M5794="PADD III","PADD 3",IF($M5794="PADD IV","PADD 4",IF($M5794="PADD V","PADD 5","")))))</f>
        <v>PADD 3</v>
      </c>
      <c r="G5794" s="6">
        <f>IF(AND($H5794="ATMOS DISTILLATION",ISNUMBER(SEARCH("VPS",$I5794))=FALSE,LEFT($I5794,6)&lt;&gt;"VACUUM"),"CDU",IF($H5794="FLUID CAT CRACKING","FCC",IF(OR($H5794="HYDROCRACKING",$H5794="RESID_HYDROCRACKING"),"Hydrocracker",IF($H5794="REFORMING","Reformer",""))))</f>
        <v/>
      </c>
      <c r="H5794" s="6" t="s">
        <v>435</v>
      </c>
      <c r="I5794" s="6" t="s">
        <v>441</v>
      </c>
      <c r="J5794" s="6" t="s">
        <v>349</v>
      </c>
      <c r="K5794" s="10">
        <v>18.56</v>
      </c>
      <c r="L5794" s="10">
        <v>32</v>
      </c>
      <c r="M5794" s="6" t="s">
        <v>371</v>
      </c>
    </row>
    <row r="5795" spans="1:13">
      <c r="A5795" s="6">
        <v>2025</v>
      </c>
      <c r="B5795" s="6">
        <v>5</v>
      </c>
      <c r="C5795" s="6" t="s">
        <v>63</v>
      </c>
      <c r="D5795" s="6" t="s">
        <v>331</v>
      </c>
      <c r="E5795" s="6" t="s">
        <v>373</v>
      </c>
      <c r="F5795" s="6" t="str">
        <f>IF($M5795="PADD I","PADD 1",IF($M5795="PADD II","PADD 2",IF($M5795="PADD III","PADD 3",IF($M5795="PADD IV","PADD 4",IF($M5795="PADD V","PADD 5","")))))</f>
        <v>PADD 2</v>
      </c>
      <c r="G5795" s="6" t="str">
        <f>IF(AND($H5795="ATMOS DISTILLATION",ISNUMBER(SEARCH("VPS",$I5795))=FALSE,LEFT($I5795,6)&lt;&gt;"VACUUM"),"CDU",IF($H5795="FLUID CAT CRACKING","FCC",IF(OR($H5795="HYDROCRACKING",$H5795="RESID_HYDROCRACKING"),"Hydrocracker",IF($H5795="REFORMING","Reformer",""))))</f>
        <v>Reformer</v>
      </c>
      <c r="H5795" s="6" t="s">
        <v>421</v>
      </c>
      <c r="I5795" s="6" t="s">
        <v>916</v>
      </c>
      <c r="J5795" s="6" t="s">
        <v>345</v>
      </c>
      <c r="K5795" s="10">
        <v>18</v>
      </c>
      <c r="L5795" s="10">
        <v>40</v>
      </c>
      <c r="M5795" s="6" t="s">
        <v>375</v>
      </c>
    </row>
    <row r="5796" spans="1:13">
      <c r="A5796" s="6">
        <v>2025</v>
      </c>
      <c r="B5796" s="6">
        <v>5</v>
      </c>
      <c r="C5796" s="6" t="s">
        <v>63</v>
      </c>
      <c r="D5796" s="6" t="s">
        <v>51</v>
      </c>
      <c r="E5796" s="6" t="s">
        <v>391</v>
      </c>
      <c r="F5796" s="6" t="str">
        <f>IF($M5796="PADD I","PADD 1",IF($M5796="PADD II","PADD 2",IF($M5796="PADD III","PADD 3",IF($M5796="PADD IV","PADD 4",IF($M5796="PADD V","PADD 5","")))))</f>
        <v>PADD 5</v>
      </c>
      <c r="G5796" s="6" t="str">
        <f>IF(AND($H5796="ATMOS DISTILLATION",ISNUMBER(SEARCH("VPS",$I5796))=FALSE,LEFT($I5796,6)&lt;&gt;"VACUUM"),"CDU",IF($H5796="FLUID CAT CRACKING","FCC",IF(OR($H5796="HYDROCRACKING",$H5796="RESID_HYDROCRACKING"),"Hydrocracker",IF($H5796="REFORMING","Reformer",""))))</f>
        <v>CDU</v>
      </c>
      <c r="H5796" s="6" t="s">
        <v>38</v>
      </c>
      <c r="I5796" s="6" t="s">
        <v>135</v>
      </c>
      <c r="J5796" s="6" t="s">
        <v>345</v>
      </c>
      <c r="K5796" s="10">
        <v>17.1</v>
      </c>
      <c r="L5796" s="10">
        <v>90</v>
      </c>
      <c r="M5796" s="6" t="s">
        <v>386</v>
      </c>
    </row>
    <row r="5797" spans="1:13">
      <c r="A5797" s="6">
        <v>2025</v>
      </c>
      <c r="B5797" s="6">
        <v>5</v>
      </c>
      <c r="C5797" s="6" t="s">
        <v>63</v>
      </c>
      <c r="D5797" s="6" t="s">
        <v>801</v>
      </c>
      <c r="E5797" s="6" t="s">
        <v>779</v>
      </c>
      <c r="F5797" s="6" t="str">
        <f>IF($M5797="PADD I","PADD 1",IF($M5797="PADD II","PADD 2",IF($M5797="PADD III","PADD 3",IF($M5797="PADD IV","PADD 4",IF($M5797="PADD V","PADD 5","")))))</f>
        <v>PADD 2</v>
      </c>
      <c r="G5797" s="6" t="str">
        <f>IF(AND($H5797="ATMOS DISTILLATION",ISNUMBER(SEARCH("VPS",$I5797))=FALSE,LEFT($I5797,6)&lt;&gt;"VACUUM"),"CDU",IF($H5797="FLUID CAT CRACKING","FCC",IF(OR($H5797="HYDROCRACKING",$H5797="RESID_HYDROCRACKING"),"Hydrocracker",IF($H5797="REFORMING","Reformer",""))))</f>
        <v>CDU</v>
      </c>
      <c r="H5797" s="6" t="s">
        <v>38</v>
      </c>
      <c r="I5797" s="6" t="s">
        <v>982</v>
      </c>
      <c r="J5797" s="6" t="s">
        <v>349</v>
      </c>
      <c r="K5797" s="10">
        <v>15.95</v>
      </c>
      <c r="L5797" s="10">
        <v>55</v>
      </c>
      <c r="M5797" s="6" t="s">
        <v>375</v>
      </c>
    </row>
    <row r="5798" spans="1:13">
      <c r="A5798" s="6">
        <v>2025</v>
      </c>
      <c r="B5798" s="6">
        <v>5</v>
      </c>
      <c r="C5798" s="6" t="s">
        <v>63</v>
      </c>
      <c r="D5798" s="6" t="s">
        <v>715</v>
      </c>
      <c r="E5798" s="6" t="s">
        <v>716</v>
      </c>
      <c r="F5798" s="6" t="str">
        <f>IF($M5798="PADD I","PADD 1",IF($M5798="PADD II","PADD 2",IF($M5798="PADD III","PADD 3",IF($M5798="PADD IV","PADD 4",IF($M5798="PADD V","PADD 5","")))))</f>
        <v>PADD 2</v>
      </c>
      <c r="G5798" s="6" t="str">
        <f>IF(AND($H5798="ATMOS DISTILLATION",ISNUMBER(SEARCH("VPS",$I5798))=FALSE,LEFT($I5798,6)&lt;&gt;"VACUUM"),"CDU",IF($H5798="FLUID CAT CRACKING","FCC",IF(OR($H5798="HYDROCRACKING",$H5798="RESID_HYDROCRACKING"),"Hydrocracker",IF($H5798="REFORMING","Reformer",""))))</f>
        <v>CDU</v>
      </c>
      <c r="H5798" s="6" t="s">
        <v>38</v>
      </c>
      <c r="I5798" s="6" t="s">
        <v>1168</v>
      </c>
      <c r="J5798" s="6" t="s">
        <v>349</v>
      </c>
      <c r="K5798" s="10">
        <v>15.75</v>
      </c>
      <c r="L5798" s="10">
        <v>35</v>
      </c>
      <c r="M5798" s="6" t="s">
        <v>375</v>
      </c>
    </row>
    <row r="5799" spans="1:13">
      <c r="A5799" s="6">
        <v>2025</v>
      </c>
      <c r="B5799" s="6">
        <v>5</v>
      </c>
      <c r="C5799" s="6" t="s">
        <v>63</v>
      </c>
      <c r="D5799" s="6" t="s">
        <v>333</v>
      </c>
      <c r="E5799" s="6" t="s">
        <v>381</v>
      </c>
      <c r="F5799" s="6" t="str">
        <f>IF($M5799="PADD I","PADD 1",IF($M5799="PADD II","PADD 2",IF($M5799="PADD III","PADD 3",IF($M5799="PADD IV","PADD 4",IF($M5799="PADD V","PADD 5","")))))</f>
        <v>PADD 3</v>
      </c>
      <c r="G5799" s="6" t="str">
        <f>IF(AND($H5799="ATMOS DISTILLATION",ISNUMBER(SEARCH("VPS",$I5799))=FALSE,LEFT($I5799,6)&lt;&gt;"VACUUM"),"CDU",IF($H5799="FLUID CAT CRACKING","FCC",IF(OR($H5799="HYDROCRACKING",$H5799="RESID_HYDROCRACKING"),"Hydrocracker",IF($H5799="REFORMING","Reformer",""))))</f>
        <v>FCC</v>
      </c>
      <c r="H5799" s="6" t="s">
        <v>376</v>
      </c>
      <c r="I5799" s="6" t="s">
        <v>105</v>
      </c>
      <c r="J5799" s="6" t="s">
        <v>345</v>
      </c>
      <c r="K5799" s="10">
        <v>15.6</v>
      </c>
      <c r="L5799" s="10">
        <v>120</v>
      </c>
      <c r="M5799" s="6" t="s">
        <v>371</v>
      </c>
    </row>
    <row r="5800" spans="1:13">
      <c r="A5800" s="6">
        <v>2025</v>
      </c>
      <c r="B5800" s="6">
        <v>5</v>
      </c>
      <c r="C5800" s="6" t="s">
        <v>63</v>
      </c>
      <c r="D5800" s="6" t="s">
        <v>326</v>
      </c>
      <c r="E5800" s="6" t="s">
        <v>385</v>
      </c>
      <c r="F5800" s="6" t="str">
        <f>IF($M5800="PADD I","PADD 1",IF($M5800="PADD II","PADD 2",IF($M5800="PADD III","PADD 3",IF($M5800="PADD IV","PADD 4",IF($M5800="PADD V","PADD 5","")))))</f>
        <v>PADD 5</v>
      </c>
      <c r="G5800" s="6">
        <f>IF(AND($H5800="ATMOS DISTILLATION",ISNUMBER(SEARCH("VPS",$I5800))=FALSE,LEFT($I5800,6)&lt;&gt;"VACUUM"),"CDU",IF($H5800="FLUID CAT CRACKING","FCC",IF(OR($H5800="HYDROCRACKING",$H5800="RESID_HYDROCRACKING"),"Hydrocracker",IF($H5800="REFORMING","Reformer",""))))</f>
        <v/>
      </c>
      <c r="H5800" s="6" t="s">
        <v>378</v>
      </c>
      <c r="I5800" s="6" t="s">
        <v>431</v>
      </c>
      <c r="J5800" s="6" t="s">
        <v>345</v>
      </c>
      <c r="K5800" s="10">
        <v>15.12</v>
      </c>
      <c r="L5800" s="10">
        <v>31.5</v>
      </c>
      <c r="M5800" s="6" t="s">
        <v>386</v>
      </c>
    </row>
    <row r="5801" spans="1:13">
      <c r="A5801" s="6">
        <v>2025</v>
      </c>
      <c r="B5801" s="6">
        <v>5</v>
      </c>
      <c r="C5801" s="6" t="s">
        <v>63</v>
      </c>
      <c r="D5801" s="6" t="s">
        <v>372</v>
      </c>
      <c r="E5801" s="6" t="s">
        <v>373</v>
      </c>
      <c r="F5801" s="6" t="str">
        <f>IF($M5801="PADD I","PADD 1",IF($M5801="PADD II","PADD 2",IF($M5801="PADD III","PADD 3",IF($M5801="PADD IV","PADD 4",IF($M5801="PADD V","PADD 5","")))))</f>
        <v>PADD 2</v>
      </c>
      <c r="G5801" s="6">
        <f>IF(AND($H5801="ATMOS DISTILLATION",ISNUMBER(SEARCH("VPS",$I5801))=FALSE,LEFT($I5801,6)&lt;&gt;"VACUUM"),"CDU",IF($H5801="FLUID CAT CRACKING","FCC",IF(OR($H5801="HYDROCRACKING",$H5801="RESID_HYDROCRACKING"),"Hydrocracker",IF($H5801="REFORMING","Reformer",""))))</f>
        <v/>
      </c>
      <c r="H5801" s="6" t="s">
        <v>378</v>
      </c>
      <c r="I5801" s="6" t="s">
        <v>701</v>
      </c>
      <c r="J5801" s="6" t="s">
        <v>345</v>
      </c>
      <c r="K5801" s="10">
        <v>15.12</v>
      </c>
      <c r="L5801" s="10">
        <v>18</v>
      </c>
      <c r="M5801" s="6" t="s">
        <v>375</v>
      </c>
    </row>
    <row r="5802" spans="1:13">
      <c r="A5802" s="6">
        <v>2025</v>
      </c>
      <c r="B5802" s="6">
        <v>5</v>
      </c>
      <c r="C5802" s="6" t="s">
        <v>63</v>
      </c>
      <c r="D5802" s="6" t="s">
        <v>815</v>
      </c>
      <c r="E5802" s="6" t="s">
        <v>452</v>
      </c>
      <c r="F5802" s="6" t="str">
        <f>IF($M5802="PADD I","PADD 1",IF($M5802="PADD II","PADD 2",IF($M5802="PADD III","PADD 3",IF($M5802="PADD IV","PADD 4",IF($M5802="PADD V","PADD 5","")))))</f>
        <v>PADD 4</v>
      </c>
      <c r="G5802" s="6" t="str">
        <f>IF(AND($H5802="ATMOS DISTILLATION",ISNUMBER(SEARCH("VPS",$I5802))=FALSE,LEFT($I5802,6)&lt;&gt;"VACUUM"),"CDU",IF($H5802="FLUID CAT CRACKING","FCC",IF(OR($H5802="HYDROCRACKING",$H5802="RESID_HYDROCRACKING"),"Hydrocracker",IF($H5802="REFORMING","Reformer",""))))</f>
        <v>FCC</v>
      </c>
      <c r="H5802" s="6" t="s">
        <v>376</v>
      </c>
      <c r="I5802" s="6" t="s">
        <v>836</v>
      </c>
      <c r="J5802" s="6" t="s">
        <v>349</v>
      </c>
      <c r="K5802" s="10">
        <v>14.96</v>
      </c>
      <c r="L5802" s="10">
        <v>22</v>
      </c>
      <c r="M5802" s="6" t="s">
        <v>430</v>
      </c>
    </row>
    <row r="5803" spans="1:13">
      <c r="A5803" s="6">
        <v>2025</v>
      </c>
      <c r="B5803" s="6">
        <v>5</v>
      </c>
      <c r="C5803" s="6" t="s">
        <v>63</v>
      </c>
      <c r="D5803" s="6" t="s">
        <v>326</v>
      </c>
      <c r="E5803" s="6" t="s">
        <v>385</v>
      </c>
      <c r="F5803" s="6" t="str">
        <f>IF($M5803="PADD I","PADD 1",IF($M5803="PADD II","PADD 2",IF($M5803="PADD III","PADD 3",IF($M5803="PADD IV","PADD 4",IF($M5803="PADD V","PADD 5","")))))</f>
        <v>PADD 5</v>
      </c>
      <c r="G5803" s="6">
        <f>IF(AND($H5803="ATMOS DISTILLATION",ISNUMBER(SEARCH("VPS",$I5803))=FALSE,LEFT($I5803,6)&lt;&gt;"VACUUM"),"CDU",IF($H5803="FLUID CAT CRACKING","FCC",IF(OR($H5803="HYDROCRACKING",$H5803="RESID_HYDROCRACKING"),"Hydrocracker",IF($H5803="REFORMING","Reformer",""))))</f>
        <v/>
      </c>
      <c r="H5803" s="6" t="s">
        <v>43</v>
      </c>
      <c r="I5803" s="6" t="s">
        <v>501</v>
      </c>
      <c r="J5803" s="6" t="s">
        <v>345</v>
      </c>
      <c r="K5803" s="10">
        <v>14.56</v>
      </c>
      <c r="L5803" s="10">
        <v>28</v>
      </c>
      <c r="M5803" s="6" t="s">
        <v>386</v>
      </c>
    </row>
    <row r="5804" spans="1:13">
      <c r="A5804" s="6">
        <v>2025</v>
      </c>
      <c r="B5804" s="6">
        <v>5</v>
      </c>
      <c r="C5804" s="6" t="s">
        <v>63</v>
      </c>
      <c r="D5804" s="6" t="s">
        <v>322</v>
      </c>
      <c r="E5804" s="6" t="s">
        <v>369</v>
      </c>
      <c r="F5804" s="6" t="str">
        <f>IF($M5804="PADD I","PADD 1",IF($M5804="PADD II","PADD 2",IF($M5804="PADD III","PADD 3",IF($M5804="PADD IV","PADD 4",IF($M5804="PADD V","PADD 5","")))))</f>
        <v>PADD 2</v>
      </c>
      <c r="G5804" s="6">
        <f>IF(AND($H5804="ATMOS DISTILLATION",ISNUMBER(SEARCH("VPS",$I5804))=FALSE,LEFT($I5804,6)&lt;&gt;"VACUUM"),"CDU",IF($H5804="FLUID CAT CRACKING","FCC",IF(OR($H5804="HYDROCRACKING",$H5804="RESID_HYDROCRACKING"),"Hydrocracker",IF($H5804="REFORMING","Reformer",""))))</f>
        <v/>
      </c>
      <c r="H5804" s="6" t="s">
        <v>378</v>
      </c>
      <c r="I5804" s="6" t="s">
        <v>1294</v>
      </c>
      <c r="J5804" s="6" t="s">
        <v>349</v>
      </c>
      <c r="K5804" s="10">
        <v>14.5</v>
      </c>
      <c r="L5804" s="10">
        <v>50</v>
      </c>
      <c r="M5804" s="6" t="s">
        <v>375</v>
      </c>
    </row>
    <row r="5805" spans="1:13">
      <c r="A5805" s="6">
        <v>2025</v>
      </c>
      <c r="B5805" s="6">
        <v>5</v>
      </c>
      <c r="C5805" s="6" t="s">
        <v>63</v>
      </c>
      <c r="D5805" s="6" t="s">
        <v>788</v>
      </c>
      <c r="E5805" s="6" t="s">
        <v>405</v>
      </c>
      <c r="F5805" s="6" t="str">
        <f>IF($M5805="PADD I","PADD 1",IF($M5805="PADD II","PADD 2",IF($M5805="PADD III","PADD 3",IF($M5805="PADD IV","PADD 4",IF($M5805="PADD V","PADD 5","")))))</f>
        <v>PADD 3</v>
      </c>
      <c r="G5805" s="6">
        <f>IF(AND($H5805="ATMOS DISTILLATION",ISNUMBER(SEARCH("VPS",$I5805))=FALSE,LEFT($I5805,6)&lt;&gt;"VACUUM"),"CDU",IF($H5805="FLUID CAT CRACKING","FCC",IF(OR($H5805="HYDROCRACKING",$H5805="RESID_HYDROCRACKING"),"Hydrocracker",IF($H5805="REFORMING","Reformer",""))))</f>
        <v/>
      </c>
      <c r="H5805" s="6" t="s">
        <v>378</v>
      </c>
      <c r="I5805" s="6" t="s">
        <v>812</v>
      </c>
      <c r="J5805" s="6" t="s">
        <v>345</v>
      </c>
      <c r="K5805" s="10">
        <v>14.5</v>
      </c>
      <c r="L5805" s="10">
        <v>50</v>
      </c>
      <c r="M5805" s="6" t="s">
        <v>371</v>
      </c>
    </row>
    <row r="5806" spans="1:13">
      <c r="A5806" s="6">
        <v>2025</v>
      </c>
      <c r="B5806" s="6">
        <v>5</v>
      </c>
      <c r="C5806" s="6" t="s">
        <v>63</v>
      </c>
      <c r="D5806" s="6" t="s">
        <v>1307</v>
      </c>
      <c r="E5806" s="6" t="s">
        <v>733</v>
      </c>
      <c r="F5806" s="6" t="str">
        <f>IF($M5806="PADD I","PADD 1",IF($M5806="PADD II","PADD 2",IF($M5806="PADD III","PADD 3",IF($M5806="PADD IV","PADD 4",IF($M5806="PADD V","PADD 5","")))))</f>
        <v>PADD 2</v>
      </c>
      <c r="G5806" s="6">
        <f>IF(AND($H5806="ATMOS DISTILLATION",ISNUMBER(SEARCH("VPS",$I5806))=FALSE,LEFT($I5806,6)&lt;&gt;"VACUUM"),"CDU",IF($H5806="FLUID CAT CRACKING","FCC",IF(OR($H5806="HYDROCRACKING",$H5806="RESID_HYDROCRACKING"),"Hydrocracker",IF($H5806="REFORMING","Reformer",""))))</f>
        <v/>
      </c>
      <c r="H5806" s="6" t="s">
        <v>43</v>
      </c>
      <c r="I5806" s="6" t="s">
        <v>493</v>
      </c>
      <c r="J5806" s="6" t="s">
        <v>345</v>
      </c>
      <c r="K5806" s="10">
        <v>14.04</v>
      </c>
      <c r="L5806" s="10">
        <v>36</v>
      </c>
      <c r="M5806" s="6" t="s">
        <v>375</v>
      </c>
    </row>
    <row r="5807" spans="1:13">
      <c r="A5807" s="6">
        <v>2025</v>
      </c>
      <c r="B5807" s="6">
        <v>5</v>
      </c>
      <c r="C5807" s="6" t="s">
        <v>63</v>
      </c>
      <c r="D5807" s="6" t="s">
        <v>739</v>
      </c>
      <c r="E5807" s="6" t="s">
        <v>405</v>
      </c>
      <c r="F5807" s="6" t="str">
        <f>IF($M5807="PADD I","PADD 1",IF($M5807="PADD II","PADD 2",IF($M5807="PADD III","PADD 3",IF($M5807="PADD IV","PADD 4",IF($M5807="PADD V","PADD 5","")))))</f>
        <v>PADD 2</v>
      </c>
      <c r="G5807" s="6" t="str">
        <f>IF(AND($H5807="ATMOS DISTILLATION",ISNUMBER(SEARCH("VPS",$I5807))=FALSE,LEFT($I5807,6)&lt;&gt;"VACUUM"),"CDU",IF($H5807="FLUID CAT CRACKING","FCC",IF(OR($H5807="HYDROCRACKING",$H5807="RESID_HYDROCRACKING"),"Hydrocracker",IF($H5807="REFORMING","Reformer",""))))</f>
        <v>Hydrocracker</v>
      </c>
      <c r="H5807" s="6" t="s">
        <v>444</v>
      </c>
      <c r="I5807" s="6" t="s">
        <v>795</v>
      </c>
      <c r="J5807" s="6" t="s">
        <v>345</v>
      </c>
      <c r="K5807" s="10">
        <v>14</v>
      </c>
      <c r="L5807" s="10">
        <v>14</v>
      </c>
      <c r="M5807" s="6" t="s">
        <v>375</v>
      </c>
    </row>
    <row r="5808" spans="1:13">
      <c r="A5808" s="6">
        <v>2025</v>
      </c>
      <c r="B5808" s="6">
        <v>5</v>
      </c>
      <c r="C5808" s="6" t="s">
        <v>63</v>
      </c>
      <c r="D5808" s="6" t="s">
        <v>542</v>
      </c>
      <c r="E5808" s="6" t="s">
        <v>543</v>
      </c>
      <c r="F5808" s="6" t="str">
        <f>IF($M5808="PADD I","PADD 1",IF($M5808="PADD II","PADD 2",IF($M5808="PADD III","PADD 3",IF($M5808="PADD IV","PADD 4",IF($M5808="PADD V","PADD 5","")))))</f>
        <v>PADD 2</v>
      </c>
      <c r="G5808" s="6" t="str">
        <f>IF(AND($H5808="ATMOS DISTILLATION",ISNUMBER(SEARCH("VPS",$I5808))=FALSE,LEFT($I5808,6)&lt;&gt;"VACUUM"),"CDU",IF($H5808="FLUID CAT CRACKING","FCC",IF(OR($H5808="HYDROCRACKING",$H5808="RESID_HYDROCRACKING"),"Hydrocracker",IF($H5808="REFORMING","Reformer",""))))</f>
        <v>Reformer</v>
      </c>
      <c r="H5808" s="6" t="s">
        <v>421</v>
      </c>
      <c r="I5808" s="6" t="s">
        <v>1114</v>
      </c>
      <c r="J5808" s="6" t="s">
        <v>345</v>
      </c>
      <c r="K5808" s="10">
        <v>13.8</v>
      </c>
      <c r="L5808" s="10">
        <v>60</v>
      </c>
      <c r="M5808" s="6" t="s">
        <v>375</v>
      </c>
    </row>
    <row r="5809" spans="1:13">
      <c r="A5809" s="6">
        <v>2025</v>
      </c>
      <c r="B5809" s="6">
        <v>5</v>
      </c>
      <c r="C5809" s="6" t="s">
        <v>63</v>
      </c>
      <c r="D5809" s="6" t="s">
        <v>723</v>
      </c>
      <c r="E5809" s="6" t="s">
        <v>724</v>
      </c>
      <c r="F5809" s="6" t="str">
        <f>IF($M5809="PADD I","PADD 1",IF($M5809="PADD II","PADD 2",IF($M5809="PADD III","PADD 3",IF($M5809="PADD IV","PADD 4",IF($M5809="PADD V","PADD 5","")))))</f>
        <v>PADD 4</v>
      </c>
      <c r="G5809" s="6" t="str">
        <f>IF(AND($H5809="ATMOS DISTILLATION",ISNUMBER(SEARCH("VPS",$I5809))=FALSE,LEFT($I5809,6)&lt;&gt;"VACUUM"),"CDU",IF($H5809="FLUID CAT CRACKING","FCC",IF(OR($H5809="HYDROCRACKING",$H5809="RESID_HYDROCRACKING"),"Hydrocracker",IF($H5809="REFORMING","Reformer",""))))</f>
        <v>FCC</v>
      </c>
      <c r="H5809" s="6" t="s">
        <v>376</v>
      </c>
      <c r="I5809" s="6" t="s">
        <v>105</v>
      </c>
      <c r="J5809" s="6" t="s">
        <v>349</v>
      </c>
      <c r="K5809" s="10">
        <v>13.65</v>
      </c>
      <c r="L5809" s="10">
        <v>21</v>
      </c>
      <c r="M5809" s="6" t="s">
        <v>430</v>
      </c>
    </row>
    <row r="5810" spans="1:13">
      <c r="A5810" s="6">
        <v>2025</v>
      </c>
      <c r="B5810" s="6">
        <v>5</v>
      </c>
      <c r="C5810" s="6" t="s">
        <v>63</v>
      </c>
      <c r="D5810" s="6" t="s">
        <v>815</v>
      </c>
      <c r="E5810" s="6" t="s">
        <v>452</v>
      </c>
      <c r="F5810" s="6" t="str">
        <f>IF($M5810="PADD I","PADD 1",IF($M5810="PADD II","PADD 2",IF($M5810="PADD III","PADD 3",IF($M5810="PADD IV","PADD 4",IF($M5810="PADD V","PADD 5","")))))</f>
        <v>PADD 4</v>
      </c>
      <c r="G5810" s="6">
        <f>IF(AND($H5810="ATMOS DISTILLATION",ISNUMBER(SEARCH("VPS",$I5810))=FALSE,LEFT($I5810,6)&lt;&gt;"VACUUM"),"CDU",IF($H5810="FLUID CAT CRACKING","FCC",IF(OR($H5810="HYDROCRACKING",$H5810="RESID_HYDROCRACKING"),"Hydrocracker",IF($H5810="REFORMING","Reformer",""))))</f>
        <v/>
      </c>
      <c r="H5810" s="6" t="s">
        <v>43</v>
      </c>
      <c r="I5810" s="6" t="s">
        <v>1302</v>
      </c>
      <c r="J5810" s="6" t="s">
        <v>349</v>
      </c>
      <c r="K5810" s="10">
        <v>13.6</v>
      </c>
      <c r="L5810" s="10">
        <v>20</v>
      </c>
      <c r="M5810" s="6" t="s">
        <v>430</v>
      </c>
    </row>
    <row r="5811" spans="1:13">
      <c r="A5811" s="6">
        <v>2025</v>
      </c>
      <c r="B5811" s="6">
        <v>5</v>
      </c>
      <c r="C5811" s="6" t="s">
        <v>63</v>
      </c>
      <c r="D5811" s="6" t="s">
        <v>326</v>
      </c>
      <c r="E5811" s="6" t="s">
        <v>385</v>
      </c>
      <c r="F5811" s="6" t="str">
        <f>IF($M5811="PADD I","PADD 1",IF($M5811="PADD II","PADD 2",IF($M5811="PADD III","PADD 3",IF($M5811="PADD IV","PADD 4",IF($M5811="PADD V","PADD 5","")))))</f>
        <v>PADD 5</v>
      </c>
      <c r="G5811" s="6">
        <f>IF(AND($H5811="ATMOS DISTILLATION",ISNUMBER(SEARCH("VPS",$I5811))=FALSE,LEFT($I5811,6)&lt;&gt;"VACUUM"),"CDU",IF($H5811="FLUID CAT CRACKING","FCC",IF(OR($H5811="HYDROCRACKING",$H5811="RESID_HYDROCRACKING"),"Hydrocracker",IF($H5811="REFORMING","Reformer",""))))</f>
        <v/>
      </c>
      <c r="H5811" s="6" t="s">
        <v>43</v>
      </c>
      <c r="I5811" s="6" t="s">
        <v>1183</v>
      </c>
      <c r="J5811" s="6" t="s">
        <v>345</v>
      </c>
      <c r="K5811" s="10">
        <v>13.52</v>
      </c>
      <c r="L5811" s="10">
        <v>26</v>
      </c>
      <c r="M5811" s="6" t="s">
        <v>386</v>
      </c>
    </row>
    <row r="5812" spans="1:13">
      <c r="A5812" s="6">
        <v>2025</v>
      </c>
      <c r="B5812" s="6">
        <v>5</v>
      </c>
      <c r="C5812" s="6" t="s">
        <v>63</v>
      </c>
      <c r="D5812" s="6" t="s">
        <v>411</v>
      </c>
      <c r="E5812" s="6" t="s">
        <v>369</v>
      </c>
      <c r="F5812" s="6" t="str">
        <f>IF($M5812="PADD I","PADD 1",IF($M5812="PADD II","PADD 2",IF($M5812="PADD III","PADD 3",IF($M5812="PADD IV","PADD 4",IF($M5812="PADD V","PADD 5","")))))</f>
        <v>PADD 1</v>
      </c>
      <c r="G5812" s="6">
        <f>IF(AND($H5812="ATMOS DISTILLATION",ISNUMBER(SEARCH("VPS",$I5812))=FALSE,LEFT($I5812,6)&lt;&gt;"VACUUM"),"CDU",IF($H5812="FLUID CAT CRACKING","FCC",IF(OR($H5812="HYDROCRACKING",$H5812="RESID_HYDROCRACKING"),"Hydrocracker",IF($H5812="REFORMING","Reformer",""))))</f>
        <v/>
      </c>
      <c r="H5812" s="6" t="s">
        <v>43</v>
      </c>
      <c r="I5812" s="6" t="s">
        <v>488</v>
      </c>
      <c r="J5812" s="6" t="s">
        <v>345</v>
      </c>
      <c r="K5812" s="10">
        <v>13.5</v>
      </c>
      <c r="L5812" s="10">
        <v>13.5</v>
      </c>
      <c r="M5812" s="6" t="s">
        <v>413</v>
      </c>
    </row>
    <row r="5813" spans="1:13">
      <c r="A5813" s="6">
        <v>2025</v>
      </c>
      <c r="B5813" s="6">
        <v>5</v>
      </c>
      <c r="C5813" s="6" t="s">
        <v>63</v>
      </c>
      <c r="D5813" s="6" t="s">
        <v>542</v>
      </c>
      <c r="E5813" s="6" t="s">
        <v>543</v>
      </c>
      <c r="F5813" s="6" t="str">
        <f>IF($M5813="PADD I","PADD 1",IF($M5813="PADD II","PADD 2",IF($M5813="PADD III","PADD 3",IF($M5813="PADD IV","PADD 4",IF($M5813="PADD V","PADD 5","")))))</f>
        <v>PADD 2</v>
      </c>
      <c r="G5813" s="6" t="str">
        <f>IF(AND($H5813="ATMOS DISTILLATION",ISNUMBER(SEARCH("VPS",$I5813))=FALSE,LEFT($I5813,6)&lt;&gt;"VACUUM"),"CDU",IF($H5813="FLUID CAT CRACKING","FCC",IF(OR($H5813="HYDROCRACKING",$H5813="RESID_HYDROCRACKING"),"Hydrocracker",IF($H5813="REFORMING","Reformer",""))))</f>
        <v>Reformer</v>
      </c>
      <c r="H5813" s="6" t="s">
        <v>421</v>
      </c>
      <c r="I5813" s="6" t="s">
        <v>1112</v>
      </c>
      <c r="J5813" s="6" t="s">
        <v>345</v>
      </c>
      <c r="K5813" s="10">
        <v>13.3</v>
      </c>
      <c r="L5813" s="10">
        <v>70</v>
      </c>
      <c r="M5813" s="6" t="s">
        <v>375</v>
      </c>
    </row>
    <row r="5814" spans="1:13">
      <c r="A5814" s="6">
        <v>2025</v>
      </c>
      <c r="B5814" s="6">
        <v>5</v>
      </c>
      <c r="C5814" s="6" t="s">
        <v>63</v>
      </c>
      <c r="D5814" s="6" t="s">
        <v>322</v>
      </c>
      <c r="E5814" s="6" t="s">
        <v>369</v>
      </c>
      <c r="F5814" s="6" t="str">
        <f>IF($M5814="PADD I","PADD 1",IF($M5814="PADD II","PADD 2",IF($M5814="PADD III","PADD 3",IF($M5814="PADD IV","PADD 4",IF($M5814="PADD V","PADD 5","")))))</f>
        <v>PADD 2</v>
      </c>
      <c r="G5814" s="6" t="str">
        <f>IF(AND($H5814="ATMOS DISTILLATION",ISNUMBER(SEARCH("VPS",$I5814))=FALSE,LEFT($I5814,6)&lt;&gt;"VACUUM"),"CDU",IF($H5814="FLUID CAT CRACKING","FCC",IF(OR($H5814="HYDROCRACKING",$H5814="RESID_HYDROCRACKING"),"Hydrocracker",IF($H5814="REFORMING","Reformer",""))))</f>
        <v>FCC</v>
      </c>
      <c r="H5814" s="6" t="s">
        <v>376</v>
      </c>
      <c r="I5814" s="6" t="s">
        <v>657</v>
      </c>
      <c r="J5814" s="6" t="s">
        <v>349</v>
      </c>
      <c r="K5814" s="10">
        <v>12.18</v>
      </c>
      <c r="L5814" s="10">
        <v>42</v>
      </c>
      <c r="M5814" s="6" t="s">
        <v>375</v>
      </c>
    </row>
    <row r="5815" spans="1:13">
      <c r="A5815" s="6">
        <v>2025</v>
      </c>
      <c r="B5815" s="6">
        <v>5</v>
      </c>
      <c r="C5815" s="6" t="s">
        <v>63</v>
      </c>
      <c r="D5815" s="6" t="s">
        <v>801</v>
      </c>
      <c r="E5815" s="6" t="s">
        <v>779</v>
      </c>
      <c r="F5815" s="6" t="str">
        <f>IF($M5815="PADD I","PADD 1",IF($M5815="PADD II","PADD 2",IF($M5815="PADD III","PADD 3",IF($M5815="PADD IV","PADD 4",IF($M5815="PADD V","PADD 5","")))))</f>
        <v>PADD 2</v>
      </c>
      <c r="G5815" s="6">
        <f>IF(AND($H5815="ATMOS DISTILLATION",ISNUMBER(SEARCH("VPS",$I5815))=FALSE,LEFT($I5815,6)&lt;&gt;"VACUUM"),"CDU",IF($H5815="FLUID CAT CRACKING","FCC",IF(OR($H5815="HYDROCRACKING",$H5815="RESID_HYDROCRACKING"),"Hydrocracker",IF($H5815="REFORMING","Reformer",""))))</f>
        <v/>
      </c>
      <c r="H5815" s="6" t="s">
        <v>43</v>
      </c>
      <c r="I5815" s="6" t="s">
        <v>996</v>
      </c>
      <c r="J5815" s="6" t="s">
        <v>349</v>
      </c>
      <c r="K5815" s="10">
        <v>11.6</v>
      </c>
      <c r="L5815" s="10">
        <v>40</v>
      </c>
      <c r="M5815" s="6" t="s">
        <v>375</v>
      </c>
    </row>
    <row r="5816" spans="1:13">
      <c r="A5816" s="6">
        <v>2025</v>
      </c>
      <c r="B5816" s="6">
        <v>5</v>
      </c>
      <c r="C5816" s="6" t="s">
        <v>63</v>
      </c>
      <c r="D5816" s="6" t="s">
        <v>326</v>
      </c>
      <c r="E5816" s="6" t="s">
        <v>385</v>
      </c>
      <c r="F5816" s="6" t="str">
        <f>IF($M5816="PADD I","PADD 1",IF($M5816="PADD II","PADD 2",IF($M5816="PADD III","PADD 3",IF($M5816="PADD IV","PADD 4",IF($M5816="PADD V","PADD 5","")))))</f>
        <v>PADD 5</v>
      </c>
      <c r="G5816" s="6">
        <f>IF(AND($H5816="ATMOS DISTILLATION",ISNUMBER(SEARCH("VPS",$I5816))=FALSE,LEFT($I5816,6)&lt;&gt;"VACUUM"),"CDU",IF($H5816="FLUID CAT CRACKING","FCC",IF(OR($H5816="HYDROCRACKING",$H5816="RESID_HYDROCRACKING"),"Hydrocracker",IF($H5816="REFORMING","Reformer",""))))</f>
        <v/>
      </c>
      <c r="H5816" s="6" t="s">
        <v>435</v>
      </c>
      <c r="I5816" s="6" t="s">
        <v>441</v>
      </c>
      <c r="J5816" s="6" t="s">
        <v>345</v>
      </c>
      <c r="K5816" s="10">
        <v>11.44</v>
      </c>
      <c r="L5816" s="10">
        <v>22</v>
      </c>
      <c r="M5816" s="6" t="s">
        <v>386</v>
      </c>
    </row>
    <row r="5817" spans="1:13">
      <c r="A5817" s="6">
        <v>2025</v>
      </c>
      <c r="B5817" s="6">
        <v>5</v>
      </c>
      <c r="C5817" s="6" t="s">
        <v>63</v>
      </c>
      <c r="D5817" s="6" t="s">
        <v>715</v>
      </c>
      <c r="E5817" s="6" t="s">
        <v>716</v>
      </c>
      <c r="F5817" s="6" t="str">
        <f>IF($M5817="PADD I","PADD 1",IF($M5817="PADD II","PADD 2",IF($M5817="PADD III","PADD 3",IF($M5817="PADD IV","PADD 4",IF($M5817="PADD V","PADD 5","")))))</f>
        <v>PADD 2</v>
      </c>
      <c r="G5817" s="6">
        <f>IF(AND($H5817="ATMOS DISTILLATION",ISNUMBER(SEARCH("VPS",$I5817))=FALSE,LEFT($I5817,6)&lt;&gt;"VACUUM"),"CDU",IF($H5817="FLUID CAT CRACKING","FCC",IF(OR($H5817="HYDROCRACKING",$H5817="RESID_HYDROCRACKING"),"Hydrocracker",IF($H5817="REFORMING","Reformer",""))))</f>
        <v/>
      </c>
      <c r="H5817" s="6" t="s">
        <v>43</v>
      </c>
      <c r="I5817" s="6" t="s">
        <v>717</v>
      </c>
      <c r="J5817" s="6" t="s">
        <v>349</v>
      </c>
      <c r="K5817" s="10">
        <v>11.1</v>
      </c>
      <c r="L5817" s="10">
        <v>15</v>
      </c>
      <c r="M5817" s="6" t="s">
        <v>375</v>
      </c>
    </row>
    <row r="5818" spans="1:13">
      <c r="A5818" s="6">
        <v>2025</v>
      </c>
      <c r="B5818" s="6">
        <v>5</v>
      </c>
      <c r="C5818" s="6" t="s">
        <v>63</v>
      </c>
      <c r="D5818" s="6" t="s">
        <v>788</v>
      </c>
      <c r="E5818" s="6" t="s">
        <v>405</v>
      </c>
      <c r="F5818" s="6" t="str">
        <f>IF($M5818="PADD I","PADD 1",IF($M5818="PADD II","PADD 2",IF($M5818="PADD III","PADD 3",IF($M5818="PADD IV","PADD 4",IF($M5818="PADD V","PADD 5","")))))</f>
        <v>PADD 3</v>
      </c>
      <c r="G5818" s="6" t="str">
        <f>IF(AND($H5818="ATMOS DISTILLATION",ISNUMBER(SEARCH("VPS",$I5818))=FALSE,LEFT($I5818,6)&lt;&gt;"VACUUM"),"CDU",IF($H5818="FLUID CAT CRACKING","FCC",IF(OR($H5818="HYDROCRACKING",$H5818="RESID_HYDROCRACKING"),"Hydrocracker",IF($H5818="REFORMING","Reformer",""))))</f>
        <v>Reformer</v>
      </c>
      <c r="H5818" s="6" t="s">
        <v>421</v>
      </c>
      <c r="I5818" s="6" t="s">
        <v>782</v>
      </c>
      <c r="J5818" s="6" t="s">
        <v>345</v>
      </c>
      <c r="K5818" s="10">
        <v>10.24</v>
      </c>
      <c r="L5818" s="10">
        <v>32</v>
      </c>
      <c r="M5818" s="6" t="s">
        <v>371</v>
      </c>
    </row>
    <row r="5819" spans="1:13">
      <c r="A5819" s="6">
        <v>2025</v>
      </c>
      <c r="B5819" s="6">
        <v>5</v>
      </c>
      <c r="C5819" s="6" t="s">
        <v>63</v>
      </c>
      <c r="D5819" s="6" t="s">
        <v>770</v>
      </c>
      <c r="E5819" s="6" t="s">
        <v>660</v>
      </c>
      <c r="F5819" s="6" t="str">
        <f>IF($M5819="PADD I","PADD 1",IF($M5819="PADD II","PADD 2",IF($M5819="PADD III","PADD 3",IF($M5819="PADD IV","PADD 4",IF($M5819="PADD V","PADD 5","")))))</f>
        <v>PADD 3</v>
      </c>
      <c r="G5819" s="6" t="str">
        <f>IF(AND($H5819="ATMOS DISTILLATION",ISNUMBER(SEARCH("VPS",$I5819))=FALSE,LEFT($I5819,6)&lt;&gt;"VACUUM"),"CDU",IF($H5819="FLUID CAT CRACKING","FCC",IF(OR($H5819="HYDROCRACKING",$H5819="RESID_HYDROCRACKING"),"Hydrocracker",IF($H5819="REFORMING","Reformer",""))))</f>
        <v>CDU</v>
      </c>
      <c r="H5819" s="6" t="s">
        <v>38</v>
      </c>
      <c r="I5819" s="6" t="s">
        <v>771</v>
      </c>
      <c r="J5819" s="6" t="s">
        <v>345</v>
      </c>
      <c r="K5819" s="10">
        <v>10.08</v>
      </c>
      <c r="L5819" s="10">
        <v>63</v>
      </c>
      <c r="M5819" s="6" t="s">
        <v>371</v>
      </c>
    </row>
    <row r="5820" spans="1:13">
      <c r="A5820" s="6">
        <v>2025</v>
      </c>
      <c r="B5820" s="6">
        <v>5</v>
      </c>
      <c r="C5820" s="6" t="s">
        <v>63</v>
      </c>
      <c r="D5820" s="6" t="s">
        <v>953</v>
      </c>
      <c r="E5820" s="6" t="s">
        <v>733</v>
      </c>
      <c r="F5820" s="6" t="str">
        <f>IF($M5820="PADD I","PADD 1",IF($M5820="PADD II","PADD 2",IF($M5820="PADD III","PADD 3",IF($M5820="PADD IV","PADD 4",IF($M5820="PADD V","PADD 5","")))))</f>
        <v>PADD 2</v>
      </c>
      <c r="G5820" s="6">
        <f>IF(AND($H5820="ATMOS DISTILLATION",ISNUMBER(SEARCH("VPS",$I5820))=FALSE,LEFT($I5820,6)&lt;&gt;"VACUUM"),"CDU",IF($H5820="FLUID CAT CRACKING","FCC",IF(OR($H5820="HYDROCRACKING",$H5820="RESID_HYDROCRACKING"),"Hydrocracker",IF($H5820="REFORMING","Reformer",""))))</f>
        <v/>
      </c>
      <c r="H5820" s="6" t="s">
        <v>43</v>
      </c>
      <c r="I5820" s="6" t="s">
        <v>520</v>
      </c>
      <c r="J5820" s="6" t="s">
        <v>345</v>
      </c>
      <c r="K5820" s="10">
        <v>9.361000000000001</v>
      </c>
      <c r="L5820" s="10">
        <v>40.7</v>
      </c>
      <c r="M5820" s="6" t="s">
        <v>375</v>
      </c>
    </row>
    <row r="5821" spans="1:13">
      <c r="A5821" s="6">
        <v>2025</v>
      </c>
      <c r="B5821" s="6">
        <v>5</v>
      </c>
      <c r="C5821" s="6" t="s">
        <v>63</v>
      </c>
      <c r="D5821" s="6" t="s">
        <v>321</v>
      </c>
      <c r="E5821" s="6" t="s">
        <v>381</v>
      </c>
      <c r="F5821" s="6" t="str">
        <f>IF($M5821="PADD I","PADD 1",IF($M5821="PADD II","PADD 2",IF($M5821="PADD III","PADD 3",IF($M5821="PADD IV","PADD 4",IF($M5821="PADD V","PADD 5","")))))</f>
        <v>PADD 2</v>
      </c>
      <c r="G5821" s="6" t="str">
        <f>IF(AND($H5821="ATMOS DISTILLATION",ISNUMBER(SEARCH("VPS",$I5821))=FALSE,LEFT($I5821,6)&lt;&gt;"VACUUM"),"CDU",IF($H5821="FLUID CAT CRACKING","FCC",IF(OR($H5821="HYDROCRACKING",$H5821="RESID_HYDROCRACKING"),"Hydrocracker",IF($H5821="REFORMING","Reformer",""))))</f>
        <v>FCC</v>
      </c>
      <c r="H5821" s="6" t="s">
        <v>376</v>
      </c>
      <c r="I5821" s="6" t="s">
        <v>105</v>
      </c>
      <c r="J5821" s="6" t="s">
        <v>345</v>
      </c>
      <c r="K5821" s="10">
        <v>9.31</v>
      </c>
      <c r="L5821" s="10">
        <v>49</v>
      </c>
      <c r="M5821" s="6" t="s">
        <v>375</v>
      </c>
    </row>
    <row r="5822" spans="1:13">
      <c r="A5822" s="6">
        <v>2025</v>
      </c>
      <c r="B5822" s="6">
        <v>5</v>
      </c>
      <c r="C5822" s="6" t="s">
        <v>63</v>
      </c>
      <c r="D5822" s="6" t="s">
        <v>531</v>
      </c>
      <c r="E5822" s="6" t="s">
        <v>532</v>
      </c>
      <c r="F5822" s="6" t="str">
        <f>IF($M5822="PADD I","PADD 1",IF($M5822="PADD II","PADD 2",IF($M5822="PADD III","PADD 3",IF($M5822="PADD IV","PADD 4",IF($M5822="PADD V","PADD 5","")))))</f>
        <v>PADD 5</v>
      </c>
      <c r="G5822" s="6" t="str">
        <f>IF(AND($H5822="ATMOS DISTILLATION",ISNUMBER(SEARCH("VPS",$I5822))=FALSE,LEFT($I5822,6)&lt;&gt;"VACUUM"),"CDU",IF($H5822="FLUID CAT CRACKING","FCC",IF(OR($H5822="HYDROCRACKING",$H5822="RESID_HYDROCRACKING"),"Hydrocracker",IF($H5822="REFORMING","Reformer",""))))</f>
        <v>CDU</v>
      </c>
      <c r="H5822" s="6" t="s">
        <v>38</v>
      </c>
      <c r="I5822" s="6" t="s">
        <v>81</v>
      </c>
      <c r="J5822" s="6" t="s">
        <v>345</v>
      </c>
      <c r="K5822" s="10">
        <v>9.300000000000001</v>
      </c>
      <c r="L5822" s="10">
        <v>155</v>
      </c>
      <c r="M5822" s="6" t="s">
        <v>386</v>
      </c>
    </row>
    <row r="5823" spans="1:13">
      <c r="A5823" s="6">
        <v>2025</v>
      </c>
      <c r="B5823" s="6">
        <v>5</v>
      </c>
      <c r="C5823" s="6" t="s">
        <v>63</v>
      </c>
      <c r="D5823" s="6" t="s">
        <v>788</v>
      </c>
      <c r="E5823" s="6" t="s">
        <v>405</v>
      </c>
      <c r="F5823" s="6" t="str">
        <f>IF($M5823="PADD I","PADD 1",IF($M5823="PADD II","PADD 2",IF($M5823="PADD III","PADD 3",IF($M5823="PADD IV","PADD 4",IF($M5823="PADD V","PADD 5","")))))</f>
        <v>PADD 3</v>
      </c>
      <c r="G5823" s="6" t="str">
        <f>IF(AND($H5823="ATMOS DISTILLATION",ISNUMBER(SEARCH("VPS",$I5823))=FALSE,LEFT($I5823,6)&lt;&gt;"VACUUM"),"CDU",IF($H5823="FLUID CAT CRACKING","FCC",IF(OR($H5823="HYDROCRACKING",$H5823="RESID_HYDROCRACKING"),"Hydrocracker",IF($H5823="REFORMING","Reformer",""))))</f>
        <v>Hydrocracker</v>
      </c>
      <c r="H5823" s="6" t="s">
        <v>444</v>
      </c>
      <c r="I5823" s="6" t="s">
        <v>831</v>
      </c>
      <c r="J5823" s="6" t="s">
        <v>345</v>
      </c>
      <c r="K5823" s="10">
        <v>8.800000000000001</v>
      </c>
      <c r="L5823" s="10">
        <v>55</v>
      </c>
      <c r="M5823" s="6" t="s">
        <v>371</v>
      </c>
    </row>
    <row r="5824" spans="1:13">
      <c r="A5824" s="6">
        <v>2025</v>
      </c>
      <c r="B5824" s="6">
        <v>5</v>
      </c>
      <c r="C5824" s="6" t="s">
        <v>63</v>
      </c>
      <c r="D5824" s="6" t="s">
        <v>815</v>
      </c>
      <c r="E5824" s="6" t="s">
        <v>452</v>
      </c>
      <c r="F5824" s="6" t="str">
        <f>IF($M5824="PADD I","PADD 1",IF($M5824="PADD II","PADD 2",IF($M5824="PADD III","PADD 3",IF($M5824="PADD IV","PADD 4",IF($M5824="PADD V","PADD 5","")))))</f>
        <v>PADD 4</v>
      </c>
      <c r="G5824" s="6" t="str">
        <f>IF(AND($H5824="ATMOS DISTILLATION",ISNUMBER(SEARCH("VPS",$I5824))=FALSE,LEFT($I5824,6)&lt;&gt;"VACUUM"),"CDU",IF($H5824="FLUID CAT CRACKING","FCC",IF(OR($H5824="HYDROCRACKING",$H5824="RESID_HYDROCRACKING"),"Hydrocracker",IF($H5824="REFORMING","Reformer",""))))</f>
        <v>Reformer</v>
      </c>
      <c r="H5824" s="6" t="s">
        <v>421</v>
      </c>
      <c r="I5824" s="6" t="s">
        <v>832</v>
      </c>
      <c r="J5824" s="6" t="s">
        <v>349</v>
      </c>
      <c r="K5824" s="10">
        <v>8.5</v>
      </c>
      <c r="L5824" s="10">
        <v>12.5</v>
      </c>
      <c r="M5824" s="6" t="s">
        <v>430</v>
      </c>
    </row>
    <row r="5825" spans="1:13">
      <c r="A5825" s="6">
        <v>2025</v>
      </c>
      <c r="B5825" s="6">
        <v>5</v>
      </c>
      <c r="C5825" s="6" t="s">
        <v>63</v>
      </c>
      <c r="D5825" s="6" t="s">
        <v>727</v>
      </c>
      <c r="E5825" s="6" t="s">
        <v>728</v>
      </c>
      <c r="F5825" s="6" t="str">
        <f>IF($M5825="PADD I","PADD 1",IF($M5825="PADD II","PADD 2",IF($M5825="PADD III","PADD 3",IF($M5825="PADD IV","PADD 4",IF($M5825="PADD V","PADD 5","")))))</f>
        <v>PADD 1</v>
      </c>
      <c r="G5825" s="6">
        <f>IF(AND($H5825="ATMOS DISTILLATION",ISNUMBER(SEARCH("VPS",$I5825))=FALSE,LEFT($I5825,6)&lt;&gt;"VACUUM"),"CDU",IF($H5825="FLUID CAT CRACKING","FCC",IF(OR($H5825="HYDROCRACKING",$H5825="RESID_HYDROCRACKING"),"Hydrocracker",IF($H5825="REFORMING","Reformer",""))))</f>
        <v/>
      </c>
      <c r="H5825" s="6" t="s">
        <v>378</v>
      </c>
      <c r="I5825" s="6" t="s">
        <v>431</v>
      </c>
      <c r="J5825" s="6" t="s">
        <v>349</v>
      </c>
      <c r="K5825" s="10">
        <v>8.5</v>
      </c>
      <c r="L5825" s="10">
        <v>8.5</v>
      </c>
      <c r="M5825" s="6" t="s">
        <v>413</v>
      </c>
    </row>
    <row r="5826" spans="1:13">
      <c r="A5826" s="6">
        <v>2025</v>
      </c>
      <c r="B5826" s="6">
        <v>5</v>
      </c>
      <c r="C5826" s="6" t="s">
        <v>63</v>
      </c>
      <c r="D5826" s="6" t="s">
        <v>615</v>
      </c>
      <c r="E5826" s="6" t="s">
        <v>405</v>
      </c>
      <c r="F5826" s="6" t="str">
        <f>IF($M5826="PADD I","PADD 1",IF($M5826="PADD II","PADD 2",IF($M5826="PADD III","PADD 3",IF($M5826="PADD IV","PADD 4",IF($M5826="PADD V","PADD 5","")))))</f>
        <v>PADD 5</v>
      </c>
      <c r="G5826" s="6">
        <f>IF(AND($H5826="ATMOS DISTILLATION",ISNUMBER(SEARCH("VPS",$I5826))=FALSE,LEFT($I5826,6)&lt;&gt;"VACUUM"),"CDU",IF($H5826="FLUID CAT CRACKING","FCC",IF(OR($H5826="HYDROCRACKING",$H5826="RESID_HYDROCRACKING"),"Hydrocracker",IF($H5826="REFORMING","Reformer",""))))</f>
        <v/>
      </c>
      <c r="H5826" s="6" t="s">
        <v>378</v>
      </c>
      <c r="I5826" s="6" t="s">
        <v>431</v>
      </c>
      <c r="J5826" s="6" t="s">
        <v>345</v>
      </c>
      <c r="K5826" s="10">
        <v>8.449999999999999</v>
      </c>
      <c r="L5826" s="10">
        <v>65</v>
      </c>
      <c r="M5826" s="6" t="s">
        <v>386</v>
      </c>
    </row>
    <row r="5827" spans="1:13">
      <c r="A5827" s="6">
        <v>2025</v>
      </c>
      <c r="B5827" s="6">
        <v>5</v>
      </c>
      <c r="C5827" s="6" t="s">
        <v>63</v>
      </c>
      <c r="D5827" s="6" t="s">
        <v>326</v>
      </c>
      <c r="E5827" s="6" t="s">
        <v>385</v>
      </c>
      <c r="F5827" s="6" t="str">
        <f>IF($M5827="PADD I","PADD 1",IF($M5827="PADD II","PADD 2",IF($M5827="PADD III","PADD 3",IF($M5827="PADD IV","PADD 4",IF($M5827="PADD V","PADD 5","")))))</f>
        <v>PADD 5</v>
      </c>
      <c r="G5827" s="6">
        <f>IF(AND($H5827="ATMOS DISTILLATION",ISNUMBER(SEARCH("VPS",$I5827))=FALSE,LEFT($I5827,6)&lt;&gt;"VACUUM"),"CDU",IF($H5827="FLUID CAT CRACKING","FCC",IF(OR($H5827="HYDROCRACKING",$H5827="RESID_HYDROCRACKING"),"Hydrocracker",IF($H5827="REFORMING","Reformer",""))))</f>
        <v/>
      </c>
      <c r="H5827" s="6" t="s">
        <v>43</v>
      </c>
      <c r="I5827" s="6" t="s">
        <v>1174</v>
      </c>
      <c r="J5827" s="6" t="s">
        <v>345</v>
      </c>
      <c r="K5827" s="10">
        <v>8.4336</v>
      </c>
      <c r="L5827" s="10">
        <v>17.57</v>
      </c>
      <c r="M5827" s="6" t="s">
        <v>386</v>
      </c>
    </row>
    <row r="5828" spans="1:13">
      <c r="A5828" s="6">
        <v>2025</v>
      </c>
      <c r="B5828" s="6">
        <v>5</v>
      </c>
      <c r="C5828" s="6" t="s">
        <v>63</v>
      </c>
      <c r="D5828" s="6" t="s">
        <v>602</v>
      </c>
      <c r="E5828" s="6" t="s">
        <v>369</v>
      </c>
      <c r="F5828" s="6" t="str">
        <f>IF($M5828="PADD I","PADD 1",IF($M5828="PADD II","PADD 2",IF($M5828="PADD III","PADD 3",IF($M5828="PADD IV","PADD 4",IF($M5828="PADD V","PADD 5","")))))</f>
        <v>PADD 2</v>
      </c>
      <c r="G5828" s="6">
        <f>IF(AND($H5828="ATMOS DISTILLATION",ISNUMBER(SEARCH("VPS",$I5828))=FALSE,LEFT($I5828,6)&lt;&gt;"VACUUM"),"CDU",IF($H5828="FLUID CAT CRACKING","FCC",IF(OR($H5828="HYDROCRACKING",$H5828="RESID_HYDROCRACKING"),"Hydrocracker",IF($H5828="REFORMING","Reformer",""))))</f>
        <v/>
      </c>
      <c r="H5828" s="6" t="s">
        <v>435</v>
      </c>
      <c r="I5828" s="6" t="s">
        <v>441</v>
      </c>
      <c r="J5828" s="6" t="s">
        <v>345</v>
      </c>
      <c r="K5828" s="10">
        <v>8.085000000000001</v>
      </c>
      <c r="L5828" s="10">
        <v>23.1</v>
      </c>
      <c r="M5828" s="6" t="s">
        <v>375</v>
      </c>
    </row>
    <row r="5829" spans="1:13">
      <c r="A5829" s="6">
        <v>2025</v>
      </c>
      <c r="B5829" s="6">
        <v>5</v>
      </c>
      <c r="C5829" s="6" t="s">
        <v>63</v>
      </c>
      <c r="D5829" s="6" t="s">
        <v>788</v>
      </c>
      <c r="E5829" s="6" t="s">
        <v>405</v>
      </c>
      <c r="F5829" s="6" t="str">
        <f>IF($M5829="PADD I","PADD 1",IF($M5829="PADD II","PADD 2",IF($M5829="PADD III","PADD 3",IF($M5829="PADD IV","PADD 4",IF($M5829="PADD V","PADD 5","")))))</f>
        <v>PADD 3</v>
      </c>
      <c r="G5829" s="6">
        <f>IF(AND($H5829="ATMOS DISTILLATION",ISNUMBER(SEARCH("VPS",$I5829))=FALSE,LEFT($I5829,6)&lt;&gt;"VACUUM"),"CDU",IF($H5829="FLUID CAT CRACKING","FCC",IF(OR($H5829="HYDROCRACKING",$H5829="RESID_HYDROCRACKING"),"Hydrocracker",IF($H5829="REFORMING","Reformer",""))))</f>
        <v/>
      </c>
      <c r="H5829" s="6" t="s">
        <v>378</v>
      </c>
      <c r="I5829" s="6" t="s">
        <v>812</v>
      </c>
      <c r="J5829" s="6" t="s">
        <v>345</v>
      </c>
      <c r="K5829" s="10">
        <v>8</v>
      </c>
      <c r="L5829" s="10">
        <v>50</v>
      </c>
      <c r="M5829" s="6" t="s">
        <v>371</v>
      </c>
    </row>
    <row r="5830" spans="1:13">
      <c r="A5830" s="6">
        <v>2025</v>
      </c>
      <c r="B5830" s="6">
        <v>5</v>
      </c>
      <c r="C5830" s="6" t="s">
        <v>63</v>
      </c>
      <c r="D5830" s="6" t="s">
        <v>727</v>
      </c>
      <c r="E5830" s="6" t="s">
        <v>728</v>
      </c>
      <c r="F5830" s="6" t="str">
        <f>IF($M5830="PADD I","PADD 1",IF($M5830="PADD II","PADD 2",IF($M5830="PADD III","PADD 3",IF($M5830="PADD IV","PADD 4",IF($M5830="PADD V","PADD 5","")))))</f>
        <v>PADD 1</v>
      </c>
      <c r="G5830" s="6">
        <f>IF(AND($H5830="ATMOS DISTILLATION",ISNUMBER(SEARCH("VPS",$I5830))=FALSE,LEFT($I5830,6)&lt;&gt;"VACUUM"),"CDU",IF($H5830="FLUID CAT CRACKING","FCC",IF(OR($H5830="HYDROCRACKING",$H5830="RESID_HYDROCRACKING"),"Hydrocracker",IF($H5830="REFORMING","Reformer",""))))</f>
        <v/>
      </c>
      <c r="H5830" s="6" t="s">
        <v>43</v>
      </c>
      <c r="I5830" s="6" t="s">
        <v>520</v>
      </c>
      <c r="J5830" s="6" t="s">
        <v>349</v>
      </c>
      <c r="K5830" s="10">
        <v>8</v>
      </c>
      <c r="L5830" s="10">
        <v>8</v>
      </c>
      <c r="M5830" s="6" t="s">
        <v>413</v>
      </c>
    </row>
    <row r="5831" spans="1:13">
      <c r="A5831" s="6">
        <v>2025</v>
      </c>
      <c r="B5831" s="6">
        <v>5</v>
      </c>
      <c r="C5831" s="6" t="s">
        <v>63</v>
      </c>
      <c r="D5831" s="6" t="s">
        <v>372</v>
      </c>
      <c r="E5831" s="6" t="s">
        <v>373</v>
      </c>
      <c r="F5831" s="6" t="str">
        <f>IF($M5831="PADD I","PADD 1",IF($M5831="PADD II","PADD 2",IF($M5831="PADD III","PADD 3",IF($M5831="PADD IV","PADD 4",IF($M5831="PADD V","PADD 5","")))))</f>
        <v>PADD 2</v>
      </c>
      <c r="G5831" s="6">
        <f>IF(AND($H5831="ATMOS DISTILLATION",ISNUMBER(SEARCH("VPS",$I5831))=FALSE,LEFT($I5831,6)&lt;&gt;"VACUUM"),"CDU",IF($H5831="FLUID CAT CRACKING","FCC",IF(OR($H5831="HYDROCRACKING",$H5831="RESID_HYDROCRACKING"),"Hydrocracker",IF($H5831="REFORMING","Reformer",""))))</f>
        <v/>
      </c>
      <c r="H5831" s="6" t="s">
        <v>435</v>
      </c>
      <c r="I5831" s="6" t="s">
        <v>584</v>
      </c>
      <c r="J5831" s="6" t="s">
        <v>345</v>
      </c>
      <c r="K5831" s="10">
        <v>7.5</v>
      </c>
      <c r="L5831" s="10">
        <v>7.5</v>
      </c>
      <c r="M5831" s="6" t="s">
        <v>375</v>
      </c>
    </row>
    <row r="5832" spans="1:13">
      <c r="A5832" s="6">
        <v>2025</v>
      </c>
      <c r="B5832" s="6">
        <v>5</v>
      </c>
      <c r="C5832" s="6" t="s">
        <v>63</v>
      </c>
      <c r="D5832" s="6" t="s">
        <v>329</v>
      </c>
      <c r="E5832" s="6" t="s">
        <v>427</v>
      </c>
      <c r="F5832" s="6" t="str">
        <f>IF($M5832="PADD I","PADD 1",IF($M5832="PADD II","PADD 2",IF($M5832="PADD III","PADD 3",IF($M5832="PADD IV","PADD 4",IF($M5832="PADD V","PADD 5","")))))</f>
        <v>PADD 3</v>
      </c>
      <c r="G5832" s="6" t="str">
        <f>IF(AND($H5832="ATMOS DISTILLATION",ISNUMBER(SEARCH("VPS",$I5832))=FALSE,LEFT($I5832,6)&lt;&gt;"VACUUM"),"CDU",IF($H5832="FLUID CAT CRACKING","FCC",IF(OR($H5832="HYDROCRACKING",$H5832="RESID_HYDROCRACKING"),"Hydrocracker",IF($H5832="REFORMING","Reformer",""))))</f>
        <v>Reformer</v>
      </c>
      <c r="H5832" s="6" t="s">
        <v>421</v>
      </c>
      <c r="I5832" s="6" t="s">
        <v>1162</v>
      </c>
      <c r="J5832" s="6" t="s">
        <v>345</v>
      </c>
      <c r="K5832" s="10">
        <v>7.41</v>
      </c>
      <c r="L5832" s="10">
        <v>19</v>
      </c>
      <c r="M5832" s="6" t="s">
        <v>371</v>
      </c>
    </row>
    <row r="5833" spans="1:13">
      <c r="A5833" s="6">
        <v>2025</v>
      </c>
      <c r="B5833" s="6">
        <v>5</v>
      </c>
      <c r="C5833" s="6" t="s">
        <v>63</v>
      </c>
      <c r="D5833" s="6" t="s">
        <v>715</v>
      </c>
      <c r="E5833" s="6" t="s">
        <v>716</v>
      </c>
      <c r="F5833" s="6" t="str">
        <f>IF($M5833="PADD I","PADD 1",IF($M5833="PADD II","PADD 2",IF($M5833="PADD III","PADD 3",IF($M5833="PADD IV","PADD 4",IF($M5833="PADD V","PADD 5","")))))</f>
        <v>PADD 2</v>
      </c>
      <c r="G5833" s="6">
        <f>IF(AND($H5833="ATMOS DISTILLATION",ISNUMBER(SEARCH("VPS",$I5833))=FALSE,LEFT($I5833,6)&lt;&gt;"VACUUM"),"CDU",IF($H5833="FLUID CAT CRACKING","FCC",IF(OR($H5833="HYDROCRACKING",$H5833="RESID_HYDROCRACKING"),"Hydrocracker",IF($H5833="REFORMING","Reformer",""))))</f>
        <v/>
      </c>
      <c r="H5833" s="6" t="s">
        <v>43</v>
      </c>
      <c r="I5833" s="6" t="s">
        <v>1181</v>
      </c>
      <c r="J5833" s="6" t="s">
        <v>349</v>
      </c>
      <c r="K5833" s="10">
        <v>7.4</v>
      </c>
      <c r="L5833" s="10">
        <v>10</v>
      </c>
      <c r="M5833" s="6" t="s">
        <v>375</v>
      </c>
    </row>
    <row r="5834" spans="1:13">
      <c r="A5834" s="6">
        <v>2025</v>
      </c>
      <c r="B5834" s="6">
        <v>5</v>
      </c>
      <c r="C5834" s="6" t="s">
        <v>63</v>
      </c>
      <c r="D5834" s="6" t="s">
        <v>411</v>
      </c>
      <c r="E5834" s="6" t="s">
        <v>369</v>
      </c>
      <c r="F5834" s="6" t="str">
        <f>IF($M5834="PADD I","PADD 1",IF($M5834="PADD II","PADD 2",IF($M5834="PADD III","PADD 3",IF($M5834="PADD IV","PADD 4",IF($M5834="PADD V","PADD 5","")))))</f>
        <v>PADD 1</v>
      </c>
      <c r="G5834" s="6">
        <f>IF(AND($H5834="ATMOS DISTILLATION",ISNUMBER(SEARCH("VPS",$I5834))=FALSE,LEFT($I5834,6)&lt;&gt;"VACUUM"),"CDU",IF($H5834="FLUID CAT CRACKING","FCC",IF(OR($H5834="HYDROCRACKING",$H5834="RESID_HYDROCRACKING"),"Hydrocracker",IF($H5834="REFORMING","Reformer",""))))</f>
        <v/>
      </c>
      <c r="H5834" s="6" t="s">
        <v>43</v>
      </c>
      <c r="I5834" s="6" t="s">
        <v>884</v>
      </c>
      <c r="J5834" s="6" t="s">
        <v>345</v>
      </c>
      <c r="K5834" s="10">
        <v>7.25</v>
      </c>
      <c r="L5834" s="10">
        <v>7.25</v>
      </c>
      <c r="M5834" s="6" t="s">
        <v>413</v>
      </c>
    </row>
    <row r="5835" spans="1:13">
      <c r="A5835" s="6">
        <v>2025</v>
      </c>
      <c r="B5835" s="6">
        <v>5</v>
      </c>
      <c r="C5835" s="6" t="s">
        <v>63</v>
      </c>
      <c r="D5835" s="6" t="s">
        <v>862</v>
      </c>
      <c r="E5835" s="6" t="s">
        <v>856</v>
      </c>
      <c r="F5835" s="6" t="str">
        <f>IF($M5835="PADD I","PADD 1",IF($M5835="PADD II","PADD 2",IF($M5835="PADD III","PADD 3",IF($M5835="PADD IV","PADD 4",IF($M5835="PADD V","PADD 5","")))))</f>
        <v>PADD 5</v>
      </c>
      <c r="G5835" s="6" t="str">
        <f>IF(AND($H5835="ATMOS DISTILLATION",ISNUMBER(SEARCH("VPS",$I5835))=FALSE,LEFT($I5835,6)&lt;&gt;"VACUUM"),"CDU",IF($H5835="FLUID CAT CRACKING","FCC",IF(OR($H5835="HYDROCRACKING",$H5835="RESID_HYDROCRACKING"),"Hydrocracker",IF($H5835="REFORMING","Reformer",""))))</f>
        <v>CDU</v>
      </c>
      <c r="H5835" s="6" t="s">
        <v>38</v>
      </c>
      <c r="I5835" s="6" t="s">
        <v>857</v>
      </c>
      <c r="J5835" s="6" t="s">
        <v>349</v>
      </c>
      <c r="K5835" s="10">
        <v>7.04</v>
      </c>
      <c r="L5835" s="10">
        <v>22</v>
      </c>
      <c r="M5835" s="6" t="s">
        <v>386</v>
      </c>
    </row>
    <row r="5836" spans="1:13">
      <c r="A5836" s="6">
        <v>2025</v>
      </c>
      <c r="B5836" s="6">
        <v>5</v>
      </c>
      <c r="C5836" s="6" t="s">
        <v>63</v>
      </c>
      <c r="D5836" s="6" t="s">
        <v>739</v>
      </c>
      <c r="E5836" s="6" t="s">
        <v>405</v>
      </c>
      <c r="F5836" s="6" t="str">
        <f>IF($M5836="PADD I","PADD 1",IF($M5836="PADD II","PADD 2",IF($M5836="PADD III","PADD 3",IF($M5836="PADD IV","PADD 4",IF($M5836="PADD V","PADD 5","")))))</f>
        <v>PADD 2</v>
      </c>
      <c r="G5836" s="6">
        <f>IF(AND($H5836="ATMOS DISTILLATION",ISNUMBER(SEARCH("VPS",$I5836))=FALSE,LEFT($I5836,6)&lt;&gt;"VACUUM"),"CDU",IF($H5836="FLUID CAT CRACKING","FCC",IF(OR($H5836="HYDROCRACKING",$H5836="RESID_HYDROCRACKING"),"Hydrocracker",IF($H5836="REFORMING","Reformer",""))))</f>
        <v/>
      </c>
      <c r="H5836" s="6" t="s">
        <v>568</v>
      </c>
      <c r="I5836" s="6" t="s">
        <v>604</v>
      </c>
      <c r="J5836" s="6" t="s">
        <v>349</v>
      </c>
      <c r="K5836" s="10">
        <v>7</v>
      </c>
      <c r="L5836" s="10">
        <v>7</v>
      </c>
      <c r="M5836" s="6" t="s">
        <v>375</v>
      </c>
    </row>
    <row r="5837" spans="1:13">
      <c r="A5837" s="6">
        <v>2025</v>
      </c>
      <c r="B5837" s="6">
        <v>5</v>
      </c>
      <c r="C5837" s="6" t="s">
        <v>63</v>
      </c>
      <c r="D5837" s="6" t="s">
        <v>411</v>
      </c>
      <c r="E5837" s="6" t="s">
        <v>369</v>
      </c>
      <c r="F5837" s="6" t="str">
        <f>IF($M5837="PADD I","PADD 1",IF($M5837="PADD II","PADD 2",IF($M5837="PADD III","PADD 3",IF($M5837="PADD IV","PADD 4",IF($M5837="PADD V","PADD 5","")))))</f>
        <v>PADD 1</v>
      </c>
      <c r="G5837" s="6">
        <f>IF(AND($H5837="ATMOS DISTILLATION",ISNUMBER(SEARCH("VPS",$I5837))=FALSE,LEFT($I5837,6)&lt;&gt;"VACUUM"),"CDU",IF($H5837="FLUID CAT CRACKING","FCC",IF(OR($H5837="HYDROCRACKING",$H5837="RESID_HYDROCRACKING"),"Hydrocracker",IF($H5837="REFORMING","Reformer",""))))</f>
        <v/>
      </c>
      <c r="H5837" s="6" t="s">
        <v>43</v>
      </c>
      <c r="I5837" s="6" t="s">
        <v>885</v>
      </c>
      <c r="J5837" s="6" t="s">
        <v>345</v>
      </c>
      <c r="K5837" s="10">
        <v>7</v>
      </c>
      <c r="L5837" s="10">
        <v>7</v>
      </c>
      <c r="M5837" s="6" t="s">
        <v>413</v>
      </c>
    </row>
    <row r="5838" spans="1:13">
      <c r="A5838" s="6">
        <v>2025</v>
      </c>
      <c r="B5838" s="6">
        <v>5</v>
      </c>
      <c r="C5838" s="6" t="s">
        <v>63</v>
      </c>
      <c r="D5838" s="6" t="s">
        <v>411</v>
      </c>
      <c r="E5838" s="6" t="s">
        <v>369</v>
      </c>
      <c r="F5838" s="6" t="str">
        <f>IF($M5838="PADD I","PADD 1",IF($M5838="PADD II","PADD 2",IF($M5838="PADD III","PADD 3",IF($M5838="PADD IV","PADD 4",IF($M5838="PADD V","PADD 5","")))))</f>
        <v>PADD 1</v>
      </c>
      <c r="G5838" s="6">
        <f>IF(AND($H5838="ATMOS DISTILLATION",ISNUMBER(SEARCH("VPS",$I5838))=FALSE,LEFT($I5838,6)&lt;&gt;"VACUUM"),"CDU",IF($H5838="FLUID CAT CRACKING","FCC",IF(OR($H5838="HYDROCRACKING",$H5838="RESID_HYDROCRACKING"),"Hydrocracker",IF($H5838="REFORMING","Reformer",""))))</f>
        <v/>
      </c>
      <c r="H5838" s="6" t="s">
        <v>1304</v>
      </c>
      <c r="I5838" s="6" t="s">
        <v>1305</v>
      </c>
      <c r="J5838" s="6" t="s">
        <v>345</v>
      </c>
      <c r="K5838" s="10">
        <v>6.5</v>
      </c>
      <c r="L5838" s="10">
        <v>6.5</v>
      </c>
      <c r="M5838" s="6" t="s">
        <v>413</v>
      </c>
    </row>
    <row r="5839" spans="1:13">
      <c r="A5839" s="6">
        <v>2025</v>
      </c>
      <c r="B5839" s="6">
        <v>5</v>
      </c>
      <c r="C5839" s="6" t="s">
        <v>63</v>
      </c>
      <c r="D5839" s="6" t="s">
        <v>411</v>
      </c>
      <c r="E5839" s="6" t="s">
        <v>369</v>
      </c>
      <c r="F5839" s="6" t="str">
        <f>IF($M5839="PADD I","PADD 1",IF($M5839="PADD II","PADD 2",IF($M5839="PADD III","PADD 3",IF($M5839="PADD IV","PADD 4",IF($M5839="PADD V","PADD 5","")))))</f>
        <v>PADD 1</v>
      </c>
      <c r="G5839" s="6" t="str">
        <f>IF(AND($H5839="ATMOS DISTILLATION",ISNUMBER(SEARCH("VPS",$I5839))=FALSE,LEFT($I5839,6)&lt;&gt;"VACUUM"),"CDU",IF($H5839="FLUID CAT CRACKING","FCC",IF(OR($H5839="HYDROCRACKING",$H5839="RESID_HYDROCRACKING"),"Hydrocracker",IF($H5839="REFORMING","Reformer",""))))</f>
        <v>Reformer</v>
      </c>
      <c r="H5839" s="6" t="s">
        <v>421</v>
      </c>
      <c r="I5839" s="6" t="s">
        <v>886</v>
      </c>
      <c r="J5839" s="6" t="s">
        <v>345</v>
      </c>
      <c r="K5839" s="10">
        <v>6.5</v>
      </c>
      <c r="L5839" s="10">
        <v>6.5</v>
      </c>
      <c r="M5839" s="6" t="s">
        <v>413</v>
      </c>
    </row>
    <row r="5840" spans="1:13">
      <c r="A5840" s="6">
        <v>2025</v>
      </c>
      <c r="B5840" s="6">
        <v>5</v>
      </c>
      <c r="C5840" s="6" t="s">
        <v>63</v>
      </c>
      <c r="D5840" s="6" t="s">
        <v>372</v>
      </c>
      <c r="E5840" s="6" t="s">
        <v>373</v>
      </c>
      <c r="F5840" s="6" t="str">
        <f>IF($M5840="PADD I","PADD 1",IF($M5840="PADD II","PADD 2",IF($M5840="PADD III","PADD 3",IF($M5840="PADD IV","PADD 4",IF($M5840="PADD V","PADD 5","")))))</f>
        <v>PADD 2</v>
      </c>
      <c r="G5840" s="6">
        <f>IF(AND($H5840="ATMOS DISTILLATION",ISNUMBER(SEARCH("VPS",$I5840))=FALSE,LEFT($I5840,6)&lt;&gt;"VACUUM"),"CDU",IF($H5840="FLUID CAT CRACKING","FCC",IF(OR($H5840="HYDROCRACKING",$H5840="RESID_HYDROCRACKING"),"Hydrocracker",IF($H5840="REFORMING","Reformer",""))))</f>
        <v/>
      </c>
      <c r="H5840" s="6" t="s">
        <v>435</v>
      </c>
      <c r="I5840" s="6" t="s">
        <v>584</v>
      </c>
      <c r="J5840" s="6" t="s">
        <v>345</v>
      </c>
      <c r="K5840" s="10">
        <v>6.5</v>
      </c>
      <c r="L5840" s="10">
        <v>6.5</v>
      </c>
      <c r="M5840" s="6" t="s">
        <v>375</v>
      </c>
    </row>
    <row r="5841" spans="1:13">
      <c r="A5841" s="6">
        <v>2025</v>
      </c>
      <c r="B5841" s="6">
        <v>5</v>
      </c>
      <c r="C5841" s="6" t="s">
        <v>63</v>
      </c>
      <c r="D5841" s="6" t="s">
        <v>531</v>
      </c>
      <c r="E5841" s="6" t="s">
        <v>532</v>
      </c>
      <c r="F5841" s="6" t="str">
        <f>IF($M5841="PADD I","PADD 1",IF($M5841="PADD II","PADD 2",IF($M5841="PADD III","PADD 3",IF($M5841="PADD IV","PADD 4",IF($M5841="PADD V","PADD 5","")))))</f>
        <v>PADD 5</v>
      </c>
      <c r="G5841" s="6">
        <f>IF(AND($H5841="ATMOS DISTILLATION",ISNUMBER(SEARCH("VPS",$I5841))=FALSE,LEFT($I5841,6)&lt;&gt;"VACUUM"),"CDU",IF($H5841="FLUID CAT CRACKING","FCC",IF(OR($H5841="HYDROCRACKING",$H5841="RESID_HYDROCRACKING"),"Hydrocracker",IF($H5841="REFORMING","Reformer",""))))</f>
        <v/>
      </c>
      <c r="H5841" s="6" t="s">
        <v>43</v>
      </c>
      <c r="I5841" s="6" t="s">
        <v>567</v>
      </c>
      <c r="J5841" s="6" t="s">
        <v>345</v>
      </c>
      <c r="K5841" s="10">
        <v>6.3</v>
      </c>
      <c r="L5841" s="10">
        <v>105</v>
      </c>
      <c r="M5841" s="6" t="s">
        <v>386</v>
      </c>
    </row>
    <row r="5842" spans="1:13">
      <c r="A5842" s="6">
        <v>2025</v>
      </c>
      <c r="B5842" s="6">
        <v>5</v>
      </c>
      <c r="C5842" s="6" t="s">
        <v>63</v>
      </c>
      <c r="D5842" s="6" t="s">
        <v>774</v>
      </c>
      <c r="E5842" s="6" t="s">
        <v>775</v>
      </c>
      <c r="F5842" s="6" t="str">
        <f>IF($M5842="PADD I","PADD 1",IF($M5842="PADD II","PADD 2",IF($M5842="PADD III","PADD 3",IF($M5842="PADD IV","PADD 4",IF($M5842="PADD V","PADD 5","")))))</f>
        <v>PADD 1</v>
      </c>
      <c r="G5842" s="6" t="str">
        <f>IF(AND($H5842="ATMOS DISTILLATION",ISNUMBER(SEARCH("VPS",$I5842))=FALSE,LEFT($I5842,6)&lt;&gt;"VACUUM"),"CDU",IF($H5842="FLUID CAT CRACKING","FCC",IF(OR($H5842="HYDROCRACKING",$H5842="RESID_HYDROCRACKING"),"Hydrocracker",IF($H5842="REFORMING","Reformer",""))))</f>
        <v>Hydrocracker</v>
      </c>
      <c r="H5842" s="6" t="s">
        <v>444</v>
      </c>
      <c r="I5842" s="6" t="s">
        <v>14</v>
      </c>
      <c r="J5842" s="6" t="s">
        <v>349</v>
      </c>
      <c r="K5842" s="10">
        <v>6.3</v>
      </c>
      <c r="L5842" s="10">
        <v>18</v>
      </c>
      <c r="M5842" s="6" t="s">
        <v>413</v>
      </c>
    </row>
    <row r="5843" spans="1:13">
      <c r="A5843" s="6">
        <v>2025</v>
      </c>
      <c r="B5843" s="6">
        <v>5</v>
      </c>
      <c r="C5843" s="6" t="s">
        <v>63</v>
      </c>
      <c r="D5843" s="6" t="s">
        <v>326</v>
      </c>
      <c r="E5843" s="6" t="s">
        <v>385</v>
      </c>
      <c r="F5843" s="6" t="str">
        <f>IF($M5843="PADD I","PADD 1",IF($M5843="PADD II","PADD 2",IF($M5843="PADD III","PADD 3",IF($M5843="PADD IV","PADD 4",IF($M5843="PADD V","PADD 5","")))))</f>
        <v>PADD 5</v>
      </c>
      <c r="G5843" s="6">
        <f>IF(AND($H5843="ATMOS DISTILLATION",ISNUMBER(SEARCH("VPS",$I5843))=FALSE,LEFT($I5843,6)&lt;&gt;"VACUUM"),"CDU",IF($H5843="FLUID CAT CRACKING","FCC",IF(OR($H5843="HYDROCRACKING",$H5843="RESID_HYDROCRACKING"),"Hydrocracker",IF($H5843="REFORMING","Reformer",""))))</f>
        <v/>
      </c>
      <c r="H5843" s="6" t="s">
        <v>460</v>
      </c>
      <c r="I5843" s="6" t="s">
        <v>1288</v>
      </c>
      <c r="J5843" s="6" t="s">
        <v>345</v>
      </c>
      <c r="K5843" s="10">
        <v>6.24</v>
      </c>
      <c r="L5843" s="10">
        <v>12</v>
      </c>
      <c r="M5843" s="6" t="s">
        <v>386</v>
      </c>
    </row>
    <row r="5844" spans="1:13">
      <c r="A5844" s="6">
        <v>2025</v>
      </c>
      <c r="B5844" s="6">
        <v>5</v>
      </c>
      <c r="C5844" s="6" t="s">
        <v>63</v>
      </c>
      <c r="D5844" s="6" t="s">
        <v>739</v>
      </c>
      <c r="E5844" s="6" t="s">
        <v>405</v>
      </c>
      <c r="F5844" s="6" t="str">
        <f>IF($M5844="PADD I","PADD 1",IF($M5844="PADD II","PADD 2",IF($M5844="PADD III","PADD 3",IF($M5844="PADD IV","PADD 4",IF($M5844="PADD V","PADD 5","")))))</f>
        <v>PADD 2</v>
      </c>
      <c r="G5844" s="6">
        <f>IF(AND($H5844="ATMOS DISTILLATION",ISNUMBER(SEARCH("VPS",$I5844))=FALSE,LEFT($I5844,6)&lt;&gt;"VACUUM"),"CDU",IF($H5844="FLUID CAT CRACKING","FCC",IF(OR($H5844="HYDROCRACKING",$H5844="RESID_HYDROCRACKING"),"Hydrocracker",IF($H5844="REFORMING","Reformer",""))))</f>
        <v/>
      </c>
      <c r="H5844" s="6" t="s">
        <v>460</v>
      </c>
      <c r="I5844" s="6" t="s">
        <v>616</v>
      </c>
      <c r="J5844" s="6" t="s">
        <v>349</v>
      </c>
      <c r="K5844" s="10">
        <v>6.2</v>
      </c>
      <c r="L5844" s="10">
        <v>6.2</v>
      </c>
      <c r="M5844" s="6" t="s">
        <v>375</v>
      </c>
    </row>
    <row r="5845" spans="1:13">
      <c r="A5845" s="6">
        <v>2025</v>
      </c>
      <c r="B5845" s="6">
        <v>5</v>
      </c>
      <c r="C5845" s="6" t="s">
        <v>63</v>
      </c>
      <c r="D5845" s="6" t="s">
        <v>953</v>
      </c>
      <c r="E5845" s="6" t="s">
        <v>733</v>
      </c>
      <c r="F5845" s="6" t="str">
        <f>IF($M5845="PADD I","PADD 1",IF($M5845="PADD II","PADD 2",IF($M5845="PADD III","PADD 3",IF($M5845="PADD IV","PADD 4",IF($M5845="PADD V","PADD 5","")))))</f>
        <v>PADD 2</v>
      </c>
      <c r="G5845" s="6" t="str">
        <f>IF(AND($H5845="ATMOS DISTILLATION",ISNUMBER(SEARCH("VPS",$I5845))=FALSE,LEFT($I5845,6)&lt;&gt;"VACUUM"),"CDU",IF($H5845="FLUID CAT CRACKING","FCC",IF(OR($H5845="HYDROCRACKING",$H5845="RESID_HYDROCRACKING"),"Hydrocracker",IF($H5845="REFORMING","Reformer",""))))</f>
        <v>Hydrocracker</v>
      </c>
      <c r="H5845" s="6" t="s">
        <v>444</v>
      </c>
      <c r="I5845" s="6" t="s">
        <v>14</v>
      </c>
      <c r="J5845" s="6" t="s">
        <v>345</v>
      </c>
      <c r="K5845" s="10">
        <v>6.16</v>
      </c>
      <c r="L5845" s="10">
        <v>38.5</v>
      </c>
      <c r="M5845" s="6" t="s">
        <v>375</v>
      </c>
    </row>
    <row r="5846" spans="1:13">
      <c r="A5846" s="6">
        <v>2025</v>
      </c>
      <c r="B5846" s="6">
        <v>5</v>
      </c>
      <c r="C5846" s="6" t="s">
        <v>63</v>
      </c>
      <c r="D5846" s="6" t="s">
        <v>531</v>
      </c>
      <c r="E5846" s="6" t="s">
        <v>532</v>
      </c>
      <c r="F5846" s="6" t="str">
        <f>IF($M5846="PADD I","PADD 1",IF($M5846="PADD II","PADD 2",IF($M5846="PADD III","PADD 3",IF($M5846="PADD IV","PADD 4",IF($M5846="PADD V","PADD 5","")))))</f>
        <v>PADD 5</v>
      </c>
      <c r="G5846" s="6" t="str">
        <f>IF(AND($H5846="ATMOS DISTILLATION",ISNUMBER(SEARCH("VPS",$I5846))=FALSE,LEFT($I5846,6)&lt;&gt;"VACUUM"),"CDU",IF($H5846="FLUID CAT CRACKING","FCC",IF(OR($H5846="HYDROCRACKING",$H5846="RESID_HYDROCRACKING"),"Hydrocracker",IF($H5846="REFORMING","Reformer",""))))</f>
        <v>FCC</v>
      </c>
      <c r="H5846" s="6" t="s">
        <v>376</v>
      </c>
      <c r="I5846" s="6" t="s">
        <v>105</v>
      </c>
      <c r="J5846" s="6" t="s">
        <v>345</v>
      </c>
      <c r="K5846" s="10">
        <v>6</v>
      </c>
      <c r="L5846" s="10">
        <v>100</v>
      </c>
      <c r="M5846" s="6" t="s">
        <v>386</v>
      </c>
    </row>
    <row r="5847" spans="1:13">
      <c r="A5847" s="6">
        <v>2025</v>
      </c>
      <c r="B5847" s="6">
        <v>5</v>
      </c>
      <c r="C5847" s="6" t="s">
        <v>63</v>
      </c>
      <c r="D5847" s="6" t="s">
        <v>526</v>
      </c>
      <c r="E5847" s="6" t="s">
        <v>405</v>
      </c>
      <c r="F5847" s="6" t="str">
        <f>IF($M5847="PADD I","PADD 1",IF($M5847="PADD II","PADD 2",IF($M5847="PADD III","PADD 3",IF($M5847="PADD IV","PADD 4",IF($M5847="PADD V","PADD 5","")))))</f>
        <v>PADD 3</v>
      </c>
      <c r="G5847" s="6">
        <f>IF(AND($H5847="ATMOS DISTILLATION",ISNUMBER(SEARCH("VPS",$I5847))=FALSE,LEFT($I5847,6)&lt;&gt;"VACUUM"),"CDU",IF($H5847="FLUID CAT CRACKING","FCC",IF(OR($H5847="HYDROCRACKING",$H5847="RESID_HYDROCRACKING"),"Hydrocracker",IF($H5847="REFORMING","Reformer",""))))</f>
        <v/>
      </c>
      <c r="H5847" s="6" t="s">
        <v>435</v>
      </c>
      <c r="I5847" s="6" t="s">
        <v>954</v>
      </c>
      <c r="J5847" s="6" t="s">
        <v>345</v>
      </c>
      <c r="K5847" s="10">
        <v>6</v>
      </c>
      <c r="L5847" s="10">
        <v>100</v>
      </c>
      <c r="M5847" s="6" t="s">
        <v>371</v>
      </c>
    </row>
    <row r="5848" spans="1:13">
      <c r="A5848" s="6">
        <v>2025</v>
      </c>
      <c r="B5848" s="6">
        <v>5</v>
      </c>
      <c r="C5848" s="6" t="s">
        <v>63</v>
      </c>
      <c r="D5848" s="6" t="s">
        <v>531</v>
      </c>
      <c r="E5848" s="6" t="s">
        <v>532</v>
      </c>
      <c r="F5848" s="6" t="str">
        <f>IF($M5848="PADD I","PADD 1",IF($M5848="PADD II","PADD 2",IF($M5848="PADD III","PADD 3",IF($M5848="PADD IV","PADD 4",IF($M5848="PADD V","PADD 5","")))))</f>
        <v>PADD 5</v>
      </c>
      <c r="G5848" s="6">
        <f>IF(AND($H5848="ATMOS DISTILLATION",ISNUMBER(SEARCH("VPS",$I5848))=FALSE,LEFT($I5848,6)&lt;&gt;"VACUUM"),"CDU",IF($H5848="FLUID CAT CRACKING","FCC",IF(OR($H5848="HYDROCRACKING",$H5848="RESID_HYDROCRACKING"),"Hydrocracker",IF($H5848="REFORMING","Reformer",""))))</f>
        <v/>
      </c>
      <c r="H5848" s="6" t="s">
        <v>378</v>
      </c>
      <c r="I5848" s="6" t="s">
        <v>379</v>
      </c>
      <c r="J5848" s="6" t="s">
        <v>345</v>
      </c>
      <c r="K5848" s="10">
        <v>5.88</v>
      </c>
      <c r="L5848" s="10">
        <v>98</v>
      </c>
      <c r="M5848" s="6" t="s">
        <v>386</v>
      </c>
    </row>
    <row r="5849" spans="1:13">
      <c r="A5849" s="6">
        <v>2025</v>
      </c>
      <c r="B5849" s="6">
        <v>5</v>
      </c>
      <c r="C5849" s="6" t="s">
        <v>63</v>
      </c>
      <c r="D5849" s="6" t="s">
        <v>615</v>
      </c>
      <c r="E5849" s="6" t="s">
        <v>405</v>
      </c>
      <c r="F5849" s="6" t="str">
        <f>IF($M5849="PADD I","PADD 1",IF($M5849="PADD II","PADD 2",IF($M5849="PADD III","PADD 3",IF($M5849="PADD IV","PADD 4",IF($M5849="PADD V","PADD 5","")))))</f>
        <v>PADD 5</v>
      </c>
      <c r="G5849" s="6">
        <f>IF(AND($H5849="ATMOS DISTILLATION",ISNUMBER(SEARCH("VPS",$I5849))=FALSE,LEFT($I5849,6)&lt;&gt;"VACUUM"),"CDU",IF($H5849="FLUID CAT CRACKING","FCC",IF(OR($H5849="HYDROCRACKING",$H5849="RESID_HYDROCRACKING"),"Hydrocracker",IF($H5849="REFORMING","Reformer",""))))</f>
        <v/>
      </c>
      <c r="H5849" s="6" t="s">
        <v>43</v>
      </c>
      <c r="I5849" s="6" t="s">
        <v>1308</v>
      </c>
      <c r="J5849" s="6" t="s">
        <v>345</v>
      </c>
      <c r="K5849" s="10">
        <v>5.85</v>
      </c>
      <c r="L5849" s="10">
        <v>45</v>
      </c>
      <c r="M5849" s="6" t="s">
        <v>386</v>
      </c>
    </row>
    <row r="5850" spans="1:13">
      <c r="A5850" s="6">
        <v>2025</v>
      </c>
      <c r="B5850" s="6">
        <v>5</v>
      </c>
      <c r="C5850" s="6" t="s">
        <v>63</v>
      </c>
      <c r="D5850" s="6" t="s">
        <v>411</v>
      </c>
      <c r="E5850" s="6" t="s">
        <v>369</v>
      </c>
      <c r="F5850" s="6" t="str">
        <f>IF($M5850="PADD I","PADD 1",IF($M5850="PADD II","PADD 2",IF($M5850="PADD III","PADD 3",IF($M5850="PADD IV","PADD 4",IF($M5850="PADD V","PADD 5","")))))</f>
        <v>PADD 1</v>
      </c>
      <c r="G5850" s="6">
        <f>IF(AND($H5850="ATMOS DISTILLATION",ISNUMBER(SEARCH("VPS",$I5850))=FALSE,LEFT($I5850,6)&lt;&gt;"VACUUM"),"CDU",IF($H5850="FLUID CAT CRACKING","FCC",IF(OR($H5850="HYDROCRACKING",$H5850="RESID_HYDROCRACKING"),"Hydrocracker",IF($H5850="REFORMING","Reformer",""))))</f>
        <v/>
      </c>
      <c r="H5850" s="6" t="s">
        <v>460</v>
      </c>
      <c r="I5850" s="6" t="s">
        <v>566</v>
      </c>
      <c r="J5850" s="6" t="s">
        <v>345</v>
      </c>
      <c r="K5850" s="10">
        <v>5.5</v>
      </c>
      <c r="L5850" s="10">
        <v>5.5</v>
      </c>
      <c r="M5850" s="6" t="s">
        <v>413</v>
      </c>
    </row>
    <row r="5851" spans="1:13">
      <c r="A5851" s="6">
        <v>2025</v>
      </c>
      <c r="B5851" s="6">
        <v>5</v>
      </c>
      <c r="C5851" s="6" t="s">
        <v>63</v>
      </c>
      <c r="D5851" s="6" t="s">
        <v>801</v>
      </c>
      <c r="E5851" s="6" t="s">
        <v>779</v>
      </c>
      <c r="F5851" s="6" t="str">
        <f>IF($M5851="PADD I","PADD 1",IF($M5851="PADD II","PADD 2",IF($M5851="PADD III","PADD 3",IF($M5851="PADD IV","PADD 4",IF($M5851="PADD V","PADD 5","")))))</f>
        <v>PADD 2</v>
      </c>
      <c r="G5851" s="6">
        <f>IF(AND($H5851="ATMOS DISTILLATION",ISNUMBER(SEARCH("VPS",$I5851))=FALSE,LEFT($I5851,6)&lt;&gt;"VACUUM"),"CDU",IF($H5851="FLUID CAT CRACKING","FCC",IF(OR($H5851="HYDROCRACKING",$H5851="RESID_HYDROCRACKING"),"Hydrocracker",IF($H5851="REFORMING","Reformer",""))))</f>
        <v/>
      </c>
      <c r="H5851" s="6" t="s">
        <v>460</v>
      </c>
      <c r="I5851" s="6" t="s">
        <v>461</v>
      </c>
      <c r="J5851" s="6" t="s">
        <v>349</v>
      </c>
      <c r="K5851" s="10">
        <v>5.4</v>
      </c>
      <c r="L5851" s="10">
        <v>6</v>
      </c>
      <c r="M5851" s="6" t="s">
        <v>375</v>
      </c>
    </row>
    <row r="5852" spans="1:13">
      <c r="A5852" s="6">
        <v>2025</v>
      </c>
      <c r="B5852" s="6">
        <v>5</v>
      </c>
      <c r="C5852" s="6" t="s">
        <v>63</v>
      </c>
      <c r="D5852" s="6" t="s">
        <v>615</v>
      </c>
      <c r="E5852" s="6" t="s">
        <v>405</v>
      </c>
      <c r="F5852" s="6" t="str">
        <f>IF($M5852="PADD I","PADD 1",IF($M5852="PADD II","PADD 2",IF($M5852="PADD III","PADD 3",IF($M5852="PADD IV","PADD 4",IF($M5852="PADD V","PADD 5","")))))</f>
        <v>PADD 5</v>
      </c>
      <c r="G5852" s="6">
        <f>IF(AND($H5852="ATMOS DISTILLATION",ISNUMBER(SEARCH("VPS",$I5852))=FALSE,LEFT($I5852,6)&lt;&gt;"VACUUM"),"CDU",IF($H5852="FLUID CAT CRACKING","FCC",IF(OR($H5852="HYDROCRACKING",$H5852="RESID_HYDROCRACKING"),"Hydrocracker",IF($H5852="REFORMING","Reformer",""))))</f>
        <v/>
      </c>
      <c r="H5852" s="6" t="s">
        <v>43</v>
      </c>
      <c r="I5852" s="6" t="s">
        <v>1238</v>
      </c>
      <c r="J5852" s="6" t="s">
        <v>345</v>
      </c>
      <c r="K5852" s="10">
        <v>5.33</v>
      </c>
      <c r="L5852" s="10">
        <v>41</v>
      </c>
      <c r="M5852" s="6" t="s">
        <v>386</v>
      </c>
    </row>
    <row r="5853" spans="1:13">
      <c r="A5853" s="6">
        <v>2025</v>
      </c>
      <c r="B5853" s="6">
        <v>5</v>
      </c>
      <c r="C5853" s="6" t="s">
        <v>63</v>
      </c>
      <c r="D5853" s="6" t="s">
        <v>490</v>
      </c>
      <c r="E5853" s="6" t="s">
        <v>491</v>
      </c>
      <c r="F5853" s="6" t="str">
        <f>IF($M5853="PADD I","PADD 1",IF($M5853="PADD II","PADD 2",IF($M5853="PADD III","PADD 3",IF($M5853="PADD IV","PADD 4",IF($M5853="PADD V","PADD 5","")))))</f>
        <v>PADD 3</v>
      </c>
      <c r="G5853" s="6" t="str">
        <f>IF(AND($H5853="ATMOS DISTILLATION",ISNUMBER(SEARCH("VPS",$I5853))=FALSE,LEFT($I5853,6)&lt;&gt;"VACUUM"),"CDU",IF($H5853="FLUID CAT CRACKING","FCC",IF(OR($H5853="HYDROCRACKING",$H5853="RESID_HYDROCRACKING"),"Hydrocracker",IF($H5853="REFORMING","Reformer",""))))</f>
        <v>FCC</v>
      </c>
      <c r="H5853" s="6" t="s">
        <v>376</v>
      </c>
      <c r="I5853" s="6" t="s">
        <v>472</v>
      </c>
      <c r="J5853" s="6" t="s">
        <v>345</v>
      </c>
      <c r="K5853" s="10">
        <v>5.28</v>
      </c>
      <c r="L5853" s="10">
        <v>88</v>
      </c>
      <c r="M5853" s="6" t="s">
        <v>371</v>
      </c>
    </row>
    <row r="5854" spans="1:13">
      <c r="A5854" s="6">
        <v>2025</v>
      </c>
      <c r="B5854" s="6">
        <v>5</v>
      </c>
      <c r="C5854" s="6" t="s">
        <v>63</v>
      </c>
      <c r="D5854" s="6" t="s">
        <v>615</v>
      </c>
      <c r="E5854" s="6" t="s">
        <v>405</v>
      </c>
      <c r="F5854" s="6" t="str">
        <f>IF($M5854="PADD I","PADD 1",IF($M5854="PADD II","PADD 2",IF($M5854="PADD III","PADD 3",IF($M5854="PADD IV","PADD 4",IF($M5854="PADD V","PADD 5","")))))</f>
        <v>PADD 5</v>
      </c>
      <c r="G5854" s="6" t="str">
        <f>IF(AND($H5854="ATMOS DISTILLATION",ISNUMBER(SEARCH("VPS",$I5854))=FALSE,LEFT($I5854,6)&lt;&gt;"VACUUM"),"CDU",IF($H5854="FLUID CAT CRACKING","FCC",IF(OR($H5854="HYDROCRACKING",$H5854="RESID_HYDROCRACKING"),"Hydrocracker",IF($H5854="REFORMING","Reformer",""))))</f>
        <v>Reformer</v>
      </c>
      <c r="H5854" s="6" t="s">
        <v>421</v>
      </c>
      <c r="I5854" s="6" t="s">
        <v>666</v>
      </c>
      <c r="J5854" s="6" t="s">
        <v>345</v>
      </c>
      <c r="K5854" s="10">
        <v>5.2</v>
      </c>
      <c r="L5854" s="10">
        <v>40</v>
      </c>
      <c r="M5854" s="6" t="s">
        <v>386</v>
      </c>
    </row>
    <row r="5855" spans="1:13">
      <c r="A5855" s="6">
        <v>2025</v>
      </c>
      <c r="B5855" s="6">
        <v>5</v>
      </c>
      <c r="C5855" s="6" t="s">
        <v>63</v>
      </c>
      <c r="D5855" s="6" t="s">
        <v>770</v>
      </c>
      <c r="E5855" s="6" t="s">
        <v>660</v>
      </c>
      <c r="F5855" s="6" t="str">
        <f>IF($M5855="PADD I","PADD 1",IF($M5855="PADD II","PADD 2",IF($M5855="PADD III","PADD 3",IF($M5855="PADD IV","PADD 4",IF($M5855="PADD V","PADD 5","")))))</f>
        <v>PADD 3</v>
      </c>
      <c r="G5855" s="6">
        <f>IF(AND($H5855="ATMOS DISTILLATION",ISNUMBER(SEARCH("VPS",$I5855))=FALSE,LEFT($I5855,6)&lt;&gt;"VACUUM"),"CDU",IF($H5855="FLUID CAT CRACKING","FCC",IF(OR($H5855="HYDROCRACKING",$H5855="RESID_HYDROCRACKING"),"Hydrocracker",IF($H5855="REFORMING","Reformer",""))))</f>
        <v/>
      </c>
      <c r="H5855" s="6" t="s">
        <v>435</v>
      </c>
      <c r="I5855" s="6" t="s">
        <v>441</v>
      </c>
      <c r="J5855" s="6" t="s">
        <v>345</v>
      </c>
      <c r="K5855" s="10">
        <v>5.12</v>
      </c>
      <c r="L5855" s="10">
        <v>32</v>
      </c>
      <c r="M5855" s="6" t="s">
        <v>371</v>
      </c>
    </row>
    <row r="5856" spans="1:13">
      <c r="A5856" s="6">
        <v>2025</v>
      </c>
      <c r="B5856" s="6">
        <v>5</v>
      </c>
      <c r="C5856" s="6" t="s">
        <v>63</v>
      </c>
      <c r="D5856" s="6" t="s">
        <v>788</v>
      </c>
      <c r="E5856" s="6" t="s">
        <v>405</v>
      </c>
      <c r="F5856" s="6" t="str">
        <f>IF($M5856="PADD I","PADD 1",IF($M5856="PADD II","PADD 2",IF($M5856="PADD III","PADD 3",IF($M5856="PADD IV","PADD 4",IF($M5856="PADD V","PADD 5","")))))</f>
        <v>PADD 3</v>
      </c>
      <c r="G5856" s="6" t="str">
        <f>IF(AND($H5856="ATMOS DISTILLATION",ISNUMBER(SEARCH("VPS",$I5856))=FALSE,LEFT($I5856,6)&lt;&gt;"VACUUM"),"CDU",IF($H5856="FLUID CAT CRACKING","FCC",IF(OR($H5856="HYDROCRACKING",$H5856="RESID_HYDROCRACKING"),"Hydrocracker",IF($H5856="REFORMING","Reformer",""))))</f>
        <v>Reformer</v>
      </c>
      <c r="H5856" s="6" t="s">
        <v>421</v>
      </c>
      <c r="I5856" s="6" t="s">
        <v>782</v>
      </c>
      <c r="J5856" s="6" t="s">
        <v>345</v>
      </c>
      <c r="K5856" s="10">
        <v>5.12</v>
      </c>
      <c r="L5856" s="10">
        <v>32</v>
      </c>
      <c r="M5856" s="6" t="s">
        <v>371</v>
      </c>
    </row>
    <row r="5857" spans="1:13">
      <c r="A5857" s="6">
        <v>2025</v>
      </c>
      <c r="B5857" s="6">
        <v>5</v>
      </c>
      <c r="C5857" s="6" t="s">
        <v>63</v>
      </c>
      <c r="D5857" s="6" t="s">
        <v>774</v>
      </c>
      <c r="E5857" s="6" t="s">
        <v>775</v>
      </c>
      <c r="F5857" s="6" t="str">
        <f>IF($M5857="PADD I","PADD 1",IF($M5857="PADD II","PADD 2",IF($M5857="PADD III","PADD 3",IF($M5857="PADD IV","PADD 4",IF($M5857="PADD V","PADD 5","")))))</f>
        <v>PADD 1</v>
      </c>
      <c r="G5857" s="6">
        <f>IF(AND($H5857="ATMOS DISTILLATION",ISNUMBER(SEARCH("VPS",$I5857))=FALSE,LEFT($I5857,6)&lt;&gt;"VACUUM"),"CDU",IF($H5857="FLUID CAT CRACKING","FCC",IF(OR($H5857="HYDROCRACKING",$H5857="RESID_HYDROCRACKING"),"Hydrocracker",IF($H5857="REFORMING","Reformer",""))))</f>
        <v/>
      </c>
      <c r="H5857" s="6" t="s">
        <v>435</v>
      </c>
      <c r="I5857" s="6" t="s">
        <v>776</v>
      </c>
      <c r="J5857" s="6" t="s">
        <v>345</v>
      </c>
      <c r="K5857" s="10">
        <v>5</v>
      </c>
      <c r="L5857" s="10">
        <v>50</v>
      </c>
      <c r="M5857" s="6" t="s">
        <v>413</v>
      </c>
    </row>
    <row r="5858" spans="1:13">
      <c r="A5858" s="6">
        <v>2025</v>
      </c>
      <c r="B5858" s="6">
        <v>5</v>
      </c>
      <c r="C5858" s="6" t="s">
        <v>63</v>
      </c>
      <c r="D5858" s="6" t="s">
        <v>727</v>
      </c>
      <c r="E5858" s="6" t="s">
        <v>728</v>
      </c>
      <c r="F5858" s="6" t="str">
        <f>IF($M5858="PADD I","PADD 1",IF($M5858="PADD II","PADD 2",IF($M5858="PADD III","PADD 3",IF($M5858="PADD IV","PADD 4",IF($M5858="PADD V","PADD 5","")))))</f>
        <v>PADD 1</v>
      </c>
      <c r="G5858" s="6">
        <f>IF(AND($H5858="ATMOS DISTILLATION",ISNUMBER(SEARCH("VPS",$I5858))=FALSE,LEFT($I5858,6)&lt;&gt;"VACUUM"),"CDU",IF($H5858="FLUID CAT CRACKING","FCC",IF(OR($H5858="HYDROCRACKING",$H5858="RESID_HYDROCRACKING"),"Hydrocracker",IF($H5858="REFORMING","Reformer",""))))</f>
        <v/>
      </c>
      <c r="H5858" s="6" t="s">
        <v>568</v>
      </c>
      <c r="I5858" s="6" t="s">
        <v>713</v>
      </c>
      <c r="J5858" s="6" t="s">
        <v>349</v>
      </c>
      <c r="K5858" s="10">
        <v>5</v>
      </c>
      <c r="L5858" s="10">
        <v>5</v>
      </c>
      <c r="M5858" s="6" t="s">
        <v>413</v>
      </c>
    </row>
    <row r="5859" spans="1:13">
      <c r="A5859" s="6">
        <v>2025</v>
      </c>
      <c r="B5859" s="6">
        <v>5</v>
      </c>
      <c r="C5859" s="6" t="s">
        <v>63</v>
      </c>
      <c r="D5859" s="6" t="s">
        <v>326</v>
      </c>
      <c r="E5859" s="6" t="s">
        <v>385</v>
      </c>
      <c r="F5859" s="6" t="str">
        <f>IF($M5859="PADD I","PADD 1",IF($M5859="PADD II","PADD 2",IF($M5859="PADD III","PADD 3",IF($M5859="PADD IV","PADD 4",IF($M5859="PADD V","PADD 5","")))))</f>
        <v>PADD 5</v>
      </c>
      <c r="G5859" s="6" t="str">
        <f>IF(AND($H5859="ATMOS DISTILLATION",ISNUMBER(SEARCH("VPS",$I5859))=FALSE,LEFT($I5859,6)&lt;&gt;"VACUUM"),"CDU",IF($H5859="FLUID CAT CRACKING","FCC",IF(OR($H5859="HYDROCRACKING",$H5859="RESID_HYDROCRACKING"),"Hydrocracker",IF($H5859="REFORMING","Reformer",""))))</f>
        <v>Reformer</v>
      </c>
      <c r="H5859" s="6" t="s">
        <v>421</v>
      </c>
      <c r="I5859" s="6" t="s">
        <v>15</v>
      </c>
      <c r="J5859" s="6" t="s">
        <v>345</v>
      </c>
      <c r="K5859" s="10">
        <v>4.9584</v>
      </c>
      <c r="L5859" s="10">
        <v>10.33</v>
      </c>
      <c r="M5859" s="6" t="s">
        <v>386</v>
      </c>
    </row>
    <row r="5860" spans="1:13">
      <c r="A5860" s="6">
        <v>2025</v>
      </c>
      <c r="B5860" s="6">
        <v>5</v>
      </c>
      <c r="C5860" s="6" t="s">
        <v>63</v>
      </c>
      <c r="D5860" s="6" t="s">
        <v>346</v>
      </c>
      <c r="E5860" s="6" t="s">
        <v>383</v>
      </c>
      <c r="F5860" s="6" t="str">
        <f>IF($M5860="PADD I","PADD 1",IF($M5860="PADD II","PADD 2",IF($M5860="PADD III","PADD 3",IF($M5860="PADD IV","PADD 4",IF($M5860="PADD V","PADD 5","")))))</f>
        <v>PADD 2</v>
      </c>
      <c r="G5860" s="6" t="str">
        <f>IF(AND($H5860="ATMOS DISTILLATION",ISNUMBER(SEARCH("VPS",$I5860))=FALSE,LEFT($I5860,6)&lt;&gt;"VACUUM"),"CDU",IF($H5860="FLUID CAT CRACKING","FCC",IF(OR($H5860="HYDROCRACKING",$H5860="RESID_HYDROCRACKING"),"Hydrocracker",IF($H5860="REFORMING","Reformer",""))))</f>
        <v>FCC</v>
      </c>
      <c r="H5860" s="6" t="s">
        <v>376</v>
      </c>
      <c r="I5860" s="6" t="s">
        <v>105</v>
      </c>
      <c r="J5860" s="6" t="s">
        <v>345</v>
      </c>
      <c r="K5860" s="10">
        <v>4.92</v>
      </c>
      <c r="L5860" s="10">
        <v>82</v>
      </c>
      <c r="M5860" s="6" t="s">
        <v>375</v>
      </c>
    </row>
    <row r="5861" spans="1:13">
      <c r="A5861" s="6">
        <v>2025</v>
      </c>
      <c r="B5861" s="6">
        <v>5</v>
      </c>
      <c r="C5861" s="6" t="s">
        <v>63</v>
      </c>
      <c r="D5861" s="6" t="s">
        <v>715</v>
      </c>
      <c r="E5861" s="6" t="s">
        <v>716</v>
      </c>
      <c r="F5861" s="6" t="str">
        <f>IF($M5861="PADD I","PADD 1",IF($M5861="PADD II","PADD 2",IF($M5861="PADD III","PADD 3",IF($M5861="PADD IV","PADD 4",IF($M5861="PADD V","PADD 5","")))))</f>
        <v>PADD 2</v>
      </c>
      <c r="G5861" s="6">
        <f>IF(AND($H5861="ATMOS DISTILLATION",ISNUMBER(SEARCH("VPS",$I5861))=FALSE,LEFT($I5861,6)&lt;&gt;"VACUUM"),"CDU",IF($H5861="FLUID CAT CRACKING","FCC",IF(OR($H5861="HYDROCRACKING",$H5861="RESID_HYDROCRACKING"),"Hydrocracker",IF($H5861="REFORMING","Reformer",""))))</f>
        <v/>
      </c>
      <c r="H5861" s="6" t="s">
        <v>43</v>
      </c>
      <c r="I5861" s="6" t="s">
        <v>458</v>
      </c>
      <c r="J5861" s="6" t="s">
        <v>349</v>
      </c>
      <c r="K5861" s="10">
        <v>4.81</v>
      </c>
      <c r="L5861" s="10">
        <v>6.5</v>
      </c>
      <c r="M5861" s="6" t="s">
        <v>375</v>
      </c>
    </row>
    <row r="5862" spans="1:13">
      <c r="A5862" s="6">
        <v>2025</v>
      </c>
      <c r="B5862" s="6">
        <v>5</v>
      </c>
      <c r="C5862" s="6" t="s">
        <v>63</v>
      </c>
      <c r="D5862" s="6" t="s">
        <v>715</v>
      </c>
      <c r="E5862" s="6" t="s">
        <v>716</v>
      </c>
      <c r="F5862" s="6" t="str">
        <f>IF($M5862="PADD I","PADD 1",IF($M5862="PADD II","PADD 2",IF($M5862="PADD III","PADD 3",IF($M5862="PADD IV","PADD 4",IF($M5862="PADD V","PADD 5","")))))</f>
        <v>PADD 2</v>
      </c>
      <c r="G5862" s="6" t="str">
        <f>IF(AND($H5862="ATMOS DISTILLATION",ISNUMBER(SEARCH("VPS",$I5862))=FALSE,LEFT($I5862,6)&lt;&gt;"VACUUM"),"CDU",IF($H5862="FLUID CAT CRACKING","FCC",IF(OR($H5862="HYDROCRACKING",$H5862="RESID_HYDROCRACKING"),"Hydrocracker",IF($H5862="REFORMING","Reformer",""))))</f>
        <v>Reformer</v>
      </c>
      <c r="H5862" s="6" t="s">
        <v>421</v>
      </c>
      <c r="I5862" s="6" t="s">
        <v>539</v>
      </c>
      <c r="J5862" s="6" t="s">
        <v>349</v>
      </c>
      <c r="K5862" s="10">
        <v>4.81</v>
      </c>
      <c r="L5862" s="10">
        <v>6.5</v>
      </c>
      <c r="M5862" s="6" t="s">
        <v>375</v>
      </c>
    </row>
    <row r="5863" spans="1:13">
      <c r="A5863" s="6">
        <v>2025</v>
      </c>
      <c r="B5863" s="6">
        <v>5</v>
      </c>
      <c r="C5863" s="6" t="s">
        <v>63</v>
      </c>
      <c r="D5863" s="6" t="s">
        <v>723</v>
      </c>
      <c r="E5863" s="6" t="s">
        <v>724</v>
      </c>
      <c r="F5863" s="6" t="str">
        <f>IF($M5863="PADD I","PADD 1",IF($M5863="PADD II","PADD 2",IF($M5863="PADD III","PADD 3",IF($M5863="PADD IV","PADD 4",IF($M5863="PADD V","PADD 5","")))))</f>
        <v>PADD 4</v>
      </c>
      <c r="G5863" s="6">
        <f>IF(AND($H5863="ATMOS DISTILLATION",ISNUMBER(SEARCH("VPS",$I5863))=FALSE,LEFT($I5863,6)&lt;&gt;"VACUUM"),"CDU",IF($H5863="FLUID CAT CRACKING","FCC",IF(OR($H5863="HYDROCRACKING",$H5863="RESID_HYDROCRACKING"),"Hydrocracker",IF($H5863="REFORMING","Reformer",""))))</f>
        <v/>
      </c>
      <c r="H5863" s="6" t="s">
        <v>435</v>
      </c>
      <c r="I5863" s="6" t="s">
        <v>1135</v>
      </c>
      <c r="J5863" s="6" t="s">
        <v>345</v>
      </c>
      <c r="K5863" s="10">
        <v>4.8</v>
      </c>
      <c r="L5863" s="10">
        <v>10</v>
      </c>
      <c r="M5863" s="6" t="s">
        <v>430</v>
      </c>
    </row>
    <row r="5864" spans="1:13">
      <c r="A5864" s="6">
        <v>2025</v>
      </c>
      <c r="B5864" s="6">
        <v>5</v>
      </c>
      <c r="C5864" s="6" t="s">
        <v>63</v>
      </c>
      <c r="D5864" s="6" t="s">
        <v>326</v>
      </c>
      <c r="E5864" s="6" t="s">
        <v>385</v>
      </c>
      <c r="F5864" s="6" t="str">
        <f>IF($M5864="PADD I","PADD 1",IF($M5864="PADD II","PADD 2",IF($M5864="PADD III","PADD 3",IF($M5864="PADD IV","PADD 4",IF($M5864="PADD V","PADD 5","")))))</f>
        <v>PADD 5</v>
      </c>
      <c r="G5864" s="6">
        <f>IF(AND($H5864="ATMOS DISTILLATION",ISNUMBER(SEARCH("VPS",$I5864))=FALSE,LEFT($I5864,6)&lt;&gt;"VACUUM"),"CDU",IF($H5864="FLUID CAT CRACKING","FCC",IF(OR($H5864="HYDROCRACKING",$H5864="RESID_HYDROCRACKING"),"Hydrocracker",IF($H5864="REFORMING","Reformer",""))))</f>
        <v/>
      </c>
      <c r="H5864" s="6" t="s">
        <v>43</v>
      </c>
      <c r="I5864" s="6" t="s">
        <v>501</v>
      </c>
      <c r="J5864" s="6" t="s">
        <v>345</v>
      </c>
      <c r="K5864" s="10">
        <v>4.704</v>
      </c>
      <c r="L5864" s="10">
        <v>9.800000000000001</v>
      </c>
      <c r="M5864" s="6" t="s">
        <v>386</v>
      </c>
    </row>
    <row r="5865" spans="1:13">
      <c r="A5865" s="6">
        <v>2025</v>
      </c>
      <c r="B5865" s="6">
        <v>5</v>
      </c>
      <c r="C5865" s="6" t="s">
        <v>63</v>
      </c>
      <c r="D5865" s="6" t="s">
        <v>615</v>
      </c>
      <c r="E5865" s="6" t="s">
        <v>405</v>
      </c>
      <c r="F5865" s="6" t="str">
        <f>IF($M5865="PADD I","PADD 1",IF($M5865="PADD II","PADD 2",IF($M5865="PADD III","PADD 3",IF($M5865="PADD IV","PADD 4",IF($M5865="PADD V","PADD 5","")))))</f>
        <v>PADD 5</v>
      </c>
      <c r="G5865" s="6" t="str">
        <f>IF(AND($H5865="ATMOS DISTILLATION",ISNUMBER(SEARCH("VPS",$I5865))=FALSE,LEFT($I5865,6)&lt;&gt;"VACUUM"),"CDU",IF($H5865="FLUID CAT CRACKING","FCC",IF(OR($H5865="HYDROCRACKING",$H5865="RESID_HYDROCRACKING"),"Hydrocracker",IF($H5865="REFORMING","Reformer",""))))</f>
        <v>Hydrocracker</v>
      </c>
      <c r="H5865" s="6" t="s">
        <v>444</v>
      </c>
      <c r="I5865" s="6" t="s">
        <v>14</v>
      </c>
      <c r="J5865" s="6" t="s">
        <v>345</v>
      </c>
      <c r="K5865" s="10">
        <v>4.68</v>
      </c>
      <c r="L5865" s="10">
        <v>36</v>
      </c>
      <c r="M5865" s="6" t="s">
        <v>386</v>
      </c>
    </row>
    <row r="5866" spans="1:13">
      <c r="A5866" s="6">
        <v>2025</v>
      </c>
      <c r="B5866" s="6">
        <v>5</v>
      </c>
      <c r="C5866" s="6" t="s">
        <v>63</v>
      </c>
      <c r="D5866" s="6" t="s">
        <v>727</v>
      </c>
      <c r="E5866" s="6" t="s">
        <v>728</v>
      </c>
      <c r="F5866" s="6" t="str">
        <f>IF($M5866="PADD I","PADD 1",IF($M5866="PADD II","PADD 2",IF($M5866="PADD III","PADD 3",IF($M5866="PADD IV","PADD 4",IF($M5866="PADD V","PADD 5","")))))</f>
        <v>PADD 1</v>
      </c>
      <c r="G5866" s="6">
        <f>IF(AND($H5866="ATMOS DISTILLATION",ISNUMBER(SEARCH("VPS",$I5866))=FALSE,LEFT($I5866,6)&lt;&gt;"VACUUM"),"CDU",IF($H5866="FLUID CAT CRACKING","FCC",IF(OR($H5866="HYDROCRACKING",$H5866="RESID_HYDROCRACKING"),"Hydrocracker",IF($H5866="REFORMING","Reformer",""))))</f>
        <v/>
      </c>
      <c r="H5866" s="6" t="s">
        <v>43</v>
      </c>
      <c r="I5866" s="6" t="s">
        <v>752</v>
      </c>
      <c r="J5866" s="6" t="s">
        <v>349</v>
      </c>
      <c r="K5866" s="10">
        <v>4.6</v>
      </c>
      <c r="L5866" s="10">
        <v>4.6</v>
      </c>
      <c r="M5866" s="6" t="s">
        <v>413</v>
      </c>
    </row>
    <row r="5867" spans="1:13">
      <c r="A5867" s="6">
        <v>2025</v>
      </c>
      <c r="B5867" s="6">
        <v>5</v>
      </c>
      <c r="C5867" s="6" t="s">
        <v>63</v>
      </c>
      <c r="D5867" s="6" t="s">
        <v>51</v>
      </c>
      <c r="E5867" s="6" t="s">
        <v>391</v>
      </c>
      <c r="F5867" s="6" t="str">
        <f>IF($M5867="PADD I","PADD 1",IF($M5867="PADD II","PADD 2",IF($M5867="PADD III","PADD 3",IF($M5867="PADD IV","PADD 4",IF($M5867="PADD V","PADD 5","")))))</f>
        <v>PADD 5</v>
      </c>
      <c r="G5867" s="6" t="str">
        <f>IF(AND($H5867="ATMOS DISTILLATION",ISNUMBER(SEARCH("VPS",$I5867))=FALSE,LEFT($I5867,6)&lt;&gt;"VACUUM"),"CDU",IF($H5867="FLUID CAT CRACKING","FCC",IF(OR($H5867="HYDROCRACKING",$H5867="RESID_HYDROCRACKING"),"Hydrocracker",IF($H5867="REFORMING","Reformer",""))))</f>
        <v>Hydrocracker</v>
      </c>
      <c r="H5867" s="6" t="s">
        <v>444</v>
      </c>
      <c r="I5867" s="6" t="s">
        <v>1074</v>
      </c>
      <c r="J5867" s="6" t="s">
        <v>345</v>
      </c>
      <c r="K5867" s="10">
        <v>4.5</v>
      </c>
      <c r="L5867" s="10">
        <v>45</v>
      </c>
      <c r="M5867" s="6" t="s">
        <v>386</v>
      </c>
    </row>
    <row r="5868" spans="1:13">
      <c r="A5868" s="6">
        <v>2025</v>
      </c>
      <c r="B5868" s="6">
        <v>5</v>
      </c>
      <c r="C5868" s="6" t="s">
        <v>63</v>
      </c>
      <c r="D5868" s="6" t="s">
        <v>727</v>
      </c>
      <c r="E5868" s="6" t="s">
        <v>728</v>
      </c>
      <c r="F5868" s="6" t="str">
        <f>IF($M5868="PADD I","PADD 1",IF($M5868="PADD II","PADD 2",IF($M5868="PADD III","PADD 3",IF($M5868="PADD IV","PADD 4",IF($M5868="PADD V","PADD 5","")))))</f>
        <v>PADD 1</v>
      </c>
      <c r="G5868" s="6">
        <f>IF(AND($H5868="ATMOS DISTILLATION",ISNUMBER(SEARCH("VPS",$I5868))=FALSE,LEFT($I5868,6)&lt;&gt;"VACUUM"),"CDU",IF($H5868="FLUID CAT CRACKING","FCC",IF(OR($H5868="HYDROCRACKING",$H5868="RESID_HYDROCRACKING"),"Hydrocracker",IF($H5868="REFORMING","Reformer",""))))</f>
        <v/>
      </c>
      <c r="H5868" s="6" t="s">
        <v>637</v>
      </c>
      <c r="I5868" s="6" t="s">
        <v>1300</v>
      </c>
      <c r="J5868" s="6" t="s">
        <v>349</v>
      </c>
      <c r="K5868" s="10">
        <v>4.5</v>
      </c>
      <c r="L5868" s="10">
        <v>4.5</v>
      </c>
      <c r="M5868" s="6" t="s">
        <v>413</v>
      </c>
    </row>
    <row r="5869" spans="1:13">
      <c r="A5869" s="6">
        <v>2025</v>
      </c>
      <c r="B5869" s="6">
        <v>5</v>
      </c>
      <c r="C5869" s="6" t="s">
        <v>63</v>
      </c>
      <c r="D5869" s="6" t="s">
        <v>727</v>
      </c>
      <c r="E5869" s="6" t="s">
        <v>728</v>
      </c>
      <c r="F5869" s="6" t="str">
        <f>IF($M5869="PADD I","PADD 1",IF($M5869="PADD II","PADD 2",IF($M5869="PADD III","PADD 3",IF($M5869="PADD IV","PADD 4",IF($M5869="PADD V","PADD 5","")))))</f>
        <v>PADD 1</v>
      </c>
      <c r="G5869" s="6">
        <f>IF(AND($H5869="ATMOS DISTILLATION",ISNUMBER(SEARCH("VPS",$I5869))=FALSE,LEFT($I5869,6)&lt;&gt;"VACUUM"),"CDU",IF($H5869="FLUID CAT CRACKING","FCC",IF(OR($H5869="HYDROCRACKING",$H5869="RESID_HYDROCRACKING"),"Hydrocracker",IF($H5869="REFORMING","Reformer",""))))</f>
        <v/>
      </c>
      <c r="H5869" s="6" t="s">
        <v>637</v>
      </c>
      <c r="I5869" s="6" t="s">
        <v>1301</v>
      </c>
      <c r="J5869" s="6" t="s">
        <v>349</v>
      </c>
      <c r="K5869" s="10">
        <v>4.5</v>
      </c>
      <c r="L5869" s="10">
        <v>4.5</v>
      </c>
      <c r="M5869" s="6" t="s">
        <v>413</v>
      </c>
    </row>
    <row r="5870" spans="1:13">
      <c r="A5870" s="6">
        <v>2025</v>
      </c>
      <c r="B5870" s="6">
        <v>5</v>
      </c>
      <c r="C5870" s="6" t="s">
        <v>63</v>
      </c>
      <c r="D5870" s="6" t="s">
        <v>542</v>
      </c>
      <c r="E5870" s="6" t="s">
        <v>543</v>
      </c>
      <c r="F5870" s="6" t="str">
        <f>IF($M5870="PADD I","PADD 1",IF($M5870="PADD II","PADD 2",IF($M5870="PADD III","PADD 3",IF($M5870="PADD IV","PADD 4",IF($M5870="PADD V","PADD 5","")))))</f>
        <v>PADD 2</v>
      </c>
      <c r="G5870" s="6">
        <f>IF(AND($H5870="ATMOS DISTILLATION",ISNUMBER(SEARCH("VPS",$I5870))=FALSE,LEFT($I5870,6)&lt;&gt;"VACUUM"),"CDU",IF($H5870="FLUID CAT CRACKING","FCC",IF(OR($H5870="HYDROCRACKING",$H5870="RESID_HYDROCRACKING"),"Hydrocracker",IF($H5870="REFORMING","Reformer",""))))</f>
        <v/>
      </c>
      <c r="H5870" s="6" t="s">
        <v>568</v>
      </c>
      <c r="I5870" s="6" t="s">
        <v>604</v>
      </c>
      <c r="J5870" s="6" t="s">
        <v>349</v>
      </c>
      <c r="K5870" s="10">
        <v>4.464</v>
      </c>
      <c r="L5870" s="10">
        <v>27.9</v>
      </c>
      <c r="M5870" s="6" t="s">
        <v>375</v>
      </c>
    </row>
    <row r="5871" spans="1:13">
      <c r="A5871" s="6">
        <v>2025</v>
      </c>
      <c r="B5871" s="6">
        <v>5</v>
      </c>
      <c r="C5871" s="6" t="s">
        <v>63</v>
      </c>
      <c r="D5871" s="6" t="s">
        <v>851</v>
      </c>
      <c r="E5871" s="6" t="s">
        <v>852</v>
      </c>
      <c r="F5871" s="6" t="str">
        <f>IF($M5871="PADD I","PADD 1",IF($M5871="PADD II","PADD 2",IF($M5871="PADD III","PADD 3",IF($M5871="PADD IV","PADD 4",IF($M5871="PADD V","PADD 5","")))))</f>
        <v>PADD 3</v>
      </c>
      <c r="G5871" s="6" t="str">
        <f>IF(AND($H5871="ATMOS DISTILLATION",ISNUMBER(SEARCH("VPS",$I5871))=FALSE,LEFT($I5871,6)&lt;&gt;"VACUUM"),"CDU",IF($H5871="FLUID CAT CRACKING","FCC",IF(OR($H5871="HYDROCRACKING",$H5871="RESID_HYDROCRACKING"),"Hydrocracker",IF($H5871="REFORMING","Reformer",""))))</f>
        <v>CDU</v>
      </c>
      <c r="H5871" s="6" t="s">
        <v>38</v>
      </c>
      <c r="I5871" s="6" t="s">
        <v>854</v>
      </c>
      <c r="J5871" s="6" t="s">
        <v>345</v>
      </c>
      <c r="K5871" s="10">
        <v>4.38</v>
      </c>
      <c r="L5871" s="10">
        <v>73</v>
      </c>
      <c r="M5871" s="6" t="s">
        <v>371</v>
      </c>
    </row>
    <row r="5872" spans="1:13">
      <c r="A5872" s="6">
        <v>2025</v>
      </c>
      <c r="B5872" s="6">
        <v>5</v>
      </c>
      <c r="C5872" s="6" t="s">
        <v>63</v>
      </c>
      <c r="D5872" s="6" t="s">
        <v>326</v>
      </c>
      <c r="E5872" s="6" t="s">
        <v>385</v>
      </c>
      <c r="F5872" s="6" t="str">
        <f>IF($M5872="PADD I","PADD 1",IF($M5872="PADD II","PADD 2",IF($M5872="PADD III","PADD 3",IF($M5872="PADD IV","PADD 4",IF($M5872="PADD V","PADD 5","")))))</f>
        <v>PADD 5</v>
      </c>
      <c r="G5872" s="6">
        <f>IF(AND($H5872="ATMOS DISTILLATION",ISNUMBER(SEARCH("VPS",$I5872))=FALSE,LEFT($I5872,6)&lt;&gt;"VACUUM"),"CDU",IF($H5872="FLUID CAT CRACKING","FCC",IF(OR($H5872="HYDROCRACKING",$H5872="RESID_HYDROCRACKING"),"Hydrocracker",IF($H5872="REFORMING","Reformer",""))))</f>
        <v/>
      </c>
      <c r="H5872" s="6" t="s">
        <v>43</v>
      </c>
      <c r="I5872" s="6" t="s">
        <v>1183</v>
      </c>
      <c r="J5872" s="6" t="s">
        <v>345</v>
      </c>
      <c r="K5872" s="10">
        <v>4.368</v>
      </c>
      <c r="L5872" s="10">
        <v>9.1</v>
      </c>
      <c r="M5872" s="6" t="s">
        <v>386</v>
      </c>
    </row>
    <row r="5873" spans="1:13">
      <c r="A5873" s="6">
        <v>2025</v>
      </c>
      <c r="B5873" s="6">
        <v>5</v>
      </c>
      <c r="C5873" s="6" t="s">
        <v>63</v>
      </c>
      <c r="D5873" s="6" t="s">
        <v>756</v>
      </c>
      <c r="E5873" s="6" t="s">
        <v>757</v>
      </c>
      <c r="F5873" s="6" t="str">
        <f>IF($M5873="PADD I","PADD 1",IF($M5873="PADD II","PADD 2",IF($M5873="PADD III","PADD 3",IF($M5873="PADD IV","PADD 4",IF($M5873="PADD V","PADD 5","")))))</f>
        <v>PADD 3</v>
      </c>
      <c r="G5873" s="6" t="str">
        <f>IF(AND($H5873="ATMOS DISTILLATION",ISNUMBER(SEARCH("VPS",$I5873))=FALSE,LEFT($I5873,6)&lt;&gt;"VACUUM"),"CDU",IF($H5873="FLUID CAT CRACKING","FCC",IF(OR($H5873="HYDROCRACKING",$H5873="RESID_HYDROCRACKING"),"Hydrocracker",IF($H5873="REFORMING","Reformer",""))))</f>
        <v>CDU</v>
      </c>
      <c r="H5873" s="6" t="s">
        <v>38</v>
      </c>
      <c r="I5873" s="6" t="s">
        <v>81</v>
      </c>
      <c r="J5873" s="6" t="s">
        <v>349</v>
      </c>
      <c r="K5873" s="10">
        <v>4.35</v>
      </c>
      <c r="L5873" s="10">
        <v>15</v>
      </c>
      <c r="M5873" s="6" t="s">
        <v>371</v>
      </c>
    </row>
    <row r="5874" spans="1:13">
      <c r="A5874" s="6">
        <v>2025</v>
      </c>
      <c r="B5874" s="6">
        <v>5</v>
      </c>
      <c r="C5874" s="6" t="s">
        <v>63</v>
      </c>
      <c r="D5874" s="6" t="s">
        <v>727</v>
      </c>
      <c r="E5874" s="6" t="s">
        <v>728</v>
      </c>
      <c r="F5874" s="6" t="str">
        <f>IF($M5874="PADD I","PADD 1",IF($M5874="PADD II","PADD 2",IF($M5874="PADD III","PADD 3",IF($M5874="PADD IV","PADD 4",IF($M5874="PADD V","PADD 5","")))))</f>
        <v>PADD 1</v>
      </c>
      <c r="G5874" s="6" t="str">
        <f>IF(AND($H5874="ATMOS DISTILLATION",ISNUMBER(SEARCH("VPS",$I5874))=FALSE,LEFT($I5874,6)&lt;&gt;"VACUUM"),"CDU",IF($H5874="FLUID CAT CRACKING","FCC",IF(OR($H5874="HYDROCRACKING",$H5874="RESID_HYDROCRACKING"),"Hydrocracker",IF($H5874="REFORMING","Reformer",""))))</f>
        <v>Hydrocracker</v>
      </c>
      <c r="H5874" s="6" t="s">
        <v>444</v>
      </c>
      <c r="I5874" s="6" t="s">
        <v>753</v>
      </c>
      <c r="J5874" s="6" t="s">
        <v>349</v>
      </c>
      <c r="K5874" s="10">
        <v>4.3</v>
      </c>
      <c r="L5874" s="10">
        <v>4.3</v>
      </c>
      <c r="M5874" s="6" t="s">
        <v>413</v>
      </c>
    </row>
    <row r="5875" spans="1:13">
      <c r="A5875" s="6">
        <v>2025</v>
      </c>
      <c r="B5875" s="6">
        <v>5</v>
      </c>
      <c r="C5875" s="6" t="s">
        <v>63</v>
      </c>
      <c r="D5875" s="6" t="s">
        <v>722</v>
      </c>
      <c r="E5875" s="6" t="s">
        <v>452</v>
      </c>
      <c r="F5875" s="6" t="str">
        <f>IF($M5875="PADD I","PADD 1",IF($M5875="PADD II","PADD 2",IF($M5875="PADD III","PADD 3",IF($M5875="PADD IV","PADD 4",IF($M5875="PADD V","PADD 5","")))))</f>
        <v>PADD 4</v>
      </c>
      <c r="G5875" s="6" t="str">
        <f>IF(AND($H5875="ATMOS DISTILLATION",ISNUMBER(SEARCH("VPS",$I5875))=FALSE,LEFT($I5875,6)&lt;&gt;"VACUUM"),"CDU",IF($H5875="FLUID CAT CRACKING","FCC",IF(OR($H5875="HYDROCRACKING",$H5875="RESID_HYDROCRACKING"),"Hydrocracker",IF($H5875="REFORMING","Reformer",""))))</f>
        <v>CDU</v>
      </c>
      <c r="H5875" s="6" t="s">
        <v>38</v>
      </c>
      <c r="I5875" s="6" t="s">
        <v>1161</v>
      </c>
      <c r="J5875" s="6" t="s">
        <v>345</v>
      </c>
      <c r="K5875" s="10">
        <v>4.224</v>
      </c>
      <c r="L5875" s="10">
        <v>26.4</v>
      </c>
      <c r="M5875" s="6" t="s">
        <v>430</v>
      </c>
    </row>
    <row r="5876" spans="1:13">
      <c r="A5876" s="6">
        <v>2025</v>
      </c>
      <c r="B5876" s="6">
        <v>5</v>
      </c>
      <c r="C5876" s="6" t="s">
        <v>63</v>
      </c>
      <c r="D5876" s="6" t="s">
        <v>615</v>
      </c>
      <c r="E5876" s="6" t="s">
        <v>405</v>
      </c>
      <c r="F5876" s="6" t="str">
        <f>IF($M5876="PADD I","PADD 1",IF($M5876="PADD II","PADD 2",IF($M5876="PADD III","PADD 3",IF($M5876="PADD IV","PADD 4",IF($M5876="PADD V","PADD 5","")))))</f>
        <v>PADD 5</v>
      </c>
      <c r="G5876" s="6">
        <f>IF(AND($H5876="ATMOS DISTILLATION",ISNUMBER(SEARCH("VPS",$I5876))=FALSE,LEFT($I5876,6)&lt;&gt;"VACUUM"),"CDU",IF($H5876="FLUID CAT CRACKING","FCC",IF(OR($H5876="HYDROCRACKING",$H5876="RESID_HYDROCRACKING"),"Hydrocracker",IF($H5876="REFORMING","Reformer",""))))</f>
        <v/>
      </c>
      <c r="H5876" s="6" t="s">
        <v>43</v>
      </c>
      <c r="I5876" s="6" t="s">
        <v>1309</v>
      </c>
      <c r="J5876" s="6" t="s">
        <v>345</v>
      </c>
      <c r="K5876" s="10">
        <v>3.77</v>
      </c>
      <c r="L5876" s="10">
        <v>29</v>
      </c>
      <c r="M5876" s="6" t="s">
        <v>386</v>
      </c>
    </row>
    <row r="5877" spans="1:13">
      <c r="A5877" s="6">
        <v>2025</v>
      </c>
      <c r="B5877" s="6">
        <v>5</v>
      </c>
      <c r="C5877" s="6" t="s">
        <v>63</v>
      </c>
      <c r="D5877" s="6" t="s">
        <v>326</v>
      </c>
      <c r="E5877" s="6" t="s">
        <v>385</v>
      </c>
      <c r="F5877" s="6" t="str">
        <f>IF($M5877="PADD I","PADD 1",IF($M5877="PADD II","PADD 2",IF($M5877="PADD III","PADD 3",IF($M5877="PADD IV","PADD 4",IF($M5877="PADD V","PADD 5","")))))</f>
        <v>PADD 5</v>
      </c>
      <c r="G5877" s="6">
        <f>IF(AND($H5877="ATMOS DISTILLATION",ISNUMBER(SEARCH("VPS",$I5877))=FALSE,LEFT($I5877,6)&lt;&gt;"VACUUM"),"CDU",IF($H5877="FLUID CAT CRACKING","FCC",IF(OR($H5877="HYDROCRACKING",$H5877="RESID_HYDROCRACKING"),"Hydrocracker",IF($H5877="REFORMING","Reformer",""))))</f>
        <v/>
      </c>
      <c r="H5877" s="6" t="s">
        <v>435</v>
      </c>
      <c r="I5877" s="6" t="s">
        <v>441</v>
      </c>
      <c r="J5877" s="6" t="s">
        <v>345</v>
      </c>
      <c r="K5877" s="10">
        <v>3.696</v>
      </c>
      <c r="L5877" s="10">
        <v>7.7</v>
      </c>
      <c r="M5877" s="6" t="s">
        <v>386</v>
      </c>
    </row>
    <row r="5878" spans="1:13">
      <c r="A5878" s="6">
        <v>2025</v>
      </c>
      <c r="B5878" s="6">
        <v>5</v>
      </c>
      <c r="C5878" s="6" t="s">
        <v>63</v>
      </c>
      <c r="D5878" s="6" t="s">
        <v>615</v>
      </c>
      <c r="E5878" s="6" t="s">
        <v>405</v>
      </c>
      <c r="F5878" s="6" t="str">
        <f>IF($M5878="PADD I","PADD 1",IF($M5878="PADD II","PADD 2",IF($M5878="PADD III","PADD 3",IF($M5878="PADD IV","PADD 4",IF($M5878="PADD V","PADD 5","")))))</f>
        <v>PADD 5</v>
      </c>
      <c r="G5878" s="6">
        <f>IF(AND($H5878="ATMOS DISTILLATION",ISNUMBER(SEARCH("VPS",$I5878))=FALSE,LEFT($I5878,6)&lt;&gt;"VACUUM"),"CDU",IF($H5878="FLUID CAT CRACKING","FCC",IF(OR($H5878="HYDROCRACKING",$H5878="RESID_HYDROCRACKING"),"Hydrocracker",IF($H5878="REFORMING","Reformer",""))))</f>
        <v/>
      </c>
      <c r="H5878" s="6" t="s">
        <v>435</v>
      </c>
      <c r="I5878" s="6" t="s">
        <v>1135</v>
      </c>
      <c r="J5878" s="6" t="s">
        <v>345</v>
      </c>
      <c r="K5878" s="10">
        <v>3.64</v>
      </c>
      <c r="L5878" s="10">
        <v>28</v>
      </c>
      <c r="M5878" s="6" t="s">
        <v>386</v>
      </c>
    </row>
    <row r="5879" spans="1:13">
      <c r="A5879" s="6">
        <v>2025</v>
      </c>
      <c r="B5879" s="6">
        <v>5</v>
      </c>
      <c r="C5879" s="6" t="s">
        <v>63</v>
      </c>
      <c r="D5879" s="6" t="s">
        <v>727</v>
      </c>
      <c r="E5879" s="6" t="s">
        <v>728</v>
      </c>
      <c r="F5879" s="6" t="str">
        <f>IF($M5879="PADD I","PADD 1",IF($M5879="PADD II","PADD 2",IF($M5879="PADD III","PADD 3",IF($M5879="PADD IV","PADD 4",IF($M5879="PADD V","PADD 5","")))))</f>
        <v>PADD 1</v>
      </c>
      <c r="G5879" s="6" t="str">
        <f>IF(AND($H5879="ATMOS DISTILLATION",ISNUMBER(SEARCH("VPS",$I5879))=FALSE,LEFT($I5879,6)&lt;&gt;"VACUUM"),"CDU",IF($H5879="FLUID CAT CRACKING","FCC",IF(OR($H5879="HYDROCRACKING",$H5879="RESID_HYDROCRACKING"),"Hydrocracker",IF($H5879="REFORMING","Reformer",""))))</f>
        <v>Reformer</v>
      </c>
      <c r="H5879" s="6" t="s">
        <v>421</v>
      </c>
      <c r="I5879" s="6" t="s">
        <v>571</v>
      </c>
      <c r="J5879" s="6" t="s">
        <v>349</v>
      </c>
      <c r="K5879" s="10">
        <v>3.6</v>
      </c>
      <c r="L5879" s="10">
        <v>3.6</v>
      </c>
      <c r="M5879" s="6" t="s">
        <v>413</v>
      </c>
    </row>
    <row r="5880" spans="1:13">
      <c r="A5880" s="6">
        <v>2025</v>
      </c>
      <c r="B5880" s="6">
        <v>5</v>
      </c>
      <c r="C5880" s="6" t="s">
        <v>63</v>
      </c>
      <c r="D5880" s="6" t="s">
        <v>770</v>
      </c>
      <c r="E5880" s="6" t="s">
        <v>660</v>
      </c>
      <c r="F5880" s="6" t="str">
        <f>IF($M5880="PADD I","PADD 1",IF($M5880="PADD II","PADD 2",IF($M5880="PADD III","PADD 3",IF($M5880="PADD IV","PADD 4",IF($M5880="PADD V","PADD 5","")))))</f>
        <v>PADD 3</v>
      </c>
      <c r="G5880" s="6">
        <f>IF(AND($H5880="ATMOS DISTILLATION",ISNUMBER(SEARCH("VPS",$I5880))=FALSE,LEFT($I5880,6)&lt;&gt;"VACUUM"),"CDU",IF($H5880="FLUID CAT CRACKING","FCC",IF(OR($H5880="HYDROCRACKING",$H5880="RESID_HYDROCRACKING"),"Hydrocracker",IF($H5880="REFORMING","Reformer",""))))</f>
        <v/>
      </c>
      <c r="H5880" s="6" t="s">
        <v>43</v>
      </c>
      <c r="I5880" s="6" t="s">
        <v>626</v>
      </c>
      <c r="J5880" s="6" t="s">
        <v>345</v>
      </c>
      <c r="K5880" s="10">
        <v>3.52</v>
      </c>
      <c r="L5880" s="10">
        <v>22</v>
      </c>
      <c r="M5880" s="6" t="s">
        <v>371</v>
      </c>
    </row>
    <row r="5881" spans="1:13">
      <c r="A5881" s="6">
        <v>2025</v>
      </c>
      <c r="B5881" s="6">
        <v>5</v>
      </c>
      <c r="C5881" s="6" t="s">
        <v>63</v>
      </c>
      <c r="D5881" s="6" t="s">
        <v>770</v>
      </c>
      <c r="E5881" s="6" t="s">
        <v>660</v>
      </c>
      <c r="F5881" s="6" t="str">
        <f>IF($M5881="PADD I","PADD 1",IF($M5881="PADD II","PADD 2",IF($M5881="PADD III","PADD 3",IF($M5881="PADD IV","PADD 4",IF($M5881="PADD V","PADD 5","")))))</f>
        <v>PADD 3</v>
      </c>
      <c r="G5881" s="6">
        <f>IF(AND($H5881="ATMOS DISTILLATION",ISNUMBER(SEARCH("VPS",$I5881))=FALSE,LEFT($I5881,6)&lt;&gt;"VACUUM"),"CDU",IF($H5881="FLUID CAT CRACKING","FCC",IF(OR($H5881="HYDROCRACKING",$H5881="RESID_HYDROCRACKING"),"Hydrocracker",IF($H5881="REFORMING","Reformer",""))))</f>
        <v/>
      </c>
      <c r="H5881" s="6" t="s">
        <v>43</v>
      </c>
      <c r="I5881" s="6" t="s">
        <v>781</v>
      </c>
      <c r="J5881" s="6" t="s">
        <v>345</v>
      </c>
      <c r="K5881" s="10">
        <v>3.52</v>
      </c>
      <c r="L5881" s="10">
        <v>22</v>
      </c>
      <c r="M5881" s="6" t="s">
        <v>371</v>
      </c>
    </row>
    <row r="5882" spans="1:13">
      <c r="A5882" s="6">
        <v>2025</v>
      </c>
      <c r="B5882" s="6">
        <v>5</v>
      </c>
      <c r="C5882" s="6" t="s">
        <v>63</v>
      </c>
      <c r="D5882" s="6" t="s">
        <v>326</v>
      </c>
      <c r="E5882" s="6" t="s">
        <v>385</v>
      </c>
      <c r="F5882" s="6" t="str">
        <f>IF($M5882="PADD I","PADD 1",IF($M5882="PADD II","PADD 2",IF($M5882="PADD III","PADD 3",IF($M5882="PADD IV","PADD 4",IF($M5882="PADD V","PADD 5","")))))</f>
        <v>PADD 5</v>
      </c>
      <c r="G5882" s="6">
        <f>IF(AND($H5882="ATMOS DISTILLATION",ISNUMBER(SEARCH("VPS",$I5882))=FALSE,LEFT($I5882,6)&lt;&gt;"VACUUM"),"CDU",IF($H5882="FLUID CAT CRACKING","FCC",IF(OR($H5882="HYDROCRACKING",$H5882="RESID_HYDROCRACKING"),"Hydrocracker",IF($H5882="REFORMING","Reformer",""))))</f>
        <v/>
      </c>
      <c r="H5882" s="6" t="s">
        <v>435</v>
      </c>
      <c r="I5882" s="6" t="s">
        <v>813</v>
      </c>
      <c r="J5882" s="6" t="s">
        <v>345</v>
      </c>
      <c r="K5882" s="10">
        <v>3.5136</v>
      </c>
      <c r="L5882" s="10">
        <v>7.32</v>
      </c>
      <c r="M5882" s="6" t="s">
        <v>386</v>
      </c>
    </row>
    <row r="5883" spans="1:13">
      <c r="A5883" s="6">
        <v>2025</v>
      </c>
      <c r="B5883" s="6">
        <v>5</v>
      </c>
      <c r="C5883" s="6" t="s">
        <v>63</v>
      </c>
      <c r="D5883" s="6" t="s">
        <v>448</v>
      </c>
      <c r="E5883" s="6" t="s">
        <v>391</v>
      </c>
      <c r="F5883" s="6" t="str">
        <f>IF($M5883="PADD I","PADD 1",IF($M5883="PADD II","PADD 2",IF($M5883="PADD III","PADD 3",IF($M5883="PADD IV","PADD 4",IF($M5883="PADD V","PADD 5","")))))</f>
        <v>PADD 3</v>
      </c>
      <c r="G5883" s="6">
        <f>IF(AND($H5883="ATMOS DISTILLATION",ISNUMBER(SEARCH("VPS",$I5883))=FALSE,LEFT($I5883,6)&lt;&gt;"VACUUM"),"CDU",IF($H5883="FLUID CAT CRACKING","FCC",IF(OR($H5883="HYDROCRACKING",$H5883="RESID_HYDROCRACKING"),"Hydrocracker",IF($H5883="REFORMING","Reformer",""))))</f>
        <v/>
      </c>
      <c r="H5883" s="6" t="s">
        <v>43</v>
      </c>
      <c r="I5883" s="6" t="s">
        <v>449</v>
      </c>
      <c r="J5883" s="6" t="s">
        <v>345</v>
      </c>
      <c r="K5883" s="10">
        <v>3.5</v>
      </c>
      <c r="L5883" s="10">
        <v>35</v>
      </c>
      <c r="M5883" s="6" t="s">
        <v>371</v>
      </c>
    </row>
    <row r="5884" spans="1:13">
      <c r="A5884" s="6">
        <v>2025</v>
      </c>
      <c r="B5884" s="6">
        <v>5</v>
      </c>
      <c r="C5884" s="6" t="s">
        <v>63</v>
      </c>
      <c r="D5884" s="6" t="s">
        <v>329</v>
      </c>
      <c r="E5884" s="6" t="s">
        <v>427</v>
      </c>
      <c r="F5884" s="6" t="str">
        <f>IF($M5884="PADD I","PADD 1",IF($M5884="PADD II","PADD 2",IF($M5884="PADD III","PADD 3",IF($M5884="PADD IV","PADD 4",IF($M5884="PADD V","PADD 5","")))))</f>
        <v>PADD 3</v>
      </c>
      <c r="G5884" s="6">
        <f>IF(AND($H5884="ATMOS DISTILLATION",ISNUMBER(SEARCH("VPS",$I5884))=FALSE,LEFT($I5884,6)&lt;&gt;"VACUUM"),"CDU",IF($H5884="FLUID CAT CRACKING","FCC",IF(OR($H5884="HYDROCRACKING",$H5884="RESID_HYDROCRACKING"),"Hydrocracker",IF($H5884="REFORMING","Reformer",""))))</f>
        <v/>
      </c>
      <c r="H5884" s="6" t="s">
        <v>378</v>
      </c>
      <c r="I5884" s="6" t="s">
        <v>428</v>
      </c>
      <c r="J5884" s="6" t="s">
        <v>345</v>
      </c>
      <c r="K5884" s="10">
        <v>3.36</v>
      </c>
      <c r="L5884" s="10">
        <v>112</v>
      </c>
      <c r="M5884" s="6" t="s">
        <v>371</v>
      </c>
    </row>
    <row r="5885" spans="1:13">
      <c r="A5885" s="6">
        <v>2025</v>
      </c>
      <c r="B5885" s="6">
        <v>5</v>
      </c>
      <c r="C5885" s="6" t="s">
        <v>63</v>
      </c>
      <c r="D5885" s="6" t="s">
        <v>801</v>
      </c>
      <c r="E5885" s="6" t="s">
        <v>779</v>
      </c>
      <c r="F5885" s="6" t="str">
        <f>IF($M5885="PADD I","PADD 1",IF($M5885="PADD II","PADD 2",IF($M5885="PADD III","PADD 3",IF($M5885="PADD IV","PADD 4",IF($M5885="PADD V","PADD 5","")))))</f>
        <v>PADD 2</v>
      </c>
      <c r="G5885" s="6">
        <f>IF(AND($H5885="ATMOS DISTILLATION",ISNUMBER(SEARCH("VPS",$I5885))=FALSE,LEFT($I5885,6)&lt;&gt;"VACUUM"),"CDU",IF($H5885="FLUID CAT CRACKING","FCC",IF(OR($H5885="HYDROCRACKING",$H5885="RESID_HYDROCRACKING"),"Hydrocracker",IF($H5885="REFORMING","Reformer",""))))</f>
        <v/>
      </c>
      <c r="H5885" s="6" t="s">
        <v>435</v>
      </c>
      <c r="I5885" s="6" t="s">
        <v>1179</v>
      </c>
      <c r="J5885" s="6" t="s">
        <v>345</v>
      </c>
      <c r="K5885" s="10">
        <v>3.12</v>
      </c>
      <c r="L5885" s="10">
        <v>24</v>
      </c>
      <c r="M5885" s="6" t="s">
        <v>375</v>
      </c>
    </row>
    <row r="5886" spans="1:13">
      <c r="A5886" s="6">
        <v>2025</v>
      </c>
      <c r="B5886" s="6">
        <v>5</v>
      </c>
      <c r="C5886" s="6" t="s">
        <v>63</v>
      </c>
      <c r="D5886" s="6" t="s">
        <v>772</v>
      </c>
      <c r="E5886" s="6" t="s">
        <v>405</v>
      </c>
      <c r="F5886" s="6" t="str">
        <f>IF($M5886="PADD I","PADD 1",IF($M5886="PADD II","PADD 2",IF($M5886="PADD III","PADD 3",IF($M5886="PADD IV","PADD 4",IF($M5886="PADD V","PADD 5","")))))</f>
        <v>PADD 3</v>
      </c>
      <c r="G5886" s="6" t="str">
        <f>IF(AND($H5886="ATMOS DISTILLATION",ISNUMBER(SEARCH("VPS",$I5886))=FALSE,LEFT($I5886,6)&lt;&gt;"VACUUM"),"CDU",IF($H5886="FLUID CAT CRACKING","FCC",IF(OR($H5886="HYDROCRACKING",$H5886="RESID_HYDROCRACKING"),"Hydrocracker",IF($H5886="REFORMING","Reformer",""))))</f>
        <v>CDU</v>
      </c>
      <c r="H5886" s="6" t="s">
        <v>38</v>
      </c>
      <c r="I5886" s="6" t="s">
        <v>1310</v>
      </c>
      <c r="J5886" s="6" t="s">
        <v>345</v>
      </c>
      <c r="K5886" s="10">
        <v>3.075</v>
      </c>
      <c r="L5886" s="10">
        <v>102.5</v>
      </c>
      <c r="M5886" s="6" t="s">
        <v>371</v>
      </c>
    </row>
    <row r="5887" spans="1:13">
      <c r="A5887" s="6">
        <v>2025</v>
      </c>
      <c r="B5887" s="6">
        <v>5</v>
      </c>
      <c r="C5887" s="6" t="s">
        <v>63</v>
      </c>
      <c r="D5887" s="6" t="s">
        <v>772</v>
      </c>
      <c r="E5887" s="6" t="s">
        <v>405</v>
      </c>
      <c r="F5887" s="6" t="str">
        <f>IF($M5887="PADD I","PADD 1",IF($M5887="PADD II","PADD 2",IF($M5887="PADD III","PADD 3",IF($M5887="PADD IV","PADD 4",IF($M5887="PADD V","PADD 5","")))))</f>
        <v>PADD 3</v>
      </c>
      <c r="G5887" s="6" t="str">
        <f>IF(AND($H5887="ATMOS DISTILLATION",ISNUMBER(SEARCH("VPS",$I5887))=FALSE,LEFT($I5887,6)&lt;&gt;"VACUUM"),"CDU",IF($H5887="FLUID CAT CRACKING","FCC",IF(OR($H5887="HYDROCRACKING",$H5887="RESID_HYDROCRACKING"),"Hydrocracker",IF($H5887="REFORMING","Reformer",""))))</f>
        <v>CDU</v>
      </c>
      <c r="H5887" s="6" t="s">
        <v>38</v>
      </c>
      <c r="I5887" s="6" t="s">
        <v>1310</v>
      </c>
      <c r="J5887" s="6" t="s">
        <v>345</v>
      </c>
      <c r="K5887" s="10">
        <v>3.075</v>
      </c>
      <c r="L5887" s="10">
        <v>102.5</v>
      </c>
      <c r="M5887" s="6" t="s">
        <v>371</v>
      </c>
    </row>
    <row r="5888" spans="1:13">
      <c r="A5888" s="6">
        <v>2025</v>
      </c>
      <c r="B5888" s="6">
        <v>5</v>
      </c>
      <c r="C5888" s="6" t="s">
        <v>63</v>
      </c>
      <c r="D5888" s="6" t="s">
        <v>815</v>
      </c>
      <c r="E5888" s="6" t="s">
        <v>452</v>
      </c>
      <c r="F5888" s="6" t="str">
        <f>IF($M5888="PADD I","PADD 1",IF($M5888="PADD II","PADD 2",IF($M5888="PADD III","PADD 3",IF($M5888="PADD IV","PADD 4",IF($M5888="PADD V","PADD 5","")))))</f>
        <v>PADD 4</v>
      </c>
      <c r="G5888" s="6">
        <f>IF(AND($H5888="ATMOS DISTILLATION",ISNUMBER(SEARCH("VPS",$I5888))=FALSE,LEFT($I5888,6)&lt;&gt;"VACUUM"),"CDU",IF($H5888="FLUID CAT CRACKING","FCC",IF(OR($H5888="HYDROCRACKING",$H5888="RESID_HYDROCRACKING"),"Hydrocracker",IF($H5888="REFORMING","Reformer",""))))</f>
        <v/>
      </c>
      <c r="H5888" s="6" t="s">
        <v>460</v>
      </c>
      <c r="I5888" s="6" t="s">
        <v>461</v>
      </c>
      <c r="J5888" s="6" t="s">
        <v>349</v>
      </c>
      <c r="K5888" s="10">
        <v>3.06</v>
      </c>
      <c r="L5888" s="10">
        <v>4.5</v>
      </c>
      <c r="M5888" s="6" t="s">
        <v>430</v>
      </c>
    </row>
    <row r="5889" spans="1:13">
      <c r="A5889" s="6">
        <v>2025</v>
      </c>
      <c r="B5889" s="6">
        <v>5</v>
      </c>
      <c r="C5889" s="6" t="s">
        <v>63</v>
      </c>
      <c r="D5889" s="6" t="s">
        <v>878</v>
      </c>
      <c r="E5889" s="6" t="s">
        <v>452</v>
      </c>
      <c r="F5889" s="6" t="str">
        <f>IF($M5889="PADD I","PADD 1",IF($M5889="PADD II","PADD 2",IF($M5889="PADD III","PADD 3",IF($M5889="PADD IV","PADD 4",IF($M5889="PADD V","PADD 5","")))))</f>
        <v>PADD 2</v>
      </c>
      <c r="G5889" s="6">
        <f>IF(AND($H5889="ATMOS DISTILLATION",ISNUMBER(SEARCH("VPS",$I5889))=FALSE,LEFT($I5889,6)&lt;&gt;"VACUUM"),"CDU",IF($H5889="FLUID CAT CRACKING","FCC",IF(OR($H5889="HYDROCRACKING",$H5889="RESID_HYDROCRACKING"),"Hydrocracker",IF($H5889="REFORMING","Reformer",""))))</f>
        <v/>
      </c>
      <c r="H5889" s="6" t="s">
        <v>435</v>
      </c>
      <c r="I5889" s="6" t="s">
        <v>441</v>
      </c>
      <c r="J5889" s="6" t="s">
        <v>345</v>
      </c>
      <c r="K5889" s="10">
        <v>2.975</v>
      </c>
      <c r="L5889" s="10">
        <v>8.5</v>
      </c>
      <c r="M5889" s="6" t="s">
        <v>375</v>
      </c>
    </row>
    <row r="5890" spans="1:13">
      <c r="A5890" s="6">
        <v>2025</v>
      </c>
      <c r="B5890" s="6">
        <v>5</v>
      </c>
      <c r="C5890" s="6" t="s">
        <v>63</v>
      </c>
      <c r="D5890" s="6" t="s">
        <v>770</v>
      </c>
      <c r="E5890" s="6" t="s">
        <v>660</v>
      </c>
      <c r="F5890" s="6" t="str">
        <f>IF($M5890="PADD I","PADD 1",IF($M5890="PADD II","PADD 2",IF($M5890="PADD III","PADD 3",IF($M5890="PADD IV","PADD 4",IF($M5890="PADD V","PADD 5","")))))</f>
        <v>PADD 3</v>
      </c>
      <c r="G5890" s="6" t="str">
        <f>IF(AND($H5890="ATMOS DISTILLATION",ISNUMBER(SEARCH("VPS",$I5890))=FALSE,LEFT($I5890,6)&lt;&gt;"VACUUM"),"CDU",IF($H5890="FLUID CAT CRACKING","FCC",IF(OR($H5890="HYDROCRACKING",$H5890="RESID_HYDROCRACKING"),"Hydrocracker",IF($H5890="REFORMING","Reformer",""))))</f>
        <v>Hydrocracker</v>
      </c>
      <c r="H5890" s="6" t="s">
        <v>444</v>
      </c>
      <c r="I5890" s="6" t="s">
        <v>14</v>
      </c>
      <c r="J5890" s="6" t="s">
        <v>345</v>
      </c>
      <c r="K5890" s="10">
        <v>2.96</v>
      </c>
      <c r="L5890" s="10">
        <v>18.5</v>
      </c>
      <c r="M5890" s="6" t="s">
        <v>371</v>
      </c>
    </row>
    <row r="5891" spans="1:13">
      <c r="A5891" s="6">
        <v>2025</v>
      </c>
      <c r="B5891" s="6">
        <v>5</v>
      </c>
      <c r="C5891" s="6" t="s">
        <v>63</v>
      </c>
      <c r="D5891" s="6" t="s">
        <v>723</v>
      </c>
      <c r="E5891" s="6" t="s">
        <v>724</v>
      </c>
      <c r="F5891" s="6" t="str">
        <f>IF($M5891="PADD I","PADD 1",IF($M5891="PADD II","PADD 2",IF($M5891="PADD III","PADD 3",IF($M5891="PADD IV","PADD 4",IF($M5891="PADD V","PADD 5","")))))</f>
        <v>PADD 4</v>
      </c>
      <c r="G5891" s="6">
        <f>IF(AND($H5891="ATMOS DISTILLATION",ISNUMBER(SEARCH("VPS",$I5891))=FALSE,LEFT($I5891,6)&lt;&gt;"VACUUM"),"CDU",IF($H5891="FLUID CAT CRACKING","FCC",IF(OR($H5891="HYDROCRACKING",$H5891="RESID_HYDROCRACKING"),"Hydrocracker",IF($H5891="REFORMING","Reformer",""))))</f>
        <v/>
      </c>
      <c r="H5891" s="6" t="s">
        <v>460</v>
      </c>
      <c r="I5891" s="6" t="s">
        <v>616</v>
      </c>
      <c r="J5891" s="6" t="s">
        <v>349</v>
      </c>
      <c r="K5891" s="10">
        <v>2.925</v>
      </c>
      <c r="L5891" s="10">
        <v>4.5</v>
      </c>
      <c r="M5891" s="6" t="s">
        <v>430</v>
      </c>
    </row>
    <row r="5892" spans="1:13">
      <c r="A5892" s="6">
        <v>2025</v>
      </c>
      <c r="B5892" s="6">
        <v>5</v>
      </c>
      <c r="C5892" s="6" t="s">
        <v>63</v>
      </c>
      <c r="D5892" s="6" t="s">
        <v>772</v>
      </c>
      <c r="E5892" s="6" t="s">
        <v>405</v>
      </c>
      <c r="F5892" s="6" t="str">
        <f>IF($M5892="PADD I","PADD 1",IF($M5892="PADD II","PADD 2",IF($M5892="PADD III","PADD 3",IF($M5892="PADD IV","PADD 4",IF($M5892="PADD V","PADD 5","")))))</f>
        <v>PADD 3</v>
      </c>
      <c r="G5892" s="6" t="str">
        <f>IF(AND($H5892="ATMOS DISTILLATION",ISNUMBER(SEARCH("VPS",$I5892))=FALSE,LEFT($I5892,6)&lt;&gt;"VACUUM"),"CDU",IF($H5892="FLUID CAT CRACKING","FCC",IF(OR($H5892="HYDROCRACKING",$H5892="RESID_HYDROCRACKING"),"Hydrocracker",IF($H5892="REFORMING","Reformer",""))))</f>
        <v>FCC</v>
      </c>
      <c r="H5892" s="6" t="s">
        <v>376</v>
      </c>
      <c r="I5892" s="6" t="s">
        <v>773</v>
      </c>
      <c r="J5892" s="6" t="s">
        <v>345</v>
      </c>
      <c r="K5892" s="10">
        <v>2.88</v>
      </c>
      <c r="L5892" s="10">
        <v>96</v>
      </c>
      <c r="M5892" s="6" t="s">
        <v>371</v>
      </c>
    </row>
    <row r="5893" spans="1:13">
      <c r="A5893" s="6">
        <v>2025</v>
      </c>
      <c r="B5893" s="6">
        <v>5</v>
      </c>
      <c r="C5893" s="6" t="s">
        <v>63</v>
      </c>
      <c r="D5893" s="6" t="s">
        <v>772</v>
      </c>
      <c r="E5893" s="6" t="s">
        <v>405</v>
      </c>
      <c r="F5893" s="6" t="str">
        <f>IF($M5893="PADD I","PADD 1",IF($M5893="PADD II","PADD 2",IF($M5893="PADD III","PADD 3",IF($M5893="PADD IV","PADD 4",IF($M5893="PADD V","PADD 5","")))))</f>
        <v>PADD 3</v>
      </c>
      <c r="G5893" s="6" t="str">
        <f>IF(AND($H5893="ATMOS DISTILLATION",ISNUMBER(SEARCH("VPS",$I5893))=FALSE,LEFT($I5893,6)&lt;&gt;"VACUUM"),"CDU",IF($H5893="FLUID CAT CRACKING","FCC",IF(OR($H5893="HYDROCRACKING",$H5893="RESID_HYDROCRACKING"),"Hydrocracker",IF($H5893="REFORMING","Reformer",""))))</f>
        <v>FCC</v>
      </c>
      <c r="H5893" s="6" t="s">
        <v>376</v>
      </c>
      <c r="I5893" s="6" t="s">
        <v>773</v>
      </c>
      <c r="J5893" s="6" t="s">
        <v>345</v>
      </c>
      <c r="K5893" s="10">
        <v>2.88</v>
      </c>
      <c r="L5893" s="10">
        <v>96</v>
      </c>
      <c r="M5893" s="6" t="s">
        <v>371</v>
      </c>
    </row>
    <row r="5894" spans="1:13">
      <c r="A5894" s="6">
        <v>2025</v>
      </c>
      <c r="B5894" s="6">
        <v>5</v>
      </c>
      <c r="C5894" s="6" t="s">
        <v>63</v>
      </c>
      <c r="D5894" s="6" t="s">
        <v>878</v>
      </c>
      <c r="E5894" s="6" t="s">
        <v>452</v>
      </c>
      <c r="F5894" s="6" t="str">
        <f>IF($M5894="PADD I","PADD 1",IF($M5894="PADD II","PADD 2",IF($M5894="PADD III","PADD 3",IF($M5894="PADD IV","PADD 4",IF($M5894="PADD V","PADD 5","")))))</f>
        <v>PADD 2</v>
      </c>
      <c r="G5894" s="6" t="str">
        <f>IF(AND($H5894="ATMOS DISTILLATION",ISNUMBER(SEARCH("VPS",$I5894))=FALSE,LEFT($I5894,6)&lt;&gt;"VACUUM"),"CDU",IF($H5894="FLUID CAT CRACKING","FCC",IF(OR($H5894="HYDROCRACKING",$H5894="RESID_HYDROCRACKING"),"Hydrocracker",IF($H5894="REFORMING","Reformer",""))))</f>
        <v>CDU</v>
      </c>
      <c r="H5894" s="6" t="s">
        <v>38</v>
      </c>
      <c r="I5894" s="6" t="s">
        <v>879</v>
      </c>
      <c r="J5894" s="6" t="s">
        <v>345</v>
      </c>
      <c r="K5894" s="10">
        <v>2.7306</v>
      </c>
      <c r="L5894" s="10">
        <v>91.02</v>
      </c>
      <c r="M5894" s="6" t="s">
        <v>375</v>
      </c>
    </row>
    <row r="5895" spans="1:13">
      <c r="A5895" s="6">
        <v>2025</v>
      </c>
      <c r="B5895" s="6">
        <v>5</v>
      </c>
      <c r="C5895" s="6" t="s">
        <v>63</v>
      </c>
      <c r="D5895" s="6" t="s">
        <v>531</v>
      </c>
      <c r="E5895" s="6" t="s">
        <v>532</v>
      </c>
      <c r="F5895" s="6" t="str">
        <f>IF($M5895="PADD I","PADD 1",IF($M5895="PADD II","PADD 2",IF($M5895="PADD III","PADD 3",IF($M5895="PADD IV","PADD 4",IF($M5895="PADD V","PADD 5","")))))</f>
        <v>PADD 5</v>
      </c>
      <c r="G5895" s="6" t="str">
        <f>IF(AND($H5895="ATMOS DISTILLATION",ISNUMBER(SEARCH("VPS",$I5895))=FALSE,LEFT($I5895,6)&lt;&gt;"VACUUM"),"CDU",IF($H5895="FLUID CAT CRACKING","FCC",IF(OR($H5895="HYDROCRACKING",$H5895="RESID_HYDROCRACKING"),"Hydrocracker",IF($H5895="REFORMING","Reformer",""))))</f>
        <v>Reformer</v>
      </c>
      <c r="H5895" s="6" t="s">
        <v>421</v>
      </c>
      <c r="I5895" s="6" t="s">
        <v>557</v>
      </c>
      <c r="J5895" s="6" t="s">
        <v>345</v>
      </c>
      <c r="K5895" s="10">
        <v>2.7</v>
      </c>
      <c r="L5895" s="10">
        <v>45</v>
      </c>
      <c r="M5895" s="6" t="s">
        <v>386</v>
      </c>
    </row>
    <row r="5896" spans="1:13">
      <c r="A5896" s="6">
        <v>2025</v>
      </c>
      <c r="B5896" s="6">
        <v>5</v>
      </c>
      <c r="C5896" s="6" t="s">
        <v>63</v>
      </c>
      <c r="D5896" s="6" t="s">
        <v>321</v>
      </c>
      <c r="E5896" s="6" t="s">
        <v>381</v>
      </c>
      <c r="F5896" s="6" t="str">
        <f>IF($M5896="PADD I","PADD 1",IF($M5896="PADD II","PADD 2",IF($M5896="PADD III","PADD 3",IF($M5896="PADD IV","PADD 4",IF($M5896="PADD V","PADD 5","")))))</f>
        <v>PADD 2</v>
      </c>
      <c r="G5896" s="6">
        <f>IF(AND($H5896="ATMOS DISTILLATION",ISNUMBER(SEARCH("VPS",$I5896))=FALSE,LEFT($I5896,6)&lt;&gt;"VACUUM"),"CDU",IF($H5896="FLUID CAT CRACKING","FCC",IF(OR($H5896="HYDROCRACKING",$H5896="RESID_HYDROCRACKING"),"Hydrocracker",IF($H5896="REFORMING","Reformer",""))))</f>
        <v/>
      </c>
      <c r="H5896" s="6" t="s">
        <v>43</v>
      </c>
      <c r="I5896" s="6" t="s">
        <v>1164</v>
      </c>
      <c r="J5896" s="6" t="s">
        <v>349</v>
      </c>
      <c r="K5896" s="10">
        <v>2.7</v>
      </c>
      <c r="L5896" s="10">
        <v>90</v>
      </c>
      <c r="M5896" s="6" t="s">
        <v>375</v>
      </c>
    </row>
    <row r="5897" spans="1:13">
      <c r="A5897" s="6">
        <v>2025</v>
      </c>
      <c r="B5897" s="6">
        <v>5</v>
      </c>
      <c r="C5897" s="6" t="s">
        <v>63</v>
      </c>
      <c r="D5897" s="6" t="s">
        <v>615</v>
      </c>
      <c r="E5897" s="6" t="s">
        <v>405</v>
      </c>
      <c r="F5897" s="6" t="str">
        <f>IF($M5897="PADD I","PADD 1",IF($M5897="PADD II","PADD 2",IF($M5897="PADD III","PADD 3",IF($M5897="PADD IV","PADD 4",IF($M5897="PADD V","PADD 5","")))))</f>
        <v>PADD 5</v>
      </c>
      <c r="G5897" s="6">
        <f>IF(AND($H5897="ATMOS DISTILLATION",ISNUMBER(SEARCH("VPS",$I5897))=FALSE,LEFT($I5897,6)&lt;&gt;"VACUUM"),"CDU",IF($H5897="FLUID CAT CRACKING","FCC",IF(OR($H5897="HYDROCRACKING",$H5897="RESID_HYDROCRACKING"),"Hydrocracker",IF($H5897="REFORMING","Reformer",""))))</f>
        <v/>
      </c>
      <c r="H5897" s="6" t="s">
        <v>460</v>
      </c>
      <c r="I5897" s="6" t="s">
        <v>461</v>
      </c>
      <c r="J5897" s="6" t="s">
        <v>345</v>
      </c>
      <c r="K5897" s="10">
        <v>2.6</v>
      </c>
      <c r="L5897" s="10">
        <v>20</v>
      </c>
      <c r="M5897" s="6" t="s">
        <v>386</v>
      </c>
    </row>
    <row r="5898" spans="1:13">
      <c r="A5898" s="6">
        <v>2025</v>
      </c>
      <c r="B5898" s="6">
        <v>5</v>
      </c>
      <c r="C5898" s="6" t="s">
        <v>63</v>
      </c>
      <c r="D5898" s="6" t="s">
        <v>770</v>
      </c>
      <c r="E5898" s="6" t="s">
        <v>660</v>
      </c>
      <c r="F5898" s="6" t="str">
        <f>IF($M5898="PADD I","PADD 1",IF($M5898="PADD II","PADD 2",IF($M5898="PADD III","PADD 3",IF($M5898="PADD IV","PADD 4",IF($M5898="PADD V","PADD 5","")))))</f>
        <v>PADD 3</v>
      </c>
      <c r="G5898" s="6" t="str">
        <f>IF(AND($H5898="ATMOS DISTILLATION",ISNUMBER(SEARCH("VPS",$I5898))=FALSE,LEFT($I5898,6)&lt;&gt;"VACUUM"),"CDU",IF($H5898="FLUID CAT CRACKING","FCC",IF(OR($H5898="HYDROCRACKING",$H5898="RESID_HYDROCRACKING"),"Hydrocracker",IF($H5898="REFORMING","Reformer",""))))</f>
        <v>Reformer</v>
      </c>
      <c r="H5898" s="6" t="s">
        <v>421</v>
      </c>
      <c r="I5898" s="6" t="s">
        <v>783</v>
      </c>
      <c r="J5898" s="6" t="s">
        <v>345</v>
      </c>
      <c r="K5898" s="10">
        <v>2.56</v>
      </c>
      <c r="L5898" s="10">
        <v>16</v>
      </c>
      <c r="M5898" s="6" t="s">
        <v>371</v>
      </c>
    </row>
    <row r="5899" spans="1:13">
      <c r="A5899" s="6">
        <v>2025</v>
      </c>
      <c r="B5899" s="6">
        <v>5</v>
      </c>
      <c r="C5899" s="6" t="s">
        <v>63</v>
      </c>
      <c r="D5899" s="6" t="s">
        <v>878</v>
      </c>
      <c r="E5899" s="6" t="s">
        <v>452</v>
      </c>
      <c r="F5899" s="6" t="str">
        <f>IF($M5899="PADD I","PADD 1",IF($M5899="PADD II","PADD 2",IF($M5899="PADD III","PADD 3",IF($M5899="PADD IV","PADD 4",IF($M5899="PADD V","PADD 5","")))))</f>
        <v>PADD 2</v>
      </c>
      <c r="G5899" s="6" t="str">
        <f>IF(AND($H5899="ATMOS DISTILLATION",ISNUMBER(SEARCH("VPS",$I5899))=FALSE,LEFT($I5899,6)&lt;&gt;"VACUUM"),"CDU",IF($H5899="FLUID CAT CRACKING","FCC",IF(OR($H5899="HYDROCRACKING",$H5899="RESID_HYDROCRACKING"),"Hydrocracker",IF($H5899="REFORMING","Reformer",""))))</f>
        <v>CDU</v>
      </c>
      <c r="H5899" s="6" t="s">
        <v>38</v>
      </c>
      <c r="I5899" s="6" t="s">
        <v>879</v>
      </c>
      <c r="J5899" s="6" t="s">
        <v>345</v>
      </c>
      <c r="K5899" s="10">
        <v>2.55</v>
      </c>
      <c r="L5899" s="10">
        <v>85</v>
      </c>
      <c r="M5899" s="6" t="s">
        <v>375</v>
      </c>
    </row>
    <row r="5900" spans="1:13">
      <c r="A5900" s="6">
        <v>2025</v>
      </c>
      <c r="B5900" s="6">
        <v>5</v>
      </c>
      <c r="C5900" s="6" t="s">
        <v>63</v>
      </c>
      <c r="D5900" s="6" t="s">
        <v>770</v>
      </c>
      <c r="E5900" s="6" t="s">
        <v>660</v>
      </c>
      <c r="F5900" s="6" t="str">
        <f>IF($M5900="PADD I","PADD 1",IF($M5900="PADD II","PADD 2",IF($M5900="PADD III","PADD 3",IF($M5900="PADD IV","PADD 4",IF($M5900="PADD V","PADD 5","")))))</f>
        <v>PADD 3</v>
      </c>
      <c r="G5900" s="6">
        <f>IF(AND($H5900="ATMOS DISTILLATION",ISNUMBER(SEARCH("VPS",$I5900))=FALSE,LEFT($I5900,6)&lt;&gt;"VACUUM"),"CDU",IF($H5900="FLUID CAT CRACKING","FCC",IF(OR($H5900="HYDROCRACKING",$H5900="RESID_HYDROCRACKING"),"Hydrocracker",IF($H5900="REFORMING","Reformer",""))))</f>
        <v/>
      </c>
      <c r="H5900" s="6" t="s">
        <v>43</v>
      </c>
      <c r="I5900" s="6" t="s">
        <v>784</v>
      </c>
      <c r="J5900" s="6" t="s">
        <v>345</v>
      </c>
      <c r="K5900" s="10">
        <v>2.4</v>
      </c>
      <c r="L5900" s="10">
        <v>15</v>
      </c>
      <c r="M5900" s="6" t="s">
        <v>371</v>
      </c>
    </row>
    <row r="5901" spans="1:13">
      <c r="A5901" s="6">
        <v>2025</v>
      </c>
      <c r="B5901" s="6">
        <v>5</v>
      </c>
      <c r="C5901" s="6" t="s">
        <v>63</v>
      </c>
      <c r="D5901" s="6" t="s">
        <v>770</v>
      </c>
      <c r="E5901" s="6" t="s">
        <v>660</v>
      </c>
      <c r="F5901" s="6" t="str">
        <f>IF($M5901="PADD I","PADD 1",IF($M5901="PADD II","PADD 2",IF($M5901="PADD III","PADD 3",IF($M5901="PADD IV","PADD 4",IF($M5901="PADD V","PADD 5","")))))</f>
        <v>PADD 3</v>
      </c>
      <c r="G5901" s="6">
        <f>IF(AND($H5901="ATMOS DISTILLATION",ISNUMBER(SEARCH("VPS",$I5901))=FALSE,LEFT($I5901,6)&lt;&gt;"VACUUM"),"CDU",IF($H5901="FLUID CAT CRACKING","FCC",IF(OR($H5901="HYDROCRACKING",$H5901="RESID_HYDROCRACKING"),"Hydrocracker",IF($H5901="REFORMING","Reformer",""))))</f>
        <v/>
      </c>
      <c r="H5901" s="6" t="s">
        <v>378</v>
      </c>
      <c r="I5901" s="6" t="s">
        <v>431</v>
      </c>
      <c r="J5901" s="6" t="s">
        <v>345</v>
      </c>
      <c r="K5901" s="10">
        <v>2.4</v>
      </c>
      <c r="L5901" s="10">
        <v>15</v>
      </c>
      <c r="M5901" s="6" t="s">
        <v>371</v>
      </c>
    </row>
    <row r="5902" spans="1:13">
      <c r="A5902" s="6">
        <v>2025</v>
      </c>
      <c r="B5902" s="6">
        <v>5</v>
      </c>
      <c r="C5902" s="6" t="s">
        <v>63</v>
      </c>
      <c r="D5902" s="6" t="s">
        <v>446</v>
      </c>
      <c r="E5902" s="6" t="s">
        <v>391</v>
      </c>
      <c r="F5902" s="6" t="str">
        <f>IF($M5902="PADD I","PADD 1",IF($M5902="PADD II","PADD 2",IF($M5902="PADD III","PADD 3",IF($M5902="PADD IV","PADD 4",IF($M5902="PADD V","PADD 5","")))))</f>
        <v>PADD 3</v>
      </c>
      <c r="G5902" s="6" t="str">
        <f>IF(AND($H5902="ATMOS DISTILLATION",ISNUMBER(SEARCH("VPS",$I5902))=FALSE,LEFT($I5902,6)&lt;&gt;"VACUUM"),"CDU",IF($H5902="FLUID CAT CRACKING","FCC",IF(OR($H5902="HYDROCRACKING",$H5902="RESID_HYDROCRACKING"),"Hydrocracker",IF($H5902="REFORMING","Reformer",""))))</f>
        <v>Reformer</v>
      </c>
      <c r="H5902" s="6" t="s">
        <v>421</v>
      </c>
      <c r="I5902" s="6" t="s">
        <v>483</v>
      </c>
      <c r="J5902" s="6" t="s">
        <v>345</v>
      </c>
      <c r="K5902" s="10">
        <v>2.3</v>
      </c>
      <c r="L5902" s="10">
        <v>23</v>
      </c>
      <c r="M5902" s="6" t="s">
        <v>371</v>
      </c>
    </row>
    <row r="5903" spans="1:13">
      <c r="A5903" s="6">
        <v>2025</v>
      </c>
      <c r="B5903" s="6">
        <v>5</v>
      </c>
      <c r="C5903" s="6" t="s">
        <v>63</v>
      </c>
      <c r="D5903" s="6" t="s">
        <v>772</v>
      </c>
      <c r="E5903" s="6" t="s">
        <v>405</v>
      </c>
      <c r="F5903" s="6" t="str">
        <f>IF($M5903="PADD I","PADD 1",IF($M5903="PADD II","PADD 2",IF($M5903="PADD III","PADD 3",IF($M5903="PADD IV","PADD 4",IF($M5903="PADD V","PADD 5","")))))</f>
        <v>PADD 3</v>
      </c>
      <c r="G5903" s="6">
        <f>IF(AND($H5903="ATMOS DISTILLATION",ISNUMBER(SEARCH("VPS",$I5903))=FALSE,LEFT($I5903,6)&lt;&gt;"VACUUM"),"CDU",IF($H5903="FLUID CAT CRACKING","FCC",IF(OR($H5903="HYDROCRACKING",$H5903="RESID_HYDROCRACKING"),"Hydrocracker",IF($H5903="REFORMING","Reformer",""))))</f>
        <v/>
      </c>
      <c r="H5903" s="6" t="s">
        <v>43</v>
      </c>
      <c r="I5903" s="6" t="s">
        <v>855</v>
      </c>
      <c r="J5903" s="6" t="s">
        <v>345</v>
      </c>
      <c r="K5903" s="10">
        <v>2.28</v>
      </c>
      <c r="L5903" s="10">
        <v>76</v>
      </c>
      <c r="M5903" s="6" t="s">
        <v>371</v>
      </c>
    </row>
    <row r="5904" spans="1:13">
      <c r="A5904" s="6">
        <v>2025</v>
      </c>
      <c r="B5904" s="6">
        <v>5</v>
      </c>
      <c r="C5904" s="6" t="s">
        <v>63</v>
      </c>
      <c r="D5904" s="6" t="s">
        <v>772</v>
      </c>
      <c r="E5904" s="6" t="s">
        <v>405</v>
      </c>
      <c r="F5904" s="6" t="str">
        <f>IF($M5904="PADD I","PADD 1",IF($M5904="PADD II","PADD 2",IF($M5904="PADD III","PADD 3",IF($M5904="PADD IV","PADD 4",IF($M5904="PADD V","PADD 5","")))))</f>
        <v>PADD 3</v>
      </c>
      <c r="G5904" s="6">
        <f>IF(AND($H5904="ATMOS DISTILLATION",ISNUMBER(SEARCH("VPS",$I5904))=FALSE,LEFT($I5904,6)&lt;&gt;"VACUUM"),"CDU",IF($H5904="FLUID CAT CRACKING","FCC",IF(OR($H5904="HYDROCRACKING",$H5904="RESID_HYDROCRACKING"),"Hydrocracker",IF($H5904="REFORMING","Reformer",""))))</f>
        <v/>
      </c>
      <c r="H5904" s="6" t="s">
        <v>43</v>
      </c>
      <c r="I5904" s="6" t="s">
        <v>855</v>
      </c>
      <c r="J5904" s="6" t="s">
        <v>345</v>
      </c>
      <c r="K5904" s="10">
        <v>2.28</v>
      </c>
      <c r="L5904" s="10">
        <v>76</v>
      </c>
      <c r="M5904" s="6" t="s">
        <v>371</v>
      </c>
    </row>
    <row r="5905" spans="1:13">
      <c r="A5905" s="6">
        <v>2025</v>
      </c>
      <c r="B5905" s="6">
        <v>5</v>
      </c>
      <c r="C5905" s="6" t="s">
        <v>63</v>
      </c>
      <c r="D5905" s="6" t="s">
        <v>48</v>
      </c>
      <c r="E5905" s="6" t="s">
        <v>388</v>
      </c>
      <c r="F5905" s="6" t="str">
        <f>IF($M5905="PADD I","PADD 1",IF($M5905="PADD II","PADD 2",IF($M5905="PADD III","PADD 3",IF($M5905="PADD IV","PADD 4",IF($M5905="PADD V","PADD 5","")))))</f>
        <v>PADD 2</v>
      </c>
      <c r="G5905" s="6">
        <f>IF(AND($H5905="ATMOS DISTILLATION",ISNUMBER(SEARCH("VPS",$I5905))=FALSE,LEFT($I5905,6)&lt;&gt;"VACUUM"),"CDU",IF($H5905="FLUID CAT CRACKING","FCC",IF(OR($H5905="HYDROCRACKING",$H5905="RESID_HYDROCRACKING"),"Hydrocracker",IF($H5905="REFORMING","Reformer",""))))</f>
        <v/>
      </c>
      <c r="H5905" s="6" t="s">
        <v>435</v>
      </c>
      <c r="I5905" s="6" t="s">
        <v>631</v>
      </c>
      <c r="J5905" s="6" t="s">
        <v>345</v>
      </c>
      <c r="K5905" s="10">
        <v>2.28</v>
      </c>
      <c r="L5905" s="10">
        <v>12</v>
      </c>
      <c r="M5905" s="6" t="s">
        <v>375</v>
      </c>
    </row>
    <row r="5906" spans="1:13">
      <c r="A5906" s="6">
        <v>2025</v>
      </c>
      <c r="B5906" s="6">
        <v>5</v>
      </c>
      <c r="C5906" s="6" t="s">
        <v>63</v>
      </c>
      <c r="D5906" s="6" t="s">
        <v>326</v>
      </c>
      <c r="E5906" s="6" t="s">
        <v>385</v>
      </c>
      <c r="F5906" s="6" t="str">
        <f>IF($M5906="PADD I","PADD 1",IF($M5906="PADD II","PADD 2",IF($M5906="PADD III","PADD 3",IF($M5906="PADD IV","PADD 4",IF($M5906="PADD V","PADD 5","")))))</f>
        <v>PADD 5</v>
      </c>
      <c r="G5906" s="6">
        <f>IF(AND($H5906="ATMOS DISTILLATION",ISNUMBER(SEARCH("VPS",$I5906))=FALSE,LEFT($I5906,6)&lt;&gt;"VACUUM"),"CDU",IF($H5906="FLUID CAT CRACKING","FCC",IF(OR($H5906="HYDROCRACKING",$H5906="RESID_HYDROCRACKING"),"Hydrocracker",IF($H5906="REFORMING","Reformer",""))))</f>
        <v/>
      </c>
      <c r="H5906" s="6" t="s">
        <v>460</v>
      </c>
      <c r="I5906" s="6" t="s">
        <v>1288</v>
      </c>
      <c r="J5906" s="6" t="s">
        <v>345</v>
      </c>
      <c r="K5906" s="10">
        <v>2.016</v>
      </c>
      <c r="L5906" s="10">
        <v>4.2</v>
      </c>
      <c r="M5906" s="6" t="s">
        <v>386</v>
      </c>
    </row>
    <row r="5907" spans="1:13">
      <c r="A5907" s="6">
        <v>2025</v>
      </c>
      <c r="B5907" s="6">
        <v>5</v>
      </c>
      <c r="C5907" s="6" t="s">
        <v>63</v>
      </c>
      <c r="D5907" s="6" t="s">
        <v>51</v>
      </c>
      <c r="E5907" s="6" t="s">
        <v>391</v>
      </c>
      <c r="F5907" s="6" t="str">
        <f>IF($M5907="PADD I","PADD 1",IF($M5907="PADD II","PADD 2",IF($M5907="PADD III","PADD 3",IF($M5907="PADD IV","PADD 4",IF($M5907="PADD V","PADD 5","")))))</f>
        <v>PADD 5</v>
      </c>
      <c r="G5907" s="6">
        <f>IF(AND($H5907="ATMOS DISTILLATION",ISNUMBER(SEARCH("VPS",$I5907))=FALSE,LEFT($I5907,6)&lt;&gt;"VACUUM"),"CDU",IF($H5907="FLUID CAT CRACKING","FCC",IF(OR($H5907="HYDROCRACKING",$H5907="RESID_HYDROCRACKING"),"Hydrocracker",IF($H5907="REFORMING","Reformer",""))))</f>
        <v/>
      </c>
      <c r="H5907" s="6" t="s">
        <v>460</v>
      </c>
      <c r="I5907" s="6" t="s">
        <v>461</v>
      </c>
      <c r="J5907" s="6" t="s">
        <v>345</v>
      </c>
      <c r="K5907" s="10">
        <v>1.98</v>
      </c>
      <c r="L5907" s="10">
        <v>33</v>
      </c>
      <c r="M5907" s="6" t="s">
        <v>386</v>
      </c>
    </row>
    <row r="5908" spans="1:13">
      <c r="A5908" s="6">
        <v>2025</v>
      </c>
      <c r="B5908" s="6">
        <v>5</v>
      </c>
      <c r="C5908" s="6" t="s">
        <v>63</v>
      </c>
      <c r="D5908" s="6" t="s">
        <v>770</v>
      </c>
      <c r="E5908" s="6" t="s">
        <v>660</v>
      </c>
      <c r="F5908" s="6" t="str">
        <f>IF($M5908="PADD I","PADD 1",IF($M5908="PADD II","PADD 2",IF($M5908="PADD III","PADD 3",IF($M5908="PADD IV","PADD 4",IF($M5908="PADD V","PADD 5","")))))</f>
        <v>PADD 3</v>
      </c>
      <c r="G5908" s="6">
        <f>IF(AND($H5908="ATMOS DISTILLATION",ISNUMBER(SEARCH("VPS",$I5908))=FALSE,LEFT($I5908,6)&lt;&gt;"VACUUM"),"CDU",IF($H5908="FLUID CAT CRACKING","FCC",IF(OR($H5908="HYDROCRACKING",$H5908="RESID_HYDROCRACKING"),"Hydrocracker",IF($H5908="REFORMING","Reformer",""))))</f>
        <v/>
      </c>
      <c r="H5908" s="6" t="s">
        <v>43</v>
      </c>
      <c r="I5908" s="6" t="s">
        <v>793</v>
      </c>
      <c r="J5908" s="6" t="s">
        <v>345</v>
      </c>
      <c r="K5908" s="10">
        <v>1.92</v>
      </c>
      <c r="L5908" s="10">
        <v>12</v>
      </c>
      <c r="M5908" s="6" t="s">
        <v>371</v>
      </c>
    </row>
    <row r="5909" spans="1:13">
      <c r="A5909" s="6">
        <v>2025</v>
      </c>
      <c r="B5909" s="6">
        <v>5</v>
      </c>
      <c r="C5909" s="6" t="s">
        <v>63</v>
      </c>
      <c r="D5909" s="6" t="s">
        <v>770</v>
      </c>
      <c r="E5909" s="6" t="s">
        <v>660</v>
      </c>
      <c r="F5909" s="6" t="str">
        <f>IF($M5909="PADD I","PADD 1",IF($M5909="PADD II","PADD 2",IF($M5909="PADD III","PADD 3",IF($M5909="PADD IV","PADD 4",IF($M5909="PADD V","PADD 5","")))))</f>
        <v>PADD 3</v>
      </c>
      <c r="G5909" s="6">
        <f>IF(AND($H5909="ATMOS DISTILLATION",ISNUMBER(SEARCH("VPS",$I5909))=FALSE,LEFT($I5909,6)&lt;&gt;"VACUUM"),"CDU",IF($H5909="FLUID CAT CRACKING","FCC",IF(OR($H5909="HYDROCRACKING",$H5909="RESID_HYDROCRACKING"),"Hydrocracker",IF($H5909="REFORMING","Reformer",""))))</f>
        <v/>
      </c>
      <c r="H5909" s="6" t="s">
        <v>43</v>
      </c>
      <c r="I5909" s="6" t="s">
        <v>794</v>
      </c>
      <c r="J5909" s="6" t="s">
        <v>345</v>
      </c>
      <c r="K5909" s="10">
        <v>1.92</v>
      </c>
      <c r="L5909" s="10">
        <v>12</v>
      </c>
      <c r="M5909" s="6" t="s">
        <v>371</v>
      </c>
    </row>
    <row r="5910" spans="1:13">
      <c r="A5910" s="6">
        <v>2025</v>
      </c>
      <c r="B5910" s="6">
        <v>5</v>
      </c>
      <c r="C5910" s="6" t="s">
        <v>63</v>
      </c>
      <c r="D5910" s="6" t="s">
        <v>871</v>
      </c>
      <c r="E5910" s="6" t="s">
        <v>872</v>
      </c>
      <c r="F5910" s="6" t="str">
        <f>IF($M5910="PADD I","PADD 1",IF($M5910="PADD II","PADD 2",IF($M5910="PADD III","PADD 3",IF($M5910="PADD IV","PADD 4",IF($M5910="PADD V","PADD 5","")))))</f>
        <v>PADD 4</v>
      </c>
      <c r="G5910" s="6" t="str">
        <f>IF(AND($H5910="ATMOS DISTILLATION",ISNUMBER(SEARCH("VPS",$I5910))=FALSE,LEFT($I5910,6)&lt;&gt;"VACUUM"),"CDU",IF($H5910="FLUID CAT CRACKING","FCC",IF(OR($H5910="HYDROCRACKING",$H5910="RESID_HYDROCRACKING"),"Hydrocracker",IF($H5910="REFORMING","Reformer",""))))</f>
        <v>CDU</v>
      </c>
      <c r="H5910" s="6" t="s">
        <v>38</v>
      </c>
      <c r="I5910" s="6" t="s">
        <v>81</v>
      </c>
      <c r="J5910" s="6" t="s">
        <v>349</v>
      </c>
      <c r="K5910" s="10">
        <v>1.87</v>
      </c>
      <c r="L5910" s="10">
        <v>3.4</v>
      </c>
      <c r="M5910" s="6" t="s">
        <v>430</v>
      </c>
    </row>
    <row r="5911" spans="1:13">
      <c r="A5911" s="6">
        <v>2025</v>
      </c>
      <c r="B5911" s="6">
        <v>5</v>
      </c>
      <c r="C5911" s="6" t="s">
        <v>63</v>
      </c>
      <c r="D5911" s="6" t="s">
        <v>531</v>
      </c>
      <c r="E5911" s="6" t="s">
        <v>532</v>
      </c>
      <c r="F5911" s="6" t="str">
        <f>IF($M5911="PADD I","PADD 1",IF($M5911="PADD II","PADD 2",IF($M5911="PADD III","PADD 3",IF($M5911="PADD IV","PADD 4",IF($M5911="PADD V","PADD 5","")))))</f>
        <v>PADD 5</v>
      </c>
      <c r="G5911" s="6">
        <f>IF(AND($H5911="ATMOS DISTILLATION",ISNUMBER(SEARCH("VPS",$I5911))=FALSE,LEFT($I5911,6)&lt;&gt;"VACUUM"),"CDU",IF($H5911="FLUID CAT CRACKING","FCC",IF(OR($H5911="HYDROCRACKING",$H5911="RESID_HYDROCRACKING"),"Hydrocracker",IF($H5911="REFORMING","Reformer",""))))</f>
        <v/>
      </c>
      <c r="H5911" s="6" t="s">
        <v>43</v>
      </c>
      <c r="I5911" s="6" t="s">
        <v>1129</v>
      </c>
      <c r="J5911" s="6" t="s">
        <v>345</v>
      </c>
      <c r="K5911" s="10">
        <v>1.8</v>
      </c>
      <c r="L5911" s="10">
        <v>30</v>
      </c>
      <c r="M5911" s="6" t="s">
        <v>386</v>
      </c>
    </row>
    <row r="5912" spans="1:13">
      <c r="A5912" s="6">
        <v>2025</v>
      </c>
      <c r="B5912" s="6">
        <v>5</v>
      </c>
      <c r="C5912" s="6" t="s">
        <v>63</v>
      </c>
      <c r="D5912" s="6" t="s">
        <v>803</v>
      </c>
      <c r="E5912" s="6" t="s">
        <v>388</v>
      </c>
      <c r="F5912" s="6" t="str">
        <f>IF($M5912="PADD I","PADD 1",IF($M5912="PADD II","PADD 2",IF($M5912="PADD III","PADD 3",IF($M5912="PADD IV","PADD 4",IF($M5912="PADD V","PADD 5","")))))</f>
        <v>PADD 2</v>
      </c>
      <c r="G5912" s="6" t="str">
        <f>IF(AND($H5912="ATMOS DISTILLATION",ISNUMBER(SEARCH("VPS",$I5912))=FALSE,LEFT($I5912,6)&lt;&gt;"VACUUM"),"CDU",IF($H5912="FLUID CAT CRACKING","FCC",IF(OR($H5912="HYDROCRACKING",$H5912="RESID_HYDROCRACKING"),"Hydrocracker",IF($H5912="REFORMING","Reformer",""))))</f>
        <v>Reformer</v>
      </c>
      <c r="H5912" s="6" t="s">
        <v>421</v>
      </c>
      <c r="I5912" s="6" t="s">
        <v>557</v>
      </c>
      <c r="J5912" s="6" t="s">
        <v>345</v>
      </c>
      <c r="K5912" s="10">
        <v>1.8</v>
      </c>
      <c r="L5912" s="10">
        <v>11.25</v>
      </c>
      <c r="M5912" s="6" t="s">
        <v>375</v>
      </c>
    </row>
    <row r="5913" spans="1:13">
      <c r="A5913" s="6">
        <v>2025</v>
      </c>
      <c r="B5913" s="6">
        <v>5</v>
      </c>
      <c r="C5913" s="6" t="s">
        <v>63</v>
      </c>
      <c r="D5913" s="6" t="s">
        <v>51</v>
      </c>
      <c r="E5913" s="6" t="s">
        <v>391</v>
      </c>
      <c r="F5913" s="6" t="str">
        <f>IF($M5913="PADD I","PADD 1",IF($M5913="PADD II","PADD 2",IF($M5913="PADD III","PADD 3",IF($M5913="PADD IV","PADD 4",IF($M5913="PADD V","PADD 5","")))))</f>
        <v>PADD 5</v>
      </c>
      <c r="G5913" s="6" t="str">
        <f>IF(AND($H5913="ATMOS DISTILLATION",ISNUMBER(SEARCH("VPS",$I5913))=FALSE,LEFT($I5913,6)&lt;&gt;"VACUUM"),"CDU",IF($H5913="FLUID CAT CRACKING","FCC",IF(OR($H5913="HYDROCRACKING",$H5913="RESID_HYDROCRACKING"),"Hydrocracker",IF($H5913="REFORMING","Reformer",""))))</f>
        <v>Reformer</v>
      </c>
      <c r="H5913" s="6" t="s">
        <v>421</v>
      </c>
      <c r="I5913" s="6" t="s">
        <v>539</v>
      </c>
      <c r="J5913" s="6" t="s">
        <v>345</v>
      </c>
      <c r="K5913" s="10">
        <v>1.8</v>
      </c>
      <c r="L5913" s="10">
        <v>60</v>
      </c>
      <c r="M5913" s="6" t="s">
        <v>386</v>
      </c>
    </row>
    <row r="5914" spans="1:13">
      <c r="A5914" s="6">
        <v>2025</v>
      </c>
      <c r="B5914" s="6">
        <v>5</v>
      </c>
      <c r="C5914" s="6" t="s">
        <v>63</v>
      </c>
      <c r="D5914" s="6" t="s">
        <v>770</v>
      </c>
      <c r="E5914" s="6" t="s">
        <v>660</v>
      </c>
      <c r="F5914" s="6" t="str">
        <f>IF($M5914="PADD I","PADD 1",IF($M5914="PADD II","PADD 2",IF($M5914="PADD III","PADD 3",IF($M5914="PADD IV","PADD 4",IF($M5914="PADD V","PADD 5","")))))</f>
        <v>PADD 3</v>
      </c>
      <c r="G5914" s="6">
        <f>IF(AND($H5914="ATMOS DISTILLATION",ISNUMBER(SEARCH("VPS",$I5914))=FALSE,LEFT($I5914,6)&lt;&gt;"VACUUM"),"CDU",IF($H5914="FLUID CAT CRACKING","FCC",IF(OR($H5914="HYDROCRACKING",$H5914="RESID_HYDROCRACKING"),"Hydrocracker",IF($H5914="REFORMING","Reformer",""))))</f>
        <v/>
      </c>
      <c r="H5914" s="6" t="s">
        <v>43</v>
      </c>
      <c r="I5914" s="6" t="s">
        <v>796</v>
      </c>
      <c r="J5914" s="6" t="s">
        <v>345</v>
      </c>
      <c r="K5914" s="10">
        <v>1.76</v>
      </c>
      <c r="L5914" s="10">
        <v>11</v>
      </c>
      <c r="M5914" s="6" t="s">
        <v>371</v>
      </c>
    </row>
    <row r="5915" spans="1:13">
      <c r="A5915" s="6">
        <v>2025</v>
      </c>
      <c r="B5915" s="6">
        <v>5</v>
      </c>
      <c r="C5915" s="6" t="s">
        <v>63</v>
      </c>
      <c r="D5915" s="6" t="s">
        <v>615</v>
      </c>
      <c r="E5915" s="6" t="s">
        <v>405</v>
      </c>
      <c r="F5915" s="6" t="str">
        <f>IF($M5915="PADD I","PADD 1",IF($M5915="PADD II","PADD 2",IF($M5915="PADD III","PADD 3",IF($M5915="PADD IV","PADD 4",IF($M5915="PADD V","PADD 5","")))))</f>
        <v>PADD 5</v>
      </c>
      <c r="G5915" s="6">
        <f>IF(AND($H5915="ATMOS DISTILLATION",ISNUMBER(SEARCH("VPS",$I5915))=FALSE,LEFT($I5915,6)&lt;&gt;"VACUUM"),"CDU",IF($H5915="FLUID CAT CRACKING","FCC",IF(OR($H5915="HYDROCRACKING",$H5915="RESID_HYDROCRACKING"),"Hydrocracker",IF($H5915="REFORMING","Reformer",""))))</f>
        <v/>
      </c>
      <c r="H5915" s="6" t="s">
        <v>43</v>
      </c>
      <c r="I5915" s="6" t="s">
        <v>1311</v>
      </c>
      <c r="J5915" s="6" t="s">
        <v>345</v>
      </c>
      <c r="K5915" s="10">
        <v>1.755</v>
      </c>
      <c r="L5915" s="10">
        <v>13.5</v>
      </c>
      <c r="M5915" s="6" t="s">
        <v>386</v>
      </c>
    </row>
    <row r="5916" spans="1:13">
      <c r="A5916" s="6">
        <v>2025</v>
      </c>
      <c r="B5916" s="6">
        <v>5</v>
      </c>
      <c r="C5916" s="6" t="s">
        <v>63</v>
      </c>
      <c r="D5916" s="6" t="s">
        <v>772</v>
      </c>
      <c r="E5916" s="6" t="s">
        <v>405</v>
      </c>
      <c r="F5916" s="6" t="str">
        <f>IF($M5916="PADD I","PADD 1",IF($M5916="PADD II","PADD 2",IF($M5916="PADD III","PADD 3",IF($M5916="PADD IV","PADD 4",IF($M5916="PADD V","PADD 5","")))))</f>
        <v>PADD 3</v>
      </c>
      <c r="G5916" s="6">
        <f>IF(AND($H5916="ATMOS DISTILLATION",ISNUMBER(SEARCH("VPS",$I5916))=FALSE,LEFT($I5916,6)&lt;&gt;"VACUUM"),"CDU",IF($H5916="FLUID CAT CRACKING","FCC",IF(OR($H5916="HYDROCRACKING",$H5916="RESID_HYDROCRACKING"),"Hydrocracker",IF($H5916="REFORMING","Reformer",""))))</f>
        <v/>
      </c>
      <c r="H5916" s="6" t="s">
        <v>43</v>
      </c>
      <c r="I5916" s="6" t="s">
        <v>777</v>
      </c>
      <c r="J5916" s="6" t="s">
        <v>345</v>
      </c>
      <c r="K5916" s="10">
        <v>1.74</v>
      </c>
      <c r="L5916" s="10">
        <v>58</v>
      </c>
      <c r="M5916" s="6" t="s">
        <v>371</v>
      </c>
    </row>
    <row r="5917" spans="1:13">
      <c r="A5917" s="6">
        <v>2025</v>
      </c>
      <c r="B5917" s="6">
        <v>5</v>
      </c>
      <c r="C5917" s="6" t="s">
        <v>63</v>
      </c>
      <c r="D5917" s="6" t="s">
        <v>772</v>
      </c>
      <c r="E5917" s="6" t="s">
        <v>405</v>
      </c>
      <c r="F5917" s="6" t="str">
        <f>IF($M5917="PADD I","PADD 1",IF($M5917="PADD II","PADD 2",IF($M5917="PADD III","PADD 3",IF($M5917="PADD IV","PADD 4",IF($M5917="PADD V","PADD 5","")))))</f>
        <v>PADD 3</v>
      </c>
      <c r="G5917" s="6">
        <f>IF(AND($H5917="ATMOS DISTILLATION",ISNUMBER(SEARCH("VPS",$I5917))=FALSE,LEFT($I5917,6)&lt;&gt;"VACUUM"),"CDU",IF($H5917="FLUID CAT CRACKING","FCC",IF(OR($H5917="HYDROCRACKING",$H5917="RESID_HYDROCRACKING"),"Hydrocracker",IF($H5917="REFORMING","Reformer",""))))</f>
        <v/>
      </c>
      <c r="H5917" s="6" t="s">
        <v>43</v>
      </c>
      <c r="I5917" s="6" t="s">
        <v>777</v>
      </c>
      <c r="J5917" s="6" t="s">
        <v>345</v>
      </c>
      <c r="K5917" s="10">
        <v>1.74</v>
      </c>
      <c r="L5917" s="10">
        <v>58</v>
      </c>
      <c r="M5917" s="6" t="s">
        <v>371</v>
      </c>
    </row>
    <row r="5918" spans="1:13">
      <c r="A5918" s="6">
        <v>2025</v>
      </c>
      <c r="B5918" s="6">
        <v>5</v>
      </c>
      <c r="C5918" s="6" t="s">
        <v>63</v>
      </c>
      <c r="D5918" s="6" t="s">
        <v>770</v>
      </c>
      <c r="E5918" s="6" t="s">
        <v>660</v>
      </c>
      <c r="F5918" s="6" t="str">
        <f>IF($M5918="PADD I","PADD 1",IF($M5918="PADD II","PADD 2",IF($M5918="PADD III","PADD 3",IF($M5918="PADD IV","PADD 4",IF($M5918="PADD V","PADD 5","")))))</f>
        <v>PADD 3</v>
      </c>
      <c r="G5918" s="6">
        <f>IF(AND($H5918="ATMOS DISTILLATION",ISNUMBER(SEARCH("VPS",$I5918))=FALSE,LEFT($I5918,6)&lt;&gt;"VACUUM"),"CDU",IF($H5918="FLUID CAT CRACKING","FCC",IF(OR($H5918="HYDROCRACKING",$H5918="RESID_HYDROCRACKING"),"Hydrocracker",IF($H5918="REFORMING","Reformer",""))))</f>
        <v/>
      </c>
      <c r="H5918" s="6" t="s">
        <v>523</v>
      </c>
      <c r="I5918" s="6" t="s">
        <v>524</v>
      </c>
      <c r="J5918" s="6" t="s">
        <v>345</v>
      </c>
      <c r="K5918" s="10">
        <v>1.728</v>
      </c>
      <c r="L5918" s="10">
        <v>10.8</v>
      </c>
      <c r="M5918" s="6" t="s">
        <v>371</v>
      </c>
    </row>
    <row r="5919" spans="1:13">
      <c r="A5919" s="6">
        <v>2025</v>
      </c>
      <c r="B5919" s="6">
        <v>5</v>
      </c>
      <c r="C5919" s="6" t="s">
        <v>63</v>
      </c>
      <c r="D5919" s="6" t="s">
        <v>871</v>
      </c>
      <c r="E5919" s="6" t="s">
        <v>872</v>
      </c>
      <c r="F5919" s="6" t="str">
        <f>IF($M5919="PADD I","PADD 1",IF($M5919="PADD II","PADD 2",IF($M5919="PADD III","PADD 3",IF($M5919="PADD IV","PADD 4",IF($M5919="PADD V","PADD 5","")))))</f>
        <v>PADD 4</v>
      </c>
      <c r="G5919" s="6">
        <f>IF(AND($H5919="ATMOS DISTILLATION",ISNUMBER(SEARCH("VPS",$I5919))=FALSE,LEFT($I5919,6)&lt;&gt;"VACUUM"),"CDU",IF($H5919="FLUID CAT CRACKING","FCC",IF(OR($H5919="HYDROCRACKING",$H5919="RESID_HYDROCRACKING"),"Hydrocracker",IF($H5919="REFORMING","Reformer",""))))</f>
        <v/>
      </c>
      <c r="H5919" s="6" t="s">
        <v>43</v>
      </c>
      <c r="I5919" s="6" t="s">
        <v>873</v>
      </c>
      <c r="J5919" s="6" t="s">
        <v>349</v>
      </c>
      <c r="K5919" s="10">
        <v>1.65</v>
      </c>
      <c r="L5919" s="10">
        <v>3</v>
      </c>
      <c r="M5919" s="6" t="s">
        <v>430</v>
      </c>
    </row>
    <row r="5920" spans="1:13">
      <c r="A5920" s="6">
        <v>2025</v>
      </c>
      <c r="B5920" s="6">
        <v>5</v>
      </c>
      <c r="C5920" s="6" t="s">
        <v>63</v>
      </c>
      <c r="D5920" s="6" t="s">
        <v>871</v>
      </c>
      <c r="E5920" s="6" t="s">
        <v>872</v>
      </c>
      <c r="F5920" s="6" t="str">
        <f>IF($M5920="PADD I","PADD 1",IF($M5920="PADD II","PADD 2",IF($M5920="PADD III","PADD 3",IF($M5920="PADD IV","PADD 4",IF($M5920="PADD V","PADD 5","")))))</f>
        <v>PADD 4</v>
      </c>
      <c r="G5920" s="6" t="str">
        <f>IF(AND($H5920="ATMOS DISTILLATION",ISNUMBER(SEARCH("VPS",$I5920))=FALSE,LEFT($I5920,6)&lt;&gt;"VACUUM"),"CDU",IF($H5920="FLUID CAT CRACKING","FCC",IF(OR($H5920="HYDROCRACKING",$H5920="RESID_HYDROCRACKING"),"Hydrocracker",IF($H5920="REFORMING","Reformer",""))))</f>
        <v>Reformer</v>
      </c>
      <c r="H5920" s="6" t="s">
        <v>421</v>
      </c>
      <c r="I5920" s="6" t="s">
        <v>15</v>
      </c>
      <c r="J5920" s="6" t="s">
        <v>349</v>
      </c>
      <c r="K5920" s="10">
        <v>1.65</v>
      </c>
      <c r="L5920" s="10">
        <v>3</v>
      </c>
      <c r="M5920" s="6" t="s">
        <v>430</v>
      </c>
    </row>
    <row r="5921" spans="1:13">
      <c r="A5921" s="6">
        <v>2025</v>
      </c>
      <c r="B5921" s="6">
        <v>5</v>
      </c>
      <c r="C5921" s="6" t="s">
        <v>63</v>
      </c>
      <c r="D5921" s="6" t="s">
        <v>531</v>
      </c>
      <c r="E5921" s="6" t="s">
        <v>532</v>
      </c>
      <c r="F5921" s="6" t="str">
        <f>IF($M5921="PADD I","PADD 1",IF($M5921="PADD II","PADD 2",IF($M5921="PADD III","PADD 3",IF($M5921="PADD IV","PADD 4",IF($M5921="PADD V","PADD 5","")))))</f>
        <v>PADD 5</v>
      </c>
      <c r="G5921" s="6">
        <f>IF(AND($H5921="ATMOS DISTILLATION",ISNUMBER(SEARCH("VPS",$I5921))=FALSE,LEFT($I5921,6)&lt;&gt;"VACUUM"),"CDU",IF($H5921="FLUID CAT CRACKING","FCC",IF(OR($H5921="HYDROCRACKING",$H5921="RESID_HYDROCRACKING"),"Hydrocracker",IF($H5921="REFORMING","Reformer",""))))</f>
        <v/>
      </c>
      <c r="H5921" s="6" t="s">
        <v>435</v>
      </c>
      <c r="I5921" s="6" t="s">
        <v>614</v>
      </c>
      <c r="J5921" s="6" t="s">
        <v>345</v>
      </c>
      <c r="K5921" s="10">
        <v>1.62</v>
      </c>
      <c r="L5921" s="10">
        <v>27</v>
      </c>
      <c r="M5921" s="6" t="s">
        <v>386</v>
      </c>
    </row>
    <row r="5922" spans="1:13">
      <c r="A5922" s="6">
        <v>2025</v>
      </c>
      <c r="B5922" s="6">
        <v>5</v>
      </c>
      <c r="C5922" s="6" t="s">
        <v>63</v>
      </c>
      <c r="D5922" s="6" t="s">
        <v>615</v>
      </c>
      <c r="E5922" s="6" t="s">
        <v>405</v>
      </c>
      <c r="F5922" s="6" t="str">
        <f>IF($M5922="PADD I","PADD 1",IF($M5922="PADD II","PADD 2",IF($M5922="PADD III","PADD 3",IF($M5922="PADD IV","PADD 4",IF($M5922="PADD V","PADD 5","")))))</f>
        <v>PADD 5</v>
      </c>
      <c r="G5922" s="6">
        <f>IF(AND($H5922="ATMOS DISTILLATION",ISNUMBER(SEARCH("VPS",$I5922))=FALSE,LEFT($I5922,6)&lt;&gt;"VACUUM"),"CDU",IF($H5922="FLUID CAT CRACKING","FCC",IF(OR($H5922="HYDROCRACKING",$H5922="RESID_HYDROCRACKING"),"Hydrocracker",IF($H5922="REFORMING","Reformer",""))))</f>
        <v/>
      </c>
      <c r="H5922" s="6" t="s">
        <v>43</v>
      </c>
      <c r="I5922" s="6" t="s">
        <v>1185</v>
      </c>
      <c r="J5922" s="6" t="s">
        <v>345</v>
      </c>
      <c r="K5922" s="10">
        <v>1.56</v>
      </c>
      <c r="L5922" s="10">
        <v>12</v>
      </c>
      <c r="M5922" s="6" t="s">
        <v>386</v>
      </c>
    </row>
    <row r="5923" spans="1:13">
      <c r="A5923" s="6">
        <v>2025</v>
      </c>
      <c r="B5923" s="6">
        <v>5</v>
      </c>
      <c r="C5923" s="6" t="s">
        <v>63</v>
      </c>
      <c r="D5923" s="6" t="s">
        <v>321</v>
      </c>
      <c r="E5923" s="6" t="s">
        <v>381</v>
      </c>
      <c r="F5923" s="6" t="str">
        <f>IF($M5923="PADD I","PADD 1",IF($M5923="PADD II","PADD 2",IF($M5923="PADD III","PADD 3",IF($M5923="PADD IV","PADD 4",IF($M5923="PADD V","PADD 5","")))))</f>
        <v>PADD 2</v>
      </c>
      <c r="G5923" s="6" t="str">
        <f>IF(AND($H5923="ATMOS DISTILLATION",ISNUMBER(SEARCH("VPS",$I5923))=FALSE,LEFT($I5923,6)&lt;&gt;"VACUUM"),"CDU",IF($H5923="FLUID CAT CRACKING","FCC",IF(OR($H5923="HYDROCRACKING",$H5923="RESID_HYDROCRACKING"),"Hydrocracker",IF($H5923="REFORMING","Reformer",""))))</f>
        <v>Reformer</v>
      </c>
      <c r="H5923" s="6" t="s">
        <v>421</v>
      </c>
      <c r="I5923" s="6" t="s">
        <v>228</v>
      </c>
      <c r="J5923" s="6" t="s">
        <v>349</v>
      </c>
      <c r="K5923" s="10">
        <v>1.56</v>
      </c>
      <c r="L5923" s="10">
        <v>52</v>
      </c>
      <c r="M5923" s="6" t="s">
        <v>375</v>
      </c>
    </row>
    <row r="5924" spans="1:13">
      <c r="A5924" s="6">
        <v>2025</v>
      </c>
      <c r="B5924" s="6">
        <v>5</v>
      </c>
      <c r="C5924" s="6" t="s">
        <v>63</v>
      </c>
      <c r="D5924" s="6" t="s">
        <v>531</v>
      </c>
      <c r="E5924" s="6" t="s">
        <v>532</v>
      </c>
      <c r="F5924" s="6" t="str">
        <f>IF($M5924="PADD I","PADD 1",IF($M5924="PADD II","PADD 2",IF($M5924="PADD III","PADD 3",IF($M5924="PADD IV","PADD 4",IF($M5924="PADD V","PADD 5","")))))</f>
        <v>PADD 5</v>
      </c>
      <c r="G5924" s="6">
        <f>IF(AND($H5924="ATMOS DISTILLATION",ISNUMBER(SEARCH("VPS",$I5924))=FALSE,LEFT($I5924,6)&lt;&gt;"VACUUM"),"CDU",IF($H5924="FLUID CAT CRACKING","FCC",IF(OR($H5924="HYDROCRACKING",$H5924="RESID_HYDROCRACKING"),"Hydrocracker",IF($H5924="REFORMING","Reformer",""))))</f>
        <v/>
      </c>
      <c r="H5924" s="6" t="s">
        <v>435</v>
      </c>
      <c r="I5924" s="6" t="s">
        <v>599</v>
      </c>
      <c r="J5924" s="6" t="s">
        <v>345</v>
      </c>
      <c r="K5924" s="10">
        <v>1.5</v>
      </c>
      <c r="L5924" s="10">
        <v>25</v>
      </c>
      <c r="M5924" s="6" t="s">
        <v>386</v>
      </c>
    </row>
    <row r="5925" spans="1:13">
      <c r="A5925" s="6">
        <v>2025</v>
      </c>
      <c r="B5925" s="6">
        <v>5</v>
      </c>
      <c r="C5925" s="6" t="s">
        <v>63</v>
      </c>
      <c r="D5925" s="6" t="s">
        <v>531</v>
      </c>
      <c r="E5925" s="6" t="s">
        <v>532</v>
      </c>
      <c r="F5925" s="6" t="str">
        <f>IF($M5925="PADD I","PADD 1",IF($M5925="PADD II","PADD 2",IF($M5925="PADD III","PADD 3",IF($M5925="PADD IV","PADD 4",IF($M5925="PADD V","PADD 5","")))))</f>
        <v>PADD 5</v>
      </c>
      <c r="G5925" s="6">
        <f>IF(AND($H5925="ATMOS DISTILLATION",ISNUMBER(SEARCH("VPS",$I5925))=FALSE,LEFT($I5925,6)&lt;&gt;"VACUUM"),"CDU",IF($H5925="FLUID CAT CRACKING","FCC",IF(OR($H5925="HYDROCRACKING",$H5925="RESID_HYDROCRACKING"),"Hydrocracker",IF($H5925="REFORMING","Reformer",""))))</f>
        <v/>
      </c>
      <c r="H5925" s="6" t="s">
        <v>637</v>
      </c>
      <c r="I5925" s="6" t="s">
        <v>1296</v>
      </c>
      <c r="J5925" s="6" t="s">
        <v>345</v>
      </c>
      <c r="K5925" s="10">
        <v>1.5</v>
      </c>
      <c r="L5925" s="10">
        <v>25</v>
      </c>
      <c r="M5925" s="6" t="s">
        <v>386</v>
      </c>
    </row>
    <row r="5926" spans="1:13">
      <c r="A5926" s="6">
        <v>2025</v>
      </c>
      <c r="B5926" s="6">
        <v>5</v>
      </c>
      <c r="C5926" s="6" t="s">
        <v>63</v>
      </c>
      <c r="D5926" s="6" t="s">
        <v>437</v>
      </c>
      <c r="E5926" s="6" t="s">
        <v>438</v>
      </c>
      <c r="F5926" s="6" t="str">
        <f>IF($M5926="PADD I","PADD 1",IF($M5926="PADD II","PADD 2",IF($M5926="PADD III","PADD 3",IF($M5926="PADD IV","PADD 4",IF($M5926="PADD V","PADD 5","")))))</f>
        <v>PADD 4</v>
      </c>
      <c r="G5926" s="6">
        <f>IF(AND($H5926="ATMOS DISTILLATION",ISNUMBER(SEARCH("VPS",$I5926))=FALSE,LEFT($I5926,6)&lt;&gt;"VACUUM"),"CDU",IF($H5926="FLUID CAT CRACKING","FCC",IF(OR($H5926="HYDROCRACKING",$H5926="RESID_HYDROCRACKING"),"Hydrocracker",IF($H5926="REFORMING","Reformer",""))))</f>
        <v/>
      </c>
      <c r="H5926" s="6" t="s">
        <v>43</v>
      </c>
      <c r="I5926" s="6" t="s">
        <v>493</v>
      </c>
      <c r="J5926" s="6" t="s">
        <v>345</v>
      </c>
      <c r="K5926" s="10">
        <v>1.26</v>
      </c>
      <c r="L5926" s="10">
        <v>21</v>
      </c>
      <c r="M5926" s="6" t="s">
        <v>430</v>
      </c>
    </row>
    <row r="5927" spans="1:13">
      <c r="A5927" s="6">
        <v>2025</v>
      </c>
      <c r="B5927" s="6">
        <v>5</v>
      </c>
      <c r="C5927" s="6" t="s">
        <v>63</v>
      </c>
      <c r="D5927" s="6" t="s">
        <v>563</v>
      </c>
      <c r="E5927" s="6" t="s">
        <v>396</v>
      </c>
      <c r="F5927" s="6" t="str">
        <f>IF($M5927="PADD I","PADD 1",IF($M5927="PADD II","PADD 2",IF($M5927="PADD III","PADD 3",IF($M5927="PADD IV","PADD 4",IF($M5927="PADD V","PADD 5","")))))</f>
        <v>PADD 3</v>
      </c>
      <c r="G5927" s="6">
        <f>IF(AND($H5927="ATMOS DISTILLATION",ISNUMBER(SEARCH("VPS",$I5927))=FALSE,LEFT($I5927,6)&lt;&gt;"VACUUM"),"CDU",IF($H5927="FLUID CAT CRACKING","FCC",IF(OR($H5927="HYDROCRACKING",$H5927="RESID_HYDROCRACKING"),"Hydrocracker",IF($H5927="REFORMING","Reformer",""))))</f>
        <v/>
      </c>
      <c r="H5927" s="6" t="s">
        <v>43</v>
      </c>
      <c r="I5927" s="6" t="s">
        <v>449</v>
      </c>
      <c r="J5927" s="6" t="s">
        <v>345</v>
      </c>
      <c r="K5927" s="10">
        <v>1.155</v>
      </c>
      <c r="L5927" s="10">
        <v>38.5</v>
      </c>
      <c r="M5927" s="6" t="s">
        <v>371</v>
      </c>
    </row>
    <row r="5928" spans="1:13">
      <c r="A5928" s="6">
        <v>2025</v>
      </c>
      <c r="B5928" s="6">
        <v>5</v>
      </c>
      <c r="C5928" s="6" t="s">
        <v>63</v>
      </c>
      <c r="D5928" s="6" t="s">
        <v>772</v>
      </c>
      <c r="E5928" s="6" t="s">
        <v>405</v>
      </c>
      <c r="F5928" s="6" t="str">
        <f>IF($M5928="PADD I","PADD 1",IF($M5928="PADD II","PADD 2",IF($M5928="PADD III","PADD 3",IF($M5928="PADD IV","PADD 4",IF($M5928="PADD V","PADD 5","")))))</f>
        <v>PADD 3</v>
      </c>
      <c r="G5928" s="6" t="str">
        <f>IF(AND($H5928="ATMOS DISTILLATION",ISNUMBER(SEARCH("VPS",$I5928))=FALSE,LEFT($I5928,6)&lt;&gt;"VACUUM"),"CDU",IF($H5928="FLUID CAT CRACKING","FCC",IF(OR($H5928="HYDROCRACKING",$H5928="RESID_HYDROCRACKING"),"Hydrocracker",IF($H5928="REFORMING","Reformer",""))))</f>
        <v>CDU</v>
      </c>
      <c r="H5928" s="6" t="s">
        <v>38</v>
      </c>
      <c r="I5928" s="6" t="s">
        <v>1097</v>
      </c>
      <c r="J5928" s="6" t="s">
        <v>345</v>
      </c>
      <c r="K5928" s="10">
        <v>1.116</v>
      </c>
      <c r="L5928" s="10">
        <v>37.2</v>
      </c>
      <c r="M5928" s="6" t="s">
        <v>371</v>
      </c>
    </row>
    <row r="5929" spans="1:13">
      <c r="A5929" s="6">
        <v>2025</v>
      </c>
      <c r="B5929" s="6">
        <v>5</v>
      </c>
      <c r="C5929" s="6" t="s">
        <v>63</v>
      </c>
      <c r="D5929" s="6" t="s">
        <v>772</v>
      </c>
      <c r="E5929" s="6" t="s">
        <v>405</v>
      </c>
      <c r="F5929" s="6" t="str">
        <f>IF($M5929="PADD I","PADD 1",IF($M5929="PADD II","PADD 2",IF($M5929="PADD III","PADD 3",IF($M5929="PADD IV","PADD 4",IF($M5929="PADD V","PADD 5","")))))</f>
        <v>PADD 3</v>
      </c>
      <c r="G5929" s="6" t="str">
        <f>IF(AND($H5929="ATMOS DISTILLATION",ISNUMBER(SEARCH("VPS",$I5929))=FALSE,LEFT($I5929,6)&lt;&gt;"VACUUM"),"CDU",IF($H5929="FLUID CAT CRACKING","FCC",IF(OR($H5929="HYDROCRACKING",$H5929="RESID_HYDROCRACKING"),"Hydrocracker",IF($H5929="REFORMING","Reformer",""))))</f>
        <v>CDU</v>
      </c>
      <c r="H5929" s="6" t="s">
        <v>38</v>
      </c>
      <c r="I5929" s="6" t="s">
        <v>1097</v>
      </c>
      <c r="J5929" s="6" t="s">
        <v>345</v>
      </c>
      <c r="K5929" s="10">
        <v>1.116</v>
      </c>
      <c r="L5929" s="10">
        <v>37.2</v>
      </c>
      <c r="M5929" s="6" t="s">
        <v>371</v>
      </c>
    </row>
    <row r="5930" spans="1:13">
      <c r="A5930" s="6">
        <v>2025</v>
      </c>
      <c r="B5930" s="6">
        <v>5</v>
      </c>
      <c r="C5930" s="6" t="s">
        <v>63</v>
      </c>
      <c r="D5930" s="6" t="s">
        <v>772</v>
      </c>
      <c r="E5930" s="6" t="s">
        <v>405</v>
      </c>
      <c r="F5930" s="6" t="str">
        <f>IF($M5930="PADD I","PADD 1",IF($M5930="PADD II","PADD 2",IF($M5930="PADD III","PADD 3",IF($M5930="PADD IV","PADD 4",IF($M5930="PADD V","PADD 5","")))))</f>
        <v>PADD 3</v>
      </c>
      <c r="G5930" s="6">
        <f>IF(AND($H5930="ATMOS DISTILLATION",ISNUMBER(SEARCH("VPS",$I5930))=FALSE,LEFT($I5930,6)&lt;&gt;"VACUUM"),"CDU",IF($H5930="FLUID CAT CRACKING","FCC",IF(OR($H5930="HYDROCRACKING",$H5930="RESID_HYDROCRACKING"),"Hydrocracker",IF($H5930="REFORMING","Reformer",""))))</f>
        <v/>
      </c>
      <c r="H5930" s="6" t="s">
        <v>43</v>
      </c>
      <c r="I5930" s="6" t="s">
        <v>1312</v>
      </c>
      <c r="J5930" s="6" t="s">
        <v>345</v>
      </c>
      <c r="K5930" s="10">
        <v>1.11</v>
      </c>
      <c r="L5930" s="10">
        <v>37</v>
      </c>
      <c r="M5930" s="6" t="s">
        <v>371</v>
      </c>
    </row>
    <row r="5931" spans="1:13">
      <c r="A5931" s="6">
        <v>2025</v>
      </c>
      <c r="B5931" s="6">
        <v>5</v>
      </c>
      <c r="C5931" s="6" t="s">
        <v>63</v>
      </c>
      <c r="D5931" s="6" t="s">
        <v>772</v>
      </c>
      <c r="E5931" s="6" t="s">
        <v>405</v>
      </c>
      <c r="F5931" s="6" t="str">
        <f>IF($M5931="PADD I","PADD 1",IF($M5931="PADD II","PADD 2",IF($M5931="PADD III","PADD 3",IF($M5931="PADD IV","PADD 4",IF($M5931="PADD V","PADD 5","")))))</f>
        <v>PADD 3</v>
      </c>
      <c r="G5931" s="6">
        <f>IF(AND($H5931="ATMOS DISTILLATION",ISNUMBER(SEARCH("VPS",$I5931))=FALSE,LEFT($I5931,6)&lt;&gt;"VACUUM"),"CDU",IF($H5931="FLUID CAT CRACKING","FCC",IF(OR($H5931="HYDROCRACKING",$H5931="RESID_HYDROCRACKING"),"Hydrocracker",IF($H5931="REFORMING","Reformer",""))))</f>
        <v/>
      </c>
      <c r="H5931" s="6" t="s">
        <v>43</v>
      </c>
      <c r="I5931" s="6" t="s">
        <v>1312</v>
      </c>
      <c r="J5931" s="6" t="s">
        <v>345</v>
      </c>
      <c r="K5931" s="10">
        <v>1.11</v>
      </c>
      <c r="L5931" s="10">
        <v>37</v>
      </c>
      <c r="M5931" s="6" t="s">
        <v>371</v>
      </c>
    </row>
    <row r="5932" spans="1:13">
      <c r="A5932" s="6">
        <v>2025</v>
      </c>
      <c r="B5932" s="6">
        <v>5</v>
      </c>
      <c r="C5932" s="6" t="s">
        <v>63</v>
      </c>
      <c r="D5932" s="6" t="s">
        <v>851</v>
      </c>
      <c r="E5932" s="6" t="s">
        <v>852</v>
      </c>
      <c r="F5932" s="6" t="str">
        <f>IF($M5932="PADD I","PADD 1",IF($M5932="PADD II","PADD 2",IF($M5932="PADD III","PADD 3",IF($M5932="PADD IV","PADD 4",IF($M5932="PADD V","PADD 5","")))))</f>
        <v>PADD 3</v>
      </c>
      <c r="G5932" s="6">
        <f>IF(AND($H5932="ATMOS DISTILLATION",ISNUMBER(SEARCH("VPS",$I5932))=FALSE,LEFT($I5932,6)&lt;&gt;"VACUUM"),"CDU",IF($H5932="FLUID CAT CRACKING","FCC",IF(OR($H5932="HYDROCRACKING",$H5932="RESID_HYDROCRACKING"),"Hydrocracker",IF($H5932="REFORMING","Reformer",""))))</f>
        <v/>
      </c>
      <c r="H5932" s="6" t="s">
        <v>378</v>
      </c>
      <c r="I5932" s="6" t="s">
        <v>860</v>
      </c>
      <c r="J5932" s="6" t="s">
        <v>345</v>
      </c>
      <c r="K5932" s="10">
        <v>1.08</v>
      </c>
      <c r="L5932" s="10">
        <v>36</v>
      </c>
      <c r="M5932" s="6" t="s">
        <v>371</v>
      </c>
    </row>
    <row r="5933" spans="1:13">
      <c r="A5933" s="6">
        <v>2025</v>
      </c>
      <c r="B5933" s="6">
        <v>5</v>
      </c>
      <c r="C5933" s="6" t="s">
        <v>63</v>
      </c>
      <c r="D5933" s="6" t="s">
        <v>772</v>
      </c>
      <c r="E5933" s="6" t="s">
        <v>405</v>
      </c>
      <c r="F5933" s="6" t="str">
        <f>IF($M5933="PADD I","PADD 1",IF($M5933="PADD II","PADD 2",IF($M5933="PADD III","PADD 3",IF($M5933="PADD IV","PADD 4",IF($M5933="PADD V","PADD 5","")))))</f>
        <v>PADD 3</v>
      </c>
      <c r="G5933" s="6" t="str">
        <f>IF(AND($H5933="ATMOS DISTILLATION",ISNUMBER(SEARCH("VPS",$I5933))=FALSE,LEFT($I5933,6)&lt;&gt;"VACUUM"),"CDU",IF($H5933="FLUID CAT CRACKING","FCC",IF(OR($H5933="HYDROCRACKING",$H5933="RESID_HYDROCRACKING"),"Hydrocracker",IF($H5933="REFORMING","Reformer",""))))</f>
        <v>Reformer</v>
      </c>
      <c r="H5933" s="6" t="s">
        <v>421</v>
      </c>
      <c r="I5933" s="6" t="s">
        <v>1313</v>
      </c>
      <c r="J5933" s="6" t="s">
        <v>345</v>
      </c>
      <c r="K5933" s="10">
        <v>1.05</v>
      </c>
      <c r="L5933" s="10">
        <v>35</v>
      </c>
      <c r="M5933" s="6" t="s">
        <v>371</v>
      </c>
    </row>
    <row r="5934" spans="1:13">
      <c r="A5934" s="6">
        <v>2025</v>
      </c>
      <c r="B5934" s="6">
        <v>5</v>
      </c>
      <c r="C5934" s="6" t="s">
        <v>63</v>
      </c>
      <c r="D5934" s="6" t="s">
        <v>772</v>
      </c>
      <c r="E5934" s="6" t="s">
        <v>405</v>
      </c>
      <c r="F5934" s="6" t="str">
        <f>IF($M5934="PADD I","PADD 1",IF($M5934="PADD II","PADD 2",IF($M5934="PADD III","PADD 3",IF($M5934="PADD IV","PADD 4",IF($M5934="PADD V","PADD 5","")))))</f>
        <v>PADD 3</v>
      </c>
      <c r="G5934" s="6" t="str">
        <f>IF(AND($H5934="ATMOS DISTILLATION",ISNUMBER(SEARCH("VPS",$I5934))=FALSE,LEFT($I5934,6)&lt;&gt;"VACUUM"),"CDU",IF($H5934="FLUID CAT CRACKING","FCC",IF(OR($H5934="HYDROCRACKING",$H5934="RESID_HYDROCRACKING"),"Hydrocracker",IF($H5934="REFORMING","Reformer",""))))</f>
        <v>Reformer</v>
      </c>
      <c r="H5934" s="6" t="s">
        <v>421</v>
      </c>
      <c r="I5934" s="6" t="s">
        <v>1313</v>
      </c>
      <c r="J5934" s="6" t="s">
        <v>345</v>
      </c>
      <c r="K5934" s="10">
        <v>1.05</v>
      </c>
      <c r="L5934" s="10">
        <v>35</v>
      </c>
      <c r="M5934" s="6" t="s">
        <v>371</v>
      </c>
    </row>
    <row r="5935" spans="1:13">
      <c r="A5935" s="6">
        <v>2025</v>
      </c>
      <c r="B5935" s="6">
        <v>5</v>
      </c>
      <c r="C5935" s="6" t="s">
        <v>63</v>
      </c>
      <c r="D5935" s="6" t="s">
        <v>770</v>
      </c>
      <c r="E5935" s="6" t="s">
        <v>660</v>
      </c>
      <c r="F5935" s="6" t="str">
        <f>IF($M5935="PADD I","PADD 1",IF($M5935="PADD II","PADD 2",IF($M5935="PADD III","PADD 3",IF($M5935="PADD IV","PADD 4",IF($M5935="PADD V","PADD 5","")))))</f>
        <v>PADD 3</v>
      </c>
      <c r="G5935" s="6" t="str">
        <f>IF(AND($H5935="ATMOS DISTILLATION",ISNUMBER(SEARCH("VPS",$I5935))=FALSE,LEFT($I5935,6)&lt;&gt;"VACUUM"),"CDU",IF($H5935="FLUID CAT CRACKING","FCC",IF(OR($H5935="HYDROCRACKING",$H5935="RESID_HYDROCRACKING"),"Hydrocracker",IF($H5935="REFORMING","Reformer",""))))</f>
        <v>Reformer</v>
      </c>
      <c r="H5935" s="6" t="s">
        <v>421</v>
      </c>
      <c r="I5935" s="6" t="s">
        <v>810</v>
      </c>
      <c r="J5935" s="6" t="s">
        <v>345</v>
      </c>
      <c r="K5935" s="10">
        <v>1.024</v>
      </c>
      <c r="L5935" s="10">
        <v>6.4</v>
      </c>
      <c r="M5935" s="6" t="s">
        <v>371</v>
      </c>
    </row>
    <row r="5936" spans="1:13">
      <c r="A5936" s="6">
        <v>2025</v>
      </c>
      <c r="B5936" s="6">
        <v>5</v>
      </c>
      <c r="C5936" s="6" t="s">
        <v>63</v>
      </c>
      <c r="D5936" s="6" t="s">
        <v>878</v>
      </c>
      <c r="E5936" s="6" t="s">
        <v>452</v>
      </c>
      <c r="F5936" s="6" t="str">
        <f>IF($M5936="PADD I","PADD 1",IF($M5936="PADD II","PADD 2",IF($M5936="PADD III","PADD 3",IF($M5936="PADD IV","PADD 4",IF($M5936="PADD V","PADD 5","")))))</f>
        <v>PADD 2</v>
      </c>
      <c r="G5936" s="6">
        <f>IF(AND($H5936="ATMOS DISTILLATION",ISNUMBER(SEARCH("VPS",$I5936))=FALSE,LEFT($I5936,6)&lt;&gt;"VACUUM"),"CDU",IF($H5936="FLUID CAT CRACKING","FCC",IF(OR($H5936="HYDROCRACKING",$H5936="RESID_HYDROCRACKING"),"Hydrocracker",IF($H5936="REFORMING","Reformer",""))))</f>
        <v/>
      </c>
      <c r="H5936" s="6" t="s">
        <v>378</v>
      </c>
      <c r="I5936" s="6" t="s">
        <v>536</v>
      </c>
      <c r="J5936" s="6" t="s">
        <v>345</v>
      </c>
      <c r="K5936" s="10">
        <v>0.96</v>
      </c>
      <c r="L5936" s="10">
        <v>32</v>
      </c>
      <c r="M5936" s="6" t="s">
        <v>375</v>
      </c>
    </row>
    <row r="5937" spans="1:13">
      <c r="A5937" s="6">
        <v>2025</v>
      </c>
      <c r="B5937" s="6">
        <v>5</v>
      </c>
      <c r="C5937" s="6" t="s">
        <v>63</v>
      </c>
      <c r="D5937" s="6" t="s">
        <v>1130</v>
      </c>
      <c r="E5937" s="6" t="s">
        <v>452</v>
      </c>
      <c r="F5937" s="6" t="str">
        <f>IF($M5937="PADD I","PADD 1",IF($M5937="PADD II","PADD 2",IF($M5937="PADD III","PADD 3",IF($M5937="PADD IV","PADD 4",IF($M5937="PADD V","PADD 5","")))))</f>
        <v>PADD 2</v>
      </c>
      <c r="G5937" s="6">
        <f>IF(AND($H5937="ATMOS DISTILLATION",ISNUMBER(SEARCH("VPS",$I5937))=FALSE,LEFT($I5937,6)&lt;&gt;"VACUUM"),"CDU",IF($H5937="FLUID CAT CRACKING","FCC",IF(OR($H5937="HYDROCRACKING",$H5937="RESID_HYDROCRACKING"),"Hydrocracker",IF($H5937="REFORMING","Reformer",""))))</f>
        <v/>
      </c>
      <c r="H5937" s="6" t="s">
        <v>43</v>
      </c>
      <c r="I5937" s="6" t="s">
        <v>493</v>
      </c>
      <c r="J5937" s="6" t="s">
        <v>345</v>
      </c>
      <c r="K5937" s="10">
        <v>0.93</v>
      </c>
      <c r="L5937" s="10">
        <v>15.5</v>
      </c>
      <c r="M5937" s="6" t="s">
        <v>375</v>
      </c>
    </row>
    <row r="5938" spans="1:13">
      <c r="A5938" s="6">
        <v>2025</v>
      </c>
      <c r="B5938" s="6">
        <v>5</v>
      </c>
      <c r="C5938" s="6" t="s">
        <v>63</v>
      </c>
      <c r="D5938" s="6" t="s">
        <v>772</v>
      </c>
      <c r="E5938" s="6" t="s">
        <v>405</v>
      </c>
      <c r="F5938" s="6" t="str">
        <f>IF($M5938="PADD I","PADD 1",IF($M5938="PADD II","PADD 2",IF($M5938="PADD III","PADD 3",IF($M5938="PADD IV","PADD 4",IF($M5938="PADD V","PADD 5","")))))</f>
        <v>PADD 3</v>
      </c>
      <c r="G5938" s="6">
        <f>IF(AND($H5938="ATMOS DISTILLATION",ISNUMBER(SEARCH("VPS",$I5938))=FALSE,LEFT($I5938,6)&lt;&gt;"VACUUM"),"CDU",IF($H5938="FLUID CAT CRACKING","FCC",IF(OR($H5938="HYDROCRACKING",$H5938="RESID_HYDROCRACKING"),"Hydrocracker",IF($H5938="REFORMING","Reformer",""))))</f>
        <v/>
      </c>
      <c r="H5938" s="6" t="s">
        <v>378</v>
      </c>
      <c r="I5938" s="6" t="s">
        <v>431</v>
      </c>
      <c r="J5938" s="6" t="s">
        <v>345</v>
      </c>
      <c r="K5938" s="10">
        <v>0.9</v>
      </c>
      <c r="L5938" s="10">
        <v>30</v>
      </c>
      <c r="M5938" s="6" t="s">
        <v>371</v>
      </c>
    </row>
    <row r="5939" spans="1:13">
      <c r="A5939" s="6">
        <v>2025</v>
      </c>
      <c r="B5939" s="6">
        <v>5</v>
      </c>
      <c r="C5939" s="6" t="s">
        <v>63</v>
      </c>
      <c r="D5939" s="6" t="s">
        <v>772</v>
      </c>
      <c r="E5939" s="6" t="s">
        <v>405</v>
      </c>
      <c r="F5939" s="6" t="str">
        <f>IF($M5939="PADD I","PADD 1",IF($M5939="PADD II","PADD 2",IF($M5939="PADD III","PADD 3",IF($M5939="PADD IV","PADD 4",IF($M5939="PADD V","PADD 5","")))))</f>
        <v>PADD 3</v>
      </c>
      <c r="G5939" s="6">
        <f>IF(AND($H5939="ATMOS DISTILLATION",ISNUMBER(SEARCH("VPS",$I5939))=FALSE,LEFT($I5939,6)&lt;&gt;"VACUUM"),"CDU",IF($H5939="FLUID CAT CRACKING","FCC",IF(OR($H5939="HYDROCRACKING",$H5939="RESID_HYDROCRACKING"),"Hydrocracker",IF($H5939="REFORMING","Reformer",""))))</f>
        <v/>
      </c>
      <c r="H5939" s="6" t="s">
        <v>378</v>
      </c>
      <c r="I5939" s="6" t="s">
        <v>431</v>
      </c>
      <c r="J5939" s="6" t="s">
        <v>345</v>
      </c>
      <c r="K5939" s="10">
        <v>0.9</v>
      </c>
      <c r="L5939" s="10">
        <v>30</v>
      </c>
      <c r="M5939" s="6" t="s">
        <v>371</v>
      </c>
    </row>
    <row r="5940" spans="1:13">
      <c r="A5940" s="6">
        <v>2025</v>
      </c>
      <c r="B5940" s="6">
        <v>5</v>
      </c>
      <c r="C5940" s="6" t="s">
        <v>63</v>
      </c>
      <c r="D5940" s="6" t="s">
        <v>878</v>
      </c>
      <c r="E5940" s="6" t="s">
        <v>452</v>
      </c>
      <c r="F5940" s="6" t="str">
        <f>IF($M5940="PADD I","PADD 1",IF($M5940="PADD II","PADD 2",IF($M5940="PADD III","PADD 3",IF($M5940="PADD IV","PADD 4",IF($M5940="PADD V","PADD 5","")))))</f>
        <v>PADD 2</v>
      </c>
      <c r="G5940" s="6">
        <f>IF(AND($H5940="ATMOS DISTILLATION",ISNUMBER(SEARCH("VPS",$I5940))=FALSE,LEFT($I5940,6)&lt;&gt;"VACUUM"),"CDU",IF($H5940="FLUID CAT CRACKING","FCC",IF(OR($H5940="HYDROCRACKING",$H5940="RESID_HYDROCRACKING"),"Hydrocracker",IF($H5940="REFORMING","Reformer",""))))</f>
        <v/>
      </c>
      <c r="H5940" s="6" t="s">
        <v>378</v>
      </c>
      <c r="I5940" s="6" t="s">
        <v>536</v>
      </c>
      <c r="J5940" s="6" t="s">
        <v>345</v>
      </c>
      <c r="K5940" s="10">
        <v>0.9</v>
      </c>
      <c r="L5940" s="10">
        <v>30</v>
      </c>
      <c r="M5940" s="6" t="s">
        <v>375</v>
      </c>
    </row>
    <row r="5941" spans="1:13">
      <c r="A5941" s="6">
        <v>2025</v>
      </c>
      <c r="B5941" s="6">
        <v>5</v>
      </c>
      <c r="C5941" s="6" t="s">
        <v>63</v>
      </c>
      <c r="D5941" s="6" t="s">
        <v>799</v>
      </c>
      <c r="E5941" s="6" t="s">
        <v>391</v>
      </c>
      <c r="F5941" s="6" t="str">
        <f>IF($M5941="PADD I","PADD 1",IF($M5941="PADD II","PADD 2",IF($M5941="PADD III","PADD 3",IF($M5941="PADD IV","PADD 4",IF($M5941="PADD V","PADD 5","")))))</f>
        <v>PADD 4</v>
      </c>
      <c r="G5941" s="6">
        <f>IF(AND($H5941="ATMOS DISTILLATION",ISNUMBER(SEARCH("VPS",$I5941))=FALSE,LEFT($I5941,6)&lt;&gt;"VACUUM"),"CDU",IF($H5941="FLUID CAT CRACKING","FCC",IF(OR($H5941="HYDROCRACKING",$H5941="RESID_HYDROCRACKING"),"Hydrocracker",IF($H5941="REFORMING","Reformer",""))))</f>
        <v/>
      </c>
      <c r="H5941" s="6" t="s">
        <v>43</v>
      </c>
      <c r="I5941" s="6" t="s">
        <v>800</v>
      </c>
      <c r="J5941" s="6" t="s">
        <v>345</v>
      </c>
      <c r="K5941" s="10">
        <v>0.837</v>
      </c>
      <c r="L5941" s="10">
        <v>27.9</v>
      </c>
      <c r="M5941" s="6" t="s">
        <v>430</v>
      </c>
    </row>
    <row r="5942" spans="1:13">
      <c r="A5942" s="6">
        <v>2025</v>
      </c>
      <c r="B5942" s="6">
        <v>5</v>
      </c>
      <c r="C5942" s="6" t="s">
        <v>63</v>
      </c>
      <c r="D5942" s="6" t="s">
        <v>326</v>
      </c>
      <c r="E5942" s="6" t="s">
        <v>385</v>
      </c>
      <c r="F5942" s="6" t="str">
        <f>IF($M5942="PADD I","PADD 1",IF($M5942="PADD II","PADD 2",IF($M5942="PADD III","PADD 3",IF($M5942="PADD IV","PADD 4",IF($M5942="PADD V","PADD 5","")))))</f>
        <v>PADD 5</v>
      </c>
      <c r="G5942" s="6">
        <f>IF(AND($H5942="ATMOS DISTILLATION",ISNUMBER(SEARCH("VPS",$I5942))=FALSE,LEFT($I5942,6)&lt;&gt;"VACUUM"),"CDU",IF($H5942="FLUID CAT CRACKING","FCC",IF(OR($H5942="HYDROCRACKING",$H5942="RESID_HYDROCRACKING"),"Hydrocracker",IF($H5942="REFORMING","Reformer",""))))</f>
        <v/>
      </c>
      <c r="H5942" s="6" t="s">
        <v>568</v>
      </c>
      <c r="I5942" s="6" t="s">
        <v>604</v>
      </c>
      <c r="J5942" s="6" t="s">
        <v>345</v>
      </c>
      <c r="K5942" s="10">
        <v>0.78</v>
      </c>
      <c r="L5942" s="10">
        <v>1.5</v>
      </c>
      <c r="M5942" s="6" t="s">
        <v>386</v>
      </c>
    </row>
    <row r="5943" spans="1:13">
      <c r="A5943" s="6">
        <v>2025</v>
      </c>
      <c r="B5943" s="6">
        <v>5</v>
      </c>
      <c r="C5943" s="6" t="s">
        <v>63</v>
      </c>
      <c r="D5943" s="6" t="s">
        <v>770</v>
      </c>
      <c r="E5943" s="6" t="s">
        <v>660</v>
      </c>
      <c r="F5943" s="6" t="str">
        <f>IF($M5943="PADD I","PADD 1",IF($M5943="PADD II","PADD 2",IF($M5943="PADD III","PADD 3",IF($M5943="PADD IV","PADD 4",IF($M5943="PADD V","PADD 5","")))))</f>
        <v>PADD 3</v>
      </c>
      <c r="G5943" s="6">
        <f>IF(AND($H5943="ATMOS DISTILLATION",ISNUMBER(SEARCH("VPS",$I5943))=FALSE,LEFT($I5943,6)&lt;&gt;"VACUUM"),"CDU",IF($H5943="FLUID CAT CRACKING","FCC",IF(OR($H5943="HYDROCRACKING",$H5943="RESID_HYDROCRACKING"),"Hydrocracker",IF($H5943="REFORMING","Reformer",""))))</f>
        <v/>
      </c>
      <c r="H5943" s="6" t="s">
        <v>568</v>
      </c>
      <c r="I5943" s="6" t="s">
        <v>604</v>
      </c>
      <c r="J5943" s="6" t="s">
        <v>345</v>
      </c>
      <c r="K5943" s="10">
        <v>0.72</v>
      </c>
      <c r="L5943" s="10">
        <v>4.5</v>
      </c>
      <c r="M5943" s="6" t="s">
        <v>371</v>
      </c>
    </row>
    <row r="5944" spans="1:13">
      <c r="A5944" s="6">
        <v>2025</v>
      </c>
      <c r="B5944" s="6">
        <v>5</v>
      </c>
      <c r="C5944" s="6" t="s">
        <v>63</v>
      </c>
      <c r="D5944" s="6" t="s">
        <v>630</v>
      </c>
      <c r="E5944" s="6" t="s">
        <v>491</v>
      </c>
      <c r="F5944" s="6" t="str">
        <f>IF($M5944="PADD I","PADD 1",IF($M5944="PADD II","PADD 2",IF($M5944="PADD III","PADD 3",IF($M5944="PADD IV","PADD 4",IF($M5944="PADD V","PADD 5","")))))</f>
        <v>PADD 3</v>
      </c>
      <c r="G5944" s="6">
        <f>IF(AND($H5944="ATMOS DISTILLATION",ISNUMBER(SEARCH("VPS",$I5944))=FALSE,LEFT($I5944,6)&lt;&gt;"VACUUM"),"CDU",IF($H5944="FLUID CAT CRACKING","FCC",IF(OR($H5944="HYDROCRACKING",$H5944="RESID_HYDROCRACKING"),"Hydrocracker",IF($H5944="REFORMING","Reformer",""))))</f>
        <v/>
      </c>
      <c r="H5944" s="6" t="s">
        <v>43</v>
      </c>
      <c r="I5944" s="6" t="s">
        <v>464</v>
      </c>
      <c r="J5944" s="6" t="s">
        <v>345</v>
      </c>
      <c r="K5944" s="10">
        <v>0.72</v>
      </c>
      <c r="L5944" s="10">
        <v>12</v>
      </c>
      <c r="M5944" s="6" t="s">
        <v>371</v>
      </c>
    </row>
    <row r="5945" spans="1:13">
      <c r="A5945" s="6">
        <v>2025</v>
      </c>
      <c r="B5945" s="6">
        <v>5</v>
      </c>
      <c r="C5945" s="6" t="s">
        <v>63</v>
      </c>
      <c r="D5945" s="6" t="s">
        <v>772</v>
      </c>
      <c r="E5945" s="6" t="s">
        <v>405</v>
      </c>
      <c r="F5945" s="6" t="str">
        <f>IF($M5945="PADD I","PADD 1",IF($M5945="PADD II","PADD 2",IF($M5945="PADD III","PADD 3",IF($M5945="PADD IV","PADD 4",IF($M5945="PADD V","PADD 5","")))))</f>
        <v>PADD 3</v>
      </c>
      <c r="G5945" s="6">
        <f>IF(AND($H5945="ATMOS DISTILLATION",ISNUMBER(SEARCH("VPS",$I5945))=FALSE,LEFT($I5945,6)&lt;&gt;"VACUUM"),"CDU",IF($H5945="FLUID CAT CRACKING","FCC",IF(OR($H5945="HYDROCRACKING",$H5945="RESID_HYDROCRACKING"),"Hydrocracker",IF($H5945="REFORMING","Reformer",""))))</f>
        <v/>
      </c>
      <c r="H5945" s="6" t="s">
        <v>460</v>
      </c>
      <c r="I5945" s="6" t="s">
        <v>792</v>
      </c>
      <c r="J5945" s="6" t="s">
        <v>345</v>
      </c>
      <c r="K5945" s="10">
        <v>0.66</v>
      </c>
      <c r="L5945" s="10">
        <v>22</v>
      </c>
      <c r="M5945" s="6" t="s">
        <v>371</v>
      </c>
    </row>
    <row r="5946" spans="1:13">
      <c r="A5946" s="6">
        <v>2025</v>
      </c>
      <c r="B5946" s="6">
        <v>5</v>
      </c>
      <c r="C5946" s="6" t="s">
        <v>63</v>
      </c>
      <c r="D5946" s="6" t="s">
        <v>772</v>
      </c>
      <c r="E5946" s="6" t="s">
        <v>405</v>
      </c>
      <c r="F5946" s="6" t="str">
        <f>IF($M5946="PADD I","PADD 1",IF($M5946="PADD II","PADD 2",IF($M5946="PADD III","PADD 3",IF($M5946="PADD IV","PADD 4",IF($M5946="PADD V","PADD 5","")))))</f>
        <v>PADD 3</v>
      </c>
      <c r="G5946" s="6">
        <f>IF(AND($H5946="ATMOS DISTILLATION",ISNUMBER(SEARCH("VPS",$I5946))=FALSE,LEFT($I5946,6)&lt;&gt;"VACUUM"),"CDU",IF($H5946="FLUID CAT CRACKING","FCC",IF(OR($H5946="HYDROCRACKING",$H5946="RESID_HYDROCRACKING"),"Hydrocracker",IF($H5946="REFORMING","Reformer",""))))</f>
        <v/>
      </c>
      <c r="H5946" s="6" t="s">
        <v>460</v>
      </c>
      <c r="I5946" s="6" t="s">
        <v>792</v>
      </c>
      <c r="J5946" s="6" t="s">
        <v>345</v>
      </c>
      <c r="K5946" s="10">
        <v>0.66</v>
      </c>
      <c r="L5946" s="10">
        <v>22</v>
      </c>
      <c r="M5946" s="6" t="s">
        <v>371</v>
      </c>
    </row>
    <row r="5947" spans="1:13">
      <c r="A5947" s="6">
        <v>2025</v>
      </c>
      <c r="B5947" s="6">
        <v>5</v>
      </c>
      <c r="C5947" s="6" t="s">
        <v>63</v>
      </c>
      <c r="D5947" s="6" t="s">
        <v>1286</v>
      </c>
      <c r="E5947" s="6" t="s">
        <v>1287</v>
      </c>
      <c r="F5947" s="6" t="str">
        <f>IF($M5947="PADD I","PADD 1",IF($M5947="PADD II","PADD 2",IF($M5947="PADD III","PADD 3",IF($M5947="PADD IV","PADD 4",IF($M5947="PADD V","PADD 5","")))))</f>
        <v>PADD 4</v>
      </c>
      <c r="G5947" s="6" t="str">
        <f>IF(AND($H5947="ATMOS DISTILLATION",ISNUMBER(SEARCH("VPS",$I5947))=FALSE,LEFT($I5947,6)&lt;&gt;"VACUUM"),"CDU",IF($H5947="FLUID CAT CRACKING","FCC",IF(OR($H5947="HYDROCRACKING",$H5947="RESID_HYDROCRACKING"),"Hydrocracker",IF($H5947="REFORMING","Reformer",""))))</f>
        <v>CDU</v>
      </c>
      <c r="H5947" s="6" t="s">
        <v>38</v>
      </c>
      <c r="I5947" s="6" t="s">
        <v>81</v>
      </c>
      <c r="J5947" s="6" t="s">
        <v>345</v>
      </c>
      <c r="K5947" s="10">
        <v>0.6</v>
      </c>
      <c r="L5947" s="10">
        <v>20</v>
      </c>
      <c r="M5947" s="6" t="s">
        <v>430</v>
      </c>
    </row>
    <row r="5948" spans="1:13">
      <c r="A5948" s="6">
        <v>2025</v>
      </c>
      <c r="B5948" s="6">
        <v>5</v>
      </c>
      <c r="C5948" s="6" t="s">
        <v>63</v>
      </c>
      <c r="D5948" s="6" t="s">
        <v>803</v>
      </c>
      <c r="E5948" s="6" t="s">
        <v>388</v>
      </c>
      <c r="F5948" s="6" t="str">
        <f>IF($M5948="PADD I","PADD 1",IF($M5948="PADD II","PADD 2",IF($M5948="PADD III","PADD 3",IF($M5948="PADD IV","PADD 4",IF($M5948="PADD V","PADD 5","")))))</f>
        <v>PADD 2</v>
      </c>
      <c r="G5948" s="6">
        <f>IF(AND($H5948="ATMOS DISTILLATION",ISNUMBER(SEARCH("VPS",$I5948))=FALSE,LEFT($I5948,6)&lt;&gt;"VACUUM"),"CDU",IF($H5948="FLUID CAT CRACKING","FCC",IF(OR($H5948="HYDROCRACKING",$H5948="RESID_HYDROCRACKING"),"Hydrocracker",IF($H5948="REFORMING","Reformer",""))))</f>
        <v/>
      </c>
      <c r="H5948" s="6" t="s">
        <v>43</v>
      </c>
      <c r="I5948" s="6" t="s">
        <v>1177</v>
      </c>
      <c r="J5948" s="6" t="s">
        <v>345</v>
      </c>
      <c r="K5948" s="10">
        <v>0.6</v>
      </c>
      <c r="L5948" s="10">
        <v>20</v>
      </c>
      <c r="M5948" s="6" t="s">
        <v>375</v>
      </c>
    </row>
    <row r="5949" spans="1:13">
      <c r="A5949" s="6">
        <v>2025</v>
      </c>
      <c r="B5949" s="6">
        <v>5</v>
      </c>
      <c r="C5949" s="6" t="s">
        <v>63</v>
      </c>
      <c r="D5949" s="6" t="s">
        <v>871</v>
      </c>
      <c r="E5949" s="6" t="s">
        <v>872</v>
      </c>
      <c r="F5949" s="6" t="str">
        <f>IF($M5949="PADD I","PADD 1",IF($M5949="PADD II","PADD 2",IF($M5949="PADD III","PADD 3",IF($M5949="PADD IV","PADD 4",IF($M5949="PADD V","PADD 5","")))))</f>
        <v>PADD 4</v>
      </c>
      <c r="G5949" s="6">
        <f>IF(AND($H5949="ATMOS DISTILLATION",ISNUMBER(SEARCH("VPS",$I5949))=FALSE,LEFT($I5949,6)&lt;&gt;"VACUUM"),"CDU",IF($H5949="FLUID CAT CRACKING","FCC",IF(OR($H5949="HYDROCRACKING",$H5949="RESID_HYDROCRACKING"),"Hydrocracker",IF($H5949="REFORMING","Reformer",""))))</f>
        <v/>
      </c>
      <c r="H5949" s="6" t="s">
        <v>568</v>
      </c>
      <c r="I5949" s="6" t="s">
        <v>1202</v>
      </c>
      <c r="J5949" s="6" t="s">
        <v>349</v>
      </c>
      <c r="K5949" s="10">
        <v>0.55</v>
      </c>
      <c r="L5949" s="10">
        <v>1</v>
      </c>
      <c r="M5949" s="6" t="s">
        <v>430</v>
      </c>
    </row>
    <row r="5950" spans="1:13">
      <c r="A5950" s="6">
        <v>2025</v>
      </c>
      <c r="B5950" s="6">
        <v>5</v>
      </c>
      <c r="C5950" s="6" t="s">
        <v>63</v>
      </c>
      <c r="D5950" s="6" t="s">
        <v>946</v>
      </c>
      <c r="E5950" s="6" t="s">
        <v>405</v>
      </c>
      <c r="F5950" s="6" t="str">
        <f>IF($M5950="PADD I","PADD 1",IF($M5950="PADD II","PADD 2",IF($M5950="PADD III","PADD 3",IF($M5950="PADD IV","PADD 4",IF($M5950="PADD V","PADD 5","")))))</f>
        <v>PADD 5</v>
      </c>
      <c r="G5950" s="6" t="str">
        <f>IF(AND($H5950="ATMOS DISTILLATION",ISNUMBER(SEARCH("VPS",$I5950))=FALSE,LEFT($I5950,6)&lt;&gt;"VACUUM"),"CDU",IF($H5950="FLUID CAT CRACKING","FCC",IF(OR($H5950="HYDROCRACKING",$H5950="RESID_HYDROCRACKING"),"Hydrocracker",IF($H5950="REFORMING","Reformer",""))))</f>
        <v>Reformer</v>
      </c>
      <c r="H5950" s="6" t="s">
        <v>421</v>
      </c>
      <c r="I5950" s="6" t="s">
        <v>973</v>
      </c>
      <c r="J5950" s="6" t="s">
        <v>345</v>
      </c>
      <c r="K5950" s="10">
        <v>0.54</v>
      </c>
      <c r="L5950" s="10">
        <v>18</v>
      </c>
      <c r="M5950" s="6" t="s">
        <v>386</v>
      </c>
    </row>
    <row r="5951" spans="1:13">
      <c r="A5951" s="6">
        <v>2025</v>
      </c>
      <c r="B5951" s="6">
        <v>5</v>
      </c>
      <c r="C5951" s="6" t="s">
        <v>63</v>
      </c>
      <c r="D5951" s="6" t="s">
        <v>615</v>
      </c>
      <c r="E5951" s="6" t="s">
        <v>405</v>
      </c>
      <c r="F5951" s="6" t="str">
        <f>IF($M5951="PADD I","PADD 1",IF($M5951="PADD II","PADD 2",IF($M5951="PADD III","PADD 3",IF($M5951="PADD IV","PADD 4",IF($M5951="PADD V","PADD 5","")))))</f>
        <v>PADD 5</v>
      </c>
      <c r="G5951" s="6">
        <f>IF(AND($H5951="ATMOS DISTILLATION",ISNUMBER(SEARCH("VPS",$I5951))=FALSE,LEFT($I5951,6)&lt;&gt;"VACUUM"),"CDU",IF($H5951="FLUID CAT CRACKING","FCC",IF(OR($H5951="HYDROCRACKING",$H5951="RESID_HYDROCRACKING"),"Hydrocracker",IF($H5951="REFORMING","Reformer",""))))</f>
        <v/>
      </c>
      <c r="H5951" s="6" t="s">
        <v>568</v>
      </c>
      <c r="I5951" s="6" t="s">
        <v>1314</v>
      </c>
      <c r="J5951" s="6" t="s">
        <v>345</v>
      </c>
      <c r="K5951" s="10">
        <v>0.494</v>
      </c>
      <c r="L5951" s="10">
        <v>3.8</v>
      </c>
      <c r="M5951" s="6" t="s">
        <v>386</v>
      </c>
    </row>
    <row r="5952" spans="1:13">
      <c r="A5952" s="6">
        <v>2025</v>
      </c>
      <c r="B5952" s="6">
        <v>5</v>
      </c>
      <c r="C5952" s="6" t="s">
        <v>63</v>
      </c>
      <c r="D5952" s="6" t="s">
        <v>1063</v>
      </c>
      <c r="E5952" s="6" t="s">
        <v>388</v>
      </c>
      <c r="F5952" s="6" t="str">
        <f>IF($M5952="PADD I","PADD 1",IF($M5952="PADD II","PADD 2",IF($M5952="PADD III","PADD 3",IF($M5952="PADD IV","PADD 4",IF($M5952="PADD V","PADD 5","")))))</f>
        <v>PADD 2</v>
      </c>
      <c r="G5952" s="6">
        <f>IF(AND($H5952="ATMOS DISTILLATION",ISNUMBER(SEARCH("VPS",$I5952))=FALSE,LEFT($I5952,6)&lt;&gt;"VACUUM"),"CDU",IF($H5952="FLUID CAT CRACKING","FCC",IF(OR($H5952="HYDROCRACKING",$H5952="RESID_HYDROCRACKING"),"Hydrocracker",IF($H5952="REFORMING","Reformer",""))))</f>
        <v/>
      </c>
      <c r="H5952" s="6" t="s">
        <v>43</v>
      </c>
      <c r="I5952" s="6" t="s">
        <v>689</v>
      </c>
      <c r="J5952" s="6" t="s">
        <v>345</v>
      </c>
      <c r="K5952" s="10">
        <v>0.42</v>
      </c>
      <c r="L5952" s="10">
        <v>7</v>
      </c>
      <c r="M5952" s="6" t="s">
        <v>375</v>
      </c>
    </row>
    <row r="5953" spans="1:13">
      <c r="A5953" s="6">
        <v>2025</v>
      </c>
      <c r="B5953" s="6">
        <v>5</v>
      </c>
      <c r="C5953" s="6" t="s">
        <v>63</v>
      </c>
      <c r="D5953" s="6" t="s">
        <v>799</v>
      </c>
      <c r="E5953" s="6" t="s">
        <v>391</v>
      </c>
      <c r="F5953" s="6" t="str">
        <f>IF($M5953="PADD I","PADD 1",IF($M5953="PADD II","PADD 2",IF($M5953="PADD III","PADD 3",IF($M5953="PADD IV","PADD 4",IF($M5953="PADD V","PADD 5","")))))</f>
        <v>PADD 4</v>
      </c>
      <c r="G5953" s="6">
        <f>IF(AND($H5953="ATMOS DISTILLATION",ISNUMBER(SEARCH("VPS",$I5953))=FALSE,LEFT($I5953,6)&lt;&gt;"VACUUM"),"CDU",IF($H5953="FLUID CAT CRACKING","FCC",IF(OR($H5953="HYDROCRACKING",$H5953="RESID_HYDROCRACKING"),"Hydrocracker",IF($H5953="REFORMING","Reformer",""))))</f>
        <v/>
      </c>
      <c r="H5953" s="6" t="s">
        <v>43</v>
      </c>
      <c r="I5953" s="6" t="s">
        <v>1064</v>
      </c>
      <c r="J5953" s="6" t="s">
        <v>345</v>
      </c>
      <c r="K5953" s="10">
        <v>0.399</v>
      </c>
      <c r="L5953" s="10">
        <v>13.3</v>
      </c>
      <c r="M5953" s="6" t="s">
        <v>430</v>
      </c>
    </row>
    <row r="5954" spans="1:13">
      <c r="A5954" s="6">
        <v>2025</v>
      </c>
      <c r="B5954" s="6">
        <v>5</v>
      </c>
      <c r="C5954" s="6" t="s">
        <v>63</v>
      </c>
      <c r="D5954" s="6" t="s">
        <v>329</v>
      </c>
      <c r="E5954" s="6" t="s">
        <v>427</v>
      </c>
      <c r="F5954" s="6" t="str">
        <f>IF($M5954="PADD I","PADD 1",IF($M5954="PADD II","PADD 2",IF($M5954="PADD III","PADD 3",IF($M5954="PADD IV","PADD 4",IF($M5954="PADD V","PADD 5","")))))</f>
        <v>PADD 3</v>
      </c>
      <c r="G5954" s="6">
        <f>IF(AND($H5954="ATMOS DISTILLATION",ISNUMBER(SEARCH("VPS",$I5954))=FALSE,LEFT($I5954,6)&lt;&gt;"VACUUM"),"CDU",IF($H5954="FLUID CAT CRACKING","FCC",IF(OR($H5954="HYDROCRACKING",$H5954="RESID_HYDROCRACKING"),"Hydrocracker",IF($H5954="REFORMING","Reformer",""))))</f>
        <v/>
      </c>
      <c r="H5954" s="6" t="s">
        <v>460</v>
      </c>
      <c r="I5954" s="6" t="s">
        <v>1075</v>
      </c>
      <c r="J5954" s="6" t="s">
        <v>345</v>
      </c>
      <c r="K5954" s="10">
        <v>0.375</v>
      </c>
      <c r="L5954" s="10">
        <v>12.5</v>
      </c>
      <c r="M5954" s="6" t="s">
        <v>371</v>
      </c>
    </row>
    <row r="5955" spans="1:13">
      <c r="A5955" s="6">
        <v>2025</v>
      </c>
      <c r="B5955" s="6">
        <v>5</v>
      </c>
      <c r="C5955" s="6" t="s">
        <v>63</v>
      </c>
      <c r="D5955" s="6" t="s">
        <v>878</v>
      </c>
      <c r="E5955" s="6" t="s">
        <v>452</v>
      </c>
      <c r="F5955" s="6" t="str">
        <f>IF($M5955="PADD I","PADD 1",IF($M5955="PADD II","PADD 2",IF($M5955="PADD III","PADD 3",IF($M5955="PADD IV","PADD 4",IF($M5955="PADD V","PADD 5","")))))</f>
        <v>PADD 2</v>
      </c>
      <c r="G5955" s="6">
        <f>IF(AND($H5955="ATMOS DISTILLATION",ISNUMBER(SEARCH("VPS",$I5955))=FALSE,LEFT($I5955,6)&lt;&gt;"VACUUM"),"CDU",IF($H5955="FLUID CAT CRACKING","FCC",IF(OR($H5955="HYDROCRACKING",$H5955="RESID_HYDROCRACKING"),"Hydrocracker",IF($H5955="REFORMING","Reformer",""))))</f>
        <v/>
      </c>
      <c r="H5955" s="6" t="s">
        <v>435</v>
      </c>
      <c r="I5955" s="6" t="s">
        <v>441</v>
      </c>
      <c r="J5955" s="6" t="s">
        <v>345</v>
      </c>
      <c r="K5955" s="10">
        <v>0.255</v>
      </c>
      <c r="L5955" s="10">
        <v>8.5</v>
      </c>
      <c r="M5955" s="6" t="s">
        <v>375</v>
      </c>
    </row>
    <row r="5956" spans="1:13">
      <c r="A5956" s="6">
        <v>2025</v>
      </c>
      <c r="B5956" s="6">
        <v>5</v>
      </c>
      <c r="C5956" s="6" t="s">
        <v>63</v>
      </c>
      <c r="D5956" s="6" t="s">
        <v>326</v>
      </c>
      <c r="E5956" s="6" t="s">
        <v>385</v>
      </c>
      <c r="F5956" s="6" t="str">
        <f>IF($M5956="PADD I","PADD 1",IF($M5956="PADD II","PADD 2",IF($M5956="PADD III","PADD 3",IF($M5956="PADD IV","PADD 4",IF($M5956="PADD V","PADD 5","")))))</f>
        <v>PADD 5</v>
      </c>
      <c r="G5956" s="6">
        <f>IF(AND($H5956="ATMOS DISTILLATION",ISNUMBER(SEARCH("VPS",$I5956))=FALSE,LEFT($I5956,6)&lt;&gt;"VACUUM"),"CDU",IF($H5956="FLUID CAT CRACKING","FCC",IF(OR($H5956="HYDROCRACKING",$H5956="RESID_HYDROCRACKING"),"Hydrocracker",IF($H5956="REFORMING","Reformer",""))))</f>
        <v/>
      </c>
      <c r="H5956" s="6" t="s">
        <v>568</v>
      </c>
      <c r="I5956" s="6" t="s">
        <v>604</v>
      </c>
      <c r="J5956" s="6" t="s">
        <v>345</v>
      </c>
      <c r="K5956" s="10">
        <v>0.2544</v>
      </c>
      <c r="L5956" s="10">
        <v>0.53</v>
      </c>
      <c r="M5956" s="6" t="s">
        <v>386</v>
      </c>
    </row>
    <row r="5957" spans="1:13">
      <c r="A5957" s="6">
        <v>2025</v>
      </c>
      <c r="B5957" s="6">
        <v>5</v>
      </c>
      <c r="C5957" s="6" t="s">
        <v>63</v>
      </c>
      <c r="D5957" s="6" t="s">
        <v>1286</v>
      </c>
      <c r="E5957" s="6" t="s">
        <v>1287</v>
      </c>
      <c r="F5957" s="6" t="str">
        <f>IF($M5957="PADD I","PADD 1",IF($M5957="PADD II","PADD 2",IF($M5957="PADD III","PADD 3",IF($M5957="PADD IV","PADD 4",IF($M5957="PADD V","PADD 5","")))))</f>
        <v>PADD 4</v>
      </c>
      <c r="G5957" s="6">
        <f>IF(AND($H5957="ATMOS DISTILLATION",ISNUMBER(SEARCH("VPS",$I5957))=FALSE,LEFT($I5957,6)&lt;&gt;"VACUUM"),"CDU",IF($H5957="FLUID CAT CRACKING","FCC",IF(OR($H5957="HYDROCRACKING",$H5957="RESID_HYDROCRACKING"),"Hydrocracker",IF($H5957="REFORMING","Reformer",""))))</f>
        <v/>
      </c>
      <c r="H5957" s="6" t="s">
        <v>43</v>
      </c>
      <c r="I5957" s="6" t="s">
        <v>1291</v>
      </c>
      <c r="J5957" s="6" t="s">
        <v>345</v>
      </c>
      <c r="K5957" s="10">
        <v>0.165</v>
      </c>
      <c r="L5957" s="10">
        <v>5.5</v>
      </c>
      <c r="M5957" s="6" t="s">
        <v>430</v>
      </c>
    </row>
    <row r="5958" spans="1:13">
      <c r="A5958" s="6">
        <v>2025</v>
      </c>
      <c r="B5958" s="6">
        <v>5</v>
      </c>
      <c r="C5958" s="6" t="s">
        <v>63</v>
      </c>
      <c r="D5958" s="6" t="s">
        <v>1286</v>
      </c>
      <c r="E5958" s="6" t="s">
        <v>1287</v>
      </c>
      <c r="F5958" s="6" t="str">
        <f>IF($M5958="PADD I","PADD 1",IF($M5958="PADD II","PADD 2",IF($M5958="PADD III","PADD 3",IF($M5958="PADD IV","PADD 4",IF($M5958="PADD V","PADD 5","")))))</f>
        <v>PADD 4</v>
      </c>
      <c r="G5958" s="6" t="str">
        <f>IF(AND($H5958="ATMOS DISTILLATION",ISNUMBER(SEARCH("VPS",$I5958))=FALSE,LEFT($I5958,6)&lt;&gt;"VACUUM"),"CDU",IF($H5958="FLUID CAT CRACKING","FCC",IF(OR($H5958="HYDROCRACKING",$H5958="RESID_HYDROCRACKING"),"Hydrocracker",IF($H5958="REFORMING","Reformer",""))))</f>
        <v>FCC</v>
      </c>
      <c r="H5958" s="6" t="s">
        <v>376</v>
      </c>
      <c r="I5958" s="6" t="s">
        <v>105</v>
      </c>
      <c r="J5958" s="6" t="s">
        <v>345</v>
      </c>
      <c r="K5958" s="10">
        <v>0.165</v>
      </c>
      <c r="L5958" s="10">
        <v>5.5</v>
      </c>
      <c r="M5958" s="6" t="s">
        <v>430</v>
      </c>
    </row>
    <row r="5959" spans="1:13">
      <c r="A5959" s="6">
        <v>2025</v>
      </c>
      <c r="B5959" s="6">
        <v>5</v>
      </c>
      <c r="C5959" s="6" t="s">
        <v>63</v>
      </c>
      <c r="D5959" s="6" t="s">
        <v>1286</v>
      </c>
      <c r="E5959" s="6" t="s">
        <v>1287</v>
      </c>
      <c r="F5959" s="6" t="str">
        <f>IF($M5959="PADD I","PADD 1",IF($M5959="PADD II","PADD 2",IF($M5959="PADD III","PADD 3",IF($M5959="PADD IV","PADD 4",IF($M5959="PADD V","PADD 5","")))))</f>
        <v>PADD 4</v>
      </c>
      <c r="G5959" s="6">
        <f>IF(AND($H5959="ATMOS DISTILLATION",ISNUMBER(SEARCH("VPS",$I5959))=FALSE,LEFT($I5959,6)&lt;&gt;"VACUUM"),"CDU",IF($H5959="FLUID CAT CRACKING","FCC",IF(OR($H5959="HYDROCRACKING",$H5959="RESID_HYDROCRACKING"),"Hydrocracker",IF($H5959="REFORMING","Reformer",""))))</f>
        <v/>
      </c>
      <c r="H5959" s="6" t="s">
        <v>43</v>
      </c>
      <c r="I5959" s="6" t="s">
        <v>1292</v>
      </c>
      <c r="J5959" s="6" t="s">
        <v>345</v>
      </c>
      <c r="K5959" s="10">
        <v>0.105</v>
      </c>
      <c r="L5959" s="10">
        <v>3.5</v>
      </c>
      <c r="M5959" s="6" t="s">
        <v>430</v>
      </c>
    </row>
    <row r="5960" spans="1:13">
      <c r="A5960" s="6">
        <v>2025</v>
      </c>
      <c r="B5960" s="6">
        <v>5</v>
      </c>
      <c r="C5960" s="6" t="s">
        <v>63</v>
      </c>
      <c r="D5960" s="6" t="s">
        <v>1286</v>
      </c>
      <c r="E5960" s="6" t="s">
        <v>1287</v>
      </c>
      <c r="F5960" s="6" t="str">
        <f>IF($M5960="PADD I","PADD 1",IF($M5960="PADD II","PADD 2",IF($M5960="PADD III","PADD 3",IF($M5960="PADD IV","PADD 4",IF($M5960="PADD V","PADD 5","")))))</f>
        <v>PADD 4</v>
      </c>
      <c r="G5960" s="6" t="str">
        <f>IF(AND($H5960="ATMOS DISTILLATION",ISNUMBER(SEARCH("VPS",$I5960))=FALSE,LEFT($I5960,6)&lt;&gt;"VACUUM"),"CDU",IF($H5960="FLUID CAT CRACKING","FCC",IF(OR($H5960="HYDROCRACKING",$H5960="RESID_HYDROCRACKING"),"Hydrocracker",IF($H5960="REFORMING","Reformer",""))))</f>
        <v>Reformer</v>
      </c>
      <c r="H5960" s="6" t="s">
        <v>421</v>
      </c>
      <c r="I5960" s="6" t="s">
        <v>15</v>
      </c>
      <c r="J5960" s="6" t="s">
        <v>345</v>
      </c>
      <c r="K5960" s="10">
        <v>0.096</v>
      </c>
      <c r="L5960" s="10">
        <v>3.2</v>
      </c>
      <c r="M5960" s="6" t="s">
        <v>430</v>
      </c>
    </row>
    <row r="5961" spans="1:13">
      <c r="A5961" s="6">
        <v>2025</v>
      </c>
      <c r="B5961" s="6">
        <v>5</v>
      </c>
      <c r="C5961" s="6" t="s">
        <v>63</v>
      </c>
      <c r="D5961" s="6" t="s">
        <v>1286</v>
      </c>
      <c r="E5961" s="6" t="s">
        <v>1287</v>
      </c>
      <c r="F5961" s="6" t="str">
        <f>IF($M5961="PADD I","PADD 1",IF($M5961="PADD II","PADD 2",IF($M5961="PADD III","PADD 3",IF($M5961="PADD IV","PADD 4",IF($M5961="PADD V","PADD 5","")))))</f>
        <v>PADD 4</v>
      </c>
      <c r="G5961" s="6">
        <f>IF(AND($H5961="ATMOS DISTILLATION",ISNUMBER(SEARCH("VPS",$I5961))=FALSE,LEFT($I5961,6)&lt;&gt;"VACUUM"),"CDU",IF($H5961="FLUID CAT CRACKING","FCC",IF(OR($H5961="HYDROCRACKING",$H5961="RESID_HYDROCRACKING"),"Hydrocracker",IF($H5961="REFORMING","Reformer",""))))</f>
        <v/>
      </c>
      <c r="H5961" s="6" t="s">
        <v>378</v>
      </c>
      <c r="I5961" s="6" t="s">
        <v>431</v>
      </c>
      <c r="J5961" s="6" t="s">
        <v>345</v>
      </c>
      <c r="K5961" s="10">
        <v>0.045</v>
      </c>
      <c r="L5961" s="10">
        <v>1.5</v>
      </c>
      <c r="M5961" s="6" t="s">
        <v>430</v>
      </c>
    </row>
    <row r="5962" spans="1:13">
      <c r="A5962" s="6">
        <v>2025</v>
      </c>
      <c r="B5962" s="6">
        <v>5</v>
      </c>
      <c r="C5962" s="6" t="s">
        <v>63</v>
      </c>
      <c r="D5962" s="6" t="s">
        <v>1286</v>
      </c>
      <c r="E5962" s="6" t="s">
        <v>1287</v>
      </c>
      <c r="F5962" s="6" t="str">
        <f>IF($M5962="PADD I","PADD 1",IF($M5962="PADD II","PADD 2",IF($M5962="PADD III","PADD 3",IF($M5962="PADD IV","PADD 4",IF($M5962="PADD V","PADD 5","")))))</f>
        <v>PADD 4</v>
      </c>
      <c r="G5962" s="6">
        <f>IF(AND($H5962="ATMOS DISTILLATION",ISNUMBER(SEARCH("VPS",$I5962))=FALSE,LEFT($I5962,6)&lt;&gt;"VACUUM"),"CDU",IF($H5962="FLUID CAT CRACKING","FCC",IF(OR($H5962="HYDROCRACKING",$H5962="RESID_HYDROCRACKING"),"Hydrocracker",IF($H5962="REFORMING","Reformer",""))))</f>
        <v/>
      </c>
      <c r="H5962" s="6" t="s">
        <v>460</v>
      </c>
      <c r="I5962" s="6" t="s">
        <v>616</v>
      </c>
      <c r="J5962" s="6" t="s">
        <v>345</v>
      </c>
      <c r="K5962" s="10">
        <v>0.039</v>
      </c>
      <c r="L5962" s="10">
        <v>1.3</v>
      </c>
      <c r="M5962" s="6" t="s">
        <v>430</v>
      </c>
    </row>
    <row r="5963" spans="1:13">
      <c r="A5963" s="6">
        <v>2025</v>
      </c>
      <c r="B5963" s="6">
        <v>6</v>
      </c>
      <c r="C5963" s="6" t="s">
        <v>64</v>
      </c>
      <c r="D5963" s="6" t="s">
        <v>53</v>
      </c>
      <c r="E5963" s="6" t="s">
        <v>543</v>
      </c>
      <c r="F5963" s="6" t="str">
        <f>IF($M5963="PADD I","PADD 1",IF($M5963="PADD II","PADD 2",IF($M5963="PADD III","PADD 3",IF($M5963="PADD IV","PADD 4",IF($M5963="PADD V","PADD 5","")))))</f>
        <v>PADD 5</v>
      </c>
      <c r="G5963" s="6" t="str">
        <f>IF(AND($H5963="ATMOS DISTILLATION",ISNUMBER(SEARCH("VPS",$I5963))=FALSE,LEFT($I5963,6)&lt;&gt;"VACUUM"),"CDU",IF($H5963="FLUID CAT CRACKING","FCC",IF(OR($H5963="HYDROCRACKING",$H5963="RESID_HYDROCRACKING"),"Hydrocracker",IF($H5963="REFORMING","Reformer",""))))</f>
        <v>CDU</v>
      </c>
      <c r="H5963" s="6" t="s">
        <v>38</v>
      </c>
      <c r="I5963" s="6" t="s">
        <v>81</v>
      </c>
      <c r="J5963" s="6" t="s">
        <v>345</v>
      </c>
      <c r="K5963" s="10">
        <v>150.6</v>
      </c>
      <c r="L5963" s="10">
        <v>251</v>
      </c>
      <c r="M5963" s="6" t="s">
        <v>386</v>
      </c>
    </row>
    <row r="5964" spans="1:13">
      <c r="A5964" s="6">
        <v>2025</v>
      </c>
      <c r="B5964" s="6">
        <v>6</v>
      </c>
      <c r="C5964" s="6" t="s">
        <v>64</v>
      </c>
      <c r="D5964" s="6" t="s">
        <v>326</v>
      </c>
      <c r="E5964" s="6" t="s">
        <v>385</v>
      </c>
      <c r="F5964" s="6" t="str">
        <f>IF($M5964="PADD I","PADD 1",IF($M5964="PADD II","PADD 2",IF($M5964="PADD III","PADD 3",IF($M5964="PADD IV","PADD 4",IF($M5964="PADD V","PADD 5","")))))</f>
        <v>PADD 5</v>
      </c>
      <c r="G5964" s="6">
        <f>IF(AND($H5964="ATMOS DISTILLATION",ISNUMBER(SEARCH("VPS",$I5964))=FALSE,LEFT($I5964,6)&lt;&gt;"VACUUM"),"CDU",IF($H5964="FLUID CAT CRACKING","FCC",IF(OR($H5964="HYDROCRACKING",$H5964="RESID_HYDROCRACKING"),"Hydrocracker",IF($H5964="REFORMING","Reformer",""))))</f>
        <v/>
      </c>
      <c r="H5964" s="6" t="s">
        <v>43</v>
      </c>
      <c r="I5964" s="6" t="s">
        <v>1285</v>
      </c>
      <c r="J5964" s="6" t="s">
        <v>345</v>
      </c>
      <c r="K5964" s="10">
        <v>77.5</v>
      </c>
      <c r="L5964" s="10">
        <v>77.5</v>
      </c>
      <c r="M5964" s="6" t="s">
        <v>386</v>
      </c>
    </row>
    <row r="5965" spans="1:13">
      <c r="A5965" s="6">
        <v>2025</v>
      </c>
      <c r="B5965" s="6">
        <v>6</v>
      </c>
      <c r="C5965" s="6" t="s">
        <v>64</v>
      </c>
      <c r="D5965" s="6" t="s">
        <v>326</v>
      </c>
      <c r="E5965" s="6" t="s">
        <v>385</v>
      </c>
      <c r="F5965" s="6" t="str">
        <f>IF($M5965="PADD I","PADD 1",IF($M5965="PADD II","PADD 2",IF($M5965="PADD III","PADD 3",IF($M5965="PADD IV","PADD 4",IF($M5965="PADD V","PADD 5","")))))</f>
        <v>PADD 5</v>
      </c>
      <c r="G5965" s="6" t="str">
        <f>IF(AND($H5965="ATMOS DISTILLATION",ISNUMBER(SEARCH("VPS",$I5965))=FALSE,LEFT($I5965,6)&lt;&gt;"VACUUM"),"CDU",IF($H5965="FLUID CAT CRACKING","FCC",IF(OR($H5965="HYDROCRACKING",$H5965="RESID_HYDROCRACKING"),"Hydrocracker",IF($H5965="REFORMING","Reformer",""))))</f>
        <v>FCC</v>
      </c>
      <c r="H5965" s="6" t="s">
        <v>376</v>
      </c>
      <c r="I5965" s="6" t="s">
        <v>504</v>
      </c>
      <c r="J5965" s="6" t="s">
        <v>345</v>
      </c>
      <c r="K5965" s="10">
        <v>70</v>
      </c>
      <c r="L5965" s="10">
        <v>70</v>
      </c>
      <c r="M5965" s="6" t="s">
        <v>386</v>
      </c>
    </row>
    <row r="5966" spans="1:13">
      <c r="A5966" s="6">
        <v>2025</v>
      </c>
      <c r="B5966" s="6">
        <v>6</v>
      </c>
      <c r="C5966" s="6" t="s">
        <v>64</v>
      </c>
      <c r="D5966" s="6" t="s">
        <v>326</v>
      </c>
      <c r="E5966" s="6" t="s">
        <v>385</v>
      </c>
      <c r="F5966" s="6" t="str">
        <f>IF($M5966="PADD I","PADD 1",IF($M5966="PADD II","PADD 2",IF($M5966="PADD III","PADD 3",IF($M5966="PADD IV","PADD 4",IF($M5966="PADD V","PADD 5","")))))</f>
        <v>PADD 5</v>
      </c>
      <c r="G5966" s="6" t="str">
        <f>IF(AND($H5966="ATMOS DISTILLATION",ISNUMBER(SEARCH("VPS",$I5966))=FALSE,LEFT($I5966,6)&lt;&gt;"VACUUM"),"CDU",IF($H5966="FLUID CAT CRACKING","FCC",IF(OR($H5966="HYDROCRACKING",$H5966="RESID_HYDROCRACKING"),"Hydrocracker",IF($H5966="REFORMING","Reformer",""))))</f>
        <v>CDU</v>
      </c>
      <c r="H5966" s="6" t="s">
        <v>38</v>
      </c>
      <c r="I5966" s="6" t="s">
        <v>93</v>
      </c>
      <c r="J5966" s="6" t="s">
        <v>345</v>
      </c>
      <c r="K5966" s="10">
        <v>54.25</v>
      </c>
      <c r="L5966" s="10">
        <v>54.25</v>
      </c>
      <c r="M5966" s="6" t="s">
        <v>386</v>
      </c>
    </row>
    <row r="5967" spans="1:13">
      <c r="A5967" s="6">
        <v>2025</v>
      </c>
      <c r="B5967" s="6">
        <v>6</v>
      </c>
      <c r="C5967" s="6" t="s">
        <v>64</v>
      </c>
      <c r="D5967" s="6" t="s">
        <v>372</v>
      </c>
      <c r="E5967" s="6" t="s">
        <v>373</v>
      </c>
      <c r="F5967" s="6" t="str">
        <f>IF($M5967="PADD I","PADD 1",IF($M5967="PADD II","PADD 2",IF($M5967="PADD III","PADD 3",IF($M5967="PADD IV","PADD 4",IF($M5967="PADD V","PADD 5","")))))</f>
        <v>PADD 2</v>
      </c>
      <c r="G5967" s="6" t="str">
        <f>IF(AND($H5967="ATMOS DISTILLATION",ISNUMBER(SEARCH("VPS",$I5967))=FALSE,LEFT($I5967,6)&lt;&gt;"VACUUM"),"CDU",IF($H5967="FLUID CAT CRACKING","FCC",IF(OR($H5967="HYDROCRACKING",$H5967="RESID_HYDROCRACKING"),"Hydrocracker",IF($H5967="REFORMING","Reformer",""))))</f>
        <v>CDU</v>
      </c>
      <c r="H5967" s="6" t="s">
        <v>38</v>
      </c>
      <c r="I5967" s="6" t="s">
        <v>414</v>
      </c>
      <c r="J5967" s="6" t="s">
        <v>345</v>
      </c>
      <c r="K5967" s="10">
        <v>50</v>
      </c>
      <c r="L5967" s="10">
        <v>50</v>
      </c>
      <c r="M5967" s="6" t="s">
        <v>375</v>
      </c>
    </row>
    <row r="5968" spans="1:13">
      <c r="A5968" s="6">
        <v>2025</v>
      </c>
      <c r="B5968" s="6">
        <v>6</v>
      </c>
      <c r="C5968" s="6" t="s">
        <v>64</v>
      </c>
      <c r="D5968" s="6" t="s">
        <v>615</v>
      </c>
      <c r="E5968" s="6" t="s">
        <v>405</v>
      </c>
      <c r="F5968" s="6" t="str">
        <f>IF($M5968="PADD I","PADD 1",IF($M5968="PADD II","PADD 2",IF($M5968="PADD III","PADD 3",IF($M5968="PADD IV","PADD 4",IF($M5968="PADD V","PADD 5","")))))</f>
        <v>PADD 5</v>
      </c>
      <c r="G5968" s="6" t="str">
        <f>IF(AND($H5968="ATMOS DISTILLATION",ISNUMBER(SEARCH("VPS",$I5968))=FALSE,LEFT($I5968,6)&lt;&gt;"VACUUM"),"CDU",IF($H5968="FLUID CAT CRACKING","FCC",IF(OR($H5968="HYDROCRACKING",$H5968="RESID_HYDROCRACKING"),"Hydrocracker",IF($H5968="REFORMING","Reformer",""))))</f>
        <v>FCC</v>
      </c>
      <c r="H5968" s="6" t="s">
        <v>376</v>
      </c>
      <c r="I5968" s="6" t="s">
        <v>105</v>
      </c>
      <c r="J5968" s="6" t="s">
        <v>345</v>
      </c>
      <c r="K5968" s="10">
        <v>46.2</v>
      </c>
      <c r="L5968" s="10">
        <v>77</v>
      </c>
      <c r="M5968" s="6" t="s">
        <v>386</v>
      </c>
    </row>
    <row r="5969" spans="1:13">
      <c r="A5969" s="6">
        <v>2025</v>
      </c>
      <c r="B5969" s="6">
        <v>6</v>
      </c>
      <c r="C5969" s="6" t="s">
        <v>64</v>
      </c>
      <c r="D5969" s="6" t="s">
        <v>572</v>
      </c>
      <c r="E5969" s="6" t="s">
        <v>573</v>
      </c>
      <c r="F5969" s="6" t="str">
        <f>IF($M5969="PADD I","PADD 1",IF($M5969="PADD II","PADD 2",IF($M5969="PADD III","PADD 3",IF($M5969="PADD IV","PADD 4",IF($M5969="PADD V","PADD 5","")))))</f>
        <v>PADD 3</v>
      </c>
      <c r="G5969" s="6" t="str">
        <f>IF(AND($H5969="ATMOS DISTILLATION",ISNUMBER(SEARCH("VPS",$I5969))=FALSE,LEFT($I5969,6)&lt;&gt;"VACUUM"),"CDU",IF($H5969="FLUID CAT CRACKING","FCC",IF(OR($H5969="HYDROCRACKING",$H5969="RESID_HYDROCRACKING"),"Hydrocracker",IF($H5969="REFORMING","Reformer",""))))</f>
        <v>CDU</v>
      </c>
      <c r="H5969" s="6" t="s">
        <v>38</v>
      </c>
      <c r="I5969" s="6" t="s">
        <v>574</v>
      </c>
      <c r="J5969" s="6" t="s">
        <v>349</v>
      </c>
      <c r="K5969" s="10">
        <v>45</v>
      </c>
      <c r="L5969" s="10">
        <v>50</v>
      </c>
      <c r="M5969" s="6" t="s">
        <v>371</v>
      </c>
    </row>
    <row r="5970" spans="1:13">
      <c r="A5970" s="6">
        <v>2025</v>
      </c>
      <c r="B5970" s="6">
        <v>6</v>
      </c>
      <c r="C5970" s="6" t="s">
        <v>64</v>
      </c>
      <c r="D5970" s="6" t="s">
        <v>326</v>
      </c>
      <c r="E5970" s="6" t="s">
        <v>385</v>
      </c>
      <c r="F5970" s="6" t="str">
        <f>IF($M5970="PADD I","PADD 1",IF($M5970="PADD II","PADD 2",IF($M5970="PADD III","PADD 3",IF($M5970="PADD IV","PADD 4",IF($M5970="PADD V","PADD 5","")))))</f>
        <v>PADD 5</v>
      </c>
      <c r="G5970" s="6" t="str">
        <f>IF(AND($H5970="ATMOS DISTILLATION",ISNUMBER(SEARCH("VPS",$I5970))=FALSE,LEFT($I5970,6)&lt;&gt;"VACUUM"),"CDU",IF($H5970="FLUID CAT CRACKING","FCC",IF(OR($H5970="HYDROCRACKING",$H5970="RESID_HYDROCRACKING"),"Hydrocracker",IF($H5970="REFORMING","Reformer",""))))</f>
        <v>Hydrocracker</v>
      </c>
      <c r="H5970" s="6" t="s">
        <v>444</v>
      </c>
      <c r="I5970" s="6" t="s">
        <v>498</v>
      </c>
      <c r="J5970" s="6" t="s">
        <v>345</v>
      </c>
      <c r="K5970" s="10">
        <v>42</v>
      </c>
      <c r="L5970" s="10">
        <v>42</v>
      </c>
      <c r="M5970" s="6" t="s">
        <v>386</v>
      </c>
    </row>
    <row r="5971" spans="1:13">
      <c r="A5971" s="6">
        <v>2025</v>
      </c>
      <c r="B5971" s="6">
        <v>6</v>
      </c>
      <c r="C5971" s="6" t="s">
        <v>64</v>
      </c>
      <c r="D5971" s="6" t="s">
        <v>333</v>
      </c>
      <c r="E5971" s="6" t="s">
        <v>381</v>
      </c>
      <c r="F5971" s="6" t="str">
        <f>IF($M5971="PADD I","PADD 1",IF($M5971="PADD II","PADD 2",IF($M5971="PADD III","PADD 3",IF($M5971="PADD IV","PADD 4",IF($M5971="PADD V","PADD 5","")))))</f>
        <v>PADD 3</v>
      </c>
      <c r="G5971" s="6">
        <f>IF(AND($H5971="ATMOS DISTILLATION",ISNUMBER(SEARCH("VPS",$I5971))=FALSE,LEFT($I5971,6)&lt;&gt;"VACUUM"),"CDU",IF($H5971="FLUID CAT CRACKING","FCC",IF(OR($H5971="HYDROCRACKING",$H5971="RESID_HYDROCRACKING"),"Hydrocracker",IF($H5971="REFORMING","Reformer",""))))</f>
        <v/>
      </c>
      <c r="H5971" s="6" t="s">
        <v>43</v>
      </c>
      <c r="I5971" s="6" t="s">
        <v>943</v>
      </c>
      <c r="J5971" s="6" t="s">
        <v>345</v>
      </c>
      <c r="K5971" s="10">
        <v>40</v>
      </c>
      <c r="L5971" s="10">
        <v>40</v>
      </c>
      <c r="M5971" s="6" t="s">
        <v>371</v>
      </c>
    </row>
    <row r="5972" spans="1:13">
      <c r="A5972" s="6">
        <v>2025</v>
      </c>
      <c r="B5972" s="6">
        <v>6</v>
      </c>
      <c r="C5972" s="6" t="s">
        <v>64</v>
      </c>
      <c r="D5972" s="6" t="s">
        <v>53</v>
      </c>
      <c r="E5972" s="6" t="s">
        <v>543</v>
      </c>
      <c r="F5972" s="6" t="str">
        <f>IF($M5972="PADD I","PADD 1",IF($M5972="PADD II","PADD 2",IF($M5972="PADD III","PADD 3",IF($M5972="PADD IV","PADD 4",IF($M5972="PADD V","PADD 5","")))))</f>
        <v>PADD 5</v>
      </c>
      <c r="G5972" s="6">
        <f>IF(AND($H5972="ATMOS DISTILLATION",ISNUMBER(SEARCH("VPS",$I5972))=FALSE,LEFT($I5972,6)&lt;&gt;"VACUUM"),"CDU",IF($H5972="FLUID CAT CRACKING","FCC",IF(OR($H5972="HYDROCRACKING",$H5972="RESID_HYDROCRACKING"),"Hydrocracker",IF($H5972="REFORMING","Reformer",""))))</f>
        <v/>
      </c>
      <c r="H5972" s="6" t="s">
        <v>435</v>
      </c>
      <c r="I5972" s="6" t="s">
        <v>441</v>
      </c>
      <c r="J5972" s="6" t="s">
        <v>345</v>
      </c>
      <c r="K5972" s="10">
        <v>33</v>
      </c>
      <c r="L5972" s="10">
        <v>55</v>
      </c>
      <c r="M5972" s="6" t="s">
        <v>386</v>
      </c>
    </row>
    <row r="5973" spans="1:13">
      <c r="A5973" s="6">
        <v>2025</v>
      </c>
      <c r="B5973" s="6">
        <v>6</v>
      </c>
      <c r="C5973" s="6" t="s">
        <v>64</v>
      </c>
      <c r="D5973" s="6" t="s">
        <v>387</v>
      </c>
      <c r="E5973" s="6" t="s">
        <v>388</v>
      </c>
      <c r="F5973" s="6" t="str">
        <f>IF($M5973="PADD I","PADD 1",IF($M5973="PADD II","PADD 2",IF($M5973="PADD III","PADD 3",IF($M5973="PADD IV","PADD 4",IF($M5973="PADD V","PADD 5","")))))</f>
        <v>PADD 3</v>
      </c>
      <c r="G5973" s="6" t="str">
        <f>IF(AND($H5973="ATMOS DISTILLATION",ISNUMBER(SEARCH("VPS",$I5973))=FALSE,LEFT($I5973,6)&lt;&gt;"VACUUM"),"CDU",IF($H5973="FLUID CAT CRACKING","FCC",IF(OR($H5973="HYDROCRACKING",$H5973="RESID_HYDROCRACKING"),"Hydrocracker",IF($H5973="REFORMING","Reformer",""))))</f>
        <v>Hydrocracker</v>
      </c>
      <c r="H5973" s="6" t="s">
        <v>444</v>
      </c>
      <c r="I5973" s="6" t="s">
        <v>476</v>
      </c>
      <c r="J5973" s="6" t="s">
        <v>345</v>
      </c>
      <c r="K5973" s="10">
        <v>32.9</v>
      </c>
      <c r="L5973" s="10">
        <v>70</v>
      </c>
      <c r="M5973" s="6" t="s">
        <v>371</v>
      </c>
    </row>
    <row r="5974" spans="1:13">
      <c r="A5974" s="6">
        <v>2025</v>
      </c>
      <c r="B5974" s="6">
        <v>6</v>
      </c>
      <c r="C5974" s="6" t="s">
        <v>64</v>
      </c>
      <c r="D5974" s="6" t="s">
        <v>770</v>
      </c>
      <c r="E5974" s="6" t="s">
        <v>660</v>
      </c>
      <c r="F5974" s="6" t="str">
        <f>IF($M5974="PADD I","PADD 1",IF($M5974="PADD II","PADD 2",IF($M5974="PADD III","PADD 3",IF($M5974="PADD IV","PADD 4",IF($M5974="PADD V","PADD 5","")))))</f>
        <v>PADD 3</v>
      </c>
      <c r="G5974" s="6">
        <f>IF(AND($H5974="ATMOS DISTILLATION",ISNUMBER(SEARCH("VPS",$I5974))=FALSE,LEFT($I5974,6)&lt;&gt;"VACUUM"),"CDU",IF($H5974="FLUID CAT CRACKING","FCC",IF(OR($H5974="HYDROCRACKING",$H5974="RESID_HYDROCRACKING"),"Hydrocracker",IF($H5974="REFORMING","Reformer",""))))</f>
        <v/>
      </c>
      <c r="H5974" s="6" t="s">
        <v>435</v>
      </c>
      <c r="I5974" s="6" t="s">
        <v>441</v>
      </c>
      <c r="J5974" s="6" t="s">
        <v>349</v>
      </c>
      <c r="K5974" s="10">
        <v>32</v>
      </c>
      <c r="L5974" s="10">
        <v>32</v>
      </c>
      <c r="M5974" s="6" t="s">
        <v>371</v>
      </c>
    </row>
    <row r="5975" spans="1:13">
      <c r="A5975" s="6">
        <v>2025</v>
      </c>
      <c r="B5975" s="6">
        <v>6</v>
      </c>
      <c r="C5975" s="6" t="s">
        <v>64</v>
      </c>
      <c r="D5975" s="6" t="s">
        <v>326</v>
      </c>
      <c r="E5975" s="6" t="s">
        <v>385</v>
      </c>
      <c r="F5975" s="6" t="str">
        <f>IF($M5975="PADD I","PADD 1",IF($M5975="PADD II","PADD 2",IF($M5975="PADD III","PADD 3",IF($M5975="PADD IV","PADD 4",IF($M5975="PADD V","PADD 5","")))))</f>
        <v>PADD 5</v>
      </c>
      <c r="G5975" s="6">
        <f>IF(AND($H5975="ATMOS DISTILLATION",ISNUMBER(SEARCH("VPS",$I5975))=FALSE,LEFT($I5975,6)&lt;&gt;"VACUUM"),"CDU",IF($H5975="FLUID CAT CRACKING","FCC",IF(OR($H5975="HYDROCRACKING",$H5975="RESID_HYDROCRACKING"),"Hydrocracker",IF($H5975="REFORMING","Reformer",""))))</f>
        <v/>
      </c>
      <c r="H5975" s="6" t="s">
        <v>378</v>
      </c>
      <c r="I5975" s="6" t="s">
        <v>431</v>
      </c>
      <c r="J5975" s="6" t="s">
        <v>345</v>
      </c>
      <c r="K5975" s="10">
        <v>31.5</v>
      </c>
      <c r="L5975" s="10">
        <v>31.5</v>
      </c>
      <c r="M5975" s="6" t="s">
        <v>386</v>
      </c>
    </row>
    <row r="5976" spans="1:13">
      <c r="A5976" s="6">
        <v>2025</v>
      </c>
      <c r="B5976" s="6">
        <v>6</v>
      </c>
      <c r="C5976" s="6" t="s">
        <v>64</v>
      </c>
      <c r="D5976" s="6" t="s">
        <v>1119</v>
      </c>
      <c r="E5976" s="6" t="s">
        <v>1120</v>
      </c>
      <c r="F5976" s="6" t="str">
        <f>IF($M5976="PADD I","PADD 1",IF($M5976="PADD II","PADD 2",IF($M5976="PADD III","PADD 3",IF($M5976="PADD IV","PADD 4",IF($M5976="PADD V","PADD 5","")))))</f>
        <v>PADD 3</v>
      </c>
      <c r="G5976" s="6" t="str">
        <f>IF(AND($H5976="ATMOS DISTILLATION",ISNUMBER(SEARCH("VPS",$I5976))=FALSE,LEFT($I5976,6)&lt;&gt;"VACUUM"),"CDU",IF($H5976="FLUID CAT CRACKING","FCC",IF(OR($H5976="HYDROCRACKING",$H5976="RESID_HYDROCRACKING"),"Hydrocracker",IF($H5976="REFORMING","Reformer",""))))</f>
        <v>CDU</v>
      </c>
      <c r="H5976" s="6" t="s">
        <v>38</v>
      </c>
      <c r="I5976" s="6" t="s">
        <v>1121</v>
      </c>
      <c r="J5976" s="6" t="s">
        <v>349</v>
      </c>
      <c r="K5976" s="10">
        <v>30</v>
      </c>
      <c r="L5976" s="10">
        <v>50</v>
      </c>
      <c r="M5976" s="6" t="s">
        <v>371</v>
      </c>
    </row>
    <row r="5977" spans="1:13">
      <c r="A5977" s="6">
        <v>2025</v>
      </c>
      <c r="B5977" s="6">
        <v>6</v>
      </c>
      <c r="C5977" s="6" t="s">
        <v>64</v>
      </c>
      <c r="D5977" s="6" t="s">
        <v>676</v>
      </c>
      <c r="E5977" s="6" t="s">
        <v>677</v>
      </c>
      <c r="F5977" s="6" t="str">
        <f>IF($M5977="PADD I","PADD 1",IF($M5977="PADD II","PADD 2",IF($M5977="PADD III","PADD 3",IF($M5977="PADD IV","PADD 4",IF($M5977="PADD V","PADD 5","")))))</f>
        <v>PADD 1</v>
      </c>
      <c r="G5977" s="6" t="str">
        <f>IF(AND($H5977="ATMOS DISTILLATION",ISNUMBER(SEARCH("VPS",$I5977))=FALSE,LEFT($I5977,6)&lt;&gt;"VACUUM"),"CDU",IF($H5977="FLUID CAT CRACKING","FCC",IF(OR($H5977="HYDROCRACKING",$H5977="RESID_HYDROCRACKING"),"Hydrocracker",IF($H5977="REFORMING","Reformer",""))))</f>
        <v>CDU</v>
      </c>
      <c r="H5977" s="6" t="s">
        <v>38</v>
      </c>
      <c r="I5977" s="6" t="s">
        <v>678</v>
      </c>
      <c r="J5977" s="6" t="s">
        <v>345</v>
      </c>
      <c r="K5977" s="10">
        <v>29.7</v>
      </c>
      <c r="L5977" s="10">
        <v>110</v>
      </c>
      <c r="M5977" s="6" t="s">
        <v>413</v>
      </c>
    </row>
    <row r="5978" spans="1:13">
      <c r="A5978" s="6">
        <v>2025</v>
      </c>
      <c r="B5978" s="6">
        <v>6</v>
      </c>
      <c r="C5978" s="6" t="s">
        <v>64</v>
      </c>
      <c r="D5978" s="6" t="s">
        <v>739</v>
      </c>
      <c r="E5978" s="6" t="s">
        <v>405</v>
      </c>
      <c r="F5978" s="6" t="str">
        <f>IF($M5978="PADD I","PADD 1",IF($M5978="PADD II","PADD 2",IF($M5978="PADD III","PADD 3",IF($M5978="PADD IV","PADD 4",IF($M5978="PADD V","PADD 5","")))))</f>
        <v>PADD 2</v>
      </c>
      <c r="G5978" s="6" t="str">
        <f>IF(AND($H5978="ATMOS DISTILLATION",ISNUMBER(SEARCH("VPS",$I5978))=FALSE,LEFT($I5978,6)&lt;&gt;"VACUUM"),"CDU",IF($H5978="FLUID CAT CRACKING","FCC",IF(OR($H5978="HYDROCRACKING",$H5978="RESID_HYDROCRACKING"),"Hydrocracker",IF($H5978="REFORMING","Reformer",""))))</f>
        <v>CDU</v>
      </c>
      <c r="H5978" s="6" t="s">
        <v>38</v>
      </c>
      <c r="I5978" s="6" t="s">
        <v>133</v>
      </c>
      <c r="J5978" s="6" t="s">
        <v>345</v>
      </c>
      <c r="K5978" s="10">
        <v>29.04</v>
      </c>
      <c r="L5978" s="10">
        <v>88</v>
      </c>
      <c r="M5978" s="6" t="s">
        <v>375</v>
      </c>
    </row>
    <row r="5979" spans="1:13">
      <c r="A5979" s="6">
        <v>2025</v>
      </c>
      <c r="B5979" s="6">
        <v>6</v>
      </c>
      <c r="C5979" s="6" t="s">
        <v>64</v>
      </c>
      <c r="D5979" s="6" t="s">
        <v>387</v>
      </c>
      <c r="E5979" s="6" t="s">
        <v>388</v>
      </c>
      <c r="F5979" s="6" t="str">
        <f>IF($M5979="PADD I","PADD 1",IF($M5979="PADD II","PADD 2",IF($M5979="PADD III","PADD 3",IF($M5979="PADD IV","PADD 4",IF($M5979="PADD V","PADD 5","")))))</f>
        <v>PADD 3</v>
      </c>
      <c r="G5979" s="6" t="str">
        <f>IF(AND($H5979="ATMOS DISTILLATION",ISNUMBER(SEARCH("VPS",$I5979))=FALSE,LEFT($I5979,6)&lt;&gt;"VACUUM"),"CDU",IF($H5979="FLUID CAT CRACKING","FCC",IF(OR($H5979="HYDROCRACKING",$H5979="RESID_HYDROCRACKING"),"Hydrocracker",IF($H5979="REFORMING","Reformer",""))))</f>
        <v>FCC</v>
      </c>
      <c r="H5979" s="6" t="s">
        <v>376</v>
      </c>
      <c r="I5979" s="6" t="s">
        <v>472</v>
      </c>
      <c r="J5979" s="6" t="s">
        <v>345</v>
      </c>
      <c r="K5979" s="10">
        <v>29</v>
      </c>
      <c r="L5979" s="10">
        <v>145</v>
      </c>
      <c r="M5979" s="6" t="s">
        <v>371</v>
      </c>
    </row>
    <row r="5980" spans="1:13">
      <c r="A5980" s="6">
        <v>2025</v>
      </c>
      <c r="B5980" s="6">
        <v>6</v>
      </c>
      <c r="C5980" s="6" t="s">
        <v>64</v>
      </c>
      <c r="D5980" s="6" t="s">
        <v>468</v>
      </c>
      <c r="E5980" s="6" t="s">
        <v>369</v>
      </c>
      <c r="F5980" s="6" t="str">
        <f>IF($M5980="PADD I","PADD 1",IF($M5980="PADD II","PADD 2",IF($M5980="PADD III","PADD 3",IF($M5980="PADD IV","PADD 4",IF($M5980="PADD V","PADD 5","")))))</f>
        <v>PADD 3</v>
      </c>
      <c r="G5980" s="6">
        <f>IF(AND($H5980="ATMOS DISTILLATION",ISNUMBER(SEARCH("VPS",$I5980))=FALSE,LEFT($I5980,6)&lt;&gt;"VACUUM"),"CDU",IF($H5980="FLUID CAT CRACKING","FCC",IF(OR($H5980="HYDROCRACKING",$H5980="RESID_HYDROCRACKING"),"Hydrocracker",IF($H5980="REFORMING","Reformer",""))))</f>
        <v/>
      </c>
      <c r="H5980" s="6" t="s">
        <v>43</v>
      </c>
      <c r="I5980" s="6" t="s">
        <v>1028</v>
      </c>
      <c r="J5980" s="6" t="s">
        <v>345</v>
      </c>
      <c r="K5980" s="10">
        <v>26.18</v>
      </c>
      <c r="L5980" s="10">
        <v>34</v>
      </c>
      <c r="M5980" s="6" t="s">
        <v>371</v>
      </c>
    </row>
    <row r="5981" spans="1:13">
      <c r="A5981" s="6">
        <v>2025</v>
      </c>
      <c r="B5981" s="6">
        <v>6</v>
      </c>
      <c r="C5981" s="6" t="s">
        <v>64</v>
      </c>
      <c r="D5981" s="6" t="s">
        <v>774</v>
      </c>
      <c r="E5981" s="6" t="s">
        <v>775</v>
      </c>
      <c r="F5981" s="6" t="str">
        <f>IF($M5981="PADD I","PADD 1",IF($M5981="PADD II","PADD 2",IF($M5981="PADD III","PADD 3",IF($M5981="PADD IV","PADD 4",IF($M5981="PADD V","PADD 5","")))))</f>
        <v>PADD 1</v>
      </c>
      <c r="G5981" s="6">
        <f>IF(AND($H5981="ATMOS DISTILLATION",ISNUMBER(SEARCH("VPS",$I5981))=FALSE,LEFT($I5981,6)&lt;&gt;"VACUUM"),"CDU",IF($H5981="FLUID CAT CRACKING","FCC",IF(OR($H5981="HYDROCRACKING",$H5981="RESID_HYDROCRACKING"),"Hydrocracker",IF($H5981="REFORMING","Reformer",""))))</f>
        <v/>
      </c>
      <c r="H5981" s="6" t="s">
        <v>435</v>
      </c>
      <c r="I5981" s="6" t="s">
        <v>776</v>
      </c>
      <c r="J5981" s="6" t="s">
        <v>345</v>
      </c>
      <c r="K5981" s="10">
        <v>25</v>
      </c>
      <c r="L5981" s="10">
        <v>50</v>
      </c>
      <c r="M5981" s="6" t="s">
        <v>413</v>
      </c>
    </row>
    <row r="5982" spans="1:13">
      <c r="A5982" s="6">
        <v>2025</v>
      </c>
      <c r="B5982" s="6">
        <v>6</v>
      </c>
      <c r="C5982" s="6" t="s">
        <v>64</v>
      </c>
      <c r="D5982" s="6" t="s">
        <v>739</v>
      </c>
      <c r="E5982" s="6" t="s">
        <v>405</v>
      </c>
      <c r="F5982" s="6" t="str">
        <f>IF($M5982="PADD I","PADD 1",IF($M5982="PADD II","PADD 2",IF($M5982="PADD III","PADD 3",IF($M5982="PADD IV","PADD 4",IF($M5982="PADD V","PADD 5","")))))</f>
        <v>PADD 2</v>
      </c>
      <c r="G5982" s="6">
        <f>IF(AND($H5982="ATMOS DISTILLATION",ISNUMBER(SEARCH("VPS",$I5982))=FALSE,LEFT($I5982,6)&lt;&gt;"VACUUM"),"CDU",IF($H5982="FLUID CAT CRACKING","FCC",IF(OR($H5982="HYDROCRACKING",$H5982="RESID_HYDROCRACKING"),"Hydrocracker",IF($H5982="REFORMING","Reformer",""))))</f>
        <v/>
      </c>
      <c r="H5982" s="6" t="s">
        <v>43</v>
      </c>
      <c r="I5982" s="6" t="s">
        <v>740</v>
      </c>
      <c r="J5982" s="6" t="s">
        <v>345</v>
      </c>
      <c r="K5982" s="10">
        <v>23.36</v>
      </c>
      <c r="L5982" s="10">
        <v>32</v>
      </c>
      <c r="M5982" s="6" t="s">
        <v>375</v>
      </c>
    </row>
    <row r="5983" spans="1:13">
      <c r="A5983" s="6">
        <v>2025</v>
      </c>
      <c r="B5983" s="6">
        <v>6</v>
      </c>
      <c r="C5983" s="6" t="s">
        <v>64</v>
      </c>
      <c r="D5983" s="6" t="s">
        <v>739</v>
      </c>
      <c r="E5983" s="6" t="s">
        <v>405</v>
      </c>
      <c r="F5983" s="6" t="str">
        <f>IF($M5983="PADD I","PADD 1",IF($M5983="PADD II","PADD 2",IF($M5983="PADD III","PADD 3",IF($M5983="PADD IV","PADD 4",IF($M5983="PADD V","PADD 5","")))))</f>
        <v>PADD 2</v>
      </c>
      <c r="G5983" s="6">
        <f>IF(AND($H5983="ATMOS DISTILLATION",ISNUMBER(SEARCH("VPS",$I5983))=FALSE,LEFT($I5983,6)&lt;&gt;"VACUUM"),"CDU",IF($H5983="FLUID CAT CRACKING","FCC",IF(OR($H5983="HYDROCRACKING",$H5983="RESID_HYDROCRACKING"),"Hydrocracker",IF($H5983="REFORMING","Reformer",""))))</f>
        <v/>
      </c>
      <c r="H5983" s="6" t="s">
        <v>43</v>
      </c>
      <c r="I5983" s="6" t="s">
        <v>689</v>
      </c>
      <c r="J5983" s="6" t="s">
        <v>349</v>
      </c>
      <c r="K5983" s="10">
        <v>20.16</v>
      </c>
      <c r="L5983" s="10">
        <v>32</v>
      </c>
      <c r="M5983" s="6" t="s">
        <v>375</v>
      </c>
    </row>
    <row r="5984" spans="1:13">
      <c r="A5984" s="6">
        <v>2025</v>
      </c>
      <c r="B5984" s="6">
        <v>6</v>
      </c>
      <c r="C5984" s="6" t="s">
        <v>64</v>
      </c>
      <c r="D5984" s="6" t="s">
        <v>739</v>
      </c>
      <c r="E5984" s="6" t="s">
        <v>405</v>
      </c>
      <c r="F5984" s="6" t="str">
        <f>IF($M5984="PADD I","PADD 1",IF($M5984="PADD II","PADD 2",IF($M5984="PADD III","PADD 3",IF($M5984="PADD IV","PADD 4",IF($M5984="PADD V","PADD 5","")))))</f>
        <v>PADD 2</v>
      </c>
      <c r="G5984" s="6">
        <f>IF(AND($H5984="ATMOS DISTILLATION",ISNUMBER(SEARCH("VPS",$I5984))=FALSE,LEFT($I5984,6)&lt;&gt;"VACUUM"),"CDU",IF($H5984="FLUID CAT CRACKING","FCC",IF(OR($H5984="HYDROCRACKING",$H5984="RESID_HYDROCRACKING"),"Hydrocracker",IF($H5984="REFORMING","Reformer",""))))</f>
        <v/>
      </c>
      <c r="H5984" s="6" t="s">
        <v>378</v>
      </c>
      <c r="I5984" s="6" t="s">
        <v>431</v>
      </c>
      <c r="J5984" s="6" t="s">
        <v>349</v>
      </c>
      <c r="K5984" s="10">
        <v>20.16</v>
      </c>
      <c r="L5984" s="10">
        <v>32</v>
      </c>
      <c r="M5984" s="6" t="s">
        <v>375</v>
      </c>
    </row>
    <row r="5985" spans="1:13">
      <c r="A5985" s="6">
        <v>2025</v>
      </c>
      <c r="B5985" s="6">
        <v>6</v>
      </c>
      <c r="C5985" s="6" t="s">
        <v>64</v>
      </c>
      <c r="D5985" s="6" t="s">
        <v>372</v>
      </c>
      <c r="E5985" s="6" t="s">
        <v>373</v>
      </c>
      <c r="F5985" s="6" t="str">
        <f>IF($M5985="PADD I","PADD 1",IF($M5985="PADD II","PADD 2",IF($M5985="PADD III","PADD 3",IF($M5985="PADD IV","PADD 4",IF($M5985="PADD V","PADD 5","")))))</f>
        <v>PADD 2</v>
      </c>
      <c r="G5985" s="6" t="str">
        <f>IF(AND($H5985="ATMOS DISTILLATION",ISNUMBER(SEARCH("VPS",$I5985))=FALSE,LEFT($I5985,6)&lt;&gt;"VACUUM"),"CDU",IF($H5985="FLUID CAT CRACKING","FCC",IF(OR($H5985="HYDROCRACKING",$H5985="RESID_HYDROCRACKING"),"Hydrocracker",IF($H5985="REFORMING","Reformer",""))))</f>
        <v>Reformer</v>
      </c>
      <c r="H5985" s="6" t="s">
        <v>421</v>
      </c>
      <c r="I5985" s="6" t="s">
        <v>423</v>
      </c>
      <c r="J5985" s="6" t="s">
        <v>349</v>
      </c>
      <c r="K5985" s="10">
        <v>20</v>
      </c>
      <c r="L5985" s="10">
        <v>40</v>
      </c>
      <c r="M5985" s="6" t="s">
        <v>375</v>
      </c>
    </row>
    <row r="5986" spans="1:13">
      <c r="A5986" s="6">
        <v>2025</v>
      </c>
      <c r="B5986" s="6">
        <v>6</v>
      </c>
      <c r="C5986" s="6" t="s">
        <v>64</v>
      </c>
      <c r="D5986" s="6" t="s">
        <v>739</v>
      </c>
      <c r="E5986" s="6" t="s">
        <v>405</v>
      </c>
      <c r="F5986" s="6" t="str">
        <f>IF($M5986="PADD I","PADD 1",IF($M5986="PADD II","PADD 2",IF($M5986="PADD III","PADD 3",IF($M5986="PADD IV","PADD 4",IF($M5986="PADD V","PADD 5","")))))</f>
        <v>PADD 2</v>
      </c>
      <c r="G5986" s="6" t="str">
        <f>IF(AND($H5986="ATMOS DISTILLATION",ISNUMBER(SEARCH("VPS",$I5986))=FALSE,LEFT($I5986,6)&lt;&gt;"VACUUM"),"CDU",IF($H5986="FLUID CAT CRACKING","FCC",IF(OR($H5986="HYDROCRACKING",$H5986="RESID_HYDROCRACKING"),"Hydrocracker",IF($H5986="REFORMING","Reformer",""))))</f>
        <v>Reformer</v>
      </c>
      <c r="H5986" s="6" t="s">
        <v>421</v>
      </c>
      <c r="I5986" s="6" t="s">
        <v>782</v>
      </c>
      <c r="J5986" s="6" t="s">
        <v>349</v>
      </c>
      <c r="K5986" s="10">
        <v>18.9</v>
      </c>
      <c r="L5986" s="10">
        <v>30</v>
      </c>
      <c r="M5986" s="6" t="s">
        <v>375</v>
      </c>
    </row>
    <row r="5987" spans="1:13">
      <c r="A5987" s="6">
        <v>2025</v>
      </c>
      <c r="B5987" s="6">
        <v>6</v>
      </c>
      <c r="C5987" s="6" t="s">
        <v>64</v>
      </c>
      <c r="D5987" s="6" t="s">
        <v>739</v>
      </c>
      <c r="E5987" s="6" t="s">
        <v>405</v>
      </c>
      <c r="F5987" s="6" t="str">
        <f>IF($M5987="PADD I","PADD 1",IF($M5987="PADD II","PADD 2",IF($M5987="PADD III","PADD 3",IF($M5987="PADD IV","PADD 4",IF($M5987="PADD V","PADD 5","")))))</f>
        <v>PADD 2</v>
      </c>
      <c r="G5987" s="6" t="str">
        <f>IF(AND($H5987="ATMOS DISTILLATION",ISNUMBER(SEARCH("VPS",$I5987))=FALSE,LEFT($I5987,6)&lt;&gt;"VACUUM"),"CDU",IF($H5987="FLUID CAT CRACKING","FCC",IF(OR($H5987="HYDROCRACKING",$H5987="RESID_HYDROCRACKING"),"Hydrocracker",IF($H5987="REFORMING","Reformer",""))))</f>
        <v>FCC</v>
      </c>
      <c r="H5987" s="6" t="s">
        <v>376</v>
      </c>
      <c r="I5987" s="6" t="s">
        <v>105</v>
      </c>
      <c r="J5987" s="6" t="s">
        <v>349</v>
      </c>
      <c r="K5987" s="10">
        <v>18.9</v>
      </c>
      <c r="L5987" s="10">
        <v>30</v>
      </c>
      <c r="M5987" s="6" t="s">
        <v>375</v>
      </c>
    </row>
    <row r="5988" spans="1:13">
      <c r="A5988" s="6">
        <v>2025</v>
      </c>
      <c r="B5988" s="6">
        <v>6</v>
      </c>
      <c r="C5988" s="6" t="s">
        <v>64</v>
      </c>
      <c r="D5988" s="6" t="s">
        <v>727</v>
      </c>
      <c r="E5988" s="6" t="s">
        <v>728</v>
      </c>
      <c r="F5988" s="6" t="str">
        <f>IF($M5988="PADD I","PADD 1",IF($M5988="PADD II","PADD 2",IF($M5988="PADD III","PADD 3",IF($M5988="PADD IV","PADD 4",IF($M5988="PADD V","PADD 5","")))))</f>
        <v>PADD 1</v>
      </c>
      <c r="G5988" s="6" t="str">
        <f>IF(AND($H5988="ATMOS DISTILLATION",ISNUMBER(SEARCH("VPS",$I5988))=FALSE,LEFT($I5988,6)&lt;&gt;"VACUUM"),"CDU",IF($H5988="FLUID CAT CRACKING","FCC",IF(OR($H5988="HYDROCRACKING",$H5988="RESID_HYDROCRACKING"),"Hydrocracker",IF($H5988="REFORMING","Reformer",""))))</f>
        <v>CDU</v>
      </c>
      <c r="H5988" s="6" t="s">
        <v>38</v>
      </c>
      <c r="I5988" s="6" t="s">
        <v>81</v>
      </c>
      <c r="J5988" s="6" t="s">
        <v>349</v>
      </c>
      <c r="K5988" s="10">
        <v>17.71</v>
      </c>
      <c r="L5988" s="10">
        <v>23</v>
      </c>
      <c r="M5988" s="6" t="s">
        <v>413</v>
      </c>
    </row>
    <row r="5989" spans="1:13">
      <c r="A5989" s="6">
        <v>2025</v>
      </c>
      <c r="B5989" s="6">
        <v>6</v>
      </c>
      <c r="C5989" s="6" t="s">
        <v>64</v>
      </c>
      <c r="D5989" s="6" t="s">
        <v>326</v>
      </c>
      <c r="E5989" s="6" t="s">
        <v>385</v>
      </c>
      <c r="F5989" s="6" t="str">
        <f>IF($M5989="PADD I","PADD 1",IF($M5989="PADD II","PADD 2",IF($M5989="PADD III","PADD 3",IF($M5989="PADD IV","PADD 4",IF($M5989="PADD V","PADD 5","")))))</f>
        <v>PADD 5</v>
      </c>
      <c r="G5989" s="6">
        <f>IF(AND($H5989="ATMOS DISTILLATION",ISNUMBER(SEARCH("VPS",$I5989))=FALSE,LEFT($I5989,6)&lt;&gt;"VACUUM"),"CDU",IF($H5989="FLUID CAT CRACKING","FCC",IF(OR($H5989="HYDROCRACKING",$H5989="RESID_HYDROCRACKING"),"Hydrocracker",IF($H5989="REFORMING","Reformer",""))))</f>
        <v/>
      </c>
      <c r="H5989" s="6" t="s">
        <v>43</v>
      </c>
      <c r="I5989" s="6" t="s">
        <v>1174</v>
      </c>
      <c r="J5989" s="6" t="s">
        <v>345</v>
      </c>
      <c r="K5989" s="10">
        <v>17.57</v>
      </c>
      <c r="L5989" s="10">
        <v>17.57</v>
      </c>
      <c r="M5989" s="6" t="s">
        <v>386</v>
      </c>
    </row>
    <row r="5990" spans="1:13">
      <c r="A5990" s="6">
        <v>2025</v>
      </c>
      <c r="B5990" s="6">
        <v>6</v>
      </c>
      <c r="C5990" s="6" t="s">
        <v>64</v>
      </c>
      <c r="D5990" s="6" t="s">
        <v>372</v>
      </c>
      <c r="E5990" s="6" t="s">
        <v>373</v>
      </c>
      <c r="F5990" s="6" t="str">
        <f>IF($M5990="PADD I","PADD 1",IF($M5990="PADD II","PADD 2",IF($M5990="PADD III","PADD 3",IF($M5990="PADD IV","PADD 4",IF($M5990="PADD V","PADD 5","")))))</f>
        <v>PADD 2</v>
      </c>
      <c r="G5990" s="6" t="str">
        <f>IF(AND($H5990="ATMOS DISTILLATION",ISNUMBER(SEARCH("VPS",$I5990))=FALSE,LEFT($I5990,6)&lt;&gt;"VACUUM"),"CDU",IF($H5990="FLUID CAT CRACKING","FCC",IF(OR($H5990="HYDROCRACKING",$H5990="RESID_HYDROCRACKING"),"Hydrocracker",IF($H5990="REFORMING","Reformer",""))))</f>
        <v>Hydrocracker</v>
      </c>
      <c r="H5990" s="6" t="s">
        <v>444</v>
      </c>
      <c r="I5990" s="6" t="s">
        <v>445</v>
      </c>
      <c r="J5990" s="6" t="s">
        <v>349</v>
      </c>
      <c r="K5990" s="10">
        <v>17.5</v>
      </c>
      <c r="L5990" s="10">
        <v>35</v>
      </c>
      <c r="M5990" s="6" t="s">
        <v>375</v>
      </c>
    </row>
    <row r="5991" spans="1:13">
      <c r="A5991" s="6">
        <v>2025</v>
      </c>
      <c r="B5991" s="6">
        <v>6</v>
      </c>
      <c r="C5991" s="6" t="s">
        <v>64</v>
      </c>
      <c r="D5991" s="6" t="s">
        <v>434</v>
      </c>
      <c r="E5991" s="6" t="s">
        <v>388</v>
      </c>
      <c r="F5991" s="6" t="str">
        <f>IF($M5991="PADD I","PADD 1",IF($M5991="PADD II","PADD 2",IF($M5991="PADD III","PADD 3",IF($M5991="PADD IV","PADD 4",IF($M5991="PADD V","PADD 5","")))))</f>
        <v>PADD 5</v>
      </c>
      <c r="G5991" s="6">
        <f>IF(AND($H5991="ATMOS DISTILLATION",ISNUMBER(SEARCH("VPS",$I5991))=FALSE,LEFT($I5991,6)&lt;&gt;"VACUUM"),"CDU",IF($H5991="FLUID CAT CRACKING","FCC",IF(OR($H5991="HYDROCRACKING",$H5991="RESID_HYDROCRACKING"),"Hydrocracker",IF($H5991="REFORMING","Reformer",""))))</f>
        <v/>
      </c>
      <c r="H5991" s="6" t="s">
        <v>435</v>
      </c>
      <c r="I5991" s="6" t="s">
        <v>436</v>
      </c>
      <c r="J5991" s="6" t="s">
        <v>345</v>
      </c>
      <c r="K5991" s="10">
        <v>16.8</v>
      </c>
      <c r="L5991" s="10">
        <v>42</v>
      </c>
      <c r="M5991" s="6" t="s">
        <v>386</v>
      </c>
    </row>
    <row r="5992" spans="1:13">
      <c r="A5992" s="6">
        <v>2025</v>
      </c>
      <c r="B5992" s="6">
        <v>6</v>
      </c>
      <c r="C5992" s="6" t="s">
        <v>64</v>
      </c>
      <c r="D5992" s="6" t="s">
        <v>739</v>
      </c>
      <c r="E5992" s="6" t="s">
        <v>405</v>
      </c>
      <c r="F5992" s="6" t="str">
        <f>IF($M5992="PADD I","PADD 1",IF($M5992="PADD II","PADD 2",IF($M5992="PADD III","PADD 3",IF($M5992="PADD IV","PADD 4",IF($M5992="PADD V","PADD 5","")))))</f>
        <v>PADD 2</v>
      </c>
      <c r="G5992" s="6">
        <f>IF(AND($H5992="ATMOS DISTILLATION",ISNUMBER(SEARCH("VPS",$I5992))=FALSE,LEFT($I5992,6)&lt;&gt;"VACUUM"),"CDU",IF($H5992="FLUID CAT CRACKING","FCC",IF(OR($H5992="HYDROCRACKING",$H5992="RESID_HYDROCRACKING"),"Hydrocracker",IF($H5992="REFORMING","Reformer",""))))</f>
        <v/>
      </c>
      <c r="H5992" s="6" t="s">
        <v>43</v>
      </c>
      <c r="I5992" s="6" t="s">
        <v>493</v>
      </c>
      <c r="J5992" s="6" t="s">
        <v>349</v>
      </c>
      <c r="K5992" s="10">
        <v>16.695</v>
      </c>
      <c r="L5992" s="10">
        <v>26.5</v>
      </c>
      <c r="M5992" s="6" t="s">
        <v>375</v>
      </c>
    </row>
    <row r="5993" spans="1:13">
      <c r="A5993" s="6">
        <v>2025</v>
      </c>
      <c r="B5993" s="6">
        <v>6</v>
      </c>
      <c r="C5993" s="6" t="s">
        <v>64</v>
      </c>
      <c r="D5993" s="6" t="s">
        <v>440</v>
      </c>
      <c r="E5993" s="6" t="s">
        <v>369</v>
      </c>
      <c r="F5993" s="6" t="str">
        <f>IF($M5993="PADD I","PADD 1",IF($M5993="PADD II","PADD 2",IF($M5993="PADD III","PADD 3",IF($M5993="PADD IV","PADD 4",IF($M5993="PADD V","PADD 5","")))))</f>
        <v>PADD 5</v>
      </c>
      <c r="G5993" s="6">
        <f>IF(AND($H5993="ATMOS DISTILLATION",ISNUMBER(SEARCH("VPS",$I5993))=FALSE,LEFT($I5993,6)&lt;&gt;"VACUUM"),"CDU",IF($H5993="FLUID CAT CRACKING","FCC",IF(OR($H5993="HYDROCRACKING",$H5993="RESID_HYDROCRACKING"),"Hydrocracker",IF($H5993="REFORMING","Reformer",""))))</f>
        <v/>
      </c>
      <c r="H5993" s="6" t="s">
        <v>435</v>
      </c>
      <c r="I5993" s="6" t="s">
        <v>441</v>
      </c>
      <c r="J5993" s="6" t="s">
        <v>345</v>
      </c>
      <c r="K5993" s="10">
        <v>15.9</v>
      </c>
      <c r="L5993" s="10">
        <v>53</v>
      </c>
      <c r="M5993" s="6" t="s">
        <v>386</v>
      </c>
    </row>
    <row r="5994" spans="1:13">
      <c r="A5994" s="6">
        <v>2025</v>
      </c>
      <c r="B5994" s="6">
        <v>6</v>
      </c>
      <c r="C5994" s="6" t="s">
        <v>64</v>
      </c>
      <c r="D5994" s="6" t="s">
        <v>468</v>
      </c>
      <c r="E5994" s="6" t="s">
        <v>369</v>
      </c>
      <c r="F5994" s="6" t="str">
        <f>IF($M5994="PADD I","PADD 1",IF($M5994="PADD II","PADD 2",IF($M5994="PADD III","PADD 3",IF($M5994="PADD IV","PADD 4",IF($M5994="PADD V","PADD 5","")))))</f>
        <v>PADD 3</v>
      </c>
      <c r="G5994" s="6">
        <f>IF(AND($H5994="ATMOS DISTILLATION",ISNUMBER(SEARCH("VPS",$I5994))=FALSE,LEFT($I5994,6)&lt;&gt;"VACUUM"),"CDU",IF($H5994="FLUID CAT CRACKING","FCC",IF(OR($H5994="HYDROCRACKING",$H5994="RESID_HYDROCRACKING"),"Hydrocracker",IF($H5994="REFORMING","Reformer",""))))</f>
        <v/>
      </c>
      <c r="H5994" s="6" t="s">
        <v>43</v>
      </c>
      <c r="I5994" s="6" t="s">
        <v>1030</v>
      </c>
      <c r="J5994" s="6" t="s">
        <v>345</v>
      </c>
      <c r="K5994" s="10">
        <v>15.4</v>
      </c>
      <c r="L5994" s="10">
        <v>20</v>
      </c>
      <c r="M5994" s="6" t="s">
        <v>371</v>
      </c>
    </row>
    <row r="5995" spans="1:13">
      <c r="A5995" s="6">
        <v>2025</v>
      </c>
      <c r="B5995" s="6">
        <v>6</v>
      </c>
      <c r="C5995" s="6" t="s">
        <v>64</v>
      </c>
      <c r="D5995" s="6" t="s">
        <v>468</v>
      </c>
      <c r="E5995" s="6" t="s">
        <v>369</v>
      </c>
      <c r="F5995" s="6" t="str">
        <f>IF($M5995="PADD I","PADD 1",IF($M5995="PADD II","PADD 2",IF($M5995="PADD III","PADD 3",IF($M5995="PADD IV","PADD 4",IF($M5995="PADD V","PADD 5","")))))</f>
        <v>PADD 3</v>
      </c>
      <c r="G5995" s="6" t="str">
        <f>IF(AND($H5995="ATMOS DISTILLATION",ISNUMBER(SEARCH("VPS",$I5995))=FALSE,LEFT($I5995,6)&lt;&gt;"VACUUM"),"CDU",IF($H5995="FLUID CAT CRACKING","FCC",IF(OR($H5995="HYDROCRACKING",$H5995="RESID_HYDROCRACKING"),"Hydrocracker",IF($H5995="REFORMING","Reformer",""))))</f>
        <v>Reformer</v>
      </c>
      <c r="H5995" s="6" t="s">
        <v>421</v>
      </c>
      <c r="I5995" s="6" t="s">
        <v>858</v>
      </c>
      <c r="J5995" s="6" t="s">
        <v>345</v>
      </c>
      <c r="K5995" s="10">
        <v>15.4</v>
      </c>
      <c r="L5995" s="10">
        <v>20</v>
      </c>
      <c r="M5995" s="6" t="s">
        <v>371</v>
      </c>
    </row>
    <row r="5996" spans="1:13">
      <c r="A5996" s="6">
        <v>2025</v>
      </c>
      <c r="B5996" s="6">
        <v>6</v>
      </c>
      <c r="C5996" s="6" t="s">
        <v>64</v>
      </c>
      <c r="D5996" s="6" t="s">
        <v>42</v>
      </c>
      <c r="E5996" s="6" t="s">
        <v>405</v>
      </c>
      <c r="F5996" s="6" t="str">
        <f>IF($M5996="PADD I","PADD 1",IF($M5996="PADD II","PADD 2",IF($M5996="PADD III","PADD 3",IF($M5996="PADD IV","PADD 4",IF($M5996="PADD V","PADD 5","")))))</f>
        <v>PADD 3</v>
      </c>
      <c r="G5996" s="6" t="str">
        <f>IF(AND($H5996="ATMOS DISTILLATION",ISNUMBER(SEARCH("VPS",$I5996))=FALSE,LEFT($I5996,6)&lt;&gt;"VACUUM"),"CDU",IF($H5996="FLUID CAT CRACKING","FCC",IF(OR($H5996="HYDROCRACKING",$H5996="RESID_HYDROCRACKING"),"Hydrocracker",IF($H5996="REFORMING","Reformer",""))))</f>
        <v>FCC</v>
      </c>
      <c r="H5996" s="6" t="s">
        <v>376</v>
      </c>
      <c r="I5996" s="6" t="s">
        <v>105</v>
      </c>
      <c r="J5996" s="6" t="s">
        <v>345</v>
      </c>
      <c r="K5996" s="10">
        <v>14.96</v>
      </c>
      <c r="L5996" s="10">
        <v>88</v>
      </c>
      <c r="M5996" s="6" t="s">
        <v>371</v>
      </c>
    </row>
    <row r="5997" spans="1:13">
      <c r="A5997" s="6">
        <v>2025</v>
      </c>
      <c r="B5997" s="6">
        <v>6</v>
      </c>
      <c r="C5997" s="6" t="s">
        <v>64</v>
      </c>
      <c r="D5997" s="6" t="s">
        <v>322</v>
      </c>
      <c r="E5997" s="6" t="s">
        <v>369</v>
      </c>
      <c r="F5997" s="6" t="str">
        <f>IF($M5997="PADD I","PADD 1",IF($M5997="PADD II","PADD 2",IF($M5997="PADD III","PADD 3",IF($M5997="PADD IV","PADD 4",IF($M5997="PADD V","PADD 5","")))))</f>
        <v>PADD 2</v>
      </c>
      <c r="G5997" s="6" t="str">
        <f>IF(AND($H5997="ATMOS DISTILLATION",ISNUMBER(SEARCH("VPS",$I5997))=FALSE,LEFT($I5997,6)&lt;&gt;"VACUUM"),"CDU",IF($H5997="FLUID CAT CRACKING","FCC",IF(OR($H5997="HYDROCRACKING",$H5997="RESID_HYDROCRACKING"),"Hydrocracker",IF($H5997="REFORMING","Reformer",""))))</f>
        <v>CDU</v>
      </c>
      <c r="H5997" s="6" t="s">
        <v>38</v>
      </c>
      <c r="I5997" s="6" t="s">
        <v>521</v>
      </c>
      <c r="J5997" s="6" t="s">
        <v>349</v>
      </c>
      <c r="K5997" s="10">
        <v>14.3</v>
      </c>
      <c r="L5997" s="10">
        <v>110</v>
      </c>
      <c r="M5997" s="6" t="s">
        <v>375</v>
      </c>
    </row>
    <row r="5998" spans="1:13">
      <c r="A5998" s="6">
        <v>2025</v>
      </c>
      <c r="B5998" s="6">
        <v>6</v>
      </c>
      <c r="C5998" s="6" t="s">
        <v>64</v>
      </c>
      <c r="D5998" s="6" t="s">
        <v>322</v>
      </c>
      <c r="E5998" s="6" t="s">
        <v>369</v>
      </c>
      <c r="F5998" s="6" t="str">
        <f>IF($M5998="PADD I","PADD 1",IF($M5998="PADD II","PADD 2",IF($M5998="PADD III","PADD 3",IF($M5998="PADD IV","PADD 4",IF($M5998="PADD V","PADD 5","")))))</f>
        <v>PADD 2</v>
      </c>
      <c r="G5998" s="6">
        <f>IF(AND($H5998="ATMOS DISTILLATION",ISNUMBER(SEARCH("VPS",$I5998))=FALSE,LEFT($I5998,6)&lt;&gt;"VACUUM"),"CDU",IF($H5998="FLUID CAT CRACKING","FCC",IF(OR($H5998="HYDROCRACKING",$H5998="RESID_HYDROCRACKING"),"Hydrocracker",IF($H5998="REFORMING","Reformer",""))))</f>
        <v/>
      </c>
      <c r="H5998" s="6" t="s">
        <v>378</v>
      </c>
      <c r="I5998" s="6" t="s">
        <v>419</v>
      </c>
      <c r="J5998" s="6" t="s">
        <v>349</v>
      </c>
      <c r="K5998" s="10">
        <v>13.65</v>
      </c>
      <c r="L5998" s="10">
        <v>105</v>
      </c>
      <c r="M5998" s="6" t="s">
        <v>375</v>
      </c>
    </row>
    <row r="5999" spans="1:13">
      <c r="A5999" s="6">
        <v>2025</v>
      </c>
      <c r="B5999" s="6">
        <v>6</v>
      </c>
      <c r="C5999" s="6" t="s">
        <v>64</v>
      </c>
      <c r="D5999" s="6" t="s">
        <v>408</v>
      </c>
      <c r="E5999" s="6" t="s">
        <v>409</v>
      </c>
      <c r="F5999" s="6" t="str">
        <f>IF($M5999="PADD I","PADD 1",IF($M5999="PADD II","PADD 2",IF($M5999="PADD III","PADD 3",IF($M5999="PADD IV","PADD 4",IF($M5999="PADD V","PADD 5","")))))</f>
        <v>PADD 3</v>
      </c>
      <c r="G5999" s="6" t="str">
        <f>IF(AND($H5999="ATMOS DISTILLATION",ISNUMBER(SEARCH("VPS",$I5999))=FALSE,LEFT($I5999,6)&lt;&gt;"VACUUM"),"CDU",IF($H5999="FLUID CAT CRACKING","FCC",IF(OR($H5999="HYDROCRACKING",$H5999="RESID_HYDROCRACKING"),"Hydrocracker",IF($H5999="REFORMING","Reformer",""))))</f>
        <v>CDU</v>
      </c>
      <c r="H5999" s="6" t="s">
        <v>38</v>
      </c>
      <c r="I5999" s="6" t="s">
        <v>410</v>
      </c>
      <c r="J5999" s="6" t="s">
        <v>345</v>
      </c>
      <c r="K5999" s="10">
        <v>13.6</v>
      </c>
      <c r="L5999" s="10">
        <v>80</v>
      </c>
      <c r="M5999" s="6" t="s">
        <v>371</v>
      </c>
    </row>
    <row r="6000" spans="1:13">
      <c r="A6000" s="6">
        <v>2025</v>
      </c>
      <c r="B6000" s="6">
        <v>6</v>
      </c>
      <c r="C6000" s="6" t="s">
        <v>64</v>
      </c>
      <c r="D6000" s="6" t="s">
        <v>628</v>
      </c>
      <c r="E6000" s="6" t="s">
        <v>388</v>
      </c>
      <c r="F6000" s="6" t="str">
        <f>IF($M6000="PADD I","PADD 1",IF($M6000="PADD II","PADD 2",IF($M6000="PADD III","PADD 3",IF($M6000="PADD IV","PADD 4",IF($M6000="PADD V","PADD 5","")))))</f>
        <v>PADD 3</v>
      </c>
      <c r="G6000" s="6" t="str">
        <f>IF(AND($H6000="ATMOS DISTILLATION",ISNUMBER(SEARCH("VPS",$I6000))=FALSE,LEFT($I6000,6)&lt;&gt;"VACUUM"),"CDU",IF($H6000="FLUID CAT CRACKING","FCC",IF(OR($H6000="HYDROCRACKING",$H6000="RESID_HYDROCRACKING"),"Hydrocracker",IF($H6000="REFORMING","Reformer",""))))</f>
        <v>CDU</v>
      </c>
      <c r="H6000" s="6" t="s">
        <v>38</v>
      </c>
      <c r="I6000" s="6" t="s">
        <v>1048</v>
      </c>
      <c r="J6000" s="6" t="s">
        <v>345</v>
      </c>
      <c r="K6000" s="10">
        <v>13.4</v>
      </c>
      <c r="L6000" s="10">
        <v>67</v>
      </c>
      <c r="M6000" s="6" t="s">
        <v>371</v>
      </c>
    </row>
    <row r="6001" spans="1:13">
      <c r="A6001" s="6">
        <v>2025</v>
      </c>
      <c r="B6001" s="6">
        <v>6</v>
      </c>
      <c r="C6001" s="6" t="s">
        <v>64</v>
      </c>
      <c r="D6001" s="6" t="s">
        <v>739</v>
      </c>
      <c r="E6001" s="6" t="s">
        <v>405</v>
      </c>
      <c r="F6001" s="6" t="str">
        <f>IF($M6001="PADD I","PADD 1",IF($M6001="PADD II","PADD 2",IF($M6001="PADD III","PADD 3",IF($M6001="PADD IV","PADD 4",IF($M6001="PADD V","PADD 5","")))))</f>
        <v>PADD 2</v>
      </c>
      <c r="G6001" s="6">
        <f>IF(AND($H6001="ATMOS DISTILLATION",ISNUMBER(SEARCH("VPS",$I6001))=FALSE,LEFT($I6001,6)&lt;&gt;"VACUUM"),"CDU",IF($H6001="FLUID CAT CRACKING","FCC",IF(OR($H6001="HYDROCRACKING",$H6001="RESID_HYDROCRACKING"),"Hydrocracker",IF($H6001="REFORMING","Reformer",""))))</f>
        <v/>
      </c>
      <c r="H6001" s="6" t="s">
        <v>43</v>
      </c>
      <c r="I6001" s="6" t="s">
        <v>1196</v>
      </c>
      <c r="J6001" s="6" t="s">
        <v>349</v>
      </c>
      <c r="K6001" s="10">
        <v>12.6</v>
      </c>
      <c r="L6001" s="10">
        <v>20</v>
      </c>
      <c r="M6001" s="6" t="s">
        <v>375</v>
      </c>
    </row>
    <row r="6002" spans="1:13">
      <c r="A6002" s="6">
        <v>2025</v>
      </c>
      <c r="B6002" s="6">
        <v>6</v>
      </c>
      <c r="C6002" s="6" t="s">
        <v>64</v>
      </c>
      <c r="D6002" s="6" t="s">
        <v>1315</v>
      </c>
      <c r="E6002" s="6" t="s">
        <v>1316</v>
      </c>
      <c r="F6002" s="6" t="str">
        <f>IF($M6002="PADD I","PADD 1",IF($M6002="PADD II","PADD 2",IF($M6002="PADD III","PADD 3",IF($M6002="PADD IV","PADD 4",IF($M6002="PADD V","PADD 5","")))))</f>
        <v>PADD 1</v>
      </c>
      <c r="G6002" s="6" t="str">
        <f>IF(AND($H6002="ATMOS DISTILLATION",ISNUMBER(SEARCH("VPS",$I6002))=FALSE,LEFT($I6002,6)&lt;&gt;"VACUUM"),"CDU",IF($H6002="FLUID CAT CRACKING","FCC",IF(OR($H6002="HYDROCRACKING",$H6002="RESID_HYDROCRACKING"),"Hydrocracker",IF($H6002="REFORMING","Reformer",""))))</f>
        <v>CDU</v>
      </c>
      <c r="H6002" s="6" t="s">
        <v>38</v>
      </c>
      <c r="I6002" s="6" t="s">
        <v>81</v>
      </c>
      <c r="J6002" s="6" t="s">
        <v>349</v>
      </c>
      <c r="K6002" s="10">
        <v>11.64</v>
      </c>
      <c r="L6002" s="10">
        <v>12</v>
      </c>
      <c r="M6002" s="6" t="s">
        <v>413</v>
      </c>
    </row>
    <row r="6003" spans="1:13">
      <c r="A6003" s="6">
        <v>2025</v>
      </c>
      <c r="B6003" s="6">
        <v>6</v>
      </c>
      <c r="C6003" s="6" t="s">
        <v>64</v>
      </c>
      <c r="D6003" s="6" t="s">
        <v>387</v>
      </c>
      <c r="E6003" s="6" t="s">
        <v>388</v>
      </c>
      <c r="F6003" s="6" t="str">
        <f>IF($M6003="PADD I","PADD 1",IF($M6003="PADD II","PADD 2",IF($M6003="PADD III","PADD 3",IF($M6003="PADD IV","PADD 4",IF($M6003="PADD V","PADD 5","")))))</f>
        <v>PADD 3</v>
      </c>
      <c r="G6003" s="6" t="str">
        <f>IF(AND($H6003="ATMOS DISTILLATION",ISNUMBER(SEARCH("VPS",$I6003))=FALSE,LEFT($I6003,6)&lt;&gt;"VACUUM"),"CDU",IF($H6003="FLUID CAT CRACKING","FCC",IF(OR($H6003="HYDROCRACKING",$H6003="RESID_HYDROCRACKING"),"Hydrocracker",IF($H6003="REFORMING","Reformer",""))))</f>
        <v>Hydrocracker</v>
      </c>
      <c r="H6003" s="6" t="s">
        <v>581</v>
      </c>
      <c r="I6003" s="6" t="s">
        <v>868</v>
      </c>
      <c r="J6003" s="6" t="s">
        <v>345</v>
      </c>
      <c r="K6003" s="10">
        <v>10.88</v>
      </c>
      <c r="L6003" s="10">
        <v>64</v>
      </c>
      <c r="M6003" s="6" t="s">
        <v>371</v>
      </c>
    </row>
    <row r="6004" spans="1:13">
      <c r="A6004" s="6">
        <v>2025</v>
      </c>
      <c r="B6004" s="6">
        <v>6</v>
      </c>
      <c r="C6004" s="6" t="s">
        <v>64</v>
      </c>
      <c r="D6004" s="6" t="s">
        <v>774</v>
      </c>
      <c r="E6004" s="6" t="s">
        <v>775</v>
      </c>
      <c r="F6004" s="6" t="str">
        <f>IF($M6004="PADD I","PADD 1",IF($M6004="PADD II","PADD 2",IF($M6004="PADD III","PADD 3",IF($M6004="PADD IV","PADD 4",IF($M6004="PADD V","PADD 5","")))))</f>
        <v>PADD 1</v>
      </c>
      <c r="G6004" s="6" t="str">
        <f>IF(AND($H6004="ATMOS DISTILLATION",ISNUMBER(SEARCH("VPS",$I6004))=FALSE,LEFT($I6004,6)&lt;&gt;"VACUUM"),"CDU",IF($H6004="FLUID CAT CRACKING","FCC",IF(OR($H6004="HYDROCRACKING",$H6004="RESID_HYDROCRACKING"),"Hydrocracker",IF($H6004="REFORMING","Reformer",""))))</f>
        <v>Hydrocracker</v>
      </c>
      <c r="H6004" s="6" t="s">
        <v>444</v>
      </c>
      <c r="I6004" s="6" t="s">
        <v>14</v>
      </c>
      <c r="J6004" s="6" t="s">
        <v>345</v>
      </c>
      <c r="K6004" s="10">
        <v>10.8</v>
      </c>
      <c r="L6004" s="10">
        <v>18</v>
      </c>
      <c r="M6004" s="6" t="s">
        <v>413</v>
      </c>
    </row>
    <row r="6005" spans="1:13">
      <c r="A6005" s="6">
        <v>2025</v>
      </c>
      <c r="B6005" s="6">
        <v>6</v>
      </c>
      <c r="C6005" s="6" t="s">
        <v>64</v>
      </c>
      <c r="D6005" s="6" t="s">
        <v>484</v>
      </c>
      <c r="E6005" s="6" t="s">
        <v>409</v>
      </c>
      <c r="F6005" s="6" t="str">
        <f>IF($M6005="PADD I","PADD 1",IF($M6005="PADD II","PADD 2",IF($M6005="PADD III","PADD 3",IF($M6005="PADD IV","PADD 4",IF($M6005="PADD V","PADD 5","")))))</f>
        <v>PADD 3</v>
      </c>
      <c r="G6005" s="6">
        <f>IF(AND($H6005="ATMOS DISTILLATION",ISNUMBER(SEARCH("VPS",$I6005))=FALSE,LEFT($I6005,6)&lt;&gt;"VACUUM"),"CDU",IF($H6005="FLUID CAT CRACKING","FCC",IF(OR($H6005="HYDROCRACKING",$H6005="RESID_HYDROCRACKING"),"Hydrocracker",IF($H6005="REFORMING","Reformer",""))))</f>
        <v/>
      </c>
      <c r="H6005" s="6" t="s">
        <v>43</v>
      </c>
      <c r="I6005" s="6" t="s">
        <v>501</v>
      </c>
      <c r="J6005" s="6" t="s">
        <v>345</v>
      </c>
      <c r="K6005" s="10">
        <v>10.465</v>
      </c>
      <c r="L6005" s="10">
        <v>45.5</v>
      </c>
      <c r="M6005" s="6" t="s">
        <v>371</v>
      </c>
    </row>
    <row r="6006" spans="1:13">
      <c r="A6006" s="6">
        <v>2025</v>
      </c>
      <c r="B6006" s="6">
        <v>6</v>
      </c>
      <c r="C6006" s="6" t="s">
        <v>64</v>
      </c>
      <c r="D6006" s="6" t="s">
        <v>326</v>
      </c>
      <c r="E6006" s="6" t="s">
        <v>385</v>
      </c>
      <c r="F6006" s="6" t="str">
        <f>IF($M6006="PADD I","PADD 1",IF($M6006="PADD II","PADD 2",IF($M6006="PADD III","PADD 3",IF($M6006="PADD IV","PADD 4",IF($M6006="PADD V","PADD 5","")))))</f>
        <v>PADD 5</v>
      </c>
      <c r="G6006" s="6" t="str">
        <f>IF(AND($H6006="ATMOS DISTILLATION",ISNUMBER(SEARCH("VPS",$I6006))=FALSE,LEFT($I6006,6)&lt;&gt;"VACUUM"),"CDU",IF($H6006="FLUID CAT CRACKING","FCC",IF(OR($H6006="HYDROCRACKING",$H6006="RESID_HYDROCRACKING"),"Hydrocracker",IF($H6006="REFORMING","Reformer",""))))</f>
        <v>Reformer</v>
      </c>
      <c r="H6006" s="6" t="s">
        <v>421</v>
      </c>
      <c r="I6006" s="6" t="s">
        <v>15</v>
      </c>
      <c r="J6006" s="6" t="s">
        <v>345</v>
      </c>
      <c r="K6006" s="10">
        <v>10.33</v>
      </c>
      <c r="L6006" s="10">
        <v>10.33</v>
      </c>
      <c r="M6006" s="6" t="s">
        <v>386</v>
      </c>
    </row>
    <row r="6007" spans="1:13">
      <c r="A6007" s="6">
        <v>2025</v>
      </c>
      <c r="B6007" s="6">
        <v>6</v>
      </c>
      <c r="C6007" s="6" t="s">
        <v>64</v>
      </c>
      <c r="D6007" s="6" t="s">
        <v>739</v>
      </c>
      <c r="E6007" s="6" t="s">
        <v>405</v>
      </c>
      <c r="F6007" s="6" t="str">
        <f>IF($M6007="PADD I","PADD 1",IF($M6007="PADD II","PADD 2",IF($M6007="PADD III","PADD 3",IF($M6007="PADD IV","PADD 4",IF($M6007="PADD V","PADD 5","")))))</f>
        <v>PADD 2</v>
      </c>
      <c r="G6007" s="6" t="str">
        <f>IF(AND($H6007="ATMOS DISTILLATION",ISNUMBER(SEARCH("VPS",$I6007))=FALSE,LEFT($I6007,6)&lt;&gt;"VACUUM"),"CDU",IF($H6007="FLUID CAT CRACKING","FCC",IF(OR($H6007="HYDROCRACKING",$H6007="RESID_HYDROCRACKING"),"Hydrocracker",IF($H6007="REFORMING","Reformer",""))))</f>
        <v>Hydrocracker</v>
      </c>
      <c r="H6007" s="6" t="s">
        <v>444</v>
      </c>
      <c r="I6007" s="6" t="s">
        <v>795</v>
      </c>
      <c r="J6007" s="6" t="s">
        <v>345</v>
      </c>
      <c r="K6007" s="10">
        <v>10.22</v>
      </c>
      <c r="L6007" s="10">
        <v>14</v>
      </c>
      <c r="M6007" s="6" t="s">
        <v>375</v>
      </c>
    </row>
    <row r="6008" spans="1:13">
      <c r="A6008" s="6">
        <v>2025</v>
      </c>
      <c r="B6008" s="6">
        <v>6</v>
      </c>
      <c r="C6008" s="6" t="s">
        <v>64</v>
      </c>
      <c r="D6008" s="6" t="s">
        <v>628</v>
      </c>
      <c r="E6008" s="6" t="s">
        <v>388</v>
      </c>
      <c r="F6008" s="6" t="str">
        <f>IF($M6008="PADD I","PADD 1",IF($M6008="PADD II","PADD 2",IF($M6008="PADD III","PADD 3",IF($M6008="PADD IV","PADD 4",IF($M6008="PADD V","PADD 5","")))))</f>
        <v>PADD 3</v>
      </c>
      <c r="G6008" s="6" t="str">
        <f>IF(AND($H6008="ATMOS DISTILLATION",ISNUMBER(SEARCH("VPS",$I6008))=FALSE,LEFT($I6008,6)&lt;&gt;"VACUUM"),"CDU",IF($H6008="FLUID CAT CRACKING","FCC",IF(OR($H6008="HYDROCRACKING",$H6008="RESID_HYDROCRACKING"),"Hydrocracker",IF($H6008="REFORMING","Reformer",""))))</f>
        <v>FCC</v>
      </c>
      <c r="H6008" s="6" t="s">
        <v>376</v>
      </c>
      <c r="I6008" s="6" t="s">
        <v>105</v>
      </c>
      <c r="J6008" s="6" t="s">
        <v>345</v>
      </c>
      <c r="K6008" s="10">
        <v>9.945</v>
      </c>
      <c r="L6008" s="10">
        <v>58.5</v>
      </c>
      <c r="M6008" s="6" t="s">
        <v>371</v>
      </c>
    </row>
    <row r="6009" spans="1:13">
      <c r="A6009" s="6">
        <v>2025</v>
      </c>
      <c r="B6009" s="6">
        <v>6</v>
      </c>
      <c r="C6009" s="6" t="s">
        <v>64</v>
      </c>
      <c r="D6009" s="6" t="s">
        <v>326</v>
      </c>
      <c r="E6009" s="6" t="s">
        <v>385</v>
      </c>
      <c r="F6009" s="6" t="str">
        <f>IF($M6009="PADD I","PADD 1",IF($M6009="PADD II","PADD 2",IF($M6009="PADD III","PADD 3",IF($M6009="PADD IV","PADD 4",IF($M6009="PADD V","PADD 5","")))))</f>
        <v>PADD 5</v>
      </c>
      <c r="G6009" s="6">
        <f>IF(AND($H6009="ATMOS DISTILLATION",ISNUMBER(SEARCH("VPS",$I6009))=FALSE,LEFT($I6009,6)&lt;&gt;"VACUUM"),"CDU",IF($H6009="FLUID CAT CRACKING","FCC",IF(OR($H6009="HYDROCRACKING",$H6009="RESID_HYDROCRACKING"),"Hydrocracker",IF($H6009="REFORMING","Reformer",""))))</f>
        <v/>
      </c>
      <c r="H6009" s="6" t="s">
        <v>43</v>
      </c>
      <c r="I6009" s="6" t="s">
        <v>501</v>
      </c>
      <c r="J6009" s="6" t="s">
        <v>345</v>
      </c>
      <c r="K6009" s="10">
        <v>9.800000000000001</v>
      </c>
      <c r="L6009" s="10">
        <v>9.800000000000001</v>
      </c>
      <c r="M6009" s="6" t="s">
        <v>386</v>
      </c>
    </row>
    <row r="6010" spans="1:13">
      <c r="A6010" s="6">
        <v>2025</v>
      </c>
      <c r="B6010" s="6">
        <v>6</v>
      </c>
      <c r="C6010" s="6" t="s">
        <v>64</v>
      </c>
      <c r="D6010" s="6" t="s">
        <v>326</v>
      </c>
      <c r="E6010" s="6" t="s">
        <v>385</v>
      </c>
      <c r="F6010" s="6" t="str">
        <f>IF($M6010="PADD I","PADD 1",IF($M6010="PADD II","PADD 2",IF($M6010="PADD III","PADD 3",IF($M6010="PADD IV","PADD 4",IF($M6010="PADD V","PADD 5","")))))</f>
        <v>PADD 5</v>
      </c>
      <c r="G6010" s="6">
        <f>IF(AND($H6010="ATMOS DISTILLATION",ISNUMBER(SEARCH("VPS",$I6010))=FALSE,LEFT($I6010,6)&lt;&gt;"VACUUM"),"CDU",IF($H6010="FLUID CAT CRACKING","FCC",IF(OR($H6010="HYDROCRACKING",$H6010="RESID_HYDROCRACKING"),"Hydrocracker",IF($H6010="REFORMING","Reformer",""))))</f>
        <v/>
      </c>
      <c r="H6010" s="6" t="s">
        <v>43</v>
      </c>
      <c r="I6010" s="6" t="s">
        <v>1183</v>
      </c>
      <c r="J6010" s="6" t="s">
        <v>345</v>
      </c>
      <c r="K6010" s="10">
        <v>9.1</v>
      </c>
      <c r="L6010" s="10">
        <v>9.1</v>
      </c>
      <c r="M6010" s="6" t="s">
        <v>386</v>
      </c>
    </row>
    <row r="6011" spans="1:13">
      <c r="A6011" s="6">
        <v>2025</v>
      </c>
      <c r="B6011" s="6">
        <v>6</v>
      </c>
      <c r="C6011" s="6" t="s">
        <v>64</v>
      </c>
      <c r="D6011" s="6" t="s">
        <v>51</v>
      </c>
      <c r="E6011" s="6" t="s">
        <v>391</v>
      </c>
      <c r="F6011" s="6" t="str">
        <f>IF($M6011="PADD I","PADD 1",IF($M6011="PADD II","PADD 2",IF($M6011="PADD III","PADD 3",IF($M6011="PADD IV","PADD 4",IF($M6011="PADD V","PADD 5","")))))</f>
        <v>PADD 5</v>
      </c>
      <c r="G6011" s="6" t="str">
        <f>IF(AND($H6011="ATMOS DISTILLATION",ISNUMBER(SEARCH("VPS",$I6011))=FALSE,LEFT($I6011,6)&lt;&gt;"VACUUM"),"CDU",IF($H6011="FLUID CAT CRACKING","FCC",IF(OR($H6011="HYDROCRACKING",$H6011="RESID_HYDROCRACKING"),"Hydrocracker",IF($H6011="REFORMING","Reformer",""))))</f>
        <v>Hydrocracker</v>
      </c>
      <c r="H6011" s="6" t="s">
        <v>444</v>
      </c>
      <c r="I6011" s="6" t="s">
        <v>1074</v>
      </c>
      <c r="J6011" s="6" t="s">
        <v>345</v>
      </c>
      <c r="K6011" s="10">
        <v>9</v>
      </c>
      <c r="L6011" s="10">
        <v>45</v>
      </c>
      <c r="M6011" s="6" t="s">
        <v>386</v>
      </c>
    </row>
    <row r="6012" spans="1:13">
      <c r="A6012" s="6">
        <v>2025</v>
      </c>
      <c r="B6012" s="6">
        <v>6</v>
      </c>
      <c r="C6012" s="6" t="s">
        <v>64</v>
      </c>
      <c r="D6012" s="6" t="s">
        <v>408</v>
      </c>
      <c r="E6012" s="6" t="s">
        <v>409</v>
      </c>
      <c r="F6012" s="6" t="str">
        <f>IF($M6012="PADD I","PADD 1",IF($M6012="PADD II","PADD 2",IF($M6012="PADD III","PADD 3",IF($M6012="PADD IV","PADD 4",IF($M6012="PADD V","PADD 5","")))))</f>
        <v>PADD 3</v>
      </c>
      <c r="G6012" s="6">
        <f>IF(AND($H6012="ATMOS DISTILLATION",ISNUMBER(SEARCH("VPS",$I6012))=FALSE,LEFT($I6012,6)&lt;&gt;"VACUUM"),"CDU",IF($H6012="FLUID CAT CRACKING","FCC",IF(OR($H6012="HYDROCRACKING",$H6012="RESID_HYDROCRACKING"),"Hydrocracker",IF($H6012="REFORMING","Reformer",""))))</f>
        <v/>
      </c>
      <c r="H6012" s="6" t="s">
        <v>378</v>
      </c>
      <c r="I6012" s="6" t="s">
        <v>506</v>
      </c>
      <c r="J6012" s="6" t="s">
        <v>345</v>
      </c>
      <c r="K6012" s="10">
        <v>8.84</v>
      </c>
      <c r="L6012" s="10">
        <v>52</v>
      </c>
      <c r="M6012" s="6" t="s">
        <v>371</v>
      </c>
    </row>
    <row r="6013" spans="1:13">
      <c r="A6013" s="6">
        <v>2025</v>
      </c>
      <c r="B6013" s="6">
        <v>6</v>
      </c>
      <c r="C6013" s="6" t="s">
        <v>64</v>
      </c>
      <c r="D6013" s="6" t="s">
        <v>346</v>
      </c>
      <c r="E6013" s="6" t="s">
        <v>383</v>
      </c>
      <c r="F6013" s="6" t="str">
        <f>IF($M6013="PADD I","PADD 1",IF($M6013="PADD II","PADD 2",IF($M6013="PADD III","PADD 3",IF($M6013="PADD IV","PADD 4",IF($M6013="PADD V","PADD 5","")))))</f>
        <v>PADD 2</v>
      </c>
      <c r="G6013" s="6" t="str">
        <f>IF(AND($H6013="ATMOS DISTILLATION",ISNUMBER(SEARCH("VPS",$I6013))=FALSE,LEFT($I6013,6)&lt;&gt;"VACUUM"),"CDU",IF($H6013="FLUID CAT CRACKING","FCC",IF(OR($H6013="HYDROCRACKING",$H6013="RESID_HYDROCRACKING"),"Hydrocracker",IF($H6013="REFORMING","Reformer",""))))</f>
        <v>FCC</v>
      </c>
      <c r="H6013" s="6" t="s">
        <v>376</v>
      </c>
      <c r="I6013" s="6" t="s">
        <v>105</v>
      </c>
      <c r="J6013" s="6" t="s">
        <v>345</v>
      </c>
      <c r="K6013" s="10">
        <v>8.199999999999999</v>
      </c>
      <c r="L6013" s="10">
        <v>82</v>
      </c>
      <c r="M6013" s="6" t="s">
        <v>375</v>
      </c>
    </row>
    <row r="6014" spans="1:13">
      <c r="A6014" s="6">
        <v>2025</v>
      </c>
      <c r="B6014" s="6">
        <v>6</v>
      </c>
      <c r="C6014" s="6" t="s">
        <v>64</v>
      </c>
      <c r="D6014" s="6" t="s">
        <v>326</v>
      </c>
      <c r="E6014" s="6" t="s">
        <v>385</v>
      </c>
      <c r="F6014" s="6" t="str">
        <f>IF($M6014="PADD I","PADD 1",IF($M6014="PADD II","PADD 2",IF($M6014="PADD III","PADD 3",IF($M6014="PADD IV","PADD 4",IF($M6014="PADD V","PADD 5","")))))</f>
        <v>PADD 5</v>
      </c>
      <c r="G6014" s="6">
        <f>IF(AND($H6014="ATMOS DISTILLATION",ISNUMBER(SEARCH("VPS",$I6014))=FALSE,LEFT($I6014,6)&lt;&gt;"VACUUM"),"CDU",IF($H6014="FLUID CAT CRACKING","FCC",IF(OR($H6014="HYDROCRACKING",$H6014="RESID_HYDROCRACKING"),"Hydrocracker",IF($H6014="REFORMING","Reformer",""))))</f>
        <v/>
      </c>
      <c r="H6014" s="6" t="s">
        <v>435</v>
      </c>
      <c r="I6014" s="6" t="s">
        <v>441</v>
      </c>
      <c r="J6014" s="6" t="s">
        <v>345</v>
      </c>
      <c r="K6014" s="10">
        <v>7.7</v>
      </c>
      <c r="L6014" s="10">
        <v>7.7</v>
      </c>
      <c r="M6014" s="6" t="s">
        <v>386</v>
      </c>
    </row>
    <row r="6015" spans="1:13">
      <c r="A6015" s="6">
        <v>2025</v>
      </c>
      <c r="B6015" s="6">
        <v>6</v>
      </c>
      <c r="C6015" s="6" t="s">
        <v>64</v>
      </c>
      <c r="D6015" s="6" t="s">
        <v>326</v>
      </c>
      <c r="E6015" s="6" t="s">
        <v>385</v>
      </c>
      <c r="F6015" s="6" t="str">
        <f>IF($M6015="PADD I","PADD 1",IF($M6015="PADD II","PADD 2",IF($M6015="PADD III","PADD 3",IF($M6015="PADD IV","PADD 4",IF($M6015="PADD V","PADD 5","")))))</f>
        <v>PADD 5</v>
      </c>
      <c r="G6015" s="6">
        <f>IF(AND($H6015="ATMOS DISTILLATION",ISNUMBER(SEARCH("VPS",$I6015))=FALSE,LEFT($I6015,6)&lt;&gt;"VACUUM"),"CDU",IF($H6015="FLUID CAT CRACKING","FCC",IF(OR($H6015="HYDROCRACKING",$H6015="RESID_HYDROCRACKING"),"Hydrocracker",IF($H6015="REFORMING","Reformer",""))))</f>
        <v/>
      </c>
      <c r="H6015" s="6" t="s">
        <v>435</v>
      </c>
      <c r="I6015" s="6" t="s">
        <v>813</v>
      </c>
      <c r="J6015" s="6" t="s">
        <v>345</v>
      </c>
      <c r="K6015" s="10">
        <v>7.5</v>
      </c>
      <c r="L6015" s="10">
        <v>25</v>
      </c>
      <c r="M6015" s="6" t="s">
        <v>386</v>
      </c>
    </row>
    <row r="6016" spans="1:13">
      <c r="A6016" s="6">
        <v>2025</v>
      </c>
      <c r="B6016" s="6">
        <v>6</v>
      </c>
      <c r="C6016" s="6" t="s">
        <v>64</v>
      </c>
      <c r="D6016" s="6" t="s">
        <v>326</v>
      </c>
      <c r="E6016" s="6" t="s">
        <v>385</v>
      </c>
      <c r="F6016" s="6" t="str">
        <f>IF($M6016="PADD I","PADD 1",IF($M6016="PADD II","PADD 2",IF($M6016="PADD III","PADD 3",IF($M6016="PADD IV","PADD 4",IF($M6016="PADD V","PADD 5","")))))</f>
        <v>PADD 5</v>
      </c>
      <c r="G6016" s="6">
        <f>IF(AND($H6016="ATMOS DISTILLATION",ISNUMBER(SEARCH("VPS",$I6016))=FALSE,LEFT($I6016,6)&lt;&gt;"VACUUM"),"CDU",IF($H6016="FLUID CAT CRACKING","FCC",IF(OR($H6016="HYDROCRACKING",$H6016="RESID_HYDROCRACKING"),"Hydrocracker",IF($H6016="REFORMING","Reformer",""))))</f>
        <v/>
      </c>
      <c r="H6016" s="6" t="s">
        <v>435</v>
      </c>
      <c r="I6016" s="6" t="s">
        <v>813</v>
      </c>
      <c r="J6016" s="6" t="s">
        <v>345</v>
      </c>
      <c r="K6016" s="10">
        <v>7.32</v>
      </c>
      <c r="L6016" s="10">
        <v>7.32</v>
      </c>
      <c r="M6016" s="6" t="s">
        <v>386</v>
      </c>
    </row>
    <row r="6017" spans="1:13">
      <c r="A6017" s="6">
        <v>2025</v>
      </c>
      <c r="B6017" s="6">
        <v>6</v>
      </c>
      <c r="C6017" s="6" t="s">
        <v>64</v>
      </c>
      <c r="D6017" s="6" t="s">
        <v>1315</v>
      </c>
      <c r="E6017" s="6" t="s">
        <v>1316</v>
      </c>
      <c r="F6017" s="6" t="str">
        <f>IF($M6017="PADD I","PADD 1",IF($M6017="PADD II","PADD 2",IF($M6017="PADD III","PADD 3",IF($M6017="PADD IV","PADD 4",IF($M6017="PADD V","PADD 5","")))))</f>
        <v>PADD 1</v>
      </c>
      <c r="G6017" s="6">
        <f>IF(AND($H6017="ATMOS DISTILLATION",ISNUMBER(SEARCH("VPS",$I6017))=FALSE,LEFT($I6017,6)&lt;&gt;"VACUUM"),"CDU",IF($H6017="FLUID CAT CRACKING","FCC",IF(OR($H6017="HYDROCRACKING",$H6017="RESID_HYDROCRACKING"),"Hydrocracker",IF($H6017="REFORMING","Reformer",""))))</f>
        <v/>
      </c>
      <c r="H6017" s="6" t="s">
        <v>43</v>
      </c>
      <c r="I6017" s="6" t="s">
        <v>904</v>
      </c>
      <c r="J6017" s="6" t="s">
        <v>349</v>
      </c>
      <c r="K6017" s="10">
        <v>6.79</v>
      </c>
      <c r="L6017" s="10">
        <v>7</v>
      </c>
      <c r="M6017" s="6" t="s">
        <v>413</v>
      </c>
    </row>
    <row r="6018" spans="1:13">
      <c r="A6018" s="6">
        <v>2025</v>
      </c>
      <c r="B6018" s="6">
        <v>6</v>
      </c>
      <c r="C6018" s="6" t="s">
        <v>64</v>
      </c>
      <c r="D6018" s="6" t="s">
        <v>727</v>
      </c>
      <c r="E6018" s="6" t="s">
        <v>728</v>
      </c>
      <c r="F6018" s="6" t="str">
        <f>IF($M6018="PADD I","PADD 1",IF($M6018="PADD II","PADD 2",IF($M6018="PADD III","PADD 3",IF($M6018="PADD IV","PADD 4",IF($M6018="PADD V","PADD 5","")))))</f>
        <v>PADD 1</v>
      </c>
      <c r="G6018" s="6">
        <f>IF(AND($H6018="ATMOS DISTILLATION",ISNUMBER(SEARCH("VPS",$I6018))=FALSE,LEFT($I6018,6)&lt;&gt;"VACUUM"),"CDU",IF($H6018="FLUID CAT CRACKING","FCC",IF(OR($H6018="HYDROCRACKING",$H6018="RESID_HYDROCRACKING"),"Hydrocracker",IF($H6018="REFORMING","Reformer",""))))</f>
        <v/>
      </c>
      <c r="H6018" s="6" t="s">
        <v>378</v>
      </c>
      <c r="I6018" s="6" t="s">
        <v>431</v>
      </c>
      <c r="J6018" s="6" t="s">
        <v>349</v>
      </c>
      <c r="K6018" s="10">
        <v>6.545</v>
      </c>
      <c r="L6018" s="10">
        <v>8.5</v>
      </c>
      <c r="M6018" s="6" t="s">
        <v>413</v>
      </c>
    </row>
    <row r="6019" spans="1:13">
      <c r="A6019" s="6">
        <v>2025</v>
      </c>
      <c r="B6019" s="6">
        <v>6</v>
      </c>
      <c r="C6019" s="6" t="s">
        <v>64</v>
      </c>
      <c r="D6019" s="6" t="s">
        <v>372</v>
      </c>
      <c r="E6019" s="6" t="s">
        <v>373</v>
      </c>
      <c r="F6019" s="6" t="str">
        <f>IF($M6019="PADD I","PADD 1",IF($M6019="PADD II","PADD 2",IF($M6019="PADD III","PADD 3",IF($M6019="PADD IV","PADD 4",IF($M6019="PADD V","PADD 5","")))))</f>
        <v>PADD 2</v>
      </c>
      <c r="G6019" s="6">
        <f>IF(AND($H6019="ATMOS DISTILLATION",ISNUMBER(SEARCH("VPS",$I6019))=FALSE,LEFT($I6019,6)&lt;&gt;"VACUUM"),"CDU",IF($H6019="FLUID CAT CRACKING","FCC",IF(OR($H6019="HYDROCRACKING",$H6019="RESID_HYDROCRACKING"),"Hydrocracker",IF($H6019="REFORMING","Reformer",""))))</f>
        <v/>
      </c>
      <c r="H6019" s="6" t="s">
        <v>435</v>
      </c>
      <c r="I6019" s="6" t="s">
        <v>584</v>
      </c>
      <c r="J6019" s="6" t="s">
        <v>345</v>
      </c>
      <c r="K6019" s="10">
        <v>6.5</v>
      </c>
      <c r="L6019" s="10">
        <v>6.5</v>
      </c>
      <c r="M6019" s="6" t="s">
        <v>375</v>
      </c>
    </row>
    <row r="6020" spans="1:13">
      <c r="A6020" s="6">
        <v>2025</v>
      </c>
      <c r="B6020" s="6">
        <v>6</v>
      </c>
      <c r="C6020" s="6" t="s">
        <v>64</v>
      </c>
      <c r="D6020" s="6" t="s">
        <v>387</v>
      </c>
      <c r="E6020" s="6" t="s">
        <v>388</v>
      </c>
      <c r="F6020" s="6" t="str">
        <f>IF($M6020="PADD I","PADD 1",IF($M6020="PADD II","PADD 2",IF($M6020="PADD III","PADD 3",IF($M6020="PADD IV","PADD 4",IF($M6020="PADD V","PADD 5","")))))</f>
        <v>PADD 3</v>
      </c>
      <c r="G6020" s="6" t="str">
        <f>IF(AND($H6020="ATMOS DISTILLATION",ISNUMBER(SEARCH("VPS",$I6020))=FALSE,LEFT($I6020,6)&lt;&gt;"VACUUM"),"CDU",IF($H6020="FLUID CAT CRACKING","FCC",IF(OR($H6020="HYDROCRACKING",$H6020="RESID_HYDROCRACKING"),"Hydrocracker",IF($H6020="REFORMING","Reformer",""))))</f>
        <v>Hydrocracker</v>
      </c>
      <c r="H6020" s="6" t="s">
        <v>581</v>
      </c>
      <c r="I6020" s="6" t="s">
        <v>868</v>
      </c>
      <c r="J6020" s="6" t="s">
        <v>345</v>
      </c>
      <c r="K6020" s="10">
        <v>6.4</v>
      </c>
      <c r="L6020" s="10">
        <v>16</v>
      </c>
      <c r="M6020" s="6" t="s">
        <v>371</v>
      </c>
    </row>
    <row r="6021" spans="1:13">
      <c r="A6021" s="6">
        <v>2025</v>
      </c>
      <c r="B6021" s="6">
        <v>6</v>
      </c>
      <c r="C6021" s="6" t="s">
        <v>64</v>
      </c>
      <c r="D6021" s="6" t="s">
        <v>411</v>
      </c>
      <c r="E6021" s="6" t="s">
        <v>369</v>
      </c>
      <c r="F6021" s="6" t="str">
        <f>IF($M6021="PADD I","PADD 1",IF($M6021="PADD II","PADD 2",IF($M6021="PADD III","PADD 3",IF($M6021="PADD IV","PADD 4",IF($M6021="PADD V","PADD 5","")))))</f>
        <v>PADD 1</v>
      </c>
      <c r="G6021" s="6" t="str">
        <f>IF(AND($H6021="ATMOS DISTILLATION",ISNUMBER(SEARCH("VPS",$I6021))=FALSE,LEFT($I6021,6)&lt;&gt;"VACUUM"),"CDU",IF($H6021="FLUID CAT CRACKING","FCC",IF(OR($H6021="HYDROCRACKING",$H6021="RESID_HYDROCRACKING"),"Hydrocracker",IF($H6021="REFORMING","Reformer",""))))</f>
        <v>FCC</v>
      </c>
      <c r="H6021" s="6" t="s">
        <v>376</v>
      </c>
      <c r="I6021" s="6" t="s">
        <v>105</v>
      </c>
      <c r="J6021" s="6" t="s">
        <v>345</v>
      </c>
      <c r="K6021" s="10">
        <v>6.375</v>
      </c>
      <c r="L6021" s="10">
        <v>37.5</v>
      </c>
      <c r="M6021" s="6" t="s">
        <v>413</v>
      </c>
    </row>
    <row r="6022" spans="1:13">
      <c r="A6022" s="6">
        <v>2025</v>
      </c>
      <c r="B6022" s="6">
        <v>6</v>
      </c>
      <c r="C6022" s="6" t="s">
        <v>64</v>
      </c>
      <c r="D6022" s="6" t="s">
        <v>727</v>
      </c>
      <c r="E6022" s="6" t="s">
        <v>728</v>
      </c>
      <c r="F6022" s="6" t="str">
        <f>IF($M6022="PADD I","PADD 1",IF($M6022="PADD II","PADD 2",IF($M6022="PADD III","PADD 3",IF($M6022="PADD IV","PADD 4",IF($M6022="PADD V","PADD 5","")))))</f>
        <v>PADD 1</v>
      </c>
      <c r="G6022" s="6">
        <f>IF(AND($H6022="ATMOS DISTILLATION",ISNUMBER(SEARCH("VPS",$I6022))=FALSE,LEFT($I6022,6)&lt;&gt;"VACUUM"),"CDU",IF($H6022="FLUID CAT CRACKING","FCC",IF(OR($H6022="HYDROCRACKING",$H6022="RESID_HYDROCRACKING"),"Hydrocracker",IF($H6022="REFORMING","Reformer",""))))</f>
        <v/>
      </c>
      <c r="H6022" s="6" t="s">
        <v>43</v>
      </c>
      <c r="I6022" s="6" t="s">
        <v>520</v>
      </c>
      <c r="J6022" s="6" t="s">
        <v>349</v>
      </c>
      <c r="K6022" s="10">
        <v>6.16</v>
      </c>
      <c r="L6022" s="10">
        <v>8</v>
      </c>
      <c r="M6022" s="6" t="s">
        <v>413</v>
      </c>
    </row>
    <row r="6023" spans="1:13">
      <c r="A6023" s="6">
        <v>2025</v>
      </c>
      <c r="B6023" s="6">
        <v>6</v>
      </c>
      <c r="C6023" s="6" t="s">
        <v>64</v>
      </c>
      <c r="D6023" s="6" t="s">
        <v>411</v>
      </c>
      <c r="E6023" s="6" t="s">
        <v>369</v>
      </c>
      <c r="F6023" s="6" t="str">
        <f>IF($M6023="PADD I","PADD 1",IF($M6023="PADD II","PADD 2",IF($M6023="PADD III","PADD 3",IF($M6023="PADD IV","PADD 4",IF($M6023="PADD V","PADD 5","")))))</f>
        <v>PADD 1</v>
      </c>
      <c r="G6023" s="6" t="str">
        <f>IF(AND($H6023="ATMOS DISTILLATION",ISNUMBER(SEARCH("VPS",$I6023))=FALSE,LEFT($I6023,6)&lt;&gt;"VACUUM"),"CDU",IF($H6023="FLUID CAT CRACKING","FCC",IF(OR($H6023="HYDROCRACKING",$H6023="RESID_HYDROCRACKING"),"Hydrocracker",IF($H6023="REFORMING","Reformer",""))))</f>
        <v>CDU</v>
      </c>
      <c r="H6023" s="6" t="s">
        <v>38</v>
      </c>
      <c r="I6023" s="6" t="s">
        <v>529</v>
      </c>
      <c r="J6023" s="6" t="s">
        <v>345</v>
      </c>
      <c r="K6023" s="10">
        <v>5.5046</v>
      </c>
      <c r="L6023" s="10">
        <v>32.38</v>
      </c>
      <c r="M6023" s="6" t="s">
        <v>413</v>
      </c>
    </row>
    <row r="6024" spans="1:13">
      <c r="A6024" s="6">
        <v>2025</v>
      </c>
      <c r="B6024" s="6">
        <v>6</v>
      </c>
      <c r="C6024" s="6" t="s">
        <v>64</v>
      </c>
      <c r="D6024" s="6" t="s">
        <v>411</v>
      </c>
      <c r="E6024" s="6" t="s">
        <v>369</v>
      </c>
      <c r="F6024" s="6" t="str">
        <f>IF($M6024="PADD I","PADD 1",IF($M6024="PADD II","PADD 2",IF($M6024="PADD III","PADD 3",IF($M6024="PADD IV","PADD 4",IF($M6024="PADD V","PADD 5","")))))</f>
        <v>PADD 1</v>
      </c>
      <c r="G6024" s="6" t="str">
        <f>IF(AND($H6024="ATMOS DISTILLATION",ISNUMBER(SEARCH("VPS",$I6024))=FALSE,LEFT($I6024,6)&lt;&gt;"VACUUM"),"CDU",IF($H6024="FLUID CAT CRACKING","FCC",IF(OR($H6024="HYDROCRACKING",$H6024="RESID_HYDROCRACKING"),"Hydrocracker",IF($H6024="REFORMING","Reformer",""))))</f>
        <v>CDU</v>
      </c>
      <c r="H6024" s="6" t="s">
        <v>38</v>
      </c>
      <c r="I6024" s="6" t="s">
        <v>412</v>
      </c>
      <c r="J6024" s="6" t="s">
        <v>345</v>
      </c>
      <c r="K6024" s="10">
        <v>5.4825</v>
      </c>
      <c r="L6024" s="10">
        <v>32.25</v>
      </c>
      <c r="M6024" s="6" t="s">
        <v>413</v>
      </c>
    </row>
    <row r="6025" spans="1:13">
      <c r="A6025" s="6">
        <v>2025</v>
      </c>
      <c r="B6025" s="6">
        <v>6</v>
      </c>
      <c r="C6025" s="6" t="s">
        <v>64</v>
      </c>
      <c r="D6025" s="6" t="s">
        <v>468</v>
      </c>
      <c r="E6025" s="6" t="s">
        <v>369</v>
      </c>
      <c r="F6025" s="6" t="str">
        <f>IF($M6025="PADD I","PADD 1",IF($M6025="PADD II","PADD 2",IF($M6025="PADD III","PADD 3",IF($M6025="PADD IV","PADD 4",IF($M6025="PADD V","PADD 5","")))))</f>
        <v>PADD 3</v>
      </c>
      <c r="G6025" s="6" t="str">
        <f>IF(AND($H6025="ATMOS DISTILLATION",ISNUMBER(SEARCH("VPS",$I6025))=FALSE,LEFT($I6025,6)&lt;&gt;"VACUUM"),"CDU",IF($H6025="FLUID CAT CRACKING","FCC",IF(OR($H6025="HYDROCRACKING",$H6025="RESID_HYDROCRACKING"),"Hydrocracker",IF($H6025="REFORMING","Reformer",""))))</f>
        <v>CDU</v>
      </c>
      <c r="H6025" s="6" t="s">
        <v>38</v>
      </c>
      <c r="I6025" s="6" t="s">
        <v>561</v>
      </c>
      <c r="J6025" s="6" t="s">
        <v>345</v>
      </c>
      <c r="K6025" s="10">
        <v>5.2</v>
      </c>
      <c r="L6025" s="10">
        <v>40</v>
      </c>
      <c r="M6025" s="6" t="s">
        <v>371</v>
      </c>
    </row>
    <row r="6026" spans="1:13">
      <c r="A6026" s="6">
        <v>2025</v>
      </c>
      <c r="B6026" s="6">
        <v>6</v>
      </c>
      <c r="C6026" s="6" t="s">
        <v>64</v>
      </c>
      <c r="D6026" s="6" t="s">
        <v>1315</v>
      </c>
      <c r="E6026" s="6" t="s">
        <v>1316</v>
      </c>
      <c r="F6026" s="6" t="str">
        <f>IF($M6026="PADD I","PADD 1",IF($M6026="PADD II","PADD 2",IF($M6026="PADD III","PADD 3",IF($M6026="PADD IV","PADD 4",IF($M6026="PADD V","PADD 5","")))))</f>
        <v>PADD 1</v>
      </c>
      <c r="G6026" s="6">
        <f>IF(AND($H6026="ATMOS DISTILLATION",ISNUMBER(SEARCH("VPS",$I6026))=FALSE,LEFT($I6026,6)&lt;&gt;"VACUUM"),"CDU",IF($H6026="FLUID CAT CRACKING","FCC",IF(OR($H6026="HYDROCRACKING",$H6026="RESID_HYDROCRACKING"),"Hydrocracker",IF($H6026="REFORMING","Reformer",""))))</f>
        <v/>
      </c>
      <c r="H6026" s="6" t="s">
        <v>43</v>
      </c>
      <c r="I6026" s="6" t="s">
        <v>1317</v>
      </c>
      <c r="J6026" s="6" t="s">
        <v>349</v>
      </c>
      <c r="K6026" s="10">
        <v>4.656</v>
      </c>
      <c r="L6026" s="10">
        <v>4.8</v>
      </c>
      <c r="M6026" s="6" t="s">
        <v>413</v>
      </c>
    </row>
    <row r="6027" spans="1:13">
      <c r="A6027" s="6">
        <v>2025</v>
      </c>
      <c r="B6027" s="6">
        <v>6</v>
      </c>
      <c r="C6027" s="6" t="s">
        <v>64</v>
      </c>
      <c r="D6027" s="6" t="s">
        <v>739</v>
      </c>
      <c r="E6027" s="6" t="s">
        <v>405</v>
      </c>
      <c r="F6027" s="6" t="str">
        <f>IF($M6027="PADD I","PADD 1",IF($M6027="PADD II","PADD 2",IF($M6027="PADD III","PADD 3",IF($M6027="PADD IV","PADD 4",IF($M6027="PADD V","PADD 5","")))))</f>
        <v>PADD 2</v>
      </c>
      <c r="G6027" s="6">
        <f>IF(AND($H6027="ATMOS DISTILLATION",ISNUMBER(SEARCH("VPS",$I6027))=FALSE,LEFT($I6027,6)&lt;&gt;"VACUUM"),"CDU",IF($H6027="FLUID CAT CRACKING","FCC",IF(OR($H6027="HYDROCRACKING",$H6027="RESID_HYDROCRACKING"),"Hydrocracker",IF($H6027="REFORMING","Reformer",""))))</f>
        <v/>
      </c>
      <c r="H6027" s="6" t="s">
        <v>568</v>
      </c>
      <c r="I6027" s="6" t="s">
        <v>604</v>
      </c>
      <c r="J6027" s="6" t="s">
        <v>349</v>
      </c>
      <c r="K6027" s="10">
        <v>4.41</v>
      </c>
      <c r="L6027" s="10">
        <v>7</v>
      </c>
      <c r="M6027" s="6" t="s">
        <v>375</v>
      </c>
    </row>
    <row r="6028" spans="1:13">
      <c r="A6028" s="6">
        <v>2025</v>
      </c>
      <c r="B6028" s="6">
        <v>6</v>
      </c>
      <c r="C6028" s="6" t="s">
        <v>64</v>
      </c>
      <c r="D6028" s="6" t="s">
        <v>326</v>
      </c>
      <c r="E6028" s="6" t="s">
        <v>385</v>
      </c>
      <c r="F6028" s="6" t="str">
        <f>IF($M6028="PADD I","PADD 1",IF($M6028="PADD II","PADD 2",IF($M6028="PADD III","PADD 3",IF($M6028="PADD IV","PADD 4",IF($M6028="PADD V","PADD 5","")))))</f>
        <v>PADD 5</v>
      </c>
      <c r="G6028" s="6">
        <f>IF(AND($H6028="ATMOS DISTILLATION",ISNUMBER(SEARCH("VPS",$I6028))=FALSE,LEFT($I6028,6)&lt;&gt;"VACUUM"),"CDU",IF($H6028="FLUID CAT CRACKING","FCC",IF(OR($H6028="HYDROCRACKING",$H6028="RESID_HYDROCRACKING"),"Hydrocracker",IF($H6028="REFORMING","Reformer",""))))</f>
        <v/>
      </c>
      <c r="H6028" s="6" t="s">
        <v>460</v>
      </c>
      <c r="I6028" s="6" t="s">
        <v>1288</v>
      </c>
      <c r="J6028" s="6" t="s">
        <v>345</v>
      </c>
      <c r="K6028" s="10">
        <v>4.2</v>
      </c>
      <c r="L6028" s="10">
        <v>4.2</v>
      </c>
      <c r="M6028" s="6" t="s">
        <v>386</v>
      </c>
    </row>
    <row r="6029" spans="1:13">
      <c r="A6029" s="6">
        <v>2025</v>
      </c>
      <c r="B6029" s="6">
        <v>6</v>
      </c>
      <c r="C6029" s="6" t="s">
        <v>64</v>
      </c>
      <c r="D6029" s="6" t="s">
        <v>40</v>
      </c>
      <c r="E6029" s="6" t="s">
        <v>736</v>
      </c>
      <c r="F6029" s="6" t="str">
        <f>IF($M6029="PADD I","PADD 1",IF($M6029="PADD II","PADD 2",IF($M6029="PADD III","PADD 3",IF($M6029="PADD IV","PADD 4",IF($M6029="PADD V","PADD 5","")))))</f>
        <v>PADD 1</v>
      </c>
      <c r="G6029" s="6" t="str">
        <f>IF(AND($H6029="ATMOS DISTILLATION",ISNUMBER(SEARCH("VPS",$I6029))=FALSE,LEFT($I6029,6)&lt;&gt;"VACUUM"),"CDU",IF($H6029="FLUID CAT CRACKING","FCC",IF(OR($H6029="HYDROCRACKING",$H6029="RESID_HYDROCRACKING"),"Hydrocracker",IF($H6029="REFORMING","Reformer",""))))</f>
        <v>Reformer</v>
      </c>
      <c r="H6029" s="6" t="s">
        <v>421</v>
      </c>
      <c r="I6029" s="6" t="s">
        <v>782</v>
      </c>
      <c r="J6029" s="6" t="s">
        <v>345</v>
      </c>
      <c r="K6029" s="10">
        <v>4.2</v>
      </c>
      <c r="L6029" s="10">
        <v>60</v>
      </c>
      <c r="M6029" s="6" t="s">
        <v>413</v>
      </c>
    </row>
    <row r="6030" spans="1:13">
      <c r="A6030" s="6">
        <v>2025</v>
      </c>
      <c r="B6030" s="6">
        <v>6</v>
      </c>
      <c r="C6030" s="6" t="s">
        <v>64</v>
      </c>
      <c r="D6030" s="6" t="s">
        <v>40</v>
      </c>
      <c r="E6030" s="6" t="s">
        <v>736</v>
      </c>
      <c r="F6030" s="6" t="str">
        <f>IF($M6030="PADD I","PADD 1",IF($M6030="PADD II","PADD 2",IF($M6030="PADD III","PADD 3",IF($M6030="PADD IV","PADD 4",IF($M6030="PADD V","PADD 5","")))))</f>
        <v>PADD 1</v>
      </c>
      <c r="G6030" s="6">
        <f>IF(AND($H6030="ATMOS DISTILLATION",ISNUMBER(SEARCH("VPS",$I6030))=FALSE,LEFT($I6030,6)&lt;&gt;"VACUUM"),"CDU",IF($H6030="FLUID CAT CRACKING","FCC",IF(OR($H6030="HYDROCRACKING",$H6030="RESID_HYDROCRACKING"),"Hydrocracker",IF($H6030="REFORMING","Reformer",""))))</f>
        <v/>
      </c>
      <c r="H6030" s="6" t="s">
        <v>43</v>
      </c>
      <c r="I6030" s="6" t="s">
        <v>493</v>
      </c>
      <c r="J6030" s="6" t="s">
        <v>345</v>
      </c>
      <c r="K6030" s="10">
        <v>4.2</v>
      </c>
      <c r="L6030" s="10">
        <v>60</v>
      </c>
      <c r="M6030" s="6" t="s">
        <v>413</v>
      </c>
    </row>
    <row r="6031" spans="1:13">
      <c r="A6031" s="6">
        <v>2025</v>
      </c>
      <c r="B6031" s="6">
        <v>6</v>
      </c>
      <c r="C6031" s="6" t="s">
        <v>64</v>
      </c>
      <c r="D6031" s="6" t="s">
        <v>51</v>
      </c>
      <c r="E6031" s="6" t="s">
        <v>391</v>
      </c>
      <c r="F6031" s="6" t="str">
        <f>IF($M6031="PADD I","PADD 1",IF($M6031="PADD II","PADD 2",IF($M6031="PADD III","PADD 3",IF($M6031="PADD IV","PADD 4",IF($M6031="PADD V","PADD 5","")))))</f>
        <v>PADD 5</v>
      </c>
      <c r="G6031" s="6" t="str">
        <f>IF(AND($H6031="ATMOS DISTILLATION",ISNUMBER(SEARCH("VPS",$I6031))=FALSE,LEFT($I6031,6)&lt;&gt;"VACUUM"),"CDU",IF($H6031="FLUID CAT CRACKING","FCC",IF(OR($H6031="HYDROCRACKING",$H6031="RESID_HYDROCRACKING"),"Hydrocracker",IF($H6031="REFORMING","Reformer",""))))</f>
        <v>Reformer</v>
      </c>
      <c r="H6031" s="6" t="s">
        <v>421</v>
      </c>
      <c r="I6031" s="6" t="s">
        <v>539</v>
      </c>
      <c r="J6031" s="6" t="s">
        <v>345</v>
      </c>
      <c r="K6031" s="10">
        <v>4.2</v>
      </c>
      <c r="L6031" s="10">
        <v>60</v>
      </c>
      <c r="M6031" s="6" t="s">
        <v>386</v>
      </c>
    </row>
    <row r="6032" spans="1:13">
      <c r="A6032" s="6">
        <v>2025</v>
      </c>
      <c r="B6032" s="6">
        <v>6</v>
      </c>
      <c r="C6032" s="6" t="s">
        <v>64</v>
      </c>
      <c r="D6032" s="6" t="s">
        <v>372</v>
      </c>
      <c r="E6032" s="6" t="s">
        <v>373</v>
      </c>
      <c r="F6032" s="6" t="str">
        <f>IF($M6032="PADD I","PADD 1",IF($M6032="PADD II","PADD 2",IF($M6032="PADD III","PADD 3",IF($M6032="PADD IV","PADD 4",IF($M6032="PADD V","PADD 5","")))))</f>
        <v>PADD 2</v>
      </c>
      <c r="G6032" s="6">
        <f>IF(AND($H6032="ATMOS DISTILLATION",ISNUMBER(SEARCH("VPS",$I6032))=FALSE,LEFT($I6032,6)&lt;&gt;"VACUUM"),"CDU",IF($H6032="FLUID CAT CRACKING","FCC",IF(OR($H6032="HYDROCRACKING",$H6032="RESID_HYDROCRACKING"),"Hydrocracker",IF($H6032="REFORMING","Reformer",""))))</f>
        <v/>
      </c>
      <c r="H6032" s="6" t="s">
        <v>435</v>
      </c>
      <c r="I6032" s="6" t="s">
        <v>584</v>
      </c>
      <c r="J6032" s="6" t="s">
        <v>345</v>
      </c>
      <c r="K6032" s="10">
        <v>3.975</v>
      </c>
      <c r="L6032" s="10">
        <v>7.5</v>
      </c>
      <c r="M6032" s="6" t="s">
        <v>375</v>
      </c>
    </row>
    <row r="6033" spans="1:13">
      <c r="A6033" s="6">
        <v>2025</v>
      </c>
      <c r="B6033" s="6">
        <v>6</v>
      </c>
      <c r="C6033" s="6" t="s">
        <v>64</v>
      </c>
      <c r="D6033" s="6" t="s">
        <v>739</v>
      </c>
      <c r="E6033" s="6" t="s">
        <v>405</v>
      </c>
      <c r="F6033" s="6" t="str">
        <f>IF($M6033="PADD I","PADD 1",IF($M6033="PADD II","PADD 2",IF($M6033="PADD III","PADD 3",IF($M6033="PADD IV","PADD 4",IF($M6033="PADD V","PADD 5","")))))</f>
        <v>PADD 2</v>
      </c>
      <c r="G6033" s="6">
        <f>IF(AND($H6033="ATMOS DISTILLATION",ISNUMBER(SEARCH("VPS",$I6033))=FALSE,LEFT($I6033,6)&lt;&gt;"VACUUM"),"CDU",IF($H6033="FLUID CAT CRACKING","FCC",IF(OR($H6033="HYDROCRACKING",$H6033="RESID_HYDROCRACKING"),"Hydrocracker",IF($H6033="REFORMING","Reformer",""))))</f>
        <v/>
      </c>
      <c r="H6033" s="6" t="s">
        <v>460</v>
      </c>
      <c r="I6033" s="6" t="s">
        <v>616</v>
      </c>
      <c r="J6033" s="6" t="s">
        <v>349</v>
      </c>
      <c r="K6033" s="10">
        <v>3.906</v>
      </c>
      <c r="L6033" s="10">
        <v>6.2</v>
      </c>
      <c r="M6033" s="6" t="s">
        <v>375</v>
      </c>
    </row>
    <row r="6034" spans="1:13">
      <c r="A6034" s="6">
        <v>2025</v>
      </c>
      <c r="B6034" s="6">
        <v>6</v>
      </c>
      <c r="C6034" s="6" t="s">
        <v>64</v>
      </c>
      <c r="D6034" s="6" t="s">
        <v>335</v>
      </c>
      <c r="E6034" s="6" t="s">
        <v>369</v>
      </c>
      <c r="F6034" s="6" t="str">
        <f>IF($M6034="PADD I","PADD 1",IF($M6034="PADD II","PADD 2",IF($M6034="PADD III","PADD 3",IF($M6034="PADD IV","PADD 4",IF($M6034="PADD V","PADD 5","")))))</f>
        <v>PADD 3</v>
      </c>
      <c r="G6034" s="6" t="str">
        <f>IF(AND($H6034="ATMOS DISTILLATION",ISNUMBER(SEARCH("VPS",$I6034))=FALSE,LEFT($I6034,6)&lt;&gt;"VACUUM"),"CDU",IF($H6034="FLUID CAT CRACKING","FCC",IF(OR($H6034="HYDROCRACKING",$H6034="RESID_HYDROCRACKING"),"Hydrocracker",IF($H6034="REFORMING","Reformer",""))))</f>
        <v>FCC</v>
      </c>
      <c r="H6034" s="6" t="s">
        <v>376</v>
      </c>
      <c r="I6034" s="6" t="s">
        <v>472</v>
      </c>
      <c r="J6034" s="6" t="s">
        <v>345</v>
      </c>
      <c r="K6034" s="10">
        <v>3.9</v>
      </c>
      <c r="L6034" s="10">
        <v>30</v>
      </c>
      <c r="M6034" s="6" t="s">
        <v>371</v>
      </c>
    </row>
    <row r="6035" spans="1:13">
      <c r="A6035" s="6">
        <v>2025</v>
      </c>
      <c r="B6035" s="6">
        <v>6</v>
      </c>
      <c r="C6035" s="6" t="s">
        <v>64</v>
      </c>
      <c r="D6035" s="6" t="s">
        <v>727</v>
      </c>
      <c r="E6035" s="6" t="s">
        <v>728</v>
      </c>
      <c r="F6035" s="6" t="str">
        <f>IF($M6035="PADD I","PADD 1",IF($M6035="PADD II","PADD 2",IF($M6035="PADD III","PADD 3",IF($M6035="PADD IV","PADD 4",IF($M6035="PADD V","PADD 5","")))))</f>
        <v>PADD 1</v>
      </c>
      <c r="G6035" s="6">
        <f>IF(AND($H6035="ATMOS DISTILLATION",ISNUMBER(SEARCH("VPS",$I6035))=FALSE,LEFT($I6035,6)&lt;&gt;"VACUUM"),"CDU",IF($H6035="FLUID CAT CRACKING","FCC",IF(OR($H6035="HYDROCRACKING",$H6035="RESID_HYDROCRACKING"),"Hydrocracker",IF($H6035="REFORMING","Reformer",""))))</f>
        <v/>
      </c>
      <c r="H6035" s="6" t="s">
        <v>568</v>
      </c>
      <c r="I6035" s="6" t="s">
        <v>713</v>
      </c>
      <c r="J6035" s="6" t="s">
        <v>349</v>
      </c>
      <c r="K6035" s="10">
        <v>3.85</v>
      </c>
      <c r="L6035" s="10">
        <v>5</v>
      </c>
      <c r="M6035" s="6" t="s">
        <v>413</v>
      </c>
    </row>
    <row r="6036" spans="1:13">
      <c r="A6036" s="6">
        <v>2025</v>
      </c>
      <c r="B6036" s="6">
        <v>6</v>
      </c>
      <c r="C6036" s="6" t="s">
        <v>64</v>
      </c>
      <c r="D6036" s="6" t="s">
        <v>788</v>
      </c>
      <c r="E6036" s="6" t="s">
        <v>405</v>
      </c>
      <c r="F6036" s="6" t="str">
        <f>IF($M6036="PADD I","PADD 1",IF($M6036="PADD II","PADD 2",IF($M6036="PADD III","PADD 3",IF($M6036="PADD IV","PADD 4",IF($M6036="PADD V","PADD 5","")))))</f>
        <v>PADD 3</v>
      </c>
      <c r="G6036" s="6" t="str">
        <f>IF(AND($H6036="ATMOS DISTILLATION",ISNUMBER(SEARCH("VPS",$I6036))=FALSE,LEFT($I6036,6)&lt;&gt;"VACUUM"),"CDU",IF($H6036="FLUID CAT CRACKING","FCC",IF(OR($H6036="HYDROCRACKING",$H6036="RESID_HYDROCRACKING"),"Hydrocracker",IF($H6036="REFORMING","Reformer",""))))</f>
        <v>CDU</v>
      </c>
      <c r="H6036" s="6" t="s">
        <v>38</v>
      </c>
      <c r="I6036" s="6" t="s">
        <v>135</v>
      </c>
      <c r="J6036" s="6" t="s">
        <v>345</v>
      </c>
      <c r="K6036" s="10">
        <v>3.84</v>
      </c>
      <c r="L6036" s="10">
        <v>128</v>
      </c>
      <c r="M6036" s="6" t="s">
        <v>371</v>
      </c>
    </row>
    <row r="6037" spans="1:13">
      <c r="A6037" s="6">
        <v>2025</v>
      </c>
      <c r="B6037" s="6">
        <v>6</v>
      </c>
      <c r="C6037" s="6" t="s">
        <v>64</v>
      </c>
      <c r="D6037" s="6" t="s">
        <v>1315</v>
      </c>
      <c r="E6037" s="6" t="s">
        <v>1316</v>
      </c>
      <c r="F6037" s="6" t="str">
        <f>IF($M6037="PADD I","PADD 1",IF($M6037="PADD II","PADD 2",IF($M6037="PADD III","PADD 3",IF($M6037="PADD IV","PADD 4",IF($M6037="PADD V","PADD 5","")))))</f>
        <v>PADD 1</v>
      </c>
      <c r="G6037" s="6">
        <f>IF(AND($H6037="ATMOS DISTILLATION",ISNUMBER(SEARCH("VPS",$I6037))=FALSE,LEFT($I6037,6)&lt;&gt;"VACUUM"),"CDU",IF($H6037="FLUID CAT CRACKING","FCC",IF(OR($H6037="HYDROCRACKING",$H6037="RESID_HYDROCRACKING"),"Hydrocracker",IF($H6037="REFORMING","Reformer",""))))</f>
        <v/>
      </c>
      <c r="H6037" s="6" t="s">
        <v>43</v>
      </c>
      <c r="I6037" s="6" t="s">
        <v>759</v>
      </c>
      <c r="J6037" s="6" t="s">
        <v>349</v>
      </c>
      <c r="K6037" s="10">
        <v>3.783</v>
      </c>
      <c r="L6037" s="10">
        <v>3.9</v>
      </c>
      <c r="M6037" s="6" t="s">
        <v>413</v>
      </c>
    </row>
    <row r="6038" spans="1:13">
      <c r="A6038" s="6">
        <v>2025</v>
      </c>
      <c r="B6038" s="6">
        <v>6</v>
      </c>
      <c r="C6038" s="6" t="s">
        <v>64</v>
      </c>
      <c r="D6038" s="6" t="s">
        <v>411</v>
      </c>
      <c r="E6038" s="6" t="s">
        <v>369</v>
      </c>
      <c r="F6038" s="6" t="str">
        <f>IF($M6038="PADD I","PADD 1",IF($M6038="PADD II","PADD 2",IF($M6038="PADD III","PADD 3",IF($M6038="PADD IV","PADD 4",IF($M6038="PADD V","PADD 5","")))))</f>
        <v>PADD 1</v>
      </c>
      <c r="G6038" s="6">
        <f>IF(AND($H6038="ATMOS DISTILLATION",ISNUMBER(SEARCH("VPS",$I6038))=FALSE,LEFT($I6038,6)&lt;&gt;"VACUUM"),"CDU",IF($H6038="FLUID CAT CRACKING","FCC",IF(OR($H6038="HYDROCRACKING",$H6038="RESID_HYDROCRACKING"),"Hydrocracker",IF($H6038="REFORMING","Reformer",""))))</f>
        <v/>
      </c>
      <c r="H6038" s="6" t="s">
        <v>43</v>
      </c>
      <c r="I6038" s="6" t="s">
        <v>458</v>
      </c>
      <c r="J6038" s="6" t="s">
        <v>345</v>
      </c>
      <c r="K6038" s="10">
        <v>3.6125</v>
      </c>
      <c r="L6038" s="10">
        <v>21.25</v>
      </c>
      <c r="M6038" s="6" t="s">
        <v>413</v>
      </c>
    </row>
    <row r="6039" spans="1:13">
      <c r="A6039" s="6">
        <v>2025</v>
      </c>
      <c r="B6039" s="6">
        <v>6</v>
      </c>
      <c r="C6039" s="6" t="s">
        <v>64</v>
      </c>
      <c r="D6039" s="6" t="s">
        <v>727</v>
      </c>
      <c r="E6039" s="6" t="s">
        <v>728</v>
      </c>
      <c r="F6039" s="6" t="str">
        <f>IF($M6039="PADD I","PADD 1",IF($M6039="PADD II","PADD 2",IF($M6039="PADD III","PADD 3",IF($M6039="PADD IV","PADD 4",IF($M6039="PADD V","PADD 5","")))))</f>
        <v>PADD 1</v>
      </c>
      <c r="G6039" s="6">
        <f>IF(AND($H6039="ATMOS DISTILLATION",ISNUMBER(SEARCH("VPS",$I6039))=FALSE,LEFT($I6039,6)&lt;&gt;"VACUUM"),"CDU",IF($H6039="FLUID CAT CRACKING","FCC",IF(OR($H6039="HYDROCRACKING",$H6039="RESID_HYDROCRACKING"),"Hydrocracker",IF($H6039="REFORMING","Reformer",""))))</f>
        <v/>
      </c>
      <c r="H6039" s="6" t="s">
        <v>43</v>
      </c>
      <c r="I6039" s="6" t="s">
        <v>752</v>
      </c>
      <c r="J6039" s="6" t="s">
        <v>349</v>
      </c>
      <c r="K6039" s="10">
        <v>3.542</v>
      </c>
      <c r="L6039" s="10">
        <v>4.6</v>
      </c>
      <c r="M6039" s="6" t="s">
        <v>413</v>
      </c>
    </row>
    <row r="6040" spans="1:13">
      <c r="A6040" s="6">
        <v>2025</v>
      </c>
      <c r="B6040" s="6">
        <v>6</v>
      </c>
      <c r="C6040" s="6" t="s">
        <v>64</v>
      </c>
      <c r="D6040" s="6" t="s">
        <v>727</v>
      </c>
      <c r="E6040" s="6" t="s">
        <v>728</v>
      </c>
      <c r="F6040" s="6" t="str">
        <f>IF($M6040="PADD I","PADD 1",IF($M6040="PADD II","PADD 2",IF($M6040="PADD III","PADD 3",IF($M6040="PADD IV","PADD 4",IF($M6040="PADD V","PADD 5","")))))</f>
        <v>PADD 1</v>
      </c>
      <c r="G6040" s="6">
        <f>IF(AND($H6040="ATMOS DISTILLATION",ISNUMBER(SEARCH("VPS",$I6040))=FALSE,LEFT($I6040,6)&lt;&gt;"VACUUM"),"CDU",IF($H6040="FLUID CAT CRACKING","FCC",IF(OR($H6040="HYDROCRACKING",$H6040="RESID_HYDROCRACKING"),"Hydrocracker",IF($H6040="REFORMING","Reformer",""))))</f>
        <v/>
      </c>
      <c r="H6040" s="6" t="s">
        <v>637</v>
      </c>
      <c r="I6040" s="6" t="s">
        <v>1300</v>
      </c>
      <c r="J6040" s="6" t="s">
        <v>349</v>
      </c>
      <c r="K6040" s="10">
        <v>3.465</v>
      </c>
      <c r="L6040" s="10">
        <v>4.5</v>
      </c>
      <c r="M6040" s="6" t="s">
        <v>413</v>
      </c>
    </row>
    <row r="6041" spans="1:13">
      <c r="A6041" s="6">
        <v>2025</v>
      </c>
      <c r="B6041" s="6">
        <v>6</v>
      </c>
      <c r="C6041" s="6" t="s">
        <v>64</v>
      </c>
      <c r="D6041" s="6" t="s">
        <v>727</v>
      </c>
      <c r="E6041" s="6" t="s">
        <v>728</v>
      </c>
      <c r="F6041" s="6" t="str">
        <f>IF($M6041="PADD I","PADD 1",IF($M6041="PADD II","PADD 2",IF($M6041="PADD III","PADD 3",IF($M6041="PADD IV","PADD 4",IF($M6041="PADD V","PADD 5","")))))</f>
        <v>PADD 1</v>
      </c>
      <c r="G6041" s="6">
        <f>IF(AND($H6041="ATMOS DISTILLATION",ISNUMBER(SEARCH("VPS",$I6041))=FALSE,LEFT($I6041,6)&lt;&gt;"VACUUM"),"CDU",IF($H6041="FLUID CAT CRACKING","FCC",IF(OR($H6041="HYDROCRACKING",$H6041="RESID_HYDROCRACKING"),"Hydrocracker",IF($H6041="REFORMING","Reformer",""))))</f>
        <v/>
      </c>
      <c r="H6041" s="6" t="s">
        <v>637</v>
      </c>
      <c r="I6041" s="6" t="s">
        <v>1301</v>
      </c>
      <c r="J6041" s="6" t="s">
        <v>349</v>
      </c>
      <c r="K6041" s="10">
        <v>3.465</v>
      </c>
      <c r="L6041" s="10">
        <v>4.5</v>
      </c>
      <c r="M6041" s="6" t="s">
        <v>413</v>
      </c>
    </row>
    <row r="6042" spans="1:13">
      <c r="A6042" s="6">
        <v>2025</v>
      </c>
      <c r="B6042" s="6">
        <v>6</v>
      </c>
      <c r="C6042" s="6" t="s">
        <v>64</v>
      </c>
      <c r="D6042" s="6" t="s">
        <v>727</v>
      </c>
      <c r="E6042" s="6" t="s">
        <v>728</v>
      </c>
      <c r="F6042" s="6" t="str">
        <f>IF($M6042="PADD I","PADD 1",IF($M6042="PADD II","PADD 2",IF($M6042="PADD III","PADD 3",IF($M6042="PADD IV","PADD 4",IF($M6042="PADD V","PADD 5","")))))</f>
        <v>PADD 1</v>
      </c>
      <c r="G6042" s="6" t="str">
        <f>IF(AND($H6042="ATMOS DISTILLATION",ISNUMBER(SEARCH("VPS",$I6042))=FALSE,LEFT($I6042,6)&lt;&gt;"VACUUM"),"CDU",IF($H6042="FLUID CAT CRACKING","FCC",IF(OR($H6042="HYDROCRACKING",$H6042="RESID_HYDROCRACKING"),"Hydrocracker",IF($H6042="REFORMING","Reformer",""))))</f>
        <v>Hydrocracker</v>
      </c>
      <c r="H6042" s="6" t="s">
        <v>444</v>
      </c>
      <c r="I6042" s="6" t="s">
        <v>753</v>
      </c>
      <c r="J6042" s="6" t="s">
        <v>349</v>
      </c>
      <c r="K6042" s="10">
        <v>3.311</v>
      </c>
      <c r="L6042" s="10">
        <v>4.3</v>
      </c>
      <c r="M6042" s="6" t="s">
        <v>413</v>
      </c>
    </row>
    <row r="6043" spans="1:13">
      <c r="A6043" s="6">
        <v>2025</v>
      </c>
      <c r="B6043" s="6">
        <v>6</v>
      </c>
      <c r="C6043" s="6" t="s">
        <v>64</v>
      </c>
      <c r="D6043" s="6" t="s">
        <v>51</v>
      </c>
      <c r="E6043" s="6" t="s">
        <v>391</v>
      </c>
      <c r="F6043" s="6" t="str">
        <f>IF($M6043="PADD I","PADD 1",IF($M6043="PADD II","PADD 2",IF($M6043="PADD III","PADD 3",IF($M6043="PADD IV","PADD 4",IF($M6043="PADD V","PADD 5","")))))</f>
        <v>PADD 5</v>
      </c>
      <c r="G6043" s="6">
        <f>IF(AND($H6043="ATMOS DISTILLATION",ISNUMBER(SEARCH("VPS",$I6043))=FALSE,LEFT($I6043,6)&lt;&gt;"VACUUM"),"CDU",IF($H6043="FLUID CAT CRACKING","FCC",IF(OR($H6043="HYDROCRACKING",$H6043="RESID_HYDROCRACKING"),"Hydrocracker",IF($H6043="REFORMING","Reformer",""))))</f>
        <v/>
      </c>
      <c r="H6043" s="6" t="s">
        <v>460</v>
      </c>
      <c r="I6043" s="6" t="s">
        <v>461</v>
      </c>
      <c r="J6043" s="6" t="s">
        <v>345</v>
      </c>
      <c r="K6043" s="10">
        <v>3.3</v>
      </c>
      <c r="L6043" s="10">
        <v>33</v>
      </c>
      <c r="M6043" s="6" t="s">
        <v>386</v>
      </c>
    </row>
    <row r="6044" spans="1:13">
      <c r="A6044" s="6">
        <v>2025</v>
      </c>
      <c r="B6044" s="6">
        <v>6</v>
      </c>
      <c r="C6044" s="6" t="s">
        <v>64</v>
      </c>
      <c r="D6044" s="6" t="s">
        <v>411</v>
      </c>
      <c r="E6044" s="6" t="s">
        <v>369</v>
      </c>
      <c r="F6044" s="6" t="str">
        <f>IF($M6044="PADD I","PADD 1",IF($M6044="PADD II","PADD 2",IF($M6044="PADD III","PADD 3",IF($M6044="PADD IV","PADD 4",IF($M6044="PADD V","PADD 5","")))))</f>
        <v>PADD 1</v>
      </c>
      <c r="G6044" s="6">
        <f>IF(AND($H6044="ATMOS DISTILLATION",ISNUMBER(SEARCH("VPS",$I6044))=FALSE,LEFT($I6044,6)&lt;&gt;"VACUUM"),"CDU",IF($H6044="FLUID CAT CRACKING","FCC",IF(OR($H6044="HYDROCRACKING",$H6044="RESID_HYDROCRACKING"),"Hydrocracker",IF($H6044="REFORMING","Reformer",""))))</f>
        <v/>
      </c>
      <c r="H6044" s="6" t="s">
        <v>378</v>
      </c>
      <c r="I6044" s="6" t="s">
        <v>431</v>
      </c>
      <c r="J6044" s="6" t="s">
        <v>345</v>
      </c>
      <c r="K6044" s="10">
        <v>3.1875</v>
      </c>
      <c r="L6044" s="10">
        <v>18.75</v>
      </c>
      <c r="M6044" s="6" t="s">
        <v>413</v>
      </c>
    </row>
    <row r="6045" spans="1:13">
      <c r="A6045" s="6">
        <v>2025</v>
      </c>
      <c r="B6045" s="6">
        <v>6</v>
      </c>
      <c r="C6045" s="6" t="s">
        <v>64</v>
      </c>
      <c r="D6045" s="6" t="s">
        <v>346</v>
      </c>
      <c r="E6045" s="6" t="s">
        <v>383</v>
      </c>
      <c r="F6045" s="6" t="str">
        <f>IF($M6045="PADD I","PADD 1",IF($M6045="PADD II","PADD 2",IF($M6045="PADD III","PADD 3",IF($M6045="PADD IV","PADD 4",IF($M6045="PADD V","PADD 5","")))))</f>
        <v>PADD 2</v>
      </c>
      <c r="G6045" s="6" t="str">
        <f>IF(AND($H6045="ATMOS DISTILLATION",ISNUMBER(SEARCH("VPS",$I6045))=FALSE,LEFT($I6045,6)&lt;&gt;"VACUUM"),"CDU",IF($H6045="FLUID CAT CRACKING","FCC",IF(OR($H6045="HYDROCRACKING",$H6045="RESID_HYDROCRACKING"),"Hydrocracker",IF($H6045="REFORMING","Reformer",""))))</f>
        <v>Reformer</v>
      </c>
      <c r="H6045" s="6" t="s">
        <v>421</v>
      </c>
      <c r="I6045" s="6" t="s">
        <v>471</v>
      </c>
      <c r="J6045" s="6" t="s">
        <v>345</v>
      </c>
      <c r="K6045" s="10">
        <v>3</v>
      </c>
      <c r="L6045" s="10">
        <v>30</v>
      </c>
      <c r="M6045" s="6" t="s">
        <v>375</v>
      </c>
    </row>
    <row r="6046" spans="1:13">
      <c r="A6046" s="6">
        <v>2025</v>
      </c>
      <c r="B6046" s="6">
        <v>6</v>
      </c>
      <c r="C6046" s="6" t="s">
        <v>64</v>
      </c>
      <c r="D6046" s="6" t="s">
        <v>451</v>
      </c>
      <c r="E6046" s="6" t="s">
        <v>452</v>
      </c>
      <c r="F6046" s="6" t="str">
        <f>IF($M6046="PADD I","PADD 1",IF($M6046="PADD II","PADD 2",IF($M6046="PADD III","PADD 3",IF($M6046="PADD IV","PADD 4",IF($M6046="PADD V","PADD 5","")))))</f>
        <v>PADD 2</v>
      </c>
      <c r="G6046" s="6" t="str">
        <f>IF(AND($H6046="ATMOS DISTILLATION",ISNUMBER(SEARCH("VPS",$I6046))=FALSE,LEFT($I6046,6)&lt;&gt;"VACUUM"),"CDU",IF($H6046="FLUID CAT CRACKING","FCC",IF(OR($H6046="HYDROCRACKING",$H6046="RESID_HYDROCRACKING"),"Hydrocracker",IF($H6046="REFORMING","Reformer",""))))</f>
        <v>CDU</v>
      </c>
      <c r="H6046" s="6" t="s">
        <v>38</v>
      </c>
      <c r="I6046" s="6" t="s">
        <v>481</v>
      </c>
      <c r="J6046" s="6" t="s">
        <v>345</v>
      </c>
      <c r="K6046" s="10">
        <v>2.8</v>
      </c>
      <c r="L6046" s="10">
        <v>40</v>
      </c>
      <c r="M6046" s="6" t="s">
        <v>375</v>
      </c>
    </row>
    <row r="6047" spans="1:13">
      <c r="A6047" s="6">
        <v>2025</v>
      </c>
      <c r="B6047" s="6">
        <v>6</v>
      </c>
      <c r="C6047" s="6" t="s">
        <v>64</v>
      </c>
      <c r="D6047" s="6" t="s">
        <v>408</v>
      </c>
      <c r="E6047" s="6" t="s">
        <v>409</v>
      </c>
      <c r="F6047" s="6" t="str">
        <f>IF($M6047="PADD I","PADD 1",IF($M6047="PADD II","PADD 2",IF($M6047="PADD III","PADD 3",IF($M6047="PADD IV","PADD 4",IF($M6047="PADD V","PADD 5","")))))</f>
        <v>PADD 3</v>
      </c>
      <c r="G6047" s="6" t="str">
        <f>IF(AND($H6047="ATMOS DISTILLATION",ISNUMBER(SEARCH("VPS",$I6047))=FALSE,LEFT($I6047,6)&lt;&gt;"VACUUM"),"CDU",IF($H6047="FLUID CAT CRACKING","FCC",IF(OR($H6047="HYDROCRACKING",$H6047="RESID_HYDROCRACKING"),"Hydrocracker",IF($H6047="REFORMING","Reformer",""))))</f>
        <v>Reformer</v>
      </c>
      <c r="H6047" s="6" t="s">
        <v>421</v>
      </c>
      <c r="I6047" s="6" t="s">
        <v>533</v>
      </c>
      <c r="J6047" s="6" t="s">
        <v>345</v>
      </c>
      <c r="K6047" s="10">
        <v>2.772</v>
      </c>
      <c r="L6047" s="10">
        <v>39.6</v>
      </c>
      <c r="M6047" s="6" t="s">
        <v>371</v>
      </c>
    </row>
    <row r="6048" spans="1:13">
      <c r="A6048" s="6">
        <v>2025</v>
      </c>
      <c r="B6048" s="6">
        <v>6</v>
      </c>
      <c r="C6048" s="6" t="s">
        <v>64</v>
      </c>
      <c r="D6048" s="6" t="s">
        <v>408</v>
      </c>
      <c r="E6048" s="6" t="s">
        <v>409</v>
      </c>
      <c r="F6048" s="6" t="str">
        <f>IF($M6048="PADD I","PADD 1",IF($M6048="PADD II","PADD 2",IF($M6048="PADD III","PADD 3",IF($M6048="PADD IV","PADD 4",IF($M6048="PADD V","PADD 5","")))))</f>
        <v>PADD 3</v>
      </c>
      <c r="G6048" s="6" t="str">
        <f>IF(AND($H6048="ATMOS DISTILLATION",ISNUMBER(SEARCH("VPS",$I6048))=FALSE,LEFT($I6048,6)&lt;&gt;"VACUUM"),"CDU",IF($H6048="FLUID CAT CRACKING","FCC",IF(OR($H6048="HYDROCRACKING",$H6048="RESID_HYDROCRACKING"),"Hydrocracker",IF($H6048="REFORMING","Reformer",""))))</f>
        <v>Reformer</v>
      </c>
      <c r="H6048" s="6" t="s">
        <v>421</v>
      </c>
      <c r="I6048" s="6" t="s">
        <v>533</v>
      </c>
      <c r="J6048" s="6" t="s">
        <v>345</v>
      </c>
      <c r="K6048" s="10">
        <v>2.772</v>
      </c>
      <c r="L6048" s="10">
        <v>39.6</v>
      </c>
      <c r="M6048" s="6" t="s">
        <v>371</v>
      </c>
    </row>
    <row r="6049" spans="1:13">
      <c r="A6049" s="6">
        <v>2025</v>
      </c>
      <c r="B6049" s="6">
        <v>6</v>
      </c>
      <c r="C6049" s="6" t="s">
        <v>64</v>
      </c>
      <c r="D6049" s="6" t="s">
        <v>727</v>
      </c>
      <c r="E6049" s="6" t="s">
        <v>728</v>
      </c>
      <c r="F6049" s="6" t="str">
        <f>IF($M6049="PADD I","PADD 1",IF($M6049="PADD II","PADD 2",IF($M6049="PADD III","PADD 3",IF($M6049="PADD IV","PADD 4",IF($M6049="PADD V","PADD 5","")))))</f>
        <v>PADD 1</v>
      </c>
      <c r="G6049" s="6" t="str">
        <f>IF(AND($H6049="ATMOS DISTILLATION",ISNUMBER(SEARCH("VPS",$I6049))=FALSE,LEFT($I6049,6)&lt;&gt;"VACUUM"),"CDU",IF($H6049="FLUID CAT CRACKING","FCC",IF(OR($H6049="HYDROCRACKING",$H6049="RESID_HYDROCRACKING"),"Hydrocracker",IF($H6049="REFORMING","Reformer",""))))</f>
        <v>Reformer</v>
      </c>
      <c r="H6049" s="6" t="s">
        <v>421</v>
      </c>
      <c r="I6049" s="6" t="s">
        <v>571</v>
      </c>
      <c r="J6049" s="6" t="s">
        <v>349</v>
      </c>
      <c r="K6049" s="10">
        <v>2.772</v>
      </c>
      <c r="L6049" s="10">
        <v>3.6</v>
      </c>
      <c r="M6049" s="6" t="s">
        <v>413</v>
      </c>
    </row>
    <row r="6050" spans="1:13">
      <c r="A6050" s="6">
        <v>2025</v>
      </c>
      <c r="B6050" s="6">
        <v>6</v>
      </c>
      <c r="C6050" s="6" t="s">
        <v>64</v>
      </c>
      <c r="D6050" s="6" t="s">
        <v>547</v>
      </c>
      <c r="E6050" s="6" t="s">
        <v>391</v>
      </c>
      <c r="F6050" s="6" t="str">
        <f>IF($M6050="PADD I","PADD 1",IF($M6050="PADD II","PADD 2",IF($M6050="PADD III","PADD 3",IF($M6050="PADD IV","PADD 4",IF($M6050="PADD V","PADD 5","")))))</f>
        <v>PADD 5</v>
      </c>
      <c r="G6050" s="6" t="str">
        <f>IF(AND($H6050="ATMOS DISTILLATION",ISNUMBER(SEARCH("VPS",$I6050))=FALSE,LEFT($I6050,6)&lt;&gt;"VACUUM"),"CDU",IF($H6050="FLUID CAT CRACKING","FCC",IF(OR($H6050="HYDROCRACKING",$H6050="RESID_HYDROCRACKING"),"Hydrocracker",IF($H6050="REFORMING","Reformer",""))))</f>
        <v>FCC</v>
      </c>
      <c r="H6050" s="6" t="s">
        <v>376</v>
      </c>
      <c r="I6050" s="6" t="s">
        <v>105</v>
      </c>
      <c r="J6050" s="6" t="s">
        <v>345</v>
      </c>
      <c r="K6050" s="10">
        <v>2.7</v>
      </c>
      <c r="L6050" s="10">
        <v>90</v>
      </c>
      <c r="M6050" s="6" t="s">
        <v>386</v>
      </c>
    </row>
    <row r="6051" spans="1:13">
      <c r="A6051" s="6">
        <v>2025</v>
      </c>
      <c r="B6051" s="6">
        <v>6</v>
      </c>
      <c r="C6051" s="6" t="s">
        <v>64</v>
      </c>
      <c r="D6051" s="6" t="s">
        <v>437</v>
      </c>
      <c r="E6051" s="6" t="s">
        <v>438</v>
      </c>
      <c r="F6051" s="6" t="str">
        <f>IF($M6051="PADD I","PADD 1",IF($M6051="PADD II","PADD 2",IF($M6051="PADD III","PADD 3",IF($M6051="PADD IV","PADD 4",IF($M6051="PADD V","PADD 5","")))))</f>
        <v>PADD 4</v>
      </c>
      <c r="G6051" s="6" t="str">
        <f>IF(AND($H6051="ATMOS DISTILLATION",ISNUMBER(SEARCH("VPS",$I6051))=FALSE,LEFT($I6051,6)&lt;&gt;"VACUUM"),"CDU",IF($H6051="FLUID CAT CRACKING","FCC",IF(OR($H6051="HYDROCRACKING",$H6051="RESID_HYDROCRACKING"),"Hydrocracker",IF($H6051="REFORMING","Reformer",""))))</f>
        <v>FCC</v>
      </c>
      <c r="H6051" s="6" t="s">
        <v>376</v>
      </c>
      <c r="I6051" s="6" t="s">
        <v>428</v>
      </c>
      <c r="J6051" s="6" t="s">
        <v>345</v>
      </c>
      <c r="K6051" s="10">
        <v>2.511</v>
      </c>
      <c r="L6051" s="10">
        <v>9.300000000000001</v>
      </c>
      <c r="M6051" s="6" t="s">
        <v>430</v>
      </c>
    </row>
    <row r="6052" spans="1:13">
      <c r="A6052" s="6">
        <v>2025</v>
      </c>
      <c r="B6052" s="6">
        <v>6</v>
      </c>
      <c r="C6052" s="6" t="s">
        <v>64</v>
      </c>
      <c r="D6052" s="6" t="s">
        <v>40</v>
      </c>
      <c r="E6052" s="6" t="s">
        <v>736</v>
      </c>
      <c r="F6052" s="6" t="str">
        <f>IF($M6052="PADD I","PADD 1",IF($M6052="PADD II","PADD 2",IF($M6052="PADD III","PADD 3",IF($M6052="PADD IV","PADD 4",IF($M6052="PADD V","PADD 5","")))))</f>
        <v>PADD 1</v>
      </c>
      <c r="G6052" s="6" t="str">
        <f>IF(AND($H6052="ATMOS DISTILLATION",ISNUMBER(SEARCH("VPS",$I6052))=FALSE,LEFT($I6052,6)&lt;&gt;"VACUUM"),"CDU",IF($H6052="FLUID CAT CRACKING","FCC",IF(OR($H6052="HYDROCRACKING",$H6052="RESID_HYDROCRACKING"),"Hydrocracker",IF($H6052="REFORMING","Reformer",""))))</f>
        <v>Hydrocracker</v>
      </c>
      <c r="H6052" s="6" t="s">
        <v>444</v>
      </c>
      <c r="I6052" s="6" t="s">
        <v>445</v>
      </c>
      <c r="J6052" s="6" t="s">
        <v>345</v>
      </c>
      <c r="K6052" s="10">
        <v>2.4</v>
      </c>
      <c r="L6052" s="10">
        <v>24</v>
      </c>
      <c r="M6052" s="6" t="s">
        <v>413</v>
      </c>
    </row>
    <row r="6053" spans="1:13">
      <c r="A6053" s="6">
        <v>2025</v>
      </c>
      <c r="B6053" s="6">
        <v>6</v>
      </c>
      <c r="C6053" s="6" t="s">
        <v>64</v>
      </c>
      <c r="D6053" s="6" t="s">
        <v>411</v>
      </c>
      <c r="E6053" s="6" t="s">
        <v>369</v>
      </c>
      <c r="F6053" s="6" t="str">
        <f>IF($M6053="PADD I","PADD 1",IF($M6053="PADD II","PADD 2",IF($M6053="PADD III","PADD 3",IF($M6053="PADD IV","PADD 4",IF($M6053="PADD V","PADD 5","")))))</f>
        <v>PADD 1</v>
      </c>
      <c r="G6053" s="6">
        <f>IF(AND($H6053="ATMOS DISTILLATION",ISNUMBER(SEARCH("VPS",$I6053))=FALSE,LEFT($I6053,6)&lt;&gt;"VACUUM"),"CDU",IF($H6053="FLUID CAT CRACKING","FCC",IF(OR($H6053="HYDROCRACKING",$H6053="RESID_HYDROCRACKING"),"Hydrocracker",IF($H6053="REFORMING","Reformer",""))))</f>
        <v/>
      </c>
      <c r="H6053" s="6" t="s">
        <v>43</v>
      </c>
      <c r="I6053" s="6" t="s">
        <v>488</v>
      </c>
      <c r="J6053" s="6" t="s">
        <v>345</v>
      </c>
      <c r="K6053" s="10">
        <v>2.295</v>
      </c>
      <c r="L6053" s="10">
        <v>13.5</v>
      </c>
      <c r="M6053" s="6" t="s">
        <v>413</v>
      </c>
    </row>
    <row r="6054" spans="1:13">
      <c r="A6054" s="6">
        <v>2025</v>
      </c>
      <c r="B6054" s="6">
        <v>6</v>
      </c>
      <c r="C6054" s="6" t="s">
        <v>64</v>
      </c>
      <c r="D6054" s="6" t="s">
        <v>851</v>
      </c>
      <c r="E6054" s="6" t="s">
        <v>852</v>
      </c>
      <c r="F6054" s="6" t="str">
        <f>IF($M6054="PADD I","PADD 1",IF($M6054="PADD II","PADD 2",IF($M6054="PADD III","PADD 3",IF($M6054="PADD IV","PADD 4",IF($M6054="PADD V","PADD 5","")))))</f>
        <v>PADD 3</v>
      </c>
      <c r="G6054" s="6" t="str">
        <f>IF(AND($H6054="ATMOS DISTILLATION",ISNUMBER(SEARCH("VPS",$I6054))=FALSE,LEFT($I6054,6)&lt;&gt;"VACUUM"),"CDU",IF($H6054="FLUID CAT CRACKING","FCC",IF(OR($H6054="HYDROCRACKING",$H6054="RESID_HYDROCRACKING"),"Hydrocracker",IF($H6054="REFORMING","Reformer",""))))</f>
        <v>CDU</v>
      </c>
      <c r="H6054" s="6" t="s">
        <v>38</v>
      </c>
      <c r="I6054" s="6" t="s">
        <v>854</v>
      </c>
      <c r="J6054" s="6" t="s">
        <v>345</v>
      </c>
      <c r="K6054" s="10">
        <v>2.19</v>
      </c>
      <c r="L6054" s="10">
        <v>73</v>
      </c>
      <c r="M6054" s="6" t="s">
        <v>371</v>
      </c>
    </row>
    <row r="6055" spans="1:13">
      <c r="A6055" s="6">
        <v>2025</v>
      </c>
      <c r="B6055" s="6">
        <v>6</v>
      </c>
      <c r="C6055" s="6" t="s">
        <v>64</v>
      </c>
      <c r="D6055" s="6" t="s">
        <v>1315</v>
      </c>
      <c r="E6055" s="6" t="s">
        <v>1316</v>
      </c>
      <c r="F6055" s="6" t="str">
        <f>IF($M6055="PADD I","PADD 1",IF($M6055="PADD II","PADD 2",IF($M6055="PADD III","PADD 3",IF($M6055="PADD IV","PADD 4",IF($M6055="PADD V","PADD 5","")))))</f>
        <v>PADD 1</v>
      </c>
      <c r="G6055" s="6" t="str">
        <f>IF(AND($H6055="ATMOS DISTILLATION",ISNUMBER(SEARCH("VPS",$I6055))=FALSE,LEFT($I6055,6)&lt;&gt;"VACUUM"),"CDU",IF($H6055="FLUID CAT CRACKING","FCC",IF(OR($H6055="HYDROCRACKING",$H6055="RESID_HYDROCRACKING"),"Hydrocracker",IF($H6055="REFORMING","Reformer",""))))</f>
        <v>Reformer</v>
      </c>
      <c r="H6055" s="6" t="s">
        <v>421</v>
      </c>
      <c r="I6055" s="6" t="s">
        <v>571</v>
      </c>
      <c r="J6055" s="6" t="s">
        <v>349</v>
      </c>
      <c r="K6055" s="10">
        <v>2.134</v>
      </c>
      <c r="L6055" s="10">
        <v>2.2</v>
      </c>
      <c r="M6055" s="6" t="s">
        <v>413</v>
      </c>
    </row>
    <row r="6056" spans="1:13">
      <c r="A6056" s="6">
        <v>2025</v>
      </c>
      <c r="B6056" s="6">
        <v>6</v>
      </c>
      <c r="C6056" s="6" t="s">
        <v>64</v>
      </c>
      <c r="D6056" s="6" t="s">
        <v>722</v>
      </c>
      <c r="E6056" s="6" t="s">
        <v>452</v>
      </c>
      <c r="F6056" s="6" t="str">
        <f>IF($M6056="PADD I","PADD 1",IF($M6056="PADD II","PADD 2",IF($M6056="PADD III","PADD 3",IF($M6056="PADD IV","PADD 4",IF($M6056="PADD V","PADD 5","")))))</f>
        <v>PADD 4</v>
      </c>
      <c r="G6056" s="6" t="str">
        <f>IF(AND($H6056="ATMOS DISTILLATION",ISNUMBER(SEARCH("VPS",$I6056))=FALSE,LEFT($I6056,6)&lt;&gt;"VACUUM"),"CDU",IF($H6056="FLUID CAT CRACKING","FCC",IF(OR($H6056="HYDROCRACKING",$H6056="RESID_HYDROCRACKING"),"Hydrocracker",IF($H6056="REFORMING","Reformer",""))))</f>
        <v>FCC</v>
      </c>
      <c r="H6056" s="6" t="s">
        <v>376</v>
      </c>
      <c r="I6056" s="6" t="s">
        <v>1106</v>
      </c>
      <c r="J6056" s="6" t="s">
        <v>349</v>
      </c>
      <c r="K6056" s="10">
        <v>2.07</v>
      </c>
      <c r="L6056" s="10">
        <v>9</v>
      </c>
      <c r="M6056" s="6" t="s">
        <v>430</v>
      </c>
    </row>
    <row r="6057" spans="1:13">
      <c r="A6057" s="6">
        <v>2025</v>
      </c>
      <c r="B6057" s="6">
        <v>6</v>
      </c>
      <c r="C6057" s="6" t="s">
        <v>64</v>
      </c>
      <c r="D6057" s="6" t="s">
        <v>714</v>
      </c>
      <c r="E6057" s="6" t="s">
        <v>405</v>
      </c>
      <c r="F6057" s="6" t="str">
        <f>IF($M6057="PADD I","PADD 1",IF($M6057="PADD II","PADD 2",IF($M6057="PADD III","PADD 3",IF($M6057="PADD IV","PADD 4",IF($M6057="PADD V","PADD 5","")))))</f>
        <v>PADD 3</v>
      </c>
      <c r="G6057" s="6" t="str">
        <f>IF(AND($H6057="ATMOS DISTILLATION",ISNUMBER(SEARCH("VPS",$I6057))=FALSE,LEFT($I6057,6)&lt;&gt;"VACUUM"),"CDU",IF($H6057="FLUID CAT CRACKING","FCC",IF(OR($H6057="HYDROCRACKING",$H6057="RESID_HYDROCRACKING"),"Hydrocracker",IF($H6057="REFORMING","Reformer",""))))</f>
        <v>Hydrocracker</v>
      </c>
      <c r="H6057" s="6" t="s">
        <v>444</v>
      </c>
      <c r="I6057" s="6" t="s">
        <v>14</v>
      </c>
      <c r="J6057" s="6" t="s">
        <v>345</v>
      </c>
      <c r="K6057" s="10">
        <v>2.065</v>
      </c>
      <c r="L6057" s="10">
        <v>29.5</v>
      </c>
      <c r="M6057" s="6" t="s">
        <v>371</v>
      </c>
    </row>
    <row r="6058" spans="1:13">
      <c r="A6058" s="6">
        <v>2025</v>
      </c>
      <c r="B6058" s="6">
        <v>6</v>
      </c>
      <c r="C6058" s="6" t="s">
        <v>64</v>
      </c>
      <c r="D6058" s="6" t="s">
        <v>722</v>
      </c>
      <c r="E6058" s="6" t="s">
        <v>452</v>
      </c>
      <c r="F6058" s="6" t="str">
        <f>IF($M6058="PADD I","PADD 1",IF($M6058="PADD II","PADD 2",IF($M6058="PADD III","PADD 3",IF($M6058="PADD IV","PADD 4",IF($M6058="PADD V","PADD 5","")))))</f>
        <v>PADD 4</v>
      </c>
      <c r="G6058" s="6" t="str">
        <f>IF(AND($H6058="ATMOS DISTILLATION",ISNUMBER(SEARCH("VPS",$I6058))=FALSE,LEFT($I6058,6)&lt;&gt;"VACUUM"),"CDU",IF($H6058="FLUID CAT CRACKING","FCC",IF(OR($H6058="HYDROCRACKING",$H6058="RESID_HYDROCRACKING"),"Hydrocracker",IF($H6058="REFORMING","Reformer",""))))</f>
        <v>CDU</v>
      </c>
      <c r="H6058" s="6" t="s">
        <v>38</v>
      </c>
      <c r="I6058" s="6" t="s">
        <v>81</v>
      </c>
      <c r="J6058" s="6" t="s">
        <v>345</v>
      </c>
      <c r="K6058" s="10">
        <v>1.95</v>
      </c>
      <c r="L6058" s="10">
        <v>15</v>
      </c>
      <c r="M6058" s="6" t="s">
        <v>430</v>
      </c>
    </row>
    <row r="6059" spans="1:13">
      <c r="A6059" s="6">
        <v>2025</v>
      </c>
      <c r="B6059" s="6">
        <v>6</v>
      </c>
      <c r="C6059" s="6" t="s">
        <v>64</v>
      </c>
      <c r="D6059" s="6" t="s">
        <v>40</v>
      </c>
      <c r="E6059" s="6" t="s">
        <v>736</v>
      </c>
      <c r="F6059" s="6" t="str">
        <f>IF($M6059="PADD I","PADD 1",IF($M6059="PADD II","PADD 2",IF($M6059="PADD III","PADD 3",IF($M6059="PADD IV","PADD 4",IF($M6059="PADD V","PADD 5","")))))</f>
        <v>PADD 1</v>
      </c>
      <c r="G6059" s="6">
        <f>IF(AND($H6059="ATMOS DISTILLATION",ISNUMBER(SEARCH("VPS",$I6059))=FALSE,LEFT($I6059,6)&lt;&gt;"VACUUM"),"CDU",IF($H6059="FLUID CAT CRACKING","FCC",IF(OR($H6059="HYDROCRACKING",$H6059="RESID_HYDROCRACKING"),"Hydrocracker",IF($H6059="REFORMING","Reformer",""))))</f>
        <v/>
      </c>
      <c r="H6059" s="6" t="s">
        <v>43</v>
      </c>
      <c r="I6059" s="6" t="s">
        <v>1011</v>
      </c>
      <c r="J6059" s="6" t="s">
        <v>345</v>
      </c>
      <c r="K6059" s="10">
        <v>1.82</v>
      </c>
      <c r="L6059" s="10">
        <v>26</v>
      </c>
      <c r="M6059" s="6" t="s">
        <v>413</v>
      </c>
    </row>
    <row r="6060" spans="1:13">
      <c r="A6060" s="6">
        <v>2025</v>
      </c>
      <c r="B6060" s="6">
        <v>6</v>
      </c>
      <c r="C6060" s="6" t="s">
        <v>64</v>
      </c>
      <c r="D6060" s="6" t="s">
        <v>878</v>
      </c>
      <c r="E6060" s="6" t="s">
        <v>452</v>
      </c>
      <c r="F6060" s="6" t="str">
        <f>IF($M6060="PADD I","PADD 1",IF($M6060="PADD II","PADD 2",IF($M6060="PADD III","PADD 3",IF($M6060="PADD IV","PADD 4",IF($M6060="PADD V","PADD 5","")))))</f>
        <v>PADD 2</v>
      </c>
      <c r="G6060" s="6">
        <f>IF(AND($H6060="ATMOS DISTILLATION",ISNUMBER(SEARCH("VPS",$I6060))=FALSE,LEFT($I6060,6)&lt;&gt;"VACUUM"),"CDU",IF($H6060="FLUID CAT CRACKING","FCC",IF(OR($H6060="HYDROCRACKING",$H6060="RESID_HYDROCRACKING"),"Hydrocracker",IF($H6060="REFORMING","Reformer",""))))</f>
        <v/>
      </c>
      <c r="H6060" s="6" t="s">
        <v>435</v>
      </c>
      <c r="I6060" s="6" t="s">
        <v>441</v>
      </c>
      <c r="J6060" s="6" t="s">
        <v>345</v>
      </c>
      <c r="K6060" s="10">
        <v>1.7</v>
      </c>
      <c r="L6060" s="10">
        <v>8.5</v>
      </c>
      <c r="M6060" s="6" t="s">
        <v>375</v>
      </c>
    </row>
    <row r="6061" spans="1:13">
      <c r="A6061" s="6">
        <v>2025</v>
      </c>
      <c r="B6061" s="6">
        <v>6</v>
      </c>
      <c r="C6061" s="6" t="s">
        <v>64</v>
      </c>
      <c r="D6061" s="6" t="s">
        <v>878</v>
      </c>
      <c r="E6061" s="6" t="s">
        <v>452</v>
      </c>
      <c r="F6061" s="6" t="str">
        <f>IF($M6061="PADD I","PADD 1",IF($M6061="PADD II","PADD 2",IF($M6061="PADD III","PADD 3",IF($M6061="PADD IV","PADD 4",IF($M6061="PADD V","PADD 5","")))))</f>
        <v>PADD 2</v>
      </c>
      <c r="G6061" s="6">
        <f>IF(AND($H6061="ATMOS DISTILLATION",ISNUMBER(SEARCH("VPS",$I6061))=FALSE,LEFT($I6061,6)&lt;&gt;"VACUUM"),"CDU",IF($H6061="FLUID CAT CRACKING","FCC",IF(OR($H6061="HYDROCRACKING",$H6061="RESID_HYDROCRACKING"),"Hydrocracker",IF($H6061="REFORMING","Reformer",""))))</f>
        <v/>
      </c>
      <c r="H6061" s="6" t="s">
        <v>435</v>
      </c>
      <c r="I6061" s="6" t="s">
        <v>441</v>
      </c>
      <c r="J6061" s="6" t="s">
        <v>345</v>
      </c>
      <c r="K6061" s="10">
        <v>1.7</v>
      </c>
      <c r="L6061" s="10">
        <v>8.5</v>
      </c>
      <c r="M6061" s="6" t="s">
        <v>375</v>
      </c>
    </row>
    <row r="6062" spans="1:13">
      <c r="A6062" s="6">
        <v>2025</v>
      </c>
      <c r="B6062" s="6">
        <v>6</v>
      </c>
      <c r="C6062" s="6" t="s">
        <v>64</v>
      </c>
      <c r="D6062" s="6" t="s">
        <v>788</v>
      </c>
      <c r="E6062" s="6" t="s">
        <v>405</v>
      </c>
      <c r="F6062" s="6" t="str">
        <f>IF($M6062="PADD I","PADD 1",IF($M6062="PADD II","PADD 2",IF($M6062="PADD III","PADD 3",IF($M6062="PADD IV","PADD 4",IF($M6062="PADD V","PADD 5","")))))</f>
        <v>PADD 3</v>
      </c>
      <c r="G6062" s="6" t="str">
        <f>IF(AND($H6062="ATMOS DISTILLATION",ISNUMBER(SEARCH("VPS",$I6062))=FALSE,LEFT($I6062,6)&lt;&gt;"VACUUM"),"CDU",IF($H6062="FLUID CAT CRACKING","FCC",IF(OR($H6062="HYDROCRACKING",$H6062="RESID_HYDROCRACKING"),"Hydrocracker",IF($H6062="REFORMING","Reformer",""))))</f>
        <v>Hydrocracker</v>
      </c>
      <c r="H6062" s="6" t="s">
        <v>444</v>
      </c>
      <c r="I6062" s="6" t="s">
        <v>831</v>
      </c>
      <c r="J6062" s="6" t="s">
        <v>345</v>
      </c>
      <c r="K6062" s="10">
        <v>1.65</v>
      </c>
      <c r="L6062" s="10">
        <v>55</v>
      </c>
      <c r="M6062" s="6" t="s">
        <v>371</v>
      </c>
    </row>
    <row r="6063" spans="1:13">
      <c r="A6063" s="6">
        <v>2025</v>
      </c>
      <c r="B6063" s="6">
        <v>6</v>
      </c>
      <c r="C6063" s="6" t="s">
        <v>64</v>
      </c>
      <c r="D6063" s="6" t="s">
        <v>788</v>
      </c>
      <c r="E6063" s="6" t="s">
        <v>405</v>
      </c>
      <c r="F6063" s="6" t="str">
        <f>IF($M6063="PADD I","PADD 1",IF($M6063="PADD II","PADD 2",IF($M6063="PADD III","PADD 3",IF($M6063="PADD IV","PADD 4",IF($M6063="PADD V","PADD 5","")))))</f>
        <v>PADD 3</v>
      </c>
      <c r="G6063" s="6">
        <f>IF(AND($H6063="ATMOS DISTILLATION",ISNUMBER(SEARCH("VPS",$I6063))=FALSE,LEFT($I6063,6)&lt;&gt;"VACUUM"),"CDU",IF($H6063="FLUID CAT CRACKING","FCC",IF(OR($H6063="HYDROCRACKING",$H6063="RESID_HYDROCRACKING"),"Hydrocracker",IF($H6063="REFORMING","Reformer",""))))</f>
        <v/>
      </c>
      <c r="H6063" s="6" t="s">
        <v>378</v>
      </c>
      <c r="I6063" s="6" t="s">
        <v>812</v>
      </c>
      <c r="J6063" s="6" t="s">
        <v>345</v>
      </c>
      <c r="K6063" s="10">
        <v>1.5</v>
      </c>
      <c r="L6063" s="10">
        <v>50</v>
      </c>
      <c r="M6063" s="6" t="s">
        <v>371</v>
      </c>
    </row>
    <row r="6064" spans="1:13">
      <c r="A6064" s="6">
        <v>2025</v>
      </c>
      <c r="B6064" s="6">
        <v>6</v>
      </c>
      <c r="C6064" s="6" t="s">
        <v>64</v>
      </c>
      <c r="D6064" s="6" t="s">
        <v>803</v>
      </c>
      <c r="E6064" s="6" t="s">
        <v>388</v>
      </c>
      <c r="F6064" s="6" t="str">
        <f>IF($M6064="PADD I","PADD 1",IF($M6064="PADD II","PADD 2",IF($M6064="PADD III","PADD 3",IF($M6064="PADD IV","PADD 4",IF($M6064="PADD V","PADD 5","")))))</f>
        <v>PADD 2</v>
      </c>
      <c r="G6064" s="6" t="str">
        <f>IF(AND($H6064="ATMOS DISTILLATION",ISNUMBER(SEARCH("VPS",$I6064))=FALSE,LEFT($I6064,6)&lt;&gt;"VACUUM"),"CDU",IF($H6064="FLUID CAT CRACKING","FCC",IF(OR($H6064="HYDROCRACKING",$H6064="RESID_HYDROCRACKING"),"Hydrocracker",IF($H6064="REFORMING","Reformer",""))))</f>
        <v>Reformer</v>
      </c>
      <c r="H6064" s="6" t="s">
        <v>421</v>
      </c>
      <c r="I6064" s="6" t="s">
        <v>559</v>
      </c>
      <c r="J6064" s="6" t="s">
        <v>345</v>
      </c>
      <c r="K6064" s="10">
        <v>1.4625</v>
      </c>
      <c r="L6064" s="10">
        <v>11.25</v>
      </c>
      <c r="M6064" s="6" t="s">
        <v>375</v>
      </c>
    </row>
    <row r="6065" spans="1:13">
      <c r="A6065" s="6">
        <v>2025</v>
      </c>
      <c r="B6065" s="6">
        <v>6</v>
      </c>
      <c r="C6065" s="6" t="s">
        <v>64</v>
      </c>
      <c r="D6065" s="6" t="s">
        <v>799</v>
      </c>
      <c r="E6065" s="6" t="s">
        <v>391</v>
      </c>
      <c r="F6065" s="6" t="str">
        <f>IF($M6065="PADD I","PADD 1",IF($M6065="PADD II","PADD 2",IF($M6065="PADD III","PADD 3",IF($M6065="PADD IV","PADD 4",IF($M6065="PADD V","PADD 5","")))))</f>
        <v>PADD 4</v>
      </c>
      <c r="G6065" s="6">
        <f>IF(AND($H6065="ATMOS DISTILLATION",ISNUMBER(SEARCH("VPS",$I6065))=FALSE,LEFT($I6065,6)&lt;&gt;"VACUUM"),"CDU",IF($H6065="FLUID CAT CRACKING","FCC",IF(OR($H6065="HYDROCRACKING",$H6065="RESID_HYDROCRACKING"),"Hydrocracker",IF($H6065="REFORMING","Reformer",""))))</f>
        <v/>
      </c>
      <c r="H6065" s="6" t="s">
        <v>435</v>
      </c>
      <c r="I6065" s="6" t="s">
        <v>1188</v>
      </c>
      <c r="J6065" s="6" t="s">
        <v>345</v>
      </c>
      <c r="K6065" s="10">
        <v>1.3</v>
      </c>
      <c r="L6065" s="10">
        <v>10</v>
      </c>
      <c r="M6065" s="6" t="s">
        <v>430</v>
      </c>
    </row>
    <row r="6066" spans="1:13">
      <c r="A6066" s="6">
        <v>2025</v>
      </c>
      <c r="B6066" s="6">
        <v>6</v>
      </c>
      <c r="C6066" s="6" t="s">
        <v>64</v>
      </c>
      <c r="D6066" s="6" t="s">
        <v>411</v>
      </c>
      <c r="E6066" s="6" t="s">
        <v>369</v>
      </c>
      <c r="F6066" s="6" t="str">
        <f>IF($M6066="PADD I","PADD 1",IF($M6066="PADD II","PADD 2",IF($M6066="PADD III","PADD 3",IF($M6066="PADD IV","PADD 4",IF($M6066="PADD V","PADD 5","")))))</f>
        <v>PADD 1</v>
      </c>
      <c r="G6066" s="6">
        <f>IF(AND($H6066="ATMOS DISTILLATION",ISNUMBER(SEARCH("VPS",$I6066))=FALSE,LEFT($I6066,6)&lt;&gt;"VACUUM"),"CDU",IF($H6066="FLUID CAT CRACKING","FCC",IF(OR($H6066="HYDROCRACKING",$H6066="RESID_HYDROCRACKING"),"Hydrocracker",IF($H6066="REFORMING","Reformer",""))))</f>
        <v/>
      </c>
      <c r="H6066" s="6" t="s">
        <v>43</v>
      </c>
      <c r="I6066" s="6" t="s">
        <v>884</v>
      </c>
      <c r="J6066" s="6" t="s">
        <v>345</v>
      </c>
      <c r="K6066" s="10">
        <v>1.2325</v>
      </c>
      <c r="L6066" s="10">
        <v>7.25</v>
      </c>
      <c r="M6066" s="6" t="s">
        <v>413</v>
      </c>
    </row>
    <row r="6067" spans="1:13">
      <c r="A6067" s="6">
        <v>2025</v>
      </c>
      <c r="B6067" s="6">
        <v>6</v>
      </c>
      <c r="C6067" s="6" t="s">
        <v>64</v>
      </c>
      <c r="D6067" s="6" t="s">
        <v>411</v>
      </c>
      <c r="E6067" s="6" t="s">
        <v>369</v>
      </c>
      <c r="F6067" s="6" t="str">
        <f>IF($M6067="PADD I","PADD 1",IF($M6067="PADD II","PADD 2",IF($M6067="PADD III","PADD 3",IF($M6067="PADD IV","PADD 4",IF($M6067="PADD V","PADD 5","")))))</f>
        <v>PADD 1</v>
      </c>
      <c r="G6067" s="6">
        <f>IF(AND($H6067="ATMOS DISTILLATION",ISNUMBER(SEARCH("VPS",$I6067))=FALSE,LEFT($I6067,6)&lt;&gt;"VACUUM"),"CDU",IF($H6067="FLUID CAT CRACKING","FCC",IF(OR($H6067="HYDROCRACKING",$H6067="RESID_HYDROCRACKING"),"Hydrocracker",IF($H6067="REFORMING","Reformer",""))))</f>
        <v/>
      </c>
      <c r="H6067" s="6" t="s">
        <v>43</v>
      </c>
      <c r="I6067" s="6" t="s">
        <v>885</v>
      </c>
      <c r="J6067" s="6" t="s">
        <v>345</v>
      </c>
      <c r="K6067" s="10">
        <v>1.19</v>
      </c>
      <c r="L6067" s="10">
        <v>7</v>
      </c>
      <c r="M6067" s="6" t="s">
        <v>413</v>
      </c>
    </row>
    <row r="6068" spans="1:13">
      <c r="A6068" s="6">
        <v>2025</v>
      </c>
      <c r="B6068" s="6">
        <v>6</v>
      </c>
      <c r="C6068" s="6" t="s">
        <v>64</v>
      </c>
      <c r="D6068" s="6" t="s">
        <v>762</v>
      </c>
      <c r="E6068" s="6" t="s">
        <v>763</v>
      </c>
      <c r="F6068" s="6" t="str">
        <f>IF($M6068="PADD I","PADD 1",IF($M6068="PADD II","PADD 2",IF($M6068="PADD III","PADD 3",IF($M6068="PADD IV","PADD 4",IF($M6068="PADD V","PADD 5","")))))</f>
        <v>PADD 2</v>
      </c>
      <c r="G6068" s="6" t="str">
        <f>IF(AND($H6068="ATMOS DISTILLATION",ISNUMBER(SEARCH("VPS",$I6068))=FALSE,LEFT($I6068,6)&lt;&gt;"VACUUM"),"CDU",IF($H6068="FLUID CAT CRACKING","FCC",IF(OR($H6068="HYDROCRACKING",$H6068="RESID_HYDROCRACKING"),"Hydrocracker",IF($H6068="REFORMING","Reformer",""))))</f>
        <v>CDU</v>
      </c>
      <c r="H6068" s="6" t="s">
        <v>38</v>
      </c>
      <c r="I6068" s="6" t="s">
        <v>131</v>
      </c>
      <c r="J6068" s="6" t="s">
        <v>345</v>
      </c>
      <c r="K6068" s="10">
        <v>1.17</v>
      </c>
      <c r="L6068" s="10">
        <v>39</v>
      </c>
      <c r="M6068" s="6" t="s">
        <v>375</v>
      </c>
    </row>
    <row r="6069" spans="1:13">
      <c r="A6069" s="6">
        <v>2025</v>
      </c>
      <c r="B6069" s="6">
        <v>6</v>
      </c>
      <c r="C6069" s="6" t="s">
        <v>64</v>
      </c>
      <c r="D6069" s="6" t="s">
        <v>411</v>
      </c>
      <c r="E6069" s="6" t="s">
        <v>369</v>
      </c>
      <c r="F6069" s="6" t="str">
        <f>IF($M6069="PADD I","PADD 1",IF($M6069="PADD II","PADD 2",IF($M6069="PADD III","PADD 3",IF($M6069="PADD IV","PADD 4",IF($M6069="PADD V","PADD 5","")))))</f>
        <v>PADD 1</v>
      </c>
      <c r="G6069" s="6">
        <f>IF(AND($H6069="ATMOS DISTILLATION",ISNUMBER(SEARCH("VPS",$I6069))=FALSE,LEFT($I6069,6)&lt;&gt;"VACUUM"),"CDU",IF($H6069="FLUID CAT CRACKING","FCC",IF(OR($H6069="HYDROCRACKING",$H6069="RESID_HYDROCRACKING"),"Hydrocracker",IF($H6069="REFORMING","Reformer",""))))</f>
        <v/>
      </c>
      <c r="H6069" s="6" t="s">
        <v>1304</v>
      </c>
      <c r="I6069" s="6" t="s">
        <v>1305</v>
      </c>
      <c r="J6069" s="6" t="s">
        <v>345</v>
      </c>
      <c r="K6069" s="10">
        <v>1.105</v>
      </c>
      <c r="L6069" s="10">
        <v>6.5</v>
      </c>
      <c r="M6069" s="6" t="s">
        <v>413</v>
      </c>
    </row>
    <row r="6070" spans="1:13">
      <c r="A6070" s="6">
        <v>2025</v>
      </c>
      <c r="B6070" s="6">
        <v>6</v>
      </c>
      <c r="C6070" s="6" t="s">
        <v>64</v>
      </c>
      <c r="D6070" s="6" t="s">
        <v>411</v>
      </c>
      <c r="E6070" s="6" t="s">
        <v>369</v>
      </c>
      <c r="F6070" s="6" t="str">
        <f>IF($M6070="PADD I","PADD 1",IF($M6070="PADD II","PADD 2",IF($M6070="PADD III","PADD 3",IF($M6070="PADD IV","PADD 4",IF($M6070="PADD V","PADD 5","")))))</f>
        <v>PADD 1</v>
      </c>
      <c r="G6070" s="6" t="str">
        <f>IF(AND($H6070="ATMOS DISTILLATION",ISNUMBER(SEARCH("VPS",$I6070))=FALSE,LEFT($I6070,6)&lt;&gt;"VACUUM"),"CDU",IF($H6070="FLUID CAT CRACKING","FCC",IF(OR($H6070="HYDROCRACKING",$H6070="RESID_HYDROCRACKING"),"Hydrocracker",IF($H6070="REFORMING","Reformer",""))))</f>
        <v>Reformer</v>
      </c>
      <c r="H6070" s="6" t="s">
        <v>421</v>
      </c>
      <c r="I6070" s="6" t="s">
        <v>886</v>
      </c>
      <c r="J6070" s="6" t="s">
        <v>345</v>
      </c>
      <c r="K6070" s="10">
        <v>1.105</v>
      </c>
      <c r="L6070" s="10">
        <v>6.5</v>
      </c>
      <c r="M6070" s="6" t="s">
        <v>413</v>
      </c>
    </row>
    <row r="6071" spans="1:13">
      <c r="A6071" s="6">
        <v>2025</v>
      </c>
      <c r="B6071" s="6">
        <v>6</v>
      </c>
      <c r="C6071" s="6" t="s">
        <v>64</v>
      </c>
      <c r="D6071" s="6" t="s">
        <v>40</v>
      </c>
      <c r="E6071" s="6" t="s">
        <v>736</v>
      </c>
      <c r="F6071" s="6" t="str">
        <f>IF($M6071="PADD I","PADD 1",IF($M6071="PADD II","PADD 2",IF($M6071="PADD III","PADD 3",IF($M6071="PADD IV","PADD 4",IF($M6071="PADD V","PADD 5","")))))</f>
        <v>PADD 1</v>
      </c>
      <c r="G6071" s="6">
        <f>IF(AND($H6071="ATMOS DISTILLATION",ISNUMBER(SEARCH("VPS",$I6071))=FALSE,LEFT($I6071,6)&lt;&gt;"VACUUM"),"CDU",IF($H6071="FLUID CAT CRACKING","FCC",IF(OR($H6071="HYDROCRACKING",$H6071="RESID_HYDROCRACKING"),"Hydrocracker",IF($H6071="REFORMING","Reformer",""))))</f>
        <v/>
      </c>
      <c r="H6071" s="6" t="s">
        <v>637</v>
      </c>
      <c r="I6071" s="6" t="s">
        <v>1019</v>
      </c>
      <c r="J6071" s="6" t="s">
        <v>345</v>
      </c>
      <c r="K6071" s="10">
        <v>0.98</v>
      </c>
      <c r="L6071" s="10">
        <v>14</v>
      </c>
      <c r="M6071" s="6" t="s">
        <v>413</v>
      </c>
    </row>
    <row r="6072" spans="1:13">
      <c r="A6072" s="6">
        <v>2025</v>
      </c>
      <c r="B6072" s="6">
        <v>6</v>
      </c>
      <c r="C6072" s="6" t="s">
        <v>64</v>
      </c>
      <c r="D6072" s="6" t="s">
        <v>788</v>
      </c>
      <c r="E6072" s="6" t="s">
        <v>405</v>
      </c>
      <c r="F6072" s="6" t="str">
        <f>IF($M6072="PADD I","PADD 1",IF($M6072="PADD II","PADD 2",IF($M6072="PADD III","PADD 3",IF($M6072="PADD IV","PADD 4",IF($M6072="PADD V","PADD 5","")))))</f>
        <v>PADD 3</v>
      </c>
      <c r="G6072" s="6" t="str">
        <f>IF(AND($H6072="ATMOS DISTILLATION",ISNUMBER(SEARCH("VPS",$I6072))=FALSE,LEFT($I6072,6)&lt;&gt;"VACUUM"),"CDU",IF($H6072="FLUID CAT CRACKING","FCC",IF(OR($H6072="HYDROCRACKING",$H6072="RESID_HYDROCRACKING"),"Hydrocracker",IF($H6072="REFORMING","Reformer",""))))</f>
        <v>Reformer</v>
      </c>
      <c r="H6072" s="6" t="s">
        <v>421</v>
      </c>
      <c r="I6072" s="6" t="s">
        <v>782</v>
      </c>
      <c r="J6072" s="6" t="s">
        <v>345</v>
      </c>
      <c r="K6072" s="10">
        <v>0.96</v>
      </c>
      <c r="L6072" s="10">
        <v>32</v>
      </c>
      <c r="M6072" s="6" t="s">
        <v>371</v>
      </c>
    </row>
    <row r="6073" spans="1:13">
      <c r="A6073" s="6">
        <v>2025</v>
      </c>
      <c r="B6073" s="6">
        <v>6</v>
      </c>
      <c r="C6073" s="6" t="s">
        <v>64</v>
      </c>
      <c r="D6073" s="6" t="s">
        <v>411</v>
      </c>
      <c r="E6073" s="6" t="s">
        <v>369</v>
      </c>
      <c r="F6073" s="6" t="str">
        <f>IF($M6073="PADD I","PADD 1",IF($M6073="PADD II","PADD 2",IF($M6073="PADD III","PADD 3",IF($M6073="PADD IV","PADD 4",IF($M6073="PADD V","PADD 5","")))))</f>
        <v>PADD 1</v>
      </c>
      <c r="G6073" s="6">
        <f>IF(AND($H6073="ATMOS DISTILLATION",ISNUMBER(SEARCH("VPS",$I6073))=FALSE,LEFT($I6073,6)&lt;&gt;"VACUUM"),"CDU",IF($H6073="FLUID CAT CRACKING","FCC",IF(OR($H6073="HYDROCRACKING",$H6073="RESID_HYDROCRACKING"),"Hydrocracker",IF($H6073="REFORMING","Reformer",""))))</f>
        <v/>
      </c>
      <c r="H6073" s="6" t="s">
        <v>460</v>
      </c>
      <c r="I6073" s="6" t="s">
        <v>566</v>
      </c>
      <c r="J6073" s="6" t="s">
        <v>345</v>
      </c>
      <c r="K6073" s="10">
        <v>0.9350000000000001</v>
      </c>
      <c r="L6073" s="10">
        <v>5.5</v>
      </c>
      <c r="M6073" s="6" t="s">
        <v>413</v>
      </c>
    </row>
    <row r="6074" spans="1:13">
      <c r="A6074" s="6">
        <v>2025</v>
      </c>
      <c r="B6074" s="6">
        <v>6</v>
      </c>
      <c r="C6074" s="6" t="s">
        <v>64</v>
      </c>
      <c r="D6074" s="6" t="s">
        <v>762</v>
      </c>
      <c r="E6074" s="6" t="s">
        <v>763</v>
      </c>
      <c r="F6074" s="6" t="str">
        <f>IF($M6074="PADD I","PADD 1",IF($M6074="PADD II","PADD 2",IF($M6074="PADD III","PADD 3",IF($M6074="PADD IV","PADD 4",IF($M6074="PADD V","PADD 5","")))))</f>
        <v>PADD 2</v>
      </c>
      <c r="G6074" s="6">
        <f>IF(AND($H6074="ATMOS DISTILLATION",ISNUMBER(SEARCH("VPS",$I6074))=FALSE,LEFT($I6074,6)&lt;&gt;"VACUUM"),"CDU",IF($H6074="FLUID CAT CRACKING","FCC",IF(OR($H6074="HYDROCRACKING",$H6074="RESID_HYDROCRACKING"),"Hydrocracker",IF($H6074="REFORMING","Reformer",""))))</f>
        <v/>
      </c>
      <c r="H6074" s="6" t="s">
        <v>378</v>
      </c>
      <c r="I6074" s="6" t="s">
        <v>812</v>
      </c>
      <c r="J6074" s="6" t="s">
        <v>345</v>
      </c>
      <c r="K6074" s="10">
        <v>0.8100000000000001</v>
      </c>
      <c r="L6074" s="10">
        <v>27</v>
      </c>
      <c r="M6074" s="6" t="s">
        <v>375</v>
      </c>
    </row>
    <row r="6075" spans="1:13">
      <c r="A6075" s="6">
        <v>2025</v>
      </c>
      <c r="B6075" s="6">
        <v>6</v>
      </c>
      <c r="C6075" s="6" t="s">
        <v>64</v>
      </c>
      <c r="D6075" s="6" t="s">
        <v>602</v>
      </c>
      <c r="E6075" s="6" t="s">
        <v>369</v>
      </c>
      <c r="F6075" s="6" t="str">
        <f>IF($M6075="PADD I","PADD 1",IF($M6075="PADD II","PADD 2",IF($M6075="PADD III","PADD 3",IF($M6075="PADD IV","PADD 4",IF($M6075="PADD V","PADD 5","")))))</f>
        <v>PADD 2</v>
      </c>
      <c r="G6075" s="6" t="str">
        <f>IF(AND($H6075="ATMOS DISTILLATION",ISNUMBER(SEARCH("VPS",$I6075))=FALSE,LEFT($I6075,6)&lt;&gt;"VACUUM"),"CDU",IF($H6075="FLUID CAT CRACKING","FCC",IF(OR($H6075="HYDROCRACKING",$H6075="RESID_HYDROCRACKING"),"Hydrocracker",IF($H6075="REFORMING","Reformer",""))))</f>
        <v>FCC</v>
      </c>
      <c r="H6075" s="6" t="s">
        <v>376</v>
      </c>
      <c r="I6075" s="6" t="s">
        <v>654</v>
      </c>
      <c r="J6075" s="6" t="s">
        <v>345</v>
      </c>
      <c r="K6075" s="10">
        <v>0.78</v>
      </c>
      <c r="L6075" s="10">
        <v>26</v>
      </c>
      <c r="M6075" s="6" t="s">
        <v>375</v>
      </c>
    </row>
    <row r="6076" spans="1:13">
      <c r="A6076" s="6">
        <v>2025</v>
      </c>
      <c r="B6076" s="6">
        <v>6</v>
      </c>
      <c r="C6076" s="6" t="s">
        <v>64</v>
      </c>
      <c r="D6076" s="6" t="s">
        <v>1315</v>
      </c>
      <c r="E6076" s="6" t="s">
        <v>1316</v>
      </c>
      <c r="F6076" s="6" t="str">
        <f>IF($M6076="PADD I","PADD 1",IF($M6076="PADD II","PADD 2",IF($M6076="PADD III","PADD 3",IF($M6076="PADD IV","PADD 4",IF($M6076="PADD V","PADD 5","")))))</f>
        <v>PADD 1</v>
      </c>
      <c r="G6076" s="6">
        <f>IF(AND($H6076="ATMOS DISTILLATION",ISNUMBER(SEARCH("VPS",$I6076))=FALSE,LEFT($I6076,6)&lt;&gt;"VACUUM"),"CDU",IF($H6076="FLUID CAT CRACKING","FCC",IF(OR($H6076="HYDROCRACKING",$H6076="RESID_HYDROCRACKING"),"Hydrocracker",IF($H6076="REFORMING","Reformer",""))))</f>
        <v/>
      </c>
      <c r="H6076" s="6" t="s">
        <v>568</v>
      </c>
      <c r="I6076" s="6" t="s">
        <v>604</v>
      </c>
      <c r="J6076" s="6" t="s">
        <v>349</v>
      </c>
      <c r="K6076" s="10">
        <v>0.7566000000000001</v>
      </c>
      <c r="L6076" s="10">
        <v>0.78</v>
      </c>
      <c r="M6076" s="6" t="s">
        <v>413</v>
      </c>
    </row>
    <row r="6077" spans="1:13">
      <c r="A6077" s="6">
        <v>2025</v>
      </c>
      <c r="B6077" s="6">
        <v>6</v>
      </c>
      <c r="C6077" s="6" t="s">
        <v>64</v>
      </c>
      <c r="D6077" s="6" t="s">
        <v>50</v>
      </c>
      <c r="E6077" s="6" t="s">
        <v>381</v>
      </c>
      <c r="F6077" s="6" t="str">
        <f>IF($M6077="PADD I","PADD 1",IF($M6077="PADD II","PADD 2",IF($M6077="PADD III","PADD 3",IF($M6077="PADD IV","PADD 4",IF($M6077="PADD V","PADD 5","")))))</f>
        <v>PADD 3</v>
      </c>
      <c r="G6077" s="6">
        <f>IF(AND($H6077="ATMOS DISTILLATION",ISNUMBER(SEARCH("VPS",$I6077))=FALSE,LEFT($I6077,6)&lt;&gt;"VACUUM"),"CDU",IF($H6077="FLUID CAT CRACKING","FCC",IF(OR($H6077="HYDROCRACKING",$H6077="RESID_HYDROCRACKING"),"Hydrocracker",IF($H6077="REFORMING","Reformer",""))))</f>
        <v/>
      </c>
      <c r="H6077" s="6" t="s">
        <v>460</v>
      </c>
      <c r="I6077" s="6" t="s">
        <v>620</v>
      </c>
      <c r="J6077" s="6" t="s">
        <v>345</v>
      </c>
      <c r="K6077" s="10">
        <v>0.63</v>
      </c>
      <c r="L6077" s="10">
        <v>21</v>
      </c>
      <c r="M6077" s="6" t="s">
        <v>371</v>
      </c>
    </row>
    <row r="6078" spans="1:13">
      <c r="A6078" s="6">
        <v>2025</v>
      </c>
      <c r="B6078" s="6">
        <v>6</v>
      </c>
      <c r="C6078" s="6" t="s">
        <v>64</v>
      </c>
      <c r="D6078" s="6" t="s">
        <v>326</v>
      </c>
      <c r="E6078" s="6" t="s">
        <v>385</v>
      </c>
      <c r="F6078" s="6" t="str">
        <f>IF($M6078="PADD I","PADD 1",IF($M6078="PADD II","PADD 2",IF($M6078="PADD III","PADD 3",IF($M6078="PADD IV","PADD 4",IF($M6078="PADD V","PADD 5","")))))</f>
        <v>PADD 5</v>
      </c>
      <c r="G6078" s="6">
        <f>IF(AND($H6078="ATMOS DISTILLATION",ISNUMBER(SEARCH("VPS",$I6078))=FALSE,LEFT($I6078,6)&lt;&gt;"VACUUM"),"CDU",IF($H6078="FLUID CAT CRACKING","FCC",IF(OR($H6078="HYDROCRACKING",$H6078="RESID_HYDROCRACKING"),"Hydrocracker",IF($H6078="REFORMING","Reformer",""))))</f>
        <v/>
      </c>
      <c r="H6078" s="6" t="s">
        <v>568</v>
      </c>
      <c r="I6078" s="6" t="s">
        <v>604</v>
      </c>
      <c r="J6078" s="6" t="s">
        <v>345</v>
      </c>
      <c r="K6078" s="10">
        <v>0.53</v>
      </c>
      <c r="L6078" s="10">
        <v>0.53</v>
      </c>
      <c r="M6078" s="6" t="s">
        <v>386</v>
      </c>
    </row>
    <row r="6079" spans="1:13">
      <c r="A6079" s="6">
        <v>2025</v>
      </c>
      <c r="B6079" s="6">
        <v>6</v>
      </c>
      <c r="C6079" s="6" t="s">
        <v>64</v>
      </c>
      <c r="D6079" s="6" t="s">
        <v>1078</v>
      </c>
      <c r="E6079" s="6" t="s">
        <v>1079</v>
      </c>
      <c r="F6079" s="6" t="str">
        <f>IF($M6079="PADD I","PADD 1",IF($M6079="PADD II","PADD 2",IF($M6079="PADD III","PADD 3",IF($M6079="PADD IV","PADD 4",IF($M6079="PADD V","PADD 5","")))))</f>
        <v>PADD 3</v>
      </c>
      <c r="G6079" s="6">
        <f>IF(AND($H6079="ATMOS DISTILLATION",ISNUMBER(SEARCH("VPS",$I6079))=FALSE,LEFT($I6079,6)&lt;&gt;"VACUUM"),"CDU",IF($H6079="FLUID CAT CRACKING","FCC",IF(OR($H6079="HYDROCRACKING",$H6079="RESID_HYDROCRACKING"),"Hydrocracker",IF($H6079="REFORMING","Reformer",""))))</f>
        <v/>
      </c>
      <c r="H6079" s="6" t="s">
        <v>378</v>
      </c>
      <c r="I6079" s="6" t="s">
        <v>536</v>
      </c>
      <c r="J6079" s="6" t="s">
        <v>345</v>
      </c>
      <c r="K6079" s="10">
        <v>0.45</v>
      </c>
      <c r="L6079" s="10">
        <v>4.5</v>
      </c>
      <c r="M6079" s="6" t="s">
        <v>371</v>
      </c>
    </row>
    <row r="6080" spans="1:13">
      <c r="A6080" s="6">
        <v>2025</v>
      </c>
      <c r="B6080" s="6">
        <v>6</v>
      </c>
      <c r="C6080" s="6" t="s">
        <v>64</v>
      </c>
      <c r="D6080" s="6" t="s">
        <v>756</v>
      </c>
      <c r="E6080" s="6" t="s">
        <v>757</v>
      </c>
      <c r="F6080" s="6" t="str">
        <f>IF($M6080="PADD I","PADD 1",IF($M6080="PADD II","PADD 2",IF($M6080="PADD III","PADD 3",IF($M6080="PADD IV","PADD 4",IF($M6080="PADD V","PADD 5","")))))</f>
        <v>PADD 3</v>
      </c>
      <c r="G6080" s="6" t="str">
        <f>IF(AND($H6080="ATMOS DISTILLATION",ISNUMBER(SEARCH("VPS",$I6080))=FALSE,LEFT($I6080,6)&lt;&gt;"VACUUM"),"CDU",IF($H6080="FLUID CAT CRACKING","FCC",IF(OR($H6080="HYDROCRACKING",$H6080="RESID_HYDROCRACKING"),"Hydrocracker",IF($H6080="REFORMING","Reformer",""))))</f>
        <v>CDU</v>
      </c>
      <c r="H6080" s="6" t="s">
        <v>38</v>
      </c>
      <c r="I6080" s="6" t="s">
        <v>81</v>
      </c>
      <c r="J6080" s="6" t="s">
        <v>345</v>
      </c>
      <c r="K6080" s="10">
        <v>0.45</v>
      </c>
      <c r="L6080" s="10">
        <v>15</v>
      </c>
      <c r="M6080" s="6" t="s">
        <v>371</v>
      </c>
    </row>
    <row r="6081" spans="1:13">
      <c r="A6081" s="6">
        <v>2025</v>
      </c>
      <c r="B6081" s="6">
        <v>6</v>
      </c>
      <c r="C6081" s="6" t="s">
        <v>64</v>
      </c>
      <c r="D6081" s="6" t="s">
        <v>799</v>
      </c>
      <c r="E6081" s="6" t="s">
        <v>391</v>
      </c>
      <c r="F6081" s="6" t="str">
        <f>IF($M6081="PADD I","PADD 1",IF($M6081="PADD II","PADD 2",IF($M6081="PADD III","PADD 3",IF($M6081="PADD IV","PADD 4",IF($M6081="PADD V","PADD 5","")))))</f>
        <v>PADD 4</v>
      </c>
      <c r="G6081" s="6">
        <f>IF(AND($H6081="ATMOS DISTILLATION",ISNUMBER(SEARCH("VPS",$I6081))=FALSE,LEFT($I6081,6)&lt;&gt;"VACUUM"),"CDU",IF($H6081="FLUID CAT CRACKING","FCC",IF(OR($H6081="HYDROCRACKING",$H6081="RESID_HYDROCRACKING"),"Hydrocracker",IF($H6081="REFORMING","Reformer",""))))</f>
        <v/>
      </c>
      <c r="H6081" s="6" t="s">
        <v>460</v>
      </c>
      <c r="I6081" s="6" t="s">
        <v>908</v>
      </c>
      <c r="J6081" s="6" t="s">
        <v>345</v>
      </c>
      <c r="K6081" s="10">
        <v>0.392</v>
      </c>
      <c r="L6081" s="10">
        <v>5.6</v>
      </c>
      <c r="M6081" s="6" t="s">
        <v>430</v>
      </c>
    </row>
    <row r="6082" spans="1:13">
      <c r="A6082" s="6">
        <v>2025</v>
      </c>
      <c r="B6082" s="6">
        <v>6</v>
      </c>
      <c r="C6082" s="6" t="s">
        <v>64</v>
      </c>
      <c r="D6082" s="6" t="s">
        <v>451</v>
      </c>
      <c r="E6082" s="6" t="s">
        <v>452</v>
      </c>
      <c r="F6082" s="6" t="str">
        <f>IF($M6082="PADD I","PADD 1",IF($M6082="PADD II","PADD 2",IF($M6082="PADD III","PADD 3",IF($M6082="PADD IV","PADD 4",IF($M6082="PADD V","PADD 5","")))))</f>
        <v>PADD 2</v>
      </c>
      <c r="G6082" s="6">
        <f>IF(AND($H6082="ATMOS DISTILLATION",ISNUMBER(SEARCH("VPS",$I6082))=FALSE,LEFT($I6082,6)&lt;&gt;"VACUUM"),"CDU",IF($H6082="FLUID CAT CRACKING","FCC",IF(OR($H6082="HYDROCRACKING",$H6082="RESID_HYDROCRACKING"),"Hydrocracker",IF($H6082="REFORMING","Reformer",""))))</f>
        <v/>
      </c>
      <c r="H6082" s="6" t="s">
        <v>460</v>
      </c>
      <c r="I6082" s="6" t="s">
        <v>461</v>
      </c>
      <c r="J6082" s="6" t="s">
        <v>345</v>
      </c>
      <c r="K6082" s="10">
        <v>0.351</v>
      </c>
      <c r="L6082" s="10">
        <v>2.7</v>
      </c>
      <c r="M6082" s="6" t="s">
        <v>375</v>
      </c>
    </row>
    <row r="6083" spans="1:13">
      <c r="A6083" s="6">
        <v>2025</v>
      </c>
      <c r="B6083" s="6">
        <v>6</v>
      </c>
      <c r="C6083" s="6" t="s">
        <v>64</v>
      </c>
      <c r="D6083" s="6" t="s">
        <v>1032</v>
      </c>
      <c r="E6083" s="6" t="s">
        <v>1033</v>
      </c>
      <c r="F6083" s="6" t="str">
        <f>IF($M6083="PADD I","PADD 1",IF($M6083="PADD II","PADD 2",IF($M6083="PADD III","PADD 3",IF($M6083="PADD IV","PADD 4",IF($M6083="PADD V","PADD 5","")))))</f>
        <v>PADD 5</v>
      </c>
      <c r="G6083" s="6" t="str">
        <f>IF(AND($H6083="ATMOS DISTILLATION",ISNUMBER(SEARCH("VPS",$I6083))=FALSE,LEFT($I6083,6)&lt;&gt;"VACUUM"),"CDU",IF($H6083="FLUID CAT CRACKING","FCC",IF(OR($H6083="HYDROCRACKING",$H6083="RESID_HYDROCRACKING"),"Hydrocracker",IF($H6083="REFORMING","Reformer",""))))</f>
        <v>CDU</v>
      </c>
      <c r="H6083" s="6" t="s">
        <v>38</v>
      </c>
      <c r="I6083" s="6" t="s">
        <v>663</v>
      </c>
      <c r="J6083" s="6" t="s">
        <v>345</v>
      </c>
      <c r="K6083" s="10">
        <v>0.35</v>
      </c>
      <c r="L6083" s="10">
        <v>5</v>
      </c>
      <c r="M6083" s="6" t="s">
        <v>386</v>
      </c>
    </row>
    <row r="6084" spans="1:13">
      <c r="A6084" s="6">
        <v>2025</v>
      </c>
      <c r="B6084" s="6">
        <v>6</v>
      </c>
      <c r="C6084" s="6" t="s">
        <v>64</v>
      </c>
      <c r="D6084" s="6" t="s">
        <v>1032</v>
      </c>
      <c r="E6084" s="6" t="s">
        <v>1033</v>
      </c>
      <c r="F6084" s="6" t="str">
        <f>IF($M6084="PADD I","PADD 1",IF($M6084="PADD II","PADD 2",IF($M6084="PADD III","PADD 3",IF($M6084="PADD IV","PADD 4",IF($M6084="PADD V","PADD 5","")))))</f>
        <v>PADD 5</v>
      </c>
      <c r="G6084" s="6">
        <f>IF(AND($H6084="ATMOS DISTILLATION",ISNUMBER(SEARCH("VPS",$I6084))=FALSE,LEFT($I6084,6)&lt;&gt;"VACUUM"),"CDU",IF($H6084="FLUID CAT CRACKING","FCC",IF(OR($H6084="HYDROCRACKING",$H6084="RESID_HYDROCRACKING"),"Hydrocracker",IF($H6084="REFORMING","Reformer",""))))</f>
        <v/>
      </c>
      <c r="H6084" s="6" t="s">
        <v>378</v>
      </c>
      <c r="I6084" s="6" t="s">
        <v>1034</v>
      </c>
      <c r="J6084" s="6" t="s">
        <v>345</v>
      </c>
      <c r="K6084" s="10">
        <v>0.14</v>
      </c>
      <c r="L6084" s="10">
        <v>2</v>
      </c>
      <c r="M6084" s="6" t="s">
        <v>386</v>
      </c>
    </row>
    <row r="6085" spans="1:13">
      <c r="A6085" s="6">
        <v>2025</v>
      </c>
      <c r="B6085" s="6">
        <v>7</v>
      </c>
      <c r="C6085" s="6" t="s">
        <v>65</v>
      </c>
      <c r="D6085" s="6" t="s">
        <v>326</v>
      </c>
      <c r="E6085" s="6" t="s">
        <v>385</v>
      </c>
      <c r="F6085" s="6" t="str">
        <f>IF($M6085="PADD I","PADD 1",IF($M6085="PADD II","PADD 2",IF($M6085="PADD III","PADD 3",IF($M6085="PADD IV","PADD 4",IF($M6085="PADD V","PADD 5","")))))</f>
        <v>PADD 5</v>
      </c>
      <c r="G6085" s="6">
        <f>IF(AND($H6085="ATMOS DISTILLATION",ISNUMBER(SEARCH("VPS",$I6085))=FALSE,LEFT($I6085,6)&lt;&gt;"VACUUM"),"CDU",IF($H6085="FLUID CAT CRACKING","FCC",IF(OR($H6085="HYDROCRACKING",$H6085="RESID_HYDROCRACKING"),"Hydrocracker",IF($H6085="REFORMING","Reformer",""))))</f>
        <v/>
      </c>
      <c r="H6085" s="6" t="s">
        <v>43</v>
      </c>
      <c r="I6085" s="6" t="s">
        <v>1285</v>
      </c>
      <c r="J6085" s="6" t="s">
        <v>345</v>
      </c>
      <c r="K6085" s="10">
        <v>77.5</v>
      </c>
      <c r="L6085" s="10">
        <v>77.5</v>
      </c>
      <c r="M6085" s="6" t="s">
        <v>386</v>
      </c>
    </row>
    <row r="6086" spans="1:13">
      <c r="A6086" s="6">
        <v>2025</v>
      </c>
      <c r="B6086" s="6">
        <v>7</v>
      </c>
      <c r="C6086" s="6" t="s">
        <v>65</v>
      </c>
      <c r="D6086" s="6" t="s">
        <v>387</v>
      </c>
      <c r="E6086" s="6" t="s">
        <v>388</v>
      </c>
      <c r="F6086" s="6" t="str">
        <f>IF($M6086="PADD I","PADD 1",IF($M6086="PADD II","PADD 2",IF($M6086="PADD III","PADD 3",IF($M6086="PADD IV","PADD 4",IF($M6086="PADD V","PADD 5","")))))</f>
        <v>PADD 3</v>
      </c>
      <c r="G6086" s="6" t="str">
        <f>IF(AND($H6086="ATMOS DISTILLATION",ISNUMBER(SEARCH("VPS",$I6086))=FALSE,LEFT($I6086,6)&lt;&gt;"VACUUM"),"CDU",IF($H6086="FLUID CAT CRACKING","FCC",IF(OR($H6086="HYDROCRACKING",$H6086="RESID_HYDROCRACKING"),"Hydrocracker",IF($H6086="REFORMING","Reformer",""))))</f>
        <v>Hydrocracker</v>
      </c>
      <c r="H6086" s="6" t="s">
        <v>444</v>
      </c>
      <c r="I6086" s="6" t="s">
        <v>476</v>
      </c>
      <c r="J6086" s="6" t="s">
        <v>345</v>
      </c>
      <c r="K6086" s="10">
        <v>70</v>
      </c>
      <c r="L6086" s="10">
        <v>70</v>
      </c>
      <c r="M6086" s="6" t="s">
        <v>371</v>
      </c>
    </row>
    <row r="6087" spans="1:13">
      <c r="A6087" s="6">
        <v>2025</v>
      </c>
      <c r="B6087" s="6">
        <v>7</v>
      </c>
      <c r="C6087" s="6" t="s">
        <v>65</v>
      </c>
      <c r="D6087" s="6" t="s">
        <v>326</v>
      </c>
      <c r="E6087" s="6" t="s">
        <v>385</v>
      </c>
      <c r="F6087" s="6" t="str">
        <f>IF($M6087="PADD I","PADD 1",IF($M6087="PADD II","PADD 2",IF($M6087="PADD III","PADD 3",IF($M6087="PADD IV","PADD 4",IF($M6087="PADD V","PADD 5","")))))</f>
        <v>PADD 5</v>
      </c>
      <c r="G6087" s="6" t="str">
        <f>IF(AND($H6087="ATMOS DISTILLATION",ISNUMBER(SEARCH("VPS",$I6087))=FALSE,LEFT($I6087,6)&lt;&gt;"VACUUM"),"CDU",IF($H6087="FLUID CAT CRACKING","FCC",IF(OR($H6087="HYDROCRACKING",$H6087="RESID_HYDROCRACKING"),"Hydrocracker",IF($H6087="REFORMING","Reformer",""))))</f>
        <v>FCC</v>
      </c>
      <c r="H6087" s="6" t="s">
        <v>376</v>
      </c>
      <c r="I6087" s="6" t="s">
        <v>504</v>
      </c>
      <c r="J6087" s="6" t="s">
        <v>345</v>
      </c>
      <c r="K6087" s="10">
        <v>70</v>
      </c>
      <c r="L6087" s="10">
        <v>70</v>
      </c>
      <c r="M6087" s="6" t="s">
        <v>386</v>
      </c>
    </row>
    <row r="6088" spans="1:13">
      <c r="A6088" s="6">
        <v>2025</v>
      </c>
      <c r="B6088" s="6">
        <v>7</v>
      </c>
      <c r="C6088" s="6" t="s">
        <v>65</v>
      </c>
      <c r="D6088" s="6" t="s">
        <v>815</v>
      </c>
      <c r="E6088" s="6" t="s">
        <v>452</v>
      </c>
      <c r="F6088" s="6" t="str">
        <f>IF($M6088="PADD I","PADD 1",IF($M6088="PADD II","PADD 2",IF($M6088="PADD III","PADD 3",IF($M6088="PADD IV","PADD 4",IF($M6088="PADD V","PADD 5","")))))</f>
        <v>PADD 4</v>
      </c>
      <c r="G6088" s="6" t="str">
        <f>IF(AND($H6088="ATMOS DISTILLATION",ISNUMBER(SEARCH("VPS",$I6088))=FALSE,LEFT($I6088,6)&lt;&gt;"VACUUM"),"CDU",IF($H6088="FLUID CAT CRACKING","FCC",IF(OR($H6088="HYDROCRACKING",$H6088="RESID_HYDROCRACKING"),"Hydrocracker",IF($H6088="REFORMING","Reformer",""))))</f>
        <v>CDU</v>
      </c>
      <c r="H6088" s="6" t="s">
        <v>38</v>
      </c>
      <c r="I6088" s="6" t="s">
        <v>1231</v>
      </c>
      <c r="J6088" s="6" t="s">
        <v>345</v>
      </c>
      <c r="K6088" s="10">
        <v>61.155</v>
      </c>
      <c r="L6088" s="10">
        <v>75.5</v>
      </c>
      <c r="M6088" s="6" t="s">
        <v>430</v>
      </c>
    </row>
    <row r="6089" spans="1:13">
      <c r="A6089" s="6">
        <v>2025</v>
      </c>
      <c r="B6089" s="6">
        <v>7</v>
      </c>
      <c r="C6089" s="6" t="s">
        <v>65</v>
      </c>
      <c r="D6089" s="6" t="s">
        <v>326</v>
      </c>
      <c r="E6089" s="6" t="s">
        <v>385</v>
      </c>
      <c r="F6089" s="6" t="str">
        <f>IF($M6089="PADD I","PADD 1",IF($M6089="PADD II","PADD 2",IF($M6089="PADD III","PADD 3",IF($M6089="PADD IV","PADD 4",IF($M6089="PADD V","PADD 5","")))))</f>
        <v>PADD 5</v>
      </c>
      <c r="G6089" s="6" t="str">
        <f>IF(AND($H6089="ATMOS DISTILLATION",ISNUMBER(SEARCH("VPS",$I6089))=FALSE,LEFT($I6089,6)&lt;&gt;"VACUUM"),"CDU",IF($H6089="FLUID CAT CRACKING","FCC",IF(OR($H6089="HYDROCRACKING",$H6089="RESID_HYDROCRACKING"),"Hydrocracker",IF($H6089="REFORMING","Reformer",""))))</f>
        <v>CDU</v>
      </c>
      <c r="H6089" s="6" t="s">
        <v>38</v>
      </c>
      <c r="I6089" s="6" t="s">
        <v>93</v>
      </c>
      <c r="J6089" s="6" t="s">
        <v>345</v>
      </c>
      <c r="K6089" s="10">
        <v>54.25</v>
      </c>
      <c r="L6089" s="10">
        <v>54.25</v>
      </c>
      <c r="M6089" s="6" t="s">
        <v>386</v>
      </c>
    </row>
    <row r="6090" spans="1:13">
      <c r="A6090" s="6">
        <v>2025</v>
      </c>
      <c r="B6090" s="6">
        <v>7</v>
      </c>
      <c r="C6090" s="6" t="s">
        <v>65</v>
      </c>
      <c r="D6090" s="6" t="s">
        <v>572</v>
      </c>
      <c r="E6090" s="6" t="s">
        <v>573</v>
      </c>
      <c r="F6090" s="6" t="str">
        <f>IF($M6090="PADD I","PADD 1",IF($M6090="PADD II","PADD 2",IF($M6090="PADD III","PADD 3",IF($M6090="PADD IV","PADD 4",IF($M6090="PADD V","PADD 5","")))))</f>
        <v>PADD 3</v>
      </c>
      <c r="G6090" s="6" t="str">
        <f>IF(AND($H6090="ATMOS DISTILLATION",ISNUMBER(SEARCH("VPS",$I6090))=FALSE,LEFT($I6090,6)&lt;&gt;"VACUUM"),"CDU",IF($H6090="FLUID CAT CRACKING","FCC",IF(OR($H6090="HYDROCRACKING",$H6090="RESID_HYDROCRACKING"),"Hydrocracker",IF($H6090="REFORMING","Reformer",""))))</f>
        <v>CDU</v>
      </c>
      <c r="H6090" s="6" t="s">
        <v>38</v>
      </c>
      <c r="I6090" s="6" t="s">
        <v>574</v>
      </c>
      <c r="J6090" s="6" t="s">
        <v>349</v>
      </c>
      <c r="K6090" s="10">
        <v>50</v>
      </c>
      <c r="L6090" s="10">
        <v>50</v>
      </c>
      <c r="M6090" s="6" t="s">
        <v>371</v>
      </c>
    </row>
    <row r="6091" spans="1:13">
      <c r="A6091" s="6">
        <v>2025</v>
      </c>
      <c r="B6091" s="6">
        <v>7</v>
      </c>
      <c r="C6091" s="6" t="s">
        <v>65</v>
      </c>
      <c r="D6091" s="6" t="s">
        <v>500</v>
      </c>
      <c r="E6091" s="6" t="s">
        <v>388</v>
      </c>
      <c r="F6091" s="6" t="str">
        <f>IF($M6091="PADD I","PADD 1",IF($M6091="PADD II","PADD 2",IF($M6091="PADD III","PADD 3",IF($M6091="PADD IV","PADD 4",IF($M6091="PADD V","PADD 5","")))))</f>
        <v>PADD 2</v>
      </c>
      <c r="G6091" s="6" t="str">
        <f>IF(AND($H6091="ATMOS DISTILLATION",ISNUMBER(SEARCH("VPS",$I6091))=FALSE,LEFT($I6091,6)&lt;&gt;"VACUUM"),"CDU",IF($H6091="FLUID CAT CRACKING","FCC",IF(OR($H6091="HYDROCRACKING",$H6091="RESID_HYDROCRACKING"),"Hydrocracker",IF($H6091="REFORMING","Reformer",""))))</f>
        <v>CDU</v>
      </c>
      <c r="H6091" s="6" t="s">
        <v>38</v>
      </c>
      <c r="I6091" s="6" t="s">
        <v>530</v>
      </c>
      <c r="J6091" s="6" t="s">
        <v>349</v>
      </c>
      <c r="K6091" s="10">
        <v>44.16</v>
      </c>
      <c r="L6091" s="10">
        <v>92</v>
      </c>
      <c r="M6091" s="6" t="s">
        <v>375</v>
      </c>
    </row>
    <row r="6092" spans="1:13">
      <c r="A6092" s="6">
        <v>2025</v>
      </c>
      <c r="B6092" s="6">
        <v>7</v>
      </c>
      <c r="C6092" s="6" t="s">
        <v>65</v>
      </c>
      <c r="D6092" s="6" t="s">
        <v>326</v>
      </c>
      <c r="E6092" s="6" t="s">
        <v>385</v>
      </c>
      <c r="F6092" s="6" t="str">
        <f>IF($M6092="PADD I","PADD 1",IF($M6092="PADD II","PADD 2",IF($M6092="PADD III","PADD 3",IF($M6092="PADD IV","PADD 4",IF($M6092="PADD V","PADD 5","")))))</f>
        <v>PADD 5</v>
      </c>
      <c r="G6092" s="6" t="str">
        <f>IF(AND($H6092="ATMOS DISTILLATION",ISNUMBER(SEARCH("VPS",$I6092))=FALSE,LEFT($I6092,6)&lt;&gt;"VACUUM"),"CDU",IF($H6092="FLUID CAT CRACKING","FCC",IF(OR($H6092="HYDROCRACKING",$H6092="RESID_HYDROCRACKING"),"Hydrocracker",IF($H6092="REFORMING","Reformer",""))))</f>
        <v>Hydrocracker</v>
      </c>
      <c r="H6092" s="6" t="s">
        <v>444</v>
      </c>
      <c r="I6092" s="6" t="s">
        <v>498</v>
      </c>
      <c r="J6092" s="6" t="s">
        <v>345</v>
      </c>
      <c r="K6092" s="10">
        <v>42</v>
      </c>
      <c r="L6092" s="10">
        <v>42</v>
      </c>
      <c r="M6092" s="6" t="s">
        <v>386</v>
      </c>
    </row>
    <row r="6093" spans="1:13">
      <c r="A6093" s="6">
        <v>2025</v>
      </c>
      <c r="B6093" s="6">
        <v>7</v>
      </c>
      <c r="C6093" s="6" t="s">
        <v>65</v>
      </c>
      <c r="D6093" s="6" t="s">
        <v>326</v>
      </c>
      <c r="E6093" s="6" t="s">
        <v>385</v>
      </c>
      <c r="F6093" s="6" t="str">
        <f>IF($M6093="PADD I","PADD 1",IF($M6093="PADD II","PADD 2",IF($M6093="PADD III","PADD 3",IF($M6093="PADD IV","PADD 4",IF($M6093="PADD V","PADD 5","")))))</f>
        <v>PADD 5</v>
      </c>
      <c r="G6093" s="6">
        <f>IF(AND($H6093="ATMOS DISTILLATION",ISNUMBER(SEARCH("VPS",$I6093))=FALSE,LEFT($I6093,6)&lt;&gt;"VACUUM"),"CDU",IF($H6093="FLUID CAT CRACKING","FCC",IF(OR($H6093="HYDROCRACKING",$H6093="RESID_HYDROCRACKING"),"Hydrocracker",IF($H6093="REFORMING","Reformer",""))))</f>
        <v/>
      </c>
      <c r="H6093" s="6" t="s">
        <v>378</v>
      </c>
      <c r="I6093" s="6" t="s">
        <v>431</v>
      </c>
      <c r="J6093" s="6" t="s">
        <v>345</v>
      </c>
      <c r="K6093" s="10">
        <v>31.5</v>
      </c>
      <c r="L6093" s="10">
        <v>31.5</v>
      </c>
      <c r="M6093" s="6" t="s">
        <v>386</v>
      </c>
    </row>
    <row r="6094" spans="1:13">
      <c r="A6094" s="6">
        <v>2025</v>
      </c>
      <c r="B6094" s="6">
        <v>7</v>
      </c>
      <c r="C6094" s="6" t="s">
        <v>65</v>
      </c>
      <c r="D6094" s="6" t="s">
        <v>770</v>
      </c>
      <c r="E6094" s="6" t="s">
        <v>660</v>
      </c>
      <c r="F6094" s="6" t="str">
        <f>IF($M6094="PADD I","PADD 1",IF($M6094="PADD II","PADD 2",IF($M6094="PADD III","PADD 3",IF($M6094="PADD IV","PADD 4",IF($M6094="PADD V","PADD 5","")))))</f>
        <v>PADD 3</v>
      </c>
      <c r="G6094" s="6">
        <f>IF(AND($H6094="ATMOS DISTILLATION",ISNUMBER(SEARCH("VPS",$I6094))=FALSE,LEFT($I6094,6)&lt;&gt;"VACUUM"),"CDU",IF($H6094="FLUID CAT CRACKING","FCC",IF(OR($H6094="HYDROCRACKING",$H6094="RESID_HYDROCRACKING"),"Hydrocracker",IF($H6094="REFORMING","Reformer",""))))</f>
        <v/>
      </c>
      <c r="H6094" s="6" t="s">
        <v>435</v>
      </c>
      <c r="I6094" s="6" t="s">
        <v>441</v>
      </c>
      <c r="J6094" s="6" t="s">
        <v>345</v>
      </c>
      <c r="K6094" s="10">
        <v>30.08</v>
      </c>
      <c r="L6094" s="10">
        <v>32</v>
      </c>
      <c r="M6094" s="6" t="s">
        <v>371</v>
      </c>
    </row>
    <row r="6095" spans="1:13">
      <c r="A6095" s="6">
        <v>2025</v>
      </c>
      <c r="B6095" s="6">
        <v>7</v>
      </c>
      <c r="C6095" s="6" t="s">
        <v>65</v>
      </c>
      <c r="D6095" s="6" t="s">
        <v>411</v>
      </c>
      <c r="E6095" s="6" t="s">
        <v>369</v>
      </c>
      <c r="F6095" s="6" t="str">
        <f>IF($M6095="PADD I","PADD 1",IF($M6095="PADD II","PADD 2",IF($M6095="PADD III","PADD 3",IF($M6095="PADD IV","PADD 4",IF($M6095="PADD V","PADD 5","")))))</f>
        <v>PADD 1</v>
      </c>
      <c r="G6095" s="6" t="str">
        <f>IF(AND($H6095="ATMOS DISTILLATION",ISNUMBER(SEARCH("VPS",$I6095))=FALSE,LEFT($I6095,6)&lt;&gt;"VACUUM"),"CDU",IF($H6095="FLUID CAT CRACKING","FCC",IF(OR($H6095="HYDROCRACKING",$H6095="RESID_HYDROCRACKING"),"Hydrocracker",IF($H6095="REFORMING","Reformer",""))))</f>
        <v>FCC</v>
      </c>
      <c r="H6095" s="6" t="s">
        <v>376</v>
      </c>
      <c r="I6095" s="6" t="s">
        <v>105</v>
      </c>
      <c r="J6095" s="6" t="s">
        <v>345</v>
      </c>
      <c r="K6095" s="10">
        <v>28.5</v>
      </c>
      <c r="L6095" s="10">
        <v>150</v>
      </c>
      <c r="M6095" s="6" t="s">
        <v>413</v>
      </c>
    </row>
    <row r="6096" spans="1:13">
      <c r="A6096" s="6">
        <v>2025</v>
      </c>
      <c r="B6096" s="6">
        <v>7</v>
      </c>
      <c r="C6096" s="6" t="s">
        <v>65</v>
      </c>
      <c r="D6096" s="6" t="s">
        <v>387</v>
      </c>
      <c r="E6096" s="6" t="s">
        <v>388</v>
      </c>
      <c r="F6096" s="6" t="str">
        <f>IF($M6096="PADD I","PADD 1",IF($M6096="PADD II","PADD 2",IF($M6096="PADD III","PADD 3",IF($M6096="PADD IV","PADD 4",IF($M6096="PADD V","PADD 5","")))))</f>
        <v>PADD 3</v>
      </c>
      <c r="G6096" s="6" t="str">
        <f>IF(AND($H6096="ATMOS DISTILLATION",ISNUMBER(SEARCH("VPS",$I6096))=FALSE,LEFT($I6096,6)&lt;&gt;"VACUUM"),"CDU",IF($H6096="FLUID CAT CRACKING","FCC",IF(OR($H6096="HYDROCRACKING",$H6096="RESID_HYDROCRACKING"),"Hydrocracker",IF($H6096="REFORMING","Reformer",""))))</f>
        <v>FCC</v>
      </c>
      <c r="H6096" s="6" t="s">
        <v>376</v>
      </c>
      <c r="I6096" s="6" t="s">
        <v>472</v>
      </c>
      <c r="J6096" s="6" t="s">
        <v>345</v>
      </c>
      <c r="K6096" s="10">
        <v>27.55</v>
      </c>
      <c r="L6096" s="10">
        <v>145</v>
      </c>
      <c r="M6096" s="6" t="s">
        <v>371</v>
      </c>
    </row>
    <row r="6097" spans="1:13">
      <c r="A6097" s="6">
        <v>2025</v>
      </c>
      <c r="B6097" s="6">
        <v>7</v>
      </c>
      <c r="C6097" s="6" t="s">
        <v>65</v>
      </c>
      <c r="D6097" s="6" t="s">
        <v>500</v>
      </c>
      <c r="E6097" s="6" t="s">
        <v>388</v>
      </c>
      <c r="F6097" s="6" t="str">
        <f>IF($M6097="PADD I","PADD 1",IF($M6097="PADD II","PADD 2",IF($M6097="PADD III","PADD 3",IF($M6097="PADD IV","PADD 4",IF($M6097="PADD V","PADD 5","")))))</f>
        <v>PADD 2</v>
      </c>
      <c r="G6097" s="6">
        <f>IF(AND($H6097="ATMOS DISTILLATION",ISNUMBER(SEARCH("VPS",$I6097))=FALSE,LEFT($I6097,6)&lt;&gt;"VACUUM"),"CDU",IF($H6097="FLUID CAT CRACKING","FCC",IF(OR($H6097="HYDROCRACKING",$H6097="RESID_HYDROCRACKING"),"Hydrocracker",IF($H6097="REFORMING","Reformer",""))))</f>
        <v/>
      </c>
      <c r="H6097" s="6" t="s">
        <v>378</v>
      </c>
      <c r="I6097" s="6" t="s">
        <v>431</v>
      </c>
      <c r="J6097" s="6" t="s">
        <v>349</v>
      </c>
      <c r="K6097" s="10">
        <v>25.92</v>
      </c>
      <c r="L6097" s="10">
        <v>32</v>
      </c>
      <c r="M6097" s="6" t="s">
        <v>375</v>
      </c>
    </row>
    <row r="6098" spans="1:13">
      <c r="A6098" s="6">
        <v>2025</v>
      </c>
      <c r="B6098" s="6">
        <v>7</v>
      </c>
      <c r="C6098" s="6" t="s">
        <v>65</v>
      </c>
      <c r="D6098" s="6" t="s">
        <v>411</v>
      </c>
      <c r="E6098" s="6" t="s">
        <v>369</v>
      </c>
      <c r="F6098" s="6" t="str">
        <f>IF($M6098="PADD I","PADD 1",IF($M6098="PADD II","PADD 2",IF($M6098="PADD III","PADD 3",IF($M6098="PADD IV","PADD 4",IF($M6098="PADD V","PADD 5","")))))</f>
        <v>PADD 1</v>
      </c>
      <c r="G6098" s="6" t="str">
        <f>IF(AND($H6098="ATMOS DISTILLATION",ISNUMBER(SEARCH("VPS",$I6098))=FALSE,LEFT($I6098,6)&lt;&gt;"VACUUM"),"CDU",IF($H6098="FLUID CAT CRACKING","FCC",IF(OR($H6098="HYDROCRACKING",$H6098="RESID_HYDROCRACKING"),"Hydrocracker",IF($H6098="REFORMING","Reformer",""))))</f>
        <v>CDU</v>
      </c>
      <c r="H6098" s="6" t="s">
        <v>38</v>
      </c>
      <c r="I6098" s="6" t="s">
        <v>529</v>
      </c>
      <c r="J6098" s="6" t="s">
        <v>345</v>
      </c>
      <c r="K6098" s="10">
        <v>24.605</v>
      </c>
      <c r="L6098" s="10">
        <v>129.5</v>
      </c>
      <c r="M6098" s="6" t="s">
        <v>413</v>
      </c>
    </row>
    <row r="6099" spans="1:13">
      <c r="A6099" s="6">
        <v>2025</v>
      </c>
      <c r="B6099" s="6">
        <v>7</v>
      </c>
      <c r="C6099" s="6" t="s">
        <v>65</v>
      </c>
      <c r="D6099" s="6" t="s">
        <v>411</v>
      </c>
      <c r="E6099" s="6" t="s">
        <v>369</v>
      </c>
      <c r="F6099" s="6" t="str">
        <f>IF($M6099="PADD I","PADD 1",IF($M6099="PADD II","PADD 2",IF($M6099="PADD III","PADD 3",IF($M6099="PADD IV","PADD 4",IF($M6099="PADD V","PADD 5","")))))</f>
        <v>PADD 1</v>
      </c>
      <c r="G6099" s="6" t="str">
        <f>IF(AND($H6099="ATMOS DISTILLATION",ISNUMBER(SEARCH("VPS",$I6099))=FALSE,LEFT($I6099,6)&lt;&gt;"VACUUM"),"CDU",IF($H6099="FLUID CAT CRACKING","FCC",IF(OR($H6099="HYDROCRACKING",$H6099="RESID_HYDROCRACKING"),"Hydrocracker",IF($H6099="REFORMING","Reformer",""))))</f>
        <v>CDU</v>
      </c>
      <c r="H6099" s="6" t="s">
        <v>38</v>
      </c>
      <c r="I6099" s="6" t="s">
        <v>412</v>
      </c>
      <c r="J6099" s="6" t="s">
        <v>345</v>
      </c>
      <c r="K6099" s="10">
        <v>24.51</v>
      </c>
      <c r="L6099" s="10">
        <v>129</v>
      </c>
      <c r="M6099" s="6" t="s">
        <v>413</v>
      </c>
    </row>
    <row r="6100" spans="1:13">
      <c r="A6100" s="6">
        <v>2025</v>
      </c>
      <c r="B6100" s="6">
        <v>7</v>
      </c>
      <c r="C6100" s="6" t="s">
        <v>65</v>
      </c>
      <c r="D6100" s="6" t="s">
        <v>500</v>
      </c>
      <c r="E6100" s="6" t="s">
        <v>388</v>
      </c>
      <c r="F6100" s="6" t="str">
        <f>IF($M6100="PADD I","PADD 1",IF($M6100="PADD II","PADD 2",IF($M6100="PADD III","PADD 3",IF($M6100="PADD IV","PADD 4",IF($M6100="PADD V","PADD 5","")))))</f>
        <v>PADD 2</v>
      </c>
      <c r="G6100" s="6">
        <f>IF(AND($H6100="ATMOS DISTILLATION",ISNUMBER(SEARCH("VPS",$I6100))=FALSE,LEFT($I6100,6)&lt;&gt;"VACUUM"),"CDU",IF($H6100="FLUID CAT CRACKING","FCC",IF(OR($H6100="HYDROCRACKING",$H6100="RESID_HYDROCRACKING"),"Hydrocracker",IF($H6100="REFORMING","Reformer",""))))</f>
        <v/>
      </c>
      <c r="H6100" s="6" t="s">
        <v>43</v>
      </c>
      <c r="I6100" s="6" t="s">
        <v>918</v>
      </c>
      <c r="J6100" s="6" t="s">
        <v>349</v>
      </c>
      <c r="K6100" s="10">
        <v>20.25</v>
      </c>
      <c r="L6100" s="10">
        <v>25</v>
      </c>
      <c r="M6100" s="6" t="s">
        <v>375</v>
      </c>
    </row>
    <row r="6101" spans="1:13">
      <c r="A6101" s="6">
        <v>2025</v>
      </c>
      <c r="B6101" s="6">
        <v>7</v>
      </c>
      <c r="C6101" s="6" t="s">
        <v>65</v>
      </c>
      <c r="D6101" s="6" t="s">
        <v>500</v>
      </c>
      <c r="E6101" s="6" t="s">
        <v>388</v>
      </c>
      <c r="F6101" s="6" t="str">
        <f>IF($M6101="PADD I","PADD 1",IF($M6101="PADD II","PADD 2",IF($M6101="PADD III","PADD 3",IF($M6101="PADD IV","PADD 4",IF($M6101="PADD V","PADD 5","")))))</f>
        <v>PADD 2</v>
      </c>
      <c r="G6101" s="6" t="str">
        <f>IF(AND($H6101="ATMOS DISTILLATION",ISNUMBER(SEARCH("VPS",$I6101))=FALSE,LEFT($I6101,6)&lt;&gt;"VACUUM"),"CDU",IF($H6101="FLUID CAT CRACKING","FCC",IF(OR($H6101="HYDROCRACKING",$H6101="RESID_HYDROCRACKING"),"Hydrocracker",IF($H6101="REFORMING","Reformer",""))))</f>
        <v>CDU</v>
      </c>
      <c r="H6101" s="6" t="s">
        <v>38</v>
      </c>
      <c r="I6101" s="6" t="s">
        <v>917</v>
      </c>
      <c r="J6101" s="6" t="s">
        <v>349</v>
      </c>
      <c r="K6101" s="10">
        <v>20.25</v>
      </c>
      <c r="L6101" s="10">
        <v>25</v>
      </c>
      <c r="M6101" s="6" t="s">
        <v>375</v>
      </c>
    </row>
    <row r="6102" spans="1:13">
      <c r="A6102" s="6">
        <v>2025</v>
      </c>
      <c r="B6102" s="6">
        <v>7</v>
      </c>
      <c r="C6102" s="6" t="s">
        <v>65</v>
      </c>
      <c r="D6102" s="6" t="s">
        <v>333</v>
      </c>
      <c r="E6102" s="6" t="s">
        <v>381</v>
      </c>
      <c r="F6102" s="6" t="str">
        <f>IF($M6102="PADD I","PADD 1",IF($M6102="PADD II","PADD 2",IF($M6102="PADD III","PADD 3",IF($M6102="PADD IV","PADD 4",IF($M6102="PADD V","PADD 5","")))))</f>
        <v>PADD 3</v>
      </c>
      <c r="G6102" s="6">
        <f>IF(AND($H6102="ATMOS DISTILLATION",ISNUMBER(SEARCH("VPS",$I6102))=FALSE,LEFT($I6102,6)&lt;&gt;"VACUUM"),"CDU",IF($H6102="FLUID CAT CRACKING","FCC",IF(OR($H6102="HYDROCRACKING",$H6102="RESID_HYDROCRACKING"),"Hydrocracker",IF($H6102="REFORMING","Reformer",""))))</f>
        <v/>
      </c>
      <c r="H6102" s="6" t="s">
        <v>43</v>
      </c>
      <c r="I6102" s="6" t="s">
        <v>943</v>
      </c>
      <c r="J6102" s="6" t="s">
        <v>345</v>
      </c>
      <c r="K6102" s="10">
        <v>19.2</v>
      </c>
      <c r="L6102" s="10">
        <v>40</v>
      </c>
      <c r="M6102" s="6" t="s">
        <v>371</v>
      </c>
    </row>
    <row r="6103" spans="1:13">
      <c r="A6103" s="6">
        <v>2025</v>
      </c>
      <c r="B6103" s="6">
        <v>7</v>
      </c>
      <c r="C6103" s="6" t="s">
        <v>65</v>
      </c>
      <c r="D6103" s="6" t="s">
        <v>326</v>
      </c>
      <c r="E6103" s="6" t="s">
        <v>385</v>
      </c>
      <c r="F6103" s="6" t="str">
        <f>IF($M6103="PADD I","PADD 1",IF($M6103="PADD II","PADD 2",IF($M6103="PADD III","PADD 3",IF($M6103="PADD IV","PADD 4",IF($M6103="PADD V","PADD 5","")))))</f>
        <v>PADD 5</v>
      </c>
      <c r="G6103" s="6">
        <f>IF(AND($H6103="ATMOS DISTILLATION",ISNUMBER(SEARCH("VPS",$I6103))=FALSE,LEFT($I6103,6)&lt;&gt;"VACUUM"),"CDU",IF($H6103="FLUID CAT CRACKING","FCC",IF(OR($H6103="HYDROCRACKING",$H6103="RESID_HYDROCRACKING"),"Hydrocracker",IF($H6103="REFORMING","Reformer",""))))</f>
        <v/>
      </c>
      <c r="H6103" s="6" t="s">
        <v>43</v>
      </c>
      <c r="I6103" s="6" t="s">
        <v>1174</v>
      </c>
      <c r="J6103" s="6" t="s">
        <v>345</v>
      </c>
      <c r="K6103" s="10">
        <v>17.57</v>
      </c>
      <c r="L6103" s="10">
        <v>17.57</v>
      </c>
      <c r="M6103" s="6" t="s">
        <v>386</v>
      </c>
    </row>
    <row r="6104" spans="1:13">
      <c r="A6104" s="6">
        <v>2025</v>
      </c>
      <c r="B6104" s="6">
        <v>7</v>
      </c>
      <c r="C6104" s="6" t="s">
        <v>65</v>
      </c>
      <c r="D6104" s="6" t="s">
        <v>500</v>
      </c>
      <c r="E6104" s="6" t="s">
        <v>388</v>
      </c>
      <c r="F6104" s="6" t="str">
        <f>IF($M6104="PADD I","PADD 1",IF($M6104="PADD II","PADD 2",IF($M6104="PADD III","PADD 3",IF($M6104="PADD IV","PADD 4",IF($M6104="PADD V","PADD 5","")))))</f>
        <v>PADD 2</v>
      </c>
      <c r="G6104" s="6">
        <f>IF(AND($H6104="ATMOS DISTILLATION",ISNUMBER(SEARCH("VPS",$I6104))=FALSE,LEFT($I6104,6)&lt;&gt;"VACUUM"),"CDU",IF($H6104="FLUID CAT CRACKING","FCC",IF(OR($H6104="HYDROCRACKING",$H6104="RESID_HYDROCRACKING"),"Hydrocracker",IF($H6104="REFORMING","Reformer",""))))</f>
        <v/>
      </c>
      <c r="H6104" s="6" t="s">
        <v>43</v>
      </c>
      <c r="I6104" s="6" t="s">
        <v>921</v>
      </c>
      <c r="J6104" s="6" t="s">
        <v>349</v>
      </c>
      <c r="K6104" s="10">
        <v>16.2</v>
      </c>
      <c r="L6104" s="10">
        <v>20</v>
      </c>
      <c r="M6104" s="6" t="s">
        <v>375</v>
      </c>
    </row>
    <row r="6105" spans="1:13">
      <c r="A6105" s="6">
        <v>2025</v>
      </c>
      <c r="B6105" s="6">
        <v>7</v>
      </c>
      <c r="C6105" s="6" t="s">
        <v>65</v>
      </c>
      <c r="D6105" s="6" t="s">
        <v>411</v>
      </c>
      <c r="E6105" s="6" t="s">
        <v>369</v>
      </c>
      <c r="F6105" s="6" t="str">
        <f>IF($M6105="PADD I","PADD 1",IF($M6105="PADD II","PADD 2",IF($M6105="PADD III","PADD 3",IF($M6105="PADD IV","PADD 4",IF($M6105="PADD V","PADD 5","")))))</f>
        <v>PADD 1</v>
      </c>
      <c r="G6105" s="6">
        <f>IF(AND($H6105="ATMOS DISTILLATION",ISNUMBER(SEARCH("VPS",$I6105))=FALSE,LEFT($I6105,6)&lt;&gt;"VACUUM"),"CDU",IF($H6105="FLUID CAT CRACKING","FCC",IF(OR($H6105="HYDROCRACKING",$H6105="RESID_HYDROCRACKING"),"Hydrocracker",IF($H6105="REFORMING","Reformer",""))))</f>
        <v/>
      </c>
      <c r="H6105" s="6" t="s">
        <v>43</v>
      </c>
      <c r="I6105" s="6" t="s">
        <v>458</v>
      </c>
      <c r="J6105" s="6" t="s">
        <v>345</v>
      </c>
      <c r="K6105" s="10">
        <v>16.15</v>
      </c>
      <c r="L6105" s="10">
        <v>85</v>
      </c>
      <c r="M6105" s="6" t="s">
        <v>413</v>
      </c>
    </row>
    <row r="6106" spans="1:13">
      <c r="A6106" s="6">
        <v>2025</v>
      </c>
      <c r="B6106" s="6">
        <v>7</v>
      </c>
      <c r="C6106" s="6" t="s">
        <v>65</v>
      </c>
      <c r="D6106" s="6" t="s">
        <v>387</v>
      </c>
      <c r="E6106" s="6" t="s">
        <v>388</v>
      </c>
      <c r="F6106" s="6" t="str">
        <f>IF($M6106="PADD I","PADD 1",IF($M6106="PADD II","PADD 2",IF($M6106="PADD III","PADD 3",IF($M6106="PADD IV","PADD 4",IF($M6106="PADD V","PADD 5","")))))</f>
        <v>PADD 3</v>
      </c>
      <c r="G6106" s="6" t="str">
        <f>IF(AND($H6106="ATMOS DISTILLATION",ISNUMBER(SEARCH("VPS",$I6106))=FALSE,LEFT($I6106,6)&lt;&gt;"VACUUM"),"CDU",IF($H6106="FLUID CAT CRACKING","FCC",IF(OR($H6106="HYDROCRACKING",$H6106="RESID_HYDROCRACKING"),"Hydrocracker",IF($H6106="REFORMING","Reformer",""))))</f>
        <v>Hydrocracker</v>
      </c>
      <c r="H6106" s="6" t="s">
        <v>581</v>
      </c>
      <c r="I6106" s="6" t="s">
        <v>868</v>
      </c>
      <c r="J6106" s="6" t="s">
        <v>345</v>
      </c>
      <c r="K6106" s="10">
        <v>16</v>
      </c>
      <c r="L6106" s="10">
        <v>16</v>
      </c>
      <c r="M6106" s="6" t="s">
        <v>371</v>
      </c>
    </row>
    <row r="6107" spans="1:13">
      <c r="A6107" s="6">
        <v>2025</v>
      </c>
      <c r="B6107" s="6">
        <v>7</v>
      </c>
      <c r="C6107" s="6" t="s">
        <v>65</v>
      </c>
      <c r="D6107" s="6" t="s">
        <v>815</v>
      </c>
      <c r="E6107" s="6" t="s">
        <v>452</v>
      </c>
      <c r="F6107" s="6" t="str">
        <f>IF($M6107="PADD I","PADD 1",IF($M6107="PADD II","PADD 2",IF($M6107="PADD III","PADD 3",IF($M6107="PADD IV","PADD 4",IF($M6107="PADD V","PADD 5","")))))</f>
        <v>PADD 4</v>
      </c>
      <c r="G6107" s="6" t="str">
        <f>IF(AND($H6107="ATMOS DISTILLATION",ISNUMBER(SEARCH("VPS",$I6107))=FALSE,LEFT($I6107,6)&lt;&gt;"VACUUM"),"CDU",IF($H6107="FLUID CAT CRACKING","FCC",IF(OR($H6107="HYDROCRACKING",$H6107="RESID_HYDROCRACKING"),"Hydrocracker",IF($H6107="REFORMING","Reformer",""))))</f>
        <v>FCC</v>
      </c>
      <c r="H6107" s="6" t="s">
        <v>376</v>
      </c>
      <c r="I6107" s="6" t="s">
        <v>836</v>
      </c>
      <c r="J6107" s="6" t="s">
        <v>345</v>
      </c>
      <c r="K6107" s="10">
        <v>15.228</v>
      </c>
      <c r="L6107" s="10">
        <v>16.2</v>
      </c>
      <c r="M6107" s="6" t="s">
        <v>430</v>
      </c>
    </row>
    <row r="6108" spans="1:13">
      <c r="A6108" s="6">
        <v>2025</v>
      </c>
      <c r="B6108" s="6">
        <v>7</v>
      </c>
      <c r="C6108" s="6" t="s">
        <v>65</v>
      </c>
      <c r="D6108" s="6" t="s">
        <v>1130</v>
      </c>
      <c r="E6108" s="6" t="s">
        <v>452</v>
      </c>
      <c r="F6108" s="6" t="str">
        <f>IF($M6108="PADD I","PADD 1",IF($M6108="PADD II","PADD 2",IF($M6108="PADD III","PADD 3",IF($M6108="PADD IV","PADD 4",IF($M6108="PADD V","PADD 5","")))))</f>
        <v>PADD 2</v>
      </c>
      <c r="G6108" s="6">
        <f>IF(AND($H6108="ATMOS DISTILLATION",ISNUMBER(SEARCH("VPS",$I6108))=FALSE,LEFT($I6108,6)&lt;&gt;"VACUUM"),"CDU",IF($H6108="FLUID CAT CRACKING","FCC",IF(OR($H6108="HYDROCRACKING",$H6108="RESID_HYDROCRACKING"),"Hydrocracker",IF($H6108="REFORMING","Reformer",""))))</f>
        <v/>
      </c>
      <c r="H6108" s="6" t="s">
        <v>43</v>
      </c>
      <c r="I6108" s="6" t="s">
        <v>493</v>
      </c>
      <c r="J6108" s="6" t="s">
        <v>345</v>
      </c>
      <c r="K6108" s="10">
        <v>15.035</v>
      </c>
      <c r="L6108" s="10">
        <v>15.5</v>
      </c>
      <c r="M6108" s="6" t="s">
        <v>375</v>
      </c>
    </row>
    <row r="6109" spans="1:13">
      <c r="A6109" s="6">
        <v>2025</v>
      </c>
      <c r="B6109" s="6">
        <v>7</v>
      </c>
      <c r="C6109" s="6" t="s">
        <v>65</v>
      </c>
      <c r="D6109" s="6" t="s">
        <v>434</v>
      </c>
      <c r="E6109" s="6" t="s">
        <v>388</v>
      </c>
      <c r="F6109" s="6" t="str">
        <f>IF($M6109="PADD I","PADD 1",IF($M6109="PADD II","PADD 2",IF($M6109="PADD III","PADD 3",IF($M6109="PADD IV","PADD 4",IF($M6109="PADD V","PADD 5","")))))</f>
        <v>PADD 5</v>
      </c>
      <c r="G6109" s="6">
        <f>IF(AND($H6109="ATMOS DISTILLATION",ISNUMBER(SEARCH("VPS",$I6109))=FALSE,LEFT($I6109,6)&lt;&gt;"VACUUM"),"CDU",IF($H6109="FLUID CAT CRACKING","FCC",IF(OR($H6109="HYDROCRACKING",$H6109="RESID_HYDROCRACKING"),"Hydrocracker",IF($H6109="REFORMING","Reformer",""))))</f>
        <v/>
      </c>
      <c r="H6109" s="6" t="s">
        <v>435</v>
      </c>
      <c r="I6109" s="6" t="s">
        <v>436</v>
      </c>
      <c r="J6109" s="6" t="s">
        <v>345</v>
      </c>
      <c r="K6109" s="10">
        <v>14.7</v>
      </c>
      <c r="L6109" s="10">
        <v>42</v>
      </c>
      <c r="M6109" s="6" t="s">
        <v>386</v>
      </c>
    </row>
    <row r="6110" spans="1:13">
      <c r="A6110" s="6">
        <v>2025</v>
      </c>
      <c r="B6110" s="6">
        <v>7</v>
      </c>
      <c r="C6110" s="6" t="s">
        <v>65</v>
      </c>
      <c r="D6110" s="6" t="s">
        <v>346</v>
      </c>
      <c r="E6110" s="6" t="s">
        <v>383</v>
      </c>
      <c r="F6110" s="6" t="str">
        <f>IF($M6110="PADD I","PADD 1",IF($M6110="PADD II","PADD 2",IF($M6110="PADD III","PADD 3",IF($M6110="PADD IV","PADD 4",IF($M6110="PADD V","PADD 5","")))))</f>
        <v>PADD 2</v>
      </c>
      <c r="G6110" s="6" t="str">
        <f>IF(AND($H6110="ATMOS DISTILLATION",ISNUMBER(SEARCH("VPS",$I6110))=FALSE,LEFT($I6110,6)&lt;&gt;"VACUUM"),"CDU",IF($H6110="FLUID CAT CRACKING","FCC",IF(OR($H6110="HYDROCRACKING",$H6110="RESID_HYDROCRACKING"),"Hydrocracker",IF($H6110="REFORMING","Reformer",""))))</f>
        <v>Hydrocracker</v>
      </c>
      <c r="H6110" s="6" t="s">
        <v>444</v>
      </c>
      <c r="I6110" s="6" t="s">
        <v>463</v>
      </c>
      <c r="J6110" s="6" t="s">
        <v>345</v>
      </c>
      <c r="K6110" s="10">
        <v>14.4</v>
      </c>
      <c r="L6110" s="10">
        <v>32</v>
      </c>
      <c r="M6110" s="6" t="s">
        <v>375</v>
      </c>
    </row>
    <row r="6111" spans="1:13">
      <c r="A6111" s="6">
        <v>2025</v>
      </c>
      <c r="B6111" s="6">
        <v>7</v>
      </c>
      <c r="C6111" s="6" t="s">
        <v>65</v>
      </c>
      <c r="D6111" s="6" t="s">
        <v>40</v>
      </c>
      <c r="E6111" s="6" t="s">
        <v>736</v>
      </c>
      <c r="F6111" s="6" t="str">
        <f>IF($M6111="PADD I","PADD 1",IF($M6111="PADD II","PADD 2",IF($M6111="PADD III","PADD 3",IF($M6111="PADD IV","PADD 4",IF($M6111="PADD V","PADD 5","")))))</f>
        <v>PADD 1</v>
      </c>
      <c r="G6111" s="6" t="str">
        <f>IF(AND($H6111="ATMOS DISTILLATION",ISNUMBER(SEARCH("VPS",$I6111))=FALSE,LEFT($I6111,6)&lt;&gt;"VACUUM"),"CDU",IF($H6111="FLUID CAT CRACKING","FCC",IF(OR($H6111="HYDROCRACKING",$H6111="RESID_HYDROCRACKING"),"Hydrocracker",IF($H6111="REFORMING","Reformer",""))))</f>
        <v>CDU</v>
      </c>
      <c r="H6111" s="6" t="s">
        <v>38</v>
      </c>
      <c r="I6111" s="6" t="s">
        <v>980</v>
      </c>
      <c r="J6111" s="6" t="s">
        <v>345</v>
      </c>
      <c r="K6111" s="10">
        <v>13.52</v>
      </c>
      <c r="L6111" s="10">
        <v>104</v>
      </c>
      <c r="M6111" s="6" t="s">
        <v>413</v>
      </c>
    </row>
    <row r="6112" spans="1:13">
      <c r="A6112" s="6">
        <v>2025</v>
      </c>
      <c r="B6112" s="6">
        <v>7</v>
      </c>
      <c r="C6112" s="6" t="s">
        <v>65</v>
      </c>
      <c r="D6112" s="6" t="s">
        <v>40</v>
      </c>
      <c r="E6112" s="6" t="s">
        <v>736</v>
      </c>
      <c r="F6112" s="6" t="str">
        <f>IF($M6112="PADD I","PADD 1",IF($M6112="PADD II","PADD 2",IF($M6112="PADD III","PADD 3",IF($M6112="PADD IV","PADD 4",IF($M6112="PADD V","PADD 5","")))))</f>
        <v>PADD 1</v>
      </c>
      <c r="G6112" s="6" t="str">
        <f>IF(AND($H6112="ATMOS DISTILLATION",ISNUMBER(SEARCH("VPS",$I6112))=FALSE,LEFT($I6112,6)&lt;&gt;"VACUUM"),"CDU",IF($H6112="FLUID CAT CRACKING","FCC",IF(OR($H6112="HYDROCRACKING",$H6112="RESID_HYDROCRACKING"),"Hydrocracker",IF($H6112="REFORMING","Reformer",""))))</f>
        <v>CDU</v>
      </c>
      <c r="H6112" s="6" t="s">
        <v>38</v>
      </c>
      <c r="I6112" s="6" t="s">
        <v>989</v>
      </c>
      <c r="J6112" s="6" t="s">
        <v>345</v>
      </c>
      <c r="K6112" s="10">
        <v>13.52</v>
      </c>
      <c r="L6112" s="10">
        <v>104</v>
      </c>
      <c r="M6112" s="6" t="s">
        <v>413</v>
      </c>
    </row>
    <row r="6113" spans="1:13">
      <c r="A6113" s="6">
        <v>2025</v>
      </c>
      <c r="B6113" s="6">
        <v>7</v>
      </c>
      <c r="C6113" s="6" t="s">
        <v>65</v>
      </c>
      <c r="D6113" s="6" t="s">
        <v>500</v>
      </c>
      <c r="E6113" s="6" t="s">
        <v>388</v>
      </c>
      <c r="F6113" s="6" t="str">
        <f>IF($M6113="PADD I","PADD 1",IF($M6113="PADD II","PADD 2",IF($M6113="PADD III","PADD 3",IF($M6113="PADD IV","PADD 4",IF($M6113="PADD V","PADD 5","")))))</f>
        <v>PADD 2</v>
      </c>
      <c r="G6113" s="6" t="str">
        <f>IF(AND($H6113="ATMOS DISTILLATION",ISNUMBER(SEARCH("VPS",$I6113))=FALSE,LEFT($I6113,6)&lt;&gt;"VACUUM"),"CDU",IF($H6113="FLUID CAT CRACKING","FCC",IF(OR($H6113="HYDROCRACKING",$H6113="RESID_HYDROCRACKING"),"Hydrocracker",IF($H6113="REFORMING","Reformer",""))))</f>
        <v>FCC</v>
      </c>
      <c r="H6113" s="6" t="s">
        <v>376</v>
      </c>
      <c r="I6113" s="6" t="s">
        <v>105</v>
      </c>
      <c r="J6113" s="6" t="s">
        <v>349</v>
      </c>
      <c r="K6113" s="10">
        <v>12.48</v>
      </c>
      <c r="L6113" s="10">
        <v>26</v>
      </c>
      <c r="M6113" s="6" t="s">
        <v>375</v>
      </c>
    </row>
    <row r="6114" spans="1:13">
      <c r="A6114" s="6">
        <v>2025</v>
      </c>
      <c r="B6114" s="6">
        <v>7</v>
      </c>
      <c r="C6114" s="6" t="s">
        <v>65</v>
      </c>
      <c r="D6114" s="6" t="s">
        <v>500</v>
      </c>
      <c r="E6114" s="6" t="s">
        <v>388</v>
      </c>
      <c r="F6114" s="6" t="str">
        <f>IF($M6114="PADD I","PADD 1",IF($M6114="PADD II","PADD 2",IF($M6114="PADD III","PADD 3",IF($M6114="PADD IV","PADD 4",IF($M6114="PADD V","PADD 5","")))))</f>
        <v>PADD 2</v>
      </c>
      <c r="G6114" s="6">
        <f>IF(AND($H6114="ATMOS DISTILLATION",ISNUMBER(SEARCH("VPS",$I6114))=FALSE,LEFT($I6114,6)&lt;&gt;"VACUUM"),"CDU",IF($H6114="FLUID CAT CRACKING","FCC",IF(OR($H6114="HYDROCRACKING",$H6114="RESID_HYDROCRACKING"),"Hydrocracker",IF($H6114="REFORMING","Reformer",""))))</f>
        <v/>
      </c>
      <c r="H6114" s="6" t="s">
        <v>43</v>
      </c>
      <c r="I6114" s="6" t="s">
        <v>924</v>
      </c>
      <c r="J6114" s="6" t="s">
        <v>349</v>
      </c>
      <c r="K6114" s="10">
        <v>12.15</v>
      </c>
      <c r="L6114" s="10">
        <v>15</v>
      </c>
      <c r="M6114" s="6" t="s">
        <v>375</v>
      </c>
    </row>
    <row r="6115" spans="1:13">
      <c r="A6115" s="6">
        <v>2025</v>
      </c>
      <c r="B6115" s="6">
        <v>7</v>
      </c>
      <c r="C6115" s="6" t="s">
        <v>65</v>
      </c>
      <c r="D6115" s="6" t="s">
        <v>326</v>
      </c>
      <c r="E6115" s="6" t="s">
        <v>385</v>
      </c>
      <c r="F6115" s="6" t="str">
        <f>IF($M6115="PADD I","PADD 1",IF($M6115="PADD II","PADD 2",IF($M6115="PADD III","PADD 3",IF($M6115="PADD IV","PADD 4",IF($M6115="PADD V","PADD 5","")))))</f>
        <v>PADD 5</v>
      </c>
      <c r="G6115" s="6" t="str">
        <f>IF(AND($H6115="ATMOS DISTILLATION",ISNUMBER(SEARCH("VPS",$I6115))=FALSE,LEFT($I6115,6)&lt;&gt;"VACUUM"),"CDU",IF($H6115="FLUID CAT CRACKING","FCC",IF(OR($H6115="HYDROCRACKING",$H6115="RESID_HYDROCRACKING"),"Hydrocracker",IF($H6115="REFORMING","Reformer",""))))</f>
        <v>Reformer</v>
      </c>
      <c r="H6115" s="6" t="s">
        <v>421</v>
      </c>
      <c r="I6115" s="6" t="s">
        <v>15</v>
      </c>
      <c r="J6115" s="6" t="s">
        <v>345</v>
      </c>
      <c r="K6115" s="10">
        <v>10.33</v>
      </c>
      <c r="L6115" s="10">
        <v>10.33</v>
      </c>
      <c r="M6115" s="6" t="s">
        <v>386</v>
      </c>
    </row>
    <row r="6116" spans="1:13">
      <c r="A6116" s="6">
        <v>2025</v>
      </c>
      <c r="B6116" s="6">
        <v>7</v>
      </c>
      <c r="C6116" s="6" t="s">
        <v>65</v>
      </c>
      <c r="D6116" s="6" t="s">
        <v>326</v>
      </c>
      <c r="E6116" s="6" t="s">
        <v>385</v>
      </c>
      <c r="F6116" s="6" t="str">
        <f>IF($M6116="PADD I","PADD 1",IF($M6116="PADD II","PADD 2",IF($M6116="PADD III","PADD 3",IF($M6116="PADD IV","PADD 4",IF($M6116="PADD V","PADD 5","")))))</f>
        <v>PADD 5</v>
      </c>
      <c r="G6116" s="6">
        <f>IF(AND($H6116="ATMOS DISTILLATION",ISNUMBER(SEARCH("VPS",$I6116))=FALSE,LEFT($I6116,6)&lt;&gt;"VACUUM"),"CDU",IF($H6116="FLUID CAT CRACKING","FCC",IF(OR($H6116="HYDROCRACKING",$H6116="RESID_HYDROCRACKING"),"Hydrocracker",IF($H6116="REFORMING","Reformer",""))))</f>
        <v/>
      </c>
      <c r="H6116" s="6" t="s">
        <v>43</v>
      </c>
      <c r="I6116" s="6" t="s">
        <v>501</v>
      </c>
      <c r="J6116" s="6" t="s">
        <v>345</v>
      </c>
      <c r="K6116" s="10">
        <v>9.800000000000001</v>
      </c>
      <c r="L6116" s="10">
        <v>9.800000000000001</v>
      </c>
      <c r="M6116" s="6" t="s">
        <v>386</v>
      </c>
    </row>
    <row r="6117" spans="1:13">
      <c r="A6117" s="6">
        <v>2025</v>
      </c>
      <c r="B6117" s="6">
        <v>7</v>
      </c>
      <c r="C6117" s="6" t="s">
        <v>65</v>
      </c>
      <c r="D6117" s="6" t="s">
        <v>500</v>
      </c>
      <c r="E6117" s="6" t="s">
        <v>388</v>
      </c>
      <c r="F6117" s="6" t="str">
        <f>IF($M6117="PADD I","PADD 1",IF($M6117="PADD II","PADD 2",IF($M6117="PADD III","PADD 3",IF($M6117="PADD IV","PADD 4",IF($M6117="PADD V","PADD 5","")))))</f>
        <v>PADD 2</v>
      </c>
      <c r="G6117" s="6">
        <f>IF(AND($H6117="ATMOS DISTILLATION",ISNUMBER(SEARCH("VPS",$I6117))=FALSE,LEFT($I6117,6)&lt;&gt;"VACUUM"),"CDU",IF($H6117="FLUID CAT CRACKING","FCC",IF(OR($H6117="HYDROCRACKING",$H6117="RESID_HYDROCRACKING"),"Hydrocracker",IF($H6117="REFORMING","Reformer",""))))</f>
        <v/>
      </c>
      <c r="H6117" s="6" t="s">
        <v>43</v>
      </c>
      <c r="I6117" s="6" t="s">
        <v>501</v>
      </c>
      <c r="J6117" s="6" t="s">
        <v>349</v>
      </c>
      <c r="K6117" s="10">
        <v>9.6</v>
      </c>
      <c r="L6117" s="10">
        <v>20</v>
      </c>
      <c r="M6117" s="6" t="s">
        <v>375</v>
      </c>
    </row>
    <row r="6118" spans="1:13">
      <c r="A6118" s="6">
        <v>2025</v>
      </c>
      <c r="B6118" s="6">
        <v>7</v>
      </c>
      <c r="C6118" s="6" t="s">
        <v>65</v>
      </c>
      <c r="D6118" s="6" t="s">
        <v>500</v>
      </c>
      <c r="E6118" s="6" t="s">
        <v>388</v>
      </c>
      <c r="F6118" s="6" t="str">
        <f>IF($M6118="PADD I","PADD 1",IF($M6118="PADD II","PADD 2",IF($M6118="PADD III","PADD 3",IF($M6118="PADD IV","PADD 4",IF($M6118="PADD V","PADD 5","")))))</f>
        <v>PADD 2</v>
      </c>
      <c r="G6118" s="6">
        <f>IF(AND($H6118="ATMOS DISTILLATION",ISNUMBER(SEARCH("VPS",$I6118))=FALSE,LEFT($I6118,6)&lt;&gt;"VACUUM"),"CDU",IF($H6118="FLUID CAT CRACKING","FCC",IF(OR($H6118="HYDROCRACKING",$H6118="RESID_HYDROCRACKING"),"Hydrocracker",IF($H6118="REFORMING","Reformer",""))))</f>
        <v/>
      </c>
      <c r="H6118" s="6" t="s">
        <v>43</v>
      </c>
      <c r="I6118" s="6" t="s">
        <v>520</v>
      </c>
      <c r="J6118" s="6" t="s">
        <v>349</v>
      </c>
      <c r="K6118" s="10">
        <v>9.6</v>
      </c>
      <c r="L6118" s="10">
        <v>20</v>
      </c>
      <c r="M6118" s="6" t="s">
        <v>375</v>
      </c>
    </row>
    <row r="6119" spans="1:13">
      <c r="A6119" s="6">
        <v>2025</v>
      </c>
      <c r="B6119" s="6">
        <v>7</v>
      </c>
      <c r="C6119" s="6" t="s">
        <v>65</v>
      </c>
      <c r="D6119" s="6" t="s">
        <v>326</v>
      </c>
      <c r="E6119" s="6" t="s">
        <v>385</v>
      </c>
      <c r="F6119" s="6" t="str">
        <f>IF($M6119="PADD I","PADD 1",IF($M6119="PADD II","PADD 2",IF($M6119="PADD III","PADD 3",IF($M6119="PADD IV","PADD 4",IF($M6119="PADD V","PADD 5","")))))</f>
        <v>PADD 5</v>
      </c>
      <c r="G6119" s="6">
        <f>IF(AND($H6119="ATMOS DISTILLATION",ISNUMBER(SEARCH("VPS",$I6119))=FALSE,LEFT($I6119,6)&lt;&gt;"VACUUM"),"CDU",IF($H6119="FLUID CAT CRACKING","FCC",IF(OR($H6119="HYDROCRACKING",$H6119="RESID_HYDROCRACKING"),"Hydrocracker",IF($H6119="REFORMING","Reformer",""))))</f>
        <v/>
      </c>
      <c r="H6119" s="6" t="s">
        <v>43</v>
      </c>
      <c r="I6119" s="6" t="s">
        <v>1183</v>
      </c>
      <c r="J6119" s="6" t="s">
        <v>345</v>
      </c>
      <c r="K6119" s="10">
        <v>9.1</v>
      </c>
      <c r="L6119" s="10">
        <v>9.1</v>
      </c>
      <c r="M6119" s="6" t="s">
        <v>386</v>
      </c>
    </row>
    <row r="6120" spans="1:13">
      <c r="A6120" s="6">
        <v>2025</v>
      </c>
      <c r="B6120" s="6">
        <v>7</v>
      </c>
      <c r="C6120" s="6" t="s">
        <v>65</v>
      </c>
      <c r="D6120" s="6" t="s">
        <v>602</v>
      </c>
      <c r="E6120" s="6" t="s">
        <v>369</v>
      </c>
      <c r="F6120" s="6" t="str">
        <f>IF($M6120="PADD I","PADD 1",IF($M6120="PADD II","PADD 2",IF($M6120="PADD III","PADD 3",IF($M6120="PADD IV","PADD 4",IF($M6120="PADD V","PADD 5","")))))</f>
        <v>PADD 2</v>
      </c>
      <c r="G6120" s="6" t="str">
        <f>IF(AND($H6120="ATMOS DISTILLATION",ISNUMBER(SEARCH("VPS",$I6120))=FALSE,LEFT($I6120,6)&lt;&gt;"VACUUM"),"CDU",IF($H6120="FLUID CAT CRACKING","FCC",IF(OR($H6120="HYDROCRACKING",$H6120="RESID_HYDROCRACKING"),"Hydrocracker",IF($H6120="REFORMING","Reformer",""))))</f>
        <v>FCC</v>
      </c>
      <c r="H6120" s="6" t="s">
        <v>376</v>
      </c>
      <c r="I6120" s="6" t="s">
        <v>654</v>
      </c>
      <c r="J6120" s="6" t="s">
        <v>345</v>
      </c>
      <c r="K6120" s="10">
        <v>9.1</v>
      </c>
      <c r="L6120" s="10">
        <v>26</v>
      </c>
      <c r="M6120" s="6" t="s">
        <v>375</v>
      </c>
    </row>
    <row r="6121" spans="1:13">
      <c r="A6121" s="6">
        <v>2025</v>
      </c>
      <c r="B6121" s="6">
        <v>7</v>
      </c>
      <c r="C6121" s="6" t="s">
        <v>65</v>
      </c>
      <c r="D6121" s="6" t="s">
        <v>324</v>
      </c>
      <c r="E6121" s="6" t="s">
        <v>388</v>
      </c>
      <c r="F6121" s="6" t="str">
        <f>IF($M6121="PADD I","PADD 1",IF($M6121="PADD II","PADD 2",IF($M6121="PADD III","PADD 3",IF($M6121="PADD IV","PADD 4",IF($M6121="PADD V","PADD 5","")))))</f>
        <v>PADD 3</v>
      </c>
      <c r="G6121" s="6">
        <f>IF(AND($H6121="ATMOS DISTILLATION",ISNUMBER(SEARCH("VPS",$I6121))=FALSE,LEFT($I6121,6)&lt;&gt;"VACUUM"),"CDU",IF($H6121="FLUID CAT CRACKING","FCC",IF(OR($H6121="HYDROCRACKING",$H6121="RESID_HYDROCRACKING"),"Hydrocracker",IF($H6121="REFORMING","Reformer",""))))</f>
        <v/>
      </c>
      <c r="H6121" s="6" t="s">
        <v>378</v>
      </c>
      <c r="I6121" s="6" t="s">
        <v>942</v>
      </c>
      <c r="J6121" s="6" t="s">
        <v>345</v>
      </c>
      <c r="K6121" s="10">
        <v>8.91</v>
      </c>
      <c r="L6121" s="10">
        <v>148.5</v>
      </c>
      <c r="M6121" s="6" t="s">
        <v>371</v>
      </c>
    </row>
    <row r="6122" spans="1:13">
      <c r="A6122" s="6">
        <v>2025</v>
      </c>
      <c r="B6122" s="6">
        <v>7</v>
      </c>
      <c r="C6122" s="6" t="s">
        <v>65</v>
      </c>
      <c r="D6122" s="6" t="s">
        <v>602</v>
      </c>
      <c r="E6122" s="6" t="s">
        <v>369</v>
      </c>
      <c r="F6122" s="6" t="str">
        <f>IF($M6122="PADD I","PADD 1",IF($M6122="PADD II","PADD 2",IF($M6122="PADD III","PADD 3",IF($M6122="PADD IV","PADD 4",IF($M6122="PADD V","PADD 5","")))))</f>
        <v>PADD 2</v>
      </c>
      <c r="G6122" s="6" t="str">
        <f>IF(AND($H6122="ATMOS DISTILLATION",ISNUMBER(SEARCH("VPS",$I6122))=FALSE,LEFT($I6122,6)&lt;&gt;"VACUUM"),"CDU",IF($H6122="FLUID CAT CRACKING","FCC",IF(OR($H6122="HYDROCRACKING",$H6122="RESID_HYDROCRACKING"),"Hydrocracker",IF($H6122="REFORMING","Reformer",""))))</f>
        <v>CDU</v>
      </c>
      <c r="H6122" s="6" t="s">
        <v>38</v>
      </c>
      <c r="I6122" s="6" t="s">
        <v>129</v>
      </c>
      <c r="J6122" s="6" t="s">
        <v>345</v>
      </c>
      <c r="K6122" s="10">
        <v>8.867000000000001</v>
      </c>
      <c r="L6122" s="10">
        <v>88.67</v>
      </c>
      <c r="M6122" s="6" t="s">
        <v>375</v>
      </c>
    </row>
    <row r="6123" spans="1:13">
      <c r="A6123" s="6">
        <v>2025</v>
      </c>
      <c r="B6123" s="6">
        <v>7</v>
      </c>
      <c r="C6123" s="6" t="s">
        <v>65</v>
      </c>
      <c r="D6123" s="6" t="s">
        <v>335</v>
      </c>
      <c r="E6123" s="6" t="s">
        <v>369</v>
      </c>
      <c r="F6123" s="6" t="str">
        <f>IF($M6123="PADD I","PADD 1",IF($M6123="PADD II","PADD 2",IF($M6123="PADD III","PADD 3",IF($M6123="PADD IV","PADD 4",IF($M6123="PADD V","PADD 5","")))))</f>
        <v>PADD 3</v>
      </c>
      <c r="G6123" s="6" t="str">
        <f>IF(AND($H6123="ATMOS DISTILLATION",ISNUMBER(SEARCH("VPS",$I6123))=FALSE,LEFT($I6123,6)&lt;&gt;"VACUUM"),"CDU",IF($H6123="FLUID CAT CRACKING","FCC",IF(OR($H6123="HYDROCRACKING",$H6123="RESID_HYDROCRACKING"),"Hydrocracker",IF($H6123="REFORMING","Reformer",""))))</f>
        <v>FCC</v>
      </c>
      <c r="H6123" s="6" t="s">
        <v>376</v>
      </c>
      <c r="I6123" s="6" t="s">
        <v>472</v>
      </c>
      <c r="J6123" s="6" t="s">
        <v>345</v>
      </c>
      <c r="K6123" s="10">
        <v>8.699999999999999</v>
      </c>
      <c r="L6123" s="10">
        <v>30</v>
      </c>
      <c r="M6123" s="6" t="s">
        <v>371</v>
      </c>
    </row>
    <row r="6124" spans="1:13">
      <c r="A6124" s="6">
        <v>2025</v>
      </c>
      <c r="B6124" s="6">
        <v>7</v>
      </c>
      <c r="C6124" s="6" t="s">
        <v>65</v>
      </c>
      <c r="D6124" s="6" t="s">
        <v>500</v>
      </c>
      <c r="E6124" s="6" t="s">
        <v>388</v>
      </c>
      <c r="F6124" s="6" t="str">
        <f>IF($M6124="PADD I","PADD 1",IF($M6124="PADD II","PADD 2",IF($M6124="PADD III","PADD 3",IF($M6124="PADD IV","PADD 4",IF($M6124="PADD V","PADD 5","")))))</f>
        <v>PADD 2</v>
      </c>
      <c r="G6124" s="6" t="str">
        <f>IF(AND($H6124="ATMOS DISTILLATION",ISNUMBER(SEARCH("VPS",$I6124))=FALSE,LEFT($I6124,6)&lt;&gt;"VACUUM"),"CDU",IF($H6124="FLUID CAT CRACKING","FCC",IF(OR($H6124="HYDROCRACKING",$H6124="RESID_HYDROCRACKING"),"Hydrocracker",IF($H6124="REFORMING","Reformer",""))))</f>
        <v>Reformer</v>
      </c>
      <c r="H6124" s="6" t="s">
        <v>421</v>
      </c>
      <c r="I6124" s="6" t="s">
        <v>539</v>
      </c>
      <c r="J6124" s="6" t="s">
        <v>349</v>
      </c>
      <c r="K6124" s="10">
        <v>8.550000000000001</v>
      </c>
      <c r="L6124" s="10">
        <v>19</v>
      </c>
      <c r="M6124" s="6" t="s">
        <v>375</v>
      </c>
    </row>
    <row r="6125" spans="1:13">
      <c r="A6125" s="6">
        <v>2025</v>
      </c>
      <c r="B6125" s="6">
        <v>7</v>
      </c>
      <c r="C6125" s="6" t="s">
        <v>65</v>
      </c>
      <c r="D6125" s="6" t="s">
        <v>526</v>
      </c>
      <c r="E6125" s="6" t="s">
        <v>405</v>
      </c>
      <c r="F6125" s="6" t="str">
        <f>IF($M6125="PADD I","PADD 1",IF($M6125="PADD II","PADD 2",IF($M6125="PADD III","PADD 3",IF($M6125="PADD IV","PADD 4",IF($M6125="PADD V","PADD 5","")))))</f>
        <v>PADD 3</v>
      </c>
      <c r="G6125" s="6" t="str">
        <f>IF(AND($H6125="ATMOS DISTILLATION",ISNUMBER(SEARCH("VPS",$I6125))=FALSE,LEFT($I6125,6)&lt;&gt;"VACUUM"),"CDU",IF($H6125="FLUID CAT CRACKING","FCC",IF(OR($H6125="HYDROCRACKING",$H6125="RESID_HYDROCRACKING"),"Hydrocracker",IF($H6125="REFORMING","Reformer",""))))</f>
        <v>CDU</v>
      </c>
      <c r="H6125" s="6" t="s">
        <v>38</v>
      </c>
      <c r="I6125" s="6" t="s">
        <v>350</v>
      </c>
      <c r="J6125" s="6" t="s">
        <v>345</v>
      </c>
      <c r="K6125" s="10">
        <v>7.95</v>
      </c>
      <c r="L6125" s="10">
        <v>265</v>
      </c>
      <c r="M6125" s="6" t="s">
        <v>371</v>
      </c>
    </row>
    <row r="6126" spans="1:13">
      <c r="A6126" s="6">
        <v>2025</v>
      </c>
      <c r="B6126" s="6">
        <v>7</v>
      </c>
      <c r="C6126" s="6" t="s">
        <v>65</v>
      </c>
      <c r="D6126" s="6" t="s">
        <v>40</v>
      </c>
      <c r="E6126" s="6" t="s">
        <v>736</v>
      </c>
      <c r="F6126" s="6" t="str">
        <f>IF($M6126="PADD I","PADD 1",IF($M6126="PADD II","PADD 2",IF($M6126="PADD III","PADD 3",IF($M6126="PADD IV","PADD 4",IF($M6126="PADD V","PADD 5","")))))</f>
        <v>PADD 1</v>
      </c>
      <c r="G6126" s="6" t="str">
        <f>IF(AND($H6126="ATMOS DISTILLATION",ISNUMBER(SEARCH("VPS",$I6126))=FALSE,LEFT($I6126,6)&lt;&gt;"VACUUM"),"CDU",IF($H6126="FLUID CAT CRACKING","FCC",IF(OR($H6126="HYDROCRACKING",$H6126="RESID_HYDROCRACKING"),"Hydrocracker",IF($H6126="REFORMING","Reformer",""))))</f>
        <v>Reformer</v>
      </c>
      <c r="H6126" s="6" t="s">
        <v>421</v>
      </c>
      <c r="I6126" s="6" t="s">
        <v>782</v>
      </c>
      <c r="J6126" s="6" t="s">
        <v>345</v>
      </c>
      <c r="K6126" s="10">
        <v>7.8</v>
      </c>
      <c r="L6126" s="10">
        <v>60</v>
      </c>
      <c r="M6126" s="6" t="s">
        <v>413</v>
      </c>
    </row>
    <row r="6127" spans="1:13">
      <c r="A6127" s="6">
        <v>2025</v>
      </c>
      <c r="B6127" s="6">
        <v>7</v>
      </c>
      <c r="C6127" s="6" t="s">
        <v>65</v>
      </c>
      <c r="D6127" s="6" t="s">
        <v>326</v>
      </c>
      <c r="E6127" s="6" t="s">
        <v>385</v>
      </c>
      <c r="F6127" s="6" t="str">
        <f>IF($M6127="PADD I","PADD 1",IF($M6127="PADD II","PADD 2",IF($M6127="PADD III","PADD 3",IF($M6127="PADD IV","PADD 4",IF($M6127="PADD V","PADD 5","")))))</f>
        <v>PADD 5</v>
      </c>
      <c r="G6127" s="6">
        <f>IF(AND($H6127="ATMOS DISTILLATION",ISNUMBER(SEARCH("VPS",$I6127))=FALSE,LEFT($I6127,6)&lt;&gt;"VACUUM"),"CDU",IF($H6127="FLUID CAT CRACKING","FCC",IF(OR($H6127="HYDROCRACKING",$H6127="RESID_HYDROCRACKING"),"Hydrocracker",IF($H6127="REFORMING","Reformer",""))))</f>
        <v/>
      </c>
      <c r="H6127" s="6" t="s">
        <v>435</v>
      </c>
      <c r="I6127" s="6" t="s">
        <v>441</v>
      </c>
      <c r="J6127" s="6" t="s">
        <v>345</v>
      </c>
      <c r="K6127" s="10">
        <v>7.7</v>
      </c>
      <c r="L6127" s="10">
        <v>7.7</v>
      </c>
      <c r="M6127" s="6" t="s">
        <v>386</v>
      </c>
    </row>
    <row r="6128" spans="1:13">
      <c r="A6128" s="6">
        <v>2025</v>
      </c>
      <c r="B6128" s="6">
        <v>7</v>
      </c>
      <c r="C6128" s="6" t="s">
        <v>65</v>
      </c>
      <c r="D6128" s="6" t="s">
        <v>326</v>
      </c>
      <c r="E6128" s="6" t="s">
        <v>385</v>
      </c>
      <c r="F6128" s="6" t="str">
        <f>IF($M6128="PADD I","PADD 1",IF($M6128="PADD II","PADD 2",IF($M6128="PADD III","PADD 3",IF($M6128="PADD IV","PADD 4",IF($M6128="PADD V","PADD 5","")))))</f>
        <v>PADD 5</v>
      </c>
      <c r="G6128" s="6">
        <f>IF(AND($H6128="ATMOS DISTILLATION",ISNUMBER(SEARCH("VPS",$I6128))=FALSE,LEFT($I6128,6)&lt;&gt;"VACUUM"),"CDU",IF($H6128="FLUID CAT CRACKING","FCC",IF(OR($H6128="HYDROCRACKING",$H6128="RESID_HYDROCRACKING"),"Hydrocracker",IF($H6128="REFORMING","Reformer",""))))</f>
        <v/>
      </c>
      <c r="H6128" s="6" t="s">
        <v>435</v>
      </c>
      <c r="I6128" s="6" t="s">
        <v>813</v>
      </c>
      <c r="J6128" s="6" t="s">
        <v>345</v>
      </c>
      <c r="K6128" s="10">
        <v>7.32</v>
      </c>
      <c r="L6128" s="10">
        <v>7.32</v>
      </c>
      <c r="M6128" s="6" t="s">
        <v>386</v>
      </c>
    </row>
    <row r="6129" spans="1:13">
      <c r="A6129" s="6">
        <v>2025</v>
      </c>
      <c r="B6129" s="6">
        <v>7</v>
      </c>
      <c r="C6129" s="6" t="s">
        <v>65</v>
      </c>
      <c r="D6129" s="6" t="s">
        <v>387</v>
      </c>
      <c r="E6129" s="6" t="s">
        <v>388</v>
      </c>
      <c r="F6129" s="6" t="str">
        <f>IF($M6129="PADD I","PADD 1",IF($M6129="PADD II","PADD 2",IF($M6129="PADD III","PADD 3",IF($M6129="PADD IV","PADD 4",IF($M6129="PADD V","PADD 5","")))))</f>
        <v>PADD 3</v>
      </c>
      <c r="G6129" s="6" t="str">
        <f>IF(AND($H6129="ATMOS DISTILLATION",ISNUMBER(SEARCH("VPS",$I6129))=FALSE,LEFT($I6129,6)&lt;&gt;"VACUUM"),"CDU",IF($H6129="FLUID CAT CRACKING","FCC",IF(OR($H6129="HYDROCRACKING",$H6129="RESID_HYDROCRACKING"),"Hydrocracker",IF($H6129="REFORMING","Reformer",""))))</f>
        <v>Hydrocracker</v>
      </c>
      <c r="H6129" s="6" t="s">
        <v>444</v>
      </c>
      <c r="I6129" s="6" t="s">
        <v>476</v>
      </c>
      <c r="J6129" s="6" t="s">
        <v>345</v>
      </c>
      <c r="K6129" s="10">
        <v>6</v>
      </c>
      <c r="L6129" s="10">
        <v>60</v>
      </c>
      <c r="M6129" s="6" t="s">
        <v>371</v>
      </c>
    </row>
    <row r="6130" spans="1:13">
      <c r="A6130" s="6">
        <v>2025</v>
      </c>
      <c r="B6130" s="6">
        <v>7</v>
      </c>
      <c r="C6130" s="6" t="s">
        <v>65</v>
      </c>
      <c r="D6130" s="6" t="s">
        <v>319</v>
      </c>
      <c r="E6130" s="6" t="s">
        <v>665</v>
      </c>
      <c r="F6130" s="6" t="str">
        <f>IF($M6130="PADD I","PADD 1",IF($M6130="PADD II","PADD 2",IF($M6130="PADD III","PADD 3",IF($M6130="PADD IV","PADD 4",IF($M6130="PADD V","PADD 5","")))))</f>
        <v>PADD 3</v>
      </c>
      <c r="G6130" s="6">
        <f>IF(AND($H6130="ATMOS DISTILLATION",ISNUMBER(SEARCH("VPS",$I6130))=FALSE,LEFT($I6130,6)&lt;&gt;"VACUUM"),"CDU",IF($H6130="FLUID CAT CRACKING","FCC",IF(OR($H6130="HYDROCRACKING",$H6130="RESID_HYDROCRACKING"),"Hydrocracker",IF($H6130="REFORMING","Reformer",""))))</f>
        <v/>
      </c>
      <c r="H6130" s="6" t="s">
        <v>435</v>
      </c>
      <c r="I6130" s="6" t="s">
        <v>441</v>
      </c>
      <c r="J6130" s="6" t="s">
        <v>345</v>
      </c>
      <c r="K6130" s="10">
        <v>5.5588</v>
      </c>
      <c r="L6130" s="10">
        <v>21.38</v>
      </c>
      <c r="M6130" s="6" t="s">
        <v>371</v>
      </c>
    </row>
    <row r="6131" spans="1:13">
      <c r="A6131" s="6">
        <v>2025</v>
      </c>
      <c r="B6131" s="6">
        <v>7</v>
      </c>
      <c r="C6131" s="6" t="s">
        <v>65</v>
      </c>
      <c r="D6131" s="6" t="s">
        <v>1032</v>
      </c>
      <c r="E6131" s="6" t="s">
        <v>1033</v>
      </c>
      <c r="F6131" s="6" t="str">
        <f>IF($M6131="PADD I","PADD 1",IF($M6131="PADD II","PADD 2",IF($M6131="PADD III","PADD 3",IF($M6131="PADD IV","PADD 4",IF($M6131="PADD V","PADD 5","")))))</f>
        <v>PADD 5</v>
      </c>
      <c r="G6131" s="6" t="str">
        <f>IF(AND($H6131="ATMOS DISTILLATION",ISNUMBER(SEARCH("VPS",$I6131))=FALSE,LEFT($I6131,6)&lt;&gt;"VACUUM"),"CDU",IF($H6131="FLUID CAT CRACKING","FCC",IF(OR($H6131="HYDROCRACKING",$H6131="RESID_HYDROCRACKING"),"Hydrocracker",IF($H6131="REFORMING","Reformer",""))))</f>
        <v>CDU</v>
      </c>
      <c r="H6131" s="6" t="s">
        <v>38</v>
      </c>
      <c r="I6131" s="6" t="s">
        <v>663</v>
      </c>
      <c r="J6131" s="6" t="s">
        <v>345</v>
      </c>
      <c r="K6131" s="10">
        <v>5</v>
      </c>
      <c r="L6131" s="10">
        <v>5</v>
      </c>
      <c r="M6131" s="6" t="s">
        <v>386</v>
      </c>
    </row>
    <row r="6132" spans="1:13">
      <c r="A6132" s="6">
        <v>2025</v>
      </c>
      <c r="B6132" s="6">
        <v>7</v>
      </c>
      <c r="C6132" s="6" t="s">
        <v>65</v>
      </c>
      <c r="D6132" s="6" t="s">
        <v>500</v>
      </c>
      <c r="E6132" s="6" t="s">
        <v>388</v>
      </c>
      <c r="F6132" s="6" t="str">
        <f>IF($M6132="PADD I","PADD 1",IF($M6132="PADD II","PADD 2",IF($M6132="PADD III","PADD 3",IF($M6132="PADD IV","PADD 4",IF($M6132="PADD V","PADD 5","")))))</f>
        <v>PADD 2</v>
      </c>
      <c r="G6132" s="6">
        <f>IF(AND($H6132="ATMOS DISTILLATION",ISNUMBER(SEARCH("VPS",$I6132))=FALSE,LEFT($I6132,6)&lt;&gt;"VACUUM"),"CDU",IF($H6132="FLUID CAT CRACKING","FCC",IF(OR($H6132="HYDROCRACKING",$H6132="RESID_HYDROCRACKING"),"Hydrocracker",IF($H6132="REFORMING","Reformer",""))))</f>
        <v/>
      </c>
      <c r="H6132" s="6" t="s">
        <v>460</v>
      </c>
      <c r="I6132" s="6" t="s">
        <v>616</v>
      </c>
      <c r="J6132" s="6" t="s">
        <v>349</v>
      </c>
      <c r="K6132" s="10">
        <v>4.86</v>
      </c>
      <c r="L6132" s="10">
        <v>6</v>
      </c>
      <c r="M6132" s="6" t="s">
        <v>375</v>
      </c>
    </row>
    <row r="6133" spans="1:13">
      <c r="A6133" s="6">
        <v>2025</v>
      </c>
      <c r="B6133" s="6">
        <v>7</v>
      </c>
      <c r="C6133" s="6" t="s">
        <v>65</v>
      </c>
      <c r="D6133" s="6" t="s">
        <v>639</v>
      </c>
      <c r="E6133" s="6" t="s">
        <v>452</v>
      </c>
      <c r="F6133" s="6" t="str">
        <f>IF($M6133="PADD I","PADD 1",IF($M6133="PADD II","PADD 2",IF($M6133="PADD III","PADD 3",IF($M6133="PADD IV","PADD 4",IF($M6133="PADD V","PADD 5","")))))</f>
        <v>PADD 5</v>
      </c>
      <c r="G6133" s="6">
        <f>IF(AND($H6133="ATMOS DISTILLATION",ISNUMBER(SEARCH("VPS",$I6133))=FALSE,LEFT($I6133,6)&lt;&gt;"VACUUM"),"CDU",IF($H6133="FLUID CAT CRACKING","FCC",IF(OR($H6133="HYDROCRACKING",$H6133="RESID_HYDROCRACKING"),"Hydrocracker",IF($H6133="REFORMING","Reformer",""))))</f>
        <v/>
      </c>
      <c r="H6133" s="6" t="s">
        <v>435</v>
      </c>
      <c r="I6133" s="6" t="s">
        <v>1096</v>
      </c>
      <c r="J6133" s="6" t="s">
        <v>349</v>
      </c>
      <c r="K6133" s="10">
        <v>4.807</v>
      </c>
      <c r="L6133" s="10">
        <v>25.3</v>
      </c>
      <c r="M6133" s="6" t="s">
        <v>386</v>
      </c>
    </row>
    <row r="6134" spans="1:13">
      <c r="A6134" s="6">
        <v>2025</v>
      </c>
      <c r="B6134" s="6">
        <v>7</v>
      </c>
      <c r="C6134" s="6" t="s">
        <v>65</v>
      </c>
      <c r="D6134" s="6" t="s">
        <v>762</v>
      </c>
      <c r="E6134" s="6" t="s">
        <v>763</v>
      </c>
      <c r="F6134" s="6" t="str">
        <f>IF($M6134="PADD I","PADD 1",IF($M6134="PADD II","PADD 2",IF($M6134="PADD III","PADD 3",IF($M6134="PADD IV","PADD 4",IF($M6134="PADD V","PADD 5","")))))</f>
        <v>PADD 2</v>
      </c>
      <c r="G6134" s="6" t="str">
        <f>IF(AND($H6134="ATMOS DISTILLATION",ISNUMBER(SEARCH("VPS",$I6134))=FALSE,LEFT($I6134,6)&lt;&gt;"VACUUM"),"CDU",IF($H6134="FLUID CAT CRACKING","FCC",IF(OR($H6134="HYDROCRACKING",$H6134="RESID_HYDROCRACKING"),"Hydrocracker",IF($H6134="REFORMING","Reformer",""))))</f>
        <v>FCC</v>
      </c>
      <c r="H6134" s="6" t="s">
        <v>376</v>
      </c>
      <c r="I6134" s="6" t="s">
        <v>105</v>
      </c>
      <c r="J6134" s="6" t="s">
        <v>345</v>
      </c>
      <c r="K6134" s="10">
        <v>4.715</v>
      </c>
      <c r="L6134" s="10">
        <v>20.5</v>
      </c>
      <c r="M6134" s="6" t="s">
        <v>375</v>
      </c>
    </row>
    <row r="6135" spans="1:13">
      <c r="A6135" s="6">
        <v>2025</v>
      </c>
      <c r="B6135" s="6">
        <v>7</v>
      </c>
      <c r="C6135" s="6" t="s">
        <v>65</v>
      </c>
      <c r="D6135" s="6" t="s">
        <v>411</v>
      </c>
      <c r="E6135" s="6" t="s">
        <v>369</v>
      </c>
      <c r="F6135" s="6" t="str">
        <f>IF($M6135="PADD I","PADD 1",IF($M6135="PADD II","PADD 2",IF($M6135="PADD III","PADD 3",IF($M6135="PADD IV","PADD 4",IF($M6135="PADD V","PADD 5","")))))</f>
        <v>PADD 1</v>
      </c>
      <c r="G6135" s="6">
        <f>IF(AND($H6135="ATMOS DISTILLATION",ISNUMBER(SEARCH("VPS",$I6135))=FALSE,LEFT($I6135,6)&lt;&gt;"VACUUM"),"CDU",IF($H6135="FLUID CAT CRACKING","FCC",IF(OR($H6135="HYDROCRACKING",$H6135="RESID_HYDROCRACKING"),"Hydrocracker",IF($H6135="REFORMING","Reformer",""))))</f>
        <v/>
      </c>
      <c r="H6135" s="6" t="s">
        <v>378</v>
      </c>
      <c r="I6135" s="6" t="s">
        <v>431</v>
      </c>
      <c r="J6135" s="6" t="s">
        <v>345</v>
      </c>
      <c r="K6135" s="10">
        <v>4.5</v>
      </c>
      <c r="L6135" s="10">
        <v>75</v>
      </c>
      <c r="M6135" s="6" t="s">
        <v>413</v>
      </c>
    </row>
    <row r="6136" spans="1:13">
      <c r="A6136" s="6">
        <v>2025</v>
      </c>
      <c r="B6136" s="6">
        <v>7</v>
      </c>
      <c r="C6136" s="6" t="s">
        <v>65</v>
      </c>
      <c r="D6136" s="6" t="s">
        <v>851</v>
      </c>
      <c r="E6136" s="6" t="s">
        <v>852</v>
      </c>
      <c r="F6136" s="6" t="str">
        <f>IF($M6136="PADD I","PADD 1",IF($M6136="PADD II","PADD 2",IF($M6136="PADD III","PADD 3",IF($M6136="PADD IV","PADD 4",IF($M6136="PADD V","PADD 5","")))))</f>
        <v>PADD 3</v>
      </c>
      <c r="G6136" s="6" t="str">
        <f>IF(AND($H6136="ATMOS DISTILLATION",ISNUMBER(SEARCH("VPS",$I6136))=FALSE,LEFT($I6136,6)&lt;&gt;"VACUUM"),"CDU",IF($H6136="FLUID CAT CRACKING","FCC",IF(OR($H6136="HYDROCRACKING",$H6136="RESID_HYDROCRACKING"),"Hydrocracker",IF($H6136="REFORMING","Reformer",""))))</f>
        <v>CDU</v>
      </c>
      <c r="H6136" s="6" t="s">
        <v>38</v>
      </c>
      <c r="I6136" s="6" t="s">
        <v>854</v>
      </c>
      <c r="J6136" s="6" t="s">
        <v>345</v>
      </c>
      <c r="K6136" s="10">
        <v>4.38</v>
      </c>
      <c r="L6136" s="10">
        <v>73</v>
      </c>
      <c r="M6136" s="6" t="s">
        <v>371</v>
      </c>
    </row>
    <row r="6137" spans="1:13">
      <c r="A6137" s="6">
        <v>2025</v>
      </c>
      <c r="B6137" s="6">
        <v>7</v>
      </c>
      <c r="C6137" s="6" t="s">
        <v>65</v>
      </c>
      <c r="D6137" s="6" t="s">
        <v>662</v>
      </c>
      <c r="E6137" s="6" t="s">
        <v>552</v>
      </c>
      <c r="F6137" s="6" t="str">
        <f>IF($M6137="PADD I","PADD 1",IF($M6137="PADD II","PADD 2",IF($M6137="PADD III","PADD 3",IF($M6137="PADD IV","PADD 4",IF($M6137="PADD V","PADD 5","")))))</f>
        <v>PADD 3</v>
      </c>
      <c r="G6137" s="6">
        <f>IF(AND($H6137="ATMOS DISTILLATION",ISNUMBER(SEARCH("VPS",$I6137))=FALSE,LEFT($I6137,6)&lt;&gt;"VACUUM"),"CDU",IF($H6137="FLUID CAT CRACKING","FCC",IF(OR($H6137="HYDROCRACKING",$H6137="RESID_HYDROCRACKING"),"Hydrocracker",IF($H6137="REFORMING","Reformer",""))))</f>
        <v/>
      </c>
      <c r="H6137" s="6" t="s">
        <v>43</v>
      </c>
      <c r="I6137" s="6" t="s">
        <v>735</v>
      </c>
      <c r="J6137" s="6" t="s">
        <v>349</v>
      </c>
      <c r="K6137" s="10">
        <v>4.37</v>
      </c>
      <c r="L6137" s="10">
        <v>23</v>
      </c>
      <c r="M6137" s="6" t="s">
        <v>371</v>
      </c>
    </row>
    <row r="6138" spans="1:13">
      <c r="A6138" s="6">
        <v>2025</v>
      </c>
      <c r="B6138" s="6">
        <v>7</v>
      </c>
      <c r="C6138" s="6" t="s">
        <v>65</v>
      </c>
      <c r="D6138" s="6" t="s">
        <v>326</v>
      </c>
      <c r="E6138" s="6" t="s">
        <v>385</v>
      </c>
      <c r="F6138" s="6" t="str">
        <f>IF($M6138="PADD I","PADD 1",IF($M6138="PADD II","PADD 2",IF($M6138="PADD III","PADD 3",IF($M6138="PADD IV","PADD 4",IF($M6138="PADD V","PADD 5","")))))</f>
        <v>PADD 5</v>
      </c>
      <c r="G6138" s="6">
        <f>IF(AND($H6138="ATMOS DISTILLATION",ISNUMBER(SEARCH("VPS",$I6138))=FALSE,LEFT($I6138,6)&lt;&gt;"VACUUM"),"CDU",IF($H6138="FLUID CAT CRACKING","FCC",IF(OR($H6138="HYDROCRACKING",$H6138="RESID_HYDROCRACKING"),"Hydrocracker",IF($H6138="REFORMING","Reformer",""))))</f>
        <v/>
      </c>
      <c r="H6138" s="6" t="s">
        <v>460</v>
      </c>
      <c r="I6138" s="6" t="s">
        <v>1288</v>
      </c>
      <c r="J6138" s="6" t="s">
        <v>345</v>
      </c>
      <c r="K6138" s="10">
        <v>4.2</v>
      </c>
      <c r="L6138" s="10">
        <v>4.2</v>
      </c>
      <c r="M6138" s="6" t="s">
        <v>386</v>
      </c>
    </row>
    <row r="6139" spans="1:13">
      <c r="A6139" s="6">
        <v>2025</v>
      </c>
      <c r="B6139" s="6">
        <v>7</v>
      </c>
      <c r="C6139" s="6" t="s">
        <v>65</v>
      </c>
      <c r="D6139" s="6" t="s">
        <v>333</v>
      </c>
      <c r="E6139" s="6" t="s">
        <v>381</v>
      </c>
      <c r="F6139" s="6" t="str">
        <f>IF($M6139="PADD I","PADD 1",IF($M6139="PADD II","PADD 2",IF($M6139="PADD III","PADD 3",IF($M6139="PADD IV","PADD 4",IF($M6139="PADD V","PADD 5","")))))</f>
        <v>PADD 3</v>
      </c>
      <c r="G6139" s="6">
        <f>IF(AND($H6139="ATMOS DISTILLATION",ISNUMBER(SEARCH("VPS",$I6139))=FALSE,LEFT($I6139,6)&lt;&gt;"VACUUM"),"CDU",IF($H6139="FLUID CAT CRACKING","FCC",IF(OR($H6139="HYDROCRACKING",$H6139="RESID_HYDROCRACKING"),"Hydrocracker",IF($H6139="REFORMING","Reformer",""))))</f>
        <v/>
      </c>
      <c r="H6139" s="6" t="s">
        <v>43</v>
      </c>
      <c r="I6139" s="6" t="s">
        <v>784</v>
      </c>
      <c r="J6139" s="6" t="s">
        <v>345</v>
      </c>
      <c r="K6139" s="10">
        <v>4.2</v>
      </c>
      <c r="L6139" s="10">
        <v>70</v>
      </c>
      <c r="M6139" s="6" t="s">
        <v>371</v>
      </c>
    </row>
    <row r="6140" spans="1:13">
      <c r="A6140" s="6">
        <v>2025</v>
      </c>
      <c r="B6140" s="6">
        <v>7</v>
      </c>
      <c r="C6140" s="6" t="s">
        <v>65</v>
      </c>
      <c r="D6140" s="6" t="s">
        <v>612</v>
      </c>
      <c r="E6140" s="6" t="s">
        <v>416</v>
      </c>
      <c r="F6140" s="6" t="str">
        <f>IF($M6140="PADD I","PADD 1",IF($M6140="PADD II","PADD 2",IF($M6140="PADD III","PADD 3",IF($M6140="PADD IV","PADD 4",IF($M6140="PADD V","PADD 5","")))))</f>
        <v>PADD 3</v>
      </c>
      <c r="G6140" s="6" t="str">
        <f>IF(AND($H6140="ATMOS DISTILLATION",ISNUMBER(SEARCH("VPS",$I6140))=FALSE,LEFT($I6140,6)&lt;&gt;"VACUUM"),"CDU",IF($H6140="FLUID CAT CRACKING","FCC",IF(OR($H6140="HYDROCRACKING",$H6140="RESID_HYDROCRACKING"),"Hydrocracker",IF($H6140="REFORMING","Reformer",""))))</f>
        <v>Reformer</v>
      </c>
      <c r="H6140" s="6" t="s">
        <v>421</v>
      </c>
      <c r="I6140" s="6" t="s">
        <v>755</v>
      </c>
      <c r="J6140" s="6" t="s">
        <v>345</v>
      </c>
      <c r="K6140" s="10">
        <v>3.9</v>
      </c>
      <c r="L6140" s="10">
        <v>30</v>
      </c>
      <c r="M6140" s="6" t="s">
        <v>371</v>
      </c>
    </row>
    <row r="6141" spans="1:13">
      <c r="A6141" s="6">
        <v>2025</v>
      </c>
      <c r="B6141" s="6">
        <v>7</v>
      </c>
      <c r="C6141" s="6" t="s">
        <v>65</v>
      </c>
      <c r="D6141" s="6" t="s">
        <v>333</v>
      </c>
      <c r="E6141" s="6" t="s">
        <v>381</v>
      </c>
      <c r="F6141" s="6" t="str">
        <f>IF($M6141="PADD I","PADD 1",IF($M6141="PADD II","PADD 2",IF($M6141="PADD III","PADD 3",IF($M6141="PADD IV","PADD 4",IF($M6141="PADD V","PADD 5","")))))</f>
        <v>PADD 3</v>
      </c>
      <c r="G6141" s="6" t="str">
        <f>IF(AND($H6141="ATMOS DISTILLATION",ISNUMBER(SEARCH("VPS",$I6141))=FALSE,LEFT($I6141,6)&lt;&gt;"VACUUM"),"CDU",IF($H6141="FLUID CAT CRACKING","FCC",IF(OR($H6141="HYDROCRACKING",$H6141="RESID_HYDROCRACKING"),"Hydrocracker",IF($H6141="REFORMING","Reformer",""))))</f>
        <v>CDU</v>
      </c>
      <c r="H6141" s="6" t="s">
        <v>38</v>
      </c>
      <c r="I6141" s="6" t="s">
        <v>679</v>
      </c>
      <c r="J6141" s="6" t="s">
        <v>345</v>
      </c>
      <c r="K6141" s="10">
        <v>3.75</v>
      </c>
      <c r="L6141" s="10">
        <v>62.5</v>
      </c>
      <c r="M6141" s="6" t="s">
        <v>371</v>
      </c>
    </row>
    <row r="6142" spans="1:13">
      <c r="A6142" s="6">
        <v>2025</v>
      </c>
      <c r="B6142" s="6">
        <v>7</v>
      </c>
      <c r="C6142" s="6" t="s">
        <v>65</v>
      </c>
      <c r="D6142" s="6" t="s">
        <v>632</v>
      </c>
      <c r="E6142" s="6" t="s">
        <v>633</v>
      </c>
      <c r="F6142" s="6" t="str">
        <f>IF($M6142="PADD I","PADD 1",IF($M6142="PADD II","PADD 2",IF($M6142="PADD III","PADD 3",IF($M6142="PADD IV","PADD 4",IF($M6142="PADD V","PADD 5","")))))</f>
        <v>PADD 4</v>
      </c>
      <c r="G6142" s="6">
        <f>IF(AND($H6142="ATMOS DISTILLATION",ISNUMBER(SEARCH("VPS",$I6142))=FALSE,LEFT($I6142,6)&lt;&gt;"VACUUM"),"CDU",IF($H6142="FLUID CAT CRACKING","FCC",IF(OR($H6142="HYDROCRACKING",$H6142="RESID_HYDROCRACKING"),"Hydrocracker",IF($H6142="REFORMING","Reformer",""))))</f>
        <v/>
      </c>
      <c r="H6142" s="6" t="s">
        <v>43</v>
      </c>
      <c r="I6142" s="6" t="s">
        <v>674</v>
      </c>
      <c r="J6142" s="6" t="s">
        <v>345</v>
      </c>
      <c r="K6142" s="10">
        <v>3.68</v>
      </c>
      <c r="L6142" s="10">
        <v>11.5</v>
      </c>
      <c r="M6142" s="6" t="s">
        <v>430</v>
      </c>
    </row>
    <row r="6143" spans="1:13">
      <c r="A6143" s="6">
        <v>2025</v>
      </c>
      <c r="B6143" s="6">
        <v>7</v>
      </c>
      <c r="C6143" s="6" t="s">
        <v>65</v>
      </c>
      <c r="D6143" s="6" t="s">
        <v>878</v>
      </c>
      <c r="E6143" s="6" t="s">
        <v>452</v>
      </c>
      <c r="F6143" s="6" t="str">
        <f>IF($M6143="PADD I","PADD 1",IF($M6143="PADD II","PADD 2",IF($M6143="PADD III","PADD 3",IF($M6143="PADD IV","PADD 4",IF($M6143="PADD V","PADD 5","")))))</f>
        <v>PADD 2</v>
      </c>
      <c r="G6143" s="6">
        <f>IF(AND($H6143="ATMOS DISTILLATION",ISNUMBER(SEARCH("VPS",$I6143))=FALSE,LEFT($I6143,6)&lt;&gt;"VACUUM"),"CDU",IF($H6143="FLUID CAT CRACKING","FCC",IF(OR($H6143="HYDROCRACKING",$H6143="RESID_HYDROCRACKING"),"Hydrocracker",IF($H6143="REFORMING","Reformer",""))))</f>
        <v/>
      </c>
      <c r="H6143" s="6" t="s">
        <v>435</v>
      </c>
      <c r="I6143" s="6" t="s">
        <v>441</v>
      </c>
      <c r="J6143" s="6" t="s">
        <v>345</v>
      </c>
      <c r="K6143" s="10">
        <v>3.57</v>
      </c>
      <c r="L6143" s="10">
        <v>8.5</v>
      </c>
      <c r="M6143" s="6" t="s">
        <v>375</v>
      </c>
    </row>
    <row r="6144" spans="1:13">
      <c r="A6144" s="6">
        <v>2025</v>
      </c>
      <c r="B6144" s="6">
        <v>7</v>
      </c>
      <c r="C6144" s="6" t="s">
        <v>65</v>
      </c>
      <c r="D6144" s="6" t="s">
        <v>799</v>
      </c>
      <c r="E6144" s="6" t="s">
        <v>391</v>
      </c>
      <c r="F6144" s="6" t="str">
        <f>IF($M6144="PADD I","PADD 1",IF($M6144="PADD II","PADD 2",IF($M6144="PADD III","PADD 3",IF($M6144="PADD IV","PADD 4",IF($M6144="PADD V","PADD 5","")))))</f>
        <v>PADD 4</v>
      </c>
      <c r="G6144" s="6" t="str">
        <f>IF(AND($H6144="ATMOS DISTILLATION",ISNUMBER(SEARCH("VPS",$I6144))=FALSE,LEFT($I6144,6)&lt;&gt;"VACUUM"),"CDU",IF($H6144="FLUID CAT CRACKING","FCC",IF(OR($H6144="HYDROCRACKING",$H6144="RESID_HYDROCRACKING"),"Hydrocracker",IF($H6144="REFORMING","Reformer",""))))</f>
        <v>CDU</v>
      </c>
      <c r="H6144" s="6" t="s">
        <v>38</v>
      </c>
      <c r="I6144" s="6" t="s">
        <v>1104</v>
      </c>
      <c r="J6144" s="6" t="s">
        <v>345</v>
      </c>
      <c r="K6144" s="10">
        <v>3.456</v>
      </c>
      <c r="L6144" s="10">
        <v>57.6</v>
      </c>
      <c r="M6144" s="6" t="s">
        <v>430</v>
      </c>
    </row>
    <row r="6145" spans="1:13">
      <c r="A6145" s="6">
        <v>2025</v>
      </c>
      <c r="B6145" s="6">
        <v>7</v>
      </c>
      <c r="C6145" s="6" t="s">
        <v>65</v>
      </c>
      <c r="D6145" s="6" t="s">
        <v>468</v>
      </c>
      <c r="E6145" s="6" t="s">
        <v>369</v>
      </c>
      <c r="F6145" s="6" t="str">
        <f>IF($M6145="PADD I","PADD 1",IF($M6145="PADD II","PADD 2",IF($M6145="PADD III","PADD 3",IF($M6145="PADD IV","PADD 4",IF($M6145="PADD V","PADD 5","")))))</f>
        <v>PADD 3</v>
      </c>
      <c r="G6145" s="6">
        <f>IF(AND($H6145="ATMOS DISTILLATION",ISNUMBER(SEARCH("VPS",$I6145))=FALSE,LEFT($I6145,6)&lt;&gt;"VACUUM"),"CDU",IF($H6145="FLUID CAT CRACKING","FCC",IF(OR($H6145="HYDROCRACKING",$H6145="RESID_HYDROCRACKING"),"Hydrocracker",IF($H6145="REFORMING","Reformer",""))))</f>
        <v/>
      </c>
      <c r="H6145" s="6" t="s">
        <v>43</v>
      </c>
      <c r="I6145" s="6" t="s">
        <v>1028</v>
      </c>
      <c r="J6145" s="6" t="s">
        <v>345</v>
      </c>
      <c r="K6145" s="10">
        <v>3.4</v>
      </c>
      <c r="L6145" s="10">
        <v>34</v>
      </c>
      <c r="M6145" s="6" t="s">
        <v>371</v>
      </c>
    </row>
    <row r="6146" spans="1:13">
      <c r="A6146" s="6">
        <v>2025</v>
      </c>
      <c r="B6146" s="6">
        <v>7</v>
      </c>
      <c r="C6146" s="6" t="s">
        <v>65</v>
      </c>
      <c r="D6146" s="6" t="s">
        <v>40</v>
      </c>
      <c r="E6146" s="6" t="s">
        <v>736</v>
      </c>
      <c r="F6146" s="6" t="str">
        <f>IF($M6146="PADD I","PADD 1",IF($M6146="PADD II","PADD 2",IF($M6146="PADD III","PADD 3",IF($M6146="PADD IV","PADD 4",IF($M6146="PADD V","PADD 5","")))))</f>
        <v>PADD 1</v>
      </c>
      <c r="G6146" s="6">
        <f>IF(AND($H6146="ATMOS DISTILLATION",ISNUMBER(SEARCH("VPS",$I6146))=FALSE,LEFT($I6146,6)&lt;&gt;"VACUUM"),"CDU",IF($H6146="FLUID CAT CRACKING","FCC",IF(OR($H6146="HYDROCRACKING",$H6146="RESID_HYDROCRACKING"),"Hydrocracker",IF($H6146="REFORMING","Reformer",""))))</f>
        <v/>
      </c>
      <c r="H6146" s="6" t="s">
        <v>43</v>
      </c>
      <c r="I6146" s="6" t="s">
        <v>1011</v>
      </c>
      <c r="J6146" s="6" t="s">
        <v>345</v>
      </c>
      <c r="K6146" s="10">
        <v>3.38</v>
      </c>
      <c r="L6146" s="10">
        <v>26</v>
      </c>
      <c r="M6146" s="6" t="s">
        <v>413</v>
      </c>
    </row>
    <row r="6147" spans="1:13">
      <c r="A6147" s="6">
        <v>2025</v>
      </c>
      <c r="B6147" s="6">
        <v>7</v>
      </c>
      <c r="C6147" s="6" t="s">
        <v>65</v>
      </c>
      <c r="D6147" s="6" t="s">
        <v>762</v>
      </c>
      <c r="E6147" s="6" t="s">
        <v>763</v>
      </c>
      <c r="F6147" s="6" t="str">
        <f>IF($M6147="PADD I","PADD 1",IF($M6147="PADD II","PADD 2",IF($M6147="PADD III","PADD 3",IF($M6147="PADD IV","PADD 4",IF($M6147="PADD V","PADD 5","")))))</f>
        <v>PADD 2</v>
      </c>
      <c r="G6147" s="6">
        <f>IF(AND($H6147="ATMOS DISTILLATION",ISNUMBER(SEARCH("VPS",$I6147))=FALSE,LEFT($I6147,6)&lt;&gt;"VACUUM"),"CDU",IF($H6147="FLUID CAT CRACKING","FCC",IF(OR($H6147="HYDROCRACKING",$H6147="RESID_HYDROCRACKING"),"Hydrocracker",IF($H6147="REFORMING","Reformer",""))))</f>
        <v/>
      </c>
      <c r="H6147" s="6" t="s">
        <v>43</v>
      </c>
      <c r="I6147" s="6" t="s">
        <v>458</v>
      </c>
      <c r="J6147" s="6" t="s">
        <v>345</v>
      </c>
      <c r="K6147" s="10">
        <v>3.38</v>
      </c>
      <c r="L6147" s="10">
        <v>13</v>
      </c>
      <c r="M6147" s="6" t="s">
        <v>375</v>
      </c>
    </row>
    <row r="6148" spans="1:13">
      <c r="A6148" s="6">
        <v>2025</v>
      </c>
      <c r="B6148" s="6">
        <v>7</v>
      </c>
      <c r="C6148" s="6" t="s">
        <v>65</v>
      </c>
      <c r="D6148" s="6" t="s">
        <v>40</v>
      </c>
      <c r="E6148" s="6" t="s">
        <v>736</v>
      </c>
      <c r="F6148" s="6" t="str">
        <f>IF($M6148="PADD I","PADD 1",IF($M6148="PADD II","PADD 2",IF($M6148="PADD III","PADD 3",IF($M6148="PADD IV","PADD 4",IF($M6148="PADD V","PADD 5","")))))</f>
        <v>PADD 1</v>
      </c>
      <c r="G6148" s="6">
        <f>IF(AND($H6148="ATMOS DISTILLATION",ISNUMBER(SEARCH("VPS",$I6148))=FALSE,LEFT($I6148,6)&lt;&gt;"VACUUM"),"CDU",IF($H6148="FLUID CAT CRACKING","FCC",IF(OR($H6148="HYDROCRACKING",$H6148="RESID_HYDROCRACKING"),"Hydrocracker",IF($H6148="REFORMING","Reformer",""))))</f>
        <v/>
      </c>
      <c r="H6148" s="6" t="s">
        <v>378</v>
      </c>
      <c r="I6148" s="6" t="s">
        <v>963</v>
      </c>
      <c r="J6148" s="6" t="s">
        <v>345</v>
      </c>
      <c r="K6148" s="10">
        <v>3.38</v>
      </c>
      <c r="L6148" s="10">
        <v>26</v>
      </c>
      <c r="M6148" s="6" t="s">
        <v>413</v>
      </c>
    </row>
    <row r="6149" spans="1:13">
      <c r="A6149" s="6">
        <v>2025</v>
      </c>
      <c r="B6149" s="6">
        <v>7</v>
      </c>
      <c r="C6149" s="6" t="s">
        <v>65</v>
      </c>
      <c r="D6149" s="6" t="s">
        <v>40</v>
      </c>
      <c r="E6149" s="6" t="s">
        <v>736</v>
      </c>
      <c r="F6149" s="6" t="str">
        <f>IF($M6149="PADD I","PADD 1",IF($M6149="PADD II","PADD 2",IF($M6149="PADD III","PADD 3",IF($M6149="PADD IV","PADD 4",IF($M6149="PADD V","PADD 5","")))))</f>
        <v>PADD 1</v>
      </c>
      <c r="G6149" s="6">
        <f>IF(AND($H6149="ATMOS DISTILLATION",ISNUMBER(SEARCH("VPS",$I6149))=FALSE,LEFT($I6149,6)&lt;&gt;"VACUUM"),"CDU",IF($H6149="FLUID CAT CRACKING","FCC",IF(OR($H6149="HYDROCRACKING",$H6149="RESID_HYDROCRACKING"),"Hydrocracker",IF($H6149="REFORMING","Reformer",""))))</f>
        <v/>
      </c>
      <c r="H6149" s="6" t="s">
        <v>378</v>
      </c>
      <c r="I6149" s="6" t="s">
        <v>1010</v>
      </c>
      <c r="J6149" s="6" t="s">
        <v>345</v>
      </c>
      <c r="K6149" s="10">
        <v>3.38</v>
      </c>
      <c r="L6149" s="10">
        <v>26</v>
      </c>
      <c r="M6149" s="6" t="s">
        <v>413</v>
      </c>
    </row>
    <row r="6150" spans="1:13">
      <c r="A6150" s="6">
        <v>2025</v>
      </c>
      <c r="B6150" s="6">
        <v>7</v>
      </c>
      <c r="C6150" s="6" t="s">
        <v>65</v>
      </c>
      <c r="D6150" s="6" t="s">
        <v>40</v>
      </c>
      <c r="E6150" s="6" t="s">
        <v>736</v>
      </c>
      <c r="F6150" s="6" t="str">
        <f>IF($M6150="PADD I","PADD 1",IF($M6150="PADD II","PADD 2",IF($M6150="PADD III","PADD 3",IF($M6150="PADD IV","PADD 4",IF($M6150="PADD V","PADD 5","")))))</f>
        <v>PADD 1</v>
      </c>
      <c r="G6150" s="6">
        <f>IF(AND($H6150="ATMOS DISTILLATION",ISNUMBER(SEARCH("VPS",$I6150))=FALSE,LEFT($I6150,6)&lt;&gt;"VACUUM"),"CDU",IF($H6150="FLUID CAT CRACKING","FCC",IF(OR($H6150="HYDROCRACKING",$H6150="RESID_HYDROCRACKING"),"Hydrocracker",IF($H6150="REFORMING","Reformer",""))))</f>
        <v/>
      </c>
      <c r="H6150" s="6" t="s">
        <v>378</v>
      </c>
      <c r="I6150" s="6" t="s">
        <v>1009</v>
      </c>
      <c r="J6150" s="6" t="s">
        <v>345</v>
      </c>
      <c r="K6150" s="10">
        <v>3.38</v>
      </c>
      <c r="L6150" s="10">
        <v>26</v>
      </c>
      <c r="M6150" s="6" t="s">
        <v>413</v>
      </c>
    </row>
    <row r="6151" spans="1:13">
      <c r="A6151" s="6">
        <v>2025</v>
      </c>
      <c r="B6151" s="6">
        <v>7</v>
      </c>
      <c r="C6151" s="6" t="s">
        <v>65</v>
      </c>
      <c r="D6151" s="6" t="s">
        <v>411</v>
      </c>
      <c r="E6151" s="6" t="s">
        <v>369</v>
      </c>
      <c r="F6151" s="6" t="str">
        <f>IF($M6151="PADD I","PADD 1",IF($M6151="PADD II","PADD 2",IF($M6151="PADD III","PADD 3",IF($M6151="PADD IV","PADD 4",IF($M6151="PADD V","PADD 5","")))))</f>
        <v>PADD 1</v>
      </c>
      <c r="G6151" s="6">
        <f>IF(AND($H6151="ATMOS DISTILLATION",ISNUMBER(SEARCH("VPS",$I6151))=FALSE,LEFT($I6151,6)&lt;&gt;"VACUUM"),"CDU",IF($H6151="FLUID CAT CRACKING","FCC",IF(OR($H6151="HYDROCRACKING",$H6151="RESID_HYDROCRACKING"),"Hydrocracker",IF($H6151="REFORMING","Reformer",""))))</f>
        <v/>
      </c>
      <c r="H6151" s="6" t="s">
        <v>43</v>
      </c>
      <c r="I6151" s="6" t="s">
        <v>488</v>
      </c>
      <c r="J6151" s="6" t="s">
        <v>345</v>
      </c>
      <c r="K6151" s="10">
        <v>3.24</v>
      </c>
      <c r="L6151" s="10">
        <v>54</v>
      </c>
      <c r="M6151" s="6" t="s">
        <v>413</v>
      </c>
    </row>
    <row r="6152" spans="1:13">
      <c r="A6152" s="6">
        <v>2025</v>
      </c>
      <c r="B6152" s="6">
        <v>7</v>
      </c>
      <c r="C6152" s="6" t="s">
        <v>65</v>
      </c>
      <c r="D6152" s="6" t="s">
        <v>670</v>
      </c>
      <c r="E6152" s="6" t="s">
        <v>405</v>
      </c>
      <c r="F6152" s="6" t="str">
        <f>IF($M6152="PADD I","PADD 1",IF($M6152="PADD II","PADD 2",IF($M6152="PADD III","PADD 3",IF($M6152="PADD IV","PADD 4",IF($M6152="PADD V","PADD 5","")))))</f>
        <v>PADD 2</v>
      </c>
      <c r="G6152" s="6" t="str">
        <f>IF(AND($H6152="ATMOS DISTILLATION",ISNUMBER(SEARCH("VPS",$I6152))=FALSE,LEFT($I6152,6)&lt;&gt;"VACUUM"),"CDU",IF($H6152="FLUID CAT CRACKING","FCC",IF(OR($H6152="HYDROCRACKING",$H6152="RESID_HYDROCRACKING"),"Hydrocracker",IF($H6152="REFORMING","Reformer",""))))</f>
        <v>Hydrocracker</v>
      </c>
      <c r="H6152" s="6" t="s">
        <v>444</v>
      </c>
      <c r="I6152" s="6" t="s">
        <v>1318</v>
      </c>
      <c r="J6152" s="6" t="s">
        <v>345</v>
      </c>
      <c r="K6152" s="10">
        <v>3.185</v>
      </c>
      <c r="L6152" s="10">
        <v>24.5</v>
      </c>
      <c r="M6152" s="6" t="s">
        <v>375</v>
      </c>
    </row>
    <row r="6153" spans="1:13">
      <c r="A6153" s="6">
        <v>2025</v>
      </c>
      <c r="B6153" s="6">
        <v>7</v>
      </c>
      <c r="C6153" s="6" t="s">
        <v>65</v>
      </c>
      <c r="D6153" s="6" t="s">
        <v>40</v>
      </c>
      <c r="E6153" s="6" t="s">
        <v>736</v>
      </c>
      <c r="F6153" s="6" t="str">
        <f>IF($M6153="PADD I","PADD 1",IF($M6153="PADD II","PADD 2",IF($M6153="PADD III","PADD 3",IF($M6153="PADD IV","PADD 4",IF($M6153="PADD V","PADD 5","")))))</f>
        <v>PADD 1</v>
      </c>
      <c r="G6153" s="6" t="str">
        <f>IF(AND($H6153="ATMOS DISTILLATION",ISNUMBER(SEARCH("VPS",$I6153))=FALSE,LEFT($I6153,6)&lt;&gt;"VACUUM"),"CDU",IF($H6153="FLUID CAT CRACKING","FCC",IF(OR($H6153="HYDROCRACKING",$H6153="RESID_HYDROCRACKING"),"Hydrocracker",IF($H6153="REFORMING","Reformer",""))))</f>
        <v>Hydrocracker</v>
      </c>
      <c r="H6153" s="6" t="s">
        <v>444</v>
      </c>
      <c r="I6153" s="6" t="s">
        <v>445</v>
      </c>
      <c r="J6153" s="6" t="s">
        <v>345</v>
      </c>
      <c r="K6153" s="10">
        <v>3.12</v>
      </c>
      <c r="L6153" s="10">
        <v>24</v>
      </c>
      <c r="M6153" s="6" t="s">
        <v>413</v>
      </c>
    </row>
    <row r="6154" spans="1:13">
      <c r="A6154" s="6">
        <v>2025</v>
      </c>
      <c r="B6154" s="6">
        <v>7</v>
      </c>
      <c r="C6154" s="6" t="s">
        <v>65</v>
      </c>
      <c r="D6154" s="6" t="s">
        <v>602</v>
      </c>
      <c r="E6154" s="6" t="s">
        <v>369</v>
      </c>
      <c r="F6154" s="6" t="str">
        <f>IF($M6154="PADD I","PADD 1",IF($M6154="PADD II","PADD 2",IF($M6154="PADD III","PADD 3",IF($M6154="PADD IV","PADD 4",IF($M6154="PADD V","PADD 5","")))))</f>
        <v>PADD 2</v>
      </c>
      <c r="G6154" s="6" t="str">
        <f>IF(AND($H6154="ATMOS DISTILLATION",ISNUMBER(SEARCH("VPS",$I6154))=FALSE,LEFT($I6154,6)&lt;&gt;"VACUUM"),"CDU",IF($H6154="FLUID CAT CRACKING","FCC",IF(OR($H6154="HYDROCRACKING",$H6154="RESID_HYDROCRACKING"),"Hydrocracker",IF($H6154="REFORMING","Reformer",""))))</f>
        <v>Reformer</v>
      </c>
      <c r="H6154" s="6" t="s">
        <v>421</v>
      </c>
      <c r="I6154" s="6" t="s">
        <v>697</v>
      </c>
      <c r="J6154" s="6" t="s">
        <v>345</v>
      </c>
      <c r="K6154" s="10">
        <v>2.7</v>
      </c>
      <c r="L6154" s="10">
        <v>27</v>
      </c>
      <c r="M6154" s="6" t="s">
        <v>375</v>
      </c>
    </row>
    <row r="6155" spans="1:13">
      <c r="A6155" s="6">
        <v>2025</v>
      </c>
      <c r="B6155" s="6">
        <v>7</v>
      </c>
      <c r="C6155" s="6" t="s">
        <v>65</v>
      </c>
      <c r="D6155" s="6" t="s">
        <v>451</v>
      </c>
      <c r="E6155" s="6" t="s">
        <v>452</v>
      </c>
      <c r="F6155" s="6" t="str">
        <f>IF($M6155="PADD I","PADD 1",IF($M6155="PADD II","PADD 2",IF($M6155="PADD III","PADD 3",IF($M6155="PADD IV","PADD 4",IF($M6155="PADD V","PADD 5","")))))</f>
        <v>PADD 2</v>
      </c>
      <c r="G6155" s="6">
        <f>IF(AND($H6155="ATMOS DISTILLATION",ISNUMBER(SEARCH("VPS",$I6155))=FALSE,LEFT($I6155,6)&lt;&gt;"VACUUM"),"CDU",IF($H6155="FLUID CAT CRACKING","FCC",IF(OR($H6155="HYDROCRACKING",$H6155="RESID_HYDROCRACKING"),"Hydrocracker",IF($H6155="REFORMING","Reformer",""))))</f>
        <v/>
      </c>
      <c r="H6155" s="6" t="s">
        <v>460</v>
      </c>
      <c r="I6155" s="6" t="s">
        <v>461</v>
      </c>
      <c r="J6155" s="6" t="s">
        <v>345</v>
      </c>
      <c r="K6155" s="10">
        <v>2.619</v>
      </c>
      <c r="L6155" s="10">
        <v>2.7</v>
      </c>
      <c r="M6155" s="6" t="s">
        <v>375</v>
      </c>
    </row>
    <row r="6156" spans="1:13">
      <c r="A6156" s="6">
        <v>2025</v>
      </c>
      <c r="B6156" s="6">
        <v>7</v>
      </c>
      <c r="C6156" s="6" t="s">
        <v>65</v>
      </c>
      <c r="D6156" s="6" t="s">
        <v>878</v>
      </c>
      <c r="E6156" s="6" t="s">
        <v>452</v>
      </c>
      <c r="F6156" s="6" t="str">
        <f>IF($M6156="PADD I","PADD 1",IF($M6156="PADD II","PADD 2",IF($M6156="PADD III","PADD 3",IF($M6156="PADD IV","PADD 4",IF($M6156="PADD V","PADD 5","")))))</f>
        <v>PADD 2</v>
      </c>
      <c r="G6156" s="6" t="str">
        <f>IF(AND($H6156="ATMOS DISTILLATION",ISNUMBER(SEARCH("VPS",$I6156))=FALSE,LEFT($I6156,6)&lt;&gt;"VACUUM"),"CDU",IF($H6156="FLUID CAT CRACKING","FCC",IF(OR($H6156="HYDROCRACKING",$H6156="RESID_HYDROCRACKING"),"Hydrocracker",IF($H6156="REFORMING","Reformer",""))))</f>
        <v>CDU</v>
      </c>
      <c r="H6156" s="6" t="s">
        <v>38</v>
      </c>
      <c r="I6156" s="6" t="s">
        <v>879</v>
      </c>
      <c r="J6156" s="6" t="s">
        <v>345</v>
      </c>
      <c r="K6156" s="10">
        <v>2.55</v>
      </c>
      <c r="L6156" s="10">
        <v>85</v>
      </c>
      <c r="M6156" s="6" t="s">
        <v>375</v>
      </c>
    </row>
    <row r="6157" spans="1:13">
      <c r="A6157" s="6">
        <v>2025</v>
      </c>
      <c r="B6157" s="6">
        <v>7</v>
      </c>
      <c r="C6157" s="6" t="s">
        <v>65</v>
      </c>
      <c r="D6157" s="6" t="s">
        <v>408</v>
      </c>
      <c r="E6157" s="6" t="s">
        <v>409</v>
      </c>
      <c r="F6157" s="6" t="str">
        <f>IF($M6157="PADD I","PADD 1",IF($M6157="PADD II","PADD 2",IF($M6157="PADD III","PADD 3",IF($M6157="PADD IV","PADD 4",IF($M6157="PADD V","PADD 5","")))))</f>
        <v>PADD 3</v>
      </c>
      <c r="G6157" s="6" t="str">
        <f>IF(AND($H6157="ATMOS DISTILLATION",ISNUMBER(SEARCH("VPS",$I6157))=FALSE,LEFT($I6157,6)&lt;&gt;"VACUUM"),"CDU",IF($H6157="FLUID CAT CRACKING","FCC",IF(OR($H6157="HYDROCRACKING",$H6157="RESID_HYDROCRACKING"),"Hydrocracker",IF($H6157="REFORMING","Reformer",""))))</f>
        <v>CDU</v>
      </c>
      <c r="H6157" s="6" t="s">
        <v>38</v>
      </c>
      <c r="I6157" s="6" t="s">
        <v>410</v>
      </c>
      <c r="J6157" s="6" t="s">
        <v>345</v>
      </c>
      <c r="K6157" s="10">
        <v>2.4</v>
      </c>
      <c r="L6157" s="10">
        <v>80</v>
      </c>
      <c r="M6157" s="6" t="s">
        <v>371</v>
      </c>
    </row>
    <row r="6158" spans="1:13">
      <c r="A6158" s="6">
        <v>2025</v>
      </c>
      <c r="B6158" s="6">
        <v>7</v>
      </c>
      <c r="C6158" s="6" t="s">
        <v>65</v>
      </c>
      <c r="D6158" s="6" t="s">
        <v>602</v>
      </c>
      <c r="E6158" s="6" t="s">
        <v>369</v>
      </c>
      <c r="F6158" s="6" t="str">
        <f>IF($M6158="PADD I","PADD 1",IF($M6158="PADD II","PADD 2",IF($M6158="PADD III","PADD 3",IF($M6158="PADD IV","PADD 4",IF($M6158="PADD V","PADD 5","")))))</f>
        <v>PADD 2</v>
      </c>
      <c r="G6158" s="6">
        <f>IF(AND($H6158="ATMOS DISTILLATION",ISNUMBER(SEARCH("VPS",$I6158))=FALSE,LEFT($I6158,6)&lt;&gt;"VACUUM"),"CDU",IF($H6158="FLUID CAT CRACKING","FCC",IF(OR($H6158="HYDROCRACKING",$H6158="RESID_HYDROCRACKING"),"Hydrocracker",IF($H6158="REFORMING","Reformer",""))))</f>
        <v/>
      </c>
      <c r="H6158" s="6" t="s">
        <v>435</v>
      </c>
      <c r="I6158" s="6" t="s">
        <v>441</v>
      </c>
      <c r="J6158" s="6" t="s">
        <v>345</v>
      </c>
      <c r="K6158" s="10">
        <v>2.31</v>
      </c>
      <c r="L6158" s="10">
        <v>23.1</v>
      </c>
      <c r="M6158" s="6" t="s">
        <v>375</v>
      </c>
    </row>
    <row r="6159" spans="1:13">
      <c r="A6159" s="6">
        <v>2025</v>
      </c>
      <c r="B6159" s="6">
        <v>7</v>
      </c>
      <c r="C6159" s="6" t="s">
        <v>65</v>
      </c>
      <c r="D6159" s="6" t="s">
        <v>1315</v>
      </c>
      <c r="E6159" s="6" t="s">
        <v>1316</v>
      </c>
      <c r="F6159" s="6" t="str">
        <f>IF($M6159="PADD I","PADD 1",IF($M6159="PADD II","PADD 2",IF($M6159="PADD III","PADD 3",IF($M6159="PADD IV","PADD 4",IF($M6159="PADD V","PADD 5","")))))</f>
        <v>PADD 1</v>
      </c>
      <c r="G6159" s="6" t="str">
        <f>IF(AND($H6159="ATMOS DISTILLATION",ISNUMBER(SEARCH("VPS",$I6159))=FALSE,LEFT($I6159,6)&lt;&gt;"VACUUM"),"CDU",IF($H6159="FLUID CAT CRACKING","FCC",IF(OR($H6159="HYDROCRACKING",$H6159="RESID_HYDROCRACKING"),"Hydrocracker",IF($H6159="REFORMING","Reformer",""))))</f>
        <v>CDU</v>
      </c>
      <c r="H6159" s="6" t="s">
        <v>38</v>
      </c>
      <c r="I6159" s="6" t="s">
        <v>81</v>
      </c>
      <c r="J6159" s="6" t="s">
        <v>349</v>
      </c>
      <c r="K6159" s="10">
        <v>2.28</v>
      </c>
      <c r="L6159" s="10">
        <v>12</v>
      </c>
      <c r="M6159" s="6" t="s">
        <v>413</v>
      </c>
    </row>
    <row r="6160" spans="1:13">
      <c r="A6160" s="6">
        <v>2025</v>
      </c>
      <c r="B6160" s="6">
        <v>7</v>
      </c>
      <c r="C6160" s="6" t="s">
        <v>65</v>
      </c>
      <c r="D6160" s="6" t="s">
        <v>934</v>
      </c>
      <c r="E6160" s="6" t="s">
        <v>388</v>
      </c>
      <c r="F6160" s="6" t="str">
        <f>IF($M6160="PADD I","PADD 1",IF($M6160="PADD II","PADD 2",IF($M6160="PADD III","PADD 3",IF($M6160="PADD IV","PADD 4",IF($M6160="PADD V","PADD 5","")))))</f>
        <v>PADD 3</v>
      </c>
      <c r="G6160" s="6" t="str">
        <f>IF(AND($H6160="ATMOS DISTILLATION",ISNUMBER(SEARCH("VPS",$I6160))=FALSE,LEFT($I6160,6)&lt;&gt;"VACUUM"),"CDU",IF($H6160="FLUID CAT CRACKING","FCC",IF(OR($H6160="HYDROCRACKING",$H6160="RESID_HYDROCRACKING"),"Hydrocracker",IF($H6160="REFORMING","Reformer",""))))</f>
        <v>CDU</v>
      </c>
      <c r="H6160" s="6" t="s">
        <v>38</v>
      </c>
      <c r="I6160" s="6" t="s">
        <v>135</v>
      </c>
      <c r="J6160" s="6" t="s">
        <v>345</v>
      </c>
      <c r="K6160" s="10">
        <v>2.25</v>
      </c>
      <c r="L6160" s="10">
        <v>75</v>
      </c>
      <c r="M6160" s="6" t="s">
        <v>371</v>
      </c>
    </row>
    <row r="6161" spans="1:13">
      <c r="A6161" s="6">
        <v>2025</v>
      </c>
      <c r="B6161" s="6">
        <v>7</v>
      </c>
      <c r="C6161" s="6" t="s">
        <v>65</v>
      </c>
      <c r="D6161" s="6" t="s">
        <v>465</v>
      </c>
      <c r="E6161" s="6" t="s">
        <v>369</v>
      </c>
      <c r="F6161" s="6" t="str">
        <f>IF($M6161="PADD I","PADD 1",IF($M6161="PADD II","PADD 2",IF($M6161="PADD III","PADD 3",IF($M6161="PADD IV","PADD 4",IF($M6161="PADD V","PADD 5","")))))</f>
        <v>PADD 5</v>
      </c>
      <c r="G6161" s="6">
        <f>IF(AND($H6161="ATMOS DISTILLATION",ISNUMBER(SEARCH("VPS",$I6161))=FALSE,LEFT($I6161,6)&lt;&gt;"VACUUM"),"CDU",IF($H6161="FLUID CAT CRACKING","FCC",IF(OR($H6161="HYDROCRACKING",$H6161="RESID_HYDROCRACKING"),"Hydrocracker",IF($H6161="REFORMING","Reformer",""))))</f>
        <v/>
      </c>
      <c r="H6161" s="6" t="s">
        <v>43</v>
      </c>
      <c r="I6161" s="6" t="s">
        <v>664</v>
      </c>
      <c r="J6161" s="6" t="s">
        <v>349</v>
      </c>
      <c r="K6161" s="10">
        <v>2.1</v>
      </c>
      <c r="L6161" s="10">
        <v>35</v>
      </c>
      <c r="M6161" s="6" t="s">
        <v>386</v>
      </c>
    </row>
    <row r="6162" spans="1:13">
      <c r="A6162" s="6">
        <v>2025</v>
      </c>
      <c r="B6162" s="6">
        <v>7</v>
      </c>
      <c r="C6162" s="6" t="s">
        <v>65</v>
      </c>
      <c r="D6162" s="6" t="s">
        <v>468</v>
      </c>
      <c r="E6162" s="6" t="s">
        <v>369</v>
      </c>
      <c r="F6162" s="6" t="str">
        <f>IF($M6162="PADD I","PADD 1",IF($M6162="PADD II","PADD 2",IF($M6162="PADD III","PADD 3",IF($M6162="PADD IV","PADD 4",IF($M6162="PADD V","PADD 5","")))))</f>
        <v>PADD 3</v>
      </c>
      <c r="G6162" s="6">
        <f>IF(AND($H6162="ATMOS DISTILLATION",ISNUMBER(SEARCH("VPS",$I6162))=FALSE,LEFT($I6162,6)&lt;&gt;"VACUUM"),"CDU",IF($H6162="FLUID CAT CRACKING","FCC",IF(OR($H6162="HYDROCRACKING",$H6162="RESID_HYDROCRACKING"),"Hydrocracker",IF($H6162="REFORMING","Reformer",""))))</f>
        <v/>
      </c>
      <c r="H6162" s="6" t="s">
        <v>43</v>
      </c>
      <c r="I6162" s="6" t="s">
        <v>1030</v>
      </c>
      <c r="J6162" s="6" t="s">
        <v>345</v>
      </c>
      <c r="K6162" s="10">
        <v>2</v>
      </c>
      <c r="L6162" s="10">
        <v>20</v>
      </c>
      <c r="M6162" s="6" t="s">
        <v>371</v>
      </c>
    </row>
    <row r="6163" spans="1:13">
      <c r="A6163" s="6">
        <v>2025</v>
      </c>
      <c r="B6163" s="6">
        <v>7</v>
      </c>
      <c r="C6163" s="6" t="s">
        <v>65</v>
      </c>
      <c r="D6163" s="6" t="s">
        <v>468</v>
      </c>
      <c r="E6163" s="6" t="s">
        <v>369</v>
      </c>
      <c r="F6163" s="6" t="str">
        <f>IF($M6163="PADD I","PADD 1",IF($M6163="PADD II","PADD 2",IF($M6163="PADD III","PADD 3",IF($M6163="PADD IV","PADD 4",IF($M6163="PADD V","PADD 5","")))))</f>
        <v>PADD 3</v>
      </c>
      <c r="G6163" s="6" t="str">
        <f>IF(AND($H6163="ATMOS DISTILLATION",ISNUMBER(SEARCH("VPS",$I6163))=FALSE,LEFT($I6163,6)&lt;&gt;"VACUUM"),"CDU",IF($H6163="FLUID CAT CRACKING","FCC",IF(OR($H6163="HYDROCRACKING",$H6163="RESID_HYDROCRACKING"),"Hydrocracker",IF($H6163="REFORMING","Reformer",""))))</f>
        <v>Reformer</v>
      </c>
      <c r="H6163" s="6" t="s">
        <v>421</v>
      </c>
      <c r="I6163" s="6" t="s">
        <v>858</v>
      </c>
      <c r="J6163" s="6" t="s">
        <v>345</v>
      </c>
      <c r="K6163" s="10">
        <v>2</v>
      </c>
      <c r="L6163" s="10">
        <v>20</v>
      </c>
      <c r="M6163" s="6" t="s">
        <v>371</v>
      </c>
    </row>
    <row r="6164" spans="1:13">
      <c r="A6164" s="6">
        <v>2025</v>
      </c>
      <c r="B6164" s="6">
        <v>7</v>
      </c>
      <c r="C6164" s="6" t="s">
        <v>65</v>
      </c>
      <c r="D6164" s="6" t="s">
        <v>1032</v>
      </c>
      <c r="E6164" s="6" t="s">
        <v>1033</v>
      </c>
      <c r="F6164" s="6" t="str">
        <f>IF($M6164="PADD I","PADD 1",IF($M6164="PADD II","PADD 2",IF($M6164="PADD III","PADD 3",IF($M6164="PADD IV","PADD 4",IF($M6164="PADD V","PADD 5","")))))</f>
        <v>PADD 5</v>
      </c>
      <c r="G6164" s="6">
        <f>IF(AND($H6164="ATMOS DISTILLATION",ISNUMBER(SEARCH("VPS",$I6164))=FALSE,LEFT($I6164,6)&lt;&gt;"VACUUM"),"CDU",IF($H6164="FLUID CAT CRACKING","FCC",IF(OR($H6164="HYDROCRACKING",$H6164="RESID_HYDROCRACKING"),"Hydrocracker",IF($H6164="REFORMING","Reformer",""))))</f>
        <v/>
      </c>
      <c r="H6164" s="6" t="s">
        <v>378</v>
      </c>
      <c r="I6164" s="6" t="s">
        <v>1034</v>
      </c>
      <c r="J6164" s="6" t="s">
        <v>345</v>
      </c>
      <c r="K6164" s="10">
        <v>2</v>
      </c>
      <c r="L6164" s="10">
        <v>2</v>
      </c>
      <c r="M6164" s="6" t="s">
        <v>386</v>
      </c>
    </row>
    <row r="6165" spans="1:13">
      <c r="A6165" s="6">
        <v>2025</v>
      </c>
      <c r="B6165" s="6">
        <v>7</v>
      </c>
      <c r="C6165" s="6" t="s">
        <v>65</v>
      </c>
      <c r="D6165" s="6" t="s">
        <v>878</v>
      </c>
      <c r="E6165" s="6" t="s">
        <v>452</v>
      </c>
      <c r="F6165" s="6" t="str">
        <f>IF($M6165="PADD I","PADD 1",IF($M6165="PADD II","PADD 2",IF($M6165="PADD III","PADD 3",IF($M6165="PADD IV","PADD 4",IF($M6165="PADD V","PADD 5","")))))</f>
        <v>PADD 2</v>
      </c>
      <c r="G6165" s="6">
        <f>IF(AND($H6165="ATMOS DISTILLATION",ISNUMBER(SEARCH("VPS",$I6165))=FALSE,LEFT($I6165,6)&lt;&gt;"VACUUM"),"CDU",IF($H6165="FLUID CAT CRACKING","FCC",IF(OR($H6165="HYDROCRACKING",$H6165="RESID_HYDROCRACKING"),"Hydrocracker",IF($H6165="REFORMING","Reformer",""))))</f>
        <v/>
      </c>
      <c r="H6165" s="6" t="s">
        <v>435</v>
      </c>
      <c r="I6165" s="6" t="s">
        <v>441</v>
      </c>
      <c r="J6165" s="6" t="s">
        <v>345</v>
      </c>
      <c r="K6165" s="10">
        <v>1.955</v>
      </c>
      <c r="L6165" s="10">
        <v>8.5</v>
      </c>
      <c r="M6165" s="6" t="s">
        <v>375</v>
      </c>
    </row>
    <row r="6166" spans="1:13">
      <c r="A6166" s="6">
        <v>2025</v>
      </c>
      <c r="B6166" s="6">
        <v>7</v>
      </c>
      <c r="C6166" s="6" t="s">
        <v>65</v>
      </c>
      <c r="D6166" s="6" t="s">
        <v>40</v>
      </c>
      <c r="E6166" s="6" t="s">
        <v>736</v>
      </c>
      <c r="F6166" s="6" t="str">
        <f>IF($M6166="PADD I","PADD 1",IF($M6166="PADD II","PADD 2",IF($M6166="PADD III","PADD 3",IF($M6166="PADD IV","PADD 4",IF($M6166="PADD V","PADD 5","")))))</f>
        <v>PADD 1</v>
      </c>
      <c r="G6166" s="6">
        <f>IF(AND($H6166="ATMOS DISTILLATION",ISNUMBER(SEARCH("VPS",$I6166))=FALSE,LEFT($I6166,6)&lt;&gt;"VACUUM"),"CDU",IF($H6166="FLUID CAT CRACKING","FCC",IF(OR($H6166="HYDROCRACKING",$H6166="RESID_HYDROCRACKING"),"Hydrocracker",IF($H6166="REFORMING","Reformer",""))))</f>
        <v/>
      </c>
      <c r="H6166" s="6" t="s">
        <v>43</v>
      </c>
      <c r="I6166" s="6" t="s">
        <v>994</v>
      </c>
      <c r="J6166" s="6" t="s">
        <v>345</v>
      </c>
      <c r="K6166" s="10">
        <v>1.95</v>
      </c>
      <c r="L6166" s="10">
        <v>65</v>
      </c>
      <c r="M6166" s="6" t="s">
        <v>413</v>
      </c>
    </row>
    <row r="6167" spans="1:13">
      <c r="A6167" s="6">
        <v>2025</v>
      </c>
      <c r="B6167" s="6">
        <v>7</v>
      </c>
      <c r="C6167" s="6" t="s">
        <v>65</v>
      </c>
      <c r="D6167" s="6" t="s">
        <v>770</v>
      </c>
      <c r="E6167" s="6" t="s">
        <v>660</v>
      </c>
      <c r="F6167" s="6" t="str">
        <f>IF($M6167="PADD I","PADD 1",IF($M6167="PADD II","PADD 2",IF($M6167="PADD III","PADD 3",IF($M6167="PADD IV","PADD 4",IF($M6167="PADD V","PADD 5","")))))</f>
        <v>PADD 3</v>
      </c>
      <c r="G6167" s="6">
        <f>IF(AND($H6167="ATMOS DISTILLATION",ISNUMBER(SEARCH("VPS",$I6167))=FALSE,LEFT($I6167,6)&lt;&gt;"VACUUM"),"CDU",IF($H6167="FLUID CAT CRACKING","FCC",IF(OR($H6167="HYDROCRACKING",$H6167="RESID_HYDROCRACKING"),"Hydrocracker",IF($H6167="REFORMING","Reformer",""))))</f>
        <v/>
      </c>
      <c r="H6167" s="6" t="s">
        <v>435</v>
      </c>
      <c r="I6167" s="6" t="s">
        <v>441</v>
      </c>
      <c r="J6167" s="6" t="s">
        <v>349</v>
      </c>
      <c r="K6167" s="10">
        <v>1.92</v>
      </c>
      <c r="L6167" s="10">
        <v>32</v>
      </c>
      <c r="M6167" s="6" t="s">
        <v>371</v>
      </c>
    </row>
    <row r="6168" spans="1:13">
      <c r="A6168" s="6">
        <v>2025</v>
      </c>
      <c r="B6168" s="6">
        <v>7</v>
      </c>
      <c r="C6168" s="6" t="s">
        <v>65</v>
      </c>
      <c r="D6168" s="6" t="s">
        <v>799</v>
      </c>
      <c r="E6168" s="6" t="s">
        <v>391</v>
      </c>
      <c r="F6168" s="6" t="str">
        <f>IF($M6168="PADD I","PADD 1",IF($M6168="PADD II","PADD 2",IF($M6168="PADD III","PADD 3",IF($M6168="PADD IV","PADD 4",IF($M6168="PADD V","PADD 5","")))))</f>
        <v>PADD 4</v>
      </c>
      <c r="G6168" s="6">
        <f>IF(AND($H6168="ATMOS DISTILLATION",ISNUMBER(SEARCH("VPS",$I6168))=FALSE,LEFT($I6168,6)&lt;&gt;"VACUUM"),"CDU",IF($H6168="FLUID CAT CRACKING","FCC",IF(OR($H6168="HYDROCRACKING",$H6168="RESID_HYDROCRACKING"),"Hydrocracker",IF($H6168="REFORMING","Reformer",""))))</f>
        <v/>
      </c>
      <c r="H6168" s="6" t="s">
        <v>435</v>
      </c>
      <c r="I6168" s="6" t="s">
        <v>1188</v>
      </c>
      <c r="J6168" s="6" t="s">
        <v>345</v>
      </c>
      <c r="K6168" s="10">
        <v>1.9</v>
      </c>
      <c r="L6168" s="10">
        <v>10</v>
      </c>
      <c r="M6168" s="6" t="s">
        <v>430</v>
      </c>
    </row>
    <row r="6169" spans="1:13">
      <c r="A6169" s="6">
        <v>2025</v>
      </c>
      <c r="B6169" s="6">
        <v>7</v>
      </c>
      <c r="C6169" s="6" t="s">
        <v>65</v>
      </c>
      <c r="D6169" s="6" t="s">
        <v>40</v>
      </c>
      <c r="E6169" s="6" t="s">
        <v>736</v>
      </c>
      <c r="F6169" s="6" t="str">
        <f>IF($M6169="PADD I","PADD 1",IF($M6169="PADD II","PADD 2",IF($M6169="PADD III","PADD 3",IF($M6169="PADD IV","PADD 4",IF($M6169="PADD V","PADD 5","")))))</f>
        <v>PADD 1</v>
      </c>
      <c r="G6169" s="6">
        <f>IF(AND($H6169="ATMOS DISTILLATION",ISNUMBER(SEARCH("VPS",$I6169))=FALSE,LEFT($I6169,6)&lt;&gt;"VACUUM"),"CDU",IF($H6169="FLUID CAT CRACKING","FCC",IF(OR($H6169="HYDROCRACKING",$H6169="RESID_HYDROCRACKING"),"Hydrocracker",IF($H6169="REFORMING","Reformer",""))))</f>
        <v/>
      </c>
      <c r="H6169" s="6" t="s">
        <v>43</v>
      </c>
      <c r="I6169" s="6" t="s">
        <v>493</v>
      </c>
      <c r="J6169" s="6" t="s">
        <v>345</v>
      </c>
      <c r="K6169" s="10">
        <v>1.8</v>
      </c>
      <c r="L6169" s="10">
        <v>60</v>
      </c>
      <c r="M6169" s="6" t="s">
        <v>413</v>
      </c>
    </row>
    <row r="6170" spans="1:13">
      <c r="A6170" s="6">
        <v>2025</v>
      </c>
      <c r="B6170" s="6">
        <v>7</v>
      </c>
      <c r="C6170" s="6" t="s">
        <v>65</v>
      </c>
      <c r="D6170" s="6" t="s">
        <v>411</v>
      </c>
      <c r="E6170" s="6" t="s">
        <v>369</v>
      </c>
      <c r="F6170" s="6" t="str">
        <f>IF($M6170="PADD I","PADD 1",IF($M6170="PADD II","PADD 2",IF($M6170="PADD III","PADD 3",IF($M6170="PADD IV","PADD 4",IF($M6170="PADD V","PADD 5","")))))</f>
        <v>PADD 1</v>
      </c>
      <c r="G6170" s="6">
        <f>IF(AND($H6170="ATMOS DISTILLATION",ISNUMBER(SEARCH("VPS",$I6170))=FALSE,LEFT($I6170,6)&lt;&gt;"VACUUM"),"CDU",IF($H6170="FLUID CAT CRACKING","FCC",IF(OR($H6170="HYDROCRACKING",$H6170="RESID_HYDROCRACKING"),"Hydrocracker",IF($H6170="REFORMING","Reformer",""))))</f>
        <v/>
      </c>
      <c r="H6170" s="6" t="s">
        <v>43</v>
      </c>
      <c r="I6170" s="6" t="s">
        <v>884</v>
      </c>
      <c r="J6170" s="6" t="s">
        <v>345</v>
      </c>
      <c r="K6170" s="10">
        <v>1.74</v>
      </c>
      <c r="L6170" s="10">
        <v>29</v>
      </c>
      <c r="M6170" s="6" t="s">
        <v>413</v>
      </c>
    </row>
    <row r="6171" spans="1:13">
      <c r="A6171" s="6">
        <v>2025</v>
      </c>
      <c r="B6171" s="6">
        <v>7</v>
      </c>
      <c r="C6171" s="6" t="s">
        <v>65</v>
      </c>
      <c r="D6171" s="6" t="s">
        <v>411</v>
      </c>
      <c r="E6171" s="6" t="s">
        <v>369</v>
      </c>
      <c r="F6171" s="6" t="str">
        <f>IF($M6171="PADD I","PADD 1",IF($M6171="PADD II","PADD 2",IF($M6171="PADD III","PADD 3",IF($M6171="PADD IV","PADD 4",IF($M6171="PADD V","PADD 5","")))))</f>
        <v>PADD 1</v>
      </c>
      <c r="G6171" s="6">
        <f>IF(AND($H6171="ATMOS DISTILLATION",ISNUMBER(SEARCH("VPS",$I6171))=FALSE,LEFT($I6171,6)&lt;&gt;"VACUUM"),"CDU",IF($H6171="FLUID CAT CRACKING","FCC",IF(OR($H6171="HYDROCRACKING",$H6171="RESID_HYDROCRACKING"),"Hydrocracker",IF($H6171="REFORMING","Reformer",""))))</f>
        <v/>
      </c>
      <c r="H6171" s="6" t="s">
        <v>43</v>
      </c>
      <c r="I6171" s="6" t="s">
        <v>885</v>
      </c>
      <c r="J6171" s="6" t="s">
        <v>345</v>
      </c>
      <c r="K6171" s="10">
        <v>1.68</v>
      </c>
      <c r="L6171" s="10">
        <v>28</v>
      </c>
      <c r="M6171" s="6" t="s">
        <v>413</v>
      </c>
    </row>
    <row r="6172" spans="1:13">
      <c r="A6172" s="6">
        <v>2025</v>
      </c>
      <c r="B6172" s="6">
        <v>7</v>
      </c>
      <c r="C6172" s="6" t="s">
        <v>65</v>
      </c>
      <c r="D6172" s="6" t="s">
        <v>799</v>
      </c>
      <c r="E6172" s="6" t="s">
        <v>391</v>
      </c>
      <c r="F6172" s="6" t="str">
        <f>IF($M6172="PADD I","PADD 1",IF($M6172="PADD II","PADD 2",IF($M6172="PADD III","PADD 3",IF($M6172="PADD IV","PADD 4",IF($M6172="PADD V","PADD 5","")))))</f>
        <v>PADD 4</v>
      </c>
      <c r="G6172" s="6">
        <f>IF(AND($H6172="ATMOS DISTILLATION",ISNUMBER(SEARCH("VPS",$I6172))=FALSE,LEFT($I6172,6)&lt;&gt;"VACUUM"),"CDU",IF($H6172="FLUID CAT CRACKING","FCC",IF(OR($H6172="HYDROCRACKING",$H6172="RESID_HYDROCRACKING"),"Hydrocracker",IF($H6172="REFORMING","Reformer",""))))</f>
        <v/>
      </c>
      <c r="H6172" s="6" t="s">
        <v>378</v>
      </c>
      <c r="I6172" s="6" t="s">
        <v>379</v>
      </c>
      <c r="J6172" s="6" t="s">
        <v>345</v>
      </c>
      <c r="K6172" s="10">
        <v>1.65</v>
      </c>
      <c r="L6172" s="10">
        <v>27.5</v>
      </c>
      <c r="M6172" s="6" t="s">
        <v>430</v>
      </c>
    </row>
    <row r="6173" spans="1:13">
      <c r="A6173" s="6">
        <v>2025</v>
      </c>
      <c r="B6173" s="6">
        <v>7</v>
      </c>
      <c r="C6173" s="6" t="s">
        <v>65</v>
      </c>
      <c r="D6173" s="6" t="s">
        <v>40</v>
      </c>
      <c r="E6173" s="6" t="s">
        <v>736</v>
      </c>
      <c r="F6173" s="6" t="str">
        <f>IF($M6173="PADD I","PADD 1",IF($M6173="PADD II","PADD 2",IF($M6173="PADD III","PADD 3",IF($M6173="PADD IV","PADD 4",IF($M6173="PADD V","PADD 5","")))))</f>
        <v>PADD 1</v>
      </c>
      <c r="G6173" s="6" t="str">
        <f>IF(AND($H6173="ATMOS DISTILLATION",ISNUMBER(SEARCH("VPS",$I6173))=FALSE,LEFT($I6173,6)&lt;&gt;"VACUUM"),"CDU",IF($H6173="FLUID CAT CRACKING","FCC",IF(OR($H6173="HYDROCRACKING",$H6173="RESID_HYDROCRACKING"),"Hydrocracker",IF($H6173="REFORMING","Reformer",""))))</f>
        <v>FCC</v>
      </c>
      <c r="H6173" s="6" t="s">
        <v>376</v>
      </c>
      <c r="I6173" s="6" t="s">
        <v>737</v>
      </c>
      <c r="J6173" s="6" t="s">
        <v>345</v>
      </c>
      <c r="K6173" s="10">
        <v>1.59</v>
      </c>
      <c r="L6173" s="10">
        <v>53</v>
      </c>
      <c r="M6173" s="6" t="s">
        <v>413</v>
      </c>
    </row>
    <row r="6174" spans="1:13">
      <c r="A6174" s="6">
        <v>2025</v>
      </c>
      <c r="B6174" s="6">
        <v>7</v>
      </c>
      <c r="C6174" s="6" t="s">
        <v>65</v>
      </c>
      <c r="D6174" s="6" t="s">
        <v>411</v>
      </c>
      <c r="E6174" s="6" t="s">
        <v>369</v>
      </c>
      <c r="F6174" s="6" t="str">
        <f>IF($M6174="PADD I","PADD 1",IF($M6174="PADD II","PADD 2",IF($M6174="PADD III","PADD 3",IF($M6174="PADD IV","PADD 4",IF($M6174="PADD V","PADD 5","")))))</f>
        <v>PADD 1</v>
      </c>
      <c r="G6174" s="6">
        <f>IF(AND($H6174="ATMOS DISTILLATION",ISNUMBER(SEARCH("VPS",$I6174))=FALSE,LEFT($I6174,6)&lt;&gt;"VACUUM"),"CDU",IF($H6174="FLUID CAT CRACKING","FCC",IF(OR($H6174="HYDROCRACKING",$H6174="RESID_HYDROCRACKING"),"Hydrocracker",IF($H6174="REFORMING","Reformer",""))))</f>
        <v/>
      </c>
      <c r="H6174" s="6" t="s">
        <v>1304</v>
      </c>
      <c r="I6174" s="6" t="s">
        <v>1305</v>
      </c>
      <c r="J6174" s="6" t="s">
        <v>345</v>
      </c>
      <c r="K6174" s="10">
        <v>1.56</v>
      </c>
      <c r="L6174" s="10">
        <v>26</v>
      </c>
      <c r="M6174" s="6" t="s">
        <v>413</v>
      </c>
    </row>
    <row r="6175" spans="1:13">
      <c r="A6175" s="6">
        <v>2025</v>
      </c>
      <c r="B6175" s="6">
        <v>7</v>
      </c>
      <c r="C6175" s="6" t="s">
        <v>65</v>
      </c>
      <c r="D6175" s="6" t="s">
        <v>411</v>
      </c>
      <c r="E6175" s="6" t="s">
        <v>369</v>
      </c>
      <c r="F6175" s="6" t="str">
        <f>IF($M6175="PADD I","PADD 1",IF($M6175="PADD II","PADD 2",IF($M6175="PADD III","PADD 3",IF($M6175="PADD IV","PADD 4",IF($M6175="PADD V","PADD 5","")))))</f>
        <v>PADD 1</v>
      </c>
      <c r="G6175" s="6" t="str">
        <f>IF(AND($H6175="ATMOS DISTILLATION",ISNUMBER(SEARCH("VPS",$I6175))=FALSE,LEFT($I6175,6)&lt;&gt;"VACUUM"),"CDU",IF($H6175="FLUID CAT CRACKING","FCC",IF(OR($H6175="HYDROCRACKING",$H6175="RESID_HYDROCRACKING"),"Hydrocracker",IF($H6175="REFORMING","Reformer",""))))</f>
        <v>Reformer</v>
      </c>
      <c r="H6175" s="6" t="s">
        <v>421</v>
      </c>
      <c r="I6175" s="6" t="s">
        <v>886</v>
      </c>
      <c r="J6175" s="6" t="s">
        <v>345</v>
      </c>
      <c r="K6175" s="10">
        <v>1.56</v>
      </c>
      <c r="L6175" s="10">
        <v>26</v>
      </c>
      <c r="M6175" s="6" t="s">
        <v>413</v>
      </c>
    </row>
    <row r="6176" spans="1:13">
      <c r="A6176" s="6">
        <v>2025</v>
      </c>
      <c r="B6176" s="6">
        <v>7</v>
      </c>
      <c r="C6176" s="6" t="s">
        <v>65</v>
      </c>
      <c r="D6176" s="6" t="s">
        <v>408</v>
      </c>
      <c r="E6176" s="6" t="s">
        <v>409</v>
      </c>
      <c r="F6176" s="6" t="str">
        <f>IF($M6176="PADD I","PADD 1",IF($M6176="PADD II","PADD 2",IF($M6176="PADD III","PADD 3",IF($M6176="PADD IV","PADD 4",IF($M6176="PADD V","PADD 5","")))))</f>
        <v>PADD 3</v>
      </c>
      <c r="G6176" s="6">
        <f>IF(AND($H6176="ATMOS DISTILLATION",ISNUMBER(SEARCH("VPS",$I6176))=FALSE,LEFT($I6176,6)&lt;&gt;"VACUUM"),"CDU",IF($H6176="FLUID CAT CRACKING","FCC",IF(OR($H6176="HYDROCRACKING",$H6176="RESID_HYDROCRACKING"),"Hydrocracker",IF($H6176="REFORMING","Reformer",""))))</f>
        <v/>
      </c>
      <c r="H6176" s="6" t="s">
        <v>378</v>
      </c>
      <c r="I6176" s="6" t="s">
        <v>506</v>
      </c>
      <c r="J6176" s="6" t="s">
        <v>345</v>
      </c>
      <c r="K6176" s="10">
        <v>1.56</v>
      </c>
      <c r="L6176" s="10">
        <v>52</v>
      </c>
      <c r="M6176" s="6" t="s">
        <v>371</v>
      </c>
    </row>
    <row r="6177" spans="1:13">
      <c r="A6177" s="6">
        <v>2025</v>
      </c>
      <c r="B6177" s="6">
        <v>7</v>
      </c>
      <c r="C6177" s="6" t="s">
        <v>65</v>
      </c>
      <c r="D6177" s="6" t="s">
        <v>662</v>
      </c>
      <c r="E6177" s="6" t="s">
        <v>552</v>
      </c>
      <c r="F6177" s="6" t="str">
        <f>IF($M6177="PADD I","PADD 1",IF($M6177="PADD II","PADD 2",IF($M6177="PADD III","PADD 3",IF($M6177="PADD IV","PADD 4",IF($M6177="PADD V","PADD 5","")))))</f>
        <v>PADD 3</v>
      </c>
      <c r="G6177" s="6" t="str">
        <f>IF(AND($H6177="ATMOS DISTILLATION",ISNUMBER(SEARCH("VPS",$I6177))=FALSE,LEFT($I6177,6)&lt;&gt;"VACUUM"),"CDU",IF($H6177="FLUID CAT CRACKING","FCC",IF(OR($H6177="HYDROCRACKING",$H6177="RESID_HYDROCRACKING"),"Hydrocracker",IF($H6177="REFORMING","Reformer",""))))</f>
        <v>FCC</v>
      </c>
      <c r="H6177" s="6" t="s">
        <v>376</v>
      </c>
      <c r="I6177" s="6" t="s">
        <v>105</v>
      </c>
      <c r="J6177" s="6" t="s">
        <v>349</v>
      </c>
      <c r="K6177" s="10">
        <v>1.5</v>
      </c>
      <c r="L6177" s="10">
        <v>25</v>
      </c>
      <c r="M6177" s="6" t="s">
        <v>371</v>
      </c>
    </row>
    <row r="6178" spans="1:13">
      <c r="A6178" s="6">
        <v>2025</v>
      </c>
      <c r="B6178" s="6">
        <v>7</v>
      </c>
      <c r="C6178" s="6" t="s">
        <v>65</v>
      </c>
      <c r="D6178" s="6" t="s">
        <v>1315</v>
      </c>
      <c r="E6178" s="6" t="s">
        <v>1316</v>
      </c>
      <c r="F6178" s="6" t="str">
        <f>IF($M6178="PADD I","PADD 1",IF($M6178="PADD II","PADD 2",IF($M6178="PADD III","PADD 3",IF($M6178="PADD IV","PADD 4",IF($M6178="PADD V","PADD 5","")))))</f>
        <v>PADD 1</v>
      </c>
      <c r="G6178" s="6">
        <f>IF(AND($H6178="ATMOS DISTILLATION",ISNUMBER(SEARCH("VPS",$I6178))=FALSE,LEFT($I6178,6)&lt;&gt;"VACUUM"),"CDU",IF($H6178="FLUID CAT CRACKING","FCC",IF(OR($H6178="HYDROCRACKING",$H6178="RESID_HYDROCRACKING"),"Hydrocracker",IF($H6178="REFORMING","Reformer",""))))</f>
        <v/>
      </c>
      <c r="H6178" s="6" t="s">
        <v>43</v>
      </c>
      <c r="I6178" s="6" t="s">
        <v>904</v>
      </c>
      <c r="J6178" s="6" t="s">
        <v>349</v>
      </c>
      <c r="K6178" s="10">
        <v>1.33</v>
      </c>
      <c r="L6178" s="10">
        <v>7</v>
      </c>
      <c r="M6178" s="6" t="s">
        <v>413</v>
      </c>
    </row>
    <row r="6179" spans="1:13">
      <c r="A6179" s="6">
        <v>2025</v>
      </c>
      <c r="B6179" s="6">
        <v>7</v>
      </c>
      <c r="C6179" s="6" t="s">
        <v>65</v>
      </c>
      <c r="D6179" s="6" t="s">
        <v>748</v>
      </c>
      <c r="E6179" s="6" t="s">
        <v>388</v>
      </c>
      <c r="F6179" s="6" t="str">
        <f>IF($M6179="PADD I","PADD 1",IF($M6179="PADD II","PADD 2",IF($M6179="PADD III","PADD 3",IF($M6179="PADD IV","PADD 4",IF($M6179="PADD V","PADD 5","")))))</f>
        <v>PADD 3</v>
      </c>
      <c r="G6179" s="6">
        <f>IF(AND($H6179="ATMOS DISTILLATION",ISNUMBER(SEARCH("VPS",$I6179))=FALSE,LEFT($I6179,6)&lt;&gt;"VACUUM"),"CDU",IF($H6179="FLUID CAT CRACKING","FCC",IF(OR($H6179="HYDROCRACKING",$H6179="RESID_HYDROCRACKING"),"Hydrocracker",IF($H6179="REFORMING","Reformer",""))))</f>
        <v/>
      </c>
      <c r="H6179" s="6" t="s">
        <v>43</v>
      </c>
      <c r="I6179" s="6" t="s">
        <v>750</v>
      </c>
      <c r="J6179" s="6" t="s">
        <v>345</v>
      </c>
      <c r="K6179" s="10">
        <v>1.32</v>
      </c>
      <c r="L6179" s="10">
        <v>44</v>
      </c>
      <c r="M6179" s="6" t="s">
        <v>371</v>
      </c>
    </row>
    <row r="6180" spans="1:13">
      <c r="A6180" s="6">
        <v>2025</v>
      </c>
      <c r="B6180" s="6">
        <v>7</v>
      </c>
      <c r="C6180" s="6" t="s">
        <v>65</v>
      </c>
      <c r="D6180" s="6" t="s">
        <v>411</v>
      </c>
      <c r="E6180" s="6" t="s">
        <v>369</v>
      </c>
      <c r="F6180" s="6" t="str">
        <f>IF($M6180="PADD I","PADD 1",IF($M6180="PADD II","PADD 2",IF($M6180="PADD III","PADD 3",IF($M6180="PADD IV","PADD 4",IF($M6180="PADD V","PADD 5","")))))</f>
        <v>PADD 1</v>
      </c>
      <c r="G6180" s="6">
        <f>IF(AND($H6180="ATMOS DISTILLATION",ISNUMBER(SEARCH("VPS",$I6180))=FALSE,LEFT($I6180,6)&lt;&gt;"VACUUM"),"CDU",IF($H6180="FLUID CAT CRACKING","FCC",IF(OR($H6180="HYDROCRACKING",$H6180="RESID_HYDROCRACKING"),"Hydrocracker",IF($H6180="REFORMING","Reformer",""))))</f>
        <v/>
      </c>
      <c r="H6180" s="6" t="s">
        <v>460</v>
      </c>
      <c r="I6180" s="6" t="s">
        <v>566</v>
      </c>
      <c r="J6180" s="6" t="s">
        <v>345</v>
      </c>
      <c r="K6180" s="10">
        <v>1.32</v>
      </c>
      <c r="L6180" s="10">
        <v>22</v>
      </c>
      <c r="M6180" s="6" t="s">
        <v>413</v>
      </c>
    </row>
    <row r="6181" spans="1:13">
      <c r="A6181" s="6">
        <v>2025</v>
      </c>
      <c r="B6181" s="6">
        <v>7</v>
      </c>
      <c r="C6181" s="6" t="s">
        <v>65</v>
      </c>
      <c r="D6181" s="6" t="s">
        <v>50</v>
      </c>
      <c r="E6181" s="6" t="s">
        <v>381</v>
      </c>
      <c r="F6181" s="6" t="str">
        <f>IF($M6181="PADD I","PADD 1",IF($M6181="PADD II","PADD 2",IF($M6181="PADD III","PADD 3",IF($M6181="PADD IV","PADD 4",IF($M6181="PADD V","PADD 5","")))))</f>
        <v>PADD 3</v>
      </c>
      <c r="G6181" s="6">
        <f>IF(AND($H6181="ATMOS DISTILLATION",ISNUMBER(SEARCH("VPS",$I6181))=FALSE,LEFT($I6181,6)&lt;&gt;"VACUUM"),"CDU",IF($H6181="FLUID CAT CRACKING","FCC",IF(OR($H6181="HYDROCRACKING",$H6181="RESID_HYDROCRACKING"),"Hydrocracker",IF($H6181="REFORMING","Reformer",""))))</f>
        <v/>
      </c>
      <c r="H6181" s="6" t="s">
        <v>460</v>
      </c>
      <c r="I6181" s="6" t="s">
        <v>620</v>
      </c>
      <c r="J6181" s="6" t="s">
        <v>345</v>
      </c>
      <c r="K6181" s="10">
        <v>1.26</v>
      </c>
      <c r="L6181" s="10">
        <v>21</v>
      </c>
      <c r="M6181" s="6" t="s">
        <v>371</v>
      </c>
    </row>
    <row r="6182" spans="1:13">
      <c r="A6182" s="6">
        <v>2025</v>
      </c>
      <c r="B6182" s="6">
        <v>7</v>
      </c>
      <c r="C6182" s="6" t="s">
        <v>65</v>
      </c>
      <c r="D6182" s="6" t="s">
        <v>437</v>
      </c>
      <c r="E6182" s="6" t="s">
        <v>438</v>
      </c>
      <c r="F6182" s="6" t="str">
        <f>IF($M6182="PADD I","PADD 1",IF($M6182="PADD II","PADD 2",IF($M6182="PADD III","PADD 3",IF($M6182="PADD IV","PADD 4",IF($M6182="PADD V","PADD 5","")))))</f>
        <v>PADD 4</v>
      </c>
      <c r="G6182" s="6" t="str">
        <f>IF(AND($H6182="ATMOS DISTILLATION",ISNUMBER(SEARCH("VPS",$I6182))=FALSE,LEFT($I6182,6)&lt;&gt;"VACUUM"),"CDU",IF($H6182="FLUID CAT CRACKING","FCC",IF(OR($H6182="HYDROCRACKING",$H6182="RESID_HYDROCRACKING"),"Hydrocracker",IF($H6182="REFORMING","Reformer",""))))</f>
        <v>FCC</v>
      </c>
      <c r="H6182" s="6" t="s">
        <v>376</v>
      </c>
      <c r="I6182" s="6" t="s">
        <v>428</v>
      </c>
      <c r="J6182" s="6" t="s">
        <v>345</v>
      </c>
      <c r="K6182" s="10">
        <v>1.209</v>
      </c>
      <c r="L6182" s="10">
        <v>9.300000000000001</v>
      </c>
      <c r="M6182" s="6" t="s">
        <v>430</v>
      </c>
    </row>
    <row r="6183" spans="1:13">
      <c r="A6183" s="6">
        <v>2025</v>
      </c>
      <c r="B6183" s="6">
        <v>7</v>
      </c>
      <c r="C6183" s="6" t="s">
        <v>65</v>
      </c>
      <c r="D6183" s="6" t="s">
        <v>40</v>
      </c>
      <c r="E6183" s="6" t="s">
        <v>736</v>
      </c>
      <c r="F6183" s="6" t="str">
        <f>IF($M6183="PADD I","PADD 1",IF($M6183="PADD II","PADD 2",IF($M6183="PADD III","PADD 3",IF($M6183="PADD IV","PADD 4",IF($M6183="PADD V","PADD 5","")))))</f>
        <v>PADD 1</v>
      </c>
      <c r="G6183" s="6">
        <f>IF(AND($H6183="ATMOS DISTILLATION",ISNUMBER(SEARCH("VPS",$I6183))=FALSE,LEFT($I6183,6)&lt;&gt;"VACUUM"),"CDU",IF($H6183="FLUID CAT CRACKING","FCC",IF(OR($H6183="HYDROCRACKING",$H6183="RESID_HYDROCRACKING"),"Hydrocracker",IF($H6183="REFORMING","Reformer",""))))</f>
        <v/>
      </c>
      <c r="H6183" s="6" t="s">
        <v>43</v>
      </c>
      <c r="I6183" s="6" t="s">
        <v>1003</v>
      </c>
      <c r="J6183" s="6" t="s">
        <v>345</v>
      </c>
      <c r="K6183" s="10">
        <v>1.2</v>
      </c>
      <c r="L6183" s="10">
        <v>40</v>
      </c>
      <c r="M6183" s="6" t="s">
        <v>413</v>
      </c>
    </row>
    <row r="6184" spans="1:13">
      <c r="A6184" s="6">
        <v>2025</v>
      </c>
      <c r="B6184" s="6">
        <v>7</v>
      </c>
      <c r="C6184" s="6" t="s">
        <v>65</v>
      </c>
      <c r="D6184" s="6" t="s">
        <v>48</v>
      </c>
      <c r="E6184" s="6" t="s">
        <v>388</v>
      </c>
      <c r="F6184" s="6" t="str">
        <f>IF($M6184="PADD I","PADD 1",IF($M6184="PADD II","PADD 2",IF($M6184="PADD III","PADD 3",IF($M6184="PADD IV","PADD 4",IF($M6184="PADD V","PADD 5","")))))</f>
        <v>PADD 2</v>
      </c>
      <c r="G6184" s="6">
        <f>IF(AND($H6184="ATMOS DISTILLATION",ISNUMBER(SEARCH("VPS",$I6184))=FALSE,LEFT($I6184,6)&lt;&gt;"VACUUM"),"CDU",IF($H6184="FLUID CAT CRACKING","FCC",IF(OR($H6184="HYDROCRACKING",$H6184="RESID_HYDROCRACKING"),"Hydrocracker",IF($H6184="REFORMING","Reformer",""))))</f>
        <v/>
      </c>
      <c r="H6184" s="6" t="s">
        <v>435</v>
      </c>
      <c r="I6184" s="6" t="s">
        <v>631</v>
      </c>
      <c r="J6184" s="6" t="s">
        <v>345</v>
      </c>
      <c r="K6184" s="10">
        <v>1.2</v>
      </c>
      <c r="L6184" s="10">
        <v>12</v>
      </c>
      <c r="M6184" s="6" t="s">
        <v>375</v>
      </c>
    </row>
    <row r="6185" spans="1:13">
      <c r="A6185" s="6">
        <v>2025</v>
      </c>
      <c r="B6185" s="6">
        <v>7</v>
      </c>
      <c r="C6185" s="6" t="s">
        <v>65</v>
      </c>
      <c r="D6185" s="6" t="s">
        <v>722</v>
      </c>
      <c r="E6185" s="6" t="s">
        <v>452</v>
      </c>
      <c r="F6185" s="6" t="str">
        <f>IF($M6185="PADD I","PADD 1",IF($M6185="PADD II","PADD 2",IF($M6185="PADD III","PADD 3",IF($M6185="PADD IV","PADD 4",IF($M6185="PADD V","PADD 5","")))))</f>
        <v>PADD 4</v>
      </c>
      <c r="G6185" s="6" t="str">
        <f>IF(AND($H6185="ATMOS DISTILLATION",ISNUMBER(SEARCH("VPS",$I6185))=FALSE,LEFT($I6185,6)&lt;&gt;"VACUUM"),"CDU",IF($H6185="FLUID CAT CRACKING","FCC",IF(OR($H6185="HYDROCRACKING",$H6185="RESID_HYDROCRACKING"),"Hydrocracker",IF($H6185="REFORMING","Reformer",""))))</f>
        <v>FCC</v>
      </c>
      <c r="H6185" s="6" t="s">
        <v>376</v>
      </c>
      <c r="I6185" s="6" t="s">
        <v>1106</v>
      </c>
      <c r="J6185" s="6" t="s">
        <v>349</v>
      </c>
      <c r="K6185" s="10">
        <v>1.17</v>
      </c>
      <c r="L6185" s="10">
        <v>9</v>
      </c>
      <c r="M6185" s="6" t="s">
        <v>430</v>
      </c>
    </row>
    <row r="6186" spans="1:13">
      <c r="A6186" s="6">
        <v>2025</v>
      </c>
      <c r="B6186" s="6">
        <v>7</v>
      </c>
      <c r="C6186" s="6" t="s">
        <v>65</v>
      </c>
      <c r="D6186" s="6" t="s">
        <v>878</v>
      </c>
      <c r="E6186" s="6" t="s">
        <v>452</v>
      </c>
      <c r="F6186" s="6" t="str">
        <f>IF($M6186="PADD I","PADD 1",IF($M6186="PADD II","PADD 2",IF($M6186="PADD III","PADD 3",IF($M6186="PADD IV","PADD 4",IF($M6186="PADD V","PADD 5","")))))</f>
        <v>PADD 2</v>
      </c>
      <c r="G6186" s="6">
        <f>IF(AND($H6186="ATMOS DISTILLATION",ISNUMBER(SEARCH("VPS",$I6186))=FALSE,LEFT($I6186,6)&lt;&gt;"VACUUM"),"CDU",IF($H6186="FLUID CAT CRACKING","FCC",IF(OR($H6186="HYDROCRACKING",$H6186="RESID_HYDROCRACKING"),"Hydrocracker",IF($H6186="REFORMING","Reformer",""))))</f>
        <v/>
      </c>
      <c r="H6186" s="6" t="s">
        <v>378</v>
      </c>
      <c r="I6186" s="6" t="s">
        <v>536</v>
      </c>
      <c r="J6186" s="6" t="s">
        <v>345</v>
      </c>
      <c r="K6186" s="10">
        <v>0.96</v>
      </c>
      <c r="L6186" s="10">
        <v>32</v>
      </c>
      <c r="M6186" s="6" t="s">
        <v>375</v>
      </c>
    </row>
    <row r="6187" spans="1:13">
      <c r="A6187" s="6">
        <v>2025</v>
      </c>
      <c r="B6187" s="6">
        <v>7</v>
      </c>
      <c r="C6187" s="6" t="s">
        <v>65</v>
      </c>
      <c r="D6187" s="6" t="s">
        <v>799</v>
      </c>
      <c r="E6187" s="6" t="s">
        <v>391</v>
      </c>
      <c r="F6187" s="6" t="str">
        <f>IF($M6187="PADD I","PADD 1",IF($M6187="PADD II","PADD 2",IF($M6187="PADD III","PADD 3",IF($M6187="PADD IV","PADD 4",IF($M6187="PADD V","PADD 5","")))))</f>
        <v>PADD 4</v>
      </c>
      <c r="G6187" s="6" t="str">
        <f>IF(AND($H6187="ATMOS DISTILLATION",ISNUMBER(SEARCH("VPS",$I6187))=FALSE,LEFT($I6187,6)&lt;&gt;"VACUUM"),"CDU",IF($H6187="FLUID CAT CRACKING","FCC",IF(OR($H6187="HYDROCRACKING",$H6187="RESID_HYDROCRACKING"),"Hydrocracker",IF($H6187="REFORMING","Reformer",""))))</f>
        <v>FCC</v>
      </c>
      <c r="H6187" s="6" t="s">
        <v>376</v>
      </c>
      <c r="I6187" s="6" t="s">
        <v>800</v>
      </c>
      <c r="J6187" s="6" t="s">
        <v>345</v>
      </c>
      <c r="K6187" s="10">
        <v>0.93</v>
      </c>
      <c r="L6187" s="10">
        <v>15.5</v>
      </c>
      <c r="M6187" s="6" t="s">
        <v>430</v>
      </c>
    </row>
    <row r="6188" spans="1:13">
      <c r="A6188" s="6">
        <v>2025</v>
      </c>
      <c r="B6188" s="6">
        <v>7</v>
      </c>
      <c r="C6188" s="6" t="s">
        <v>65</v>
      </c>
      <c r="D6188" s="6" t="s">
        <v>1315</v>
      </c>
      <c r="E6188" s="6" t="s">
        <v>1316</v>
      </c>
      <c r="F6188" s="6" t="str">
        <f>IF($M6188="PADD I","PADD 1",IF($M6188="PADD II","PADD 2",IF($M6188="PADD III","PADD 3",IF($M6188="PADD IV","PADD 4",IF($M6188="PADD V","PADD 5","")))))</f>
        <v>PADD 1</v>
      </c>
      <c r="G6188" s="6">
        <f>IF(AND($H6188="ATMOS DISTILLATION",ISNUMBER(SEARCH("VPS",$I6188))=FALSE,LEFT($I6188,6)&lt;&gt;"VACUUM"),"CDU",IF($H6188="FLUID CAT CRACKING","FCC",IF(OR($H6188="HYDROCRACKING",$H6188="RESID_HYDROCRACKING"),"Hydrocracker",IF($H6188="REFORMING","Reformer",""))))</f>
        <v/>
      </c>
      <c r="H6188" s="6" t="s">
        <v>43</v>
      </c>
      <c r="I6188" s="6" t="s">
        <v>1317</v>
      </c>
      <c r="J6188" s="6" t="s">
        <v>349</v>
      </c>
      <c r="K6188" s="10">
        <v>0.912</v>
      </c>
      <c r="L6188" s="10">
        <v>4.8</v>
      </c>
      <c r="M6188" s="6" t="s">
        <v>413</v>
      </c>
    </row>
    <row r="6189" spans="1:13">
      <c r="A6189" s="6">
        <v>2025</v>
      </c>
      <c r="B6189" s="6">
        <v>7</v>
      </c>
      <c r="C6189" s="6" t="s">
        <v>65</v>
      </c>
      <c r="D6189" s="6" t="s">
        <v>934</v>
      </c>
      <c r="E6189" s="6" t="s">
        <v>388</v>
      </c>
      <c r="F6189" s="6" t="str">
        <f>IF($M6189="PADD I","PADD 1",IF($M6189="PADD II","PADD 2",IF($M6189="PADD III","PADD 3",IF($M6189="PADD IV","PADD 4",IF($M6189="PADD V","PADD 5","")))))</f>
        <v>PADD 3</v>
      </c>
      <c r="G6189" s="6" t="str">
        <f>IF(AND($H6189="ATMOS DISTILLATION",ISNUMBER(SEARCH("VPS",$I6189))=FALSE,LEFT($I6189,6)&lt;&gt;"VACUUM"),"CDU",IF($H6189="FLUID CAT CRACKING","FCC",IF(OR($H6189="HYDROCRACKING",$H6189="RESID_HYDROCRACKING"),"Hydrocracker",IF($H6189="REFORMING","Reformer",""))))</f>
        <v>FCC</v>
      </c>
      <c r="H6189" s="6" t="s">
        <v>376</v>
      </c>
      <c r="I6189" s="6" t="s">
        <v>105</v>
      </c>
      <c r="J6189" s="6" t="s">
        <v>345</v>
      </c>
      <c r="K6189" s="10">
        <v>0.885</v>
      </c>
      <c r="L6189" s="10">
        <v>29.5</v>
      </c>
      <c r="M6189" s="6" t="s">
        <v>371</v>
      </c>
    </row>
    <row r="6190" spans="1:13">
      <c r="A6190" s="6">
        <v>2025</v>
      </c>
      <c r="B6190" s="6">
        <v>7</v>
      </c>
      <c r="C6190" s="6" t="s">
        <v>65</v>
      </c>
      <c r="D6190" s="6" t="s">
        <v>40</v>
      </c>
      <c r="E6190" s="6" t="s">
        <v>736</v>
      </c>
      <c r="F6190" s="6" t="str">
        <f>IF($M6190="PADD I","PADD 1",IF($M6190="PADD II","PADD 2",IF($M6190="PADD III","PADD 3",IF($M6190="PADD IV","PADD 4",IF($M6190="PADD V","PADD 5","")))))</f>
        <v>PADD 1</v>
      </c>
      <c r="G6190" s="6">
        <f>IF(AND($H6190="ATMOS DISTILLATION",ISNUMBER(SEARCH("VPS",$I6190))=FALSE,LEFT($I6190,6)&lt;&gt;"VACUUM"),"CDU",IF($H6190="FLUID CAT CRACKING","FCC",IF(OR($H6190="HYDROCRACKING",$H6190="RESID_HYDROCRACKING"),"Hydrocracker",IF($H6190="REFORMING","Reformer",""))))</f>
        <v/>
      </c>
      <c r="H6190" s="6" t="s">
        <v>43</v>
      </c>
      <c r="I6190" s="6" t="s">
        <v>1014</v>
      </c>
      <c r="J6190" s="6" t="s">
        <v>345</v>
      </c>
      <c r="K6190" s="10">
        <v>0.84</v>
      </c>
      <c r="L6190" s="10">
        <v>28</v>
      </c>
      <c r="M6190" s="6" t="s">
        <v>413</v>
      </c>
    </row>
    <row r="6191" spans="1:13">
      <c r="A6191" s="6">
        <v>2025</v>
      </c>
      <c r="B6191" s="6">
        <v>7</v>
      </c>
      <c r="C6191" s="6" t="s">
        <v>65</v>
      </c>
      <c r="D6191" s="6" t="s">
        <v>799</v>
      </c>
      <c r="E6191" s="6" t="s">
        <v>391</v>
      </c>
      <c r="F6191" s="6" t="str">
        <f>IF($M6191="PADD I","PADD 1",IF($M6191="PADD II","PADD 2",IF($M6191="PADD III","PADD 3",IF($M6191="PADD IV","PADD 4",IF($M6191="PADD V","PADD 5","")))))</f>
        <v>PADD 4</v>
      </c>
      <c r="G6191" s="6">
        <f>IF(AND($H6191="ATMOS DISTILLATION",ISNUMBER(SEARCH("VPS",$I6191))=FALSE,LEFT($I6191,6)&lt;&gt;"VACUUM"),"CDU",IF($H6191="FLUID CAT CRACKING","FCC",IF(OR($H6191="HYDROCRACKING",$H6191="RESID_HYDROCRACKING"),"Hydrocracker",IF($H6191="REFORMING","Reformer",""))))</f>
        <v/>
      </c>
      <c r="H6191" s="6" t="s">
        <v>43</v>
      </c>
      <c r="I6191" s="6" t="s">
        <v>1064</v>
      </c>
      <c r="J6191" s="6" t="s">
        <v>345</v>
      </c>
      <c r="K6191" s="10">
        <v>0.798</v>
      </c>
      <c r="L6191" s="10">
        <v>13.3</v>
      </c>
      <c r="M6191" s="6" t="s">
        <v>430</v>
      </c>
    </row>
    <row r="6192" spans="1:13">
      <c r="A6192" s="6">
        <v>2025</v>
      </c>
      <c r="B6192" s="6">
        <v>7</v>
      </c>
      <c r="C6192" s="6" t="s">
        <v>65</v>
      </c>
      <c r="D6192" s="6" t="s">
        <v>748</v>
      </c>
      <c r="E6192" s="6" t="s">
        <v>388</v>
      </c>
      <c r="F6192" s="6" t="str">
        <f>IF($M6192="PADD I","PADD 1",IF($M6192="PADD II","PADD 2",IF($M6192="PADD III","PADD 3",IF($M6192="PADD IV","PADD 4",IF($M6192="PADD V","PADD 5","")))))</f>
        <v>PADD 3</v>
      </c>
      <c r="G6192" s="6">
        <f>IF(AND($H6192="ATMOS DISTILLATION",ISNUMBER(SEARCH("VPS",$I6192))=FALSE,LEFT($I6192,6)&lt;&gt;"VACUUM"),"CDU",IF($H6192="FLUID CAT CRACKING","FCC",IF(OR($H6192="HYDROCRACKING",$H6192="RESID_HYDROCRACKING"),"Hydrocracker",IF($H6192="REFORMING","Reformer",""))))</f>
        <v/>
      </c>
      <c r="H6192" s="6" t="s">
        <v>43</v>
      </c>
      <c r="I6192" s="6" t="s">
        <v>759</v>
      </c>
      <c r="J6192" s="6" t="s">
        <v>345</v>
      </c>
      <c r="K6192" s="10">
        <v>0.765</v>
      </c>
      <c r="L6192" s="10">
        <v>25.5</v>
      </c>
      <c r="M6192" s="6" t="s">
        <v>371</v>
      </c>
    </row>
    <row r="6193" spans="1:13">
      <c r="A6193" s="6">
        <v>2025</v>
      </c>
      <c r="B6193" s="6">
        <v>7</v>
      </c>
      <c r="C6193" s="6" t="s">
        <v>65</v>
      </c>
      <c r="D6193" s="6" t="s">
        <v>934</v>
      </c>
      <c r="E6193" s="6" t="s">
        <v>388</v>
      </c>
      <c r="F6193" s="6" t="str">
        <f>IF($M6193="PADD I","PADD 1",IF($M6193="PADD II","PADD 2",IF($M6193="PADD III","PADD 3",IF($M6193="PADD IV","PADD 4",IF($M6193="PADD V","PADD 5","")))))</f>
        <v>PADD 3</v>
      </c>
      <c r="G6193" s="6">
        <f>IF(AND($H6193="ATMOS DISTILLATION",ISNUMBER(SEARCH("VPS",$I6193))=FALSE,LEFT($I6193,6)&lt;&gt;"VACUUM"),"CDU",IF($H6193="FLUID CAT CRACKING","FCC",IF(OR($H6193="HYDROCRACKING",$H6193="RESID_HYDROCRACKING"),"Hydrocracker",IF($H6193="REFORMING","Reformer",""))))</f>
        <v/>
      </c>
      <c r="H6193" s="6" t="s">
        <v>43</v>
      </c>
      <c r="I6193" s="6" t="s">
        <v>458</v>
      </c>
      <c r="J6193" s="6" t="s">
        <v>345</v>
      </c>
      <c r="K6193" s="10">
        <v>0.75</v>
      </c>
      <c r="L6193" s="10">
        <v>25</v>
      </c>
      <c r="M6193" s="6" t="s">
        <v>371</v>
      </c>
    </row>
    <row r="6194" spans="1:13">
      <c r="A6194" s="6">
        <v>2025</v>
      </c>
      <c r="B6194" s="6">
        <v>7</v>
      </c>
      <c r="C6194" s="6" t="s">
        <v>65</v>
      </c>
      <c r="D6194" s="6" t="s">
        <v>1315</v>
      </c>
      <c r="E6194" s="6" t="s">
        <v>1316</v>
      </c>
      <c r="F6194" s="6" t="str">
        <f>IF($M6194="PADD I","PADD 1",IF($M6194="PADD II","PADD 2",IF($M6194="PADD III","PADD 3",IF($M6194="PADD IV","PADD 4",IF($M6194="PADD V","PADD 5","")))))</f>
        <v>PADD 1</v>
      </c>
      <c r="G6194" s="6">
        <f>IF(AND($H6194="ATMOS DISTILLATION",ISNUMBER(SEARCH("VPS",$I6194))=FALSE,LEFT($I6194,6)&lt;&gt;"VACUUM"),"CDU",IF($H6194="FLUID CAT CRACKING","FCC",IF(OR($H6194="HYDROCRACKING",$H6194="RESID_HYDROCRACKING"),"Hydrocracker",IF($H6194="REFORMING","Reformer",""))))</f>
        <v/>
      </c>
      <c r="H6194" s="6" t="s">
        <v>43</v>
      </c>
      <c r="I6194" s="6" t="s">
        <v>759</v>
      </c>
      <c r="J6194" s="6" t="s">
        <v>349</v>
      </c>
      <c r="K6194" s="10">
        <v>0.741</v>
      </c>
      <c r="L6194" s="10">
        <v>3.9</v>
      </c>
      <c r="M6194" s="6" t="s">
        <v>413</v>
      </c>
    </row>
    <row r="6195" spans="1:13">
      <c r="A6195" s="6">
        <v>2025</v>
      </c>
      <c r="B6195" s="6">
        <v>7</v>
      </c>
      <c r="C6195" s="6" t="s">
        <v>65</v>
      </c>
      <c r="D6195" s="6" t="s">
        <v>40</v>
      </c>
      <c r="E6195" s="6" t="s">
        <v>736</v>
      </c>
      <c r="F6195" s="6" t="str">
        <f>IF($M6195="PADD I","PADD 1",IF($M6195="PADD II","PADD 2",IF($M6195="PADD III","PADD 3",IF($M6195="PADD IV","PADD 4",IF($M6195="PADD V","PADD 5","")))))</f>
        <v>PADD 1</v>
      </c>
      <c r="G6195" s="6" t="str">
        <f>IF(AND($H6195="ATMOS DISTILLATION",ISNUMBER(SEARCH("VPS",$I6195))=FALSE,LEFT($I6195,6)&lt;&gt;"VACUUM"),"CDU",IF($H6195="FLUID CAT CRACKING","FCC",IF(OR($H6195="HYDROCRACKING",$H6195="RESID_HYDROCRACKING"),"Hydrocracker",IF($H6195="REFORMING","Reformer",""))))</f>
        <v>Hydrocracker</v>
      </c>
      <c r="H6195" s="6" t="s">
        <v>444</v>
      </c>
      <c r="I6195" s="6" t="s">
        <v>445</v>
      </c>
      <c r="J6195" s="6" t="s">
        <v>345</v>
      </c>
      <c r="K6195" s="10">
        <v>0.6899999999999999</v>
      </c>
      <c r="L6195" s="10">
        <v>23</v>
      </c>
      <c r="M6195" s="6" t="s">
        <v>413</v>
      </c>
    </row>
    <row r="6196" spans="1:13">
      <c r="A6196" s="6">
        <v>2025</v>
      </c>
      <c r="B6196" s="6">
        <v>7</v>
      </c>
      <c r="C6196" s="6" t="s">
        <v>65</v>
      </c>
      <c r="D6196" s="6" t="s">
        <v>1275</v>
      </c>
      <c r="E6196" s="6" t="s">
        <v>1276</v>
      </c>
      <c r="F6196" s="6" t="str">
        <f>IF($M6196="PADD I","PADD 1",IF($M6196="PADD II","PADD 2",IF($M6196="PADD III","PADD 3",IF($M6196="PADD IV","PADD 4",IF($M6196="PADD V","PADD 5","")))))</f>
        <v>PADD 3</v>
      </c>
      <c r="G6196" s="6" t="str">
        <f>IF(AND($H6196="ATMOS DISTILLATION",ISNUMBER(SEARCH("VPS",$I6196))=FALSE,LEFT($I6196,6)&lt;&gt;"VACUUM"),"CDU",IF($H6196="FLUID CAT CRACKING","FCC",IF(OR($H6196="HYDROCRACKING",$H6196="RESID_HYDROCRACKING"),"Hydrocracker",IF($H6196="REFORMING","Reformer",""))))</f>
        <v>CDU</v>
      </c>
      <c r="H6196" s="6" t="s">
        <v>38</v>
      </c>
      <c r="I6196" s="6" t="s">
        <v>81</v>
      </c>
      <c r="J6196" s="6" t="s">
        <v>345</v>
      </c>
      <c r="K6196" s="10">
        <v>0.6</v>
      </c>
      <c r="L6196" s="10">
        <v>20</v>
      </c>
      <c r="M6196" s="6" t="s">
        <v>371</v>
      </c>
    </row>
    <row r="6197" spans="1:13">
      <c r="A6197" s="6">
        <v>2025</v>
      </c>
      <c r="B6197" s="6">
        <v>7</v>
      </c>
      <c r="C6197" s="6" t="s">
        <v>65</v>
      </c>
      <c r="D6197" s="6" t="s">
        <v>799</v>
      </c>
      <c r="E6197" s="6" t="s">
        <v>391</v>
      </c>
      <c r="F6197" s="6" t="str">
        <f>IF($M6197="PADD I","PADD 1",IF($M6197="PADD II","PADD 2",IF($M6197="PADD III","PADD 3",IF($M6197="PADD IV","PADD 4",IF($M6197="PADD V","PADD 5","")))))</f>
        <v>PADD 4</v>
      </c>
      <c r="G6197" s="6">
        <f>IF(AND($H6197="ATMOS DISTILLATION",ISNUMBER(SEARCH("VPS",$I6197))=FALSE,LEFT($I6197,6)&lt;&gt;"VACUUM"),"CDU",IF($H6197="FLUID CAT CRACKING","FCC",IF(OR($H6197="HYDROCRACKING",$H6197="RESID_HYDROCRACKING"),"Hydrocracker",IF($H6197="REFORMING","Reformer",""))))</f>
        <v/>
      </c>
      <c r="H6197" s="6" t="s">
        <v>435</v>
      </c>
      <c r="I6197" s="6" t="s">
        <v>1188</v>
      </c>
      <c r="J6197" s="6" t="s">
        <v>345</v>
      </c>
      <c r="K6197" s="10">
        <v>0.6</v>
      </c>
      <c r="L6197" s="10">
        <v>10</v>
      </c>
      <c r="M6197" s="6" t="s">
        <v>430</v>
      </c>
    </row>
    <row r="6198" spans="1:13">
      <c r="A6198" s="6">
        <v>2025</v>
      </c>
      <c r="B6198" s="6">
        <v>7</v>
      </c>
      <c r="C6198" s="6" t="s">
        <v>65</v>
      </c>
      <c r="D6198" s="6" t="s">
        <v>326</v>
      </c>
      <c r="E6198" s="6" t="s">
        <v>385</v>
      </c>
      <c r="F6198" s="6" t="str">
        <f>IF($M6198="PADD I","PADD 1",IF($M6198="PADD II","PADD 2",IF($M6198="PADD III","PADD 3",IF($M6198="PADD IV","PADD 4",IF($M6198="PADD V","PADD 5","")))))</f>
        <v>PADD 5</v>
      </c>
      <c r="G6198" s="6">
        <f>IF(AND($H6198="ATMOS DISTILLATION",ISNUMBER(SEARCH("VPS",$I6198))=FALSE,LEFT($I6198,6)&lt;&gt;"VACUUM"),"CDU",IF($H6198="FLUID CAT CRACKING","FCC",IF(OR($H6198="HYDROCRACKING",$H6198="RESID_HYDROCRACKING"),"Hydrocracker",IF($H6198="REFORMING","Reformer",""))))</f>
        <v/>
      </c>
      <c r="H6198" s="6" t="s">
        <v>568</v>
      </c>
      <c r="I6198" s="6" t="s">
        <v>604</v>
      </c>
      <c r="J6198" s="6" t="s">
        <v>345</v>
      </c>
      <c r="K6198" s="10">
        <v>0.53</v>
      </c>
      <c r="L6198" s="10">
        <v>0.53</v>
      </c>
      <c r="M6198" s="6" t="s">
        <v>386</v>
      </c>
    </row>
    <row r="6199" spans="1:13">
      <c r="A6199" s="6">
        <v>2025</v>
      </c>
      <c r="B6199" s="6">
        <v>7</v>
      </c>
      <c r="C6199" s="6" t="s">
        <v>65</v>
      </c>
      <c r="D6199" s="6" t="s">
        <v>934</v>
      </c>
      <c r="E6199" s="6" t="s">
        <v>388</v>
      </c>
      <c r="F6199" s="6" t="str">
        <f>IF($M6199="PADD I","PADD 1",IF($M6199="PADD II","PADD 2",IF($M6199="PADD III","PADD 3",IF($M6199="PADD IV","PADD 4",IF($M6199="PADD V","PADD 5","")))))</f>
        <v>PADD 3</v>
      </c>
      <c r="G6199" s="6">
        <f>IF(AND($H6199="ATMOS DISTILLATION",ISNUMBER(SEARCH("VPS",$I6199))=FALSE,LEFT($I6199,6)&lt;&gt;"VACUUM"),"CDU",IF($H6199="FLUID CAT CRACKING","FCC",IF(OR($H6199="HYDROCRACKING",$H6199="RESID_HYDROCRACKING"),"Hydrocracker",IF($H6199="REFORMING","Reformer",""))))</f>
        <v/>
      </c>
      <c r="H6199" s="6" t="s">
        <v>378</v>
      </c>
      <c r="I6199" s="6" t="s">
        <v>964</v>
      </c>
      <c r="J6199" s="6" t="s">
        <v>345</v>
      </c>
      <c r="K6199" s="10">
        <v>0.51</v>
      </c>
      <c r="L6199" s="10">
        <v>17</v>
      </c>
      <c r="M6199" s="6" t="s">
        <v>371</v>
      </c>
    </row>
    <row r="6200" spans="1:13">
      <c r="A6200" s="6">
        <v>2025</v>
      </c>
      <c r="B6200" s="6">
        <v>7</v>
      </c>
      <c r="C6200" s="6" t="s">
        <v>65</v>
      </c>
      <c r="D6200" s="6" t="s">
        <v>748</v>
      </c>
      <c r="E6200" s="6" t="s">
        <v>388</v>
      </c>
      <c r="F6200" s="6" t="str">
        <f>IF($M6200="PADD I","PADD 1",IF($M6200="PADD II","PADD 2",IF($M6200="PADD III","PADD 3",IF($M6200="PADD IV","PADD 4",IF($M6200="PADD V","PADD 5","")))))</f>
        <v>PADD 3</v>
      </c>
      <c r="G6200" s="6" t="str">
        <f>IF(AND($H6200="ATMOS DISTILLATION",ISNUMBER(SEARCH("VPS",$I6200))=FALSE,LEFT($I6200,6)&lt;&gt;"VACUUM"),"CDU",IF($H6200="FLUID CAT CRACKING","FCC",IF(OR($H6200="HYDROCRACKING",$H6200="RESID_HYDROCRACKING"),"Hydrocracker",IF($H6200="REFORMING","Reformer",""))))</f>
        <v>Reformer</v>
      </c>
      <c r="H6200" s="6" t="s">
        <v>421</v>
      </c>
      <c r="I6200" s="6" t="s">
        <v>764</v>
      </c>
      <c r="J6200" s="6" t="s">
        <v>345</v>
      </c>
      <c r="K6200" s="10">
        <v>0.45</v>
      </c>
      <c r="L6200" s="10">
        <v>15</v>
      </c>
      <c r="M6200" s="6" t="s">
        <v>371</v>
      </c>
    </row>
    <row r="6201" spans="1:13">
      <c r="A6201" s="6">
        <v>2025</v>
      </c>
      <c r="B6201" s="6">
        <v>7</v>
      </c>
      <c r="C6201" s="6" t="s">
        <v>65</v>
      </c>
      <c r="D6201" s="6" t="s">
        <v>756</v>
      </c>
      <c r="E6201" s="6" t="s">
        <v>757</v>
      </c>
      <c r="F6201" s="6" t="str">
        <f>IF($M6201="PADD I","PADD 1",IF($M6201="PADD II","PADD 2",IF($M6201="PADD III","PADD 3",IF($M6201="PADD IV","PADD 4",IF($M6201="PADD V","PADD 5","")))))</f>
        <v>PADD 3</v>
      </c>
      <c r="G6201" s="6" t="str">
        <f>IF(AND($H6201="ATMOS DISTILLATION",ISNUMBER(SEARCH("VPS",$I6201))=FALSE,LEFT($I6201,6)&lt;&gt;"VACUUM"),"CDU",IF($H6201="FLUID CAT CRACKING","FCC",IF(OR($H6201="HYDROCRACKING",$H6201="RESID_HYDROCRACKING"),"Hydrocracker",IF($H6201="REFORMING","Reformer",""))))</f>
        <v>CDU</v>
      </c>
      <c r="H6201" s="6" t="s">
        <v>38</v>
      </c>
      <c r="I6201" s="6" t="s">
        <v>81</v>
      </c>
      <c r="J6201" s="6" t="s">
        <v>345</v>
      </c>
      <c r="K6201" s="10">
        <v>0.45</v>
      </c>
      <c r="L6201" s="10">
        <v>15</v>
      </c>
      <c r="M6201" s="6" t="s">
        <v>371</v>
      </c>
    </row>
    <row r="6202" spans="1:13">
      <c r="A6202" s="6">
        <v>2025</v>
      </c>
      <c r="B6202" s="6">
        <v>7</v>
      </c>
      <c r="C6202" s="6" t="s">
        <v>65</v>
      </c>
      <c r="D6202" s="6" t="s">
        <v>40</v>
      </c>
      <c r="E6202" s="6" t="s">
        <v>736</v>
      </c>
      <c r="F6202" s="6" t="str">
        <f>IF($M6202="PADD I","PADD 1",IF($M6202="PADD II","PADD 2",IF($M6202="PADD III","PADD 3",IF($M6202="PADD IV","PADD 4",IF($M6202="PADD V","PADD 5","")))))</f>
        <v>PADD 1</v>
      </c>
      <c r="G6202" s="6">
        <f>IF(AND($H6202="ATMOS DISTILLATION",ISNUMBER(SEARCH("VPS",$I6202))=FALSE,LEFT($I6202,6)&lt;&gt;"VACUUM"),"CDU",IF($H6202="FLUID CAT CRACKING","FCC",IF(OR($H6202="HYDROCRACKING",$H6202="RESID_HYDROCRACKING"),"Hydrocracker",IF($H6202="REFORMING","Reformer",""))))</f>
        <v/>
      </c>
      <c r="H6202" s="6" t="s">
        <v>637</v>
      </c>
      <c r="I6202" s="6" t="s">
        <v>1019</v>
      </c>
      <c r="J6202" s="6" t="s">
        <v>345</v>
      </c>
      <c r="K6202" s="10">
        <v>0.42</v>
      </c>
      <c r="L6202" s="10">
        <v>14</v>
      </c>
      <c r="M6202" s="6" t="s">
        <v>413</v>
      </c>
    </row>
    <row r="6203" spans="1:13">
      <c r="A6203" s="6">
        <v>2025</v>
      </c>
      <c r="B6203" s="6">
        <v>7</v>
      </c>
      <c r="C6203" s="6" t="s">
        <v>65</v>
      </c>
      <c r="D6203" s="6" t="s">
        <v>1315</v>
      </c>
      <c r="E6203" s="6" t="s">
        <v>1316</v>
      </c>
      <c r="F6203" s="6" t="str">
        <f>IF($M6203="PADD I","PADD 1",IF($M6203="PADD II","PADD 2",IF($M6203="PADD III","PADD 3",IF($M6203="PADD IV","PADD 4",IF($M6203="PADD V","PADD 5","")))))</f>
        <v>PADD 1</v>
      </c>
      <c r="G6203" s="6" t="str">
        <f>IF(AND($H6203="ATMOS DISTILLATION",ISNUMBER(SEARCH("VPS",$I6203))=FALSE,LEFT($I6203,6)&lt;&gt;"VACUUM"),"CDU",IF($H6203="FLUID CAT CRACKING","FCC",IF(OR($H6203="HYDROCRACKING",$H6203="RESID_HYDROCRACKING"),"Hydrocracker",IF($H6203="REFORMING","Reformer",""))))</f>
        <v>Reformer</v>
      </c>
      <c r="H6203" s="6" t="s">
        <v>421</v>
      </c>
      <c r="I6203" s="6" t="s">
        <v>571</v>
      </c>
      <c r="J6203" s="6" t="s">
        <v>349</v>
      </c>
      <c r="K6203" s="10">
        <v>0.418</v>
      </c>
      <c r="L6203" s="10">
        <v>2.2</v>
      </c>
      <c r="M6203" s="6" t="s">
        <v>413</v>
      </c>
    </row>
    <row r="6204" spans="1:13">
      <c r="A6204" s="6">
        <v>2025</v>
      </c>
      <c r="B6204" s="6">
        <v>7</v>
      </c>
      <c r="C6204" s="6" t="s">
        <v>65</v>
      </c>
      <c r="D6204" s="6" t="s">
        <v>748</v>
      </c>
      <c r="E6204" s="6" t="s">
        <v>388</v>
      </c>
      <c r="F6204" s="6" t="str">
        <f>IF($M6204="PADD I","PADD 1",IF($M6204="PADD II","PADD 2",IF($M6204="PADD III","PADD 3",IF($M6204="PADD IV","PADD 4",IF($M6204="PADD V","PADD 5","")))))</f>
        <v>PADD 3</v>
      </c>
      <c r="G6204" s="6">
        <f>IF(AND($H6204="ATMOS DISTILLATION",ISNUMBER(SEARCH("VPS",$I6204))=FALSE,LEFT($I6204,6)&lt;&gt;"VACUUM"),"CDU",IF($H6204="FLUID CAT CRACKING","FCC",IF(OR($H6204="HYDROCRACKING",$H6204="RESID_HYDROCRACKING"),"Hydrocracker",IF($H6204="REFORMING","Reformer",""))))</f>
        <v/>
      </c>
      <c r="H6204" s="6" t="s">
        <v>43</v>
      </c>
      <c r="I6204" s="6" t="s">
        <v>766</v>
      </c>
      <c r="J6204" s="6" t="s">
        <v>345</v>
      </c>
      <c r="K6204" s="10">
        <v>0.36</v>
      </c>
      <c r="L6204" s="10">
        <v>12</v>
      </c>
      <c r="M6204" s="6" t="s">
        <v>371</v>
      </c>
    </row>
    <row r="6205" spans="1:13">
      <c r="A6205" s="6">
        <v>2025</v>
      </c>
      <c r="B6205" s="6">
        <v>7</v>
      </c>
      <c r="C6205" s="6" t="s">
        <v>65</v>
      </c>
      <c r="D6205" s="6" t="s">
        <v>40</v>
      </c>
      <c r="E6205" s="6" t="s">
        <v>736</v>
      </c>
      <c r="F6205" s="6" t="str">
        <f>IF($M6205="PADD I","PADD 1",IF($M6205="PADD II","PADD 2",IF($M6205="PADD III","PADD 3",IF($M6205="PADD IV","PADD 4",IF($M6205="PADD V","PADD 5","")))))</f>
        <v>PADD 1</v>
      </c>
      <c r="G6205" s="6">
        <f>IF(AND($H6205="ATMOS DISTILLATION",ISNUMBER(SEARCH("VPS",$I6205))=FALSE,LEFT($I6205,6)&lt;&gt;"VACUUM"),"CDU",IF($H6205="FLUID CAT CRACKING","FCC",IF(OR($H6205="HYDROCRACKING",$H6205="RESID_HYDROCRACKING"),"Hydrocracker",IF($H6205="REFORMING","Reformer",""))))</f>
        <v/>
      </c>
      <c r="H6205" s="6" t="s">
        <v>460</v>
      </c>
      <c r="I6205" s="6" t="s">
        <v>760</v>
      </c>
      <c r="J6205" s="6" t="s">
        <v>345</v>
      </c>
      <c r="K6205" s="10">
        <v>0.36</v>
      </c>
      <c r="L6205" s="10">
        <v>12</v>
      </c>
      <c r="M6205" s="6" t="s">
        <v>413</v>
      </c>
    </row>
    <row r="6206" spans="1:13">
      <c r="A6206" s="6">
        <v>2025</v>
      </c>
      <c r="B6206" s="6">
        <v>7</v>
      </c>
      <c r="C6206" s="6" t="s">
        <v>65</v>
      </c>
      <c r="D6206" s="6" t="s">
        <v>40</v>
      </c>
      <c r="E6206" s="6" t="s">
        <v>736</v>
      </c>
      <c r="F6206" s="6" t="str">
        <f>IF($M6206="PADD I","PADD 1",IF($M6206="PADD II","PADD 2",IF($M6206="PADD III","PADD 3",IF($M6206="PADD IV","PADD 4",IF($M6206="PADD V","PADD 5","")))))</f>
        <v>PADD 1</v>
      </c>
      <c r="G6206" s="6">
        <f>IF(AND($H6206="ATMOS DISTILLATION",ISNUMBER(SEARCH("VPS",$I6206))=FALSE,LEFT($I6206,6)&lt;&gt;"VACUUM"),"CDU",IF($H6206="FLUID CAT CRACKING","FCC",IF(OR($H6206="HYDROCRACKING",$H6206="RESID_HYDROCRACKING"),"Hydrocracker",IF($H6206="REFORMING","Reformer",""))))</f>
        <v/>
      </c>
      <c r="H6206" s="6" t="s">
        <v>43</v>
      </c>
      <c r="I6206" s="6" t="s">
        <v>1021</v>
      </c>
      <c r="J6206" s="6" t="s">
        <v>345</v>
      </c>
      <c r="K6206" s="10">
        <v>0.345</v>
      </c>
      <c r="L6206" s="10">
        <v>11.5</v>
      </c>
      <c r="M6206" s="6" t="s">
        <v>413</v>
      </c>
    </row>
    <row r="6207" spans="1:13">
      <c r="A6207" s="6">
        <v>2025</v>
      </c>
      <c r="B6207" s="6">
        <v>7</v>
      </c>
      <c r="C6207" s="6" t="s">
        <v>65</v>
      </c>
      <c r="D6207" s="6" t="s">
        <v>799</v>
      </c>
      <c r="E6207" s="6" t="s">
        <v>391</v>
      </c>
      <c r="F6207" s="6" t="str">
        <f>IF($M6207="PADD I","PADD 1",IF($M6207="PADD II","PADD 2",IF($M6207="PADD III","PADD 3",IF($M6207="PADD IV","PADD 4",IF($M6207="PADD V","PADD 5","")))))</f>
        <v>PADD 4</v>
      </c>
      <c r="G6207" s="6">
        <f>IF(AND($H6207="ATMOS DISTILLATION",ISNUMBER(SEARCH("VPS",$I6207))=FALSE,LEFT($I6207,6)&lt;&gt;"VACUUM"),"CDU",IF($H6207="FLUID CAT CRACKING","FCC",IF(OR($H6207="HYDROCRACKING",$H6207="RESID_HYDROCRACKING"),"Hydrocracker",IF($H6207="REFORMING","Reformer",""))))</f>
        <v/>
      </c>
      <c r="H6207" s="6" t="s">
        <v>460</v>
      </c>
      <c r="I6207" s="6" t="s">
        <v>908</v>
      </c>
      <c r="J6207" s="6" t="s">
        <v>345</v>
      </c>
      <c r="K6207" s="10">
        <v>0.336</v>
      </c>
      <c r="L6207" s="10">
        <v>5.6</v>
      </c>
      <c r="M6207" s="6" t="s">
        <v>430</v>
      </c>
    </row>
    <row r="6208" spans="1:13">
      <c r="A6208" s="6">
        <v>2025</v>
      </c>
      <c r="B6208" s="6">
        <v>7</v>
      </c>
      <c r="C6208" s="6" t="s">
        <v>65</v>
      </c>
      <c r="D6208" s="6" t="s">
        <v>748</v>
      </c>
      <c r="E6208" s="6" t="s">
        <v>388</v>
      </c>
      <c r="F6208" s="6" t="str">
        <f>IF($M6208="PADD I","PADD 1",IF($M6208="PADD II","PADD 2",IF($M6208="PADD III","PADD 3",IF($M6208="PADD IV","PADD 4",IF($M6208="PADD V","PADD 5","")))))</f>
        <v>PADD 3</v>
      </c>
      <c r="G6208" s="6">
        <f>IF(AND($H6208="ATMOS DISTILLATION",ISNUMBER(SEARCH("VPS",$I6208))=FALSE,LEFT($I6208,6)&lt;&gt;"VACUUM"),"CDU",IF($H6208="FLUID CAT CRACKING","FCC",IF(OR($H6208="HYDROCRACKING",$H6208="RESID_HYDROCRACKING"),"Hydrocracker",IF($H6208="REFORMING","Reformer",""))))</f>
        <v/>
      </c>
      <c r="H6208" s="6" t="s">
        <v>43</v>
      </c>
      <c r="I6208" s="6" t="s">
        <v>767</v>
      </c>
      <c r="J6208" s="6" t="s">
        <v>345</v>
      </c>
      <c r="K6208" s="10">
        <v>0.315</v>
      </c>
      <c r="L6208" s="10">
        <v>10.5</v>
      </c>
      <c r="M6208" s="6" t="s">
        <v>371</v>
      </c>
    </row>
    <row r="6209" spans="1:13">
      <c r="A6209" s="6">
        <v>2025</v>
      </c>
      <c r="B6209" s="6">
        <v>7</v>
      </c>
      <c r="C6209" s="6" t="s">
        <v>65</v>
      </c>
      <c r="D6209" s="6" t="s">
        <v>934</v>
      </c>
      <c r="E6209" s="6" t="s">
        <v>388</v>
      </c>
      <c r="F6209" s="6" t="str">
        <f>IF($M6209="PADD I","PADD 1",IF($M6209="PADD II","PADD 2",IF($M6209="PADD III","PADD 3",IF($M6209="PADD IV","PADD 4",IF($M6209="PADD V","PADD 5","")))))</f>
        <v>PADD 3</v>
      </c>
      <c r="G6209" s="6">
        <f>IF(AND($H6209="ATMOS DISTILLATION",ISNUMBER(SEARCH("VPS",$I6209))=FALSE,LEFT($I6209,6)&lt;&gt;"VACUUM"),"CDU",IF($H6209="FLUID CAT CRACKING","FCC",IF(OR($H6209="HYDROCRACKING",$H6209="RESID_HYDROCRACKING"),"Hydrocracker",IF($H6209="REFORMING","Reformer",""))))</f>
        <v/>
      </c>
      <c r="H6209" s="6" t="s">
        <v>460</v>
      </c>
      <c r="I6209" s="6" t="s">
        <v>461</v>
      </c>
      <c r="J6209" s="6" t="s">
        <v>345</v>
      </c>
      <c r="K6209" s="10">
        <v>0.3</v>
      </c>
      <c r="L6209" s="10">
        <v>10</v>
      </c>
      <c r="M6209" s="6" t="s">
        <v>371</v>
      </c>
    </row>
    <row r="6210" spans="1:13">
      <c r="A6210" s="6">
        <v>2025</v>
      </c>
      <c r="B6210" s="6">
        <v>7</v>
      </c>
      <c r="C6210" s="6" t="s">
        <v>65</v>
      </c>
      <c r="D6210" s="6" t="s">
        <v>1275</v>
      </c>
      <c r="E6210" s="6" t="s">
        <v>1276</v>
      </c>
      <c r="F6210" s="6" t="str">
        <f>IF($M6210="PADD I","PADD 1",IF($M6210="PADD II","PADD 2",IF($M6210="PADD III","PADD 3",IF($M6210="PADD IV","PADD 4",IF($M6210="PADD V","PADD 5","")))))</f>
        <v>PADD 3</v>
      </c>
      <c r="G6210" s="6">
        <f>IF(AND($H6210="ATMOS DISTILLATION",ISNUMBER(SEARCH("VPS",$I6210))=FALSE,LEFT($I6210,6)&lt;&gt;"VACUUM"),"CDU",IF($H6210="FLUID CAT CRACKING","FCC",IF(OR($H6210="HYDROCRACKING",$H6210="RESID_HYDROCRACKING"),"Hydrocracker",IF($H6210="REFORMING","Reformer",""))))</f>
        <v/>
      </c>
      <c r="H6210" s="6" t="s">
        <v>43</v>
      </c>
      <c r="I6210" s="6" t="s">
        <v>784</v>
      </c>
      <c r="J6210" s="6" t="s">
        <v>345</v>
      </c>
      <c r="K6210" s="10">
        <v>0.15</v>
      </c>
      <c r="L6210" s="10">
        <v>5</v>
      </c>
      <c r="M6210" s="6" t="s">
        <v>371</v>
      </c>
    </row>
    <row r="6211" spans="1:13">
      <c r="A6211" s="6">
        <v>2025</v>
      </c>
      <c r="B6211" s="6">
        <v>7</v>
      </c>
      <c r="C6211" s="6" t="s">
        <v>65</v>
      </c>
      <c r="D6211" s="6" t="s">
        <v>1275</v>
      </c>
      <c r="E6211" s="6" t="s">
        <v>1276</v>
      </c>
      <c r="F6211" s="6" t="str">
        <f>IF($M6211="PADD I","PADD 1",IF($M6211="PADD II","PADD 2",IF($M6211="PADD III","PADD 3",IF($M6211="PADD IV","PADD 4",IF($M6211="PADD V","PADD 5","")))))</f>
        <v>PADD 3</v>
      </c>
      <c r="G6211" s="6">
        <f>IF(AND($H6211="ATMOS DISTILLATION",ISNUMBER(SEARCH("VPS",$I6211))=FALSE,LEFT($I6211,6)&lt;&gt;"VACUUM"),"CDU",IF($H6211="FLUID CAT CRACKING","FCC",IF(OR($H6211="HYDROCRACKING",$H6211="RESID_HYDROCRACKING"),"Hydrocracker",IF($H6211="REFORMING","Reformer",""))))</f>
        <v/>
      </c>
      <c r="H6211" s="6" t="s">
        <v>568</v>
      </c>
      <c r="I6211" s="6" t="s">
        <v>713</v>
      </c>
      <c r="J6211" s="6" t="s">
        <v>345</v>
      </c>
      <c r="K6211" s="10">
        <v>0.15</v>
      </c>
      <c r="L6211" s="10">
        <v>5</v>
      </c>
      <c r="M6211" s="6" t="s">
        <v>371</v>
      </c>
    </row>
    <row r="6212" spans="1:13">
      <c r="A6212" s="6">
        <v>2025</v>
      </c>
      <c r="B6212" s="6">
        <v>7</v>
      </c>
      <c r="C6212" s="6" t="s">
        <v>65</v>
      </c>
      <c r="D6212" s="6" t="s">
        <v>1315</v>
      </c>
      <c r="E6212" s="6" t="s">
        <v>1316</v>
      </c>
      <c r="F6212" s="6" t="str">
        <f>IF($M6212="PADD I","PADD 1",IF($M6212="PADD II","PADD 2",IF($M6212="PADD III","PADD 3",IF($M6212="PADD IV","PADD 4",IF($M6212="PADD V","PADD 5","")))))</f>
        <v>PADD 1</v>
      </c>
      <c r="G6212" s="6">
        <f>IF(AND($H6212="ATMOS DISTILLATION",ISNUMBER(SEARCH("VPS",$I6212))=FALSE,LEFT($I6212,6)&lt;&gt;"VACUUM"),"CDU",IF($H6212="FLUID CAT CRACKING","FCC",IF(OR($H6212="HYDROCRACKING",$H6212="RESID_HYDROCRACKING"),"Hydrocracker",IF($H6212="REFORMING","Reformer",""))))</f>
        <v/>
      </c>
      <c r="H6212" s="6" t="s">
        <v>568</v>
      </c>
      <c r="I6212" s="6" t="s">
        <v>604</v>
      </c>
      <c r="J6212" s="6" t="s">
        <v>349</v>
      </c>
      <c r="K6212" s="10">
        <v>0.1482</v>
      </c>
      <c r="L6212" s="10">
        <v>0.78</v>
      </c>
      <c r="M6212" s="6" t="s">
        <v>413</v>
      </c>
    </row>
    <row r="6213" spans="1:13">
      <c r="A6213" s="6">
        <v>2025</v>
      </c>
      <c r="B6213" s="6">
        <v>7</v>
      </c>
      <c r="C6213" s="6" t="s">
        <v>65</v>
      </c>
      <c r="D6213" s="6" t="s">
        <v>1275</v>
      </c>
      <c r="E6213" s="6" t="s">
        <v>1276</v>
      </c>
      <c r="F6213" s="6" t="str">
        <f>IF($M6213="PADD I","PADD 1",IF($M6213="PADD II","PADD 2",IF($M6213="PADD III","PADD 3",IF($M6213="PADD IV","PADD 4",IF($M6213="PADD V","PADD 5","")))))</f>
        <v>PADD 3</v>
      </c>
      <c r="G6213" s="6">
        <f>IF(AND($H6213="ATMOS DISTILLATION",ISNUMBER(SEARCH("VPS",$I6213))=FALSE,LEFT($I6213,6)&lt;&gt;"VACUUM"),"CDU",IF($H6213="FLUID CAT CRACKING","FCC",IF(OR($H6213="HYDROCRACKING",$H6213="RESID_HYDROCRACKING"),"Hydrocracker",IF($H6213="REFORMING","Reformer",""))))</f>
        <v/>
      </c>
      <c r="H6213" s="6" t="s">
        <v>43</v>
      </c>
      <c r="I6213" s="6" t="s">
        <v>493</v>
      </c>
      <c r="J6213" s="6" t="s">
        <v>345</v>
      </c>
      <c r="K6213" s="10">
        <v>0.135</v>
      </c>
      <c r="L6213" s="10">
        <v>4.5</v>
      </c>
      <c r="M6213" s="6" t="s">
        <v>371</v>
      </c>
    </row>
    <row r="6214" spans="1:13">
      <c r="A6214" s="6">
        <v>2025</v>
      </c>
      <c r="B6214" s="6">
        <v>7</v>
      </c>
      <c r="C6214" s="6" t="s">
        <v>65</v>
      </c>
      <c r="D6214" s="6" t="s">
        <v>40</v>
      </c>
      <c r="E6214" s="6" t="s">
        <v>736</v>
      </c>
      <c r="F6214" s="6" t="str">
        <f>IF($M6214="PADD I","PADD 1",IF($M6214="PADD II","PADD 2",IF($M6214="PADD III","PADD 3",IF($M6214="PADD IV","PADD 4",IF($M6214="PADD V","PADD 5","")))))</f>
        <v>PADD 1</v>
      </c>
      <c r="G6214" s="6">
        <f>IF(AND($H6214="ATMOS DISTILLATION",ISNUMBER(SEARCH("VPS",$I6214))=FALSE,LEFT($I6214,6)&lt;&gt;"VACUUM"),"CDU",IF($H6214="FLUID CAT CRACKING","FCC",IF(OR($H6214="HYDROCRACKING",$H6214="RESID_HYDROCRACKING"),"Hydrocracker",IF($H6214="REFORMING","Reformer",""))))</f>
        <v/>
      </c>
      <c r="H6214" s="6" t="s">
        <v>43</v>
      </c>
      <c r="I6214" s="6" t="s">
        <v>1029</v>
      </c>
      <c r="J6214" s="6" t="s">
        <v>345</v>
      </c>
      <c r="K6214" s="10">
        <v>0.126</v>
      </c>
      <c r="L6214" s="10">
        <v>4.2</v>
      </c>
      <c r="M6214" s="6" t="s">
        <v>413</v>
      </c>
    </row>
    <row r="6215" spans="1:13">
      <c r="A6215" s="6">
        <v>2025</v>
      </c>
      <c r="B6215" s="6">
        <v>7</v>
      </c>
      <c r="C6215" s="6" t="s">
        <v>65</v>
      </c>
      <c r="D6215" s="6" t="s">
        <v>1275</v>
      </c>
      <c r="E6215" s="6" t="s">
        <v>1276</v>
      </c>
      <c r="F6215" s="6" t="str">
        <f>IF($M6215="PADD I","PADD 1",IF($M6215="PADD II","PADD 2",IF($M6215="PADD III","PADD 3",IF($M6215="PADD IV","PADD 4",IF($M6215="PADD V","PADD 5","")))))</f>
        <v>PADD 3</v>
      </c>
      <c r="G6215" s="6" t="str">
        <f>IF(AND($H6215="ATMOS DISTILLATION",ISNUMBER(SEARCH("VPS",$I6215))=FALSE,LEFT($I6215,6)&lt;&gt;"VACUUM"),"CDU",IF($H6215="FLUID CAT CRACKING","FCC",IF(OR($H6215="HYDROCRACKING",$H6215="RESID_HYDROCRACKING"),"Hydrocracker",IF($H6215="REFORMING","Reformer",""))))</f>
        <v>Reformer</v>
      </c>
      <c r="H6215" s="6" t="s">
        <v>421</v>
      </c>
      <c r="I6215" s="6" t="s">
        <v>1282</v>
      </c>
      <c r="J6215" s="6" t="s">
        <v>345</v>
      </c>
      <c r="K6215" s="10">
        <v>0.075</v>
      </c>
      <c r="L6215" s="10">
        <v>2.5</v>
      </c>
      <c r="M6215" s="6" t="s">
        <v>371</v>
      </c>
    </row>
    <row r="6216" spans="1:13">
      <c r="A6216" s="6">
        <v>2025</v>
      </c>
      <c r="B6216" s="6">
        <v>7</v>
      </c>
      <c r="C6216" s="6" t="s">
        <v>65</v>
      </c>
      <c r="D6216" s="6" t="s">
        <v>1275</v>
      </c>
      <c r="E6216" s="6" t="s">
        <v>1276</v>
      </c>
      <c r="F6216" s="6" t="str">
        <f>IF($M6216="PADD I","PADD 1",IF($M6216="PADD II","PADD 2",IF($M6216="PADD III","PADD 3",IF($M6216="PADD IV","PADD 4",IF($M6216="PADD V","PADD 5","")))))</f>
        <v>PADD 3</v>
      </c>
      <c r="G6216" s="6" t="str">
        <f>IF(AND($H6216="ATMOS DISTILLATION",ISNUMBER(SEARCH("VPS",$I6216))=FALSE,LEFT($I6216,6)&lt;&gt;"VACUUM"),"CDU",IF($H6216="FLUID CAT CRACKING","FCC",IF(OR($H6216="HYDROCRACKING",$H6216="RESID_HYDROCRACKING"),"Hydrocracker",IF($H6216="REFORMING","Reformer",""))))</f>
        <v>Reformer</v>
      </c>
      <c r="H6216" s="6" t="s">
        <v>421</v>
      </c>
      <c r="I6216" s="6" t="s">
        <v>1283</v>
      </c>
      <c r="J6216" s="6" t="s">
        <v>345</v>
      </c>
      <c r="K6216" s="10">
        <v>0.036</v>
      </c>
      <c r="L6216" s="10">
        <v>1.2</v>
      </c>
      <c r="M6216" s="6" t="s">
        <v>371</v>
      </c>
    </row>
    <row r="6217" spans="1:13">
      <c r="A6217" s="6">
        <v>2025</v>
      </c>
      <c r="B6217" s="6">
        <v>8</v>
      </c>
      <c r="C6217" s="6" t="s">
        <v>66</v>
      </c>
      <c r="D6217" s="6" t="s">
        <v>500</v>
      </c>
      <c r="E6217" s="6" t="s">
        <v>388</v>
      </c>
      <c r="F6217" s="6" t="str">
        <f>IF($M6217="PADD I","PADD 1",IF($M6217="PADD II","PADD 2",IF($M6217="PADD III","PADD 3",IF($M6217="PADD IV","PADD 4",IF($M6217="PADD V","PADD 5","")))))</f>
        <v>PADD 2</v>
      </c>
      <c r="G6217" s="6" t="str">
        <f>IF(AND($H6217="ATMOS DISTILLATION",ISNUMBER(SEARCH("VPS",$I6217))=FALSE,LEFT($I6217,6)&lt;&gt;"VACUUM"),"CDU",IF($H6217="FLUID CAT CRACKING","FCC",IF(OR($H6217="HYDROCRACKING",$H6217="RESID_HYDROCRACKING"),"Hydrocracker",IF($H6217="REFORMING","Reformer",""))))</f>
        <v>CDU</v>
      </c>
      <c r="H6217" s="6" t="s">
        <v>38</v>
      </c>
      <c r="I6217" s="6" t="s">
        <v>530</v>
      </c>
      <c r="J6217" s="6" t="s">
        <v>349</v>
      </c>
      <c r="K6217" s="10">
        <v>92</v>
      </c>
      <c r="L6217" s="10">
        <v>92</v>
      </c>
      <c r="M6217" s="6" t="s">
        <v>375</v>
      </c>
    </row>
    <row r="6218" spans="1:13">
      <c r="A6218" s="6">
        <v>2025</v>
      </c>
      <c r="B6218" s="6">
        <v>8</v>
      </c>
      <c r="C6218" s="6" t="s">
        <v>66</v>
      </c>
      <c r="D6218" s="6" t="s">
        <v>326</v>
      </c>
      <c r="E6218" s="6" t="s">
        <v>385</v>
      </c>
      <c r="F6218" s="6" t="str">
        <f>IF($M6218="PADD I","PADD 1",IF($M6218="PADD II","PADD 2",IF($M6218="PADD III","PADD 3",IF($M6218="PADD IV","PADD 4",IF($M6218="PADD V","PADD 5","")))))</f>
        <v>PADD 5</v>
      </c>
      <c r="G6218" s="6">
        <f>IF(AND($H6218="ATMOS DISTILLATION",ISNUMBER(SEARCH("VPS",$I6218))=FALSE,LEFT($I6218,6)&lt;&gt;"VACUUM"),"CDU",IF($H6218="FLUID CAT CRACKING","FCC",IF(OR($H6218="HYDROCRACKING",$H6218="RESID_HYDROCRACKING"),"Hydrocracker",IF($H6218="REFORMING","Reformer",""))))</f>
        <v/>
      </c>
      <c r="H6218" s="6" t="s">
        <v>43</v>
      </c>
      <c r="I6218" s="6" t="s">
        <v>1285</v>
      </c>
      <c r="J6218" s="6" t="s">
        <v>345</v>
      </c>
      <c r="K6218" s="10">
        <v>77.5</v>
      </c>
      <c r="L6218" s="10">
        <v>77.5</v>
      </c>
      <c r="M6218" s="6" t="s">
        <v>386</v>
      </c>
    </row>
    <row r="6219" spans="1:13">
      <c r="A6219" s="6">
        <v>2025</v>
      </c>
      <c r="B6219" s="6">
        <v>8</v>
      </c>
      <c r="C6219" s="6" t="s">
        <v>66</v>
      </c>
      <c r="D6219" s="6" t="s">
        <v>387</v>
      </c>
      <c r="E6219" s="6" t="s">
        <v>388</v>
      </c>
      <c r="F6219" s="6" t="str">
        <f>IF($M6219="PADD I","PADD 1",IF($M6219="PADD II","PADD 2",IF($M6219="PADD III","PADD 3",IF($M6219="PADD IV","PADD 4",IF($M6219="PADD V","PADD 5","")))))</f>
        <v>PADD 3</v>
      </c>
      <c r="G6219" s="6" t="str">
        <f>IF(AND($H6219="ATMOS DISTILLATION",ISNUMBER(SEARCH("VPS",$I6219))=FALSE,LEFT($I6219,6)&lt;&gt;"VACUUM"),"CDU",IF($H6219="FLUID CAT CRACKING","FCC",IF(OR($H6219="HYDROCRACKING",$H6219="RESID_HYDROCRACKING"),"Hydrocracker",IF($H6219="REFORMING","Reformer",""))))</f>
        <v>Hydrocracker</v>
      </c>
      <c r="H6219" s="6" t="s">
        <v>444</v>
      </c>
      <c r="I6219" s="6" t="s">
        <v>476</v>
      </c>
      <c r="J6219" s="6" t="s">
        <v>345</v>
      </c>
      <c r="K6219" s="10">
        <v>70</v>
      </c>
      <c r="L6219" s="10">
        <v>70</v>
      </c>
      <c r="M6219" s="6" t="s">
        <v>371</v>
      </c>
    </row>
    <row r="6220" spans="1:13">
      <c r="A6220" s="6">
        <v>2025</v>
      </c>
      <c r="B6220" s="6">
        <v>8</v>
      </c>
      <c r="C6220" s="6" t="s">
        <v>66</v>
      </c>
      <c r="D6220" s="6" t="s">
        <v>326</v>
      </c>
      <c r="E6220" s="6" t="s">
        <v>385</v>
      </c>
      <c r="F6220" s="6" t="str">
        <f>IF($M6220="PADD I","PADD 1",IF($M6220="PADD II","PADD 2",IF($M6220="PADD III","PADD 3",IF($M6220="PADD IV","PADD 4",IF($M6220="PADD V","PADD 5","")))))</f>
        <v>PADD 5</v>
      </c>
      <c r="G6220" s="6" t="str">
        <f>IF(AND($H6220="ATMOS DISTILLATION",ISNUMBER(SEARCH("VPS",$I6220))=FALSE,LEFT($I6220,6)&lt;&gt;"VACUUM"),"CDU",IF($H6220="FLUID CAT CRACKING","FCC",IF(OR($H6220="HYDROCRACKING",$H6220="RESID_HYDROCRACKING"),"Hydrocracker",IF($H6220="REFORMING","Reformer",""))))</f>
        <v>FCC</v>
      </c>
      <c r="H6220" s="6" t="s">
        <v>376</v>
      </c>
      <c r="I6220" s="6" t="s">
        <v>504</v>
      </c>
      <c r="J6220" s="6" t="s">
        <v>345</v>
      </c>
      <c r="K6220" s="10">
        <v>70</v>
      </c>
      <c r="L6220" s="10">
        <v>70</v>
      </c>
      <c r="M6220" s="6" t="s">
        <v>386</v>
      </c>
    </row>
    <row r="6221" spans="1:13">
      <c r="A6221" s="6">
        <v>2025</v>
      </c>
      <c r="B6221" s="6">
        <v>8</v>
      </c>
      <c r="C6221" s="6" t="s">
        <v>66</v>
      </c>
      <c r="D6221" s="6" t="s">
        <v>319</v>
      </c>
      <c r="E6221" s="6" t="s">
        <v>665</v>
      </c>
      <c r="F6221" s="6" t="str">
        <f>IF($M6221="PADD I","PADD 1",IF($M6221="PADD II","PADD 2",IF($M6221="PADD III","PADD 3",IF($M6221="PADD IV","PADD 4",IF($M6221="PADD V","PADD 5","")))))</f>
        <v>PADD 3</v>
      </c>
      <c r="G6221" s="6" t="str">
        <f>IF(AND($H6221="ATMOS DISTILLATION",ISNUMBER(SEARCH("VPS",$I6221))=FALSE,LEFT($I6221,6)&lt;&gt;"VACUUM"),"CDU",IF($H6221="FLUID CAT CRACKING","FCC",IF(OR($H6221="HYDROCRACKING",$H6221="RESID_HYDROCRACKING"),"Hydrocracker",IF($H6221="REFORMING","Reformer",""))))</f>
        <v>FCC</v>
      </c>
      <c r="H6221" s="6" t="s">
        <v>376</v>
      </c>
      <c r="I6221" s="6" t="s">
        <v>875</v>
      </c>
      <c r="J6221" s="6" t="s">
        <v>349</v>
      </c>
      <c r="K6221" s="10">
        <v>58.24</v>
      </c>
      <c r="L6221" s="10">
        <v>112</v>
      </c>
      <c r="M6221" s="6" t="s">
        <v>371</v>
      </c>
    </row>
    <row r="6222" spans="1:13">
      <c r="A6222" s="6">
        <v>2025</v>
      </c>
      <c r="B6222" s="6">
        <v>8</v>
      </c>
      <c r="C6222" s="6" t="s">
        <v>66</v>
      </c>
      <c r="D6222" s="6" t="s">
        <v>326</v>
      </c>
      <c r="E6222" s="6" t="s">
        <v>385</v>
      </c>
      <c r="F6222" s="6" t="str">
        <f>IF($M6222="PADD I","PADD 1",IF($M6222="PADD II","PADD 2",IF($M6222="PADD III","PADD 3",IF($M6222="PADD IV","PADD 4",IF($M6222="PADD V","PADD 5","")))))</f>
        <v>PADD 5</v>
      </c>
      <c r="G6222" s="6" t="str">
        <f>IF(AND($H6222="ATMOS DISTILLATION",ISNUMBER(SEARCH("VPS",$I6222))=FALSE,LEFT($I6222,6)&lt;&gt;"VACUUM"),"CDU",IF($H6222="FLUID CAT CRACKING","FCC",IF(OR($H6222="HYDROCRACKING",$H6222="RESID_HYDROCRACKING"),"Hydrocracker",IF($H6222="REFORMING","Reformer",""))))</f>
        <v>CDU</v>
      </c>
      <c r="H6222" s="6" t="s">
        <v>38</v>
      </c>
      <c r="I6222" s="6" t="s">
        <v>93</v>
      </c>
      <c r="J6222" s="6" t="s">
        <v>345</v>
      </c>
      <c r="K6222" s="10">
        <v>54.25</v>
      </c>
      <c r="L6222" s="10">
        <v>54.25</v>
      </c>
      <c r="M6222" s="6" t="s">
        <v>386</v>
      </c>
    </row>
    <row r="6223" spans="1:13">
      <c r="A6223" s="6">
        <v>2025</v>
      </c>
      <c r="B6223" s="6">
        <v>8</v>
      </c>
      <c r="C6223" s="6" t="s">
        <v>66</v>
      </c>
      <c r="D6223" s="6" t="s">
        <v>572</v>
      </c>
      <c r="E6223" s="6" t="s">
        <v>573</v>
      </c>
      <c r="F6223" s="6" t="str">
        <f>IF($M6223="PADD I","PADD 1",IF($M6223="PADD II","PADD 2",IF($M6223="PADD III","PADD 3",IF($M6223="PADD IV","PADD 4",IF($M6223="PADD V","PADD 5","")))))</f>
        <v>PADD 3</v>
      </c>
      <c r="G6223" s="6" t="str">
        <f>IF(AND($H6223="ATMOS DISTILLATION",ISNUMBER(SEARCH("VPS",$I6223))=FALSE,LEFT($I6223,6)&lt;&gt;"VACUUM"),"CDU",IF($H6223="FLUID CAT CRACKING","FCC",IF(OR($H6223="HYDROCRACKING",$H6223="RESID_HYDROCRACKING"),"Hydrocracker",IF($H6223="REFORMING","Reformer",""))))</f>
        <v>CDU</v>
      </c>
      <c r="H6223" s="6" t="s">
        <v>38</v>
      </c>
      <c r="I6223" s="6" t="s">
        <v>574</v>
      </c>
      <c r="J6223" s="6" t="s">
        <v>349</v>
      </c>
      <c r="K6223" s="10">
        <v>50</v>
      </c>
      <c r="L6223" s="10">
        <v>50</v>
      </c>
      <c r="M6223" s="6" t="s">
        <v>371</v>
      </c>
    </row>
    <row r="6224" spans="1:13">
      <c r="A6224" s="6">
        <v>2025</v>
      </c>
      <c r="B6224" s="6">
        <v>8</v>
      </c>
      <c r="C6224" s="6" t="s">
        <v>66</v>
      </c>
      <c r="D6224" s="6" t="s">
        <v>326</v>
      </c>
      <c r="E6224" s="6" t="s">
        <v>385</v>
      </c>
      <c r="F6224" s="6" t="str">
        <f>IF($M6224="PADD I","PADD 1",IF($M6224="PADD II","PADD 2",IF($M6224="PADD III","PADD 3",IF($M6224="PADD IV","PADD 4",IF($M6224="PADD V","PADD 5","")))))</f>
        <v>PADD 5</v>
      </c>
      <c r="G6224" s="6" t="str">
        <f>IF(AND($H6224="ATMOS DISTILLATION",ISNUMBER(SEARCH("VPS",$I6224))=FALSE,LEFT($I6224,6)&lt;&gt;"VACUUM"),"CDU",IF($H6224="FLUID CAT CRACKING","FCC",IF(OR($H6224="HYDROCRACKING",$H6224="RESID_HYDROCRACKING"),"Hydrocracker",IF($H6224="REFORMING","Reformer",""))))</f>
        <v>Hydrocracker</v>
      </c>
      <c r="H6224" s="6" t="s">
        <v>444</v>
      </c>
      <c r="I6224" s="6" t="s">
        <v>498</v>
      </c>
      <c r="J6224" s="6" t="s">
        <v>345</v>
      </c>
      <c r="K6224" s="10">
        <v>42</v>
      </c>
      <c r="L6224" s="10">
        <v>42</v>
      </c>
      <c r="M6224" s="6" t="s">
        <v>386</v>
      </c>
    </row>
    <row r="6225" spans="1:13">
      <c r="A6225" s="6">
        <v>2025</v>
      </c>
      <c r="B6225" s="6">
        <v>8</v>
      </c>
      <c r="C6225" s="6" t="s">
        <v>66</v>
      </c>
      <c r="D6225" s="6" t="s">
        <v>542</v>
      </c>
      <c r="E6225" s="6" t="s">
        <v>543</v>
      </c>
      <c r="F6225" s="6" t="str">
        <f>IF($M6225="PADD I","PADD 1",IF($M6225="PADD II","PADD 2",IF($M6225="PADD III","PADD 3",IF($M6225="PADD IV","PADD 4",IF($M6225="PADD V","PADD 5","")))))</f>
        <v>PADD 2</v>
      </c>
      <c r="G6225" s="6" t="str">
        <f>IF(AND($H6225="ATMOS DISTILLATION",ISNUMBER(SEARCH("VPS",$I6225))=FALSE,LEFT($I6225,6)&lt;&gt;"VACUUM"),"CDU",IF($H6225="FLUID CAT CRACKING","FCC",IF(OR($H6225="HYDROCRACKING",$H6225="RESID_HYDROCRACKING"),"Hydrocracker",IF($H6225="REFORMING","Reformer",""))))</f>
        <v>CDU</v>
      </c>
      <c r="H6225" s="6" t="s">
        <v>38</v>
      </c>
      <c r="I6225" s="6" t="s">
        <v>874</v>
      </c>
      <c r="J6225" s="6" t="s">
        <v>345</v>
      </c>
      <c r="K6225" s="10">
        <v>40</v>
      </c>
      <c r="L6225" s="10">
        <v>125</v>
      </c>
      <c r="M6225" s="6" t="s">
        <v>375</v>
      </c>
    </row>
    <row r="6226" spans="1:13">
      <c r="A6226" s="6">
        <v>2025</v>
      </c>
      <c r="B6226" s="6">
        <v>8</v>
      </c>
      <c r="C6226" s="6" t="s">
        <v>66</v>
      </c>
      <c r="D6226" s="6" t="s">
        <v>542</v>
      </c>
      <c r="E6226" s="6" t="s">
        <v>543</v>
      </c>
      <c r="F6226" s="6" t="str">
        <f>IF($M6226="PADD I","PADD 1",IF($M6226="PADD II","PADD 2",IF($M6226="PADD III","PADD 3",IF($M6226="PADD IV","PADD 4",IF($M6226="PADD V","PADD 5","")))))</f>
        <v>PADD 2</v>
      </c>
      <c r="G6226" s="6">
        <f>IF(AND($H6226="ATMOS DISTILLATION",ISNUMBER(SEARCH("VPS",$I6226))=FALSE,LEFT($I6226,6)&lt;&gt;"VACUUM"),"CDU",IF($H6226="FLUID CAT CRACKING","FCC",IF(OR($H6226="HYDROCRACKING",$H6226="RESID_HYDROCRACKING"),"Hydrocracker",IF($H6226="REFORMING","Reformer",""))))</f>
        <v/>
      </c>
      <c r="H6226" s="6" t="s">
        <v>43</v>
      </c>
      <c r="I6226" s="6" t="s">
        <v>913</v>
      </c>
      <c r="J6226" s="6" t="s">
        <v>345</v>
      </c>
      <c r="K6226" s="10">
        <v>33.6</v>
      </c>
      <c r="L6226" s="10">
        <v>105</v>
      </c>
      <c r="M6226" s="6" t="s">
        <v>375</v>
      </c>
    </row>
    <row r="6227" spans="1:13">
      <c r="A6227" s="6">
        <v>2025</v>
      </c>
      <c r="B6227" s="6">
        <v>8</v>
      </c>
      <c r="C6227" s="6" t="s">
        <v>66</v>
      </c>
      <c r="D6227" s="6" t="s">
        <v>770</v>
      </c>
      <c r="E6227" s="6" t="s">
        <v>660</v>
      </c>
      <c r="F6227" s="6" t="str">
        <f>IF($M6227="PADD I","PADD 1",IF($M6227="PADD II","PADD 2",IF($M6227="PADD III","PADD 3",IF($M6227="PADD IV","PADD 4",IF($M6227="PADD V","PADD 5","")))))</f>
        <v>PADD 3</v>
      </c>
      <c r="G6227" s="6">
        <f>IF(AND($H6227="ATMOS DISTILLATION",ISNUMBER(SEARCH("VPS",$I6227))=FALSE,LEFT($I6227,6)&lt;&gt;"VACUUM"),"CDU",IF($H6227="FLUID CAT CRACKING","FCC",IF(OR($H6227="HYDROCRACKING",$H6227="RESID_HYDROCRACKING"),"Hydrocracker",IF($H6227="REFORMING","Reformer",""))))</f>
        <v/>
      </c>
      <c r="H6227" s="6" t="s">
        <v>435</v>
      </c>
      <c r="I6227" s="6" t="s">
        <v>441</v>
      </c>
      <c r="J6227" s="6" t="s">
        <v>345</v>
      </c>
      <c r="K6227" s="10">
        <v>32</v>
      </c>
      <c r="L6227" s="10">
        <v>32</v>
      </c>
      <c r="M6227" s="6" t="s">
        <v>371</v>
      </c>
    </row>
    <row r="6228" spans="1:13">
      <c r="A6228" s="6">
        <v>2025</v>
      </c>
      <c r="B6228" s="6">
        <v>8</v>
      </c>
      <c r="C6228" s="6" t="s">
        <v>66</v>
      </c>
      <c r="D6228" s="6" t="s">
        <v>500</v>
      </c>
      <c r="E6228" s="6" t="s">
        <v>388</v>
      </c>
      <c r="F6228" s="6" t="str">
        <f>IF($M6228="PADD I","PADD 1",IF($M6228="PADD II","PADD 2",IF($M6228="PADD III","PADD 3",IF($M6228="PADD IV","PADD 4",IF($M6228="PADD V","PADD 5","")))))</f>
        <v>PADD 2</v>
      </c>
      <c r="G6228" s="6">
        <f>IF(AND($H6228="ATMOS DISTILLATION",ISNUMBER(SEARCH("VPS",$I6228))=FALSE,LEFT($I6228,6)&lt;&gt;"VACUUM"),"CDU",IF($H6228="FLUID CAT CRACKING","FCC",IF(OR($H6228="HYDROCRACKING",$H6228="RESID_HYDROCRACKING"),"Hydrocracker",IF($H6228="REFORMING","Reformer",""))))</f>
        <v/>
      </c>
      <c r="H6228" s="6" t="s">
        <v>378</v>
      </c>
      <c r="I6228" s="6" t="s">
        <v>431</v>
      </c>
      <c r="J6228" s="6" t="s">
        <v>349</v>
      </c>
      <c r="K6228" s="10">
        <v>32</v>
      </c>
      <c r="L6228" s="10">
        <v>32</v>
      </c>
      <c r="M6228" s="6" t="s">
        <v>375</v>
      </c>
    </row>
    <row r="6229" spans="1:13">
      <c r="A6229" s="6">
        <v>2025</v>
      </c>
      <c r="B6229" s="6">
        <v>8</v>
      </c>
      <c r="C6229" s="6" t="s">
        <v>66</v>
      </c>
      <c r="D6229" s="6" t="s">
        <v>326</v>
      </c>
      <c r="E6229" s="6" t="s">
        <v>385</v>
      </c>
      <c r="F6229" s="6" t="str">
        <f>IF($M6229="PADD I","PADD 1",IF($M6229="PADD II","PADD 2",IF($M6229="PADD III","PADD 3",IF($M6229="PADD IV","PADD 4",IF($M6229="PADD V","PADD 5","")))))</f>
        <v>PADD 5</v>
      </c>
      <c r="G6229" s="6">
        <f>IF(AND($H6229="ATMOS DISTILLATION",ISNUMBER(SEARCH("VPS",$I6229))=FALSE,LEFT($I6229,6)&lt;&gt;"VACUUM"),"CDU",IF($H6229="FLUID CAT CRACKING","FCC",IF(OR($H6229="HYDROCRACKING",$H6229="RESID_HYDROCRACKING"),"Hydrocracker",IF($H6229="REFORMING","Reformer",""))))</f>
        <v/>
      </c>
      <c r="H6229" s="6" t="s">
        <v>378</v>
      </c>
      <c r="I6229" s="6" t="s">
        <v>431</v>
      </c>
      <c r="J6229" s="6" t="s">
        <v>345</v>
      </c>
      <c r="K6229" s="10">
        <v>31.5</v>
      </c>
      <c r="L6229" s="10">
        <v>31.5</v>
      </c>
      <c r="M6229" s="6" t="s">
        <v>386</v>
      </c>
    </row>
    <row r="6230" spans="1:13">
      <c r="A6230" s="6">
        <v>2025</v>
      </c>
      <c r="B6230" s="6">
        <v>8</v>
      </c>
      <c r="C6230" s="6" t="s">
        <v>66</v>
      </c>
      <c r="D6230" s="6" t="s">
        <v>542</v>
      </c>
      <c r="E6230" s="6" t="s">
        <v>543</v>
      </c>
      <c r="F6230" s="6" t="str">
        <f>IF($M6230="PADD I","PADD 1",IF($M6230="PADD II","PADD 2",IF($M6230="PADD III","PADD 3",IF($M6230="PADD IV","PADD 4",IF($M6230="PADD V","PADD 5","")))))</f>
        <v>PADD 2</v>
      </c>
      <c r="G6230" s="6" t="str">
        <f>IF(AND($H6230="ATMOS DISTILLATION",ISNUMBER(SEARCH("VPS",$I6230))=FALSE,LEFT($I6230,6)&lt;&gt;"VACUUM"),"CDU",IF($H6230="FLUID CAT CRACKING","FCC",IF(OR($H6230="HYDROCRACKING",$H6230="RESID_HYDROCRACKING"),"Hydrocracker",IF($H6230="REFORMING","Reformer",""))))</f>
        <v>CDU</v>
      </c>
      <c r="H6230" s="6" t="s">
        <v>38</v>
      </c>
      <c r="I6230" s="6" t="s">
        <v>690</v>
      </c>
      <c r="J6230" s="6" t="s">
        <v>345</v>
      </c>
      <c r="K6230" s="10">
        <v>28.8</v>
      </c>
      <c r="L6230" s="10">
        <v>90</v>
      </c>
      <c r="M6230" s="6" t="s">
        <v>375</v>
      </c>
    </row>
    <row r="6231" spans="1:13">
      <c r="A6231" s="6">
        <v>2025</v>
      </c>
      <c r="B6231" s="6">
        <v>8</v>
      </c>
      <c r="C6231" s="6" t="s">
        <v>66</v>
      </c>
      <c r="D6231" s="6" t="s">
        <v>542</v>
      </c>
      <c r="E6231" s="6" t="s">
        <v>543</v>
      </c>
      <c r="F6231" s="6" t="str">
        <f>IF($M6231="PADD I","PADD 1",IF($M6231="PADD II","PADD 2",IF($M6231="PADD III","PADD 3",IF($M6231="PADD IV","PADD 4",IF($M6231="PADD V","PADD 5","")))))</f>
        <v>PADD 2</v>
      </c>
      <c r="G6231" s="6" t="str">
        <f>IF(AND($H6231="ATMOS DISTILLATION",ISNUMBER(SEARCH("VPS",$I6231))=FALSE,LEFT($I6231,6)&lt;&gt;"VACUUM"),"CDU",IF($H6231="FLUID CAT CRACKING","FCC",IF(OR($H6231="HYDROCRACKING",$H6231="RESID_HYDROCRACKING"),"Hydrocracker",IF($H6231="REFORMING","Reformer",""))))</f>
        <v>CDU</v>
      </c>
      <c r="H6231" s="6" t="s">
        <v>38</v>
      </c>
      <c r="I6231" s="6" t="s">
        <v>1115</v>
      </c>
      <c r="J6231" s="6" t="s">
        <v>345</v>
      </c>
      <c r="K6231" s="10">
        <v>28.8</v>
      </c>
      <c r="L6231" s="10">
        <v>90</v>
      </c>
      <c r="M6231" s="6" t="s">
        <v>375</v>
      </c>
    </row>
    <row r="6232" spans="1:13">
      <c r="A6232" s="6">
        <v>2025</v>
      </c>
      <c r="B6232" s="6">
        <v>8</v>
      </c>
      <c r="C6232" s="6" t="s">
        <v>66</v>
      </c>
      <c r="D6232" s="6" t="s">
        <v>490</v>
      </c>
      <c r="E6232" s="6" t="s">
        <v>491</v>
      </c>
      <c r="F6232" s="6" t="str">
        <f>IF($M6232="PADD I","PADD 1",IF($M6232="PADD II","PADD 2",IF($M6232="PADD III","PADD 3",IF($M6232="PADD IV","PADD 4",IF($M6232="PADD V","PADD 5","")))))</f>
        <v>PADD 3</v>
      </c>
      <c r="G6232" s="6" t="str">
        <f>IF(AND($H6232="ATMOS DISTILLATION",ISNUMBER(SEARCH("VPS",$I6232))=FALSE,LEFT($I6232,6)&lt;&gt;"VACUUM"),"CDU",IF($H6232="FLUID CAT CRACKING","FCC",IF(OR($H6232="HYDROCRACKING",$H6232="RESID_HYDROCRACKING"),"Hydrocracker",IF($H6232="REFORMING","Reformer",""))))</f>
        <v>FCC</v>
      </c>
      <c r="H6232" s="6" t="s">
        <v>376</v>
      </c>
      <c r="I6232" s="6" t="s">
        <v>472</v>
      </c>
      <c r="J6232" s="6" t="s">
        <v>345</v>
      </c>
      <c r="K6232" s="10">
        <v>28.16</v>
      </c>
      <c r="L6232" s="10">
        <v>88</v>
      </c>
      <c r="M6232" s="6" t="s">
        <v>371</v>
      </c>
    </row>
    <row r="6233" spans="1:13">
      <c r="A6233" s="6">
        <v>2025</v>
      </c>
      <c r="B6233" s="6">
        <v>8</v>
      </c>
      <c r="C6233" s="6" t="s">
        <v>66</v>
      </c>
      <c r="D6233" s="6" t="s">
        <v>511</v>
      </c>
      <c r="E6233" s="6" t="s">
        <v>405</v>
      </c>
      <c r="F6233" s="6" t="str">
        <f>IF($M6233="PADD I","PADD 1",IF($M6233="PADD II","PADD 2",IF($M6233="PADD III","PADD 3",IF($M6233="PADD IV","PADD 4",IF($M6233="PADD V","PADD 5","")))))</f>
        <v>PADD 3</v>
      </c>
      <c r="G6233" s="6">
        <f>IF(AND($H6233="ATMOS DISTILLATION",ISNUMBER(SEARCH("VPS",$I6233))=FALSE,LEFT($I6233,6)&lt;&gt;"VACUUM"),"CDU",IF($H6233="FLUID CAT CRACKING","FCC",IF(OR($H6233="HYDROCRACKING",$H6233="RESID_HYDROCRACKING"),"Hydrocracker",IF($H6233="REFORMING","Reformer",""))))</f>
        <v/>
      </c>
      <c r="H6233" s="6" t="s">
        <v>43</v>
      </c>
      <c r="I6233" s="6" t="s">
        <v>655</v>
      </c>
      <c r="J6233" s="6" t="s">
        <v>349</v>
      </c>
      <c r="K6233" s="10">
        <v>27.5</v>
      </c>
      <c r="L6233" s="10">
        <v>50</v>
      </c>
      <c r="M6233" s="6" t="s">
        <v>371</v>
      </c>
    </row>
    <row r="6234" spans="1:13">
      <c r="A6234" s="6">
        <v>2025</v>
      </c>
      <c r="B6234" s="6">
        <v>8</v>
      </c>
      <c r="C6234" s="6" t="s">
        <v>66</v>
      </c>
      <c r="D6234" s="6" t="s">
        <v>511</v>
      </c>
      <c r="E6234" s="6" t="s">
        <v>405</v>
      </c>
      <c r="F6234" s="6" t="str">
        <f>IF($M6234="PADD I","PADD 1",IF($M6234="PADD II","PADD 2",IF($M6234="PADD III","PADD 3",IF($M6234="PADD IV","PADD 4",IF($M6234="PADD V","PADD 5","")))))</f>
        <v>PADD 3</v>
      </c>
      <c r="G6234" s="6" t="str">
        <f>IF(AND($H6234="ATMOS DISTILLATION",ISNUMBER(SEARCH("VPS",$I6234))=FALSE,LEFT($I6234,6)&lt;&gt;"VACUUM"),"CDU",IF($H6234="FLUID CAT CRACKING","FCC",IF(OR($H6234="HYDROCRACKING",$H6234="RESID_HYDROCRACKING"),"Hydrocracker",IF($H6234="REFORMING","Reformer",""))))</f>
        <v>Hydrocracker</v>
      </c>
      <c r="H6234" s="6" t="s">
        <v>444</v>
      </c>
      <c r="I6234" s="6" t="s">
        <v>14</v>
      </c>
      <c r="J6234" s="6" t="s">
        <v>349</v>
      </c>
      <c r="K6234" s="10">
        <v>27.5</v>
      </c>
      <c r="L6234" s="10">
        <v>50</v>
      </c>
      <c r="M6234" s="6" t="s">
        <v>371</v>
      </c>
    </row>
    <row r="6235" spans="1:13">
      <c r="A6235" s="6">
        <v>2025</v>
      </c>
      <c r="B6235" s="6">
        <v>8</v>
      </c>
      <c r="C6235" s="6" t="s">
        <v>66</v>
      </c>
      <c r="D6235" s="6" t="s">
        <v>319</v>
      </c>
      <c r="E6235" s="6" t="s">
        <v>665</v>
      </c>
      <c r="F6235" s="6" t="str">
        <f>IF($M6235="PADD I","PADD 1",IF($M6235="PADD II","PADD 2",IF($M6235="PADD III","PADD 3",IF($M6235="PADD IV","PADD 4",IF($M6235="PADD V","PADD 5","")))))</f>
        <v>PADD 3</v>
      </c>
      <c r="G6235" s="6">
        <f>IF(AND($H6235="ATMOS DISTILLATION",ISNUMBER(SEARCH("VPS",$I6235))=FALSE,LEFT($I6235,6)&lt;&gt;"VACUUM"),"CDU",IF($H6235="FLUID CAT CRACKING","FCC",IF(OR($H6235="HYDROCRACKING",$H6235="RESID_HYDROCRACKING"),"Hydrocracker",IF($H6235="REFORMING","Reformer",""))))</f>
        <v/>
      </c>
      <c r="H6235" s="6" t="s">
        <v>43</v>
      </c>
      <c r="I6235" s="6" t="s">
        <v>883</v>
      </c>
      <c r="J6235" s="6" t="s">
        <v>349</v>
      </c>
      <c r="K6235" s="10">
        <v>27.5</v>
      </c>
      <c r="L6235" s="10">
        <v>50</v>
      </c>
      <c r="M6235" s="6" t="s">
        <v>371</v>
      </c>
    </row>
    <row r="6236" spans="1:13">
      <c r="A6236" s="6">
        <v>2025</v>
      </c>
      <c r="B6236" s="6">
        <v>8</v>
      </c>
      <c r="C6236" s="6" t="s">
        <v>66</v>
      </c>
      <c r="D6236" s="6" t="s">
        <v>500</v>
      </c>
      <c r="E6236" s="6" t="s">
        <v>388</v>
      </c>
      <c r="F6236" s="6" t="str">
        <f>IF($M6236="PADD I","PADD 1",IF($M6236="PADD II","PADD 2",IF($M6236="PADD III","PADD 3",IF($M6236="PADD IV","PADD 4",IF($M6236="PADD V","PADD 5","")))))</f>
        <v>PADD 2</v>
      </c>
      <c r="G6236" s="6" t="str">
        <f>IF(AND($H6236="ATMOS DISTILLATION",ISNUMBER(SEARCH("VPS",$I6236))=FALSE,LEFT($I6236,6)&lt;&gt;"VACUUM"),"CDU",IF($H6236="FLUID CAT CRACKING","FCC",IF(OR($H6236="HYDROCRACKING",$H6236="RESID_HYDROCRACKING"),"Hydrocracker",IF($H6236="REFORMING","Reformer",""))))</f>
        <v>FCC</v>
      </c>
      <c r="H6236" s="6" t="s">
        <v>376</v>
      </c>
      <c r="I6236" s="6" t="s">
        <v>105</v>
      </c>
      <c r="J6236" s="6" t="s">
        <v>349</v>
      </c>
      <c r="K6236" s="10">
        <v>26</v>
      </c>
      <c r="L6236" s="10">
        <v>26</v>
      </c>
      <c r="M6236" s="6" t="s">
        <v>375</v>
      </c>
    </row>
    <row r="6237" spans="1:13">
      <c r="A6237" s="6">
        <v>2025</v>
      </c>
      <c r="B6237" s="6">
        <v>8</v>
      </c>
      <c r="C6237" s="6" t="s">
        <v>66</v>
      </c>
      <c r="D6237" s="6" t="s">
        <v>500</v>
      </c>
      <c r="E6237" s="6" t="s">
        <v>388</v>
      </c>
      <c r="F6237" s="6" t="str">
        <f>IF($M6237="PADD I","PADD 1",IF($M6237="PADD II","PADD 2",IF($M6237="PADD III","PADD 3",IF($M6237="PADD IV","PADD 4",IF($M6237="PADD V","PADD 5","")))))</f>
        <v>PADD 2</v>
      </c>
      <c r="G6237" s="6">
        <f>IF(AND($H6237="ATMOS DISTILLATION",ISNUMBER(SEARCH("VPS",$I6237))=FALSE,LEFT($I6237,6)&lt;&gt;"VACUUM"),"CDU",IF($H6237="FLUID CAT CRACKING","FCC",IF(OR($H6237="HYDROCRACKING",$H6237="RESID_HYDROCRACKING"),"Hydrocracker",IF($H6237="REFORMING","Reformer",""))))</f>
        <v/>
      </c>
      <c r="H6237" s="6" t="s">
        <v>43</v>
      </c>
      <c r="I6237" s="6" t="s">
        <v>918</v>
      </c>
      <c r="J6237" s="6" t="s">
        <v>349</v>
      </c>
      <c r="K6237" s="10">
        <v>25</v>
      </c>
      <c r="L6237" s="10">
        <v>25</v>
      </c>
      <c r="M6237" s="6" t="s">
        <v>375</v>
      </c>
    </row>
    <row r="6238" spans="1:13">
      <c r="A6238" s="6">
        <v>2025</v>
      </c>
      <c r="B6238" s="6">
        <v>8</v>
      </c>
      <c r="C6238" s="6" t="s">
        <v>66</v>
      </c>
      <c r="D6238" s="6" t="s">
        <v>500</v>
      </c>
      <c r="E6238" s="6" t="s">
        <v>388</v>
      </c>
      <c r="F6238" s="6" t="str">
        <f>IF($M6238="PADD I","PADD 1",IF($M6238="PADD II","PADD 2",IF($M6238="PADD III","PADD 3",IF($M6238="PADD IV","PADD 4",IF($M6238="PADD V","PADD 5","")))))</f>
        <v>PADD 2</v>
      </c>
      <c r="G6238" s="6" t="str">
        <f>IF(AND($H6238="ATMOS DISTILLATION",ISNUMBER(SEARCH("VPS",$I6238))=FALSE,LEFT($I6238,6)&lt;&gt;"VACUUM"),"CDU",IF($H6238="FLUID CAT CRACKING","FCC",IF(OR($H6238="HYDROCRACKING",$H6238="RESID_HYDROCRACKING"),"Hydrocracker",IF($H6238="REFORMING","Reformer",""))))</f>
        <v>CDU</v>
      </c>
      <c r="H6238" s="6" t="s">
        <v>38</v>
      </c>
      <c r="I6238" s="6" t="s">
        <v>917</v>
      </c>
      <c r="J6238" s="6" t="s">
        <v>349</v>
      </c>
      <c r="K6238" s="10">
        <v>25</v>
      </c>
      <c r="L6238" s="10">
        <v>25</v>
      </c>
      <c r="M6238" s="6" t="s">
        <v>375</v>
      </c>
    </row>
    <row r="6239" spans="1:13">
      <c r="A6239" s="6">
        <v>2025</v>
      </c>
      <c r="B6239" s="6">
        <v>8</v>
      </c>
      <c r="C6239" s="6" t="s">
        <v>66</v>
      </c>
      <c r="D6239" s="6" t="s">
        <v>484</v>
      </c>
      <c r="E6239" s="6" t="s">
        <v>409</v>
      </c>
      <c r="F6239" s="6" t="str">
        <f>IF($M6239="PADD I","PADD 1",IF($M6239="PADD II","PADD 2",IF($M6239="PADD III","PADD 3",IF($M6239="PADD IV","PADD 4",IF($M6239="PADD V","PADD 5","")))))</f>
        <v>PADD 3</v>
      </c>
      <c r="G6239" s="6">
        <f>IF(AND($H6239="ATMOS DISTILLATION",ISNUMBER(SEARCH("VPS",$I6239))=FALSE,LEFT($I6239,6)&lt;&gt;"VACUUM"),"CDU",IF($H6239="FLUID CAT CRACKING","FCC",IF(OR($H6239="HYDROCRACKING",$H6239="RESID_HYDROCRACKING"),"Hydrocracker",IF($H6239="REFORMING","Reformer",""))))</f>
        <v/>
      </c>
      <c r="H6239" s="6" t="s">
        <v>43</v>
      </c>
      <c r="I6239" s="6" t="s">
        <v>501</v>
      </c>
      <c r="J6239" s="6" t="s">
        <v>345</v>
      </c>
      <c r="K6239" s="10">
        <v>23.66</v>
      </c>
      <c r="L6239" s="10">
        <v>45.5</v>
      </c>
      <c r="M6239" s="6" t="s">
        <v>371</v>
      </c>
    </row>
    <row r="6240" spans="1:13">
      <c r="A6240" s="6">
        <v>2025</v>
      </c>
      <c r="B6240" s="6">
        <v>8</v>
      </c>
      <c r="C6240" s="6" t="s">
        <v>66</v>
      </c>
      <c r="D6240" s="6" t="s">
        <v>408</v>
      </c>
      <c r="E6240" s="6" t="s">
        <v>409</v>
      </c>
      <c r="F6240" s="6" t="str">
        <f>IF($M6240="PADD I","PADD 1",IF($M6240="PADD II","PADD 2",IF($M6240="PADD III","PADD 3",IF($M6240="PADD IV","PADD 4",IF($M6240="PADD V","PADD 5","")))))</f>
        <v>PADD 3</v>
      </c>
      <c r="G6240" s="6">
        <f>IF(AND($H6240="ATMOS DISTILLATION",ISNUMBER(SEARCH("VPS",$I6240))=FALSE,LEFT($I6240,6)&lt;&gt;"VACUUM"),"CDU",IF($H6240="FLUID CAT CRACKING","FCC",IF(OR($H6240="HYDROCRACKING",$H6240="RESID_HYDROCRACKING"),"Hydrocracker",IF($H6240="REFORMING","Reformer",""))))</f>
        <v/>
      </c>
      <c r="H6240" s="6" t="s">
        <v>43</v>
      </c>
      <c r="I6240" s="6" t="s">
        <v>478</v>
      </c>
      <c r="J6240" s="6" t="s">
        <v>349</v>
      </c>
      <c r="K6240" s="10">
        <v>23.1</v>
      </c>
      <c r="L6240" s="10">
        <v>42</v>
      </c>
      <c r="M6240" s="6" t="s">
        <v>371</v>
      </c>
    </row>
    <row r="6241" spans="1:13">
      <c r="A6241" s="6">
        <v>2025</v>
      </c>
      <c r="B6241" s="6">
        <v>8</v>
      </c>
      <c r="C6241" s="6" t="s">
        <v>66</v>
      </c>
      <c r="D6241" s="6" t="s">
        <v>714</v>
      </c>
      <c r="E6241" s="6" t="s">
        <v>405</v>
      </c>
      <c r="F6241" s="6" t="str">
        <f>IF($M6241="PADD I","PADD 1",IF($M6241="PADD II","PADD 2",IF($M6241="PADD III","PADD 3",IF($M6241="PADD IV","PADD 4",IF($M6241="PADD V","PADD 5","")))))</f>
        <v>PADD 3</v>
      </c>
      <c r="G6241" s="6" t="str">
        <f>IF(AND($H6241="ATMOS DISTILLATION",ISNUMBER(SEARCH("VPS",$I6241))=FALSE,LEFT($I6241,6)&lt;&gt;"VACUUM"),"CDU",IF($H6241="FLUID CAT CRACKING","FCC",IF(OR($H6241="HYDROCRACKING",$H6241="RESID_HYDROCRACKING"),"Hydrocracker",IF($H6241="REFORMING","Reformer",""))))</f>
        <v>Hydrocracker</v>
      </c>
      <c r="H6241" s="6" t="s">
        <v>444</v>
      </c>
      <c r="I6241" s="6" t="s">
        <v>14</v>
      </c>
      <c r="J6241" s="6" t="s">
        <v>345</v>
      </c>
      <c r="K6241" s="10">
        <v>20.06</v>
      </c>
      <c r="L6241" s="10">
        <v>29.5</v>
      </c>
      <c r="M6241" s="6" t="s">
        <v>371</v>
      </c>
    </row>
    <row r="6242" spans="1:13">
      <c r="A6242" s="6">
        <v>2025</v>
      </c>
      <c r="B6242" s="6">
        <v>8</v>
      </c>
      <c r="C6242" s="6" t="s">
        <v>66</v>
      </c>
      <c r="D6242" s="6" t="s">
        <v>500</v>
      </c>
      <c r="E6242" s="6" t="s">
        <v>388</v>
      </c>
      <c r="F6242" s="6" t="str">
        <f>IF($M6242="PADD I","PADD 1",IF($M6242="PADD II","PADD 2",IF($M6242="PADD III","PADD 3",IF($M6242="PADD IV","PADD 4",IF($M6242="PADD V","PADD 5","")))))</f>
        <v>PADD 2</v>
      </c>
      <c r="G6242" s="6">
        <f>IF(AND($H6242="ATMOS DISTILLATION",ISNUMBER(SEARCH("VPS",$I6242))=FALSE,LEFT($I6242,6)&lt;&gt;"VACUUM"),"CDU",IF($H6242="FLUID CAT CRACKING","FCC",IF(OR($H6242="HYDROCRACKING",$H6242="RESID_HYDROCRACKING"),"Hydrocracker",IF($H6242="REFORMING","Reformer",""))))</f>
        <v/>
      </c>
      <c r="H6242" s="6" t="s">
        <v>43</v>
      </c>
      <c r="I6242" s="6" t="s">
        <v>921</v>
      </c>
      <c r="J6242" s="6" t="s">
        <v>349</v>
      </c>
      <c r="K6242" s="10">
        <v>20</v>
      </c>
      <c r="L6242" s="10">
        <v>20</v>
      </c>
      <c r="M6242" s="6" t="s">
        <v>375</v>
      </c>
    </row>
    <row r="6243" spans="1:13">
      <c r="A6243" s="6">
        <v>2025</v>
      </c>
      <c r="B6243" s="6">
        <v>8</v>
      </c>
      <c r="C6243" s="6" t="s">
        <v>66</v>
      </c>
      <c r="D6243" s="6" t="s">
        <v>500</v>
      </c>
      <c r="E6243" s="6" t="s">
        <v>388</v>
      </c>
      <c r="F6243" s="6" t="str">
        <f>IF($M6243="PADD I","PADD 1",IF($M6243="PADD II","PADD 2",IF($M6243="PADD III","PADD 3",IF($M6243="PADD IV","PADD 4",IF($M6243="PADD V","PADD 5","")))))</f>
        <v>PADD 2</v>
      </c>
      <c r="G6243" s="6">
        <f>IF(AND($H6243="ATMOS DISTILLATION",ISNUMBER(SEARCH("VPS",$I6243))=FALSE,LEFT($I6243,6)&lt;&gt;"VACUUM"),"CDU",IF($H6243="FLUID CAT CRACKING","FCC",IF(OR($H6243="HYDROCRACKING",$H6243="RESID_HYDROCRACKING"),"Hydrocracker",IF($H6243="REFORMING","Reformer",""))))</f>
        <v/>
      </c>
      <c r="H6243" s="6" t="s">
        <v>43</v>
      </c>
      <c r="I6243" s="6" t="s">
        <v>501</v>
      </c>
      <c r="J6243" s="6" t="s">
        <v>349</v>
      </c>
      <c r="K6243" s="10">
        <v>20</v>
      </c>
      <c r="L6243" s="10">
        <v>20</v>
      </c>
      <c r="M6243" s="6" t="s">
        <v>375</v>
      </c>
    </row>
    <row r="6244" spans="1:13">
      <c r="A6244" s="6">
        <v>2025</v>
      </c>
      <c r="B6244" s="6">
        <v>8</v>
      </c>
      <c r="C6244" s="6" t="s">
        <v>66</v>
      </c>
      <c r="D6244" s="6" t="s">
        <v>500</v>
      </c>
      <c r="E6244" s="6" t="s">
        <v>388</v>
      </c>
      <c r="F6244" s="6" t="str">
        <f>IF($M6244="PADD I","PADD 1",IF($M6244="PADD II","PADD 2",IF($M6244="PADD III","PADD 3",IF($M6244="PADD IV","PADD 4",IF($M6244="PADD V","PADD 5","")))))</f>
        <v>PADD 2</v>
      </c>
      <c r="G6244" s="6">
        <f>IF(AND($H6244="ATMOS DISTILLATION",ISNUMBER(SEARCH("VPS",$I6244))=FALSE,LEFT($I6244,6)&lt;&gt;"VACUUM"),"CDU",IF($H6244="FLUID CAT CRACKING","FCC",IF(OR($H6244="HYDROCRACKING",$H6244="RESID_HYDROCRACKING"),"Hydrocracker",IF($H6244="REFORMING","Reformer",""))))</f>
        <v/>
      </c>
      <c r="H6244" s="6" t="s">
        <v>43</v>
      </c>
      <c r="I6244" s="6" t="s">
        <v>520</v>
      </c>
      <c r="J6244" s="6" t="s">
        <v>349</v>
      </c>
      <c r="K6244" s="10">
        <v>20</v>
      </c>
      <c r="L6244" s="10">
        <v>20</v>
      </c>
      <c r="M6244" s="6" t="s">
        <v>375</v>
      </c>
    </row>
    <row r="6245" spans="1:13">
      <c r="A6245" s="6">
        <v>2025</v>
      </c>
      <c r="B6245" s="6">
        <v>8</v>
      </c>
      <c r="C6245" s="6" t="s">
        <v>66</v>
      </c>
      <c r="D6245" s="6" t="s">
        <v>500</v>
      </c>
      <c r="E6245" s="6" t="s">
        <v>388</v>
      </c>
      <c r="F6245" s="6" t="str">
        <f>IF($M6245="PADD I","PADD 1",IF($M6245="PADD II","PADD 2",IF($M6245="PADD III","PADD 3",IF($M6245="PADD IV","PADD 4",IF($M6245="PADD V","PADD 5","")))))</f>
        <v>PADD 2</v>
      </c>
      <c r="G6245" s="6" t="str">
        <f>IF(AND($H6245="ATMOS DISTILLATION",ISNUMBER(SEARCH("VPS",$I6245))=FALSE,LEFT($I6245,6)&lt;&gt;"VACUUM"),"CDU",IF($H6245="FLUID CAT CRACKING","FCC",IF(OR($H6245="HYDROCRACKING",$H6245="RESID_HYDROCRACKING"),"Hydrocracker",IF($H6245="REFORMING","Reformer",""))))</f>
        <v>Reformer</v>
      </c>
      <c r="H6245" s="6" t="s">
        <v>421</v>
      </c>
      <c r="I6245" s="6" t="s">
        <v>539</v>
      </c>
      <c r="J6245" s="6" t="s">
        <v>349</v>
      </c>
      <c r="K6245" s="10">
        <v>19</v>
      </c>
      <c r="L6245" s="10">
        <v>19</v>
      </c>
      <c r="M6245" s="6" t="s">
        <v>375</v>
      </c>
    </row>
    <row r="6246" spans="1:13">
      <c r="A6246" s="6">
        <v>2025</v>
      </c>
      <c r="B6246" s="6">
        <v>8</v>
      </c>
      <c r="C6246" s="6" t="s">
        <v>66</v>
      </c>
      <c r="D6246" s="6" t="s">
        <v>547</v>
      </c>
      <c r="E6246" s="6" t="s">
        <v>391</v>
      </c>
      <c r="F6246" s="6" t="str">
        <f>IF($M6246="PADD I","PADD 1",IF($M6246="PADD II","PADD 2",IF($M6246="PADD III","PADD 3",IF($M6246="PADD IV","PADD 4",IF($M6246="PADD V","PADD 5","")))))</f>
        <v>PADD 5</v>
      </c>
      <c r="G6246" s="6">
        <f>IF(AND($H6246="ATMOS DISTILLATION",ISNUMBER(SEARCH("VPS",$I6246))=FALSE,LEFT($I6246,6)&lt;&gt;"VACUUM"),"CDU",IF($H6246="FLUID CAT CRACKING","FCC",IF(OR($H6246="HYDROCRACKING",$H6246="RESID_HYDROCRACKING"),"Hydrocracker",IF($H6246="REFORMING","Reformer",""))))</f>
        <v/>
      </c>
      <c r="H6246" s="6" t="s">
        <v>43</v>
      </c>
      <c r="I6246" s="6" t="s">
        <v>926</v>
      </c>
      <c r="J6246" s="6" t="s">
        <v>349</v>
      </c>
      <c r="K6246" s="10">
        <v>18.4</v>
      </c>
      <c r="L6246" s="10">
        <v>80</v>
      </c>
      <c r="M6246" s="6" t="s">
        <v>386</v>
      </c>
    </row>
    <row r="6247" spans="1:13">
      <c r="A6247" s="6">
        <v>2025</v>
      </c>
      <c r="B6247" s="6">
        <v>8</v>
      </c>
      <c r="C6247" s="6" t="s">
        <v>66</v>
      </c>
      <c r="D6247" s="6" t="s">
        <v>408</v>
      </c>
      <c r="E6247" s="6" t="s">
        <v>409</v>
      </c>
      <c r="F6247" s="6" t="str">
        <f>IF($M6247="PADD I","PADD 1",IF($M6247="PADD II","PADD 2",IF($M6247="PADD III","PADD 3",IF($M6247="PADD IV","PADD 4",IF($M6247="PADD V","PADD 5","")))))</f>
        <v>PADD 3</v>
      </c>
      <c r="G6247" s="6" t="str">
        <f>IF(AND($H6247="ATMOS DISTILLATION",ISNUMBER(SEARCH("VPS",$I6247))=FALSE,LEFT($I6247,6)&lt;&gt;"VACUUM"),"CDU",IF($H6247="FLUID CAT CRACKING","FCC",IF(OR($H6247="HYDROCRACKING",$H6247="RESID_HYDROCRACKING"),"Hydrocracker",IF($H6247="REFORMING","Reformer",""))))</f>
        <v>Reformer</v>
      </c>
      <c r="H6247" s="6" t="s">
        <v>421</v>
      </c>
      <c r="I6247" s="6" t="s">
        <v>533</v>
      </c>
      <c r="J6247" s="6" t="s">
        <v>349</v>
      </c>
      <c r="K6247" s="10">
        <v>18.2</v>
      </c>
      <c r="L6247" s="10">
        <v>35</v>
      </c>
      <c r="M6247" s="6" t="s">
        <v>371</v>
      </c>
    </row>
    <row r="6248" spans="1:13">
      <c r="A6248" s="6">
        <v>2025</v>
      </c>
      <c r="B6248" s="6">
        <v>8</v>
      </c>
      <c r="C6248" s="6" t="s">
        <v>66</v>
      </c>
      <c r="D6248" s="6" t="s">
        <v>415</v>
      </c>
      <c r="E6248" s="6" t="s">
        <v>416</v>
      </c>
      <c r="F6248" s="6" t="str">
        <f>IF($M6248="PADD I","PADD 1",IF($M6248="PADD II","PADD 2",IF($M6248="PADD III","PADD 3",IF($M6248="PADD IV","PADD 4",IF($M6248="PADD V","PADD 5","")))))</f>
        <v>PADD 3</v>
      </c>
      <c r="G6248" s="6">
        <f>IF(AND($H6248="ATMOS DISTILLATION",ISNUMBER(SEARCH("VPS",$I6248))=FALSE,LEFT($I6248,6)&lt;&gt;"VACUUM"),"CDU",IF($H6248="FLUID CAT CRACKING","FCC",IF(OR($H6248="HYDROCRACKING",$H6248="RESID_HYDROCRACKING"),"Hydrocracker",IF($H6248="REFORMING","Reformer",""))))</f>
        <v/>
      </c>
      <c r="H6248" s="6" t="s">
        <v>378</v>
      </c>
      <c r="I6248" s="6" t="s">
        <v>1062</v>
      </c>
      <c r="J6248" s="6" t="s">
        <v>345</v>
      </c>
      <c r="K6248" s="10">
        <v>18.2</v>
      </c>
      <c r="L6248" s="10">
        <v>140</v>
      </c>
      <c r="M6248" s="6" t="s">
        <v>371</v>
      </c>
    </row>
    <row r="6249" spans="1:13">
      <c r="A6249" s="6">
        <v>2025</v>
      </c>
      <c r="B6249" s="6">
        <v>8</v>
      </c>
      <c r="C6249" s="6" t="s">
        <v>66</v>
      </c>
      <c r="D6249" s="6" t="s">
        <v>326</v>
      </c>
      <c r="E6249" s="6" t="s">
        <v>385</v>
      </c>
      <c r="F6249" s="6" t="str">
        <f>IF($M6249="PADD I","PADD 1",IF($M6249="PADD II","PADD 2",IF($M6249="PADD III","PADD 3",IF($M6249="PADD IV","PADD 4",IF($M6249="PADD V","PADD 5","")))))</f>
        <v>PADD 5</v>
      </c>
      <c r="G6249" s="6">
        <f>IF(AND($H6249="ATMOS DISTILLATION",ISNUMBER(SEARCH("VPS",$I6249))=FALSE,LEFT($I6249,6)&lt;&gt;"VACUUM"),"CDU",IF($H6249="FLUID CAT CRACKING","FCC",IF(OR($H6249="HYDROCRACKING",$H6249="RESID_HYDROCRACKING"),"Hydrocracker",IF($H6249="REFORMING","Reformer",""))))</f>
        <v/>
      </c>
      <c r="H6249" s="6" t="s">
        <v>43</v>
      </c>
      <c r="I6249" s="6" t="s">
        <v>1174</v>
      </c>
      <c r="J6249" s="6" t="s">
        <v>345</v>
      </c>
      <c r="K6249" s="10">
        <v>17.57</v>
      </c>
      <c r="L6249" s="10">
        <v>17.57</v>
      </c>
      <c r="M6249" s="6" t="s">
        <v>386</v>
      </c>
    </row>
    <row r="6250" spans="1:13">
      <c r="A6250" s="6">
        <v>2025</v>
      </c>
      <c r="B6250" s="6">
        <v>8</v>
      </c>
      <c r="C6250" s="6" t="s">
        <v>66</v>
      </c>
      <c r="D6250" s="6" t="s">
        <v>387</v>
      </c>
      <c r="E6250" s="6" t="s">
        <v>388</v>
      </c>
      <c r="F6250" s="6" t="str">
        <f>IF($M6250="PADD I","PADD 1",IF($M6250="PADD II","PADD 2",IF($M6250="PADD III","PADD 3",IF($M6250="PADD IV","PADD 4",IF($M6250="PADD V","PADD 5","")))))</f>
        <v>PADD 3</v>
      </c>
      <c r="G6250" s="6" t="str">
        <f>IF(AND($H6250="ATMOS DISTILLATION",ISNUMBER(SEARCH("VPS",$I6250))=FALSE,LEFT($I6250,6)&lt;&gt;"VACUUM"),"CDU",IF($H6250="FLUID CAT CRACKING","FCC",IF(OR($H6250="HYDROCRACKING",$H6250="RESID_HYDROCRACKING"),"Hydrocracker",IF($H6250="REFORMING","Reformer",""))))</f>
        <v>Hydrocracker</v>
      </c>
      <c r="H6250" s="6" t="s">
        <v>581</v>
      </c>
      <c r="I6250" s="6" t="s">
        <v>868</v>
      </c>
      <c r="J6250" s="6" t="s">
        <v>345</v>
      </c>
      <c r="K6250" s="10">
        <v>16</v>
      </c>
      <c r="L6250" s="10">
        <v>16</v>
      </c>
      <c r="M6250" s="6" t="s">
        <v>371</v>
      </c>
    </row>
    <row r="6251" spans="1:13">
      <c r="A6251" s="6">
        <v>2025</v>
      </c>
      <c r="B6251" s="6">
        <v>8</v>
      </c>
      <c r="C6251" s="6" t="s">
        <v>66</v>
      </c>
      <c r="D6251" s="6" t="s">
        <v>500</v>
      </c>
      <c r="E6251" s="6" t="s">
        <v>388</v>
      </c>
      <c r="F6251" s="6" t="str">
        <f>IF($M6251="PADD I","PADD 1",IF($M6251="PADD II","PADD 2",IF($M6251="PADD III","PADD 3",IF($M6251="PADD IV","PADD 4",IF($M6251="PADD V","PADD 5","")))))</f>
        <v>PADD 2</v>
      </c>
      <c r="G6251" s="6">
        <f>IF(AND($H6251="ATMOS DISTILLATION",ISNUMBER(SEARCH("VPS",$I6251))=FALSE,LEFT($I6251,6)&lt;&gt;"VACUUM"),"CDU",IF($H6251="FLUID CAT CRACKING","FCC",IF(OR($H6251="HYDROCRACKING",$H6251="RESID_HYDROCRACKING"),"Hydrocracker",IF($H6251="REFORMING","Reformer",""))))</f>
        <v/>
      </c>
      <c r="H6251" s="6" t="s">
        <v>43</v>
      </c>
      <c r="I6251" s="6" t="s">
        <v>924</v>
      </c>
      <c r="J6251" s="6" t="s">
        <v>349</v>
      </c>
      <c r="K6251" s="10">
        <v>15</v>
      </c>
      <c r="L6251" s="10">
        <v>15</v>
      </c>
      <c r="M6251" s="6" t="s">
        <v>375</v>
      </c>
    </row>
    <row r="6252" spans="1:13">
      <c r="A6252" s="6">
        <v>2025</v>
      </c>
      <c r="B6252" s="6">
        <v>8</v>
      </c>
      <c r="C6252" s="6" t="s">
        <v>66</v>
      </c>
      <c r="D6252" s="6" t="s">
        <v>511</v>
      </c>
      <c r="E6252" s="6" t="s">
        <v>405</v>
      </c>
      <c r="F6252" s="6" t="str">
        <f>IF($M6252="PADD I","PADD 1",IF($M6252="PADD II","PADD 2",IF($M6252="PADD III","PADD 3",IF($M6252="PADD IV","PADD 4",IF($M6252="PADD V","PADD 5","")))))</f>
        <v>PADD 3</v>
      </c>
      <c r="G6252" s="6" t="str">
        <f>IF(AND($H6252="ATMOS DISTILLATION",ISNUMBER(SEARCH("VPS",$I6252))=FALSE,LEFT($I6252,6)&lt;&gt;"VACUUM"),"CDU",IF($H6252="FLUID CAT CRACKING","FCC",IF(OR($H6252="HYDROCRACKING",$H6252="RESID_HYDROCRACKING"),"Hydrocracker",IF($H6252="REFORMING","Reformer",""))))</f>
        <v>CDU</v>
      </c>
      <c r="H6252" s="6" t="s">
        <v>38</v>
      </c>
      <c r="I6252" s="6" t="s">
        <v>112</v>
      </c>
      <c r="J6252" s="6" t="s">
        <v>345</v>
      </c>
      <c r="K6252" s="10">
        <v>14.95</v>
      </c>
      <c r="L6252" s="10">
        <v>115</v>
      </c>
      <c r="M6252" s="6" t="s">
        <v>371</v>
      </c>
    </row>
    <row r="6253" spans="1:13">
      <c r="A6253" s="6">
        <v>2025</v>
      </c>
      <c r="B6253" s="6">
        <v>8</v>
      </c>
      <c r="C6253" s="6" t="s">
        <v>66</v>
      </c>
      <c r="D6253" s="6" t="s">
        <v>715</v>
      </c>
      <c r="E6253" s="6" t="s">
        <v>716</v>
      </c>
      <c r="F6253" s="6" t="str">
        <f>IF($M6253="PADD I","PADD 1",IF($M6253="PADD II","PADD 2",IF($M6253="PADD III","PADD 3",IF($M6253="PADD IV","PADD 4",IF($M6253="PADD V","PADD 5","")))))</f>
        <v>PADD 2</v>
      </c>
      <c r="G6253" s="6" t="str">
        <f>IF(AND($H6253="ATMOS DISTILLATION",ISNUMBER(SEARCH("VPS",$I6253))=FALSE,LEFT($I6253,6)&lt;&gt;"VACUUM"),"CDU",IF($H6253="FLUID CAT CRACKING","FCC",IF(OR($H6253="HYDROCRACKING",$H6253="RESID_HYDROCRACKING"),"Hydrocracker",IF($H6253="REFORMING","Reformer",""))))</f>
        <v>CDU</v>
      </c>
      <c r="H6253" s="6" t="s">
        <v>38</v>
      </c>
      <c r="I6253" s="6" t="s">
        <v>1168</v>
      </c>
      <c r="J6253" s="6" t="s">
        <v>349</v>
      </c>
      <c r="K6253" s="10">
        <v>13.65</v>
      </c>
      <c r="L6253" s="10">
        <v>35</v>
      </c>
      <c r="M6253" s="6" t="s">
        <v>375</v>
      </c>
    </row>
    <row r="6254" spans="1:13">
      <c r="A6254" s="6">
        <v>2025</v>
      </c>
      <c r="B6254" s="6">
        <v>8</v>
      </c>
      <c r="C6254" s="6" t="s">
        <v>66</v>
      </c>
      <c r="D6254" s="6" t="s">
        <v>415</v>
      </c>
      <c r="E6254" s="6" t="s">
        <v>416</v>
      </c>
      <c r="F6254" s="6" t="str">
        <f>IF($M6254="PADD I","PADD 1",IF($M6254="PADD II","PADD 2",IF($M6254="PADD III","PADD 3",IF($M6254="PADD IV","PADD 4",IF($M6254="PADD V","PADD 5","")))))</f>
        <v>PADD 3</v>
      </c>
      <c r="G6254" s="6" t="str">
        <f>IF(AND($H6254="ATMOS DISTILLATION",ISNUMBER(SEARCH("VPS",$I6254))=FALSE,LEFT($I6254,6)&lt;&gt;"VACUUM"),"CDU",IF($H6254="FLUID CAT CRACKING","FCC",IF(OR($H6254="HYDROCRACKING",$H6254="RESID_HYDROCRACKING"),"Hydrocracker",IF($H6254="REFORMING","Reformer",""))))</f>
        <v>CDU</v>
      </c>
      <c r="H6254" s="6" t="s">
        <v>38</v>
      </c>
      <c r="I6254" s="6" t="s">
        <v>133</v>
      </c>
      <c r="J6254" s="6" t="s">
        <v>345</v>
      </c>
      <c r="K6254" s="10">
        <v>13</v>
      </c>
      <c r="L6254" s="10">
        <v>100</v>
      </c>
      <c r="M6254" s="6" t="s">
        <v>371</v>
      </c>
    </row>
    <row r="6255" spans="1:13">
      <c r="A6255" s="6">
        <v>2025</v>
      </c>
      <c r="B6255" s="6">
        <v>8</v>
      </c>
      <c r="C6255" s="6" t="s">
        <v>66</v>
      </c>
      <c r="D6255" s="6" t="s">
        <v>526</v>
      </c>
      <c r="E6255" s="6" t="s">
        <v>405</v>
      </c>
      <c r="F6255" s="6" t="str">
        <f>IF($M6255="PADD I","PADD 1",IF($M6255="PADD II","PADD 2",IF($M6255="PADD III","PADD 3",IF($M6255="PADD IV","PADD 4",IF($M6255="PADD V","PADD 5","")))))</f>
        <v>PADD 3</v>
      </c>
      <c r="G6255" s="6" t="str">
        <f>IF(AND($H6255="ATMOS DISTILLATION",ISNUMBER(SEARCH("VPS",$I6255))=FALSE,LEFT($I6255,6)&lt;&gt;"VACUUM"),"CDU",IF($H6255="FLUID CAT CRACKING","FCC",IF(OR($H6255="HYDROCRACKING",$H6255="RESID_HYDROCRACKING"),"Hydrocracker",IF($H6255="REFORMING","Reformer",""))))</f>
        <v>FCC</v>
      </c>
      <c r="H6255" s="6" t="s">
        <v>376</v>
      </c>
      <c r="I6255" s="6" t="s">
        <v>344</v>
      </c>
      <c r="J6255" s="6" t="s">
        <v>345</v>
      </c>
      <c r="K6255" s="10">
        <v>12.8</v>
      </c>
      <c r="L6255" s="10">
        <v>80</v>
      </c>
      <c r="M6255" s="6" t="s">
        <v>371</v>
      </c>
    </row>
    <row r="6256" spans="1:13">
      <c r="A6256" s="6">
        <v>2025</v>
      </c>
      <c r="B6256" s="6">
        <v>8</v>
      </c>
      <c r="C6256" s="6" t="s">
        <v>66</v>
      </c>
      <c r="D6256" s="6" t="s">
        <v>484</v>
      </c>
      <c r="E6256" s="6" t="s">
        <v>409</v>
      </c>
      <c r="F6256" s="6" t="str">
        <f>IF($M6256="PADD I","PADD 1",IF($M6256="PADD II","PADD 2",IF($M6256="PADD III","PADD 3",IF($M6256="PADD IV","PADD 4",IF($M6256="PADD V","PADD 5","")))))</f>
        <v>PADD 3</v>
      </c>
      <c r="G6256" s="6">
        <f>IF(AND($H6256="ATMOS DISTILLATION",ISNUMBER(SEARCH("VPS",$I6256))=FALSE,LEFT($I6256,6)&lt;&gt;"VACUUM"),"CDU",IF($H6256="FLUID CAT CRACKING","FCC",IF(OR($H6256="HYDROCRACKING",$H6256="RESID_HYDROCRACKING"),"Hydrocracker",IF($H6256="REFORMING","Reformer",""))))</f>
        <v/>
      </c>
      <c r="H6256" s="6" t="s">
        <v>43</v>
      </c>
      <c r="I6256" s="6" t="s">
        <v>485</v>
      </c>
      <c r="J6256" s="6" t="s">
        <v>345</v>
      </c>
      <c r="K6256" s="10">
        <v>12.54</v>
      </c>
      <c r="L6256" s="10">
        <v>66</v>
      </c>
      <c r="M6256" s="6" t="s">
        <v>371</v>
      </c>
    </row>
    <row r="6257" spans="1:13">
      <c r="A6257" s="6">
        <v>2025</v>
      </c>
      <c r="B6257" s="6">
        <v>8</v>
      </c>
      <c r="C6257" s="6" t="s">
        <v>66</v>
      </c>
      <c r="D6257" s="6" t="s">
        <v>346</v>
      </c>
      <c r="E6257" s="6" t="s">
        <v>383</v>
      </c>
      <c r="F6257" s="6" t="str">
        <f>IF($M6257="PADD I","PADD 1",IF($M6257="PADD II","PADD 2",IF($M6257="PADD III","PADD 3",IF($M6257="PADD IV","PADD 4",IF($M6257="PADD V","PADD 5","")))))</f>
        <v>PADD 2</v>
      </c>
      <c r="G6257" s="6" t="str">
        <f>IF(AND($H6257="ATMOS DISTILLATION",ISNUMBER(SEARCH("VPS",$I6257))=FALSE,LEFT($I6257,6)&lt;&gt;"VACUUM"),"CDU",IF($H6257="FLUID CAT CRACKING","FCC",IF(OR($H6257="HYDROCRACKING",$H6257="RESID_HYDROCRACKING"),"Hydrocracker",IF($H6257="REFORMING","Reformer",""))))</f>
        <v>Hydrocracker</v>
      </c>
      <c r="H6257" s="6" t="s">
        <v>444</v>
      </c>
      <c r="I6257" s="6" t="s">
        <v>463</v>
      </c>
      <c r="J6257" s="6" t="s">
        <v>345</v>
      </c>
      <c r="K6257" s="10">
        <v>12.48</v>
      </c>
      <c r="L6257" s="10">
        <v>32</v>
      </c>
      <c r="M6257" s="6" t="s">
        <v>375</v>
      </c>
    </row>
    <row r="6258" spans="1:13">
      <c r="A6258" s="6">
        <v>2025</v>
      </c>
      <c r="B6258" s="6">
        <v>8</v>
      </c>
      <c r="C6258" s="6" t="s">
        <v>66</v>
      </c>
      <c r="D6258" s="6" t="s">
        <v>985</v>
      </c>
      <c r="E6258" s="6" t="s">
        <v>543</v>
      </c>
      <c r="F6258" s="6" t="str">
        <f>IF($M6258="PADD I","PADD 1",IF($M6258="PADD II","PADD 2",IF($M6258="PADD III","PADD 3",IF($M6258="PADD IV","PADD 4",IF($M6258="PADD V","PADD 5","")))))</f>
        <v>PADD 2</v>
      </c>
      <c r="G6258" s="6">
        <f>IF(AND($H6258="ATMOS DISTILLATION",ISNUMBER(SEARCH("VPS",$I6258))=FALSE,LEFT($I6258,6)&lt;&gt;"VACUUM"),"CDU",IF($H6258="FLUID CAT CRACKING","FCC",IF(OR($H6258="HYDROCRACKING",$H6258="RESID_HYDROCRACKING"),"Hydrocracker",IF($H6258="REFORMING","Reformer",""))))</f>
        <v/>
      </c>
      <c r="H6258" s="6" t="s">
        <v>378</v>
      </c>
      <c r="I6258" s="6" t="s">
        <v>786</v>
      </c>
      <c r="J6258" s="6" t="s">
        <v>345</v>
      </c>
      <c r="K6258" s="10">
        <v>11.4627</v>
      </c>
      <c r="L6258" s="10">
        <v>60.33</v>
      </c>
      <c r="M6258" s="6" t="s">
        <v>375</v>
      </c>
    </row>
    <row r="6259" spans="1:13">
      <c r="A6259" s="6">
        <v>2025</v>
      </c>
      <c r="B6259" s="6">
        <v>8</v>
      </c>
      <c r="C6259" s="6" t="s">
        <v>66</v>
      </c>
      <c r="D6259" s="6" t="s">
        <v>408</v>
      </c>
      <c r="E6259" s="6" t="s">
        <v>409</v>
      </c>
      <c r="F6259" s="6" t="str">
        <f>IF($M6259="PADD I","PADD 1",IF($M6259="PADD II","PADD 2",IF($M6259="PADD III","PADD 3",IF($M6259="PADD IV","PADD 4",IF($M6259="PADD V","PADD 5","")))))</f>
        <v>PADD 3</v>
      </c>
      <c r="G6259" s="6">
        <f>IF(AND($H6259="ATMOS DISTILLATION",ISNUMBER(SEARCH("VPS",$I6259))=FALSE,LEFT($I6259,6)&lt;&gt;"VACUUM"),"CDU",IF($H6259="FLUID CAT CRACKING","FCC",IF(OR($H6259="HYDROCRACKING",$H6259="RESID_HYDROCRACKING"),"Hydrocracker",IF($H6259="REFORMING","Reformer",""))))</f>
        <v/>
      </c>
      <c r="H6259" s="6" t="s">
        <v>43</v>
      </c>
      <c r="I6259" s="6" t="s">
        <v>502</v>
      </c>
      <c r="J6259" s="6" t="s">
        <v>349</v>
      </c>
      <c r="K6259" s="10">
        <v>10.5</v>
      </c>
      <c r="L6259" s="10">
        <v>30</v>
      </c>
      <c r="M6259" s="6" t="s">
        <v>371</v>
      </c>
    </row>
    <row r="6260" spans="1:13">
      <c r="A6260" s="6">
        <v>2025</v>
      </c>
      <c r="B6260" s="6">
        <v>8</v>
      </c>
      <c r="C6260" s="6" t="s">
        <v>66</v>
      </c>
      <c r="D6260" s="6" t="s">
        <v>326</v>
      </c>
      <c r="E6260" s="6" t="s">
        <v>385</v>
      </c>
      <c r="F6260" s="6" t="str">
        <f>IF($M6260="PADD I","PADD 1",IF($M6260="PADD II","PADD 2",IF($M6260="PADD III","PADD 3",IF($M6260="PADD IV","PADD 4",IF($M6260="PADD V","PADD 5","")))))</f>
        <v>PADD 5</v>
      </c>
      <c r="G6260" s="6" t="str">
        <f>IF(AND($H6260="ATMOS DISTILLATION",ISNUMBER(SEARCH("VPS",$I6260))=FALSE,LEFT($I6260,6)&lt;&gt;"VACUUM"),"CDU",IF($H6260="FLUID CAT CRACKING","FCC",IF(OR($H6260="HYDROCRACKING",$H6260="RESID_HYDROCRACKING"),"Hydrocracker",IF($H6260="REFORMING","Reformer",""))))</f>
        <v>Reformer</v>
      </c>
      <c r="H6260" s="6" t="s">
        <v>421</v>
      </c>
      <c r="I6260" s="6" t="s">
        <v>15</v>
      </c>
      <c r="J6260" s="6" t="s">
        <v>345</v>
      </c>
      <c r="K6260" s="10">
        <v>10.33</v>
      </c>
      <c r="L6260" s="10">
        <v>10.33</v>
      </c>
      <c r="M6260" s="6" t="s">
        <v>386</v>
      </c>
    </row>
    <row r="6261" spans="1:13">
      <c r="A6261" s="6">
        <v>2025</v>
      </c>
      <c r="B6261" s="6">
        <v>8</v>
      </c>
      <c r="C6261" s="6" t="s">
        <v>66</v>
      </c>
      <c r="D6261" s="6" t="s">
        <v>542</v>
      </c>
      <c r="E6261" s="6" t="s">
        <v>543</v>
      </c>
      <c r="F6261" s="6" t="str">
        <f>IF($M6261="PADD I","PADD 1",IF($M6261="PADD II","PADD 2",IF($M6261="PADD III","PADD 3",IF($M6261="PADD IV","PADD 4",IF($M6261="PADD V","PADD 5","")))))</f>
        <v>PADD 2</v>
      </c>
      <c r="G6261" s="6">
        <f>IF(AND($H6261="ATMOS DISTILLATION",ISNUMBER(SEARCH("VPS",$I6261))=FALSE,LEFT($I6261,6)&lt;&gt;"VACUUM"),"CDU",IF($H6261="FLUID CAT CRACKING","FCC",IF(OR($H6261="HYDROCRACKING",$H6261="RESID_HYDROCRACKING"),"Hydrocracker",IF($H6261="REFORMING","Reformer",""))))</f>
        <v/>
      </c>
      <c r="H6261" s="6" t="s">
        <v>435</v>
      </c>
      <c r="I6261" s="6" t="s">
        <v>441</v>
      </c>
      <c r="J6261" s="6" t="s">
        <v>345</v>
      </c>
      <c r="K6261" s="10">
        <v>10.2</v>
      </c>
      <c r="L6261" s="10">
        <v>102</v>
      </c>
      <c r="M6261" s="6" t="s">
        <v>375</v>
      </c>
    </row>
    <row r="6262" spans="1:13">
      <c r="A6262" s="6">
        <v>2025</v>
      </c>
      <c r="B6262" s="6">
        <v>8</v>
      </c>
      <c r="C6262" s="6" t="s">
        <v>66</v>
      </c>
      <c r="D6262" s="6" t="s">
        <v>542</v>
      </c>
      <c r="E6262" s="6" t="s">
        <v>543</v>
      </c>
      <c r="F6262" s="6" t="str">
        <f>IF($M6262="PADD I","PADD 1",IF($M6262="PADD II","PADD 2",IF($M6262="PADD III","PADD 3",IF($M6262="PADD IV","PADD 4",IF($M6262="PADD V","PADD 5","")))))</f>
        <v>PADD 2</v>
      </c>
      <c r="G6262" s="6">
        <f>IF(AND($H6262="ATMOS DISTILLATION",ISNUMBER(SEARCH("VPS",$I6262))=FALSE,LEFT($I6262,6)&lt;&gt;"VACUUM"),"CDU",IF($H6262="FLUID CAT CRACKING","FCC",IF(OR($H6262="HYDROCRACKING",$H6262="RESID_HYDROCRACKING"),"Hydrocracker",IF($H6262="REFORMING","Reformer",""))))</f>
        <v/>
      </c>
      <c r="H6262" s="6" t="s">
        <v>43</v>
      </c>
      <c r="I6262" s="6" t="s">
        <v>551</v>
      </c>
      <c r="J6262" s="6" t="s">
        <v>345</v>
      </c>
      <c r="K6262" s="10">
        <v>10</v>
      </c>
      <c r="L6262" s="10">
        <v>100</v>
      </c>
      <c r="M6262" s="6" t="s">
        <v>375</v>
      </c>
    </row>
    <row r="6263" spans="1:13">
      <c r="A6263" s="6">
        <v>2025</v>
      </c>
      <c r="B6263" s="6">
        <v>8</v>
      </c>
      <c r="C6263" s="6" t="s">
        <v>66</v>
      </c>
      <c r="D6263" s="6" t="s">
        <v>326</v>
      </c>
      <c r="E6263" s="6" t="s">
        <v>385</v>
      </c>
      <c r="F6263" s="6" t="str">
        <f>IF($M6263="PADD I","PADD 1",IF($M6263="PADD II","PADD 2",IF($M6263="PADD III","PADD 3",IF($M6263="PADD IV","PADD 4",IF($M6263="PADD V","PADD 5","")))))</f>
        <v>PADD 5</v>
      </c>
      <c r="G6263" s="6">
        <f>IF(AND($H6263="ATMOS DISTILLATION",ISNUMBER(SEARCH("VPS",$I6263))=FALSE,LEFT($I6263,6)&lt;&gt;"VACUUM"),"CDU",IF($H6263="FLUID CAT CRACKING","FCC",IF(OR($H6263="HYDROCRACKING",$H6263="RESID_HYDROCRACKING"),"Hydrocracker",IF($H6263="REFORMING","Reformer",""))))</f>
        <v/>
      </c>
      <c r="H6263" s="6" t="s">
        <v>43</v>
      </c>
      <c r="I6263" s="6" t="s">
        <v>501</v>
      </c>
      <c r="J6263" s="6" t="s">
        <v>345</v>
      </c>
      <c r="K6263" s="10">
        <v>9.800000000000001</v>
      </c>
      <c r="L6263" s="10">
        <v>9.800000000000001</v>
      </c>
      <c r="M6263" s="6" t="s">
        <v>386</v>
      </c>
    </row>
    <row r="6264" spans="1:13">
      <c r="A6264" s="6">
        <v>2025</v>
      </c>
      <c r="B6264" s="6">
        <v>8</v>
      </c>
      <c r="C6264" s="6" t="s">
        <v>66</v>
      </c>
      <c r="D6264" s="6" t="s">
        <v>680</v>
      </c>
      <c r="E6264" s="6" t="s">
        <v>681</v>
      </c>
      <c r="F6264" s="6" t="str">
        <f>IF($M6264="PADD I","PADD 1",IF($M6264="PADD II","PADD 2",IF($M6264="PADD III","PADD 3",IF($M6264="PADD IV","PADD 4",IF($M6264="PADD V","PADD 5","")))))</f>
        <v>PADD 3</v>
      </c>
      <c r="G6264" s="6" t="str">
        <f>IF(AND($H6264="ATMOS DISTILLATION",ISNUMBER(SEARCH("VPS",$I6264))=FALSE,LEFT($I6264,6)&lt;&gt;"VACUUM"),"CDU",IF($H6264="FLUID CAT CRACKING","FCC",IF(OR($H6264="HYDROCRACKING",$H6264="RESID_HYDROCRACKING"),"Hydrocracker",IF($H6264="REFORMING","Reformer",""))))</f>
        <v>FCC</v>
      </c>
      <c r="H6264" s="6" t="s">
        <v>376</v>
      </c>
      <c r="I6264" s="6" t="s">
        <v>105</v>
      </c>
      <c r="J6264" s="6" t="s">
        <v>345</v>
      </c>
      <c r="K6264" s="10">
        <v>9.449999999999999</v>
      </c>
      <c r="L6264" s="10">
        <v>27</v>
      </c>
      <c r="M6264" s="6" t="s">
        <v>371</v>
      </c>
    </row>
    <row r="6265" spans="1:13">
      <c r="A6265" s="6">
        <v>2025</v>
      </c>
      <c r="B6265" s="6">
        <v>8</v>
      </c>
      <c r="C6265" s="6" t="s">
        <v>66</v>
      </c>
      <c r="D6265" s="6" t="s">
        <v>329</v>
      </c>
      <c r="E6265" s="6" t="s">
        <v>427</v>
      </c>
      <c r="F6265" s="6" t="str">
        <f>IF($M6265="PADD I","PADD 1",IF($M6265="PADD II","PADD 2",IF($M6265="PADD III","PADD 3",IF($M6265="PADD IV","PADD 4",IF($M6265="PADD V","PADD 5","")))))</f>
        <v>PADD 3</v>
      </c>
      <c r="G6265" s="6" t="str">
        <f>IF(AND($H6265="ATMOS DISTILLATION",ISNUMBER(SEARCH("VPS",$I6265))=FALSE,LEFT($I6265,6)&lt;&gt;"VACUUM"),"CDU",IF($H6265="FLUID CAT CRACKING","FCC",IF(OR($H6265="HYDROCRACKING",$H6265="RESID_HYDROCRACKING"),"Hydrocracker",IF($H6265="REFORMING","Reformer",""))))</f>
        <v>Reformer</v>
      </c>
      <c r="H6265" s="6" t="s">
        <v>421</v>
      </c>
      <c r="I6265" s="6" t="s">
        <v>1162</v>
      </c>
      <c r="J6265" s="6" t="s">
        <v>345</v>
      </c>
      <c r="K6265" s="10">
        <v>9.119999999999999</v>
      </c>
      <c r="L6265" s="10">
        <v>19</v>
      </c>
      <c r="M6265" s="6" t="s">
        <v>371</v>
      </c>
    </row>
    <row r="6266" spans="1:13">
      <c r="A6266" s="6">
        <v>2025</v>
      </c>
      <c r="B6266" s="6">
        <v>8</v>
      </c>
      <c r="C6266" s="6" t="s">
        <v>66</v>
      </c>
      <c r="D6266" s="6" t="s">
        <v>326</v>
      </c>
      <c r="E6266" s="6" t="s">
        <v>385</v>
      </c>
      <c r="F6266" s="6" t="str">
        <f>IF($M6266="PADD I","PADD 1",IF($M6266="PADD II","PADD 2",IF($M6266="PADD III","PADD 3",IF($M6266="PADD IV","PADD 4",IF($M6266="PADD V","PADD 5","")))))</f>
        <v>PADD 5</v>
      </c>
      <c r="G6266" s="6">
        <f>IF(AND($H6266="ATMOS DISTILLATION",ISNUMBER(SEARCH("VPS",$I6266))=FALSE,LEFT($I6266,6)&lt;&gt;"VACUUM"),"CDU",IF($H6266="FLUID CAT CRACKING","FCC",IF(OR($H6266="HYDROCRACKING",$H6266="RESID_HYDROCRACKING"),"Hydrocracker",IF($H6266="REFORMING","Reformer",""))))</f>
        <v/>
      </c>
      <c r="H6266" s="6" t="s">
        <v>43</v>
      </c>
      <c r="I6266" s="6" t="s">
        <v>1183</v>
      </c>
      <c r="J6266" s="6" t="s">
        <v>345</v>
      </c>
      <c r="K6266" s="10">
        <v>9.1</v>
      </c>
      <c r="L6266" s="10">
        <v>9.1</v>
      </c>
      <c r="M6266" s="6" t="s">
        <v>386</v>
      </c>
    </row>
    <row r="6267" spans="1:13">
      <c r="A6267" s="6">
        <v>2025</v>
      </c>
      <c r="B6267" s="6">
        <v>8</v>
      </c>
      <c r="C6267" s="6" t="s">
        <v>66</v>
      </c>
      <c r="D6267" s="6" t="s">
        <v>639</v>
      </c>
      <c r="E6267" s="6" t="s">
        <v>452</v>
      </c>
      <c r="F6267" s="6" t="str">
        <f>IF($M6267="PADD I","PADD 1",IF($M6267="PADD II","PADD 2",IF($M6267="PADD III","PADD 3",IF($M6267="PADD IV","PADD 4",IF($M6267="PADD V","PADD 5","")))))</f>
        <v>PADD 5</v>
      </c>
      <c r="G6267" s="6">
        <f>IF(AND($H6267="ATMOS DISTILLATION",ISNUMBER(SEARCH("VPS",$I6267))=FALSE,LEFT($I6267,6)&lt;&gt;"VACUUM"),"CDU",IF($H6267="FLUID CAT CRACKING","FCC",IF(OR($H6267="HYDROCRACKING",$H6267="RESID_HYDROCRACKING"),"Hydrocracker",IF($H6267="REFORMING","Reformer",""))))</f>
        <v/>
      </c>
      <c r="H6267" s="6" t="s">
        <v>435</v>
      </c>
      <c r="I6267" s="6" t="s">
        <v>1096</v>
      </c>
      <c r="J6267" s="6" t="s">
        <v>349</v>
      </c>
      <c r="K6267" s="10">
        <v>8.855</v>
      </c>
      <c r="L6267" s="10">
        <v>25.3</v>
      </c>
      <c r="M6267" s="6" t="s">
        <v>386</v>
      </c>
    </row>
    <row r="6268" spans="1:13">
      <c r="A6268" s="6">
        <v>2025</v>
      </c>
      <c r="B6268" s="6">
        <v>8</v>
      </c>
      <c r="C6268" s="6" t="s">
        <v>66</v>
      </c>
      <c r="D6268" s="6" t="s">
        <v>511</v>
      </c>
      <c r="E6268" s="6" t="s">
        <v>405</v>
      </c>
      <c r="F6268" s="6" t="str">
        <f>IF($M6268="PADD I","PADD 1",IF($M6268="PADD II","PADD 2",IF($M6268="PADD III","PADD 3",IF($M6268="PADD IV","PADD 4",IF($M6268="PADD V","PADD 5","")))))</f>
        <v>PADD 3</v>
      </c>
      <c r="G6268" s="6">
        <f>IF(AND($H6268="ATMOS DISTILLATION",ISNUMBER(SEARCH("VPS",$I6268))=FALSE,LEFT($I6268,6)&lt;&gt;"VACUUM"),"CDU",IF($H6268="FLUID CAT CRACKING","FCC",IF(OR($H6268="HYDROCRACKING",$H6268="RESID_HYDROCRACKING"),"Hydrocracker",IF($H6268="REFORMING","Reformer",""))))</f>
        <v/>
      </c>
      <c r="H6268" s="6" t="s">
        <v>378</v>
      </c>
      <c r="I6268" s="6" t="s">
        <v>593</v>
      </c>
      <c r="J6268" s="6" t="s">
        <v>345</v>
      </c>
      <c r="K6268" s="10">
        <v>8.74</v>
      </c>
      <c r="L6268" s="10">
        <v>38</v>
      </c>
      <c r="M6268" s="6" t="s">
        <v>371</v>
      </c>
    </row>
    <row r="6269" spans="1:13">
      <c r="A6269" s="6">
        <v>2025</v>
      </c>
      <c r="B6269" s="6">
        <v>8</v>
      </c>
      <c r="C6269" s="6" t="s">
        <v>66</v>
      </c>
      <c r="D6269" s="6" t="s">
        <v>542</v>
      </c>
      <c r="E6269" s="6" t="s">
        <v>543</v>
      </c>
      <c r="F6269" s="6" t="str">
        <f>IF($M6269="PADD I","PADD 1",IF($M6269="PADD II","PADD 2",IF($M6269="PADD III","PADD 3",IF($M6269="PADD IV","PADD 4",IF($M6269="PADD V","PADD 5","")))))</f>
        <v>PADD 2</v>
      </c>
      <c r="G6269" s="6">
        <f>IF(AND($H6269="ATMOS DISTILLATION",ISNUMBER(SEARCH("VPS",$I6269))=FALSE,LEFT($I6269,6)&lt;&gt;"VACUUM"),"CDU",IF($H6269="FLUID CAT CRACKING","FCC",IF(OR($H6269="HYDROCRACKING",$H6269="RESID_HYDROCRACKING"),"Hydrocracker",IF($H6269="REFORMING","Reformer",""))))</f>
        <v/>
      </c>
      <c r="H6269" s="6" t="s">
        <v>43</v>
      </c>
      <c r="I6269" s="6" t="s">
        <v>1111</v>
      </c>
      <c r="J6269" s="6" t="s">
        <v>345</v>
      </c>
      <c r="K6269" s="10">
        <v>8.5</v>
      </c>
      <c r="L6269" s="10">
        <v>85</v>
      </c>
      <c r="M6269" s="6" t="s">
        <v>375</v>
      </c>
    </row>
    <row r="6270" spans="1:13">
      <c r="A6270" s="6">
        <v>2025</v>
      </c>
      <c r="B6270" s="6">
        <v>8</v>
      </c>
      <c r="C6270" s="6" t="s">
        <v>66</v>
      </c>
      <c r="D6270" s="6" t="s">
        <v>542</v>
      </c>
      <c r="E6270" s="6" t="s">
        <v>543</v>
      </c>
      <c r="F6270" s="6" t="str">
        <f>IF($M6270="PADD I","PADD 1",IF($M6270="PADD II","PADD 2",IF($M6270="PADD III","PADD 3",IF($M6270="PADD IV","PADD 4",IF($M6270="PADD V","PADD 5","")))))</f>
        <v>PADD 2</v>
      </c>
      <c r="G6270" s="6">
        <f>IF(AND($H6270="ATMOS DISTILLATION",ISNUMBER(SEARCH("VPS",$I6270))=FALSE,LEFT($I6270,6)&lt;&gt;"VACUUM"),"CDU",IF($H6270="FLUID CAT CRACKING","FCC",IF(OR($H6270="HYDROCRACKING",$H6270="RESID_HYDROCRACKING"),"Hydrocracker",IF($H6270="REFORMING","Reformer",""))))</f>
        <v/>
      </c>
      <c r="H6270" s="6" t="s">
        <v>435</v>
      </c>
      <c r="I6270" s="6" t="s">
        <v>441</v>
      </c>
      <c r="J6270" s="6" t="s">
        <v>345</v>
      </c>
      <c r="K6270" s="10">
        <v>8.16</v>
      </c>
      <c r="L6270" s="10">
        <v>51</v>
      </c>
      <c r="M6270" s="6" t="s">
        <v>375</v>
      </c>
    </row>
    <row r="6271" spans="1:13">
      <c r="A6271" s="6">
        <v>2025</v>
      </c>
      <c r="B6271" s="6">
        <v>8</v>
      </c>
      <c r="C6271" s="6" t="s">
        <v>66</v>
      </c>
      <c r="D6271" s="6" t="s">
        <v>319</v>
      </c>
      <c r="E6271" s="6" t="s">
        <v>665</v>
      </c>
      <c r="F6271" s="6" t="str">
        <f>IF($M6271="PADD I","PADD 1",IF($M6271="PADD II","PADD 2",IF($M6271="PADD III","PADD 3",IF($M6271="PADD IV","PADD 4",IF($M6271="PADD V","PADD 5","")))))</f>
        <v>PADD 3</v>
      </c>
      <c r="G6271" s="6">
        <f>IF(AND($H6271="ATMOS DISTILLATION",ISNUMBER(SEARCH("VPS",$I6271))=FALSE,LEFT($I6271,6)&lt;&gt;"VACUUM"),"CDU",IF($H6271="FLUID CAT CRACKING","FCC",IF(OR($H6271="HYDROCRACKING",$H6271="RESID_HYDROCRACKING"),"Hydrocracker",IF($H6271="REFORMING","Reformer",""))))</f>
        <v/>
      </c>
      <c r="H6271" s="6" t="s">
        <v>460</v>
      </c>
      <c r="I6271" s="6" t="s">
        <v>461</v>
      </c>
      <c r="J6271" s="6" t="s">
        <v>349</v>
      </c>
      <c r="K6271" s="10">
        <v>8.140000000000001</v>
      </c>
      <c r="L6271" s="10">
        <v>14.8</v>
      </c>
      <c r="M6271" s="6" t="s">
        <v>371</v>
      </c>
    </row>
    <row r="6272" spans="1:13">
      <c r="A6272" s="6">
        <v>2025</v>
      </c>
      <c r="B6272" s="6">
        <v>8</v>
      </c>
      <c r="C6272" s="6" t="s">
        <v>66</v>
      </c>
      <c r="D6272" s="6" t="s">
        <v>602</v>
      </c>
      <c r="E6272" s="6" t="s">
        <v>369</v>
      </c>
      <c r="F6272" s="6" t="str">
        <f>IF($M6272="PADD I","PADD 1",IF($M6272="PADD II","PADD 2",IF($M6272="PADD III","PADD 3",IF($M6272="PADD IV","PADD 4",IF($M6272="PADD V","PADD 5","")))))</f>
        <v>PADD 2</v>
      </c>
      <c r="G6272" s="6" t="str">
        <f>IF(AND($H6272="ATMOS DISTILLATION",ISNUMBER(SEARCH("VPS",$I6272))=FALSE,LEFT($I6272,6)&lt;&gt;"VACUUM"),"CDU",IF($H6272="FLUID CAT CRACKING","FCC",IF(OR($H6272="HYDROCRACKING",$H6272="RESID_HYDROCRACKING"),"Hydrocracker",IF($H6272="REFORMING","Reformer",""))))</f>
        <v>CDU</v>
      </c>
      <c r="H6272" s="6" t="s">
        <v>38</v>
      </c>
      <c r="I6272" s="6" t="s">
        <v>661</v>
      </c>
      <c r="J6272" s="6" t="s">
        <v>349</v>
      </c>
      <c r="K6272" s="10">
        <v>8.050000000000001</v>
      </c>
      <c r="L6272" s="10">
        <v>35</v>
      </c>
      <c r="M6272" s="6" t="s">
        <v>375</v>
      </c>
    </row>
    <row r="6273" spans="1:13">
      <c r="A6273" s="6">
        <v>2025</v>
      </c>
      <c r="B6273" s="6">
        <v>8</v>
      </c>
      <c r="C6273" s="6" t="s">
        <v>66</v>
      </c>
      <c r="D6273" s="6" t="s">
        <v>468</v>
      </c>
      <c r="E6273" s="6" t="s">
        <v>369</v>
      </c>
      <c r="F6273" s="6" t="str">
        <f>IF($M6273="PADD I","PADD 1",IF($M6273="PADD II","PADD 2",IF($M6273="PADD III","PADD 3",IF($M6273="PADD IV","PADD 4",IF($M6273="PADD V","PADD 5","")))))</f>
        <v>PADD 3</v>
      </c>
      <c r="G6273" s="6">
        <f>IF(AND($H6273="ATMOS DISTILLATION",ISNUMBER(SEARCH("VPS",$I6273))=FALSE,LEFT($I6273,6)&lt;&gt;"VACUUM"),"CDU",IF($H6273="FLUID CAT CRACKING","FCC",IF(OR($H6273="HYDROCRACKING",$H6273="RESID_HYDROCRACKING"),"Hydrocracker",IF($H6273="REFORMING","Reformer",""))))</f>
        <v/>
      </c>
      <c r="H6273" s="6" t="s">
        <v>43</v>
      </c>
      <c r="I6273" s="6" t="s">
        <v>1028</v>
      </c>
      <c r="J6273" s="6" t="s">
        <v>349</v>
      </c>
      <c r="K6273" s="10">
        <v>7.82</v>
      </c>
      <c r="L6273" s="10">
        <v>34</v>
      </c>
      <c r="M6273" s="6" t="s">
        <v>371</v>
      </c>
    </row>
    <row r="6274" spans="1:13">
      <c r="A6274" s="6">
        <v>2025</v>
      </c>
      <c r="B6274" s="6">
        <v>8</v>
      </c>
      <c r="C6274" s="6" t="s">
        <v>66</v>
      </c>
      <c r="D6274" s="6" t="s">
        <v>326</v>
      </c>
      <c r="E6274" s="6" t="s">
        <v>385</v>
      </c>
      <c r="F6274" s="6" t="str">
        <f>IF($M6274="PADD I","PADD 1",IF($M6274="PADD II","PADD 2",IF($M6274="PADD III","PADD 3",IF($M6274="PADD IV","PADD 4",IF($M6274="PADD V","PADD 5","")))))</f>
        <v>PADD 5</v>
      </c>
      <c r="G6274" s="6">
        <f>IF(AND($H6274="ATMOS DISTILLATION",ISNUMBER(SEARCH("VPS",$I6274))=FALSE,LEFT($I6274,6)&lt;&gt;"VACUUM"),"CDU",IF($H6274="FLUID CAT CRACKING","FCC",IF(OR($H6274="HYDROCRACKING",$H6274="RESID_HYDROCRACKING"),"Hydrocracker",IF($H6274="REFORMING","Reformer",""))))</f>
        <v/>
      </c>
      <c r="H6274" s="6" t="s">
        <v>435</v>
      </c>
      <c r="I6274" s="6" t="s">
        <v>441</v>
      </c>
      <c r="J6274" s="6" t="s">
        <v>345</v>
      </c>
      <c r="K6274" s="10">
        <v>7.7</v>
      </c>
      <c r="L6274" s="10">
        <v>7.7</v>
      </c>
      <c r="M6274" s="6" t="s">
        <v>386</v>
      </c>
    </row>
    <row r="6275" spans="1:13">
      <c r="A6275" s="6">
        <v>2025</v>
      </c>
      <c r="B6275" s="6">
        <v>8</v>
      </c>
      <c r="C6275" s="6" t="s">
        <v>66</v>
      </c>
      <c r="D6275" s="6" t="s">
        <v>326</v>
      </c>
      <c r="E6275" s="6" t="s">
        <v>385</v>
      </c>
      <c r="F6275" s="6" t="str">
        <f>IF($M6275="PADD I","PADD 1",IF($M6275="PADD II","PADD 2",IF($M6275="PADD III","PADD 3",IF($M6275="PADD IV","PADD 4",IF($M6275="PADD V","PADD 5","")))))</f>
        <v>PADD 5</v>
      </c>
      <c r="G6275" s="6">
        <f>IF(AND($H6275="ATMOS DISTILLATION",ISNUMBER(SEARCH("VPS",$I6275))=FALSE,LEFT($I6275,6)&lt;&gt;"VACUUM"),"CDU",IF($H6275="FLUID CAT CRACKING","FCC",IF(OR($H6275="HYDROCRACKING",$H6275="RESID_HYDROCRACKING"),"Hydrocracker",IF($H6275="REFORMING","Reformer",""))))</f>
        <v/>
      </c>
      <c r="H6275" s="6" t="s">
        <v>435</v>
      </c>
      <c r="I6275" s="6" t="s">
        <v>813</v>
      </c>
      <c r="J6275" s="6" t="s">
        <v>345</v>
      </c>
      <c r="K6275" s="10">
        <v>7.32</v>
      </c>
      <c r="L6275" s="10">
        <v>7.32</v>
      </c>
      <c r="M6275" s="6" t="s">
        <v>386</v>
      </c>
    </row>
    <row r="6276" spans="1:13">
      <c r="A6276" s="6">
        <v>2025</v>
      </c>
      <c r="B6276" s="6">
        <v>8</v>
      </c>
      <c r="C6276" s="6" t="s">
        <v>66</v>
      </c>
      <c r="D6276" s="6" t="s">
        <v>878</v>
      </c>
      <c r="E6276" s="6" t="s">
        <v>452</v>
      </c>
      <c r="F6276" s="6" t="str">
        <f>IF($M6276="PADD I","PADD 1",IF($M6276="PADD II","PADD 2",IF($M6276="PADD III","PADD 3",IF($M6276="PADD IV","PADD 4",IF($M6276="PADD V","PADD 5","")))))</f>
        <v>PADD 2</v>
      </c>
      <c r="G6276" s="6">
        <f>IF(AND($H6276="ATMOS DISTILLATION",ISNUMBER(SEARCH("VPS",$I6276))=FALSE,LEFT($I6276,6)&lt;&gt;"VACUUM"),"CDU",IF($H6276="FLUID CAT CRACKING","FCC",IF(OR($H6276="HYDROCRACKING",$H6276="RESID_HYDROCRACKING"),"Hydrocracker",IF($H6276="REFORMING","Reformer",""))))</f>
        <v/>
      </c>
      <c r="H6276" s="6" t="s">
        <v>435</v>
      </c>
      <c r="I6276" s="6" t="s">
        <v>441</v>
      </c>
      <c r="J6276" s="6" t="s">
        <v>345</v>
      </c>
      <c r="K6276" s="10">
        <v>7.14</v>
      </c>
      <c r="L6276" s="10">
        <v>8.5</v>
      </c>
      <c r="M6276" s="6" t="s">
        <v>375</v>
      </c>
    </row>
    <row r="6277" spans="1:13">
      <c r="A6277" s="6">
        <v>2025</v>
      </c>
      <c r="B6277" s="6">
        <v>8</v>
      </c>
      <c r="C6277" s="6" t="s">
        <v>66</v>
      </c>
      <c r="D6277" s="6" t="s">
        <v>542</v>
      </c>
      <c r="E6277" s="6" t="s">
        <v>543</v>
      </c>
      <c r="F6277" s="6" t="str">
        <f>IF($M6277="PADD I","PADD 1",IF($M6277="PADD II","PADD 2",IF($M6277="PADD III","PADD 3",IF($M6277="PADD IV","PADD 4",IF($M6277="PADD V","PADD 5","")))))</f>
        <v>PADD 2</v>
      </c>
      <c r="G6277" s="6">
        <f>IF(AND($H6277="ATMOS DISTILLATION",ISNUMBER(SEARCH("VPS",$I6277))=FALSE,LEFT($I6277,6)&lt;&gt;"VACUUM"),"CDU",IF($H6277="FLUID CAT CRACKING","FCC",IF(OR($H6277="HYDROCRACKING",$H6277="RESID_HYDROCRACKING"),"Hydrocracker",IF($H6277="REFORMING","Reformer",""))))</f>
        <v/>
      </c>
      <c r="H6277" s="6" t="s">
        <v>43</v>
      </c>
      <c r="I6277" s="6" t="s">
        <v>759</v>
      </c>
      <c r="J6277" s="6" t="s">
        <v>345</v>
      </c>
      <c r="K6277" s="10">
        <v>7</v>
      </c>
      <c r="L6277" s="10">
        <v>70</v>
      </c>
      <c r="M6277" s="6" t="s">
        <v>375</v>
      </c>
    </row>
    <row r="6278" spans="1:13">
      <c r="A6278" s="6">
        <v>2025</v>
      </c>
      <c r="B6278" s="6">
        <v>8</v>
      </c>
      <c r="C6278" s="6" t="s">
        <v>66</v>
      </c>
      <c r="D6278" s="6" t="s">
        <v>322</v>
      </c>
      <c r="E6278" s="6" t="s">
        <v>369</v>
      </c>
      <c r="F6278" s="6" t="str">
        <f>IF($M6278="PADD I","PADD 1",IF($M6278="PADD II","PADD 2",IF($M6278="PADD III","PADD 3",IF($M6278="PADD IV","PADD 4",IF($M6278="PADD V","PADD 5","")))))</f>
        <v>PADD 2</v>
      </c>
      <c r="G6278" s="6" t="str">
        <f>IF(AND($H6278="ATMOS DISTILLATION",ISNUMBER(SEARCH("VPS",$I6278))=FALSE,LEFT($I6278,6)&lt;&gt;"VACUUM"),"CDU",IF($H6278="FLUID CAT CRACKING","FCC",IF(OR($H6278="HYDROCRACKING",$H6278="RESID_HYDROCRACKING"),"Hydrocracker",IF($H6278="REFORMING","Reformer",""))))</f>
        <v>CDU</v>
      </c>
      <c r="H6278" s="6" t="s">
        <v>38</v>
      </c>
      <c r="I6278" s="6" t="s">
        <v>521</v>
      </c>
      <c r="J6278" s="6" t="s">
        <v>349</v>
      </c>
      <c r="K6278" s="10">
        <v>6.6</v>
      </c>
      <c r="L6278" s="10">
        <v>110</v>
      </c>
      <c r="M6278" s="6" t="s">
        <v>375</v>
      </c>
    </row>
    <row r="6279" spans="1:13">
      <c r="A6279" s="6">
        <v>2025</v>
      </c>
      <c r="B6279" s="6">
        <v>8</v>
      </c>
      <c r="C6279" s="6" t="s">
        <v>66</v>
      </c>
      <c r="D6279" s="6" t="s">
        <v>542</v>
      </c>
      <c r="E6279" s="6" t="s">
        <v>543</v>
      </c>
      <c r="F6279" s="6" t="str">
        <f>IF($M6279="PADD I","PADD 1",IF($M6279="PADD II","PADD 2",IF($M6279="PADD III","PADD 3",IF($M6279="PADD IV","PADD 4",IF($M6279="PADD V","PADD 5","")))))</f>
        <v>PADD 2</v>
      </c>
      <c r="G6279" s="6" t="str">
        <f>IF(AND($H6279="ATMOS DISTILLATION",ISNUMBER(SEARCH("VPS",$I6279))=FALSE,LEFT($I6279,6)&lt;&gt;"VACUUM"),"CDU",IF($H6279="FLUID CAT CRACKING","FCC",IF(OR($H6279="HYDROCRACKING",$H6279="RESID_HYDROCRACKING"),"Hydrocracker",IF($H6279="REFORMING","Reformer",""))))</f>
        <v>FCC</v>
      </c>
      <c r="H6279" s="6" t="s">
        <v>376</v>
      </c>
      <c r="I6279" s="6" t="s">
        <v>1113</v>
      </c>
      <c r="J6279" s="6" t="s">
        <v>345</v>
      </c>
      <c r="K6279" s="10">
        <v>6.5</v>
      </c>
      <c r="L6279" s="10">
        <v>65</v>
      </c>
      <c r="M6279" s="6" t="s">
        <v>375</v>
      </c>
    </row>
    <row r="6280" spans="1:13">
      <c r="A6280" s="6">
        <v>2025</v>
      </c>
      <c r="B6280" s="6">
        <v>8</v>
      </c>
      <c r="C6280" s="6" t="s">
        <v>66</v>
      </c>
      <c r="D6280" s="6" t="s">
        <v>985</v>
      </c>
      <c r="E6280" s="6" t="s">
        <v>543</v>
      </c>
      <c r="F6280" s="6" t="str">
        <f>IF($M6280="PADD I","PADD 1",IF($M6280="PADD II","PADD 2",IF($M6280="PADD III","PADD 3",IF($M6280="PADD IV","PADD 4",IF($M6280="PADD V","PADD 5","")))))</f>
        <v>PADD 2</v>
      </c>
      <c r="G6280" s="6">
        <f>IF(AND($H6280="ATMOS DISTILLATION",ISNUMBER(SEARCH("VPS",$I6280))=FALSE,LEFT($I6280,6)&lt;&gt;"VACUUM"),"CDU",IF($H6280="FLUID CAT CRACKING","FCC",IF(OR($H6280="HYDROCRACKING",$H6280="RESID_HYDROCRACKING"),"Hydrocracker",IF($H6280="REFORMING","Reformer",""))))</f>
        <v/>
      </c>
      <c r="H6280" s="6" t="s">
        <v>378</v>
      </c>
      <c r="I6280" s="6" t="s">
        <v>786</v>
      </c>
      <c r="J6280" s="6" t="s">
        <v>345</v>
      </c>
      <c r="K6280" s="10">
        <v>6.033</v>
      </c>
      <c r="L6280" s="10">
        <v>60.33</v>
      </c>
      <c r="M6280" s="6" t="s">
        <v>375</v>
      </c>
    </row>
    <row r="6281" spans="1:13">
      <c r="A6281" s="6">
        <v>2025</v>
      </c>
      <c r="B6281" s="6">
        <v>8</v>
      </c>
      <c r="C6281" s="6" t="s">
        <v>66</v>
      </c>
      <c r="D6281" s="6" t="s">
        <v>542</v>
      </c>
      <c r="E6281" s="6" t="s">
        <v>543</v>
      </c>
      <c r="F6281" s="6" t="str">
        <f>IF($M6281="PADD I","PADD 1",IF($M6281="PADD II","PADD 2",IF($M6281="PADD III","PADD 3",IF($M6281="PADD IV","PADD 4",IF($M6281="PADD V","PADD 5","")))))</f>
        <v>PADD 2</v>
      </c>
      <c r="G6281" s="6" t="str">
        <f>IF(AND($H6281="ATMOS DISTILLATION",ISNUMBER(SEARCH("VPS",$I6281))=FALSE,LEFT($I6281,6)&lt;&gt;"VACUUM"),"CDU",IF($H6281="FLUID CAT CRACKING","FCC",IF(OR($H6281="HYDROCRACKING",$H6281="RESID_HYDROCRACKING"),"Hydrocracker",IF($H6281="REFORMING","Reformer",""))))</f>
        <v>Reformer</v>
      </c>
      <c r="H6281" s="6" t="s">
        <v>421</v>
      </c>
      <c r="I6281" s="6" t="s">
        <v>1114</v>
      </c>
      <c r="J6281" s="6" t="s">
        <v>345</v>
      </c>
      <c r="K6281" s="10">
        <v>6</v>
      </c>
      <c r="L6281" s="10">
        <v>60</v>
      </c>
      <c r="M6281" s="6" t="s">
        <v>375</v>
      </c>
    </row>
    <row r="6282" spans="1:13">
      <c r="A6282" s="6">
        <v>2025</v>
      </c>
      <c r="B6282" s="6">
        <v>8</v>
      </c>
      <c r="C6282" s="6" t="s">
        <v>66</v>
      </c>
      <c r="D6282" s="6" t="s">
        <v>500</v>
      </c>
      <c r="E6282" s="6" t="s">
        <v>388</v>
      </c>
      <c r="F6282" s="6" t="str">
        <f>IF($M6282="PADD I","PADD 1",IF($M6282="PADD II","PADD 2",IF($M6282="PADD III","PADD 3",IF($M6282="PADD IV","PADD 4",IF($M6282="PADD V","PADD 5","")))))</f>
        <v>PADD 2</v>
      </c>
      <c r="G6282" s="6">
        <f>IF(AND($H6282="ATMOS DISTILLATION",ISNUMBER(SEARCH("VPS",$I6282))=FALSE,LEFT($I6282,6)&lt;&gt;"VACUUM"),"CDU",IF($H6282="FLUID CAT CRACKING","FCC",IF(OR($H6282="HYDROCRACKING",$H6282="RESID_HYDROCRACKING"),"Hydrocracker",IF($H6282="REFORMING","Reformer",""))))</f>
        <v/>
      </c>
      <c r="H6282" s="6" t="s">
        <v>460</v>
      </c>
      <c r="I6282" s="6" t="s">
        <v>616</v>
      </c>
      <c r="J6282" s="6" t="s">
        <v>349</v>
      </c>
      <c r="K6282" s="10">
        <v>6</v>
      </c>
      <c r="L6282" s="10">
        <v>6</v>
      </c>
      <c r="M6282" s="6" t="s">
        <v>375</v>
      </c>
    </row>
    <row r="6283" spans="1:13">
      <c r="A6283" s="6">
        <v>2025</v>
      </c>
      <c r="B6283" s="6">
        <v>8</v>
      </c>
      <c r="C6283" s="6" t="s">
        <v>66</v>
      </c>
      <c r="D6283" s="6" t="s">
        <v>395</v>
      </c>
      <c r="E6283" s="6" t="s">
        <v>396</v>
      </c>
      <c r="F6283" s="6" t="str">
        <f>IF($M6283="PADD I","PADD 1",IF($M6283="PADD II","PADD 2",IF($M6283="PADD III","PADD 3",IF($M6283="PADD IV","PADD 4",IF($M6283="PADD V","PADD 5","")))))</f>
        <v>PADD 3</v>
      </c>
      <c r="G6283" s="6" t="str">
        <f>IF(AND($H6283="ATMOS DISTILLATION",ISNUMBER(SEARCH("VPS",$I6283))=FALSE,LEFT($I6283,6)&lt;&gt;"VACUUM"),"CDU",IF($H6283="FLUID CAT CRACKING","FCC",IF(OR($H6283="HYDROCRACKING",$H6283="RESID_HYDROCRACKING"),"Hydrocracker",IF($H6283="REFORMING","Reformer",""))))</f>
        <v>Reformer</v>
      </c>
      <c r="H6283" s="6" t="s">
        <v>421</v>
      </c>
      <c r="I6283" s="6" t="s">
        <v>540</v>
      </c>
      <c r="J6283" s="6" t="s">
        <v>345</v>
      </c>
      <c r="K6283" s="10">
        <v>5.85</v>
      </c>
      <c r="L6283" s="10">
        <v>45</v>
      </c>
      <c r="M6283" s="6" t="s">
        <v>371</v>
      </c>
    </row>
    <row r="6284" spans="1:13">
      <c r="A6284" s="6">
        <v>2025</v>
      </c>
      <c r="B6284" s="6">
        <v>8</v>
      </c>
      <c r="C6284" s="6" t="s">
        <v>66</v>
      </c>
      <c r="D6284" s="6" t="s">
        <v>526</v>
      </c>
      <c r="E6284" s="6" t="s">
        <v>405</v>
      </c>
      <c r="F6284" s="6" t="str">
        <f>IF($M6284="PADD I","PADD 1",IF($M6284="PADD II","PADD 2",IF($M6284="PADD III","PADD 3",IF($M6284="PADD IV","PADD 4",IF($M6284="PADD V","PADD 5","")))))</f>
        <v>PADD 3</v>
      </c>
      <c r="G6284" s="6" t="str">
        <f>IF(AND($H6284="ATMOS DISTILLATION",ISNUMBER(SEARCH("VPS",$I6284))=FALSE,LEFT($I6284,6)&lt;&gt;"VACUUM"),"CDU",IF($H6284="FLUID CAT CRACKING","FCC",IF(OR($H6284="HYDROCRACKING",$H6284="RESID_HYDROCRACKING"),"Hydrocracker",IF($H6284="REFORMING","Reformer",""))))</f>
        <v>Hydrocracker</v>
      </c>
      <c r="H6284" s="6" t="s">
        <v>444</v>
      </c>
      <c r="I6284" s="6" t="s">
        <v>351</v>
      </c>
      <c r="J6284" s="6" t="s">
        <v>345</v>
      </c>
      <c r="K6284" s="10">
        <v>5.7</v>
      </c>
      <c r="L6284" s="10">
        <v>57</v>
      </c>
      <c r="M6284" s="6" t="s">
        <v>371</v>
      </c>
    </row>
    <row r="6285" spans="1:13">
      <c r="A6285" s="6">
        <v>2025</v>
      </c>
      <c r="B6285" s="6">
        <v>8</v>
      </c>
      <c r="C6285" s="6" t="s">
        <v>66</v>
      </c>
      <c r="D6285" s="6" t="s">
        <v>542</v>
      </c>
      <c r="E6285" s="6" t="s">
        <v>543</v>
      </c>
      <c r="F6285" s="6" t="str">
        <f>IF($M6285="PADD I","PADD 1",IF($M6285="PADD II","PADD 2",IF($M6285="PADD III","PADD 3",IF($M6285="PADD IV","PADD 4",IF($M6285="PADD V","PADD 5","")))))</f>
        <v>PADD 2</v>
      </c>
      <c r="G6285" s="6">
        <f>IF(AND($H6285="ATMOS DISTILLATION",ISNUMBER(SEARCH("VPS",$I6285))=FALSE,LEFT($I6285,6)&lt;&gt;"VACUUM"),"CDU",IF($H6285="FLUID CAT CRACKING","FCC",IF(OR($H6285="HYDROCRACKING",$H6285="RESID_HYDROCRACKING"),"Hydrocracker",IF($H6285="REFORMING","Reformer",""))))</f>
        <v/>
      </c>
      <c r="H6285" s="6" t="s">
        <v>43</v>
      </c>
      <c r="I6285" s="6" t="s">
        <v>759</v>
      </c>
      <c r="J6285" s="6" t="s">
        <v>345</v>
      </c>
      <c r="K6285" s="10">
        <v>5.6</v>
      </c>
      <c r="L6285" s="10">
        <v>35</v>
      </c>
      <c r="M6285" s="6" t="s">
        <v>375</v>
      </c>
    </row>
    <row r="6286" spans="1:13">
      <c r="A6286" s="6">
        <v>2025</v>
      </c>
      <c r="B6286" s="6">
        <v>8</v>
      </c>
      <c r="C6286" s="6" t="s">
        <v>66</v>
      </c>
      <c r="D6286" s="6" t="s">
        <v>542</v>
      </c>
      <c r="E6286" s="6" t="s">
        <v>543</v>
      </c>
      <c r="F6286" s="6" t="str">
        <f>IF($M6286="PADD I","PADD 1",IF($M6286="PADD II","PADD 2",IF($M6286="PADD III","PADD 3",IF($M6286="PADD IV","PADD 4",IF($M6286="PADD V","PADD 5","")))))</f>
        <v>PADD 2</v>
      </c>
      <c r="G6286" s="6" t="str">
        <f>IF(AND($H6286="ATMOS DISTILLATION",ISNUMBER(SEARCH("VPS",$I6286))=FALSE,LEFT($I6286,6)&lt;&gt;"VACUUM"),"CDU",IF($H6286="FLUID CAT CRACKING","FCC",IF(OR($H6286="HYDROCRACKING",$H6286="RESID_HYDROCRACKING"),"Hydrocracker",IF($H6286="REFORMING","Reformer",""))))</f>
        <v>FCC</v>
      </c>
      <c r="H6286" s="6" t="s">
        <v>376</v>
      </c>
      <c r="I6286" s="6" t="s">
        <v>1110</v>
      </c>
      <c r="J6286" s="6" t="s">
        <v>345</v>
      </c>
      <c r="K6286" s="10">
        <v>5.5</v>
      </c>
      <c r="L6286" s="10">
        <v>55</v>
      </c>
      <c r="M6286" s="6" t="s">
        <v>375</v>
      </c>
    </row>
    <row r="6287" spans="1:13">
      <c r="A6287" s="6">
        <v>2025</v>
      </c>
      <c r="B6287" s="6">
        <v>8</v>
      </c>
      <c r="C6287" s="6" t="s">
        <v>66</v>
      </c>
      <c r="D6287" s="6" t="s">
        <v>326</v>
      </c>
      <c r="E6287" s="6" t="s">
        <v>385</v>
      </c>
      <c r="F6287" s="6" t="str">
        <f>IF($M6287="PADD I","PADD 1",IF($M6287="PADD II","PADD 2",IF($M6287="PADD III","PADD 3",IF($M6287="PADD IV","PADD 4",IF($M6287="PADD V","PADD 5","")))))</f>
        <v>PADD 5</v>
      </c>
      <c r="G6287" s="6" t="str">
        <f>IF(AND($H6287="ATMOS DISTILLATION",ISNUMBER(SEARCH("VPS",$I6287))=FALSE,LEFT($I6287,6)&lt;&gt;"VACUUM"),"CDU",IF($H6287="FLUID CAT CRACKING","FCC",IF(OR($H6287="HYDROCRACKING",$H6287="RESID_HYDROCRACKING"),"Hydrocracker",IF($H6287="REFORMING","Reformer",""))))</f>
        <v>Hydrocracker</v>
      </c>
      <c r="H6287" s="6" t="s">
        <v>444</v>
      </c>
      <c r="I6287" s="6" t="s">
        <v>498</v>
      </c>
      <c r="J6287" s="6" t="s">
        <v>345</v>
      </c>
      <c r="K6287" s="10">
        <v>5.46</v>
      </c>
      <c r="L6287" s="10">
        <v>42</v>
      </c>
      <c r="M6287" s="6" t="s">
        <v>386</v>
      </c>
    </row>
    <row r="6288" spans="1:13">
      <c r="A6288" s="6">
        <v>2025</v>
      </c>
      <c r="B6288" s="6">
        <v>8</v>
      </c>
      <c r="C6288" s="6" t="s">
        <v>66</v>
      </c>
      <c r="D6288" s="6" t="s">
        <v>1032</v>
      </c>
      <c r="E6288" s="6" t="s">
        <v>1033</v>
      </c>
      <c r="F6288" s="6" t="str">
        <f>IF($M6288="PADD I","PADD 1",IF($M6288="PADD II","PADD 2",IF($M6288="PADD III","PADD 3",IF($M6288="PADD IV","PADD 4",IF($M6288="PADD V","PADD 5","")))))</f>
        <v>PADD 5</v>
      </c>
      <c r="G6288" s="6" t="str">
        <f>IF(AND($H6288="ATMOS DISTILLATION",ISNUMBER(SEARCH("VPS",$I6288))=FALSE,LEFT($I6288,6)&lt;&gt;"VACUUM"),"CDU",IF($H6288="FLUID CAT CRACKING","FCC",IF(OR($H6288="HYDROCRACKING",$H6288="RESID_HYDROCRACKING"),"Hydrocracker",IF($H6288="REFORMING","Reformer",""))))</f>
        <v>CDU</v>
      </c>
      <c r="H6288" s="6" t="s">
        <v>38</v>
      </c>
      <c r="I6288" s="6" t="s">
        <v>663</v>
      </c>
      <c r="J6288" s="6" t="s">
        <v>345</v>
      </c>
      <c r="K6288" s="10">
        <v>5</v>
      </c>
      <c r="L6288" s="10">
        <v>5</v>
      </c>
      <c r="M6288" s="6" t="s">
        <v>386</v>
      </c>
    </row>
    <row r="6289" spans="1:13">
      <c r="A6289" s="6">
        <v>2025</v>
      </c>
      <c r="B6289" s="6">
        <v>8</v>
      </c>
      <c r="C6289" s="6" t="s">
        <v>66</v>
      </c>
      <c r="D6289" s="6" t="s">
        <v>542</v>
      </c>
      <c r="E6289" s="6" t="s">
        <v>543</v>
      </c>
      <c r="F6289" s="6" t="str">
        <f>IF($M6289="PADD I","PADD 1",IF($M6289="PADD II","PADD 2",IF($M6289="PADD III","PADD 3",IF($M6289="PADD IV","PADD 4",IF($M6289="PADD V","PADD 5","")))))</f>
        <v>PADD 2</v>
      </c>
      <c r="G6289" s="6" t="str">
        <f>IF(AND($H6289="ATMOS DISTILLATION",ISNUMBER(SEARCH("VPS",$I6289))=FALSE,LEFT($I6289,6)&lt;&gt;"VACUUM"),"CDU",IF($H6289="FLUID CAT CRACKING","FCC",IF(OR($H6289="HYDROCRACKING",$H6289="RESID_HYDROCRACKING"),"Hydrocracker",IF($H6289="REFORMING","Reformer",""))))</f>
        <v>Reformer</v>
      </c>
      <c r="H6289" s="6" t="s">
        <v>421</v>
      </c>
      <c r="I6289" s="6" t="s">
        <v>1114</v>
      </c>
      <c r="J6289" s="6" t="s">
        <v>345</v>
      </c>
      <c r="K6289" s="10">
        <v>4.8</v>
      </c>
      <c r="L6289" s="10">
        <v>30</v>
      </c>
      <c r="M6289" s="6" t="s">
        <v>375</v>
      </c>
    </row>
    <row r="6290" spans="1:13">
      <c r="A6290" s="6">
        <v>2025</v>
      </c>
      <c r="B6290" s="6">
        <v>8</v>
      </c>
      <c r="C6290" s="6" t="s">
        <v>66</v>
      </c>
      <c r="D6290" s="6" t="s">
        <v>468</v>
      </c>
      <c r="E6290" s="6" t="s">
        <v>369</v>
      </c>
      <c r="F6290" s="6" t="str">
        <f>IF($M6290="PADD I","PADD 1",IF($M6290="PADD II","PADD 2",IF($M6290="PADD III","PADD 3",IF($M6290="PADD IV","PADD 4",IF($M6290="PADD V","PADD 5","")))))</f>
        <v>PADD 3</v>
      </c>
      <c r="G6290" s="6" t="str">
        <f>IF(AND($H6290="ATMOS DISTILLATION",ISNUMBER(SEARCH("VPS",$I6290))=FALSE,LEFT($I6290,6)&lt;&gt;"VACUUM"),"CDU",IF($H6290="FLUID CAT CRACKING","FCC",IF(OR($H6290="HYDROCRACKING",$H6290="RESID_HYDROCRACKING"),"Hydrocracker",IF($H6290="REFORMING","Reformer",""))))</f>
        <v>Reformer</v>
      </c>
      <c r="H6290" s="6" t="s">
        <v>421</v>
      </c>
      <c r="I6290" s="6" t="s">
        <v>858</v>
      </c>
      <c r="J6290" s="6" t="s">
        <v>349</v>
      </c>
      <c r="K6290" s="10">
        <v>4.6</v>
      </c>
      <c r="L6290" s="10">
        <v>20</v>
      </c>
      <c r="M6290" s="6" t="s">
        <v>371</v>
      </c>
    </row>
    <row r="6291" spans="1:13">
      <c r="A6291" s="6">
        <v>2025</v>
      </c>
      <c r="B6291" s="6">
        <v>8</v>
      </c>
      <c r="C6291" s="6" t="s">
        <v>66</v>
      </c>
      <c r="D6291" s="6" t="s">
        <v>457</v>
      </c>
      <c r="E6291" s="6" t="s">
        <v>388</v>
      </c>
      <c r="F6291" s="6" t="str">
        <f>IF($M6291="PADD I","PADD 1",IF($M6291="PADD II","PADD 2",IF($M6291="PADD III","PADD 3",IF($M6291="PADD IV","PADD 4",IF($M6291="PADD V","PADD 5","")))))</f>
        <v>PADD 5</v>
      </c>
      <c r="G6291" s="6" t="str">
        <f>IF(AND($H6291="ATMOS DISTILLATION",ISNUMBER(SEARCH("VPS",$I6291))=FALSE,LEFT($I6291,6)&lt;&gt;"VACUUM"),"CDU",IF($H6291="FLUID CAT CRACKING","FCC",IF(OR($H6291="HYDROCRACKING",$H6291="RESID_HYDROCRACKING"),"Hydrocracker",IF($H6291="REFORMING","Reformer",""))))</f>
        <v>Reformer</v>
      </c>
      <c r="H6291" s="6" t="s">
        <v>421</v>
      </c>
      <c r="I6291" s="6" t="s">
        <v>557</v>
      </c>
      <c r="J6291" s="6" t="s">
        <v>345</v>
      </c>
      <c r="K6291" s="10">
        <v>4.6</v>
      </c>
      <c r="L6291" s="10">
        <v>20</v>
      </c>
      <c r="M6291" s="6" t="s">
        <v>386</v>
      </c>
    </row>
    <row r="6292" spans="1:13">
      <c r="A6292" s="6">
        <v>2025</v>
      </c>
      <c r="B6292" s="6">
        <v>8</v>
      </c>
      <c r="C6292" s="6" t="s">
        <v>66</v>
      </c>
      <c r="D6292" s="6" t="s">
        <v>612</v>
      </c>
      <c r="E6292" s="6" t="s">
        <v>416</v>
      </c>
      <c r="F6292" s="6" t="str">
        <f>IF($M6292="PADD I","PADD 1",IF($M6292="PADD II","PADD 2",IF($M6292="PADD III","PADD 3",IF($M6292="PADD IV","PADD 4",IF($M6292="PADD V","PADD 5","")))))</f>
        <v>PADD 3</v>
      </c>
      <c r="G6292" s="6" t="str">
        <f>IF(AND($H6292="ATMOS DISTILLATION",ISNUMBER(SEARCH("VPS",$I6292))=FALSE,LEFT($I6292,6)&lt;&gt;"VACUUM"),"CDU",IF($H6292="FLUID CAT CRACKING","FCC",IF(OR($H6292="HYDROCRACKING",$H6292="RESID_HYDROCRACKING"),"Hydrocracker",IF($H6292="REFORMING","Reformer",""))))</f>
        <v>FCC</v>
      </c>
      <c r="H6292" s="6" t="s">
        <v>376</v>
      </c>
      <c r="I6292" s="6" t="s">
        <v>428</v>
      </c>
      <c r="J6292" s="6" t="s">
        <v>345</v>
      </c>
      <c r="K6292" s="10">
        <v>4.485</v>
      </c>
      <c r="L6292" s="10">
        <v>34.5</v>
      </c>
      <c r="M6292" s="6" t="s">
        <v>371</v>
      </c>
    </row>
    <row r="6293" spans="1:13">
      <c r="A6293" s="6">
        <v>2025</v>
      </c>
      <c r="B6293" s="6">
        <v>8</v>
      </c>
      <c r="C6293" s="6" t="s">
        <v>66</v>
      </c>
      <c r="D6293" s="6" t="s">
        <v>851</v>
      </c>
      <c r="E6293" s="6" t="s">
        <v>852</v>
      </c>
      <c r="F6293" s="6" t="str">
        <f>IF($M6293="PADD I","PADD 1",IF($M6293="PADD II","PADD 2",IF($M6293="PADD III","PADD 3",IF($M6293="PADD IV","PADD 4",IF($M6293="PADD V","PADD 5","")))))</f>
        <v>PADD 3</v>
      </c>
      <c r="G6293" s="6" t="str">
        <f>IF(AND($H6293="ATMOS DISTILLATION",ISNUMBER(SEARCH("VPS",$I6293))=FALSE,LEFT($I6293,6)&lt;&gt;"VACUUM"),"CDU",IF($H6293="FLUID CAT CRACKING","FCC",IF(OR($H6293="HYDROCRACKING",$H6293="RESID_HYDROCRACKING"),"Hydrocracker",IF($H6293="REFORMING","Reformer",""))))</f>
        <v>CDU</v>
      </c>
      <c r="H6293" s="6" t="s">
        <v>38</v>
      </c>
      <c r="I6293" s="6" t="s">
        <v>854</v>
      </c>
      <c r="J6293" s="6" t="s">
        <v>345</v>
      </c>
      <c r="K6293" s="10">
        <v>4.38</v>
      </c>
      <c r="L6293" s="10">
        <v>73</v>
      </c>
      <c r="M6293" s="6" t="s">
        <v>371</v>
      </c>
    </row>
    <row r="6294" spans="1:13">
      <c r="A6294" s="6">
        <v>2025</v>
      </c>
      <c r="B6294" s="6">
        <v>8</v>
      </c>
      <c r="C6294" s="6" t="s">
        <v>66</v>
      </c>
      <c r="D6294" s="6" t="s">
        <v>326</v>
      </c>
      <c r="E6294" s="6" t="s">
        <v>385</v>
      </c>
      <c r="F6294" s="6" t="str">
        <f>IF($M6294="PADD I","PADD 1",IF($M6294="PADD II","PADD 2",IF($M6294="PADD III","PADD 3",IF($M6294="PADD IV","PADD 4",IF($M6294="PADD V","PADD 5","")))))</f>
        <v>PADD 5</v>
      </c>
      <c r="G6294" s="6">
        <f>IF(AND($H6294="ATMOS DISTILLATION",ISNUMBER(SEARCH("VPS",$I6294))=FALSE,LEFT($I6294,6)&lt;&gt;"VACUUM"),"CDU",IF($H6294="FLUID CAT CRACKING","FCC",IF(OR($H6294="HYDROCRACKING",$H6294="RESID_HYDROCRACKING"),"Hydrocracker",IF($H6294="REFORMING","Reformer",""))))</f>
        <v/>
      </c>
      <c r="H6294" s="6" t="s">
        <v>460</v>
      </c>
      <c r="I6294" s="6" t="s">
        <v>1288</v>
      </c>
      <c r="J6294" s="6" t="s">
        <v>345</v>
      </c>
      <c r="K6294" s="10">
        <v>4.2</v>
      </c>
      <c r="L6294" s="10">
        <v>4.2</v>
      </c>
      <c r="M6294" s="6" t="s">
        <v>386</v>
      </c>
    </row>
    <row r="6295" spans="1:13">
      <c r="A6295" s="6">
        <v>2025</v>
      </c>
      <c r="B6295" s="6">
        <v>8</v>
      </c>
      <c r="C6295" s="6" t="s">
        <v>66</v>
      </c>
      <c r="D6295" s="6" t="s">
        <v>542</v>
      </c>
      <c r="E6295" s="6" t="s">
        <v>543</v>
      </c>
      <c r="F6295" s="6" t="str">
        <f>IF($M6295="PADD I","PADD 1",IF($M6295="PADD II","PADD 2",IF($M6295="PADD III","PADD 3",IF($M6295="PADD IV","PADD 4",IF($M6295="PADD V","PADD 5","")))))</f>
        <v>PADD 2</v>
      </c>
      <c r="G6295" s="6">
        <f>IF(AND($H6295="ATMOS DISTILLATION",ISNUMBER(SEARCH("VPS",$I6295))=FALSE,LEFT($I6295,6)&lt;&gt;"VACUUM"),"CDU",IF($H6295="FLUID CAT CRACKING","FCC",IF(OR($H6295="HYDROCRACKING",$H6295="RESID_HYDROCRACKING"),"Hydrocracker",IF($H6295="REFORMING","Reformer",""))))</f>
        <v/>
      </c>
      <c r="H6295" s="6" t="s">
        <v>43</v>
      </c>
      <c r="I6295" s="6" t="s">
        <v>915</v>
      </c>
      <c r="J6295" s="6" t="s">
        <v>345</v>
      </c>
      <c r="K6295" s="10">
        <v>4</v>
      </c>
      <c r="L6295" s="10">
        <v>40</v>
      </c>
      <c r="M6295" s="6" t="s">
        <v>375</v>
      </c>
    </row>
    <row r="6296" spans="1:13">
      <c r="A6296" s="6">
        <v>2025</v>
      </c>
      <c r="B6296" s="6">
        <v>8</v>
      </c>
      <c r="C6296" s="6" t="s">
        <v>66</v>
      </c>
      <c r="D6296" s="6" t="s">
        <v>662</v>
      </c>
      <c r="E6296" s="6" t="s">
        <v>552</v>
      </c>
      <c r="F6296" s="6" t="str">
        <f>IF($M6296="PADD I","PADD 1",IF($M6296="PADD II","PADD 2",IF($M6296="PADD III","PADD 3",IF($M6296="PADD IV","PADD 4",IF($M6296="PADD V","PADD 5","")))))</f>
        <v>PADD 3</v>
      </c>
      <c r="G6296" s="6" t="str">
        <f>IF(AND($H6296="ATMOS DISTILLATION",ISNUMBER(SEARCH("VPS",$I6296))=FALSE,LEFT($I6296,6)&lt;&gt;"VACUUM"),"CDU",IF($H6296="FLUID CAT CRACKING","FCC",IF(OR($H6296="HYDROCRACKING",$H6296="RESID_HYDROCRACKING"),"Hydrocracker",IF($H6296="REFORMING","Reformer",""))))</f>
        <v>FCC</v>
      </c>
      <c r="H6296" s="6" t="s">
        <v>376</v>
      </c>
      <c r="I6296" s="6" t="s">
        <v>105</v>
      </c>
      <c r="J6296" s="6" t="s">
        <v>349</v>
      </c>
      <c r="K6296" s="10">
        <v>4</v>
      </c>
      <c r="L6296" s="10">
        <v>25</v>
      </c>
      <c r="M6296" s="6" t="s">
        <v>371</v>
      </c>
    </row>
    <row r="6297" spans="1:13">
      <c r="A6297" s="6">
        <v>2025</v>
      </c>
      <c r="B6297" s="6">
        <v>8</v>
      </c>
      <c r="C6297" s="6" t="s">
        <v>66</v>
      </c>
      <c r="D6297" s="6" t="s">
        <v>335</v>
      </c>
      <c r="E6297" s="6" t="s">
        <v>369</v>
      </c>
      <c r="F6297" s="6" t="str">
        <f>IF($M6297="PADD I","PADD 1",IF($M6297="PADD II","PADD 2",IF($M6297="PADD III","PADD 3",IF($M6297="PADD IV","PADD 4",IF($M6297="PADD V","PADD 5","")))))</f>
        <v>PADD 3</v>
      </c>
      <c r="G6297" s="6" t="str">
        <f>IF(AND($H6297="ATMOS DISTILLATION",ISNUMBER(SEARCH("VPS",$I6297))=FALSE,LEFT($I6297,6)&lt;&gt;"VACUUM"),"CDU",IF($H6297="FLUID CAT CRACKING","FCC",IF(OR($H6297="HYDROCRACKING",$H6297="RESID_HYDROCRACKING"),"Hydrocracker",IF($H6297="REFORMING","Reformer",""))))</f>
        <v>FCC</v>
      </c>
      <c r="H6297" s="6" t="s">
        <v>376</v>
      </c>
      <c r="I6297" s="6" t="s">
        <v>472</v>
      </c>
      <c r="J6297" s="6" t="s">
        <v>345</v>
      </c>
      <c r="K6297" s="10">
        <v>3.9</v>
      </c>
      <c r="L6297" s="10">
        <v>30</v>
      </c>
      <c r="M6297" s="6" t="s">
        <v>371</v>
      </c>
    </row>
    <row r="6298" spans="1:13">
      <c r="A6298" s="6">
        <v>2025</v>
      </c>
      <c r="B6298" s="6">
        <v>8</v>
      </c>
      <c r="C6298" s="6" t="s">
        <v>66</v>
      </c>
      <c r="D6298" s="6" t="s">
        <v>630</v>
      </c>
      <c r="E6298" s="6" t="s">
        <v>491</v>
      </c>
      <c r="F6298" s="6" t="str">
        <f>IF($M6298="PADD I","PADD 1",IF($M6298="PADD II","PADD 2",IF($M6298="PADD III","PADD 3",IF($M6298="PADD IV","PADD 4",IF($M6298="PADD V","PADD 5","")))))</f>
        <v>PADD 3</v>
      </c>
      <c r="G6298" s="6">
        <f>IF(AND($H6298="ATMOS DISTILLATION",ISNUMBER(SEARCH("VPS",$I6298))=FALSE,LEFT($I6298,6)&lt;&gt;"VACUUM"),"CDU",IF($H6298="FLUID CAT CRACKING","FCC",IF(OR($H6298="HYDROCRACKING",$H6298="RESID_HYDROCRACKING"),"Hydrocracker",IF($H6298="REFORMING","Reformer",""))))</f>
        <v/>
      </c>
      <c r="H6298" s="6" t="s">
        <v>43</v>
      </c>
      <c r="I6298" s="6" t="s">
        <v>464</v>
      </c>
      <c r="J6298" s="6" t="s">
        <v>345</v>
      </c>
      <c r="K6298" s="10">
        <v>3.84</v>
      </c>
      <c r="L6298" s="10">
        <v>12</v>
      </c>
      <c r="M6298" s="6" t="s">
        <v>371</v>
      </c>
    </row>
    <row r="6299" spans="1:13">
      <c r="A6299" s="6">
        <v>2025</v>
      </c>
      <c r="B6299" s="6">
        <v>8</v>
      </c>
      <c r="C6299" s="6" t="s">
        <v>66</v>
      </c>
      <c r="D6299" s="6" t="s">
        <v>722</v>
      </c>
      <c r="E6299" s="6" t="s">
        <v>452</v>
      </c>
      <c r="F6299" s="6" t="str">
        <f>IF($M6299="PADD I","PADD 1",IF($M6299="PADD II","PADD 2",IF($M6299="PADD III","PADD 3",IF($M6299="PADD IV","PADD 4",IF($M6299="PADD V","PADD 5","")))))</f>
        <v>PADD 4</v>
      </c>
      <c r="G6299" s="6" t="str">
        <f>IF(AND($H6299="ATMOS DISTILLATION",ISNUMBER(SEARCH("VPS",$I6299))=FALSE,LEFT($I6299,6)&lt;&gt;"VACUUM"),"CDU",IF($H6299="FLUID CAT CRACKING","FCC",IF(OR($H6299="HYDROCRACKING",$H6299="RESID_HYDROCRACKING"),"Hydrocracker",IF($H6299="REFORMING","Reformer",""))))</f>
        <v>FCC</v>
      </c>
      <c r="H6299" s="6" t="s">
        <v>376</v>
      </c>
      <c r="I6299" s="6" t="s">
        <v>1106</v>
      </c>
      <c r="J6299" s="6" t="s">
        <v>349</v>
      </c>
      <c r="K6299" s="10">
        <v>3.78</v>
      </c>
      <c r="L6299" s="10">
        <v>9</v>
      </c>
      <c r="M6299" s="6" t="s">
        <v>430</v>
      </c>
    </row>
    <row r="6300" spans="1:13">
      <c r="A6300" s="6">
        <v>2025</v>
      </c>
      <c r="B6300" s="6">
        <v>8</v>
      </c>
      <c r="C6300" s="6" t="s">
        <v>66</v>
      </c>
      <c r="D6300" s="6" t="s">
        <v>542</v>
      </c>
      <c r="E6300" s="6" t="s">
        <v>543</v>
      </c>
      <c r="F6300" s="6" t="str">
        <f>IF($M6300="PADD I","PADD 1",IF($M6300="PADD II","PADD 2",IF($M6300="PADD III","PADD 3",IF($M6300="PADD IV","PADD 4",IF($M6300="PADD V","PADD 5","")))))</f>
        <v>PADD 2</v>
      </c>
      <c r="G6300" s="6">
        <f>IF(AND($H6300="ATMOS DISTILLATION",ISNUMBER(SEARCH("VPS",$I6300))=FALSE,LEFT($I6300,6)&lt;&gt;"VACUUM"),"CDU",IF($H6300="FLUID CAT CRACKING","FCC",IF(OR($H6300="HYDROCRACKING",$H6300="RESID_HYDROCRACKING"),"Hydrocracker",IF($H6300="REFORMING","Reformer",""))))</f>
        <v/>
      </c>
      <c r="H6300" s="6" t="s">
        <v>43</v>
      </c>
      <c r="I6300" s="6" t="s">
        <v>1006</v>
      </c>
      <c r="J6300" s="6" t="s">
        <v>345</v>
      </c>
      <c r="K6300" s="10">
        <v>3.6</v>
      </c>
      <c r="L6300" s="10">
        <v>36</v>
      </c>
      <c r="M6300" s="6" t="s">
        <v>375</v>
      </c>
    </row>
    <row r="6301" spans="1:13">
      <c r="A6301" s="6">
        <v>2025</v>
      </c>
      <c r="B6301" s="6">
        <v>8</v>
      </c>
      <c r="C6301" s="6" t="s">
        <v>66</v>
      </c>
      <c r="D6301" s="6" t="s">
        <v>387</v>
      </c>
      <c r="E6301" s="6" t="s">
        <v>388</v>
      </c>
      <c r="F6301" s="6" t="str">
        <f>IF($M6301="PADD I","PADD 1",IF($M6301="PADD II","PADD 2",IF($M6301="PADD III","PADD 3",IF($M6301="PADD IV","PADD 4",IF($M6301="PADD V","PADD 5","")))))</f>
        <v>PADD 3</v>
      </c>
      <c r="G6301" s="6">
        <f>IF(AND($H6301="ATMOS DISTILLATION",ISNUMBER(SEARCH("VPS",$I6301))=FALSE,LEFT($I6301,6)&lt;&gt;"VACUUM"),"CDU",IF($H6301="FLUID CAT CRACKING","FCC",IF(OR($H6301="HYDROCRACKING",$H6301="RESID_HYDROCRACKING"),"Hydrocracker",IF($H6301="REFORMING","Reformer",""))))</f>
        <v/>
      </c>
      <c r="H6301" s="6" t="s">
        <v>43</v>
      </c>
      <c r="I6301" s="6" t="s">
        <v>1219</v>
      </c>
      <c r="J6301" s="6" t="s">
        <v>345</v>
      </c>
      <c r="K6301" s="10">
        <v>3.3</v>
      </c>
      <c r="L6301" s="10">
        <v>55</v>
      </c>
      <c r="M6301" s="6" t="s">
        <v>371</v>
      </c>
    </row>
    <row r="6302" spans="1:13">
      <c r="A6302" s="6">
        <v>2025</v>
      </c>
      <c r="B6302" s="6">
        <v>8</v>
      </c>
      <c r="C6302" s="6" t="s">
        <v>66</v>
      </c>
      <c r="D6302" s="6" t="s">
        <v>542</v>
      </c>
      <c r="E6302" s="6" t="s">
        <v>543</v>
      </c>
      <c r="F6302" s="6" t="str">
        <f>IF($M6302="PADD I","PADD 1",IF($M6302="PADD II","PADD 2",IF($M6302="PADD III","PADD 3",IF($M6302="PADD IV","PADD 4",IF($M6302="PADD V","PADD 5","")))))</f>
        <v>PADD 2</v>
      </c>
      <c r="G6302" s="6">
        <f>IF(AND($H6302="ATMOS DISTILLATION",ISNUMBER(SEARCH("VPS",$I6302))=FALSE,LEFT($I6302,6)&lt;&gt;"VACUUM"),"CDU",IF($H6302="FLUID CAT CRACKING","FCC",IF(OR($H6302="HYDROCRACKING",$H6302="RESID_HYDROCRACKING"),"Hydrocracker",IF($H6302="REFORMING","Reformer",""))))</f>
        <v/>
      </c>
      <c r="H6302" s="6" t="s">
        <v>43</v>
      </c>
      <c r="I6302" s="6" t="s">
        <v>915</v>
      </c>
      <c r="J6302" s="6" t="s">
        <v>345</v>
      </c>
      <c r="K6302" s="10">
        <v>3.2</v>
      </c>
      <c r="L6302" s="10">
        <v>20</v>
      </c>
      <c r="M6302" s="6" t="s">
        <v>375</v>
      </c>
    </row>
    <row r="6303" spans="1:13">
      <c r="A6303" s="6">
        <v>2025</v>
      </c>
      <c r="B6303" s="6">
        <v>8</v>
      </c>
      <c r="C6303" s="6" t="s">
        <v>66</v>
      </c>
      <c r="D6303" s="6" t="s">
        <v>680</v>
      </c>
      <c r="E6303" s="6" t="s">
        <v>681</v>
      </c>
      <c r="F6303" s="6" t="str">
        <f>IF($M6303="PADD I","PADD 1",IF($M6303="PADD II","PADD 2",IF($M6303="PADD III","PADD 3",IF($M6303="PADD IV","PADD 4",IF($M6303="PADD V","PADD 5","")))))</f>
        <v>PADD 3</v>
      </c>
      <c r="G6303" s="6">
        <f>IF(AND($H6303="ATMOS DISTILLATION",ISNUMBER(SEARCH("VPS",$I6303))=FALSE,LEFT($I6303,6)&lt;&gt;"VACUUM"),"CDU",IF($H6303="FLUID CAT CRACKING","FCC",IF(OR($H6303="HYDROCRACKING",$H6303="RESID_HYDROCRACKING"),"Hydrocracker",IF($H6303="REFORMING","Reformer",""))))</f>
        <v/>
      </c>
      <c r="H6303" s="6" t="s">
        <v>460</v>
      </c>
      <c r="I6303" s="6" t="s">
        <v>616</v>
      </c>
      <c r="J6303" s="6" t="s">
        <v>345</v>
      </c>
      <c r="K6303" s="10">
        <v>3.135</v>
      </c>
      <c r="L6303" s="10">
        <v>5.7</v>
      </c>
      <c r="M6303" s="6" t="s">
        <v>371</v>
      </c>
    </row>
    <row r="6304" spans="1:13">
      <c r="A6304" s="6">
        <v>2025</v>
      </c>
      <c r="B6304" s="6">
        <v>8</v>
      </c>
      <c r="C6304" s="6" t="s">
        <v>66</v>
      </c>
      <c r="D6304" s="6" t="s">
        <v>953</v>
      </c>
      <c r="E6304" s="6" t="s">
        <v>733</v>
      </c>
      <c r="F6304" s="6" t="str">
        <f>IF($M6304="PADD I","PADD 1",IF($M6304="PADD II","PADD 2",IF($M6304="PADD III","PADD 3",IF($M6304="PADD IV","PADD 4",IF($M6304="PADD V","PADD 5","")))))</f>
        <v>PADD 2</v>
      </c>
      <c r="G6304" s="6" t="str">
        <f>IF(AND($H6304="ATMOS DISTILLATION",ISNUMBER(SEARCH("VPS",$I6304))=FALSE,LEFT($I6304,6)&lt;&gt;"VACUUM"),"CDU",IF($H6304="FLUID CAT CRACKING","FCC",IF(OR($H6304="HYDROCRACKING",$H6304="RESID_HYDROCRACKING"),"Hydrocracker",IF($H6304="REFORMING","Reformer",""))))</f>
        <v>CDU</v>
      </c>
      <c r="H6304" s="6" t="s">
        <v>38</v>
      </c>
      <c r="I6304" s="6" t="s">
        <v>330</v>
      </c>
      <c r="J6304" s="6" t="s">
        <v>345</v>
      </c>
      <c r="K6304" s="10">
        <v>2.9958</v>
      </c>
      <c r="L6304" s="10">
        <v>49.93</v>
      </c>
      <c r="M6304" s="6" t="s">
        <v>375</v>
      </c>
    </row>
    <row r="6305" spans="1:13">
      <c r="A6305" s="6">
        <v>2025</v>
      </c>
      <c r="B6305" s="6">
        <v>8</v>
      </c>
      <c r="C6305" s="6" t="s">
        <v>66</v>
      </c>
      <c r="D6305" s="6" t="s">
        <v>484</v>
      </c>
      <c r="E6305" s="6" t="s">
        <v>409</v>
      </c>
      <c r="F6305" s="6" t="str">
        <f>IF($M6305="PADD I","PADD 1",IF($M6305="PADD II","PADD 2",IF($M6305="PADD III","PADD 3",IF($M6305="PADD IV","PADD 4",IF($M6305="PADD V","PADD 5","")))))</f>
        <v>PADD 3</v>
      </c>
      <c r="G6305" s="6">
        <f>IF(AND($H6305="ATMOS DISTILLATION",ISNUMBER(SEARCH("VPS",$I6305))=FALSE,LEFT($I6305,6)&lt;&gt;"VACUUM"),"CDU",IF($H6305="FLUID CAT CRACKING","FCC",IF(OR($H6305="HYDROCRACKING",$H6305="RESID_HYDROCRACKING"),"Hydrocracker",IF($H6305="REFORMING","Reformer",""))))</f>
        <v/>
      </c>
      <c r="H6305" s="6" t="s">
        <v>43</v>
      </c>
      <c r="I6305" s="6" t="s">
        <v>493</v>
      </c>
      <c r="J6305" s="6" t="s">
        <v>345</v>
      </c>
      <c r="K6305" s="10">
        <v>2.9</v>
      </c>
      <c r="L6305" s="10">
        <v>10</v>
      </c>
      <c r="M6305" s="6" t="s">
        <v>371</v>
      </c>
    </row>
    <row r="6306" spans="1:13">
      <c r="A6306" s="6">
        <v>2025</v>
      </c>
      <c r="B6306" s="6">
        <v>8</v>
      </c>
      <c r="C6306" s="6" t="s">
        <v>66</v>
      </c>
      <c r="D6306" s="6" t="s">
        <v>542</v>
      </c>
      <c r="E6306" s="6" t="s">
        <v>543</v>
      </c>
      <c r="F6306" s="6" t="str">
        <f>IF($M6306="PADD I","PADD 1",IF($M6306="PADD II","PADD 2",IF($M6306="PADD III","PADD 3",IF($M6306="PADD IV","PADD 4",IF($M6306="PADD V","PADD 5","")))))</f>
        <v>PADD 2</v>
      </c>
      <c r="G6306" s="6">
        <f>IF(AND($H6306="ATMOS DISTILLATION",ISNUMBER(SEARCH("VPS",$I6306))=FALSE,LEFT($I6306,6)&lt;&gt;"VACUUM"),"CDU",IF($H6306="FLUID CAT CRACKING","FCC",IF(OR($H6306="HYDROCRACKING",$H6306="RESID_HYDROCRACKING"),"Hydrocracker",IF($H6306="REFORMING","Reformer",""))))</f>
        <v/>
      </c>
      <c r="H6306" s="6" t="s">
        <v>43</v>
      </c>
      <c r="I6306" s="6" t="s">
        <v>1006</v>
      </c>
      <c r="J6306" s="6" t="s">
        <v>345</v>
      </c>
      <c r="K6306" s="10">
        <v>2.88</v>
      </c>
      <c r="L6306" s="10">
        <v>18</v>
      </c>
      <c r="M6306" s="6" t="s">
        <v>375</v>
      </c>
    </row>
    <row r="6307" spans="1:13">
      <c r="A6307" s="6">
        <v>2025</v>
      </c>
      <c r="B6307" s="6">
        <v>8</v>
      </c>
      <c r="C6307" s="6" t="s">
        <v>66</v>
      </c>
      <c r="D6307" s="6" t="s">
        <v>542</v>
      </c>
      <c r="E6307" s="6" t="s">
        <v>543</v>
      </c>
      <c r="F6307" s="6" t="str">
        <f>IF($M6307="PADD I","PADD 1",IF($M6307="PADD II","PADD 2",IF($M6307="PADD III","PADD 3",IF($M6307="PADD IV","PADD 4",IF($M6307="PADD V","PADD 5","")))))</f>
        <v>PADD 2</v>
      </c>
      <c r="G6307" s="6">
        <f>IF(AND($H6307="ATMOS DISTILLATION",ISNUMBER(SEARCH("VPS",$I6307))=FALSE,LEFT($I6307,6)&lt;&gt;"VACUUM"),"CDU",IF($H6307="FLUID CAT CRACKING","FCC",IF(OR($H6307="HYDROCRACKING",$H6307="RESID_HYDROCRACKING"),"Hydrocracker",IF($H6307="REFORMING","Reformer",""))))</f>
        <v/>
      </c>
      <c r="H6307" s="6" t="s">
        <v>568</v>
      </c>
      <c r="I6307" s="6" t="s">
        <v>604</v>
      </c>
      <c r="J6307" s="6" t="s">
        <v>345</v>
      </c>
      <c r="K6307" s="10">
        <v>2.79</v>
      </c>
      <c r="L6307" s="10">
        <v>27.9</v>
      </c>
      <c r="M6307" s="6" t="s">
        <v>375</v>
      </c>
    </row>
    <row r="6308" spans="1:13">
      <c r="A6308" s="6">
        <v>2025</v>
      </c>
      <c r="B6308" s="6">
        <v>8</v>
      </c>
      <c r="C6308" s="6" t="s">
        <v>66</v>
      </c>
      <c r="D6308" s="6" t="s">
        <v>563</v>
      </c>
      <c r="E6308" s="6" t="s">
        <v>396</v>
      </c>
      <c r="F6308" s="6" t="str">
        <f>IF($M6308="PADD I","PADD 1",IF($M6308="PADD II","PADD 2",IF($M6308="PADD III","PADD 3",IF($M6308="PADD IV","PADD 4",IF($M6308="PADD V","PADD 5","")))))</f>
        <v>PADD 3</v>
      </c>
      <c r="G6308" s="6">
        <f>IF(AND($H6308="ATMOS DISTILLATION",ISNUMBER(SEARCH("VPS",$I6308))=FALSE,LEFT($I6308,6)&lt;&gt;"VACUUM"),"CDU",IF($H6308="FLUID CAT CRACKING","FCC",IF(OR($H6308="HYDROCRACKING",$H6308="RESID_HYDROCRACKING"),"Hydrocracker",IF($H6308="REFORMING","Reformer",""))))</f>
        <v/>
      </c>
      <c r="H6308" s="6" t="s">
        <v>43</v>
      </c>
      <c r="I6308" s="6" t="s">
        <v>564</v>
      </c>
      <c r="J6308" s="6" t="s">
        <v>345</v>
      </c>
      <c r="K6308" s="10">
        <v>2.454</v>
      </c>
      <c r="L6308" s="10">
        <v>40.9</v>
      </c>
      <c r="M6308" s="6" t="s">
        <v>371</v>
      </c>
    </row>
    <row r="6309" spans="1:13">
      <c r="A6309" s="6">
        <v>2025</v>
      </c>
      <c r="B6309" s="6">
        <v>8</v>
      </c>
      <c r="C6309" s="6" t="s">
        <v>66</v>
      </c>
      <c r="D6309" s="6" t="s">
        <v>542</v>
      </c>
      <c r="E6309" s="6" t="s">
        <v>543</v>
      </c>
      <c r="F6309" s="6" t="str">
        <f>IF($M6309="PADD I","PADD 1",IF($M6309="PADD II","PADD 2",IF($M6309="PADD III","PADD 3",IF($M6309="PADD IV","PADD 4",IF($M6309="PADD V","PADD 5","")))))</f>
        <v>PADD 2</v>
      </c>
      <c r="G6309" s="6">
        <f>IF(AND($H6309="ATMOS DISTILLATION",ISNUMBER(SEARCH("VPS",$I6309))=FALSE,LEFT($I6309,6)&lt;&gt;"VACUUM"),"CDU",IF($H6309="FLUID CAT CRACKING","FCC",IF(OR($H6309="HYDROCRACKING",$H6309="RESID_HYDROCRACKING"),"Hydrocracker",IF($H6309="REFORMING","Reformer",""))))</f>
        <v/>
      </c>
      <c r="H6309" s="6" t="s">
        <v>43</v>
      </c>
      <c r="I6309" s="6" t="s">
        <v>1112</v>
      </c>
      <c r="J6309" s="6" t="s">
        <v>345</v>
      </c>
      <c r="K6309" s="10">
        <v>2.43</v>
      </c>
      <c r="L6309" s="10">
        <v>24.3</v>
      </c>
      <c r="M6309" s="6" t="s">
        <v>375</v>
      </c>
    </row>
    <row r="6310" spans="1:13">
      <c r="A6310" s="6">
        <v>2025</v>
      </c>
      <c r="B6310" s="6">
        <v>8</v>
      </c>
      <c r="C6310" s="6" t="s">
        <v>66</v>
      </c>
      <c r="D6310" s="6" t="s">
        <v>408</v>
      </c>
      <c r="E6310" s="6" t="s">
        <v>409</v>
      </c>
      <c r="F6310" s="6" t="str">
        <f>IF($M6310="PADD I","PADD 1",IF($M6310="PADD II","PADD 2",IF($M6310="PADD III","PADD 3",IF($M6310="PADD IV","PADD 4",IF($M6310="PADD V","PADD 5","")))))</f>
        <v>PADD 3</v>
      </c>
      <c r="G6310" s="6" t="str">
        <f>IF(AND($H6310="ATMOS DISTILLATION",ISNUMBER(SEARCH("VPS",$I6310))=FALSE,LEFT($I6310,6)&lt;&gt;"VACUUM"),"CDU",IF($H6310="FLUID CAT CRACKING","FCC",IF(OR($H6310="HYDROCRACKING",$H6310="RESID_HYDROCRACKING"),"Hydrocracker",IF($H6310="REFORMING","Reformer",""))))</f>
        <v>FCC</v>
      </c>
      <c r="H6310" s="6" t="s">
        <v>376</v>
      </c>
      <c r="I6310" s="6" t="s">
        <v>426</v>
      </c>
      <c r="J6310" s="6" t="s">
        <v>345</v>
      </c>
      <c r="K6310" s="10">
        <v>2.4</v>
      </c>
      <c r="L6310" s="10">
        <v>80</v>
      </c>
      <c r="M6310" s="6" t="s">
        <v>371</v>
      </c>
    </row>
    <row r="6311" spans="1:13">
      <c r="A6311" s="6">
        <v>2025</v>
      </c>
      <c r="B6311" s="6">
        <v>8</v>
      </c>
      <c r="C6311" s="6" t="s">
        <v>66</v>
      </c>
      <c r="D6311" s="6" t="s">
        <v>331</v>
      </c>
      <c r="E6311" s="6" t="s">
        <v>373</v>
      </c>
      <c r="F6311" s="6" t="str">
        <f>IF($M6311="PADD I","PADD 1",IF($M6311="PADD II","PADD 2",IF($M6311="PADD III","PADD 3",IF($M6311="PADD IV","PADD 4",IF($M6311="PADD V","PADD 5","")))))</f>
        <v>PADD 2</v>
      </c>
      <c r="G6311" s="6" t="str">
        <f>IF(AND($H6311="ATMOS DISTILLATION",ISNUMBER(SEARCH("VPS",$I6311))=FALSE,LEFT($I6311,6)&lt;&gt;"VACUUM"),"CDU",IF($H6311="FLUID CAT CRACKING","FCC",IF(OR($H6311="HYDROCRACKING",$H6311="RESID_HYDROCRACKING"),"Hydrocracker",IF($H6311="REFORMING","Reformer",""))))</f>
        <v>Reformer</v>
      </c>
      <c r="H6311" s="6" t="s">
        <v>421</v>
      </c>
      <c r="I6311" s="6" t="s">
        <v>916</v>
      </c>
      <c r="J6311" s="6" t="s">
        <v>345</v>
      </c>
      <c r="K6311" s="10">
        <v>2.4</v>
      </c>
      <c r="L6311" s="10">
        <v>40</v>
      </c>
      <c r="M6311" s="6" t="s">
        <v>375</v>
      </c>
    </row>
    <row r="6312" spans="1:13">
      <c r="A6312" s="6">
        <v>2025</v>
      </c>
      <c r="B6312" s="6">
        <v>8</v>
      </c>
      <c r="C6312" s="6" t="s">
        <v>66</v>
      </c>
      <c r="D6312" s="6" t="s">
        <v>40</v>
      </c>
      <c r="E6312" s="6" t="s">
        <v>736</v>
      </c>
      <c r="F6312" s="6" t="str">
        <f>IF($M6312="PADD I","PADD 1",IF($M6312="PADD II","PADD 2",IF($M6312="PADD III","PADD 3",IF($M6312="PADD IV","PADD 4",IF($M6312="PADD V","PADD 5","")))))</f>
        <v>PADD 1</v>
      </c>
      <c r="G6312" s="6" t="str">
        <f>IF(AND($H6312="ATMOS DISTILLATION",ISNUMBER(SEARCH("VPS",$I6312))=FALSE,LEFT($I6312,6)&lt;&gt;"VACUUM"),"CDU",IF($H6312="FLUID CAT CRACKING","FCC",IF(OR($H6312="HYDROCRACKING",$H6312="RESID_HYDROCRACKING"),"Hydrocracker",IF($H6312="REFORMING","Reformer",""))))</f>
        <v>Hydrocracker</v>
      </c>
      <c r="H6312" s="6" t="s">
        <v>444</v>
      </c>
      <c r="I6312" s="6" t="s">
        <v>445</v>
      </c>
      <c r="J6312" s="6" t="s">
        <v>345</v>
      </c>
      <c r="K6312" s="10">
        <v>2.3</v>
      </c>
      <c r="L6312" s="10">
        <v>23</v>
      </c>
      <c r="M6312" s="6" t="s">
        <v>413</v>
      </c>
    </row>
    <row r="6313" spans="1:13">
      <c r="A6313" s="6">
        <v>2025</v>
      </c>
      <c r="B6313" s="6">
        <v>8</v>
      </c>
      <c r="C6313" s="6" t="s">
        <v>66</v>
      </c>
      <c r="D6313" s="6" t="s">
        <v>602</v>
      </c>
      <c r="E6313" s="6" t="s">
        <v>369</v>
      </c>
      <c r="F6313" s="6" t="str">
        <f>IF($M6313="PADD I","PADD 1",IF($M6313="PADD II","PADD 2",IF($M6313="PADD III","PADD 3",IF($M6313="PADD IV","PADD 4",IF($M6313="PADD V","PADD 5","")))))</f>
        <v>PADD 2</v>
      </c>
      <c r="G6313" s="6" t="str">
        <f>IF(AND($H6313="ATMOS DISTILLATION",ISNUMBER(SEARCH("VPS",$I6313))=FALSE,LEFT($I6313,6)&lt;&gt;"VACUUM"),"CDU",IF($H6313="FLUID CAT CRACKING","FCC",IF(OR($H6313="HYDROCRACKING",$H6313="RESID_HYDROCRACKING"),"Hydrocracker",IF($H6313="REFORMING","Reformer",""))))</f>
        <v>CDU</v>
      </c>
      <c r="H6313" s="6" t="s">
        <v>38</v>
      </c>
      <c r="I6313" s="6" t="s">
        <v>661</v>
      </c>
      <c r="J6313" s="6" t="s">
        <v>345</v>
      </c>
      <c r="K6313" s="10">
        <v>2.28</v>
      </c>
      <c r="L6313" s="10">
        <v>38</v>
      </c>
      <c r="M6313" s="6" t="s">
        <v>375</v>
      </c>
    </row>
    <row r="6314" spans="1:13">
      <c r="A6314" s="6">
        <v>2025</v>
      </c>
      <c r="B6314" s="6">
        <v>8</v>
      </c>
      <c r="C6314" s="6" t="s">
        <v>66</v>
      </c>
      <c r="D6314" s="6" t="s">
        <v>542</v>
      </c>
      <c r="E6314" s="6" t="s">
        <v>543</v>
      </c>
      <c r="F6314" s="6" t="str">
        <f>IF($M6314="PADD I","PADD 1",IF($M6314="PADD II","PADD 2",IF($M6314="PADD III","PADD 3",IF($M6314="PADD IV","PADD 4",IF($M6314="PADD V","PADD 5","")))))</f>
        <v>PADD 2</v>
      </c>
      <c r="G6314" s="6">
        <f>IF(AND($H6314="ATMOS DISTILLATION",ISNUMBER(SEARCH("VPS",$I6314))=FALSE,LEFT($I6314,6)&lt;&gt;"VACUUM"),"CDU",IF($H6314="FLUID CAT CRACKING","FCC",IF(OR($H6314="HYDROCRACKING",$H6314="RESID_HYDROCRACKING"),"Hydrocracker",IF($H6314="REFORMING","Reformer",""))))</f>
        <v/>
      </c>
      <c r="H6314" s="6" t="s">
        <v>568</v>
      </c>
      <c r="I6314" s="6" t="s">
        <v>604</v>
      </c>
      <c r="J6314" s="6" t="s">
        <v>345</v>
      </c>
      <c r="K6314" s="10">
        <v>2.232</v>
      </c>
      <c r="L6314" s="10">
        <v>13.95</v>
      </c>
      <c r="M6314" s="6" t="s">
        <v>375</v>
      </c>
    </row>
    <row r="6315" spans="1:13">
      <c r="A6315" s="6">
        <v>2025</v>
      </c>
      <c r="B6315" s="6">
        <v>8</v>
      </c>
      <c r="C6315" s="6" t="s">
        <v>66</v>
      </c>
      <c r="D6315" s="6" t="s">
        <v>851</v>
      </c>
      <c r="E6315" s="6" t="s">
        <v>852</v>
      </c>
      <c r="F6315" s="6" t="str">
        <f>IF($M6315="PADD I","PADD 1",IF($M6315="PADD II","PADD 2",IF($M6315="PADD III","PADD 3",IF($M6315="PADD IV","PADD 4",IF($M6315="PADD V","PADD 5","")))))</f>
        <v>PADD 3</v>
      </c>
      <c r="G6315" s="6" t="str">
        <f>IF(AND($H6315="ATMOS DISTILLATION",ISNUMBER(SEARCH("VPS",$I6315))=FALSE,LEFT($I6315,6)&lt;&gt;"VACUUM"),"CDU",IF($H6315="FLUID CAT CRACKING","FCC",IF(OR($H6315="HYDROCRACKING",$H6315="RESID_HYDROCRACKING"),"Hydrocracker",IF($H6315="REFORMING","Reformer",""))))</f>
        <v>CDU</v>
      </c>
      <c r="H6315" s="6" t="s">
        <v>38</v>
      </c>
      <c r="I6315" s="6" t="s">
        <v>854</v>
      </c>
      <c r="J6315" s="6" t="s">
        <v>345</v>
      </c>
      <c r="K6315" s="10">
        <v>2.19</v>
      </c>
      <c r="L6315" s="10">
        <v>73</v>
      </c>
      <c r="M6315" s="6" t="s">
        <v>371</v>
      </c>
    </row>
    <row r="6316" spans="1:13">
      <c r="A6316" s="6">
        <v>2025</v>
      </c>
      <c r="B6316" s="6">
        <v>8</v>
      </c>
      <c r="C6316" s="6" t="s">
        <v>66</v>
      </c>
      <c r="D6316" s="6" t="s">
        <v>1032</v>
      </c>
      <c r="E6316" s="6" t="s">
        <v>1033</v>
      </c>
      <c r="F6316" s="6" t="str">
        <f>IF($M6316="PADD I","PADD 1",IF($M6316="PADD II","PADD 2",IF($M6316="PADD III","PADD 3",IF($M6316="PADD IV","PADD 4",IF($M6316="PADD V","PADD 5","")))))</f>
        <v>PADD 5</v>
      </c>
      <c r="G6316" s="6">
        <f>IF(AND($H6316="ATMOS DISTILLATION",ISNUMBER(SEARCH("VPS",$I6316))=FALSE,LEFT($I6316,6)&lt;&gt;"VACUUM"),"CDU",IF($H6316="FLUID CAT CRACKING","FCC",IF(OR($H6316="HYDROCRACKING",$H6316="RESID_HYDROCRACKING"),"Hydrocracker",IF($H6316="REFORMING","Reformer",""))))</f>
        <v/>
      </c>
      <c r="H6316" s="6" t="s">
        <v>378</v>
      </c>
      <c r="I6316" s="6" t="s">
        <v>1034</v>
      </c>
      <c r="J6316" s="6" t="s">
        <v>345</v>
      </c>
      <c r="K6316" s="10">
        <v>2</v>
      </c>
      <c r="L6316" s="10">
        <v>2</v>
      </c>
      <c r="M6316" s="6" t="s">
        <v>386</v>
      </c>
    </row>
    <row r="6317" spans="1:13">
      <c r="A6317" s="6">
        <v>2025</v>
      </c>
      <c r="B6317" s="6">
        <v>8</v>
      </c>
      <c r="C6317" s="6" t="s">
        <v>66</v>
      </c>
      <c r="D6317" s="6" t="s">
        <v>602</v>
      </c>
      <c r="E6317" s="6" t="s">
        <v>369</v>
      </c>
      <c r="F6317" s="6" t="str">
        <f>IF($M6317="PADD I","PADD 1",IF($M6317="PADD II","PADD 2",IF($M6317="PADD III","PADD 3",IF($M6317="PADD IV","PADD 4",IF($M6317="PADD V","PADD 5","")))))</f>
        <v>PADD 2</v>
      </c>
      <c r="G6317" s="6">
        <f>IF(AND($H6317="ATMOS DISTILLATION",ISNUMBER(SEARCH("VPS",$I6317))=FALSE,LEFT($I6317,6)&lt;&gt;"VACUUM"),"CDU",IF($H6317="FLUID CAT CRACKING","FCC",IF(OR($H6317="HYDROCRACKING",$H6317="RESID_HYDROCRACKING"),"Hydrocracker",IF($H6317="REFORMING","Reformer",""))))</f>
        <v/>
      </c>
      <c r="H6317" s="6" t="s">
        <v>378</v>
      </c>
      <c r="I6317" s="6" t="s">
        <v>536</v>
      </c>
      <c r="J6317" s="6" t="s">
        <v>345</v>
      </c>
      <c r="K6317" s="10">
        <v>1.95</v>
      </c>
      <c r="L6317" s="10">
        <v>15</v>
      </c>
      <c r="M6317" s="6" t="s">
        <v>375</v>
      </c>
    </row>
    <row r="6318" spans="1:13">
      <c r="A6318" s="6">
        <v>2025</v>
      </c>
      <c r="B6318" s="6">
        <v>8</v>
      </c>
      <c r="C6318" s="6" t="s">
        <v>66</v>
      </c>
      <c r="D6318" s="6" t="s">
        <v>542</v>
      </c>
      <c r="E6318" s="6" t="s">
        <v>543</v>
      </c>
      <c r="F6318" s="6" t="str">
        <f>IF($M6318="PADD I","PADD 1",IF($M6318="PADD II","PADD 2",IF($M6318="PADD III","PADD 3",IF($M6318="PADD IV","PADD 4",IF($M6318="PADD V","PADD 5","")))))</f>
        <v>PADD 2</v>
      </c>
      <c r="G6318" s="6">
        <f>IF(AND($H6318="ATMOS DISTILLATION",ISNUMBER(SEARCH("VPS",$I6318))=FALSE,LEFT($I6318,6)&lt;&gt;"VACUUM"),"CDU",IF($H6318="FLUID CAT CRACKING","FCC",IF(OR($H6318="HYDROCRACKING",$H6318="RESID_HYDROCRACKING"),"Hydrocracker",IF($H6318="REFORMING","Reformer",""))))</f>
        <v/>
      </c>
      <c r="H6318" s="6" t="s">
        <v>43</v>
      </c>
      <c r="I6318" s="6" t="s">
        <v>1112</v>
      </c>
      <c r="J6318" s="6" t="s">
        <v>345</v>
      </c>
      <c r="K6318" s="10">
        <v>1.944</v>
      </c>
      <c r="L6318" s="10">
        <v>12.15</v>
      </c>
      <c r="M6318" s="6" t="s">
        <v>375</v>
      </c>
    </row>
    <row r="6319" spans="1:13">
      <c r="A6319" s="6">
        <v>2025</v>
      </c>
      <c r="B6319" s="6">
        <v>8</v>
      </c>
      <c r="C6319" s="6" t="s">
        <v>66</v>
      </c>
      <c r="D6319" s="6" t="s">
        <v>662</v>
      </c>
      <c r="E6319" s="6" t="s">
        <v>552</v>
      </c>
      <c r="F6319" s="6" t="str">
        <f>IF($M6319="PADD I","PADD 1",IF($M6319="PADD II","PADD 2",IF($M6319="PADD III","PADD 3",IF($M6319="PADD IV","PADD 4",IF($M6319="PADD V","PADD 5","")))))</f>
        <v>PADD 3</v>
      </c>
      <c r="G6319" s="6">
        <f>IF(AND($H6319="ATMOS DISTILLATION",ISNUMBER(SEARCH("VPS",$I6319))=FALSE,LEFT($I6319,6)&lt;&gt;"VACUUM"),"CDU",IF($H6319="FLUID CAT CRACKING","FCC",IF(OR($H6319="HYDROCRACKING",$H6319="RESID_HYDROCRACKING"),"Hydrocracker",IF($H6319="REFORMING","Reformer",""))))</f>
        <v/>
      </c>
      <c r="H6319" s="6" t="s">
        <v>43</v>
      </c>
      <c r="I6319" s="6" t="s">
        <v>828</v>
      </c>
      <c r="J6319" s="6" t="s">
        <v>349</v>
      </c>
      <c r="K6319" s="10">
        <v>1.92</v>
      </c>
      <c r="L6319" s="10">
        <v>12</v>
      </c>
      <c r="M6319" s="6" t="s">
        <v>371</v>
      </c>
    </row>
    <row r="6320" spans="1:13">
      <c r="A6320" s="6">
        <v>2025</v>
      </c>
      <c r="B6320" s="6">
        <v>8</v>
      </c>
      <c r="C6320" s="6" t="s">
        <v>66</v>
      </c>
      <c r="D6320" s="6" t="s">
        <v>851</v>
      </c>
      <c r="E6320" s="6" t="s">
        <v>852</v>
      </c>
      <c r="F6320" s="6" t="str">
        <f>IF($M6320="PADD I","PADD 1",IF($M6320="PADD II","PADD 2",IF($M6320="PADD III","PADD 3",IF($M6320="PADD IV","PADD 4",IF($M6320="PADD V","PADD 5","")))))</f>
        <v>PADD 3</v>
      </c>
      <c r="G6320" s="6" t="str">
        <f>IF(AND($H6320="ATMOS DISTILLATION",ISNUMBER(SEARCH("VPS",$I6320))=FALSE,LEFT($I6320,6)&lt;&gt;"VACUUM"),"CDU",IF($H6320="FLUID CAT CRACKING","FCC",IF(OR($H6320="HYDROCRACKING",$H6320="RESID_HYDROCRACKING"),"Hydrocracker",IF($H6320="REFORMING","Reformer",""))))</f>
        <v>CDU</v>
      </c>
      <c r="H6320" s="6" t="s">
        <v>38</v>
      </c>
      <c r="I6320" s="6" t="s">
        <v>853</v>
      </c>
      <c r="J6320" s="6" t="s">
        <v>345</v>
      </c>
      <c r="K6320" s="10">
        <v>1.92</v>
      </c>
      <c r="L6320" s="10">
        <v>64</v>
      </c>
      <c r="M6320" s="6" t="s">
        <v>371</v>
      </c>
    </row>
    <row r="6321" spans="1:13">
      <c r="A6321" s="6">
        <v>2025</v>
      </c>
      <c r="B6321" s="6">
        <v>8</v>
      </c>
      <c r="C6321" s="6" t="s">
        <v>66</v>
      </c>
      <c r="D6321" s="6" t="s">
        <v>408</v>
      </c>
      <c r="E6321" s="6" t="s">
        <v>409</v>
      </c>
      <c r="F6321" s="6" t="str">
        <f>IF($M6321="PADD I","PADD 1",IF($M6321="PADD II","PADD 2",IF($M6321="PADD III","PADD 3",IF($M6321="PADD IV","PADD 4",IF($M6321="PADD V","PADD 5","")))))</f>
        <v>PADD 3</v>
      </c>
      <c r="G6321" s="6">
        <f>IF(AND($H6321="ATMOS DISTILLATION",ISNUMBER(SEARCH("VPS",$I6321))=FALSE,LEFT($I6321,6)&lt;&gt;"VACUUM"),"CDU",IF($H6321="FLUID CAT CRACKING","FCC",IF(OR($H6321="HYDROCRACKING",$H6321="RESID_HYDROCRACKING"),"Hydrocracker",IF($H6321="REFORMING","Reformer",""))))</f>
        <v/>
      </c>
      <c r="H6321" s="6" t="s">
        <v>435</v>
      </c>
      <c r="I6321" s="6" t="s">
        <v>459</v>
      </c>
      <c r="J6321" s="6" t="s">
        <v>345</v>
      </c>
      <c r="K6321" s="10">
        <v>1.8</v>
      </c>
      <c r="L6321" s="10">
        <v>60</v>
      </c>
      <c r="M6321" s="6" t="s">
        <v>371</v>
      </c>
    </row>
    <row r="6322" spans="1:13">
      <c r="A6322" s="6">
        <v>2025</v>
      </c>
      <c r="B6322" s="6">
        <v>8</v>
      </c>
      <c r="C6322" s="6" t="s">
        <v>66</v>
      </c>
      <c r="D6322" s="6" t="s">
        <v>40</v>
      </c>
      <c r="E6322" s="6" t="s">
        <v>736</v>
      </c>
      <c r="F6322" s="6" t="str">
        <f>IF($M6322="PADD I","PADD 1",IF($M6322="PADD II","PADD 2",IF($M6322="PADD III","PADD 3",IF($M6322="PADD IV","PADD 4",IF($M6322="PADD V","PADD 5","")))))</f>
        <v>PADD 1</v>
      </c>
      <c r="G6322" s="6" t="str">
        <f>IF(AND($H6322="ATMOS DISTILLATION",ISNUMBER(SEARCH("VPS",$I6322))=FALSE,LEFT($I6322,6)&lt;&gt;"VACUUM"),"CDU",IF($H6322="FLUID CAT CRACKING","FCC",IF(OR($H6322="HYDROCRACKING",$H6322="RESID_HYDROCRACKING"),"Hydrocracker",IF($H6322="REFORMING","Reformer",""))))</f>
        <v>Reformer</v>
      </c>
      <c r="H6322" s="6" t="s">
        <v>421</v>
      </c>
      <c r="I6322" s="6" t="s">
        <v>782</v>
      </c>
      <c r="J6322" s="6" t="s">
        <v>345</v>
      </c>
      <c r="K6322" s="10">
        <v>1.5</v>
      </c>
      <c r="L6322" s="10">
        <v>50</v>
      </c>
      <c r="M6322" s="6" t="s">
        <v>413</v>
      </c>
    </row>
    <row r="6323" spans="1:13">
      <c r="A6323" s="6">
        <v>2025</v>
      </c>
      <c r="B6323" s="6">
        <v>8</v>
      </c>
      <c r="C6323" s="6" t="s">
        <v>66</v>
      </c>
      <c r="D6323" s="6" t="s">
        <v>851</v>
      </c>
      <c r="E6323" s="6" t="s">
        <v>852</v>
      </c>
      <c r="F6323" s="6" t="str">
        <f>IF($M6323="PADD I","PADD 1",IF($M6323="PADD II","PADD 2",IF($M6323="PADD III","PADD 3",IF($M6323="PADD IV","PADD 4",IF($M6323="PADD V","PADD 5","")))))</f>
        <v>PADD 3</v>
      </c>
      <c r="G6323" s="6">
        <f>IF(AND($H6323="ATMOS DISTILLATION",ISNUMBER(SEARCH("VPS",$I6323))=FALSE,LEFT($I6323,6)&lt;&gt;"VACUUM"),"CDU",IF($H6323="FLUID CAT CRACKING","FCC",IF(OR($H6323="HYDROCRACKING",$H6323="RESID_HYDROCRACKING"),"Hydrocracker",IF($H6323="REFORMING","Reformer",""))))</f>
        <v/>
      </c>
      <c r="H6323" s="6" t="s">
        <v>378</v>
      </c>
      <c r="I6323" s="6" t="s">
        <v>860</v>
      </c>
      <c r="J6323" s="6" t="s">
        <v>345</v>
      </c>
      <c r="K6323" s="10">
        <v>1.08</v>
      </c>
      <c r="L6323" s="10">
        <v>36</v>
      </c>
      <c r="M6323" s="6" t="s">
        <v>371</v>
      </c>
    </row>
    <row r="6324" spans="1:13">
      <c r="A6324" s="6">
        <v>2025</v>
      </c>
      <c r="B6324" s="6">
        <v>8</v>
      </c>
      <c r="C6324" s="6" t="s">
        <v>66</v>
      </c>
      <c r="D6324" s="6" t="s">
        <v>960</v>
      </c>
      <c r="E6324" s="6" t="s">
        <v>881</v>
      </c>
      <c r="F6324" s="6" t="str">
        <f>IF($M6324="PADD I","PADD 1",IF($M6324="PADD II","PADD 2",IF($M6324="PADD III","PADD 3",IF($M6324="PADD IV","PADD 4",IF($M6324="PADD V","PADD 5","")))))</f>
        <v>PADD 3</v>
      </c>
      <c r="G6324" s="6">
        <f>IF(AND($H6324="ATMOS DISTILLATION",ISNUMBER(SEARCH("VPS",$I6324))=FALSE,LEFT($I6324,6)&lt;&gt;"VACUUM"),"CDU",IF($H6324="FLUID CAT CRACKING","FCC",IF(OR($H6324="HYDROCRACKING",$H6324="RESID_HYDROCRACKING"),"Hydrocracker",IF($H6324="REFORMING","Reformer",""))))</f>
        <v/>
      </c>
      <c r="H6324" s="6" t="s">
        <v>43</v>
      </c>
      <c r="I6324" s="6" t="s">
        <v>961</v>
      </c>
      <c r="J6324" s="6" t="s">
        <v>345</v>
      </c>
      <c r="K6324" s="10">
        <v>1.04</v>
      </c>
      <c r="L6324" s="10">
        <v>8</v>
      </c>
      <c r="M6324" s="6" t="s">
        <v>371</v>
      </c>
    </row>
    <row r="6325" spans="1:13">
      <c r="A6325" s="6">
        <v>2025</v>
      </c>
      <c r="B6325" s="6">
        <v>8</v>
      </c>
      <c r="C6325" s="6" t="s">
        <v>66</v>
      </c>
      <c r="D6325" s="6" t="s">
        <v>799</v>
      </c>
      <c r="E6325" s="6" t="s">
        <v>391</v>
      </c>
      <c r="F6325" s="6" t="str">
        <f>IF($M6325="PADD I","PADD 1",IF($M6325="PADD II","PADD 2",IF($M6325="PADD III","PADD 3",IF($M6325="PADD IV","PADD 4",IF($M6325="PADD V","PADD 5","")))))</f>
        <v>PADD 4</v>
      </c>
      <c r="G6325" s="6">
        <f>IF(AND($H6325="ATMOS DISTILLATION",ISNUMBER(SEARCH("VPS",$I6325))=FALSE,LEFT($I6325,6)&lt;&gt;"VACUUM"),"CDU",IF($H6325="FLUID CAT CRACKING","FCC",IF(OR($H6325="HYDROCRACKING",$H6325="RESID_HYDROCRACKING"),"Hydrocracker",IF($H6325="REFORMING","Reformer",""))))</f>
        <v/>
      </c>
      <c r="H6325" s="6" t="s">
        <v>435</v>
      </c>
      <c r="I6325" s="6" t="s">
        <v>1188</v>
      </c>
      <c r="J6325" s="6" t="s">
        <v>345</v>
      </c>
      <c r="K6325" s="10">
        <v>1</v>
      </c>
      <c r="L6325" s="10">
        <v>10</v>
      </c>
      <c r="M6325" s="6" t="s">
        <v>430</v>
      </c>
    </row>
    <row r="6326" spans="1:13">
      <c r="A6326" s="6">
        <v>2025</v>
      </c>
      <c r="B6326" s="6">
        <v>8</v>
      </c>
      <c r="C6326" s="6" t="s">
        <v>66</v>
      </c>
      <c r="D6326" s="6" t="s">
        <v>602</v>
      </c>
      <c r="E6326" s="6" t="s">
        <v>369</v>
      </c>
      <c r="F6326" s="6" t="str">
        <f>IF($M6326="PADD I","PADD 1",IF($M6326="PADD II","PADD 2",IF($M6326="PADD III","PADD 3",IF($M6326="PADD IV","PADD 4",IF($M6326="PADD V","PADD 5","")))))</f>
        <v>PADD 2</v>
      </c>
      <c r="G6326" s="6">
        <f>IF(AND($H6326="ATMOS DISTILLATION",ISNUMBER(SEARCH("VPS",$I6326))=FALSE,LEFT($I6326,6)&lt;&gt;"VACUUM"),"CDU",IF($H6326="FLUID CAT CRACKING","FCC",IF(OR($H6326="HYDROCRACKING",$H6326="RESID_HYDROCRACKING"),"Hydrocracker",IF($H6326="REFORMING","Reformer",""))))</f>
        <v/>
      </c>
      <c r="H6326" s="6" t="s">
        <v>378</v>
      </c>
      <c r="I6326" s="6" t="s">
        <v>536</v>
      </c>
      <c r="J6326" s="6" t="s">
        <v>345</v>
      </c>
      <c r="K6326" s="10">
        <v>0.9</v>
      </c>
      <c r="L6326" s="10">
        <v>15</v>
      </c>
      <c r="M6326" s="6" t="s">
        <v>375</v>
      </c>
    </row>
    <row r="6327" spans="1:13">
      <c r="A6327" s="6">
        <v>2025</v>
      </c>
      <c r="B6327" s="6">
        <v>8</v>
      </c>
      <c r="C6327" s="6" t="s">
        <v>66</v>
      </c>
      <c r="D6327" s="6" t="s">
        <v>434</v>
      </c>
      <c r="E6327" s="6" t="s">
        <v>388</v>
      </c>
      <c r="F6327" s="6" t="str">
        <f>IF($M6327="PADD I","PADD 1",IF($M6327="PADD II","PADD 2",IF($M6327="PADD III","PADD 3",IF($M6327="PADD IV","PADD 4",IF($M6327="PADD V","PADD 5","")))))</f>
        <v>PADD 5</v>
      </c>
      <c r="G6327" s="6" t="str">
        <f>IF(AND($H6327="ATMOS DISTILLATION",ISNUMBER(SEARCH("VPS",$I6327))=FALSE,LEFT($I6327,6)&lt;&gt;"VACUUM"),"CDU",IF($H6327="FLUID CAT CRACKING","FCC",IF(OR($H6327="HYDROCRACKING",$H6327="RESID_HYDROCRACKING"),"Hydrocracker",IF($H6327="REFORMING","Reformer",""))))</f>
        <v>Reformer</v>
      </c>
      <c r="H6327" s="6" t="s">
        <v>421</v>
      </c>
      <c r="I6327" s="6" t="s">
        <v>671</v>
      </c>
      <c r="J6327" s="6" t="s">
        <v>345</v>
      </c>
      <c r="K6327" s="10">
        <v>0.9</v>
      </c>
      <c r="L6327" s="10">
        <v>15</v>
      </c>
      <c r="M6327" s="6" t="s">
        <v>386</v>
      </c>
    </row>
    <row r="6328" spans="1:13">
      <c r="A6328" s="6">
        <v>2025</v>
      </c>
      <c r="B6328" s="6">
        <v>8</v>
      </c>
      <c r="C6328" s="6" t="s">
        <v>66</v>
      </c>
      <c r="D6328" s="6" t="s">
        <v>40</v>
      </c>
      <c r="E6328" s="6" t="s">
        <v>736</v>
      </c>
      <c r="F6328" s="6" t="str">
        <f>IF($M6328="PADD I","PADD 1",IF($M6328="PADD II","PADD 2",IF($M6328="PADD III","PADD 3",IF($M6328="PADD IV","PADD 4",IF($M6328="PADD V","PADD 5","")))))</f>
        <v>PADD 1</v>
      </c>
      <c r="G6328" s="6">
        <f>IF(AND($H6328="ATMOS DISTILLATION",ISNUMBER(SEARCH("VPS",$I6328))=FALSE,LEFT($I6328,6)&lt;&gt;"VACUUM"),"CDU",IF($H6328="FLUID CAT CRACKING","FCC",IF(OR($H6328="HYDROCRACKING",$H6328="RESID_HYDROCRACKING"),"Hydrocracker",IF($H6328="REFORMING","Reformer",""))))</f>
        <v/>
      </c>
      <c r="H6328" s="6" t="s">
        <v>43</v>
      </c>
      <c r="I6328" s="6" t="s">
        <v>1011</v>
      </c>
      <c r="J6328" s="6" t="s">
        <v>345</v>
      </c>
      <c r="K6328" s="10">
        <v>0.78</v>
      </c>
      <c r="L6328" s="10">
        <v>26</v>
      </c>
      <c r="M6328" s="6" t="s">
        <v>413</v>
      </c>
    </row>
    <row r="6329" spans="1:13">
      <c r="A6329" s="6">
        <v>2025</v>
      </c>
      <c r="B6329" s="6">
        <v>8</v>
      </c>
      <c r="C6329" s="6" t="s">
        <v>66</v>
      </c>
      <c r="D6329" s="6" t="s">
        <v>801</v>
      </c>
      <c r="E6329" s="6" t="s">
        <v>779</v>
      </c>
      <c r="F6329" s="6" t="str">
        <f>IF($M6329="PADD I","PADD 1",IF($M6329="PADD II","PADD 2",IF($M6329="PADD III","PADD 3",IF($M6329="PADD IV","PADD 4",IF($M6329="PADD V","PADD 5","")))))</f>
        <v>PADD 2</v>
      </c>
      <c r="G6329" s="6">
        <f>IF(AND($H6329="ATMOS DISTILLATION",ISNUMBER(SEARCH("VPS",$I6329))=FALSE,LEFT($I6329,6)&lt;&gt;"VACUUM"),"CDU",IF($H6329="FLUID CAT CRACKING","FCC",IF(OR($H6329="HYDROCRACKING",$H6329="RESID_HYDROCRACKING"),"Hydrocracker",IF($H6329="REFORMING","Reformer",""))))</f>
        <v/>
      </c>
      <c r="H6329" s="6" t="s">
        <v>460</v>
      </c>
      <c r="I6329" s="6" t="s">
        <v>461</v>
      </c>
      <c r="J6329" s="6" t="s">
        <v>349</v>
      </c>
      <c r="K6329" s="10">
        <v>0.6</v>
      </c>
      <c r="L6329" s="10">
        <v>6</v>
      </c>
      <c r="M6329" s="6" t="s">
        <v>375</v>
      </c>
    </row>
    <row r="6330" spans="1:13">
      <c r="A6330" s="6">
        <v>2025</v>
      </c>
      <c r="B6330" s="6">
        <v>8</v>
      </c>
      <c r="C6330" s="6" t="s">
        <v>66</v>
      </c>
      <c r="D6330" s="6" t="s">
        <v>457</v>
      </c>
      <c r="E6330" s="6" t="s">
        <v>388</v>
      </c>
      <c r="F6330" s="6" t="str">
        <f>IF($M6330="PADD I","PADD 1",IF($M6330="PADD II","PADD 2",IF($M6330="PADD III","PADD 3",IF($M6330="PADD IV","PADD 4",IF($M6330="PADD V","PADD 5","")))))</f>
        <v>PADD 5</v>
      </c>
      <c r="G6330" s="6" t="str">
        <f>IF(AND($H6330="ATMOS DISTILLATION",ISNUMBER(SEARCH("VPS",$I6330))=FALSE,LEFT($I6330,6)&lt;&gt;"VACUUM"),"CDU",IF($H6330="FLUID CAT CRACKING","FCC",IF(OR($H6330="HYDROCRACKING",$H6330="RESID_HYDROCRACKING"),"Hydrocracker",IF($H6330="REFORMING","Reformer",""))))</f>
        <v>Reformer</v>
      </c>
      <c r="H6330" s="6" t="s">
        <v>421</v>
      </c>
      <c r="I6330" s="6" t="s">
        <v>559</v>
      </c>
      <c r="J6330" s="6" t="s">
        <v>345</v>
      </c>
      <c r="K6330" s="10">
        <v>0.6</v>
      </c>
      <c r="L6330" s="10">
        <v>20</v>
      </c>
      <c r="M6330" s="6" t="s">
        <v>386</v>
      </c>
    </row>
    <row r="6331" spans="1:13">
      <c r="A6331" s="6">
        <v>2025</v>
      </c>
      <c r="B6331" s="6">
        <v>8</v>
      </c>
      <c r="C6331" s="6" t="s">
        <v>66</v>
      </c>
      <c r="D6331" s="6" t="s">
        <v>326</v>
      </c>
      <c r="E6331" s="6" t="s">
        <v>385</v>
      </c>
      <c r="F6331" s="6" t="str">
        <f>IF($M6331="PADD I","PADD 1",IF($M6331="PADD II","PADD 2",IF($M6331="PADD III","PADD 3",IF($M6331="PADD IV","PADD 4",IF($M6331="PADD V","PADD 5","")))))</f>
        <v>PADD 5</v>
      </c>
      <c r="G6331" s="6">
        <f>IF(AND($H6331="ATMOS DISTILLATION",ISNUMBER(SEARCH("VPS",$I6331))=FALSE,LEFT($I6331,6)&lt;&gt;"VACUUM"),"CDU",IF($H6331="FLUID CAT CRACKING","FCC",IF(OR($H6331="HYDROCRACKING",$H6331="RESID_HYDROCRACKING"),"Hydrocracker",IF($H6331="REFORMING","Reformer",""))))</f>
        <v/>
      </c>
      <c r="H6331" s="6" t="s">
        <v>568</v>
      </c>
      <c r="I6331" s="6" t="s">
        <v>604</v>
      </c>
      <c r="J6331" s="6" t="s">
        <v>345</v>
      </c>
      <c r="K6331" s="10">
        <v>0.53</v>
      </c>
      <c r="L6331" s="10">
        <v>0.53</v>
      </c>
      <c r="M6331" s="6" t="s">
        <v>386</v>
      </c>
    </row>
    <row r="6332" spans="1:13">
      <c r="A6332" s="6">
        <v>2025</v>
      </c>
      <c r="B6332" s="6">
        <v>8</v>
      </c>
      <c r="C6332" s="6" t="s">
        <v>66</v>
      </c>
      <c r="D6332" s="6" t="s">
        <v>1130</v>
      </c>
      <c r="E6332" s="6" t="s">
        <v>452</v>
      </c>
      <c r="F6332" s="6" t="str">
        <f>IF($M6332="PADD I","PADD 1",IF($M6332="PADD II","PADD 2",IF($M6332="PADD III","PADD 3",IF($M6332="PADD IV","PADD 4",IF($M6332="PADD V","PADD 5","")))))</f>
        <v>PADD 2</v>
      </c>
      <c r="G6332" s="6">
        <f>IF(AND($H6332="ATMOS DISTILLATION",ISNUMBER(SEARCH("VPS",$I6332))=FALSE,LEFT($I6332,6)&lt;&gt;"VACUUM"),"CDU",IF($H6332="FLUID CAT CRACKING","FCC",IF(OR($H6332="HYDROCRACKING",$H6332="RESID_HYDROCRACKING"),"Hydrocracker",IF($H6332="REFORMING","Reformer",""))))</f>
        <v/>
      </c>
      <c r="H6332" s="6" t="s">
        <v>43</v>
      </c>
      <c r="I6332" s="6" t="s">
        <v>493</v>
      </c>
      <c r="J6332" s="6" t="s">
        <v>345</v>
      </c>
      <c r="K6332" s="10">
        <v>0.465</v>
      </c>
      <c r="L6332" s="10">
        <v>15.5</v>
      </c>
      <c r="M6332" s="6" t="s">
        <v>375</v>
      </c>
    </row>
    <row r="6333" spans="1:13">
      <c r="A6333" s="6">
        <v>2025</v>
      </c>
      <c r="B6333" s="6">
        <v>8</v>
      </c>
      <c r="C6333" s="6" t="s">
        <v>66</v>
      </c>
      <c r="D6333" s="6" t="s">
        <v>662</v>
      </c>
      <c r="E6333" s="6" t="s">
        <v>552</v>
      </c>
      <c r="F6333" s="6" t="str">
        <f>IF($M6333="PADD I","PADD 1",IF($M6333="PADD II","PADD 2",IF($M6333="PADD III","PADD 3",IF($M6333="PADD IV","PADD 4",IF($M6333="PADD V","PADD 5","")))))</f>
        <v>PADD 3</v>
      </c>
      <c r="G6333" s="6">
        <f>IF(AND($H6333="ATMOS DISTILLATION",ISNUMBER(SEARCH("VPS",$I6333))=FALSE,LEFT($I6333,6)&lt;&gt;"VACUUM"),"CDU",IF($H6333="FLUID CAT CRACKING","FCC",IF(OR($H6333="HYDROCRACKING",$H6333="RESID_HYDROCRACKING"),"Hydrocracker",IF($H6333="REFORMING","Reformer",""))))</f>
        <v/>
      </c>
      <c r="H6333" s="6" t="s">
        <v>43</v>
      </c>
      <c r="I6333" s="6" t="s">
        <v>844</v>
      </c>
      <c r="J6333" s="6" t="s">
        <v>349</v>
      </c>
      <c r="K6333" s="10">
        <v>0.3</v>
      </c>
      <c r="L6333" s="10">
        <v>5</v>
      </c>
      <c r="M6333" s="6" t="s">
        <v>371</v>
      </c>
    </row>
    <row r="6334" spans="1:13">
      <c r="A6334" s="6">
        <v>2025</v>
      </c>
      <c r="B6334" s="6">
        <v>8</v>
      </c>
      <c r="C6334" s="6" t="s">
        <v>66</v>
      </c>
      <c r="D6334" s="6" t="s">
        <v>662</v>
      </c>
      <c r="E6334" s="6" t="s">
        <v>552</v>
      </c>
      <c r="F6334" s="6" t="str">
        <f>IF($M6334="PADD I","PADD 1",IF($M6334="PADD II","PADD 2",IF($M6334="PADD III","PADD 3",IF($M6334="PADD IV","PADD 4",IF($M6334="PADD V","PADD 5","")))))</f>
        <v>PADD 3</v>
      </c>
      <c r="G6334" s="6">
        <f>IF(AND($H6334="ATMOS DISTILLATION",ISNUMBER(SEARCH("VPS",$I6334))=FALSE,LEFT($I6334,6)&lt;&gt;"VACUUM"),"CDU",IF($H6334="FLUID CAT CRACKING","FCC",IF(OR($H6334="HYDROCRACKING",$H6334="RESID_HYDROCRACKING"),"Hydrocracker",IF($H6334="REFORMING","Reformer",""))))</f>
        <v/>
      </c>
      <c r="H6334" s="6" t="s">
        <v>43</v>
      </c>
      <c r="I6334" s="6" t="s">
        <v>844</v>
      </c>
      <c r="J6334" s="6" t="s">
        <v>349</v>
      </c>
      <c r="K6334" s="10">
        <v>0.15</v>
      </c>
      <c r="L6334" s="10">
        <v>5</v>
      </c>
      <c r="M6334" s="6" t="s">
        <v>371</v>
      </c>
    </row>
    <row r="6335" spans="1:13">
      <c r="A6335" s="6">
        <v>2025</v>
      </c>
      <c r="B6335" s="6">
        <v>8</v>
      </c>
      <c r="C6335" s="6" t="s">
        <v>66</v>
      </c>
      <c r="D6335" s="6" t="s">
        <v>451</v>
      </c>
      <c r="E6335" s="6" t="s">
        <v>452</v>
      </c>
      <c r="F6335" s="6" t="str">
        <f>IF($M6335="PADD I","PADD 1",IF($M6335="PADD II","PADD 2",IF($M6335="PADD III","PADD 3",IF($M6335="PADD IV","PADD 4",IF($M6335="PADD V","PADD 5","")))))</f>
        <v>PADD 2</v>
      </c>
      <c r="G6335" s="6">
        <f>IF(AND($H6335="ATMOS DISTILLATION",ISNUMBER(SEARCH("VPS",$I6335))=FALSE,LEFT($I6335,6)&lt;&gt;"VACUUM"),"CDU",IF($H6335="FLUID CAT CRACKING","FCC",IF(OR($H6335="HYDROCRACKING",$H6335="RESID_HYDROCRACKING"),"Hydrocracker",IF($H6335="REFORMING","Reformer",""))))</f>
        <v/>
      </c>
      <c r="H6335" s="6" t="s">
        <v>460</v>
      </c>
      <c r="I6335" s="6" t="s">
        <v>461</v>
      </c>
      <c r="J6335" s="6" t="s">
        <v>345</v>
      </c>
      <c r="K6335" s="10">
        <v>0.081</v>
      </c>
      <c r="L6335" s="10">
        <v>2.7</v>
      </c>
      <c r="M6335" s="6" t="s">
        <v>375</v>
      </c>
    </row>
    <row r="6336" spans="1:13">
      <c r="A6336" s="6">
        <v>2025</v>
      </c>
      <c r="B6336" s="6">
        <v>9</v>
      </c>
      <c r="C6336" s="6" t="s">
        <v>67</v>
      </c>
      <c r="D6336" s="6" t="s">
        <v>415</v>
      </c>
      <c r="E6336" s="6" t="s">
        <v>416</v>
      </c>
      <c r="F6336" s="6" t="str">
        <f>IF($M6336="PADD I","PADD 1",IF($M6336="PADD II","PADD 2",IF($M6336="PADD III","PADD 3",IF($M6336="PADD IV","PADD 4",IF($M6336="PADD V","PADD 5","")))))</f>
        <v>PADD 3</v>
      </c>
      <c r="G6336" s="6">
        <f>IF(AND($H6336="ATMOS DISTILLATION",ISNUMBER(SEARCH("VPS",$I6336))=FALSE,LEFT($I6336,6)&lt;&gt;"VACUUM"),"CDU",IF($H6336="FLUID CAT CRACKING","FCC",IF(OR($H6336="HYDROCRACKING",$H6336="RESID_HYDROCRACKING"),"Hydrocracker",IF($H6336="REFORMING","Reformer",""))))</f>
        <v/>
      </c>
      <c r="H6336" s="6" t="s">
        <v>378</v>
      </c>
      <c r="I6336" s="6" t="s">
        <v>1062</v>
      </c>
      <c r="J6336" s="6" t="s">
        <v>345</v>
      </c>
      <c r="K6336" s="10">
        <v>140</v>
      </c>
      <c r="L6336" s="10">
        <v>140</v>
      </c>
      <c r="M6336" s="6" t="s">
        <v>371</v>
      </c>
    </row>
    <row r="6337" spans="1:13">
      <c r="A6337" s="6">
        <v>2025</v>
      </c>
      <c r="B6337" s="6">
        <v>9</v>
      </c>
      <c r="C6337" s="6" t="s">
        <v>67</v>
      </c>
      <c r="D6337" s="6" t="s">
        <v>408</v>
      </c>
      <c r="E6337" s="6" t="s">
        <v>409</v>
      </c>
      <c r="F6337" s="6" t="str">
        <f>IF($M6337="PADD I","PADD 1",IF($M6337="PADD II","PADD 2",IF($M6337="PADD III","PADD 3",IF($M6337="PADD IV","PADD 4",IF($M6337="PADD V","PADD 5","")))))</f>
        <v>PADD 3</v>
      </c>
      <c r="G6337" s="6" t="str">
        <f>IF(AND($H6337="ATMOS DISTILLATION",ISNUMBER(SEARCH("VPS",$I6337))=FALSE,LEFT($I6337,6)&lt;&gt;"VACUUM"),"CDU",IF($H6337="FLUID CAT CRACKING","FCC",IF(OR($H6337="HYDROCRACKING",$H6337="RESID_HYDROCRACKING"),"Hydrocracker",IF($H6337="REFORMING","Reformer",""))))</f>
        <v>CDU</v>
      </c>
      <c r="H6337" s="6" t="s">
        <v>38</v>
      </c>
      <c r="I6337" s="6" t="s">
        <v>410</v>
      </c>
      <c r="J6337" s="6" t="s">
        <v>349</v>
      </c>
      <c r="K6337" s="10">
        <v>130.5</v>
      </c>
      <c r="L6337" s="10">
        <v>150</v>
      </c>
      <c r="M6337" s="6" t="s">
        <v>371</v>
      </c>
    </row>
    <row r="6338" spans="1:13">
      <c r="A6338" s="6">
        <v>2025</v>
      </c>
      <c r="B6338" s="6">
        <v>9</v>
      </c>
      <c r="C6338" s="6" t="s">
        <v>67</v>
      </c>
      <c r="D6338" s="6" t="s">
        <v>801</v>
      </c>
      <c r="E6338" s="6" t="s">
        <v>779</v>
      </c>
      <c r="F6338" s="6" t="str">
        <f>IF($M6338="PADD I","PADD 1",IF($M6338="PADD II","PADD 2",IF($M6338="PADD III","PADD 3",IF($M6338="PADD IV","PADD 4",IF($M6338="PADD V","PADD 5","")))))</f>
        <v>PADD 2</v>
      </c>
      <c r="G6338" s="6" t="str">
        <f>IF(AND($H6338="ATMOS DISTILLATION",ISNUMBER(SEARCH("VPS",$I6338))=FALSE,LEFT($I6338,6)&lt;&gt;"VACUUM"),"CDU",IF($H6338="FLUID CAT CRACKING","FCC",IF(OR($H6338="HYDROCRACKING",$H6338="RESID_HYDROCRACKING"),"Hydrocracker",IF($H6338="REFORMING","Reformer",""))))</f>
        <v>CDU</v>
      </c>
      <c r="H6338" s="6" t="s">
        <v>38</v>
      </c>
      <c r="I6338" s="6" t="s">
        <v>979</v>
      </c>
      <c r="J6338" s="6" t="s">
        <v>349</v>
      </c>
      <c r="K6338" s="10">
        <v>115.5</v>
      </c>
      <c r="L6338" s="10">
        <v>165</v>
      </c>
      <c r="M6338" s="6" t="s">
        <v>375</v>
      </c>
    </row>
    <row r="6339" spans="1:13">
      <c r="A6339" s="6">
        <v>2025</v>
      </c>
      <c r="B6339" s="6">
        <v>9</v>
      </c>
      <c r="C6339" s="6" t="s">
        <v>67</v>
      </c>
      <c r="D6339" s="6" t="s">
        <v>319</v>
      </c>
      <c r="E6339" s="6" t="s">
        <v>665</v>
      </c>
      <c r="F6339" s="6" t="str">
        <f>IF($M6339="PADD I","PADD 1",IF($M6339="PADD II","PADD 2",IF($M6339="PADD III","PADD 3",IF($M6339="PADD IV","PADD 4",IF($M6339="PADD V","PADD 5","")))))</f>
        <v>PADD 3</v>
      </c>
      <c r="G6339" s="6" t="str">
        <f>IF(AND($H6339="ATMOS DISTILLATION",ISNUMBER(SEARCH("VPS",$I6339))=FALSE,LEFT($I6339,6)&lt;&gt;"VACUUM"),"CDU",IF($H6339="FLUID CAT CRACKING","FCC",IF(OR($H6339="HYDROCRACKING",$H6339="RESID_HYDROCRACKING"),"Hydrocracker",IF($H6339="REFORMING","Reformer",""))))</f>
        <v>FCC</v>
      </c>
      <c r="H6339" s="6" t="s">
        <v>376</v>
      </c>
      <c r="I6339" s="6" t="s">
        <v>875</v>
      </c>
      <c r="J6339" s="6" t="s">
        <v>349</v>
      </c>
      <c r="K6339" s="10">
        <v>112</v>
      </c>
      <c r="L6339" s="10">
        <v>112</v>
      </c>
      <c r="M6339" s="6" t="s">
        <v>371</v>
      </c>
    </row>
    <row r="6340" spans="1:13">
      <c r="A6340" s="6">
        <v>2025</v>
      </c>
      <c r="B6340" s="6">
        <v>9</v>
      </c>
      <c r="C6340" s="6" t="s">
        <v>67</v>
      </c>
      <c r="D6340" s="6" t="s">
        <v>415</v>
      </c>
      <c r="E6340" s="6" t="s">
        <v>416</v>
      </c>
      <c r="F6340" s="6" t="str">
        <f>IF($M6340="PADD I","PADD 1",IF($M6340="PADD II","PADD 2",IF($M6340="PADD III","PADD 3",IF($M6340="PADD IV","PADD 4",IF($M6340="PADD V","PADD 5","")))))</f>
        <v>PADD 3</v>
      </c>
      <c r="G6340" s="6" t="str">
        <f>IF(AND($H6340="ATMOS DISTILLATION",ISNUMBER(SEARCH("VPS",$I6340))=FALSE,LEFT($I6340,6)&lt;&gt;"VACUUM"),"CDU",IF($H6340="FLUID CAT CRACKING","FCC",IF(OR($H6340="HYDROCRACKING",$H6340="RESID_HYDROCRACKING"),"Hydrocracker",IF($H6340="REFORMING","Reformer",""))))</f>
        <v>CDU</v>
      </c>
      <c r="H6340" s="6" t="s">
        <v>38</v>
      </c>
      <c r="I6340" s="6" t="s">
        <v>133</v>
      </c>
      <c r="J6340" s="6" t="s">
        <v>345</v>
      </c>
      <c r="K6340" s="10">
        <v>100</v>
      </c>
      <c r="L6340" s="10">
        <v>100</v>
      </c>
      <c r="M6340" s="6" t="s">
        <v>371</v>
      </c>
    </row>
    <row r="6341" spans="1:13">
      <c r="A6341" s="6">
        <v>2025</v>
      </c>
      <c r="B6341" s="6">
        <v>9</v>
      </c>
      <c r="C6341" s="6" t="s">
        <v>67</v>
      </c>
      <c r="D6341" s="6" t="s">
        <v>670</v>
      </c>
      <c r="E6341" s="6" t="s">
        <v>405</v>
      </c>
      <c r="F6341" s="6" t="str">
        <f>IF($M6341="PADD I","PADD 1",IF($M6341="PADD II","PADD 2",IF($M6341="PADD III","PADD 3",IF($M6341="PADD IV","PADD 4",IF($M6341="PADD V","PADD 5","")))))</f>
        <v>PADD 2</v>
      </c>
      <c r="G6341" s="6" t="str">
        <f>IF(AND($H6341="ATMOS DISTILLATION",ISNUMBER(SEARCH("VPS",$I6341))=FALSE,LEFT($I6341,6)&lt;&gt;"VACUUM"),"CDU",IF($H6341="FLUID CAT CRACKING","FCC",IF(OR($H6341="HYDROCRACKING",$H6341="RESID_HYDROCRACKING"),"Hydrocracker",IF($H6341="REFORMING","Reformer",""))))</f>
        <v>CDU</v>
      </c>
      <c r="H6341" s="6" t="s">
        <v>38</v>
      </c>
      <c r="I6341" s="6" t="s">
        <v>107</v>
      </c>
      <c r="J6341" s="6" t="s">
        <v>345</v>
      </c>
      <c r="K6341" s="10">
        <v>80.84999999999999</v>
      </c>
      <c r="L6341" s="10">
        <v>105</v>
      </c>
      <c r="M6341" s="6" t="s">
        <v>375</v>
      </c>
    </row>
    <row r="6342" spans="1:13">
      <c r="A6342" s="6">
        <v>2025</v>
      </c>
      <c r="B6342" s="6">
        <v>9</v>
      </c>
      <c r="C6342" s="6" t="s">
        <v>67</v>
      </c>
      <c r="D6342" s="6" t="s">
        <v>576</v>
      </c>
      <c r="E6342" s="6" t="s">
        <v>369</v>
      </c>
      <c r="F6342" s="6" t="str">
        <f>IF($M6342="PADD I","PADD 1",IF($M6342="PADD II","PADD 2",IF($M6342="PADD III","PADD 3",IF($M6342="PADD IV","PADD 4",IF($M6342="PADD V","PADD 5","")))))</f>
        <v>PADD 3</v>
      </c>
      <c r="G6342" s="6" t="str">
        <f>IF(AND($H6342="ATMOS DISTILLATION",ISNUMBER(SEARCH("VPS",$I6342))=FALSE,LEFT($I6342,6)&lt;&gt;"VACUUM"),"CDU",IF($H6342="FLUID CAT CRACKING","FCC",IF(OR($H6342="HYDROCRACKING",$H6342="RESID_HYDROCRACKING"),"Hydrocracker",IF($H6342="REFORMING","Reformer",""))))</f>
        <v>CDU</v>
      </c>
      <c r="H6342" s="6" t="s">
        <v>38</v>
      </c>
      <c r="I6342" s="6" t="s">
        <v>1319</v>
      </c>
      <c r="J6342" s="6" t="s">
        <v>349</v>
      </c>
      <c r="K6342" s="10">
        <v>80</v>
      </c>
      <c r="L6342" s="10">
        <v>80</v>
      </c>
      <c r="M6342" s="6" t="s">
        <v>371</v>
      </c>
    </row>
    <row r="6343" spans="1:13">
      <c r="A6343" s="6">
        <v>2025</v>
      </c>
      <c r="B6343" s="6">
        <v>9</v>
      </c>
      <c r="C6343" s="6" t="s">
        <v>67</v>
      </c>
      <c r="D6343" s="6" t="s">
        <v>547</v>
      </c>
      <c r="E6343" s="6" t="s">
        <v>391</v>
      </c>
      <c r="F6343" s="6" t="str">
        <f>IF($M6343="PADD I","PADD 1",IF($M6343="PADD II","PADD 2",IF($M6343="PADD III","PADD 3",IF($M6343="PADD IV","PADD 4",IF($M6343="PADD V","PADD 5","")))))</f>
        <v>PADD 5</v>
      </c>
      <c r="G6343" s="6">
        <f>IF(AND($H6343="ATMOS DISTILLATION",ISNUMBER(SEARCH("VPS",$I6343))=FALSE,LEFT($I6343,6)&lt;&gt;"VACUUM"),"CDU",IF($H6343="FLUID CAT CRACKING","FCC",IF(OR($H6343="HYDROCRACKING",$H6343="RESID_HYDROCRACKING"),"Hydrocracker",IF($H6343="REFORMING","Reformer",""))))</f>
        <v/>
      </c>
      <c r="H6343" s="6" t="s">
        <v>43</v>
      </c>
      <c r="I6343" s="6" t="s">
        <v>926</v>
      </c>
      <c r="J6343" s="6" t="s">
        <v>349</v>
      </c>
      <c r="K6343" s="10">
        <v>77.59999999999999</v>
      </c>
      <c r="L6343" s="10">
        <v>80</v>
      </c>
      <c r="M6343" s="6" t="s">
        <v>386</v>
      </c>
    </row>
    <row r="6344" spans="1:13">
      <c r="A6344" s="6">
        <v>2025</v>
      </c>
      <c r="B6344" s="6">
        <v>9</v>
      </c>
      <c r="C6344" s="6" t="s">
        <v>67</v>
      </c>
      <c r="D6344" s="6" t="s">
        <v>326</v>
      </c>
      <c r="E6344" s="6" t="s">
        <v>385</v>
      </c>
      <c r="F6344" s="6" t="str">
        <f>IF($M6344="PADD I","PADD 1",IF($M6344="PADD II","PADD 2",IF($M6344="PADD III","PADD 3",IF($M6344="PADD IV","PADD 4",IF($M6344="PADD V","PADD 5","")))))</f>
        <v>PADD 5</v>
      </c>
      <c r="G6344" s="6">
        <f>IF(AND($H6344="ATMOS DISTILLATION",ISNUMBER(SEARCH("VPS",$I6344))=FALSE,LEFT($I6344,6)&lt;&gt;"VACUUM"),"CDU",IF($H6344="FLUID CAT CRACKING","FCC",IF(OR($H6344="HYDROCRACKING",$H6344="RESID_HYDROCRACKING"),"Hydrocracker",IF($H6344="REFORMING","Reformer",""))))</f>
        <v/>
      </c>
      <c r="H6344" s="6" t="s">
        <v>43</v>
      </c>
      <c r="I6344" s="6" t="s">
        <v>1285</v>
      </c>
      <c r="J6344" s="6" t="s">
        <v>345</v>
      </c>
      <c r="K6344" s="10">
        <v>77.5</v>
      </c>
      <c r="L6344" s="10">
        <v>77.5</v>
      </c>
      <c r="M6344" s="6" t="s">
        <v>386</v>
      </c>
    </row>
    <row r="6345" spans="1:13">
      <c r="A6345" s="6">
        <v>2025</v>
      </c>
      <c r="B6345" s="6">
        <v>9</v>
      </c>
      <c r="C6345" s="6" t="s">
        <v>67</v>
      </c>
      <c r="D6345" s="6" t="s">
        <v>408</v>
      </c>
      <c r="E6345" s="6" t="s">
        <v>409</v>
      </c>
      <c r="F6345" s="6" t="str">
        <f>IF($M6345="PADD I","PADD 1",IF($M6345="PADD II","PADD 2",IF($M6345="PADD III","PADD 3",IF($M6345="PADD IV","PADD 4",IF($M6345="PADD V","PADD 5","")))))</f>
        <v>PADD 3</v>
      </c>
      <c r="G6345" s="6" t="str">
        <f>IF(AND($H6345="ATMOS DISTILLATION",ISNUMBER(SEARCH("VPS",$I6345))=FALSE,LEFT($I6345,6)&lt;&gt;"VACUUM"),"CDU",IF($H6345="FLUID CAT CRACKING","FCC",IF(OR($H6345="HYDROCRACKING",$H6345="RESID_HYDROCRACKING"),"Hydrocracker",IF($H6345="REFORMING","Reformer",""))))</f>
        <v>CDU</v>
      </c>
      <c r="H6345" s="6" t="s">
        <v>38</v>
      </c>
      <c r="I6345" s="6" t="s">
        <v>410</v>
      </c>
      <c r="J6345" s="6" t="s">
        <v>345</v>
      </c>
      <c r="K6345" s="10">
        <v>74.40000000000001</v>
      </c>
      <c r="L6345" s="10">
        <v>80</v>
      </c>
      <c r="M6345" s="6" t="s">
        <v>371</v>
      </c>
    </row>
    <row r="6346" spans="1:13">
      <c r="A6346" s="6">
        <v>2025</v>
      </c>
      <c r="B6346" s="6">
        <v>9</v>
      </c>
      <c r="C6346" s="6" t="s">
        <v>67</v>
      </c>
      <c r="D6346" s="6" t="s">
        <v>324</v>
      </c>
      <c r="E6346" s="6" t="s">
        <v>388</v>
      </c>
      <c r="F6346" s="6" t="str">
        <f>IF($M6346="PADD I","PADD 1",IF($M6346="PADD II","PADD 2",IF($M6346="PADD III","PADD 3",IF($M6346="PADD IV","PADD 4",IF($M6346="PADD V","PADD 5","")))))</f>
        <v>PADD 3</v>
      </c>
      <c r="G6346" s="6">
        <f>IF(AND($H6346="ATMOS DISTILLATION",ISNUMBER(SEARCH("VPS",$I6346))=FALSE,LEFT($I6346,6)&lt;&gt;"VACUUM"),"CDU",IF($H6346="FLUID CAT CRACKING","FCC",IF(OR($H6346="HYDROCRACKING",$H6346="RESID_HYDROCRACKING"),"Hydrocracker",IF($H6346="REFORMING","Reformer",""))))</f>
        <v/>
      </c>
      <c r="H6346" s="6" t="s">
        <v>378</v>
      </c>
      <c r="I6346" s="6" t="s">
        <v>942</v>
      </c>
      <c r="J6346" s="6" t="s">
        <v>345</v>
      </c>
      <c r="K6346" s="10">
        <v>74.25</v>
      </c>
      <c r="L6346" s="10">
        <v>148.5</v>
      </c>
      <c r="M6346" s="6" t="s">
        <v>371</v>
      </c>
    </row>
    <row r="6347" spans="1:13">
      <c r="A6347" s="6">
        <v>2025</v>
      </c>
      <c r="B6347" s="6">
        <v>9</v>
      </c>
      <c r="C6347" s="6" t="s">
        <v>67</v>
      </c>
      <c r="D6347" s="6" t="s">
        <v>324</v>
      </c>
      <c r="E6347" s="6" t="s">
        <v>388</v>
      </c>
      <c r="F6347" s="6" t="str">
        <f>IF($M6347="PADD I","PADD 1",IF($M6347="PADD II","PADD 2",IF($M6347="PADD III","PADD 3",IF($M6347="PADD IV","PADD 4",IF($M6347="PADD V","PADD 5","")))))</f>
        <v>PADD 3</v>
      </c>
      <c r="G6347" s="6" t="str">
        <f>IF(AND($H6347="ATMOS DISTILLATION",ISNUMBER(SEARCH("VPS",$I6347))=FALSE,LEFT($I6347,6)&lt;&gt;"VACUUM"),"CDU",IF($H6347="FLUID CAT CRACKING","FCC",IF(OR($H6347="HYDROCRACKING",$H6347="RESID_HYDROCRACKING"),"Hydrocracker",IF($H6347="REFORMING","Reformer",""))))</f>
        <v>CDU</v>
      </c>
      <c r="H6347" s="6" t="s">
        <v>38</v>
      </c>
      <c r="I6347" s="6" t="s">
        <v>98</v>
      </c>
      <c r="J6347" s="6" t="s">
        <v>349</v>
      </c>
      <c r="K6347" s="10">
        <v>72.5</v>
      </c>
      <c r="L6347" s="10">
        <v>145</v>
      </c>
      <c r="M6347" s="6" t="s">
        <v>371</v>
      </c>
    </row>
    <row r="6348" spans="1:13">
      <c r="A6348" s="6">
        <v>2025</v>
      </c>
      <c r="B6348" s="6">
        <v>9</v>
      </c>
      <c r="C6348" s="6" t="s">
        <v>67</v>
      </c>
      <c r="D6348" s="6" t="s">
        <v>324</v>
      </c>
      <c r="E6348" s="6" t="s">
        <v>388</v>
      </c>
      <c r="F6348" s="6" t="str">
        <f>IF($M6348="PADD I","PADD 1",IF($M6348="PADD II","PADD 2",IF($M6348="PADD III","PADD 3",IF($M6348="PADD IV","PADD 4",IF($M6348="PADD V","PADD 5","")))))</f>
        <v>PADD 3</v>
      </c>
      <c r="G6348" s="6" t="str">
        <f>IF(AND($H6348="ATMOS DISTILLATION",ISNUMBER(SEARCH("VPS",$I6348))=FALSE,LEFT($I6348,6)&lt;&gt;"VACUUM"),"CDU",IF($H6348="FLUID CAT CRACKING","FCC",IF(OR($H6348="HYDROCRACKING",$H6348="RESID_HYDROCRACKING"),"Hydrocracker",IF($H6348="REFORMING","Reformer",""))))</f>
        <v>CDU</v>
      </c>
      <c r="H6348" s="6" t="s">
        <v>38</v>
      </c>
      <c r="I6348" s="6" t="s">
        <v>96</v>
      </c>
      <c r="J6348" s="6" t="s">
        <v>349</v>
      </c>
      <c r="K6348" s="10">
        <v>72.5</v>
      </c>
      <c r="L6348" s="10">
        <v>145</v>
      </c>
      <c r="M6348" s="6" t="s">
        <v>371</v>
      </c>
    </row>
    <row r="6349" spans="1:13">
      <c r="A6349" s="6">
        <v>2025</v>
      </c>
      <c r="B6349" s="6">
        <v>9</v>
      </c>
      <c r="C6349" s="6" t="s">
        <v>67</v>
      </c>
      <c r="D6349" s="6" t="s">
        <v>387</v>
      </c>
      <c r="E6349" s="6" t="s">
        <v>388</v>
      </c>
      <c r="F6349" s="6" t="str">
        <f>IF($M6349="PADD I","PADD 1",IF($M6349="PADD II","PADD 2",IF($M6349="PADD III","PADD 3",IF($M6349="PADD IV","PADD 4",IF($M6349="PADD V","PADD 5","")))))</f>
        <v>PADD 3</v>
      </c>
      <c r="G6349" s="6" t="str">
        <f>IF(AND($H6349="ATMOS DISTILLATION",ISNUMBER(SEARCH("VPS",$I6349))=FALSE,LEFT($I6349,6)&lt;&gt;"VACUUM"),"CDU",IF($H6349="FLUID CAT CRACKING","FCC",IF(OR($H6349="HYDROCRACKING",$H6349="RESID_HYDROCRACKING"),"Hydrocracker",IF($H6349="REFORMING","Reformer",""))))</f>
        <v>Hydrocracker</v>
      </c>
      <c r="H6349" s="6" t="s">
        <v>444</v>
      </c>
      <c r="I6349" s="6" t="s">
        <v>476</v>
      </c>
      <c r="J6349" s="6" t="s">
        <v>345</v>
      </c>
      <c r="K6349" s="10">
        <v>70</v>
      </c>
      <c r="L6349" s="10">
        <v>70</v>
      </c>
      <c r="M6349" s="6" t="s">
        <v>371</v>
      </c>
    </row>
    <row r="6350" spans="1:13">
      <c r="A6350" s="6">
        <v>2025</v>
      </c>
      <c r="B6350" s="6">
        <v>9</v>
      </c>
      <c r="C6350" s="6" t="s">
        <v>67</v>
      </c>
      <c r="D6350" s="6" t="s">
        <v>326</v>
      </c>
      <c r="E6350" s="6" t="s">
        <v>385</v>
      </c>
      <c r="F6350" s="6" t="str">
        <f>IF($M6350="PADD I","PADD 1",IF($M6350="PADD II","PADD 2",IF($M6350="PADD III","PADD 3",IF($M6350="PADD IV","PADD 4",IF($M6350="PADD V","PADD 5","")))))</f>
        <v>PADD 5</v>
      </c>
      <c r="G6350" s="6" t="str">
        <f>IF(AND($H6350="ATMOS DISTILLATION",ISNUMBER(SEARCH("VPS",$I6350))=FALSE,LEFT($I6350,6)&lt;&gt;"VACUUM"),"CDU",IF($H6350="FLUID CAT CRACKING","FCC",IF(OR($H6350="HYDROCRACKING",$H6350="RESID_HYDROCRACKING"),"Hydrocracker",IF($H6350="REFORMING","Reformer",""))))</f>
        <v>FCC</v>
      </c>
      <c r="H6350" s="6" t="s">
        <v>376</v>
      </c>
      <c r="I6350" s="6" t="s">
        <v>504</v>
      </c>
      <c r="J6350" s="6" t="s">
        <v>345</v>
      </c>
      <c r="K6350" s="10">
        <v>70</v>
      </c>
      <c r="L6350" s="10">
        <v>70</v>
      </c>
      <c r="M6350" s="6" t="s">
        <v>386</v>
      </c>
    </row>
    <row r="6351" spans="1:13">
      <c r="A6351" s="6">
        <v>2025</v>
      </c>
      <c r="B6351" s="6">
        <v>9</v>
      </c>
      <c r="C6351" s="6" t="s">
        <v>67</v>
      </c>
      <c r="D6351" s="6" t="s">
        <v>576</v>
      </c>
      <c r="E6351" s="6" t="s">
        <v>369</v>
      </c>
      <c r="F6351" s="6" t="str">
        <f>IF($M6351="PADD I","PADD 1",IF($M6351="PADD II","PADD 2",IF($M6351="PADD III","PADD 3",IF($M6351="PADD IV","PADD 4",IF($M6351="PADD V","PADD 5","")))))</f>
        <v>PADD 3</v>
      </c>
      <c r="G6351" s="6">
        <f>IF(AND($H6351="ATMOS DISTILLATION",ISNUMBER(SEARCH("VPS",$I6351))=FALSE,LEFT($I6351,6)&lt;&gt;"VACUUM"),"CDU",IF($H6351="FLUID CAT CRACKING","FCC",IF(OR($H6351="HYDROCRACKING",$H6351="RESID_HYDROCRACKING"),"Hydrocracker",IF($H6351="REFORMING","Reformer",""))))</f>
        <v/>
      </c>
      <c r="H6351" s="6" t="s">
        <v>378</v>
      </c>
      <c r="I6351" s="6" t="s">
        <v>964</v>
      </c>
      <c r="J6351" s="6" t="s">
        <v>349</v>
      </c>
      <c r="K6351" s="10">
        <v>65</v>
      </c>
      <c r="L6351" s="10">
        <v>65</v>
      </c>
      <c r="M6351" s="6" t="s">
        <v>371</v>
      </c>
    </row>
    <row r="6352" spans="1:13">
      <c r="A6352" s="6">
        <v>2025</v>
      </c>
      <c r="B6352" s="6">
        <v>9</v>
      </c>
      <c r="C6352" s="6" t="s">
        <v>67</v>
      </c>
      <c r="D6352" s="6" t="s">
        <v>408</v>
      </c>
      <c r="E6352" s="6" t="s">
        <v>409</v>
      </c>
      <c r="F6352" s="6" t="str">
        <f>IF($M6352="PADD I","PADD 1",IF($M6352="PADD II","PADD 2",IF($M6352="PADD III","PADD 3",IF($M6352="PADD IV","PADD 4",IF($M6352="PADD V","PADD 5","")))))</f>
        <v>PADD 3</v>
      </c>
      <c r="G6352" s="6">
        <f>IF(AND($H6352="ATMOS DISTILLATION",ISNUMBER(SEARCH("VPS",$I6352))=FALSE,LEFT($I6352,6)&lt;&gt;"VACUUM"),"CDU",IF($H6352="FLUID CAT CRACKING","FCC",IF(OR($H6352="HYDROCRACKING",$H6352="RESID_HYDROCRACKING"),"Hydrocracker",IF($H6352="REFORMING","Reformer",""))))</f>
        <v/>
      </c>
      <c r="H6352" s="6" t="s">
        <v>378</v>
      </c>
      <c r="I6352" s="6" t="s">
        <v>489</v>
      </c>
      <c r="J6352" s="6" t="s">
        <v>349</v>
      </c>
      <c r="K6352" s="10">
        <v>60</v>
      </c>
      <c r="L6352" s="10">
        <v>60</v>
      </c>
      <c r="M6352" s="6" t="s">
        <v>371</v>
      </c>
    </row>
    <row r="6353" spans="1:13">
      <c r="A6353" s="6">
        <v>2025</v>
      </c>
      <c r="B6353" s="6">
        <v>9</v>
      </c>
      <c r="C6353" s="6" t="s">
        <v>67</v>
      </c>
      <c r="D6353" s="6" t="s">
        <v>785</v>
      </c>
      <c r="E6353" s="6" t="s">
        <v>779</v>
      </c>
      <c r="F6353" s="6" t="str">
        <f>IF($M6353="PADD I","PADD 1",IF($M6353="PADD II","PADD 2",IF($M6353="PADD III","PADD 3",IF($M6353="PADD IV","PADD 4",IF($M6353="PADD V","PADD 5","")))))</f>
        <v>PADD 2</v>
      </c>
      <c r="G6353" s="6">
        <f>IF(AND($H6353="ATMOS DISTILLATION",ISNUMBER(SEARCH("VPS",$I6353))=FALSE,LEFT($I6353,6)&lt;&gt;"VACUUM"),"CDU",IF($H6353="FLUID CAT CRACKING","FCC",IF(OR($H6353="HYDROCRACKING",$H6353="RESID_HYDROCRACKING"),"Hydrocracker",IF($H6353="REFORMING","Reformer",""))))</f>
        <v/>
      </c>
      <c r="H6353" s="6" t="s">
        <v>378</v>
      </c>
      <c r="I6353" s="6" t="s">
        <v>786</v>
      </c>
      <c r="J6353" s="6" t="s">
        <v>345</v>
      </c>
      <c r="K6353" s="10">
        <v>59.654</v>
      </c>
      <c r="L6353" s="10">
        <v>85.22</v>
      </c>
      <c r="M6353" s="6" t="s">
        <v>375</v>
      </c>
    </row>
    <row r="6354" spans="1:13">
      <c r="A6354" s="6">
        <v>2025</v>
      </c>
      <c r="B6354" s="6">
        <v>9</v>
      </c>
      <c r="C6354" s="6" t="s">
        <v>67</v>
      </c>
      <c r="D6354" s="6" t="s">
        <v>542</v>
      </c>
      <c r="E6354" s="6" t="s">
        <v>543</v>
      </c>
      <c r="F6354" s="6" t="str">
        <f>IF($M6354="PADD I","PADD 1",IF($M6354="PADD II","PADD 2",IF($M6354="PADD III","PADD 3",IF($M6354="PADD IV","PADD 4",IF($M6354="PADD V","PADD 5","")))))</f>
        <v>PADD 2</v>
      </c>
      <c r="G6354" s="6" t="str">
        <f>IF(AND($H6354="ATMOS DISTILLATION",ISNUMBER(SEARCH("VPS",$I6354))=FALSE,LEFT($I6354,6)&lt;&gt;"VACUUM"),"CDU",IF($H6354="FLUID CAT CRACKING","FCC",IF(OR($H6354="HYDROCRACKING",$H6354="RESID_HYDROCRACKING"),"Hydrocracker",IF($H6354="REFORMING","Reformer",""))))</f>
        <v>CDU</v>
      </c>
      <c r="H6354" s="6" t="s">
        <v>38</v>
      </c>
      <c r="I6354" s="6" t="s">
        <v>1115</v>
      </c>
      <c r="J6354" s="6" t="s">
        <v>349</v>
      </c>
      <c r="K6354" s="10">
        <v>56.7</v>
      </c>
      <c r="L6354" s="10">
        <v>90</v>
      </c>
      <c r="M6354" s="6" t="s">
        <v>375</v>
      </c>
    </row>
    <row r="6355" spans="1:13">
      <c r="A6355" s="6">
        <v>2025</v>
      </c>
      <c r="B6355" s="6">
        <v>9</v>
      </c>
      <c r="C6355" s="6" t="s">
        <v>67</v>
      </c>
      <c r="D6355" s="6" t="s">
        <v>484</v>
      </c>
      <c r="E6355" s="6" t="s">
        <v>409</v>
      </c>
      <c r="F6355" s="6" t="str">
        <f>IF($M6355="PADD I","PADD 1",IF($M6355="PADD II","PADD 2",IF($M6355="PADD III","PADD 3",IF($M6355="PADD IV","PADD 4",IF($M6355="PADD V","PADD 5","")))))</f>
        <v>PADD 3</v>
      </c>
      <c r="G6355" s="6">
        <f>IF(AND($H6355="ATMOS DISTILLATION",ISNUMBER(SEARCH("VPS",$I6355))=FALSE,LEFT($I6355,6)&lt;&gt;"VACUUM"),"CDU",IF($H6355="FLUID CAT CRACKING","FCC",IF(OR($H6355="HYDROCRACKING",$H6355="RESID_HYDROCRACKING"),"Hydrocracker",IF($H6355="REFORMING","Reformer",""))))</f>
        <v/>
      </c>
      <c r="H6355" s="6" t="s">
        <v>43</v>
      </c>
      <c r="I6355" s="6" t="s">
        <v>485</v>
      </c>
      <c r="J6355" s="6" t="s">
        <v>345</v>
      </c>
      <c r="K6355" s="10">
        <v>54.78</v>
      </c>
      <c r="L6355" s="10">
        <v>66</v>
      </c>
      <c r="M6355" s="6" t="s">
        <v>371</v>
      </c>
    </row>
    <row r="6356" spans="1:13">
      <c r="A6356" s="6">
        <v>2025</v>
      </c>
      <c r="B6356" s="6">
        <v>9</v>
      </c>
      <c r="C6356" s="6" t="s">
        <v>67</v>
      </c>
      <c r="D6356" s="6" t="s">
        <v>326</v>
      </c>
      <c r="E6356" s="6" t="s">
        <v>385</v>
      </c>
      <c r="F6356" s="6" t="str">
        <f>IF($M6356="PADD I","PADD 1",IF($M6356="PADD II","PADD 2",IF($M6356="PADD III","PADD 3",IF($M6356="PADD IV","PADD 4",IF($M6356="PADD V","PADD 5","")))))</f>
        <v>PADD 5</v>
      </c>
      <c r="G6356" s="6" t="str">
        <f>IF(AND($H6356="ATMOS DISTILLATION",ISNUMBER(SEARCH("VPS",$I6356))=FALSE,LEFT($I6356,6)&lt;&gt;"VACUUM"),"CDU",IF($H6356="FLUID CAT CRACKING","FCC",IF(OR($H6356="HYDROCRACKING",$H6356="RESID_HYDROCRACKING"),"Hydrocracker",IF($H6356="REFORMING","Reformer",""))))</f>
        <v>CDU</v>
      </c>
      <c r="H6356" s="6" t="s">
        <v>38</v>
      </c>
      <c r="I6356" s="6" t="s">
        <v>93</v>
      </c>
      <c r="J6356" s="6" t="s">
        <v>345</v>
      </c>
      <c r="K6356" s="10">
        <v>54.25</v>
      </c>
      <c r="L6356" s="10">
        <v>54.25</v>
      </c>
      <c r="M6356" s="6" t="s">
        <v>386</v>
      </c>
    </row>
    <row r="6357" spans="1:13">
      <c r="A6357" s="6">
        <v>2025</v>
      </c>
      <c r="B6357" s="6">
        <v>9</v>
      </c>
      <c r="C6357" s="6" t="s">
        <v>67</v>
      </c>
      <c r="D6357" s="6" t="s">
        <v>547</v>
      </c>
      <c r="E6357" s="6" t="s">
        <v>391</v>
      </c>
      <c r="F6357" s="6" t="str">
        <f>IF($M6357="PADD I","PADD 1",IF($M6357="PADD II","PADD 2",IF($M6357="PADD III","PADD 3",IF($M6357="PADD IV","PADD 4",IF($M6357="PADD V","PADD 5","")))))</f>
        <v>PADD 5</v>
      </c>
      <c r="G6357" s="6">
        <f>IF(AND($H6357="ATMOS DISTILLATION",ISNUMBER(SEARCH("VPS",$I6357))=FALSE,LEFT($I6357,6)&lt;&gt;"VACUUM"),"CDU",IF($H6357="FLUID CAT CRACKING","FCC",IF(OR($H6357="HYDROCRACKING",$H6357="RESID_HYDROCRACKING"),"Hydrocracker",IF($H6357="REFORMING","Reformer",""))))</f>
        <v/>
      </c>
      <c r="H6357" s="6" t="s">
        <v>43</v>
      </c>
      <c r="I6357" s="6" t="s">
        <v>105</v>
      </c>
      <c r="J6357" s="6" t="s">
        <v>345</v>
      </c>
      <c r="K6357" s="10">
        <v>53.95</v>
      </c>
      <c r="L6357" s="10">
        <v>65</v>
      </c>
      <c r="M6357" s="6" t="s">
        <v>386</v>
      </c>
    </row>
    <row r="6358" spans="1:13">
      <c r="A6358" s="6">
        <v>2025</v>
      </c>
      <c r="B6358" s="6">
        <v>9</v>
      </c>
      <c r="C6358" s="6" t="s">
        <v>67</v>
      </c>
      <c r="D6358" s="6" t="s">
        <v>801</v>
      </c>
      <c r="E6358" s="6" t="s">
        <v>779</v>
      </c>
      <c r="F6358" s="6" t="str">
        <f>IF($M6358="PADD I","PADD 1",IF($M6358="PADD II","PADD 2",IF($M6358="PADD III","PADD 3",IF($M6358="PADD IV","PADD 4",IF($M6358="PADD V","PADD 5","")))))</f>
        <v>PADD 2</v>
      </c>
      <c r="G6358" s="6">
        <f>IF(AND($H6358="ATMOS DISTILLATION",ISNUMBER(SEARCH("VPS",$I6358))=FALSE,LEFT($I6358,6)&lt;&gt;"VACUUM"),"CDU",IF($H6358="FLUID CAT CRACKING","FCC",IF(OR($H6358="HYDROCRACKING",$H6358="RESID_HYDROCRACKING"),"Hydrocracker",IF($H6358="REFORMING","Reformer",""))))</f>
        <v/>
      </c>
      <c r="H6358" s="6" t="s">
        <v>43</v>
      </c>
      <c r="I6358" s="6" t="s">
        <v>981</v>
      </c>
      <c r="J6358" s="6" t="s">
        <v>349</v>
      </c>
      <c r="K6358" s="10">
        <v>52.38</v>
      </c>
      <c r="L6358" s="10">
        <v>54</v>
      </c>
      <c r="M6358" s="6" t="s">
        <v>375</v>
      </c>
    </row>
    <row r="6359" spans="1:13">
      <c r="A6359" s="6">
        <v>2025</v>
      </c>
      <c r="B6359" s="6">
        <v>9</v>
      </c>
      <c r="C6359" s="6" t="s">
        <v>67</v>
      </c>
      <c r="D6359" s="6" t="s">
        <v>408</v>
      </c>
      <c r="E6359" s="6" t="s">
        <v>409</v>
      </c>
      <c r="F6359" s="6" t="str">
        <f>IF($M6359="PADD I","PADD 1",IF($M6359="PADD II","PADD 2",IF($M6359="PADD III","PADD 3",IF($M6359="PADD IV","PADD 4",IF($M6359="PADD V","PADD 5","")))))</f>
        <v>PADD 3</v>
      </c>
      <c r="G6359" s="6">
        <f>IF(AND($H6359="ATMOS DISTILLATION",ISNUMBER(SEARCH("VPS",$I6359))=FALSE,LEFT($I6359,6)&lt;&gt;"VACUUM"),"CDU",IF($H6359="FLUID CAT CRACKING","FCC",IF(OR($H6359="HYDROCRACKING",$H6359="RESID_HYDROCRACKING"),"Hydrocracker",IF($H6359="REFORMING","Reformer",""))))</f>
        <v/>
      </c>
      <c r="H6359" s="6" t="s">
        <v>435</v>
      </c>
      <c r="I6359" s="6" t="s">
        <v>459</v>
      </c>
      <c r="J6359" s="6" t="s">
        <v>349</v>
      </c>
      <c r="K6359" s="10">
        <v>52.2</v>
      </c>
      <c r="L6359" s="10">
        <v>60</v>
      </c>
      <c r="M6359" s="6" t="s">
        <v>371</v>
      </c>
    </row>
    <row r="6360" spans="1:13">
      <c r="A6360" s="6">
        <v>2025</v>
      </c>
      <c r="B6360" s="6">
        <v>9</v>
      </c>
      <c r="C6360" s="6" t="s">
        <v>67</v>
      </c>
      <c r="D6360" s="6" t="s">
        <v>670</v>
      </c>
      <c r="E6360" s="6" t="s">
        <v>405</v>
      </c>
      <c r="F6360" s="6" t="str">
        <f>IF($M6360="PADD I","PADD 1",IF($M6360="PADD II","PADD 2",IF($M6360="PADD III","PADD 3",IF($M6360="PADD IV","PADD 4",IF($M6360="PADD V","PADD 5","")))))</f>
        <v>PADD 2</v>
      </c>
      <c r="G6360" s="6" t="str">
        <f>IF(AND($H6360="ATMOS DISTILLATION",ISNUMBER(SEARCH("VPS",$I6360))=FALSE,LEFT($I6360,6)&lt;&gt;"VACUUM"),"CDU",IF($H6360="FLUID CAT CRACKING","FCC",IF(OR($H6360="HYDROCRACKING",$H6360="RESID_HYDROCRACKING"),"Hydrocracker",IF($H6360="REFORMING","Reformer",""))))</f>
        <v>FCC</v>
      </c>
      <c r="H6360" s="6" t="s">
        <v>376</v>
      </c>
      <c r="I6360" s="6" t="s">
        <v>105</v>
      </c>
      <c r="J6360" s="6" t="s">
        <v>349</v>
      </c>
      <c r="K6360" s="10">
        <v>50.05</v>
      </c>
      <c r="L6360" s="10">
        <v>65</v>
      </c>
      <c r="M6360" s="6" t="s">
        <v>375</v>
      </c>
    </row>
    <row r="6361" spans="1:13">
      <c r="A6361" s="6">
        <v>2025</v>
      </c>
      <c r="B6361" s="6">
        <v>9</v>
      </c>
      <c r="C6361" s="6" t="s">
        <v>67</v>
      </c>
      <c r="D6361" s="6" t="s">
        <v>319</v>
      </c>
      <c r="E6361" s="6" t="s">
        <v>665</v>
      </c>
      <c r="F6361" s="6" t="str">
        <f>IF($M6361="PADD I","PADD 1",IF($M6361="PADD II","PADD 2",IF($M6361="PADD III","PADD 3",IF($M6361="PADD IV","PADD 4",IF($M6361="PADD V","PADD 5","")))))</f>
        <v>PADD 3</v>
      </c>
      <c r="G6361" s="6">
        <f>IF(AND($H6361="ATMOS DISTILLATION",ISNUMBER(SEARCH("VPS",$I6361))=FALSE,LEFT($I6361,6)&lt;&gt;"VACUUM"),"CDU",IF($H6361="FLUID CAT CRACKING","FCC",IF(OR($H6361="HYDROCRACKING",$H6361="RESID_HYDROCRACKING"),"Hydrocracker",IF($H6361="REFORMING","Reformer",""))))</f>
        <v/>
      </c>
      <c r="H6361" s="6" t="s">
        <v>43</v>
      </c>
      <c r="I6361" s="6" t="s">
        <v>883</v>
      </c>
      <c r="J6361" s="6" t="s">
        <v>349</v>
      </c>
      <c r="K6361" s="10">
        <v>50</v>
      </c>
      <c r="L6361" s="10">
        <v>50</v>
      </c>
      <c r="M6361" s="6" t="s">
        <v>371</v>
      </c>
    </row>
    <row r="6362" spans="1:13">
      <c r="A6362" s="6">
        <v>2025</v>
      </c>
      <c r="B6362" s="6">
        <v>9</v>
      </c>
      <c r="C6362" s="6" t="s">
        <v>67</v>
      </c>
      <c r="D6362" s="6" t="s">
        <v>612</v>
      </c>
      <c r="E6362" s="6" t="s">
        <v>416</v>
      </c>
      <c r="F6362" s="6" t="str">
        <f>IF($M6362="PADD I","PADD 1",IF($M6362="PADD II","PADD 2",IF($M6362="PADD III","PADD 3",IF($M6362="PADD IV","PADD 4",IF($M6362="PADD V","PADD 5","")))))</f>
        <v>PADD 3</v>
      </c>
      <c r="G6362" s="6" t="str">
        <f>IF(AND($H6362="ATMOS DISTILLATION",ISNUMBER(SEARCH("VPS",$I6362))=FALSE,LEFT($I6362,6)&lt;&gt;"VACUUM"),"CDU",IF($H6362="FLUID CAT CRACKING","FCC",IF(OR($H6362="HYDROCRACKING",$H6362="RESID_HYDROCRACKING"),"Hydrocracker",IF($H6362="REFORMING","Reformer",""))))</f>
        <v>CDU</v>
      </c>
      <c r="H6362" s="6" t="s">
        <v>38</v>
      </c>
      <c r="I6362" s="6" t="s">
        <v>81</v>
      </c>
      <c r="J6362" s="6" t="s">
        <v>349</v>
      </c>
      <c r="K6362" s="10">
        <v>49.5</v>
      </c>
      <c r="L6362" s="10">
        <v>165</v>
      </c>
      <c r="M6362" s="6" t="s">
        <v>371</v>
      </c>
    </row>
    <row r="6363" spans="1:13">
      <c r="A6363" s="6">
        <v>2025</v>
      </c>
      <c r="B6363" s="6">
        <v>9</v>
      </c>
      <c r="C6363" s="6" t="s">
        <v>67</v>
      </c>
      <c r="D6363" s="6" t="s">
        <v>408</v>
      </c>
      <c r="E6363" s="6" t="s">
        <v>409</v>
      </c>
      <c r="F6363" s="6" t="str">
        <f>IF($M6363="PADD I","PADD 1",IF($M6363="PADD II","PADD 2",IF($M6363="PADD III","PADD 3",IF($M6363="PADD IV","PADD 4",IF($M6363="PADD V","PADD 5","")))))</f>
        <v>PADD 3</v>
      </c>
      <c r="G6363" s="6">
        <f>IF(AND($H6363="ATMOS DISTILLATION",ISNUMBER(SEARCH("VPS",$I6363))=FALSE,LEFT($I6363,6)&lt;&gt;"VACUUM"),"CDU",IF($H6363="FLUID CAT CRACKING","FCC",IF(OR($H6363="HYDROCRACKING",$H6363="RESID_HYDROCRACKING"),"Hydrocracker",IF($H6363="REFORMING","Reformer",""))))</f>
        <v/>
      </c>
      <c r="H6363" s="6" t="s">
        <v>378</v>
      </c>
      <c r="I6363" s="6" t="s">
        <v>506</v>
      </c>
      <c r="J6363" s="6" t="s">
        <v>345</v>
      </c>
      <c r="K6363" s="10">
        <v>48.36</v>
      </c>
      <c r="L6363" s="10">
        <v>52</v>
      </c>
      <c r="M6363" s="6" t="s">
        <v>371</v>
      </c>
    </row>
    <row r="6364" spans="1:13">
      <c r="A6364" s="6">
        <v>2025</v>
      </c>
      <c r="B6364" s="6">
        <v>9</v>
      </c>
      <c r="C6364" s="6" t="s">
        <v>67</v>
      </c>
      <c r="D6364" s="6" t="s">
        <v>772</v>
      </c>
      <c r="E6364" s="6" t="s">
        <v>405</v>
      </c>
      <c r="F6364" s="6" t="str">
        <f>IF($M6364="PADD I","PADD 1",IF($M6364="PADD II","PADD 2",IF($M6364="PADD III","PADD 3",IF($M6364="PADD IV","PADD 4",IF($M6364="PADD V","PADD 5","")))))</f>
        <v>PADD 3</v>
      </c>
      <c r="G6364" s="6">
        <f>IF(AND($H6364="ATMOS DISTILLATION",ISNUMBER(SEARCH("VPS",$I6364))=FALSE,LEFT($I6364,6)&lt;&gt;"VACUUM"),"CDU",IF($H6364="FLUID CAT CRACKING","FCC",IF(OR($H6364="HYDROCRACKING",$H6364="RESID_HYDROCRACKING"),"Hydrocracker",IF($H6364="REFORMING","Reformer",""))))</f>
        <v/>
      </c>
      <c r="H6364" s="6" t="s">
        <v>43</v>
      </c>
      <c r="I6364" s="6" t="s">
        <v>855</v>
      </c>
      <c r="J6364" s="6" t="s">
        <v>349</v>
      </c>
      <c r="K6364" s="10">
        <v>47.88</v>
      </c>
      <c r="L6364" s="10">
        <v>76</v>
      </c>
      <c r="M6364" s="6" t="s">
        <v>371</v>
      </c>
    </row>
    <row r="6365" spans="1:13">
      <c r="A6365" s="6">
        <v>2025</v>
      </c>
      <c r="B6365" s="6">
        <v>9</v>
      </c>
      <c r="C6365" s="6" t="s">
        <v>67</v>
      </c>
      <c r="D6365" s="6" t="s">
        <v>484</v>
      </c>
      <c r="E6365" s="6" t="s">
        <v>409</v>
      </c>
      <c r="F6365" s="6" t="str">
        <f>IF($M6365="PADD I","PADD 1",IF($M6365="PADD II","PADD 2",IF($M6365="PADD III","PADD 3",IF($M6365="PADD IV","PADD 4",IF($M6365="PADD V","PADD 5","")))))</f>
        <v>PADD 3</v>
      </c>
      <c r="G6365" s="6">
        <f>IF(AND($H6365="ATMOS DISTILLATION",ISNUMBER(SEARCH("VPS",$I6365))=FALSE,LEFT($I6365,6)&lt;&gt;"VACUUM"),"CDU",IF($H6365="FLUID CAT CRACKING","FCC",IF(OR($H6365="HYDROCRACKING",$H6365="RESID_HYDROCRACKING"),"Hydrocracker",IF($H6365="REFORMING","Reformer",""))))</f>
        <v/>
      </c>
      <c r="H6365" s="6" t="s">
        <v>43</v>
      </c>
      <c r="I6365" s="6" t="s">
        <v>501</v>
      </c>
      <c r="J6365" s="6" t="s">
        <v>345</v>
      </c>
      <c r="K6365" s="10">
        <v>45.5</v>
      </c>
      <c r="L6365" s="10">
        <v>45.5</v>
      </c>
      <c r="M6365" s="6" t="s">
        <v>371</v>
      </c>
    </row>
    <row r="6366" spans="1:13">
      <c r="A6366" s="6">
        <v>2025</v>
      </c>
      <c r="B6366" s="6">
        <v>9</v>
      </c>
      <c r="C6366" s="6" t="s">
        <v>67</v>
      </c>
      <c r="D6366" s="6" t="s">
        <v>408</v>
      </c>
      <c r="E6366" s="6" t="s">
        <v>409</v>
      </c>
      <c r="F6366" s="6" t="str">
        <f>IF($M6366="PADD I","PADD 1",IF($M6366="PADD II","PADD 2",IF($M6366="PADD III","PADD 3",IF($M6366="PADD IV","PADD 4",IF($M6366="PADD V","PADD 5","")))))</f>
        <v>PADD 3</v>
      </c>
      <c r="G6366" s="6">
        <f>IF(AND($H6366="ATMOS DISTILLATION",ISNUMBER(SEARCH("VPS",$I6366))=FALSE,LEFT($I6366,6)&lt;&gt;"VACUUM"),"CDU",IF($H6366="FLUID CAT CRACKING","FCC",IF(OR($H6366="HYDROCRACKING",$H6366="RESID_HYDROCRACKING"),"Hydrocracker",IF($H6366="REFORMING","Reformer",""))))</f>
        <v/>
      </c>
      <c r="H6366" s="6" t="s">
        <v>378</v>
      </c>
      <c r="I6366" s="6" t="s">
        <v>506</v>
      </c>
      <c r="J6366" s="6" t="s">
        <v>349</v>
      </c>
      <c r="K6366" s="10">
        <v>44.37</v>
      </c>
      <c r="L6366" s="10">
        <v>51</v>
      </c>
      <c r="M6366" s="6" t="s">
        <v>371</v>
      </c>
    </row>
    <row r="6367" spans="1:13">
      <c r="A6367" s="6">
        <v>2025</v>
      </c>
      <c r="B6367" s="6">
        <v>9</v>
      </c>
      <c r="C6367" s="6" t="s">
        <v>67</v>
      </c>
      <c r="D6367" s="6" t="s">
        <v>801</v>
      </c>
      <c r="E6367" s="6" t="s">
        <v>779</v>
      </c>
      <c r="F6367" s="6" t="str">
        <f>IF($M6367="PADD I","PADD 1",IF($M6367="PADD II","PADD 2",IF($M6367="PADD III","PADD 3",IF($M6367="PADD IV","PADD 4",IF($M6367="PADD V","PADD 5","")))))</f>
        <v>PADD 2</v>
      </c>
      <c r="G6367" s="6">
        <f>IF(AND($H6367="ATMOS DISTILLATION",ISNUMBER(SEARCH("VPS",$I6367))=FALSE,LEFT($I6367,6)&lt;&gt;"VACUUM"),"CDU",IF($H6367="FLUID CAT CRACKING","FCC",IF(OR($H6367="HYDROCRACKING",$H6367="RESID_HYDROCRACKING"),"Hydrocracker",IF($H6367="REFORMING","Reformer",""))))</f>
        <v/>
      </c>
      <c r="H6367" s="6" t="s">
        <v>43</v>
      </c>
      <c r="I6367" s="6" t="s">
        <v>990</v>
      </c>
      <c r="J6367" s="6" t="s">
        <v>349</v>
      </c>
      <c r="K6367" s="10">
        <v>43.65</v>
      </c>
      <c r="L6367" s="10">
        <v>45</v>
      </c>
      <c r="M6367" s="6" t="s">
        <v>375</v>
      </c>
    </row>
    <row r="6368" spans="1:13">
      <c r="A6368" s="6">
        <v>2025</v>
      </c>
      <c r="B6368" s="6">
        <v>9</v>
      </c>
      <c r="C6368" s="6" t="s">
        <v>67</v>
      </c>
      <c r="D6368" s="6" t="s">
        <v>387</v>
      </c>
      <c r="E6368" s="6" t="s">
        <v>388</v>
      </c>
      <c r="F6368" s="6" t="str">
        <f>IF($M6368="PADD I","PADD 1",IF($M6368="PADD II","PADD 2",IF($M6368="PADD III","PADD 3",IF($M6368="PADD IV","PADD 4",IF($M6368="PADD V","PADD 5","")))))</f>
        <v>PADD 3</v>
      </c>
      <c r="G6368" s="6" t="str">
        <f>IF(AND($H6368="ATMOS DISTILLATION",ISNUMBER(SEARCH("VPS",$I6368))=FALSE,LEFT($I6368,6)&lt;&gt;"VACUUM"),"CDU",IF($H6368="FLUID CAT CRACKING","FCC",IF(OR($H6368="HYDROCRACKING",$H6368="RESID_HYDROCRACKING"),"Hydrocracker",IF($H6368="REFORMING","Reformer",""))))</f>
        <v>FCC</v>
      </c>
      <c r="H6368" s="6" t="s">
        <v>376</v>
      </c>
      <c r="I6368" s="6" t="s">
        <v>472</v>
      </c>
      <c r="J6368" s="6" t="s">
        <v>345</v>
      </c>
      <c r="K6368" s="10">
        <v>43.5</v>
      </c>
      <c r="L6368" s="10">
        <v>145</v>
      </c>
      <c r="M6368" s="6" t="s">
        <v>371</v>
      </c>
    </row>
    <row r="6369" spans="1:13">
      <c r="A6369" s="6">
        <v>2025</v>
      </c>
      <c r="B6369" s="6">
        <v>9</v>
      </c>
      <c r="C6369" s="6" t="s">
        <v>67</v>
      </c>
      <c r="D6369" s="6" t="s">
        <v>408</v>
      </c>
      <c r="E6369" s="6" t="s">
        <v>409</v>
      </c>
      <c r="F6369" s="6" t="str">
        <f>IF($M6369="PADD I","PADD 1",IF($M6369="PADD II","PADD 2",IF($M6369="PADD III","PADD 3",IF($M6369="PADD IV","PADD 4",IF($M6369="PADD V","PADD 5","")))))</f>
        <v>PADD 3</v>
      </c>
      <c r="G6369" s="6">
        <f>IF(AND($H6369="ATMOS DISTILLATION",ISNUMBER(SEARCH("VPS",$I6369))=FALSE,LEFT($I6369,6)&lt;&gt;"VACUUM"),"CDU",IF($H6369="FLUID CAT CRACKING","FCC",IF(OR($H6369="HYDROCRACKING",$H6369="RESID_HYDROCRACKING"),"Hydrocracker",IF($H6369="REFORMING","Reformer",""))))</f>
        <v/>
      </c>
      <c r="H6369" s="6" t="s">
        <v>43</v>
      </c>
      <c r="I6369" s="6" t="s">
        <v>478</v>
      </c>
      <c r="J6369" s="6" t="s">
        <v>349</v>
      </c>
      <c r="K6369" s="10">
        <v>42</v>
      </c>
      <c r="L6369" s="10">
        <v>42</v>
      </c>
      <c r="M6369" s="6" t="s">
        <v>371</v>
      </c>
    </row>
    <row r="6370" spans="1:13">
      <c r="A6370" s="6">
        <v>2025</v>
      </c>
      <c r="B6370" s="6">
        <v>9</v>
      </c>
      <c r="C6370" s="6" t="s">
        <v>67</v>
      </c>
      <c r="D6370" s="6" t="s">
        <v>326</v>
      </c>
      <c r="E6370" s="6" t="s">
        <v>385</v>
      </c>
      <c r="F6370" s="6" t="str">
        <f>IF($M6370="PADD I","PADD 1",IF($M6370="PADD II","PADD 2",IF($M6370="PADD III","PADD 3",IF($M6370="PADD IV","PADD 4",IF($M6370="PADD V","PADD 5","")))))</f>
        <v>PADD 5</v>
      </c>
      <c r="G6370" s="6" t="str">
        <f>IF(AND($H6370="ATMOS DISTILLATION",ISNUMBER(SEARCH("VPS",$I6370))=FALSE,LEFT($I6370,6)&lt;&gt;"VACUUM"),"CDU",IF($H6370="FLUID CAT CRACKING","FCC",IF(OR($H6370="HYDROCRACKING",$H6370="RESID_HYDROCRACKING"),"Hydrocracker",IF($H6370="REFORMING","Reformer",""))))</f>
        <v>Hydrocracker</v>
      </c>
      <c r="H6370" s="6" t="s">
        <v>444</v>
      </c>
      <c r="I6370" s="6" t="s">
        <v>498</v>
      </c>
      <c r="J6370" s="6" t="s">
        <v>345</v>
      </c>
      <c r="K6370" s="10">
        <v>42</v>
      </c>
      <c r="L6370" s="10">
        <v>42</v>
      </c>
      <c r="M6370" s="6" t="s">
        <v>386</v>
      </c>
    </row>
    <row r="6371" spans="1:13">
      <c r="A6371" s="6">
        <v>2025</v>
      </c>
      <c r="B6371" s="6">
        <v>9</v>
      </c>
      <c r="C6371" s="6" t="s">
        <v>67</v>
      </c>
      <c r="D6371" s="6" t="s">
        <v>408</v>
      </c>
      <c r="E6371" s="6" t="s">
        <v>409</v>
      </c>
      <c r="F6371" s="6" t="str">
        <f>IF($M6371="PADD I","PADD 1",IF($M6371="PADD II","PADD 2",IF($M6371="PADD III","PADD 3",IF($M6371="PADD IV","PADD 4",IF($M6371="PADD V","PADD 5","")))))</f>
        <v>PADD 3</v>
      </c>
      <c r="G6371" s="6" t="str">
        <f>IF(AND($H6371="ATMOS DISTILLATION",ISNUMBER(SEARCH("VPS",$I6371))=FALSE,LEFT($I6371,6)&lt;&gt;"VACUUM"),"CDU",IF($H6371="FLUID CAT CRACKING","FCC",IF(OR($H6371="HYDROCRACKING",$H6371="RESID_HYDROCRACKING"),"Hydrocracker",IF($H6371="REFORMING","Reformer",""))))</f>
        <v>CDU</v>
      </c>
      <c r="H6371" s="6" t="s">
        <v>38</v>
      </c>
      <c r="I6371" s="6" t="s">
        <v>522</v>
      </c>
      <c r="J6371" s="6" t="s">
        <v>349</v>
      </c>
      <c r="K6371" s="10">
        <v>40</v>
      </c>
      <c r="L6371" s="10">
        <v>40</v>
      </c>
      <c r="M6371" s="6" t="s">
        <v>371</v>
      </c>
    </row>
    <row r="6372" spans="1:13">
      <c r="A6372" s="6">
        <v>2025</v>
      </c>
      <c r="B6372" s="6">
        <v>9</v>
      </c>
      <c r="C6372" s="6" t="s">
        <v>67</v>
      </c>
      <c r="D6372" s="6" t="s">
        <v>1038</v>
      </c>
      <c r="E6372" s="6" t="s">
        <v>1039</v>
      </c>
      <c r="F6372" s="6" t="str">
        <f>IF($M6372="PADD I","PADD 1",IF($M6372="PADD II","PADD 2",IF($M6372="PADD III","PADD 3",IF($M6372="PADD IV","PADD 4",IF($M6372="PADD V","PADD 5","")))))</f>
        <v>PADD 2</v>
      </c>
      <c r="G6372" s="6" t="str">
        <f>IF(AND($H6372="ATMOS DISTILLATION",ISNUMBER(SEARCH("VPS",$I6372))=FALSE,LEFT($I6372,6)&lt;&gt;"VACUUM"),"CDU",IF($H6372="FLUID CAT CRACKING","FCC",IF(OR($H6372="HYDROCRACKING",$H6372="RESID_HYDROCRACKING"),"Hydrocracker",IF($H6372="REFORMING","Reformer",""))))</f>
        <v>CDU</v>
      </c>
      <c r="H6372" s="6" t="s">
        <v>38</v>
      </c>
      <c r="I6372" s="6" t="s">
        <v>1040</v>
      </c>
      <c r="J6372" s="6" t="s">
        <v>349</v>
      </c>
      <c r="K6372" s="10">
        <v>38</v>
      </c>
      <c r="L6372" s="10">
        <v>95</v>
      </c>
      <c r="M6372" s="6" t="s">
        <v>375</v>
      </c>
    </row>
    <row r="6373" spans="1:13">
      <c r="A6373" s="6">
        <v>2025</v>
      </c>
      <c r="B6373" s="6">
        <v>9</v>
      </c>
      <c r="C6373" s="6" t="s">
        <v>67</v>
      </c>
      <c r="D6373" s="6" t="s">
        <v>408</v>
      </c>
      <c r="E6373" s="6" t="s">
        <v>409</v>
      </c>
      <c r="F6373" s="6" t="str">
        <f>IF($M6373="PADD I","PADD 1",IF($M6373="PADD II","PADD 2",IF($M6373="PADD III","PADD 3",IF($M6373="PADD IV","PADD 4",IF($M6373="PADD V","PADD 5","")))))</f>
        <v>PADD 3</v>
      </c>
      <c r="G6373" s="6" t="str">
        <f>IF(AND($H6373="ATMOS DISTILLATION",ISNUMBER(SEARCH("VPS",$I6373))=FALSE,LEFT($I6373,6)&lt;&gt;"VACUUM"),"CDU",IF($H6373="FLUID CAT CRACKING","FCC",IF(OR($H6373="HYDROCRACKING",$H6373="RESID_HYDROCRACKING"),"Hydrocracker",IF($H6373="REFORMING","Reformer",""))))</f>
        <v>Reformer</v>
      </c>
      <c r="H6373" s="6" t="s">
        <v>421</v>
      </c>
      <c r="I6373" s="6" t="s">
        <v>533</v>
      </c>
      <c r="J6373" s="6" t="s">
        <v>349</v>
      </c>
      <c r="K6373" s="10">
        <v>35</v>
      </c>
      <c r="L6373" s="10">
        <v>35</v>
      </c>
      <c r="M6373" s="6" t="s">
        <v>371</v>
      </c>
    </row>
    <row r="6374" spans="1:13">
      <c r="A6374" s="6">
        <v>2025</v>
      </c>
      <c r="B6374" s="6">
        <v>9</v>
      </c>
      <c r="C6374" s="6" t="s">
        <v>67</v>
      </c>
      <c r="D6374" s="6" t="s">
        <v>322</v>
      </c>
      <c r="E6374" s="6" t="s">
        <v>369</v>
      </c>
      <c r="F6374" s="6" t="str">
        <f>IF($M6374="PADD I","PADD 1",IF($M6374="PADD II","PADD 2",IF($M6374="PADD III","PADD 3",IF($M6374="PADD IV","PADD 4",IF($M6374="PADD V","PADD 5","")))))</f>
        <v>PADD 2</v>
      </c>
      <c r="G6374" s="6" t="str">
        <f>IF(AND($H6374="ATMOS DISTILLATION",ISNUMBER(SEARCH("VPS",$I6374))=FALSE,LEFT($I6374,6)&lt;&gt;"VACUUM"),"CDU",IF($H6374="FLUID CAT CRACKING","FCC",IF(OR($H6374="HYDROCRACKING",$H6374="RESID_HYDROCRACKING"),"Hydrocracker",IF($H6374="REFORMING","Reformer",""))))</f>
        <v>CDU</v>
      </c>
      <c r="H6374" s="6" t="s">
        <v>38</v>
      </c>
      <c r="I6374" s="6" t="s">
        <v>911</v>
      </c>
      <c r="J6374" s="6" t="s">
        <v>349</v>
      </c>
      <c r="K6374" s="10">
        <v>35</v>
      </c>
      <c r="L6374" s="10">
        <v>35</v>
      </c>
      <c r="M6374" s="6" t="s">
        <v>375</v>
      </c>
    </row>
    <row r="6375" spans="1:13">
      <c r="A6375" s="6">
        <v>2025</v>
      </c>
      <c r="B6375" s="6">
        <v>9</v>
      </c>
      <c r="C6375" s="6" t="s">
        <v>67</v>
      </c>
      <c r="D6375" s="6" t="s">
        <v>770</v>
      </c>
      <c r="E6375" s="6" t="s">
        <v>660</v>
      </c>
      <c r="F6375" s="6" t="str">
        <f>IF($M6375="PADD I","PADD 1",IF($M6375="PADD II","PADD 2",IF($M6375="PADD III","PADD 3",IF($M6375="PADD IV","PADD 4",IF($M6375="PADD V","PADD 5","")))))</f>
        <v>PADD 3</v>
      </c>
      <c r="G6375" s="6">
        <f>IF(AND($H6375="ATMOS DISTILLATION",ISNUMBER(SEARCH("VPS",$I6375))=FALSE,LEFT($I6375,6)&lt;&gt;"VACUUM"),"CDU",IF($H6375="FLUID CAT CRACKING","FCC",IF(OR($H6375="HYDROCRACKING",$H6375="RESID_HYDROCRACKING"),"Hydrocracker",IF($H6375="REFORMING","Reformer",""))))</f>
        <v/>
      </c>
      <c r="H6375" s="6" t="s">
        <v>435</v>
      </c>
      <c r="I6375" s="6" t="s">
        <v>441</v>
      </c>
      <c r="J6375" s="6" t="s">
        <v>345</v>
      </c>
      <c r="K6375" s="10">
        <v>32</v>
      </c>
      <c r="L6375" s="10">
        <v>32</v>
      </c>
      <c r="M6375" s="6" t="s">
        <v>371</v>
      </c>
    </row>
    <row r="6376" spans="1:13">
      <c r="A6376" s="6">
        <v>2025</v>
      </c>
      <c r="B6376" s="6">
        <v>9</v>
      </c>
      <c r="C6376" s="6" t="s">
        <v>67</v>
      </c>
      <c r="D6376" s="6" t="s">
        <v>326</v>
      </c>
      <c r="E6376" s="6" t="s">
        <v>385</v>
      </c>
      <c r="F6376" s="6" t="str">
        <f>IF($M6376="PADD I","PADD 1",IF($M6376="PADD II","PADD 2",IF($M6376="PADD III","PADD 3",IF($M6376="PADD IV","PADD 4",IF($M6376="PADD V","PADD 5","")))))</f>
        <v>PADD 5</v>
      </c>
      <c r="G6376" s="6">
        <f>IF(AND($H6376="ATMOS DISTILLATION",ISNUMBER(SEARCH("VPS",$I6376))=FALSE,LEFT($I6376,6)&lt;&gt;"VACUUM"),"CDU",IF($H6376="FLUID CAT CRACKING","FCC",IF(OR($H6376="HYDROCRACKING",$H6376="RESID_HYDROCRACKING"),"Hydrocracker",IF($H6376="REFORMING","Reformer",""))))</f>
        <v/>
      </c>
      <c r="H6376" s="6" t="s">
        <v>378</v>
      </c>
      <c r="I6376" s="6" t="s">
        <v>431</v>
      </c>
      <c r="J6376" s="6" t="s">
        <v>345</v>
      </c>
      <c r="K6376" s="10">
        <v>31.5</v>
      </c>
      <c r="L6376" s="10">
        <v>31.5</v>
      </c>
      <c r="M6376" s="6" t="s">
        <v>386</v>
      </c>
    </row>
    <row r="6377" spans="1:13">
      <c r="A6377" s="6">
        <v>2025</v>
      </c>
      <c r="B6377" s="6">
        <v>9</v>
      </c>
      <c r="C6377" s="6" t="s">
        <v>67</v>
      </c>
      <c r="D6377" s="6" t="s">
        <v>408</v>
      </c>
      <c r="E6377" s="6" t="s">
        <v>409</v>
      </c>
      <c r="F6377" s="6" t="str">
        <f>IF($M6377="PADD I","PADD 1",IF($M6377="PADD II","PADD 2",IF($M6377="PADD III","PADD 3",IF($M6377="PADD IV","PADD 4",IF($M6377="PADD V","PADD 5","")))))</f>
        <v>PADD 3</v>
      </c>
      <c r="G6377" s="6">
        <f>IF(AND($H6377="ATMOS DISTILLATION",ISNUMBER(SEARCH("VPS",$I6377))=FALSE,LEFT($I6377,6)&lt;&gt;"VACUUM"),"CDU",IF($H6377="FLUID CAT CRACKING","FCC",IF(OR($H6377="HYDROCRACKING",$H6377="RESID_HYDROCRACKING"),"Hydrocracker",IF($H6377="REFORMING","Reformer",""))))</f>
        <v/>
      </c>
      <c r="H6377" s="6" t="s">
        <v>43</v>
      </c>
      <c r="I6377" s="6" t="s">
        <v>502</v>
      </c>
      <c r="J6377" s="6" t="s">
        <v>349</v>
      </c>
      <c r="K6377" s="10">
        <v>30</v>
      </c>
      <c r="L6377" s="10">
        <v>30</v>
      </c>
      <c r="M6377" s="6" t="s">
        <v>371</v>
      </c>
    </row>
    <row r="6378" spans="1:13">
      <c r="A6378" s="6">
        <v>2025</v>
      </c>
      <c r="B6378" s="6">
        <v>9</v>
      </c>
      <c r="C6378" s="6" t="s">
        <v>67</v>
      </c>
      <c r="D6378" s="6" t="s">
        <v>335</v>
      </c>
      <c r="E6378" s="6" t="s">
        <v>369</v>
      </c>
      <c r="F6378" s="6" t="str">
        <f>IF($M6378="PADD I","PADD 1",IF($M6378="PADD II","PADD 2",IF($M6378="PADD III","PADD 3",IF($M6378="PADD IV","PADD 4",IF($M6378="PADD V","PADD 5","")))))</f>
        <v>PADD 3</v>
      </c>
      <c r="G6378" s="6" t="str">
        <f>IF(AND($H6378="ATMOS DISTILLATION",ISNUMBER(SEARCH("VPS",$I6378))=FALSE,LEFT($I6378,6)&lt;&gt;"VACUUM"),"CDU",IF($H6378="FLUID CAT CRACKING","FCC",IF(OR($H6378="HYDROCRACKING",$H6378="RESID_HYDROCRACKING"),"Hydrocracker",IF($H6378="REFORMING","Reformer",""))))</f>
        <v>FCC</v>
      </c>
      <c r="H6378" s="6" t="s">
        <v>376</v>
      </c>
      <c r="I6378" s="6" t="s">
        <v>472</v>
      </c>
      <c r="J6378" s="6" t="s">
        <v>345</v>
      </c>
      <c r="K6378" s="10">
        <v>29.1</v>
      </c>
      <c r="L6378" s="10">
        <v>30</v>
      </c>
      <c r="M6378" s="6" t="s">
        <v>371</v>
      </c>
    </row>
    <row r="6379" spans="1:13">
      <c r="A6379" s="6">
        <v>2025</v>
      </c>
      <c r="B6379" s="6">
        <v>9</v>
      </c>
      <c r="C6379" s="6" t="s">
        <v>67</v>
      </c>
      <c r="D6379" s="6" t="s">
        <v>1060</v>
      </c>
      <c r="E6379" s="6" t="s">
        <v>1039</v>
      </c>
      <c r="F6379" s="6" t="str">
        <f>IF($M6379="PADD I","PADD 1",IF($M6379="PADD II","PADD 2",IF($M6379="PADD III","PADD 3",IF($M6379="PADD IV","PADD 4",IF($M6379="PADD V","PADD 5","")))))</f>
        <v>PADD 2</v>
      </c>
      <c r="G6379" s="6">
        <f>IF(AND($H6379="ATMOS DISTILLATION",ISNUMBER(SEARCH("VPS",$I6379))=FALSE,LEFT($I6379,6)&lt;&gt;"VACUUM"),"CDU",IF($H6379="FLUID CAT CRACKING","FCC",IF(OR($H6379="HYDROCRACKING",$H6379="RESID_HYDROCRACKING"),"Hydrocracker",IF($H6379="REFORMING","Reformer",""))))</f>
        <v/>
      </c>
      <c r="H6379" s="6" t="s">
        <v>43</v>
      </c>
      <c r="I6379" s="6" t="s">
        <v>1180</v>
      </c>
      <c r="J6379" s="6" t="s">
        <v>349</v>
      </c>
      <c r="K6379" s="10">
        <v>28.4</v>
      </c>
      <c r="L6379" s="10">
        <v>71</v>
      </c>
      <c r="M6379" s="6" t="s">
        <v>375</v>
      </c>
    </row>
    <row r="6380" spans="1:13">
      <c r="A6380" s="6">
        <v>2025</v>
      </c>
      <c r="B6380" s="6">
        <v>9</v>
      </c>
      <c r="C6380" s="6" t="s">
        <v>67</v>
      </c>
      <c r="D6380" s="6" t="s">
        <v>408</v>
      </c>
      <c r="E6380" s="6" t="s">
        <v>409</v>
      </c>
      <c r="F6380" s="6" t="str">
        <f>IF($M6380="PADD I","PADD 1",IF($M6380="PADD II","PADD 2",IF($M6380="PADD III","PADD 3",IF($M6380="PADD IV","PADD 4",IF($M6380="PADD V","PADD 5","")))))</f>
        <v>PADD 3</v>
      </c>
      <c r="G6380" s="6">
        <f>IF(AND($H6380="ATMOS DISTILLATION",ISNUMBER(SEARCH("VPS",$I6380))=FALSE,LEFT($I6380,6)&lt;&gt;"VACUUM"),"CDU",IF($H6380="FLUID CAT CRACKING","FCC",IF(OR($H6380="HYDROCRACKING",$H6380="RESID_HYDROCRACKING"),"Hydrocracker",IF($H6380="REFORMING","Reformer",""))))</f>
        <v/>
      </c>
      <c r="H6380" s="6" t="s">
        <v>43</v>
      </c>
      <c r="I6380" s="6" t="s">
        <v>503</v>
      </c>
      <c r="J6380" s="6" t="s">
        <v>349</v>
      </c>
      <c r="K6380" s="10">
        <v>26.1</v>
      </c>
      <c r="L6380" s="10">
        <v>30</v>
      </c>
      <c r="M6380" s="6" t="s">
        <v>371</v>
      </c>
    </row>
    <row r="6381" spans="1:13">
      <c r="A6381" s="6">
        <v>2025</v>
      </c>
      <c r="B6381" s="6">
        <v>9</v>
      </c>
      <c r="C6381" s="6" t="s">
        <v>67</v>
      </c>
      <c r="D6381" s="6" t="s">
        <v>772</v>
      </c>
      <c r="E6381" s="6" t="s">
        <v>405</v>
      </c>
      <c r="F6381" s="6" t="str">
        <f>IF($M6381="PADD I","PADD 1",IF($M6381="PADD II","PADD 2",IF($M6381="PADD III","PADD 3",IF($M6381="PADD IV","PADD 4",IF($M6381="PADD V","PADD 5","")))))</f>
        <v>PADD 3</v>
      </c>
      <c r="G6381" s="6" t="str">
        <f>IF(AND($H6381="ATMOS DISTILLATION",ISNUMBER(SEARCH("VPS",$I6381))=FALSE,LEFT($I6381,6)&lt;&gt;"VACUUM"),"CDU",IF($H6381="FLUID CAT CRACKING","FCC",IF(OR($H6381="HYDROCRACKING",$H6381="RESID_HYDROCRACKING"),"Hydrocracker",IF($H6381="REFORMING","Reformer",""))))</f>
        <v>CDU</v>
      </c>
      <c r="H6381" s="6" t="s">
        <v>38</v>
      </c>
      <c r="I6381" s="6" t="s">
        <v>1097</v>
      </c>
      <c r="J6381" s="6" t="s">
        <v>349</v>
      </c>
      <c r="K6381" s="10">
        <v>26.04</v>
      </c>
      <c r="L6381" s="10">
        <v>37.2</v>
      </c>
      <c r="M6381" s="6" t="s">
        <v>371</v>
      </c>
    </row>
    <row r="6382" spans="1:13">
      <c r="A6382" s="6">
        <v>2025</v>
      </c>
      <c r="B6382" s="6">
        <v>9</v>
      </c>
      <c r="C6382" s="6" t="s">
        <v>67</v>
      </c>
      <c r="D6382" s="6" t="s">
        <v>572</v>
      </c>
      <c r="E6382" s="6" t="s">
        <v>573</v>
      </c>
      <c r="F6382" s="6" t="str">
        <f>IF($M6382="PADD I","PADD 1",IF($M6382="PADD II","PADD 2",IF($M6382="PADD III","PADD 3",IF($M6382="PADD IV","PADD 4",IF($M6382="PADD V","PADD 5","")))))</f>
        <v>PADD 3</v>
      </c>
      <c r="G6382" s="6" t="str">
        <f>IF(AND($H6382="ATMOS DISTILLATION",ISNUMBER(SEARCH("VPS",$I6382))=FALSE,LEFT($I6382,6)&lt;&gt;"VACUUM"),"CDU",IF($H6382="FLUID CAT CRACKING","FCC",IF(OR($H6382="HYDROCRACKING",$H6382="RESID_HYDROCRACKING"),"Hydrocracker",IF($H6382="REFORMING","Reformer",""))))</f>
        <v>CDU</v>
      </c>
      <c r="H6382" s="6" t="s">
        <v>38</v>
      </c>
      <c r="I6382" s="6" t="s">
        <v>574</v>
      </c>
      <c r="J6382" s="6" t="s">
        <v>349</v>
      </c>
      <c r="K6382" s="10">
        <v>25</v>
      </c>
      <c r="L6382" s="10">
        <v>50</v>
      </c>
      <c r="M6382" s="6" t="s">
        <v>371</v>
      </c>
    </row>
    <row r="6383" spans="1:13">
      <c r="A6383" s="6">
        <v>2025</v>
      </c>
      <c r="B6383" s="6">
        <v>9</v>
      </c>
      <c r="C6383" s="6" t="s">
        <v>67</v>
      </c>
      <c r="D6383" s="6" t="s">
        <v>457</v>
      </c>
      <c r="E6383" s="6" t="s">
        <v>388</v>
      </c>
      <c r="F6383" s="6" t="str">
        <f>IF($M6383="PADD I","PADD 1",IF($M6383="PADD II","PADD 2",IF($M6383="PADD III","PADD 3",IF($M6383="PADD IV","PADD 4",IF($M6383="PADD V","PADD 5","")))))</f>
        <v>PADD 5</v>
      </c>
      <c r="G6383" s="6">
        <f>IF(AND($H6383="ATMOS DISTILLATION",ISNUMBER(SEARCH("VPS",$I6383))=FALSE,LEFT($I6383,6)&lt;&gt;"VACUUM"),"CDU",IF($H6383="FLUID CAT CRACKING","FCC",IF(OR($H6383="HYDROCRACKING",$H6383="RESID_HYDROCRACKING"),"Hydrocracker",IF($H6383="REFORMING","Reformer",""))))</f>
        <v/>
      </c>
      <c r="H6383" s="6" t="s">
        <v>43</v>
      </c>
      <c r="I6383" s="6" t="s">
        <v>1073</v>
      </c>
      <c r="J6383" s="6" t="s">
        <v>349</v>
      </c>
      <c r="K6383" s="10">
        <v>24.15</v>
      </c>
      <c r="L6383" s="10">
        <v>105</v>
      </c>
      <c r="M6383" s="6" t="s">
        <v>386</v>
      </c>
    </row>
    <row r="6384" spans="1:13">
      <c r="A6384" s="6">
        <v>2025</v>
      </c>
      <c r="B6384" s="6">
        <v>9</v>
      </c>
      <c r="C6384" s="6" t="s">
        <v>67</v>
      </c>
      <c r="D6384" s="6" t="s">
        <v>612</v>
      </c>
      <c r="E6384" s="6" t="s">
        <v>416</v>
      </c>
      <c r="F6384" s="6" t="str">
        <f>IF($M6384="PADD I","PADD 1",IF($M6384="PADD II","PADD 2",IF($M6384="PADD III","PADD 3",IF($M6384="PADD IV","PADD 4",IF($M6384="PADD V","PADD 5","")))))</f>
        <v>PADD 3</v>
      </c>
      <c r="G6384" s="6">
        <f>IF(AND($H6384="ATMOS DISTILLATION",ISNUMBER(SEARCH("VPS",$I6384))=FALSE,LEFT($I6384,6)&lt;&gt;"VACUUM"),"CDU",IF($H6384="FLUID CAT CRACKING","FCC",IF(OR($H6384="HYDROCRACKING",$H6384="RESID_HYDROCRACKING"),"Hydrocracker",IF($H6384="REFORMING","Reformer",""))))</f>
        <v/>
      </c>
      <c r="H6384" s="6" t="s">
        <v>378</v>
      </c>
      <c r="I6384" s="6" t="s">
        <v>431</v>
      </c>
      <c r="J6384" s="6" t="s">
        <v>349</v>
      </c>
      <c r="K6384" s="10">
        <v>24</v>
      </c>
      <c r="L6384" s="10">
        <v>80</v>
      </c>
      <c r="M6384" s="6" t="s">
        <v>371</v>
      </c>
    </row>
    <row r="6385" spans="1:13">
      <c r="A6385" s="6">
        <v>2025</v>
      </c>
      <c r="B6385" s="6">
        <v>9</v>
      </c>
      <c r="C6385" s="6" t="s">
        <v>67</v>
      </c>
      <c r="D6385" s="6" t="s">
        <v>395</v>
      </c>
      <c r="E6385" s="6" t="s">
        <v>396</v>
      </c>
      <c r="F6385" s="6" t="str">
        <f>IF($M6385="PADD I","PADD 1",IF($M6385="PADD II","PADD 2",IF($M6385="PADD III","PADD 3",IF($M6385="PADD IV","PADD 4",IF($M6385="PADD V","PADD 5","")))))</f>
        <v>PADD 3</v>
      </c>
      <c r="G6385" s="6" t="str">
        <f>IF(AND($H6385="ATMOS DISTILLATION",ISNUMBER(SEARCH("VPS",$I6385))=FALSE,LEFT($I6385,6)&lt;&gt;"VACUUM"),"CDU",IF($H6385="FLUID CAT CRACKING","FCC",IF(OR($H6385="HYDROCRACKING",$H6385="RESID_HYDROCRACKING"),"Hydrocracker",IF($H6385="REFORMING","Reformer",""))))</f>
        <v>Reformer</v>
      </c>
      <c r="H6385" s="6" t="s">
        <v>421</v>
      </c>
      <c r="I6385" s="6" t="s">
        <v>540</v>
      </c>
      <c r="J6385" s="6" t="s">
        <v>345</v>
      </c>
      <c r="K6385" s="10">
        <v>23.85</v>
      </c>
      <c r="L6385" s="10">
        <v>45</v>
      </c>
      <c r="M6385" s="6" t="s">
        <v>371</v>
      </c>
    </row>
    <row r="6386" spans="1:13">
      <c r="A6386" s="6">
        <v>2025</v>
      </c>
      <c r="B6386" s="6">
        <v>9</v>
      </c>
      <c r="C6386" s="6" t="s">
        <v>67</v>
      </c>
      <c r="D6386" s="6" t="s">
        <v>1320</v>
      </c>
      <c r="E6386" s="6" t="s">
        <v>1321</v>
      </c>
      <c r="F6386" s="6" t="str">
        <f>IF($M6386="PADD I","PADD 1",IF($M6386="PADD II","PADD 2",IF($M6386="PADD III","PADD 3",IF($M6386="PADD IV","PADD 4",IF($M6386="PADD V","PADD 5","")))))</f>
        <v>PADD 3</v>
      </c>
      <c r="G6386" s="6" t="str">
        <f>IF(AND($H6386="ATMOS DISTILLATION",ISNUMBER(SEARCH("VPS",$I6386))=FALSE,LEFT($I6386,6)&lt;&gt;"VACUUM"),"CDU",IF($H6386="FLUID CAT CRACKING","FCC",IF(OR($H6386="HYDROCRACKING",$H6386="RESID_HYDROCRACKING"),"Hydrocracker",IF($H6386="REFORMING","Reformer",""))))</f>
        <v>CDU</v>
      </c>
      <c r="H6386" s="6" t="s">
        <v>38</v>
      </c>
      <c r="I6386" s="6" t="s">
        <v>81</v>
      </c>
      <c r="J6386" s="6" t="s">
        <v>349</v>
      </c>
      <c r="K6386" s="10">
        <v>23.055</v>
      </c>
      <c r="L6386" s="10">
        <v>26.5</v>
      </c>
      <c r="M6386" s="6" t="s">
        <v>371</v>
      </c>
    </row>
    <row r="6387" spans="1:13">
      <c r="A6387" s="6">
        <v>2025</v>
      </c>
      <c r="B6387" s="6">
        <v>9</v>
      </c>
      <c r="C6387" s="6" t="s">
        <v>67</v>
      </c>
      <c r="D6387" s="6" t="s">
        <v>801</v>
      </c>
      <c r="E6387" s="6" t="s">
        <v>779</v>
      </c>
      <c r="F6387" s="6" t="str">
        <f>IF($M6387="PADD I","PADD 1",IF($M6387="PADD II","PADD 2",IF($M6387="PADD III","PADD 3",IF($M6387="PADD IV","PADD 4",IF($M6387="PADD V","PADD 5","")))))</f>
        <v>PADD 2</v>
      </c>
      <c r="G6387" s="6">
        <f>IF(AND($H6387="ATMOS DISTILLATION",ISNUMBER(SEARCH("VPS",$I6387))=FALSE,LEFT($I6387,6)&lt;&gt;"VACUUM"),"CDU",IF($H6387="FLUID CAT CRACKING","FCC",IF(OR($H6387="HYDROCRACKING",$H6387="RESID_HYDROCRACKING"),"Hydrocracker",IF($H6387="REFORMING","Reformer",""))))</f>
        <v/>
      </c>
      <c r="H6387" s="6" t="s">
        <v>435</v>
      </c>
      <c r="I6387" s="6" t="s">
        <v>1179</v>
      </c>
      <c r="J6387" s="6" t="s">
        <v>345</v>
      </c>
      <c r="K6387" s="10">
        <v>21.6</v>
      </c>
      <c r="L6387" s="10">
        <v>24</v>
      </c>
      <c r="M6387" s="6" t="s">
        <v>375</v>
      </c>
    </row>
    <row r="6388" spans="1:13">
      <c r="A6388" s="6">
        <v>2025</v>
      </c>
      <c r="B6388" s="6">
        <v>9</v>
      </c>
      <c r="C6388" s="6" t="s">
        <v>67</v>
      </c>
      <c r="D6388" s="6" t="s">
        <v>772</v>
      </c>
      <c r="E6388" s="6" t="s">
        <v>405</v>
      </c>
      <c r="F6388" s="6" t="str">
        <f>IF($M6388="PADD I","PADD 1",IF($M6388="PADD II","PADD 2",IF($M6388="PADD III","PADD 3",IF($M6388="PADD IV","PADD 4",IF($M6388="PADD V","PADD 5","")))))</f>
        <v>PADD 3</v>
      </c>
      <c r="G6388" s="6">
        <f>IF(AND($H6388="ATMOS DISTILLATION",ISNUMBER(SEARCH("VPS",$I6388))=FALSE,LEFT($I6388,6)&lt;&gt;"VACUUM"),"CDU",IF($H6388="FLUID CAT CRACKING","FCC",IF(OR($H6388="HYDROCRACKING",$H6388="RESID_HYDROCRACKING"),"Hydrocracker",IF($H6388="REFORMING","Reformer",""))))</f>
        <v/>
      </c>
      <c r="H6388" s="6" t="s">
        <v>378</v>
      </c>
      <c r="I6388" s="6" t="s">
        <v>431</v>
      </c>
      <c r="J6388" s="6" t="s">
        <v>349</v>
      </c>
      <c r="K6388" s="10">
        <v>21</v>
      </c>
      <c r="L6388" s="10">
        <v>30</v>
      </c>
      <c r="M6388" s="6" t="s">
        <v>371</v>
      </c>
    </row>
    <row r="6389" spans="1:13">
      <c r="A6389" s="6">
        <v>2025</v>
      </c>
      <c r="B6389" s="6">
        <v>9</v>
      </c>
      <c r="C6389" s="6" t="s">
        <v>67</v>
      </c>
      <c r="D6389" s="6" t="s">
        <v>408</v>
      </c>
      <c r="E6389" s="6" t="s">
        <v>409</v>
      </c>
      <c r="F6389" s="6" t="str">
        <f>IF($M6389="PADD I","PADD 1",IF($M6389="PADD II","PADD 2",IF($M6389="PADD III","PADD 3",IF($M6389="PADD IV","PADD 4",IF($M6389="PADD V","PADD 5","")))))</f>
        <v>PADD 3</v>
      </c>
      <c r="G6389" s="6">
        <f>IF(AND($H6389="ATMOS DISTILLATION",ISNUMBER(SEARCH("VPS",$I6389))=FALSE,LEFT($I6389,6)&lt;&gt;"VACUUM"),"CDU",IF($H6389="FLUID CAT CRACKING","FCC",IF(OR($H6389="HYDROCRACKING",$H6389="RESID_HYDROCRACKING"),"Hydrocracker",IF($H6389="REFORMING","Reformer",""))))</f>
        <v/>
      </c>
      <c r="H6389" s="6" t="s">
        <v>43</v>
      </c>
      <c r="I6389" s="6" t="s">
        <v>517</v>
      </c>
      <c r="J6389" s="6" t="s">
        <v>349</v>
      </c>
      <c r="K6389" s="10">
        <v>20.88</v>
      </c>
      <c r="L6389" s="10">
        <v>24</v>
      </c>
      <c r="M6389" s="6" t="s">
        <v>371</v>
      </c>
    </row>
    <row r="6390" spans="1:13">
      <c r="A6390" s="6">
        <v>2025</v>
      </c>
      <c r="B6390" s="6">
        <v>9</v>
      </c>
      <c r="C6390" s="6" t="s">
        <v>67</v>
      </c>
      <c r="D6390" s="6" t="s">
        <v>457</v>
      </c>
      <c r="E6390" s="6" t="s">
        <v>388</v>
      </c>
      <c r="F6390" s="6" t="str">
        <f>IF($M6390="PADD I","PADD 1",IF($M6390="PADD II","PADD 2",IF($M6390="PADD III","PADD 3",IF($M6390="PADD IV","PADD 4",IF($M6390="PADD V","PADD 5","")))))</f>
        <v>PADD 5</v>
      </c>
      <c r="G6390" s="6" t="str">
        <f>IF(AND($H6390="ATMOS DISTILLATION",ISNUMBER(SEARCH("VPS",$I6390))=FALSE,LEFT($I6390,6)&lt;&gt;"VACUUM"),"CDU",IF($H6390="FLUID CAT CRACKING","FCC",IF(OR($H6390="HYDROCRACKING",$H6390="RESID_HYDROCRACKING"),"Hydrocracker",IF($H6390="REFORMING","Reformer",""))))</f>
        <v>FCC</v>
      </c>
      <c r="H6390" s="6" t="s">
        <v>376</v>
      </c>
      <c r="I6390" s="6" t="s">
        <v>105</v>
      </c>
      <c r="J6390" s="6" t="s">
        <v>349</v>
      </c>
      <c r="K6390" s="10">
        <v>20.8</v>
      </c>
      <c r="L6390" s="10">
        <v>104</v>
      </c>
      <c r="M6390" s="6" t="s">
        <v>386</v>
      </c>
    </row>
    <row r="6391" spans="1:13">
      <c r="A6391" s="6">
        <v>2025</v>
      </c>
      <c r="B6391" s="6">
        <v>9</v>
      </c>
      <c r="C6391" s="6" t="s">
        <v>67</v>
      </c>
      <c r="D6391" s="6" t="s">
        <v>324</v>
      </c>
      <c r="E6391" s="6" t="s">
        <v>388</v>
      </c>
      <c r="F6391" s="6" t="str">
        <f>IF($M6391="PADD I","PADD 1",IF($M6391="PADD II","PADD 2",IF($M6391="PADD III","PADD 3",IF($M6391="PADD IV","PADD 4",IF($M6391="PADD V","PADD 5","")))))</f>
        <v>PADD 3</v>
      </c>
      <c r="G6391" s="6">
        <f>IF(AND($H6391="ATMOS DISTILLATION",ISNUMBER(SEARCH("VPS",$I6391))=FALSE,LEFT($I6391,6)&lt;&gt;"VACUUM"),"CDU",IF($H6391="FLUID CAT CRACKING","FCC",IF(OR($H6391="HYDROCRACKING",$H6391="RESID_HYDROCRACKING"),"Hydrocracker",IF($H6391="REFORMING","Reformer",""))))</f>
        <v/>
      </c>
      <c r="H6391" s="6" t="s">
        <v>43</v>
      </c>
      <c r="I6391" s="6" t="s">
        <v>693</v>
      </c>
      <c r="J6391" s="6" t="s">
        <v>349</v>
      </c>
      <c r="K6391" s="10">
        <v>20.21</v>
      </c>
      <c r="L6391" s="10">
        <v>43</v>
      </c>
      <c r="M6391" s="6" t="s">
        <v>371</v>
      </c>
    </row>
    <row r="6392" spans="1:13">
      <c r="A6392" s="6">
        <v>2025</v>
      </c>
      <c r="B6392" s="6">
        <v>9</v>
      </c>
      <c r="C6392" s="6" t="s">
        <v>67</v>
      </c>
      <c r="D6392" s="6" t="s">
        <v>324</v>
      </c>
      <c r="E6392" s="6" t="s">
        <v>388</v>
      </c>
      <c r="F6392" s="6" t="str">
        <f>IF($M6392="PADD I","PADD 1",IF($M6392="PADD II","PADD 2",IF($M6392="PADD III","PADD 3",IF($M6392="PADD IV","PADD 4",IF($M6392="PADD V","PADD 5","")))))</f>
        <v>PADD 3</v>
      </c>
      <c r="G6392" s="6" t="str">
        <f>IF(AND($H6392="ATMOS DISTILLATION",ISNUMBER(SEARCH("VPS",$I6392))=FALSE,LEFT($I6392,6)&lt;&gt;"VACUUM"),"CDU",IF($H6392="FLUID CAT CRACKING","FCC",IF(OR($H6392="HYDROCRACKING",$H6392="RESID_HYDROCRACKING"),"Hydrocracker",IF($H6392="REFORMING","Reformer",""))))</f>
        <v>Reformer</v>
      </c>
      <c r="H6392" s="6" t="s">
        <v>421</v>
      </c>
      <c r="I6392" s="6" t="s">
        <v>1322</v>
      </c>
      <c r="J6392" s="6" t="s">
        <v>349</v>
      </c>
      <c r="K6392" s="10">
        <v>18.404</v>
      </c>
      <c r="L6392" s="10">
        <v>42.8</v>
      </c>
      <c r="M6392" s="6" t="s">
        <v>371</v>
      </c>
    </row>
    <row r="6393" spans="1:13">
      <c r="A6393" s="6">
        <v>2025</v>
      </c>
      <c r="B6393" s="6">
        <v>9</v>
      </c>
      <c r="C6393" s="6" t="s">
        <v>67</v>
      </c>
      <c r="D6393" s="6" t="s">
        <v>324</v>
      </c>
      <c r="E6393" s="6" t="s">
        <v>388</v>
      </c>
      <c r="F6393" s="6" t="str">
        <f>IF($M6393="PADD I","PADD 1",IF($M6393="PADD II","PADD 2",IF($M6393="PADD III","PADD 3",IF($M6393="PADD IV","PADD 4",IF($M6393="PADD V","PADD 5","")))))</f>
        <v>PADD 3</v>
      </c>
      <c r="G6393" s="6">
        <f>IF(AND($H6393="ATMOS DISTILLATION",ISNUMBER(SEARCH("VPS",$I6393))=FALSE,LEFT($I6393,6)&lt;&gt;"VACUUM"),"CDU",IF($H6393="FLUID CAT CRACKING","FCC",IF(OR($H6393="HYDROCRACKING",$H6393="RESID_HYDROCRACKING"),"Hydrocracker",IF($H6393="REFORMING","Reformer",""))))</f>
        <v/>
      </c>
      <c r="H6393" s="6" t="s">
        <v>435</v>
      </c>
      <c r="I6393" s="6" t="s">
        <v>962</v>
      </c>
      <c r="J6393" s="6" t="s">
        <v>349</v>
      </c>
      <c r="K6393" s="10">
        <v>18.285</v>
      </c>
      <c r="L6393" s="10">
        <v>34.5</v>
      </c>
      <c r="M6393" s="6" t="s">
        <v>371</v>
      </c>
    </row>
    <row r="6394" spans="1:13">
      <c r="A6394" s="6">
        <v>2025</v>
      </c>
      <c r="B6394" s="6">
        <v>9</v>
      </c>
      <c r="C6394" s="6" t="s">
        <v>67</v>
      </c>
      <c r="D6394" s="6" t="s">
        <v>395</v>
      </c>
      <c r="E6394" s="6" t="s">
        <v>396</v>
      </c>
      <c r="F6394" s="6" t="str">
        <f>IF($M6394="PADD I","PADD 1",IF($M6394="PADD II","PADD 2",IF($M6394="PADD III","PADD 3",IF($M6394="PADD IV","PADD 4",IF($M6394="PADD V","PADD 5","")))))</f>
        <v>PADD 3</v>
      </c>
      <c r="G6394" s="6" t="str">
        <f>IF(AND($H6394="ATMOS DISTILLATION",ISNUMBER(SEARCH("VPS",$I6394))=FALSE,LEFT($I6394,6)&lt;&gt;"VACUUM"),"CDU",IF($H6394="FLUID CAT CRACKING","FCC",IF(OR($H6394="HYDROCRACKING",$H6394="RESID_HYDROCRACKING"),"Hydrocracker",IF($H6394="REFORMING","Reformer",""))))</f>
        <v>Reformer</v>
      </c>
      <c r="H6394" s="6" t="s">
        <v>421</v>
      </c>
      <c r="I6394" s="6" t="s">
        <v>540</v>
      </c>
      <c r="J6394" s="6" t="s">
        <v>345</v>
      </c>
      <c r="K6394" s="10">
        <v>18</v>
      </c>
      <c r="L6394" s="10">
        <v>45</v>
      </c>
      <c r="M6394" s="6" t="s">
        <v>371</v>
      </c>
    </row>
    <row r="6395" spans="1:13">
      <c r="A6395" s="6">
        <v>2025</v>
      </c>
      <c r="B6395" s="6">
        <v>9</v>
      </c>
      <c r="C6395" s="6" t="s">
        <v>67</v>
      </c>
      <c r="D6395" s="6" t="s">
        <v>326</v>
      </c>
      <c r="E6395" s="6" t="s">
        <v>385</v>
      </c>
      <c r="F6395" s="6" t="str">
        <f>IF($M6395="PADD I","PADD 1",IF($M6395="PADD II","PADD 2",IF($M6395="PADD III","PADD 3",IF($M6395="PADD IV","PADD 4",IF($M6395="PADD V","PADD 5","")))))</f>
        <v>PADD 5</v>
      </c>
      <c r="G6395" s="6">
        <f>IF(AND($H6395="ATMOS DISTILLATION",ISNUMBER(SEARCH("VPS",$I6395))=FALSE,LEFT($I6395,6)&lt;&gt;"VACUUM"),"CDU",IF($H6395="FLUID CAT CRACKING","FCC",IF(OR($H6395="HYDROCRACKING",$H6395="RESID_HYDROCRACKING"),"Hydrocracker",IF($H6395="REFORMING","Reformer",""))))</f>
        <v/>
      </c>
      <c r="H6395" s="6" t="s">
        <v>43</v>
      </c>
      <c r="I6395" s="6" t="s">
        <v>1174</v>
      </c>
      <c r="J6395" s="6" t="s">
        <v>345</v>
      </c>
      <c r="K6395" s="10">
        <v>17.57</v>
      </c>
      <c r="L6395" s="10">
        <v>17.57</v>
      </c>
      <c r="M6395" s="6" t="s">
        <v>386</v>
      </c>
    </row>
    <row r="6396" spans="1:13">
      <c r="A6396" s="6">
        <v>2025</v>
      </c>
      <c r="B6396" s="6">
        <v>9</v>
      </c>
      <c r="C6396" s="6" t="s">
        <v>67</v>
      </c>
      <c r="D6396" s="6" t="s">
        <v>468</v>
      </c>
      <c r="E6396" s="6" t="s">
        <v>369</v>
      </c>
      <c r="F6396" s="6" t="str">
        <f>IF($M6396="PADD I","PADD 1",IF($M6396="PADD II","PADD 2",IF($M6396="PADD III","PADD 3",IF($M6396="PADD IV","PADD 4",IF($M6396="PADD V","PADD 5","")))))</f>
        <v>PADD 3</v>
      </c>
      <c r="G6396" s="6">
        <f>IF(AND($H6396="ATMOS DISTILLATION",ISNUMBER(SEARCH("VPS",$I6396))=FALSE,LEFT($I6396,6)&lt;&gt;"VACUUM"),"CDU",IF($H6396="FLUID CAT CRACKING","FCC",IF(OR($H6396="HYDROCRACKING",$H6396="RESID_HYDROCRACKING"),"Hydrocracker",IF($H6396="REFORMING","Reformer",""))))</f>
        <v/>
      </c>
      <c r="H6396" s="6" t="s">
        <v>43</v>
      </c>
      <c r="I6396" s="6" t="s">
        <v>1030</v>
      </c>
      <c r="J6396" s="6" t="s">
        <v>349</v>
      </c>
      <c r="K6396" s="10">
        <v>17.4</v>
      </c>
      <c r="L6396" s="10">
        <v>20</v>
      </c>
      <c r="M6396" s="6" t="s">
        <v>371</v>
      </c>
    </row>
    <row r="6397" spans="1:13">
      <c r="A6397" s="6">
        <v>2025</v>
      </c>
      <c r="B6397" s="6">
        <v>9</v>
      </c>
      <c r="C6397" s="6" t="s">
        <v>67</v>
      </c>
      <c r="D6397" s="6" t="s">
        <v>1320</v>
      </c>
      <c r="E6397" s="6" t="s">
        <v>1321</v>
      </c>
      <c r="F6397" s="6" t="str">
        <f>IF($M6397="PADD I","PADD 1",IF($M6397="PADD II","PADD 2",IF($M6397="PADD III","PADD 3",IF($M6397="PADD IV","PADD 4",IF($M6397="PADD V","PADD 5","")))))</f>
        <v>PADD 3</v>
      </c>
      <c r="G6397" s="6">
        <f>IF(AND($H6397="ATMOS DISTILLATION",ISNUMBER(SEARCH("VPS",$I6397))=FALSE,LEFT($I6397,6)&lt;&gt;"VACUUM"),"CDU",IF($H6397="FLUID CAT CRACKING","FCC",IF(OR($H6397="HYDROCRACKING",$H6397="RESID_HYDROCRACKING"),"Hydrocracker",IF($H6397="REFORMING","Reformer",""))))</f>
        <v/>
      </c>
      <c r="H6397" s="6" t="s">
        <v>378</v>
      </c>
      <c r="I6397" s="6" t="s">
        <v>431</v>
      </c>
      <c r="J6397" s="6" t="s">
        <v>349</v>
      </c>
      <c r="K6397" s="10">
        <v>17.4</v>
      </c>
      <c r="L6397" s="10">
        <v>20</v>
      </c>
      <c r="M6397" s="6" t="s">
        <v>371</v>
      </c>
    </row>
    <row r="6398" spans="1:13">
      <c r="A6398" s="6">
        <v>2025</v>
      </c>
      <c r="B6398" s="6">
        <v>9</v>
      </c>
      <c r="C6398" s="6" t="s">
        <v>67</v>
      </c>
      <c r="D6398" s="6" t="s">
        <v>1323</v>
      </c>
      <c r="E6398" s="6" t="s">
        <v>369</v>
      </c>
      <c r="F6398" s="6" t="str">
        <f>IF($M6398="PADD I","PADD 1",IF($M6398="PADD II","PADD 2",IF($M6398="PADD III","PADD 3",IF($M6398="PADD IV","PADD 4",IF($M6398="PADD V","PADD 5","")))))</f>
        <v>PADD 5</v>
      </c>
      <c r="G6398" s="6">
        <f>IF(AND($H6398="ATMOS DISTILLATION",ISNUMBER(SEARCH("VPS",$I6398))=FALSE,LEFT($I6398,6)&lt;&gt;"VACUUM"),"CDU",IF($H6398="FLUID CAT CRACKING","FCC",IF(OR($H6398="HYDROCRACKING",$H6398="RESID_HYDROCRACKING"),"Hydrocracker",IF($H6398="REFORMING","Reformer",""))))</f>
        <v/>
      </c>
      <c r="H6398" s="6" t="s">
        <v>43</v>
      </c>
      <c r="I6398" s="6" t="s">
        <v>811</v>
      </c>
      <c r="J6398" s="6" t="s">
        <v>349</v>
      </c>
      <c r="K6398" s="10">
        <v>16.96</v>
      </c>
      <c r="L6398" s="10">
        <v>32</v>
      </c>
      <c r="M6398" s="6" t="s">
        <v>386</v>
      </c>
    </row>
    <row r="6399" spans="1:13">
      <c r="A6399" s="6">
        <v>2025</v>
      </c>
      <c r="B6399" s="6">
        <v>9</v>
      </c>
      <c r="C6399" s="6" t="s">
        <v>67</v>
      </c>
      <c r="D6399" s="6" t="s">
        <v>387</v>
      </c>
      <c r="E6399" s="6" t="s">
        <v>388</v>
      </c>
      <c r="F6399" s="6" t="str">
        <f>IF($M6399="PADD I","PADD 1",IF($M6399="PADD II","PADD 2",IF($M6399="PADD III","PADD 3",IF($M6399="PADD IV","PADD 4",IF($M6399="PADD V","PADD 5","")))))</f>
        <v>PADD 3</v>
      </c>
      <c r="G6399" s="6" t="str">
        <f>IF(AND($H6399="ATMOS DISTILLATION",ISNUMBER(SEARCH("VPS",$I6399))=FALSE,LEFT($I6399,6)&lt;&gt;"VACUUM"),"CDU",IF($H6399="FLUID CAT CRACKING","FCC",IF(OR($H6399="HYDROCRACKING",$H6399="RESID_HYDROCRACKING"),"Hydrocracker",IF($H6399="REFORMING","Reformer",""))))</f>
        <v>Hydrocracker</v>
      </c>
      <c r="H6399" s="6" t="s">
        <v>581</v>
      </c>
      <c r="I6399" s="6" t="s">
        <v>868</v>
      </c>
      <c r="J6399" s="6" t="s">
        <v>345</v>
      </c>
      <c r="K6399" s="10">
        <v>16</v>
      </c>
      <c r="L6399" s="10">
        <v>16</v>
      </c>
      <c r="M6399" s="6" t="s">
        <v>371</v>
      </c>
    </row>
    <row r="6400" spans="1:13">
      <c r="A6400" s="6">
        <v>2025</v>
      </c>
      <c r="B6400" s="6">
        <v>9</v>
      </c>
      <c r="C6400" s="6" t="s">
        <v>67</v>
      </c>
      <c r="D6400" s="6" t="s">
        <v>500</v>
      </c>
      <c r="E6400" s="6" t="s">
        <v>388</v>
      </c>
      <c r="F6400" s="6" t="str">
        <f>IF($M6400="PADD I","PADD 1",IF($M6400="PADD II","PADD 2",IF($M6400="PADD III","PADD 3",IF($M6400="PADD IV","PADD 4",IF($M6400="PADD V","PADD 5","")))))</f>
        <v>PADD 2</v>
      </c>
      <c r="G6400" s="6" t="str">
        <f>IF(AND($H6400="ATMOS DISTILLATION",ISNUMBER(SEARCH("VPS",$I6400))=FALSE,LEFT($I6400,6)&lt;&gt;"VACUUM"),"CDU",IF($H6400="FLUID CAT CRACKING","FCC",IF(OR($H6400="HYDROCRACKING",$H6400="RESID_HYDROCRACKING"),"Hydrocracker",IF($H6400="REFORMING","Reformer",""))))</f>
        <v>CDU</v>
      </c>
      <c r="H6400" s="6" t="s">
        <v>38</v>
      </c>
      <c r="I6400" s="6" t="s">
        <v>530</v>
      </c>
      <c r="J6400" s="6" t="s">
        <v>349</v>
      </c>
      <c r="K6400" s="10">
        <v>15.64</v>
      </c>
      <c r="L6400" s="10">
        <v>92</v>
      </c>
      <c r="M6400" s="6" t="s">
        <v>375</v>
      </c>
    </row>
    <row r="6401" spans="1:13">
      <c r="A6401" s="6">
        <v>2025</v>
      </c>
      <c r="B6401" s="6">
        <v>9</v>
      </c>
      <c r="C6401" s="6" t="s">
        <v>67</v>
      </c>
      <c r="D6401" s="6" t="s">
        <v>1320</v>
      </c>
      <c r="E6401" s="6" t="s">
        <v>1321</v>
      </c>
      <c r="F6401" s="6" t="str">
        <f>IF($M6401="PADD I","PADD 1",IF($M6401="PADD II","PADD 2",IF($M6401="PADD III","PADD 3",IF($M6401="PADD IV","PADD 4",IF($M6401="PADD V","PADD 5","")))))</f>
        <v>PADD 3</v>
      </c>
      <c r="G6401" s="6">
        <f>IF(AND($H6401="ATMOS DISTILLATION",ISNUMBER(SEARCH("VPS",$I6401))=FALSE,LEFT($I6401,6)&lt;&gt;"VACUUM"),"CDU",IF($H6401="FLUID CAT CRACKING","FCC",IF(OR($H6401="HYDROCRACKING",$H6401="RESID_HYDROCRACKING"),"Hydrocracker",IF($H6401="REFORMING","Reformer",""))))</f>
        <v/>
      </c>
      <c r="H6401" s="6" t="s">
        <v>523</v>
      </c>
      <c r="I6401" s="6" t="s">
        <v>524</v>
      </c>
      <c r="J6401" s="6" t="s">
        <v>349</v>
      </c>
      <c r="K6401" s="10">
        <v>15.486</v>
      </c>
      <c r="L6401" s="10">
        <v>17.8</v>
      </c>
      <c r="M6401" s="6" t="s">
        <v>371</v>
      </c>
    </row>
    <row r="6402" spans="1:13">
      <c r="A6402" s="6">
        <v>2025</v>
      </c>
      <c r="B6402" s="6">
        <v>9</v>
      </c>
      <c r="C6402" s="6" t="s">
        <v>67</v>
      </c>
      <c r="D6402" s="6" t="s">
        <v>542</v>
      </c>
      <c r="E6402" s="6" t="s">
        <v>543</v>
      </c>
      <c r="F6402" s="6" t="str">
        <f>IF($M6402="PADD I","PADD 1",IF($M6402="PADD II","PADD 2",IF($M6402="PADD III","PADD 3",IF($M6402="PADD IV","PADD 4",IF($M6402="PADD V","PADD 5","")))))</f>
        <v>PADD 2</v>
      </c>
      <c r="G6402" s="6" t="str">
        <f>IF(AND($H6402="ATMOS DISTILLATION",ISNUMBER(SEARCH("VPS",$I6402))=FALSE,LEFT($I6402,6)&lt;&gt;"VACUUM"),"CDU",IF($H6402="FLUID CAT CRACKING","FCC",IF(OR($H6402="HYDROCRACKING",$H6402="RESID_HYDROCRACKING"),"Hydrocracker",IF($H6402="REFORMING","Reformer",""))))</f>
        <v>FCC</v>
      </c>
      <c r="H6402" s="6" t="s">
        <v>376</v>
      </c>
      <c r="I6402" s="6" t="s">
        <v>1113</v>
      </c>
      <c r="J6402" s="6" t="s">
        <v>349</v>
      </c>
      <c r="K6402" s="10">
        <v>14.95</v>
      </c>
      <c r="L6402" s="10">
        <v>65</v>
      </c>
      <c r="M6402" s="6" t="s">
        <v>375</v>
      </c>
    </row>
    <row r="6403" spans="1:13">
      <c r="A6403" s="6">
        <v>2025</v>
      </c>
      <c r="B6403" s="6">
        <v>9</v>
      </c>
      <c r="C6403" s="6" t="s">
        <v>67</v>
      </c>
      <c r="D6403" s="6" t="s">
        <v>319</v>
      </c>
      <c r="E6403" s="6" t="s">
        <v>665</v>
      </c>
      <c r="F6403" s="6" t="str">
        <f>IF($M6403="PADD I","PADD 1",IF($M6403="PADD II","PADD 2",IF($M6403="PADD III","PADD 3",IF($M6403="PADD IV","PADD 4",IF($M6403="PADD V","PADD 5","")))))</f>
        <v>PADD 3</v>
      </c>
      <c r="G6403" s="6">
        <f>IF(AND($H6403="ATMOS DISTILLATION",ISNUMBER(SEARCH("VPS",$I6403))=FALSE,LEFT($I6403,6)&lt;&gt;"VACUUM"),"CDU",IF($H6403="FLUID CAT CRACKING","FCC",IF(OR($H6403="HYDROCRACKING",$H6403="RESID_HYDROCRACKING"),"Hydrocracker",IF($H6403="REFORMING","Reformer",""))))</f>
        <v/>
      </c>
      <c r="H6403" s="6" t="s">
        <v>460</v>
      </c>
      <c r="I6403" s="6" t="s">
        <v>461</v>
      </c>
      <c r="J6403" s="6" t="s">
        <v>349</v>
      </c>
      <c r="K6403" s="10">
        <v>14.8</v>
      </c>
      <c r="L6403" s="10">
        <v>14.8</v>
      </c>
      <c r="M6403" s="6" t="s">
        <v>371</v>
      </c>
    </row>
    <row r="6404" spans="1:13">
      <c r="A6404" s="6">
        <v>2025</v>
      </c>
      <c r="B6404" s="6">
        <v>9</v>
      </c>
      <c r="C6404" s="6" t="s">
        <v>67</v>
      </c>
      <c r="D6404" s="6" t="s">
        <v>1038</v>
      </c>
      <c r="E6404" s="6" t="s">
        <v>1039</v>
      </c>
      <c r="F6404" s="6" t="str">
        <f>IF($M6404="PADD I","PADD 1",IF($M6404="PADD II","PADD 2",IF($M6404="PADD III","PADD 3",IF($M6404="PADD IV","PADD 4",IF($M6404="PADD V","PADD 5","")))))</f>
        <v>PADD 2</v>
      </c>
      <c r="G6404" s="6" t="str">
        <f>IF(AND($H6404="ATMOS DISTILLATION",ISNUMBER(SEARCH("VPS",$I6404))=FALSE,LEFT($I6404,6)&lt;&gt;"VACUUM"),"CDU",IF($H6404="FLUID CAT CRACKING","FCC",IF(OR($H6404="HYDROCRACKING",$H6404="RESID_HYDROCRACKING"),"Hydrocracker",IF($H6404="REFORMING","Reformer",""))))</f>
        <v>CDU</v>
      </c>
      <c r="H6404" s="6" t="s">
        <v>38</v>
      </c>
      <c r="I6404" s="6" t="s">
        <v>917</v>
      </c>
      <c r="J6404" s="6" t="s">
        <v>349</v>
      </c>
      <c r="K6404" s="10">
        <v>14</v>
      </c>
      <c r="L6404" s="10">
        <v>35</v>
      </c>
      <c r="M6404" s="6" t="s">
        <v>375</v>
      </c>
    </row>
    <row r="6405" spans="1:13">
      <c r="A6405" s="6">
        <v>2025</v>
      </c>
      <c r="B6405" s="6">
        <v>9</v>
      </c>
      <c r="C6405" s="6" t="s">
        <v>67</v>
      </c>
      <c r="D6405" s="6" t="s">
        <v>526</v>
      </c>
      <c r="E6405" s="6" t="s">
        <v>405</v>
      </c>
      <c r="F6405" s="6" t="str">
        <f>IF($M6405="PADD I","PADD 1",IF($M6405="PADD II","PADD 2",IF($M6405="PADD III","PADD 3",IF($M6405="PADD IV","PADD 4",IF($M6405="PADD V","PADD 5","")))))</f>
        <v>PADD 3</v>
      </c>
      <c r="G6405" s="6" t="str">
        <f>IF(AND($H6405="ATMOS DISTILLATION",ISNUMBER(SEARCH("VPS",$I6405))=FALSE,LEFT($I6405,6)&lt;&gt;"VACUUM"),"CDU",IF($H6405="FLUID CAT CRACKING","FCC",IF(OR($H6405="HYDROCRACKING",$H6405="RESID_HYDROCRACKING"),"Hydrocracker",IF($H6405="REFORMING","Reformer",""))))</f>
        <v>Hydrocracker</v>
      </c>
      <c r="H6405" s="6" t="s">
        <v>444</v>
      </c>
      <c r="I6405" s="6" t="s">
        <v>527</v>
      </c>
      <c r="J6405" s="6" t="s">
        <v>349</v>
      </c>
      <c r="K6405" s="10">
        <v>13.11</v>
      </c>
      <c r="L6405" s="10">
        <v>57</v>
      </c>
      <c r="M6405" s="6" t="s">
        <v>371</v>
      </c>
    </row>
    <row r="6406" spans="1:13">
      <c r="A6406" s="6">
        <v>2025</v>
      </c>
      <c r="B6406" s="6">
        <v>9</v>
      </c>
      <c r="C6406" s="6" t="s">
        <v>67</v>
      </c>
      <c r="D6406" s="6" t="s">
        <v>468</v>
      </c>
      <c r="E6406" s="6" t="s">
        <v>369</v>
      </c>
      <c r="F6406" s="6" t="str">
        <f>IF($M6406="PADD I","PADD 1",IF($M6406="PADD II","PADD 2",IF($M6406="PADD III","PADD 3",IF($M6406="PADD IV","PADD 4",IF($M6406="PADD V","PADD 5","")))))</f>
        <v>PADD 3</v>
      </c>
      <c r="G6406" s="6">
        <f>IF(AND($H6406="ATMOS DISTILLATION",ISNUMBER(SEARCH("VPS",$I6406))=FALSE,LEFT($I6406,6)&lt;&gt;"VACUUM"),"CDU",IF($H6406="FLUID CAT CRACKING","FCC",IF(OR($H6406="HYDROCRACKING",$H6406="RESID_HYDROCRACKING"),"Hydrocracker",IF($H6406="REFORMING","Reformer",""))))</f>
        <v/>
      </c>
      <c r="H6406" s="6" t="s">
        <v>460</v>
      </c>
      <c r="I6406" s="6" t="s">
        <v>890</v>
      </c>
      <c r="J6406" s="6" t="s">
        <v>349</v>
      </c>
      <c r="K6406" s="10">
        <v>12.18</v>
      </c>
      <c r="L6406" s="10">
        <v>14</v>
      </c>
      <c r="M6406" s="6" t="s">
        <v>371</v>
      </c>
    </row>
    <row r="6407" spans="1:13">
      <c r="A6407" s="6">
        <v>2025</v>
      </c>
      <c r="B6407" s="6">
        <v>9</v>
      </c>
      <c r="C6407" s="6" t="s">
        <v>67</v>
      </c>
      <c r="D6407" s="6" t="s">
        <v>612</v>
      </c>
      <c r="E6407" s="6" t="s">
        <v>416</v>
      </c>
      <c r="F6407" s="6" t="str">
        <f>IF($M6407="PADD I","PADD 1",IF($M6407="PADD II","PADD 2",IF($M6407="PADD III","PADD 3",IF($M6407="PADD IV","PADD 4",IF($M6407="PADD V","PADD 5","")))))</f>
        <v>PADD 3</v>
      </c>
      <c r="G6407" s="6">
        <f>IF(AND($H6407="ATMOS DISTILLATION",ISNUMBER(SEARCH("VPS",$I6407))=FALSE,LEFT($I6407,6)&lt;&gt;"VACUUM"),"CDU",IF($H6407="FLUID CAT CRACKING","FCC",IF(OR($H6407="HYDROCRACKING",$H6407="RESID_HYDROCRACKING"),"Hydrocracker",IF($H6407="REFORMING","Reformer",""))))</f>
        <v/>
      </c>
      <c r="H6407" s="6" t="s">
        <v>43</v>
      </c>
      <c r="I6407" s="6" t="s">
        <v>458</v>
      </c>
      <c r="J6407" s="6" t="s">
        <v>349</v>
      </c>
      <c r="K6407" s="10">
        <v>12</v>
      </c>
      <c r="L6407" s="10">
        <v>40</v>
      </c>
      <c r="M6407" s="6" t="s">
        <v>371</v>
      </c>
    </row>
    <row r="6408" spans="1:13">
      <c r="A6408" s="6">
        <v>2025</v>
      </c>
      <c r="B6408" s="6">
        <v>9</v>
      </c>
      <c r="C6408" s="6" t="s">
        <v>67</v>
      </c>
      <c r="D6408" s="6" t="s">
        <v>602</v>
      </c>
      <c r="E6408" s="6" t="s">
        <v>369</v>
      </c>
      <c r="F6408" s="6" t="str">
        <f>IF($M6408="PADD I","PADD 1",IF($M6408="PADD II","PADD 2",IF($M6408="PADD III","PADD 3",IF($M6408="PADD IV","PADD 4",IF($M6408="PADD V","PADD 5","")))))</f>
        <v>PADD 2</v>
      </c>
      <c r="G6408" s="6" t="str">
        <f>IF(AND($H6408="ATMOS DISTILLATION",ISNUMBER(SEARCH("VPS",$I6408))=FALSE,LEFT($I6408,6)&lt;&gt;"VACUUM"),"CDU",IF($H6408="FLUID CAT CRACKING","FCC",IF(OR($H6408="HYDROCRACKING",$H6408="RESID_HYDROCRACKING"),"Hydrocracker",IF($H6408="REFORMING","Reformer",""))))</f>
        <v>CDU</v>
      </c>
      <c r="H6408" s="6" t="s">
        <v>38</v>
      </c>
      <c r="I6408" s="6" t="s">
        <v>661</v>
      </c>
      <c r="J6408" s="6" t="s">
        <v>349</v>
      </c>
      <c r="K6408" s="10">
        <v>11.55</v>
      </c>
      <c r="L6408" s="10">
        <v>35</v>
      </c>
      <c r="M6408" s="6" t="s">
        <v>375</v>
      </c>
    </row>
    <row r="6409" spans="1:13">
      <c r="A6409" s="6">
        <v>2025</v>
      </c>
      <c r="B6409" s="6">
        <v>9</v>
      </c>
      <c r="C6409" s="6" t="s">
        <v>67</v>
      </c>
      <c r="D6409" s="6" t="s">
        <v>50</v>
      </c>
      <c r="E6409" s="6" t="s">
        <v>381</v>
      </c>
      <c r="F6409" s="6" t="str">
        <f>IF($M6409="PADD I","PADD 1",IF($M6409="PADD II","PADD 2",IF($M6409="PADD III","PADD 3",IF($M6409="PADD IV","PADD 4",IF($M6409="PADD V","PADD 5","")))))</f>
        <v>PADD 3</v>
      </c>
      <c r="G6409" s="6">
        <f>IF(AND($H6409="ATMOS DISTILLATION",ISNUMBER(SEARCH("VPS",$I6409))=FALSE,LEFT($I6409,6)&lt;&gt;"VACUUM"),"CDU",IF($H6409="FLUID CAT CRACKING","FCC",IF(OR($H6409="HYDROCRACKING",$H6409="RESID_HYDROCRACKING"),"Hydrocracker",IF($H6409="REFORMING","Reformer",""))))</f>
        <v/>
      </c>
      <c r="H6409" s="6" t="s">
        <v>43</v>
      </c>
      <c r="I6409" s="6" t="s">
        <v>1091</v>
      </c>
      <c r="J6409" s="6" t="s">
        <v>345</v>
      </c>
      <c r="K6409" s="10">
        <v>11.05</v>
      </c>
      <c r="L6409" s="10">
        <v>65</v>
      </c>
      <c r="M6409" s="6" t="s">
        <v>371</v>
      </c>
    </row>
    <row r="6410" spans="1:13">
      <c r="A6410" s="6">
        <v>2025</v>
      </c>
      <c r="B6410" s="6">
        <v>9</v>
      </c>
      <c r="C6410" s="6" t="s">
        <v>67</v>
      </c>
      <c r="D6410" s="6" t="s">
        <v>670</v>
      </c>
      <c r="E6410" s="6" t="s">
        <v>405</v>
      </c>
      <c r="F6410" s="6" t="str">
        <f>IF($M6410="PADD I","PADD 1",IF($M6410="PADD II","PADD 2",IF($M6410="PADD III","PADD 3",IF($M6410="PADD IV","PADD 4",IF($M6410="PADD V","PADD 5","")))))</f>
        <v>PADD 2</v>
      </c>
      <c r="G6410" s="6">
        <f>IF(AND($H6410="ATMOS DISTILLATION",ISNUMBER(SEARCH("VPS",$I6410))=FALSE,LEFT($I6410,6)&lt;&gt;"VACUUM"),"CDU",IF($H6410="FLUID CAT CRACKING","FCC",IF(OR($H6410="HYDROCRACKING",$H6410="RESID_HYDROCRACKING"),"Hydrocracker",IF($H6410="REFORMING","Reformer",""))))</f>
        <v/>
      </c>
      <c r="H6410" s="6" t="s">
        <v>460</v>
      </c>
      <c r="I6410" s="6" t="s">
        <v>616</v>
      </c>
      <c r="J6410" s="6" t="s">
        <v>349</v>
      </c>
      <c r="K6410" s="10">
        <v>10.44</v>
      </c>
      <c r="L6410" s="10">
        <v>12</v>
      </c>
      <c r="M6410" s="6" t="s">
        <v>375</v>
      </c>
    </row>
    <row r="6411" spans="1:13">
      <c r="A6411" s="6">
        <v>2025</v>
      </c>
      <c r="B6411" s="6">
        <v>9</v>
      </c>
      <c r="C6411" s="6" t="s">
        <v>67</v>
      </c>
      <c r="D6411" s="6" t="s">
        <v>1320</v>
      </c>
      <c r="E6411" s="6" t="s">
        <v>1321</v>
      </c>
      <c r="F6411" s="6" t="str">
        <f>IF($M6411="PADD I","PADD 1",IF($M6411="PADD II","PADD 2",IF($M6411="PADD III","PADD 3",IF($M6411="PADD IV","PADD 4",IF($M6411="PADD V","PADD 5","")))))</f>
        <v>PADD 3</v>
      </c>
      <c r="G6411" s="6">
        <f>IF(AND($H6411="ATMOS DISTILLATION",ISNUMBER(SEARCH("VPS",$I6411))=FALSE,LEFT($I6411,6)&lt;&gt;"VACUUM"),"CDU",IF($H6411="FLUID CAT CRACKING","FCC",IF(OR($H6411="HYDROCRACKING",$H6411="RESID_HYDROCRACKING"),"Hydrocracker",IF($H6411="REFORMING","Reformer",""))))</f>
        <v/>
      </c>
      <c r="H6411" s="6" t="s">
        <v>43</v>
      </c>
      <c r="I6411" s="6" t="s">
        <v>904</v>
      </c>
      <c r="J6411" s="6" t="s">
        <v>349</v>
      </c>
      <c r="K6411" s="10">
        <v>10.44</v>
      </c>
      <c r="L6411" s="10">
        <v>12</v>
      </c>
      <c r="M6411" s="6" t="s">
        <v>371</v>
      </c>
    </row>
    <row r="6412" spans="1:13">
      <c r="A6412" s="6">
        <v>2025</v>
      </c>
      <c r="B6412" s="6">
        <v>9</v>
      </c>
      <c r="C6412" s="6" t="s">
        <v>67</v>
      </c>
      <c r="D6412" s="6" t="s">
        <v>326</v>
      </c>
      <c r="E6412" s="6" t="s">
        <v>385</v>
      </c>
      <c r="F6412" s="6" t="str">
        <f>IF($M6412="PADD I","PADD 1",IF($M6412="PADD II","PADD 2",IF($M6412="PADD III","PADD 3",IF($M6412="PADD IV","PADD 4",IF($M6412="PADD V","PADD 5","")))))</f>
        <v>PADD 5</v>
      </c>
      <c r="G6412" s="6" t="str">
        <f>IF(AND($H6412="ATMOS DISTILLATION",ISNUMBER(SEARCH("VPS",$I6412))=FALSE,LEFT($I6412,6)&lt;&gt;"VACUUM"),"CDU",IF($H6412="FLUID CAT CRACKING","FCC",IF(OR($H6412="HYDROCRACKING",$H6412="RESID_HYDROCRACKING"),"Hydrocracker",IF($H6412="REFORMING","Reformer",""))))</f>
        <v>Reformer</v>
      </c>
      <c r="H6412" s="6" t="s">
        <v>421</v>
      </c>
      <c r="I6412" s="6" t="s">
        <v>15</v>
      </c>
      <c r="J6412" s="6" t="s">
        <v>345</v>
      </c>
      <c r="K6412" s="10">
        <v>10.33</v>
      </c>
      <c r="L6412" s="10">
        <v>10.33</v>
      </c>
      <c r="M6412" s="6" t="s">
        <v>386</v>
      </c>
    </row>
    <row r="6413" spans="1:13">
      <c r="A6413" s="6">
        <v>2025</v>
      </c>
      <c r="B6413" s="6">
        <v>9</v>
      </c>
      <c r="C6413" s="6" t="s">
        <v>67</v>
      </c>
      <c r="D6413" s="6" t="s">
        <v>326</v>
      </c>
      <c r="E6413" s="6" t="s">
        <v>385</v>
      </c>
      <c r="F6413" s="6" t="str">
        <f>IF($M6413="PADD I","PADD 1",IF($M6413="PADD II","PADD 2",IF($M6413="PADD III","PADD 3",IF($M6413="PADD IV","PADD 4",IF($M6413="PADD V","PADD 5","")))))</f>
        <v>PADD 5</v>
      </c>
      <c r="G6413" s="6">
        <f>IF(AND($H6413="ATMOS DISTILLATION",ISNUMBER(SEARCH("VPS",$I6413))=FALSE,LEFT($I6413,6)&lt;&gt;"VACUUM"),"CDU",IF($H6413="FLUID CAT CRACKING","FCC",IF(OR($H6413="HYDROCRACKING",$H6413="RESID_HYDROCRACKING"),"Hydrocracker",IF($H6413="REFORMING","Reformer",""))))</f>
        <v/>
      </c>
      <c r="H6413" s="6" t="s">
        <v>43</v>
      </c>
      <c r="I6413" s="6" t="s">
        <v>501</v>
      </c>
      <c r="J6413" s="6" t="s">
        <v>345</v>
      </c>
      <c r="K6413" s="10">
        <v>9.800000000000001</v>
      </c>
      <c r="L6413" s="10">
        <v>9.800000000000001</v>
      </c>
      <c r="M6413" s="6" t="s">
        <v>386</v>
      </c>
    </row>
    <row r="6414" spans="1:13">
      <c r="A6414" s="6">
        <v>2025</v>
      </c>
      <c r="B6414" s="6">
        <v>9</v>
      </c>
      <c r="C6414" s="6" t="s">
        <v>67</v>
      </c>
      <c r="D6414" s="6" t="s">
        <v>484</v>
      </c>
      <c r="E6414" s="6" t="s">
        <v>409</v>
      </c>
      <c r="F6414" s="6" t="str">
        <f>IF($M6414="PADD I","PADD 1",IF($M6414="PADD II","PADD 2",IF($M6414="PADD III","PADD 3",IF($M6414="PADD IV","PADD 4",IF($M6414="PADD V","PADD 5","")))))</f>
        <v>PADD 3</v>
      </c>
      <c r="G6414" s="6">
        <f>IF(AND($H6414="ATMOS DISTILLATION",ISNUMBER(SEARCH("VPS",$I6414))=FALSE,LEFT($I6414,6)&lt;&gt;"VACUUM"),"CDU",IF($H6414="FLUID CAT CRACKING","FCC",IF(OR($H6414="HYDROCRACKING",$H6414="RESID_HYDROCRACKING"),"Hydrocracker",IF($H6414="REFORMING","Reformer",""))))</f>
        <v/>
      </c>
      <c r="H6414" s="6" t="s">
        <v>43</v>
      </c>
      <c r="I6414" s="6" t="s">
        <v>493</v>
      </c>
      <c r="J6414" s="6" t="s">
        <v>345</v>
      </c>
      <c r="K6414" s="10">
        <v>9.699999999999999</v>
      </c>
      <c r="L6414" s="10">
        <v>10</v>
      </c>
      <c r="M6414" s="6" t="s">
        <v>371</v>
      </c>
    </row>
    <row r="6415" spans="1:13">
      <c r="A6415" s="6">
        <v>2025</v>
      </c>
      <c r="B6415" s="6">
        <v>9</v>
      </c>
      <c r="C6415" s="6" t="s">
        <v>67</v>
      </c>
      <c r="D6415" s="6" t="s">
        <v>803</v>
      </c>
      <c r="E6415" s="6" t="s">
        <v>388</v>
      </c>
      <c r="F6415" s="6" t="str">
        <f>IF($M6415="PADD I","PADD 1",IF($M6415="PADD II","PADD 2",IF($M6415="PADD III","PADD 3",IF($M6415="PADD IV","PADD 4",IF($M6415="PADD V","PADD 5","")))))</f>
        <v>PADD 2</v>
      </c>
      <c r="G6415" s="6">
        <f>IF(AND($H6415="ATMOS DISTILLATION",ISNUMBER(SEARCH("VPS",$I6415))=FALSE,LEFT($I6415,6)&lt;&gt;"VACUUM"),"CDU",IF($H6415="FLUID CAT CRACKING","FCC",IF(OR($H6415="HYDROCRACKING",$H6415="RESID_HYDROCRACKING"),"Hydrocracker",IF($H6415="REFORMING","Reformer",""))))</f>
        <v/>
      </c>
      <c r="H6415" s="6" t="s">
        <v>43</v>
      </c>
      <c r="I6415" s="6" t="s">
        <v>520</v>
      </c>
      <c r="J6415" s="6" t="s">
        <v>345</v>
      </c>
      <c r="K6415" s="10">
        <v>9.24</v>
      </c>
      <c r="L6415" s="10">
        <v>28</v>
      </c>
      <c r="M6415" s="6" t="s">
        <v>375</v>
      </c>
    </row>
    <row r="6416" spans="1:13">
      <c r="A6416" s="6">
        <v>2025</v>
      </c>
      <c r="B6416" s="6">
        <v>9</v>
      </c>
      <c r="C6416" s="6" t="s">
        <v>67</v>
      </c>
      <c r="D6416" s="6" t="s">
        <v>326</v>
      </c>
      <c r="E6416" s="6" t="s">
        <v>385</v>
      </c>
      <c r="F6416" s="6" t="str">
        <f>IF($M6416="PADD I","PADD 1",IF($M6416="PADD II","PADD 2",IF($M6416="PADD III","PADD 3",IF($M6416="PADD IV","PADD 4",IF($M6416="PADD V","PADD 5","")))))</f>
        <v>PADD 5</v>
      </c>
      <c r="G6416" s="6">
        <f>IF(AND($H6416="ATMOS DISTILLATION",ISNUMBER(SEARCH("VPS",$I6416))=FALSE,LEFT($I6416,6)&lt;&gt;"VACUUM"),"CDU",IF($H6416="FLUID CAT CRACKING","FCC",IF(OR($H6416="HYDROCRACKING",$H6416="RESID_HYDROCRACKING"),"Hydrocracker",IF($H6416="REFORMING","Reformer",""))))</f>
        <v/>
      </c>
      <c r="H6416" s="6" t="s">
        <v>43</v>
      </c>
      <c r="I6416" s="6" t="s">
        <v>1183</v>
      </c>
      <c r="J6416" s="6" t="s">
        <v>345</v>
      </c>
      <c r="K6416" s="10">
        <v>9.1</v>
      </c>
      <c r="L6416" s="10">
        <v>9.1</v>
      </c>
      <c r="M6416" s="6" t="s">
        <v>386</v>
      </c>
    </row>
    <row r="6417" spans="1:13">
      <c r="A6417" s="6">
        <v>2025</v>
      </c>
      <c r="B6417" s="6">
        <v>9</v>
      </c>
      <c r="C6417" s="6" t="s">
        <v>67</v>
      </c>
      <c r="D6417" s="6" t="s">
        <v>468</v>
      </c>
      <c r="E6417" s="6" t="s">
        <v>369</v>
      </c>
      <c r="F6417" s="6" t="str">
        <f>IF($M6417="PADD I","PADD 1",IF($M6417="PADD II","PADD 2",IF($M6417="PADD III","PADD 3",IF($M6417="PADD IV","PADD 4",IF($M6417="PADD V","PADD 5","")))))</f>
        <v>PADD 3</v>
      </c>
      <c r="G6417" s="6" t="str">
        <f>IF(AND($H6417="ATMOS DISTILLATION",ISNUMBER(SEARCH("VPS",$I6417))=FALSE,LEFT($I6417,6)&lt;&gt;"VACUUM"),"CDU",IF($H6417="FLUID CAT CRACKING","FCC",IF(OR($H6417="HYDROCRACKING",$H6417="RESID_HYDROCRACKING"),"Hydrocracker",IF($H6417="REFORMING","Reformer",""))))</f>
        <v>FCC</v>
      </c>
      <c r="H6417" s="6" t="s">
        <v>376</v>
      </c>
      <c r="I6417" s="6" t="s">
        <v>473</v>
      </c>
      <c r="J6417" s="6" t="s">
        <v>349</v>
      </c>
      <c r="K6417" s="10">
        <v>8.1</v>
      </c>
      <c r="L6417" s="10">
        <v>30</v>
      </c>
      <c r="M6417" s="6" t="s">
        <v>371</v>
      </c>
    </row>
    <row r="6418" spans="1:13">
      <c r="A6418" s="6">
        <v>2025</v>
      </c>
      <c r="B6418" s="6">
        <v>9</v>
      </c>
      <c r="C6418" s="6" t="s">
        <v>67</v>
      </c>
      <c r="D6418" s="6" t="s">
        <v>1038</v>
      </c>
      <c r="E6418" s="6" t="s">
        <v>1039</v>
      </c>
      <c r="F6418" s="6" t="str">
        <f>IF($M6418="PADD I","PADD 1",IF($M6418="PADD II","PADD 2",IF($M6418="PADD III","PADD 3",IF($M6418="PADD IV","PADD 4",IF($M6418="PADD V","PADD 5","")))))</f>
        <v>PADD 2</v>
      </c>
      <c r="G6418" s="6" t="str">
        <f>IF(AND($H6418="ATMOS DISTILLATION",ISNUMBER(SEARCH("VPS",$I6418))=FALSE,LEFT($I6418,6)&lt;&gt;"VACUUM"),"CDU",IF($H6418="FLUID CAT CRACKING","FCC",IF(OR($H6418="HYDROCRACKING",$H6418="RESID_HYDROCRACKING"),"Hydrocracker",IF($H6418="REFORMING","Reformer",""))))</f>
        <v>Reformer</v>
      </c>
      <c r="H6418" s="6" t="s">
        <v>421</v>
      </c>
      <c r="I6418" s="6" t="s">
        <v>1046</v>
      </c>
      <c r="J6418" s="6" t="s">
        <v>349</v>
      </c>
      <c r="K6418" s="10">
        <v>8</v>
      </c>
      <c r="L6418" s="10">
        <v>20</v>
      </c>
      <c r="M6418" s="6" t="s">
        <v>375</v>
      </c>
    </row>
    <row r="6419" spans="1:13">
      <c r="A6419" s="6">
        <v>2025</v>
      </c>
      <c r="B6419" s="6">
        <v>9</v>
      </c>
      <c r="C6419" s="6" t="s">
        <v>67</v>
      </c>
      <c r="D6419" s="6" t="s">
        <v>40</v>
      </c>
      <c r="E6419" s="6" t="s">
        <v>736</v>
      </c>
      <c r="F6419" s="6" t="str">
        <f>IF($M6419="PADD I","PADD 1",IF($M6419="PADD II","PADD 2",IF($M6419="PADD III","PADD 3",IF($M6419="PADD IV","PADD 4",IF($M6419="PADD V","PADD 5","")))))</f>
        <v>PADD 1</v>
      </c>
      <c r="G6419" s="6">
        <f>IF(AND($H6419="ATMOS DISTILLATION",ISNUMBER(SEARCH("VPS",$I6419))=FALSE,LEFT($I6419,6)&lt;&gt;"VACUUM"),"CDU",IF($H6419="FLUID CAT CRACKING","FCC",IF(OR($H6419="HYDROCRACKING",$H6419="RESID_HYDROCRACKING"),"Hydrocracker",IF($H6419="REFORMING","Reformer",""))))</f>
        <v/>
      </c>
      <c r="H6419" s="6" t="s">
        <v>378</v>
      </c>
      <c r="I6419" s="6" t="s">
        <v>1009</v>
      </c>
      <c r="J6419" s="6" t="s">
        <v>345</v>
      </c>
      <c r="K6419" s="10">
        <v>7.8</v>
      </c>
      <c r="L6419" s="10">
        <v>26</v>
      </c>
      <c r="M6419" s="6" t="s">
        <v>413</v>
      </c>
    </row>
    <row r="6420" spans="1:13">
      <c r="A6420" s="6">
        <v>2025</v>
      </c>
      <c r="B6420" s="6">
        <v>9</v>
      </c>
      <c r="C6420" s="6" t="s">
        <v>67</v>
      </c>
      <c r="D6420" s="6" t="s">
        <v>326</v>
      </c>
      <c r="E6420" s="6" t="s">
        <v>385</v>
      </c>
      <c r="F6420" s="6" t="str">
        <f>IF($M6420="PADD I","PADD 1",IF($M6420="PADD II","PADD 2",IF($M6420="PADD III","PADD 3",IF($M6420="PADD IV","PADD 4",IF($M6420="PADD V","PADD 5","")))))</f>
        <v>PADD 5</v>
      </c>
      <c r="G6420" s="6">
        <f>IF(AND($H6420="ATMOS DISTILLATION",ISNUMBER(SEARCH("VPS",$I6420))=FALSE,LEFT($I6420,6)&lt;&gt;"VACUUM"),"CDU",IF($H6420="FLUID CAT CRACKING","FCC",IF(OR($H6420="HYDROCRACKING",$H6420="RESID_HYDROCRACKING"),"Hydrocracker",IF($H6420="REFORMING","Reformer",""))))</f>
        <v/>
      </c>
      <c r="H6420" s="6" t="s">
        <v>435</v>
      </c>
      <c r="I6420" s="6" t="s">
        <v>441</v>
      </c>
      <c r="J6420" s="6" t="s">
        <v>345</v>
      </c>
      <c r="K6420" s="10">
        <v>7.7</v>
      </c>
      <c r="L6420" s="10">
        <v>7.7</v>
      </c>
      <c r="M6420" s="6" t="s">
        <v>386</v>
      </c>
    </row>
    <row r="6421" spans="1:13">
      <c r="A6421" s="6">
        <v>2025</v>
      </c>
      <c r="B6421" s="6">
        <v>9</v>
      </c>
      <c r="C6421" s="6" t="s">
        <v>67</v>
      </c>
      <c r="D6421" s="6" t="s">
        <v>778</v>
      </c>
      <c r="E6421" s="6" t="s">
        <v>779</v>
      </c>
      <c r="F6421" s="6" t="str">
        <f>IF($M6421="PADD I","PADD 1",IF($M6421="PADD II","PADD 2",IF($M6421="PADD III","PADD 3",IF($M6421="PADD IV","PADD 4",IF($M6421="PADD V","PADD 5","")))))</f>
        <v>PADD 3</v>
      </c>
      <c r="G6421" s="6" t="str">
        <f>IF(AND($H6421="ATMOS DISTILLATION",ISNUMBER(SEARCH("VPS",$I6421))=FALSE,LEFT($I6421,6)&lt;&gt;"VACUUM"),"CDU",IF($H6421="FLUID CAT CRACKING","FCC",IF(OR($H6421="HYDROCRACKING",$H6421="RESID_HYDROCRACKING"),"Hydrocracker",IF($H6421="REFORMING","Reformer",""))))</f>
        <v>CDU</v>
      </c>
      <c r="H6421" s="6" t="s">
        <v>38</v>
      </c>
      <c r="I6421" s="6" t="s">
        <v>805</v>
      </c>
      <c r="J6421" s="6" t="s">
        <v>345</v>
      </c>
      <c r="K6421" s="10">
        <v>7.5</v>
      </c>
      <c r="L6421" s="10">
        <v>75</v>
      </c>
      <c r="M6421" s="6" t="s">
        <v>371</v>
      </c>
    </row>
    <row r="6422" spans="1:13">
      <c r="A6422" s="6">
        <v>2025</v>
      </c>
      <c r="B6422" s="6">
        <v>9</v>
      </c>
      <c r="C6422" s="6" t="s">
        <v>67</v>
      </c>
      <c r="D6422" s="6" t="s">
        <v>326</v>
      </c>
      <c r="E6422" s="6" t="s">
        <v>385</v>
      </c>
      <c r="F6422" s="6" t="str">
        <f>IF($M6422="PADD I","PADD 1",IF($M6422="PADD II","PADD 2",IF($M6422="PADD III","PADD 3",IF($M6422="PADD IV","PADD 4",IF($M6422="PADD V","PADD 5","")))))</f>
        <v>PADD 5</v>
      </c>
      <c r="G6422" s="6">
        <f>IF(AND($H6422="ATMOS DISTILLATION",ISNUMBER(SEARCH("VPS",$I6422))=FALSE,LEFT($I6422,6)&lt;&gt;"VACUUM"),"CDU",IF($H6422="FLUID CAT CRACKING","FCC",IF(OR($H6422="HYDROCRACKING",$H6422="RESID_HYDROCRACKING"),"Hydrocracker",IF($H6422="REFORMING","Reformer",""))))</f>
        <v/>
      </c>
      <c r="H6422" s="6" t="s">
        <v>435</v>
      </c>
      <c r="I6422" s="6" t="s">
        <v>813</v>
      </c>
      <c r="J6422" s="6" t="s">
        <v>345</v>
      </c>
      <c r="K6422" s="10">
        <v>7.32</v>
      </c>
      <c r="L6422" s="10">
        <v>7.32</v>
      </c>
      <c r="M6422" s="6" t="s">
        <v>386</v>
      </c>
    </row>
    <row r="6423" spans="1:13">
      <c r="A6423" s="6">
        <v>2025</v>
      </c>
      <c r="B6423" s="6">
        <v>9</v>
      </c>
      <c r="C6423" s="6" t="s">
        <v>67</v>
      </c>
      <c r="D6423" s="6" t="s">
        <v>1038</v>
      </c>
      <c r="E6423" s="6" t="s">
        <v>1039</v>
      </c>
      <c r="F6423" s="6" t="str">
        <f>IF($M6423="PADD I","PADD 1",IF($M6423="PADD II","PADD 2",IF($M6423="PADD III","PADD 3",IF($M6423="PADD IV","PADD 4",IF($M6423="PADD V","PADD 5","")))))</f>
        <v>PADD 2</v>
      </c>
      <c r="G6423" s="6">
        <f>IF(AND($H6423="ATMOS DISTILLATION",ISNUMBER(SEARCH("VPS",$I6423))=FALSE,LEFT($I6423,6)&lt;&gt;"VACUUM"),"CDU",IF($H6423="FLUID CAT CRACKING","FCC",IF(OR($H6423="HYDROCRACKING",$H6423="RESID_HYDROCRACKING"),"Hydrocracker",IF($H6423="REFORMING","Reformer",""))))</f>
        <v/>
      </c>
      <c r="H6423" s="6" t="s">
        <v>43</v>
      </c>
      <c r="I6423" s="6" t="s">
        <v>1197</v>
      </c>
      <c r="J6423" s="6" t="s">
        <v>349</v>
      </c>
      <c r="K6423" s="10">
        <v>7.2</v>
      </c>
      <c r="L6423" s="10">
        <v>18</v>
      </c>
      <c r="M6423" s="6" t="s">
        <v>375</v>
      </c>
    </row>
    <row r="6424" spans="1:13">
      <c r="A6424" s="6">
        <v>2025</v>
      </c>
      <c r="B6424" s="6">
        <v>9</v>
      </c>
      <c r="C6424" s="6" t="s">
        <v>67</v>
      </c>
      <c r="D6424" s="6" t="s">
        <v>1320</v>
      </c>
      <c r="E6424" s="6" t="s">
        <v>1321</v>
      </c>
      <c r="F6424" s="6" t="str">
        <f>IF($M6424="PADD I","PADD 1",IF($M6424="PADD II","PADD 2",IF($M6424="PADD III","PADD 3",IF($M6424="PADD IV","PADD 4",IF($M6424="PADD V","PADD 5","")))))</f>
        <v>PADD 3</v>
      </c>
      <c r="G6424" s="6">
        <f>IF(AND($H6424="ATMOS DISTILLATION",ISNUMBER(SEARCH("VPS",$I6424))=FALSE,LEFT($I6424,6)&lt;&gt;"VACUUM"),"CDU",IF($H6424="FLUID CAT CRACKING","FCC",IF(OR($H6424="HYDROCRACKING",$H6424="RESID_HYDROCRACKING"),"Hydrocracker",IF($H6424="REFORMING","Reformer",""))))</f>
        <v/>
      </c>
      <c r="H6424" s="6" t="s">
        <v>43</v>
      </c>
      <c r="I6424" s="6" t="s">
        <v>1324</v>
      </c>
      <c r="J6424" s="6" t="s">
        <v>349</v>
      </c>
      <c r="K6424" s="10">
        <v>6.96</v>
      </c>
      <c r="L6424" s="10">
        <v>8</v>
      </c>
      <c r="M6424" s="6" t="s">
        <v>371</v>
      </c>
    </row>
    <row r="6425" spans="1:13">
      <c r="A6425" s="6">
        <v>2025</v>
      </c>
      <c r="B6425" s="6">
        <v>9</v>
      </c>
      <c r="C6425" s="6" t="s">
        <v>67</v>
      </c>
      <c r="D6425" s="6" t="s">
        <v>1320</v>
      </c>
      <c r="E6425" s="6" t="s">
        <v>1321</v>
      </c>
      <c r="F6425" s="6" t="str">
        <f>IF($M6425="PADD I","PADD 1",IF($M6425="PADD II","PADD 2",IF($M6425="PADD III","PADD 3",IF($M6425="PADD IV","PADD 4",IF($M6425="PADD V","PADD 5","")))))</f>
        <v>PADD 3</v>
      </c>
      <c r="G6425" s="6">
        <f>IF(AND($H6425="ATMOS DISTILLATION",ISNUMBER(SEARCH("VPS",$I6425))=FALSE,LEFT($I6425,6)&lt;&gt;"VACUUM"),"CDU",IF($H6425="FLUID CAT CRACKING","FCC",IF(OR($H6425="HYDROCRACKING",$H6425="RESID_HYDROCRACKING"),"Hydrocracker",IF($H6425="REFORMING","Reformer",""))))</f>
        <v/>
      </c>
      <c r="H6425" s="6" t="s">
        <v>637</v>
      </c>
      <c r="I6425" s="6" t="s">
        <v>1325</v>
      </c>
      <c r="J6425" s="6" t="s">
        <v>349</v>
      </c>
      <c r="K6425" s="10">
        <v>6.96</v>
      </c>
      <c r="L6425" s="10">
        <v>8</v>
      </c>
      <c r="M6425" s="6" t="s">
        <v>371</v>
      </c>
    </row>
    <row r="6426" spans="1:13">
      <c r="A6426" s="6">
        <v>2025</v>
      </c>
      <c r="B6426" s="6">
        <v>9</v>
      </c>
      <c r="C6426" s="6" t="s">
        <v>67</v>
      </c>
      <c r="D6426" s="6" t="s">
        <v>628</v>
      </c>
      <c r="E6426" s="6" t="s">
        <v>388</v>
      </c>
      <c r="F6426" s="6" t="str">
        <f>IF($M6426="PADD I","PADD 1",IF($M6426="PADD II","PADD 2",IF($M6426="PADD III","PADD 3",IF($M6426="PADD IV","PADD 4",IF($M6426="PADD V","PADD 5","")))))</f>
        <v>PADD 3</v>
      </c>
      <c r="G6426" s="6" t="str">
        <f>IF(AND($H6426="ATMOS DISTILLATION",ISNUMBER(SEARCH("VPS",$I6426))=FALSE,LEFT($I6426,6)&lt;&gt;"VACUUM"),"CDU",IF($H6426="FLUID CAT CRACKING","FCC",IF(OR($H6426="HYDROCRACKING",$H6426="RESID_HYDROCRACKING"),"Hydrocracker",IF($H6426="REFORMING","Reformer",""))))</f>
        <v>CDU</v>
      </c>
      <c r="H6426" s="6" t="s">
        <v>38</v>
      </c>
      <c r="I6426" s="6" t="s">
        <v>1048</v>
      </c>
      <c r="J6426" s="6" t="s">
        <v>345</v>
      </c>
      <c r="K6426" s="10">
        <v>6.7</v>
      </c>
      <c r="L6426" s="10">
        <v>67</v>
      </c>
      <c r="M6426" s="6" t="s">
        <v>371</v>
      </c>
    </row>
    <row r="6427" spans="1:13">
      <c r="A6427" s="6">
        <v>2025</v>
      </c>
      <c r="B6427" s="6">
        <v>9</v>
      </c>
      <c r="C6427" s="6" t="s">
        <v>67</v>
      </c>
      <c r="D6427" s="6" t="s">
        <v>500</v>
      </c>
      <c r="E6427" s="6" t="s">
        <v>388</v>
      </c>
      <c r="F6427" s="6" t="str">
        <f>IF($M6427="PADD I","PADD 1",IF($M6427="PADD II","PADD 2",IF($M6427="PADD III","PADD 3",IF($M6427="PADD IV","PADD 4",IF($M6427="PADD V","PADD 5","")))))</f>
        <v>PADD 2</v>
      </c>
      <c r="G6427" s="6" t="str">
        <f>IF(AND($H6427="ATMOS DISTILLATION",ISNUMBER(SEARCH("VPS",$I6427))=FALSE,LEFT($I6427,6)&lt;&gt;"VACUUM"),"CDU",IF($H6427="FLUID CAT CRACKING","FCC",IF(OR($H6427="HYDROCRACKING",$H6427="RESID_HYDROCRACKING"),"Hydrocracker",IF($H6427="REFORMING","Reformer",""))))</f>
        <v>CDU</v>
      </c>
      <c r="H6427" s="6" t="s">
        <v>38</v>
      </c>
      <c r="I6427" s="6" t="s">
        <v>530</v>
      </c>
      <c r="J6427" s="6" t="s">
        <v>345</v>
      </c>
      <c r="K6427" s="10">
        <v>6.44</v>
      </c>
      <c r="L6427" s="10">
        <v>92</v>
      </c>
      <c r="M6427" s="6" t="s">
        <v>375</v>
      </c>
    </row>
    <row r="6428" spans="1:13">
      <c r="A6428" s="6">
        <v>2025</v>
      </c>
      <c r="B6428" s="6">
        <v>9</v>
      </c>
      <c r="C6428" s="6" t="s">
        <v>67</v>
      </c>
      <c r="D6428" s="6" t="s">
        <v>801</v>
      </c>
      <c r="E6428" s="6" t="s">
        <v>779</v>
      </c>
      <c r="F6428" s="6" t="str">
        <f>IF($M6428="PADD I","PADD 1",IF($M6428="PADD II","PADD 2",IF($M6428="PADD III","PADD 3",IF($M6428="PADD IV","PADD 4",IF($M6428="PADD V","PADD 5","")))))</f>
        <v>PADD 2</v>
      </c>
      <c r="G6428" s="6">
        <f>IF(AND($H6428="ATMOS DISTILLATION",ISNUMBER(SEARCH("VPS",$I6428))=FALSE,LEFT($I6428,6)&lt;&gt;"VACUUM"),"CDU",IF($H6428="FLUID CAT CRACKING","FCC",IF(OR($H6428="HYDROCRACKING",$H6428="RESID_HYDROCRACKING"),"Hydrocracker",IF($H6428="REFORMING","Reformer",""))))</f>
        <v/>
      </c>
      <c r="H6428" s="6" t="s">
        <v>460</v>
      </c>
      <c r="I6428" s="6" t="s">
        <v>461</v>
      </c>
      <c r="J6428" s="6" t="s">
        <v>349</v>
      </c>
      <c r="K6428" s="10">
        <v>6</v>
      </c>
      <c r="L6428" s="10">
        <v>6</v>
      </c>
      <c r="M6428" s="6" t="s">
        <v>375</v>
      </c>
    </row>
    <row r="6429" spans="1:13">
      <c r="A6429" s="6">
        <v>2025</v>
      </c>
      <c r="B6429" s="6">
        <v>9</v>
      </c>
      <c r="C6429" s="6" t="s">
        <v>67</v>
      </c>
      <c r="D6429" s="6" t="s">
        <v>628</v>
      </c>
      <c r="E6429" s="6" t="s">
        <v>388</v>
      </c>
      <c r="F6429" s="6" t="str">
        <f>IF($M6429="PADD I","PADD 1",IF($M6429="PADD II","PADD 2",IF($M6429="PADD III","PADD 3",IF($M6429="PADD IV","PADD 4",IF($M6429="PADD V","PADD 5","")))))</f>
        <v>PADD 3</v>
      </c>
      <c r="G6429" s="6" t="str">
        <f>IF(AND($H6429="ATMOS DISTILLATION",ISNUMBER(SEARCH("VPS",$I6429))=FALSE,LEFT($I6429,6)&lt;&gt;"VACUUM"),"CDU",IF($H6429="FLUID CAT CRACKING","FCC",IF(OR($H6429="HYDROCRACKING",$H6429="RESID_HYDROCRACKING"),"Hydrocracker",IF($H6429="REFORMING","Reformer",""))))</f>
        <v>FCC</v>
      </c>
      <c r="H6429" s="6" t="s">
        <v>376</v>
      </c>
      <c r="I6429" s="6" t="s">
        <v>105</v>
      </c>
      <c r="J6429" s="6" t="s">
        <v>345</v>
      </c>
      <c r="K6429" s="10">
        <v>5.85</v>
      </c>
      <c r="L6429" s="10">
        <v>58.5</v>
      </c>
      <c r="M6429" s="6" t="s">
        <v>371</v>
      </c>
    </row>
    <row r="6430" spans="1:13">
      <c r="A6430" s="6">
        <v>2025</v>
      </c>
      <c r="B6430" s="6">
        <v>9</v>
      </c>
      <c r="C6430" s="6" t="s">
        <v>67</v>
      </c>
      <c r="D6430" s="6" t="s">
        <v>457</v>
      </c>
      <c r="E6430" s="6" t="s">
        <v>388</v>
      </c>
      <c r="F6430" s="6" t="str">
        <f>IF($M6430="PADD I","PADD 1",IF($M6430="PADD II","PADD 2",IF($M6430="PADD III","PADD 3",IF($M6430="PADD IV","PADD 4",IF($M6430="PADD V","PADD 5","")))))</f>
        <v>PADD 5</v>
      </c>
      <c r="G6430" s="6">
        <f>IF(AND($H6430="ATMOS DISTILLATION",ISNUMBER(SEARCH("VPS",$I6430))=FALSE,LEFT($I6430,6)&lt;&gt;"VACUUM"),"CDU",IF($H6430="FLUID CAT CRACKING","FCC",IF(OR($H6430="HYDROCRACKING",$H6430="RESID_HYDROCRACKING"),"Hydrocracker",IF($H6430="REFORMING","Reformer",""))))</f>
        <v/>
      </c>
      <c r="H6430" s="6" t="s">
        <v>43</v>
      </c>
      <c r="I6430" s="6" t="s">
        <v>1093</v>
      </c>
      <c r="J6430" s="6" t="s">
        <v>349</v>
      </c>
      <c r="K6430" s="10">
        <v>5.75</v>
      </c>
      <c r="L6430" s="10">
        <v>25</v>
      </c>
      <c r="M6430" s="6" t="s">
        <v>386</v>
      </c>
    </row>
    <row r="6431" spans="1:13">
      <c r="A6431" s="6">
        <v>2025</v>
      </c>
      <c r="B6431" s="6">
        <v>9</v>
      </c>
      <c r="C6431" s="6" t="s">
        <v>67</v>
      </c>
      <c r="D6431" s="6" t="s">
        <v>1320</v>
      </c>
      <c r="E6431" s="6" t="s">
        <v>1321</v>
      </c>
      <c r="F6431" s="6" t="str">
        <f>IF($M6431="PADD I","PADD 1",IF($M6431="PADD II","PADD 2",IF($M6431="PADD III","PADD 3",IF($M6431="PADD IV","PADD 4",IF($M6431="PADD V","PADD 5","")))))</f>
        <v>PADD 3</v>
      </c>
      <c r="G6431" s="6">
        <f>IF(AND($H6431="ATMOS DISTILLATION",ISNUMBER(SEARCH("VPS",$I6431))=FALSE,LEFT($I6431,6)&lt;&gt;"VACUUM"),"CDU",IF($H6431="FLUID CAT CRACKING","FCC",IF(OR($H6431="HYDROCRACKING",$H6431="RESID_HYDROCRACKING"),"Hydrocracker",IF($H6431="REFORMING","Reformer",""))))</f>
        <v/>
      </c>
      <c r="H6431" s="6" t="s">
        <v>637</v>
      </c>
      <c r="I6431" s="6" t="s">
        <v>1326</v>
      </c>
      <c r="J6431" s="6" t="s">
        <v>349</v>
      </c>
      <c r="K6431" s="10">
        <v>5.655</v>
      </c>
      <c r="L6431" s="10">
        <v>6.5</v>
      </c>
      <c r="M6431" s="6" t="s">
        <v>371</v>
      </c>
    </row>
    <row r="6432" spans="1:13">
      <c r="A6432" s="6">
        <v>2025</v>
      </c>
      <c r="B6432" s="6">
        <v>9</v>
      </c>
      <c r="C6432" s="6" t="s">
        <v>67</v>
      </c>
      <c r="D6432" s="6" t="s">
        <v>500</v>
      </c>
      <c r="E6432" s="6" t="s">
        <v>388</v>
      </c>
      <c r="F6432" s="6" t="str">
        <f>IF($M6432="PADD I","PADD 1",IF($M6432="PADD II","PADD 2",IF($M6432="PADD III","PADD 3",IF($M6432="PADD IV","PADD 4",IF($M6432="PADD V","PADD 5","")))))</f>
        <v>PADD 2</v>
      </c>
      <c r="G6432" s="6">
        <f>IF(AND($H6432="ATMOS DISTILLATION",ISNUMBER(SEARCH("VPS",$I6432))=FALSE,LEFT($I6432,6)&lt;&gt;"VACUUM"),"CDU",IF($H6432="FLUID CAT CRACKING","FCC",IF(OR($H6432="HYDROCRACKING",$H6432="RESID_HYDROCRACKING"),"Hydrocracker",IF($H6432="REFORMING","Reformer",""))))</f>
        <v/>
      </c>
      <c r="H6432" s="6" t="s">
        <v>378</v>
      </c>
      <c r="I6432" s="6" t="s">
        <v>431</v>
      </c>
      <c r="J6432" s="6" t="s">
        <v>349</v>
      </c>
      <c r="K6432" s="10">
        <v>5.44</v>
      </c>
      <c r="L6432" s="10">
        <v>32</v>
      </c>
      <c r="M6432" s="6" t="s">
        <v>375</v>
      </c>
    </row>
    <row r="6433" spans="1:13">
      <c r="A6433" s="6">
        <v>2025</v>
      </c>
      <c r="B6433" s="6">
        <v>9</v>
      </c>
      <c r="C6433" s="6" t="s">
        <v>67</v>
      </c>
      <c r="D6433" s="6" t="s">
        <v>602</v>
      </c>
      <c r="E6433" s="6" t="s">
        <v>369</v>
      </c>
      <c r="F6433" s="6" t="str">
        <f>IF($M6433="PADD I","PADD 1",IF($M6433="PADD II","PADD 2",IF($M6433="PADD III","PADD 3",IF($M6433="PADD IV","PADD 4",IF($M6433="PADD V","PADD 5","")))))</f>
        <v>PADD 2</v>
      </c>
      <c r="G6433" s="6">
        <f>IF(AND($H6433="ATMOS DISTILLATION",ISNUMBER(SEARCH("VPS",$I6433))=FALSE,LEFT($I6433,6)&lt;&gt;"VACUUM"),"CDU",IF($H6433="FLUID CAT CRACKING","FCC",IF(OR($H6433="HYDROCRACKING",$H6433="RESID_HYDROCRACKING"),"Hydrocracker",IF($H6433="REFORMING","Reformer",""))))</f>
        <v/>
      </c>
      <c r="H6433" s="6" t="s">
        <v>378</v>
      </c>
      <c r="I6433" s="6" t="s">
        <v>536</v>
      </c>
      <c r="J6433" s="6" t="s">
        <v>345</v>
      </c>
      <c r="K6433" s="10">
        <v>4.95</v>
      </c>
      <c r="L6433" s="10">
        <v>15</v>
      </c>
      <c r="M6433" s="6" t="s">
        <v>375</v>
      </c>
    </row>
    <row r="6434" spans="1:13">
      <c r="A6434" s="6">
        <v>2025</v>
      </c>
      <c r="B6434" s="6">
        <v>9</v>
      </c>
      <c r="C6434" s="6" t="s">
        <v>67</v>
      </c>
      <c r="D6434" s="6" t="s">
        <v>457</v>
      </c>
      <c r="E6434" s="6" t="s">
        <v>388</v>
      </c>
      <c r="F6434" s="6" t="str">
        <f>IF($M6434="PADD I","PADD 1",IF($M6434="PADD II","PADD 2",IF($M6434="PADD III","PADD 3",IF($M6434="PADD IV","PADD 4",IF($M6434="PADD V","PADD 5","")))))</f>
        <v>PADD 5</v>
      </c>
      <c r="G6434" s="6" t="str">
        <f>IF(AND($H6434="ATMOS DISTILLATION",ISNUMBER(SEARCH("VPS",$I6434))=FALSE,LEFT($I6434,6)&lt;&gt;"VACUUM"),"CDU",IF($H6434="FLUID CAT CRACKING","FCC",IF(OR($H6434="HYDROCRACKING",$H6434="RESID_HYDROCRACKING"),"Hydrocracker",IF($H6434="REFORMING","Reformer",""))))</f>
        <v>Reformer</v>
      </c>
      <c r="H6434" s="6" t="s">
        <v>421</v>
      </c>
      <c r="I6434" s="6" t="s">
        <v>557</v>
      </c>
      <c r="J6434" s="6" t="s">
        <v>349</v>
      </c>
      <c r="K6434" s="10">
        <v>4.6</v>
      </c>
      <c r="L6434" s="10">
        <v>20</v>
      </c>
      <c r="M6434" s="6" t="s">
        <v>386</v>
      </c>
    </row>
    <row r="6435" spans="1:13">
      <c r="A6435" s="6">
        <v>2025</v>
      </c>
      <c r="B6435" s="6">
        <v>9</v>
      </c>
      <c r="C6435" s="6" t="s">
        <v>67</v>
      </c>
      <c r="D6435" s="6" t="s">
        <v>878</v>
      </c>
      <c r="E6435" s="6" t="s">
        <v>452</v>
      </c>
      <c r="F6435" s="6" t="str">
        <f>IF($M6435="PADD I","PADD 1",IF($M6435="PADD II","PADD 2",IF($M6435="PADD III","PADD 3",IF($M6435="PADD IV","PADD 4",IF($M6435="PADD V","PADD 5","")))))</f>
        <v>PADD 2</v>
      </c>
      <c r="G6435" s="6">
        <f>IF(AND($H6435="ATMOS DISTILLATION",ISNUMBER(SEARCH("VPS",$I6435))=FALSE,LEFT($I6435,6)&lt;&gt;"VACUUM"),"CDU",IF($H6435="FLUID CAT CRACKING","FCC",IF(OR($H6435="HYDROCRACKING",$H6435="RESID_HYDROCRACKING"),"Hydrocracker",IF($H6435="REFORMING","Reformer",""))))</f>
        <v/>
      </c>
      <c r="H6435" s="6" t="s">
        <v>435</v>
      </c>
      <c r="I6435" s="6" t="s">
        <v>441</v>
      </c>
      <c r="J6435" s="6" t="s">
        <v>345</v>
      </c>
      <c r="K6435" s="10">
        <v>4.505</v>
      </c>
      <c r="L6435" s="10">
        <v>8.5</v>
      </c>
      <c r="M6435" s="6" t="s">
        <v>375</v>
      </c>
    </row>
    <row r="6436" spans="1:13">
      <c r="A6436" s="6">
        <v>2025</v>
      </c>
      <c r="B6436" s="6">
        <v>9</v>
      </c>
      <c r="C6436" s="6" t="s">
        <v>67</v>
      </c>
      <c r="D6436" s="6" t="s">
        <v>500</v>
      </c>
      <c r="E6436" s="6" t="s">
        <v>388</v>
      </c>
      <c r="F6436" s="6" t="str">
        <f>IF($M6436="PADD I","PADD 1",IF($M6436="PADD II","PADD 2",IF($M6436="PADD III","PADD 3",IF($M6436="PADD IV","PADD 4",IF($M6436="PADD V","PADD 5","")))))</f>
        <v>PADD 2</v>
      </c>
      <c r="G6436" s="6" t="str">
        <f>IF(AND($H6436="ATMOS DISTILLATION",ISNUMBER(SEARCH("VPS",$I6436))=FALSE,LEFT($I6436,6)&lt;&gt;"VACUUM"),"CDU",IF($H6436="FLUID CAT CRACKING","FCC",IF(OR($H6436="HYDROCRACKING",$H6436="RESID_HYDROCRACKING"),"Hydrocracker",IF($H6436="REFORMING","Reformer",""))))</f>
        <v>FCC</v>
      </c>
      <c r="H6436" s="6" t="s">
        <v>376</v>
      </c>
      <c r="I6436" s="6" t="s">
        <v>105</v>
      </c>
      <c r="J6436" s="6" t="s">
        <v>349</v>
      </c>
      <c r="K6436" s="10">
        <v>4.42</v>
      </c>
      <c r="L6436" s="10">
        <v>26</v>
      </c>
      <c r="M6436" s="6" t="s">
        <v>375</v>
      </c>
    </row>
    <row r="6437" spans="1:13">
      <c r="A6437" s="6">
        <v>2025</v>
      </c>
      <c r="B6437" s="6">
        <v>9</v>
      </c>
      <c r="C6437" s="6" t="s">
        <v>67</v>
      </c>
      <c r="D6437" s="6" t="s">
        <v>612</v>
      </c>
      <c r="E6437" s="6" t="s">
        <v>416</v>
      </c>
      <c r="F6437" s="6" t="str">
        <f>IF($M6437="PADD I","PADD 1",IF($M6437="PADD II","PADD 2",IF($M6437="PADD III","PADD 3",IF($M6437="PADD IV","PADD 4",IF($M6437="PADD V","PADD 5","")))))</f>
        <v>PADD 3</v>
      </c>
      <c r="G6437" s="6">
        <f>IF(AND($H6437="ATMOS DISTILLATION",ISNUMBER(SEARCH("VPS",$I6437))=FALSE,LEFT($I6437,6)&lt;&gt;"VACUUM"),"CDU",IF($H6437="FLUID CAT CRACKING","FCC",IF(OR($H6437="HYDROCRACKING",$H6437="RESID_HYDROCRACKING"),"Hydrocracker",IF($H6437="REFORMING","Reformer",""))))</f>
        <v/>
      </c>
      <c r="H6437" s="6" t="s">
        <v>435</v>
      </c>
      <c r="I6437" s="6" t="s">
        <v>441</v>
      </c>
      <c r="J6437" s="6" t="s">
        <v>345</v>
      </c>
      <c r="K6437" s="10">
        <v>4.4</v>
      </c>
      <c r="L6437" s="10">
        <v>44</v>
      </c>
      <c r="M6437" s="6" t="s">
        <v>371</v>
      </c>
    </row>
    <row r="6438" spans="1:13">
      <c r="A6438" s="6">
        <v>2025</v>
      </c>
      <c r="B6438" s="6">
        <v>9</v>
      </c>
      <c r="C6438" s="6" t="s">
        <v>67</v>
      </c>
      <c r="D6438" s="6" t="s">
        <v>408</v>
      </c>
      <c r="E6438" s="6" t="s">
        <v>409</v>
      </c>
      <c r="F6438" s="6" t="str">
        <f>IF($M6438="PADD I","PADD 1",IF($M6438="PADD II","PADD 2",IF($M6438="PADD III","PADD 3",IF($M6438="PADD IV","PADD 4",IF($M6438="PADD V","PADD 5","")))))</f>
        <v>PADD 3</v>
      </c>
      <c r="G6438" s="6">
        <f>IF(AND($H6438="ATMOS DISTILLATION",ISNUMBER(SEARCH("VPS",$I6438))=FALSE,LEFT($I6438,6)&lt;&gt;"VACUUM"),"CDU",IF($H6438="FLUID CAT CRACKING","FCC",IF(OR($H6438="HYDROCRACKING",$H6438="RESID_HYDROCRACKING"),"Hydrocracker",IF($H6438="REFORMING","Reformer",""))))</f>
        <v/>
      </c>
      <c r="H6438" s="6" t="s">
        <v>460</v>
      </c>
      <c r="I6438" s="6" t="s">
        <v>606</v>
      </c>
      <c r="J6438" s="6" t="s">
        <v>349</v>
      </c>
      <c r="K6438" s="10">
        <v>4.35</v>
      </c>
      <c r="L6438" s="10">
        <v>5</v>
      </c>
      <c r="M6438" s="6" t="s">
        <v>371</v>
      </c>
    </row>
    <row r="6439" spans="1:13">
      <c r="A6439" s="6">
        <v>2025</v>
      </c>
      <c r="B6439" s="6">
        <v>9</v>
      </c>
      <c r="C6439" s="6" t="s">
        <v>67</v>
      </c>
      <c r="D6439" s="6" t="s">
        <v>500</v>
      </c>
      <c r="E6439" s="6" t="s">
        <v>388</v>
      </c>
      <c r="F6439" s="6" t="str">
        <f>IF($M6439="PADD I","PADD 1",IF($M6439="PADD II","PADD 2",IF($M6439="PADD III","PADD 3",IF($M6439="PADD IV","PADD 4",IF($M6439="PADD V","PADD 5","")))))</f>
        <v>PADD 2</v>
      </c>
      <c r="G6439" s="6">
        <f>IF(AND($H6439="ATMOS DISTILLATION",ISNUMBER(SEARCH("VPS",$I6439))=FALSE,LEFT($I6439,6)&lt;&gt;"VACUUM"),"CDU",IF($H6439="FLUID CAT CRACKING","FCC",IF(OR($H6439="HYDROCRACKING",$H6439="RESID_HYDROCRACKING"),"Hydrocracker",IF($H6439="REFORMING","Reformer",""))))</f>
        <v/>
      </c>
      <c r="H6439" s="6" t="s">
        <v>43</v>
      </c>
      <c r="I6439" s="6" t="s">
        <v>918</v>
      </c>
      <c r="J6439" s="6" t="s">
        <v>349</v>
      </c>
      <c r="K6439" s="10">
        <v>4.25</v>
      </c>
      <c r="L6439" s="10">
        <v>25</v>
      </c>
      <c r="M6439" s="6" t="s">
        <v>375</v>
      </c>
    </row>
    <row r="6440" spans="1:13">
      <c r="A6440" s="6">
        <v>2025</v>
      </c>
      <c r="B6440" s="6">
        <v>9</v>
      </c>
      <c r="C6440" s="6" t="s">
        <v>67</v>
      </c>
      <c r="D6440" s="6" t="s">
        <v>500</v>
      </c>
      <c r="E6440" s="6" t="s">
        <v>388</v>
      </c>
      <c r="F6440" s="6" t="str">
        <f>IF($M6440="PADD I","PADD 1",IF($M6440="PADD II","PADD 2",IF($M6440="PADD III","PADD 3",IF($M6440="PADD IV","PADD 4",IF($M6440="PADD V","PADD 5","")))))</f>
        <v>PADD 2</v>
      </c>
      <c r="G6440" s="6" t="str">
        <f>IF(AND($H6440="ATMOS DISTILLATION",ISNUMBER(SEARCH("VPS",$I6440))=FALSE,LEFT($I6440,6)&lt;&gt;"VACUUM"),"CDU",IF($H6440="FLUID CAT CRACKING","FCC",IF(OR($H6440="HYDROCRACKING",$H6440="RESID_HYDROCRACKING"),"Hydrocracker",IF($H6440="REFORMING","Reformer",""))))</f>
        <v>CDU</v>
      </c>
      <c r="H6440" s="6" t="s">
        <v>38</v>
      </c>
      <c r="I6440" s="6" t="s">
        <v>917</v>
      </c>
      <c r="J6440" s="6" t="s">
        <v>349</v>
      </c>
      <c r="K6440" s="10">
        <v>4.25</v>
      </c>
      <c r="L6440" s="10">
        <v>25</v>
      </c>
      <c r="M6440" s="6" t="s">
        <v>375</v>
      </c>
    </row>
    <row r="6441" spans="1:13">
      <c r="A6441" s="6">
        <v>2025</v>
      </c>
      <c r="B6441" s="6">
        <v>9</v>
      </c>
      <c r="C6441" s="6" t="s">
        <v>67</v>
      </c>
      <c r="D6441" s="6" t="s">
        <v>326</v>
      </c>
      <c r="E6441" s="6" t="s">
        <v>385</v>
      </c>
      <c r="F6441" s="6" t="str">
        <f>IF($M6441="PADD I","PADD 1",IF($M6441="PADD II","PADD 2",IF($M6441="PADD III","PADD 3",IF($M6441="PADD IV","PADD 4",IF($M6441="PADD V","PADD 5","")))))</f>
        <v>PADD 5</v>
      </c>
      <c r="G6441" s="6">
        <f>IF(AND($H6441="ATMOS DISTILLATION",ISNUMBER(SEARCH("VPS",$I6441))=FALSE,LEFT($I6441,6)&lt;&gt;"VACUUM"),"CDU",IF($H6441="FLUID CAT CRACKING","FCC",IF(OR($H6441="HYDROCRACKING",$H6441="RESID_HYDROCRACKING"),"Hydrocracker",IF($H6441="REFORMING","Reformer",""))))</f>
        <v/>
      </c>
      <c r="H6441" s="6" t="s">
        <v>460</v>
      </c>
      <c r="I6441" s="6" t="s">
        <v>1288</v>
      </c>
      <c r="J6441" s="6" t="s">
        <v>345</v>
      </c>
      <c r="K6441" s="10">
        <v>4.2</v>
      </c>
      <c r="L6441" s="10">
        <v>4.2</v>
      </c>
      <c r="M6441" s="6" t="s">
        <v>386</v>
      </c>
    </row>
    <row r="6442" spans="1:13">
      <c r="A6442" s="6">
        <v>2025</v>
      </c>
      <c r="B6442" s="6">
        <v>9</v>
      </c>
      <c r="C6442" s="6" t="s">
        <v>67</v>
      </c>
      <c r="D6442" s="6" t="s">
        <v>500</v>
      </c>
      <c r="E6442" s="6" t="s">
        <v>388</v>
      </c>
      <c r="F6442" s="6" t="str">
        <f>IF($M6442="PADD I","PADD 1",IF($M6442="PADD II","PADD 2",IF($M6442="PADD III","PADD 3",IF($M6442="PADD IV","PADD 4",IF($M6442="PADD V","PADD 5","")))))</f>
        <v>PADD 2</v>
      </c>
      <c r="G6442" s="6">
        <f>IF(AND($H6442="ATMOS DISTILLATION",ISNUMBER(SEARCH("VPS",$I6442))=FALSE,LEFT($I6442,6)&lt;&gt;"VACUUM"),"CDU",IF($H6442="FLUID CAT CRACKING","FCC",IF(OR($H6442="HYDROCRACKING",$H6442="RESID_HYDROCRACKING"),"Hydrocracker",IF($H6442="REFORMING","Reformer",""))))</f>
        <v/>
      </c>
      <c r="H6442" s="6" t="s">
        <v>378</v>
      </c>
      <c r="I6442" s="6" t="s">
        <v>431</v>
      </c>
      <c r="J6442" s="6" t="s">
        <v>345</v>
      </c>
      <c r="K6442" s="10">
        <v>4.16</v>
      </c>
      <c r="L6442" s="10">
        <v>32</v>
      </c>
      <c r="M6442" s="6" t="s">
        <v>375</v>
      </c>
    </row>
    <row r="6443" spans="1:13">
      <c r="A6443" s="6">
        <v>2025</v>
      </c>
      <c r="B6443" s="6">
        <v>9</v>
      </c>
      <c r="C6443" s="6" t="s">
        <v>67</v>
      </c>
      <c r="D6443" s="6" t="s">
        <v>50</v>
      </c>
      <c r="E6443" s="6" t="s">
        <v>381</v>
      </c>
      <c r="F6443" s="6" t="str">
        <f>IF($M6443="PADD I","PADD 1",IF($M6443="PADD II","PADD 2",IF($M6443="PADD III","PADD 3",IF($M6443="PADD IV","PADD 4",IF($M6443="PADD V","PADD 5","")))))</f>
        <v>PADD 3</v>
      </c>
      <c r="G6443" s="6">
        <f>IF(AND($H6443="ATMOS DISTILLATION",ISNUMBER(SEARCH("VPS",$I6443))=FALSE,LEFT($I6443,6)&lt;&gt;"VACUUM"),"CDU",IF($H6443="FLUID CAT CRACKING","FCC",IF(OR($H6443="HYDROCRACKING",$H6443="RESID_HYDROCRACKING"),"Hydrocracker",IF($H6443="REFORMING","Reformer",""))))</f>
        <v/>
      </c>
      <c r="H6443" s="6" t="s">
        <v>43</v>
      </c>
      <c r="I6443" s="6" t="s">
        <v>1327</v>
      </c>
      <c r="J6443" s="6" t="s">
        <v>345</v>
      </c>
      <c r="K6443" s="10">
        <v>3.85</v>
      </c>
      <c r="L6443" s="10">
        <v>55</v>
      </c>
      <c r="M6443" s="6" t="s">
        <v>371</v>
      </c>
    </row>
    <row r="6444" spans="1:13">
      <c r="A6444" s="6">
        <v>2025</v>
      </c>
      <c r="B6444" s="6">
        <v>9</v>
      </c>
      <c r="C6444" s="6" t="s">
        <v>67</v>
      </c>
      <c r="D6444" s="6" t="s">
        <v>500</v>
      </c>
      <c r="E6444" s="6" t="s">
        <v>388</v>
      </c>
      <c r="F6444" s="6" t="str">
        <f>IF($M6444="PADD I","PADD 1",IF($M6444="PADD II","PADD 2",IF($M6444="PADD III","PADD 3",IF($M6444="PADD IV","PADD 4",IF($M6444="PADD V","PADD 5","")))))</f>
        <v>PADD 2</v>
      </c>
      <c r="G6444" s="6">
        <f>IF(AND($H6444="ATMOS DISTILLATION",ISNUMBER(SEARCH("VPS",$I6444))=FALSE,LEFT($I6444,6)&lt;&gt;"VACUUM"),"CDU",IF($H6444="FLUID CAT CRACKING","FCC",IF(OR($H6444="HYDROCRACKING",$H6444="RESID_HYDROCRACKING"),"Hydrocracker",IF($H6444="REFORMING","Reformer",""))))</f>
        <v/>
      </c>
      <c r="H6444" s="6" t="s">
        <v>43</v>
      </c>
      <c r="I6444" s="6" t="s">
        <v>921</v>
      </c>
      <c r="J6444" s="6" t="s">
        <v>349</v>
      </c>
      <c r="K6444" s="10">
        <v>3.4</v>
      </c>
      <c r="L6444" s="10">
        <v>20</v>
      </c>
      <c r="M6444" s="6" t="s">
        <v>375</v>
      </c>
    </row>
    <row r="6445" spans="1:13">
      <c r="A6445" s="6">
        <v>2025</v>
      </c>
      <c r="B6445" s="6">
        <v>9</v>
      </c>
      <c r="C6445" s="6" t="s">
        <v>67</v>
      </c>
      <c r="D6445" s="6" t="s">
        <v>500</v>
      </c>
      <c r="E6445" s="6" t="s">
        <v>388</v>
      </c>
      <c r="F6445" s="6" t="str">
        <f>IF($M6445="PADD I","PADD 1",IF($M6445="PADD II","PADD 2",IF($M6445="PADD III","PADD 3",IF($M6445="PADD IV","PADD 4",IF($M6445="PADD V","PADD 5","")))))</f>
        <v>PADD 2</v>
      </c>
      <c r="G6445" s="6">
        <f>IF(AND($H6445="ATMOS DISTILLATION",ISNUMBER(SEARCH("VPS",$I6445))=FALSE,LEFT($I6445,6)&lt;&gt;"VACUUM"),"CDU",IF($H6445="FLUID CAT CRACKING","FCC",IF(OR($H6445="HYDROCRACKING",$H6445="RESID_HYDROCRACKING"),"Hydrocracker",IF($H6445="REFORMING","Reformer",""))))</f>
        <v/>
      </c>
      <c r="H6445" s="6" t="s">
        <v>43</v>
      </c>
      <c r="I6445" s="6" t="s">
        <v>501</v>
      </c>
      <c r="J6445" s="6" t="s">
        <v>349</v>
      </c>
      <c r="K6445" s="10">
        <v>3.4</v>
      </c>
      <c r="L6445" s="10">
        <v>20</v>
      </c>
      <c r="M6445" s="6" t="s">
        <v>375</v>
      </c>
    </row>
    <row r="6446" spans="1:13">
      <c r="A6446" s="6">
        <v>2025</v>
      </c>
      <c r="B6446" s="6">
        <v>9</v>
      </c>
      <c r="C6446" s="6" t="s">
        <v>67</v>
      </c>
      <c r="D6446" s="6" t="s">
        <v>500</v>
      </c>
      <c r="E6446" s="6" t="s">
        <v>388</v>
      </c>
      <c r="F6446" s="6" t="str">
        <f>IF($M6446="PADD I","PADD 1",IF($M6446="PADD II","PADD 2",IF($M6446="PADD III","PADD 3",IF($M6446="PADD IV","PADD 4",IF($M6446="PADD V","PADD 5","")))))</f>
        <v>PADD 2</v>
      </c>
      <c r="G6446" s="6">
        <f>IF(AND($H6446="ATMOS DISTILLATION",ISNUMBER(SEARCH("VPS",$I6446))=FALSE,LEFT($I6446,6)&lt;&gt;"VACUUM"),"CDU",IF($H6446="FLUID CAT CRACKING","FCC",IF(OR($H6446="HYDROCRACKING",$H6446="RESID_HYDROCRACKING"),"Hydrocracker",IF($H6446="REFORMING","Reformer",""))))</f>
        <v/>
      </c>
      <c r="H6446" s="6" t="s">
        <v>43</v>
      </c>
      <c r="I6446" s="6" t="s">
        <v>520</v>
      </c>
      <c r="J6446" s="6" t="s">
        <v>349</v>
      </c>
      <c r="K6446" s="10">
        <v>3.4</v>
      </c>
      <c r="L6446" s="10">
        <v>20</v>
      </c>
      <c r="M6446" s="6" t="s">
        <v>375</v>
      </c>
    </row>
    <row r="6447" spans="1:13">
      <c r="A6447" s="6">
        <v>2025</v>
      </c>
      <c r="B6447" s="6">
        <v>9</v>
      </c>
      <c r="C6447" s="6" t="s">
        <v>67</v>
      </c>
      <c r="D6447" s="6" t="s">
        <v>500</v>
      </c>
      <c r="E6447" s="6" t="s">
        <v>388</v>
      </c>
      <c r="F6447" s="6" t="str">
        <f>IF($M6447="PADD I","PADD 1",IF($M6447="PADD II","PADD 2",IF($M6447="PADD III","PADD 3",IF($M6447="PADD IV","PADD 4",IF($M6447="PADD V","PADD 5","")))))</f>
        <v>PADD 2</v>
      </c>
      <c r="G6447" s="6" t="str">
        <f>IF(AND($H6447="ATMOS DISTILLATION",ISNUMBER(SEARCH("VPS",$I6447))=FALSE,LEFT($I6447,6)&lt;&gt;"VACUUM"),"CDU",IF($H6447="FLUID CAT CRACKING","FCC",IF(OR($H6447="HYDROCRACKING",$H6447="RESID_HYDROCRACKING"),"Hydrocracker",IF($H6447="REFORMING","Reformer",""))))</f>
        <v>CDU</v>
      </c>
      <c r="H6447" s="6" t="s">
        <v>38</v>
      </c>
      <c r="I6447" s="6" t="s">
        <v>917</v>
      </c>
      <c r="J6447" s="6" t="s">
        <v>345</v>
      </c>
      <c r="K6447" s="10">
        <v>3.25</v>
      </c>
      <c r="L6447" s="10">
        <v>25</v>
      </c>
      <c r="M6447" s="6" t="s">
        <v>375</v>
      </c>
    </row>
    <row r="6448" spans="1:13">
      <c r="A6448" s="6">
        <v>2025</v>
      </c>
      <c r="B6448" s="6">
        <v>9</v>
      </c>
      <c r="C6448" s="6" t="s">
        <v>67</v>
      </c>
      <c r="D6448" s="6" t="s">
        <v>500</v>
      </c>
      <c r="E6448" s="6" t="s">
        <v>388</v>
      </c>
      <c r="F6448" s="6" t="str">
        <f>IF($M6448="PADD I","PADD 1",IF($M6448="PADD II","PADD 2",IF($M6448="PADD III","PADD 3",IF($M6448="PADD IV","PADD 4",IF($M6448="PADD V","PADD 5","")))))</f>
        <v>PADD 2</v>
      </c>
      <c r="G6448" s="6">
        <f>IF(AND($H6448="ATMOS DISTILLATION",ISNUMBER(SEARCH("VPS",$I6448))=FALSE,LEFT($I6448,6)&lt;&gt;"VACUUM"),"CDU",IF($H6448="FLUID CAT CRACKING","FCC",IF(OR($H6448="HYDROCRACKING",$H6448="RESID_HYDROCRACKING"),"Hydrocracker",IF($H6448="REFORMING","Reformer",""))))</f>
        <v/>
      </c>
      <c r="H6448" s="6" t="s">
        <v>43</v>
      </c>
      <c r="I6448" s="6" t="s">
        <v>918</v>
      </c>
      <c r="J6448" s="6" t="s">
        <v>345</v>
      </c>
      <c r="K6448" s="10">
        <v>3.25</v>
      </c>
      <c r="L6448" s="10">
        <v>25</v>
      </c>
      <c r="M6448" s="6" t="s">
        <v>375</v>
      </c>
    </row>
    <row r="6449" spans="1:13">
      <c r="A6449" s="6">
        <v>2025</v>
      </c>
      <c r="B6449" s="6">
        <v>9</v>
      </c>
      <c r="C6449" s="6" t="s">
        <v>67</v>
      </c>
      <c r="D6449" s="6" t="s">
        <v>48</v>
      </c>
      <c r="E6449" s="6" t="s">
        <v>388</v>
      </c>
      <c r="F6449" s="6" t="str">
        <f>IF($M6449="PADD I","PADD 1",IF($M6449="PADD II","PADD 2",IF($M6449="PADD III","PADD 3",IF($M6449="PADD IV","PADD 4",IF($M6449="PADD V","PADD 5","")))))</f>
        <v>PADD 2</v>
      </c>
      <c r="G6449" s="6">
        <f>IF(AND($H6449="ATMOS DISTILLATION",ISNUMBER(SEARCH("VPS",$I6449))=FALSE,LEFT($I6449,6)&lt;&gt;"VACUUM"),"CDU",IF($H6449="FLUID CAT CRACKING","FCC",IF(OR($H6449="HYDROCRACKING",$H6449="RESID_HYDROCRACKING"),"Hydrocracker",IF($H6449="REFORMING","Reformer",""))))</f>
        <v/>
      </c>
      <c r="H6449" s="6" t="s">
        <v>435</v>
      </c>
      <c r="I6449" s="6" t="s">
        <v>631</v>
      </c>
      <c r="J6449" s="6" t="s">
        <v>345</v>
      </c>
      <c r="K6449" s="10">
        <v>3.24</v>
      </c>
      <c r="L6449" s="10">
        <v>12</v>
      </c>
      <c r="M6449" s="6" t="s">
        <v>375</v>
      </c>
    </row>
    <row r="6450" spans="1:13">
      <c r="A6450" s="6">
        <v>2025</v>
      </c>
      <c r="B6450" s="6">
        <v>9</v>
      </c>
      <c r="C6450" s="6" t="s">
        <v>67</v>
      </c>
      <c r="D6450" s="6" t="s">
        <v>500</v>
      </c>
      <c r="E6450" s="6" t="s">
        <v>388</v>
      </c>
      <c r="F6450" s="6" t="str">
        <f>IF($M6450="PADD I","PADD 1",IF($M6450="PADD II","PADD 2",IF($M6450="PADD III","PADD 3",IF($M6450="PADD IV","PADD 4",IF($M6450="PADD V","PADD 5","")))))</f>
        <v>PADD 2</v>
      </c>
      <c r="G6450" s="6" t="str">
        <f>IF(AND($H6450="ATMOS DISTILLATION",ISNUMBER(SEARCH("VPS",$I6450))=FALSE,LEFT($I6450,6)&lt;&gt;"VACUUM"),"CDU",IF($H6450="FLUID CAT CRACKING","FCC",IF(OR($H6450="HYDROCRACKING",$H6450="RESID_HYDROCRACKING"),"Hydrocracker",IF($H6450="REFORMING","Reformer",""))))</f>
        <v>Reformer</v>
      </c>
      <c r="H6450" s="6" t="s">
        <v>421</v>
      </c>
      <c r="I6450" s="6" t="s">
        <v>539</v>
      </c>
      <c r="J6450" s="6" t="s">
        <v>349</v>
      </c>
      <c r="K6450" s="10">
        <v>3.23</v>
      </c>
      <c r="L6450" s="10">
        <v>19</v>
      </c>
      <c r="M6450" s="6" t="s">
        <v>375</v>
      </c>
    </row>
    <row r="6451" spans="1:13">
      <c r="A6451" s="6">
        <v>2025</v>
      </c>
      <c r="B6451" s="6">
        <v>9</v>
      </c>
      <c r="C6451" s="6" t="s">
        <v>67</v>
      </c>
      <c r="D6451" s="6" t="s">
        <v>960</v>
      </c>
      <c r="E6451" s="6" t="s">
        <v>881</v>
      </c>
      <c r="F6451" s="6" t="str">
        <f>IF($M6451="PADD I","PADD 1",IF($M6451="PADD II","PADD 2",IF($M6451="PADD III","PADD 3",IF($M6451="PADD IV","PADD 4",IF($M6451="PADD V","PADD 5","")))))</f>
        <v>PADD 3</v>
      </c>
      <c r="G6451" s="6">
        <f>IF(AND($H6451="ATMOS DISTILLATION",ISNUMBER(SEARCH("VPS",$I6451))=FALSE,LEFT($I6451,6)&lt;&gt;"VACUUM"),"CDU",IF($H6451="FLUID CAT CRACKING","FCC",IF(OR($H6451="HYDROCRACKING",$H6451="RESID_HYDROCRACKING"),"Hydrocracker",IF($H6451="REFORMING","Reformer",""))))</f>
        <v/>
      </c>
      <c r="H6451" s="6" t="s">
        <v>43</v>
      </c>
      <c r="I6451" s="6" t="s">
        <v>961</v>
      </c>
      <c r="J6451" s="6" t="s">
        <v>345</v>
      </c>
      <c r="K6451" s="10">
        <v>3.2</v>
      </c>
      <c r="L6451" s="10">
        <v>8</v>
      </c>
      <c r="M6451" s="6" t="s">
        <v>371</v>
      </c>
    </row>
    <row r="6452" spans="1:13">
      <c r="A6452" s="6">
        <v>2025</v>
      </c>
      <c r="B6452" s="6">
        <v>9</v>
      </c>
      <c r="C6452" s="6" t="s">
        <v>67</v>
      </c>
      <c r="D6452" s="6" t="s">
        <v>803</v>
      </c>
      <c r="E6452" s="6" t="s">
        <v>388</v>
      </c>
      <c r="F6452" s="6" t="str">
        <f>IF($M6452="PADD I","PADD 1",IF($M6452="PADD II","PADD 2",IF($M6452="PADD III","PADD 3",IF($M6452="PADD IV","PADD 4",IF($M6452="PADD V","PADD 5","")))))</f>
        <v>PADD 2</v>
      </c>
      <c r="G6452" s="6" t="str">
        <f>IF(AND($H6452="ATMOS DISTILLATION",ISNUMBER(SEARCH("VPS",$I6452))=FALSE,LEFT($I6452,6)&lt;&gt;"VACUUM"),"CDU",IF($H6452="FLUID CAT CRACKING","FCC",IF(OR($H6452="HYDROCRACKING",$H6452="RESID_HYDROCRACKING"),"Hydrocracker",IF($H6452="REFORMING","Reformer",""))))</f>
        <v>Reformer</v>
      </c>
      <c r="H6452" s="6" t="s">
        <v>421</v>
      </c>
      <c r="I6452" s="6" t="s">
        <v>557</v>
      </c>
      <c r="J6452" s="6" t="s">
        <v>345</v>
      </c>
      <c r="K6452" s="10">
        <v>3.0375</v>
      </c>
      <c r="L6452" s="10">
        <v>11.25</v>
      </c>
      <c r="M6452" s="6" t="s">
        <v>375</v>
      </c>
    </row>
    <row r="6453" spans="1:13">
      <c r="A6453" s="6">
        <v>2025</v>
      </c>
      <c r="B6453" s="6">
        <v>9</v>
      </c>
      <c r="C6453" s="6" t="s">
        <v>67</v>
      </c>
      <c r="D6453" s="6" t="s">
        <v>457</v>
      </c>
      <c r="E6453" s="6" t="s">
        <v>388</v>
      </c>
      <c r="F6453" s="6" t="str">
        <f>IF($M6453="PADD I","PADD 1",IF($M6453="PADD II","PADD 2",IF($M6453="PADD III","PADD 3",IF($M6453="PADD IV","PADD 4",IF($M6453="PADD V","PADD 5","")))))</f>
        <v>PADD 5</v>
      </c>
      <c r="G6453" s="6">
        <f>IF(AND($H6453="ATMOS DISTILLATION",ISNUMBER(SEARCH("VPS",$I6453))=FALSE,LEFT($I6453,6)&lt;&gt;"VACUUM"),"CDU",IF($H6453="FLUID CAT CRACKING","FCC",IF(OR($H6453="HYDROCRACKING",$H6453="RESID_HYDROCRACKING"),"Hydrocracker",IF($H6453="REFORMING","Reformer",""))))</f>
        <v/>
      </c>
      <c r="H6453" s="6" t="s">
        <v>460</v>
      </c>
      <c r="I6453" s="6" t="s">
        <v>461</v>
      </c>
      <c r="J6453" s="6" t="s">
        <v>349</v>
      </c>
      <c r="K6453" s="10">
        <v>2.99</v>
      </c>
      <c r="L6453" s="10">
        <v>13</v>
      </c>
      <c r="M6453" s="6" t="s">
        <v>386</v>
      </c>
    </row>
    <row r="6454" spans="1:13">
      <c r="A6454" s="6">
        <v>2025</v>
      </c>
      <c r="B6454" s="6">
        <v>9</v>
      </c>
      <c r="C6454" s="6" t="s">
        <v>67</v>
      </c>
      <c r="D6454" s="6" t="s">
        <v>326</v>
      </c>
      <c r="E6454" s="6" t="s">
        <v>385</v>
      </c>
      <c r="F6454" s="6" t="str">
        <f>IF($M6454="PADD I","PADD 1",IF($M6454="PADD II","PADD 2",IF($M6454="PADD III","PADD 3",IF($M6454="PADD IV","PADD 4",IF($M6454="PADD V","PADD 5","")))))</f>
        <v>PADD 5</v>
      </c>
      <c r="G6454" s="6" t="str">
        <f>IF(AND($H6454="ATMOS DISTILLATION",ISNUMBER(SEARCH("VPS",$I6454))=FALSE,LEFT($I6454,6)&lt;&gt;"VACUUM"),"CDU",IF($H6454="FLUID CAT CRACKING","FCC",IF(OR($H6454="HYDROCRACKING",$H6454="RESID_HYDROCRACKING"),"Hydrocracker",IF($H6454="REFORMING","Reformer",""))))</f>
        <v>Hydrocracker</v>
      </c>
      <c r="H6454" s="6" t="s">
        <v>444</v>
      </c>
      <c r="I6454" s="6" t="s">
        <v>498</v>
      </c>
      <c r="J6454" s="6" t="s">
        <v>345</v>
      </c>
      <c r="K6454" s="10">
        <v>2.94</v>
      </c>
      <c r="L6454" s="10">
        <v>42</v>
      </c>
      <c r="M6454" s="6" t="s">
        <v>386</v>
      </c>
    </row>
    <row r="6455" spans="1:13">
      <c r="A6455" s="6">
        <v>2025</v>
      </c>
      <c r="B6455" s="6">
        <v>9</v>
      </c>
      <c r="C6455" s="6" t="s">
        <v>67</v>
      </c>
      <c r="D6455" s="6" t="s">
        <v>51</v>
      </c>
      <c r="E6455" s="6" t="s">
        <v>391</v>
      </c>
      <c r="F6455" s="6" t="str">
        <f>IF($M6455="PADD I","PADD 1",IF($M6455="PADD II","PADD 2",IF($M6455="PADD III","PADD 3",IF($M6455="PADD IV","PADD 4",IF($M6455="PADD V","PADD 5","")))))</f>
        <v>PADD 5</v>
      </c>
      <c r="G6455" s="6">
        <f>IF(AND($H6455="ATMOS DISTILLATION",ISNUMBER(SEARCH("VPS",$I6455))=FALSE,LEFT($I6455,6)&lt;&gt;"VACUUM"),"CDU",IF($H6455="FLUID CAT CRACKING","FCC",IF(OR($H6455="HYDROCRACKING",$H6455="RESID_HYDROCRACKING"),"Hydrocracker",IF($H6455="REFORMING","Reformer",""))))</f>
        <v/>
      </c>
      <c r="H6455" s="6" t="s">
        <v>43</v>
      </c>
      <c r="I6455" s="6" t="s">
        <v>859</v>
      </c>
      <c r="J6455" s="6" t="s">
        <v>345</v>
      </c>
      <c r="K6455" s="10">
        <v>2.8</v>
      </c>
      <c r="L6455" s="10">
        <v>40</v>
      </c>
      <c r="M6455" s="6" t="s">
        <v>386</v>
      </c>
    </row>
    <row r="6456" spans="1:13">
      <c r="A6456" s="6">
        <v>2025</v>
      </c>
      <c r="B6456" s="6">
        <v>9</v>
      </c>
      <c r="C6456" s="6" t="s">
        <v>67</v>
      </c>
      <c r="D6456" s="6" t="s">
        <v>468</v>
      </c>
      <c r="E6456" s="6" t="s">
        <v>369</v>
      </c>
      <c r="F6456" s="6" t="str">
        <f>IF($M6456="PADD I","PADD 1",IF($M6456="PADD II","PADD 2",IF($M6456="PADD III","PADD 3",IF($M6456="PADD IV","PADD 4",IF($M6456="PADD V","PADD 5","")))))</f>
        <v>PADD 3</v>
      </c>
      <c r="G6456" s="6" t="str">
        <f>IF(AND($H6456="ATMOS DISTILLATION",ISNUMBER(SEARCH("VPS",$I6456))=FALSE,LEFT($I6456,6)&lt;&gt;"VACUUM"),"CDU",IF($H6456="FLUID CAT CRACKING","FCC",IF(OR($H6456="HYDROCRACKING",$H6456="RESID_HYDROCRACKING"),"Hydrocracker",IF($H6456="REFORMING","Reformer",""))))</f>
        <v>Reformer</v>
      </c>
      <c r="H6456" s="6" t="s">
        <v>421</v>
      </c>
      <c r="I6456" s="6" t="s">
        <v>635</v>
      </c>
      <c r="J6456" s="6" t="s">
        <v>345</v>
      </c>
      <c r="K6456" s="10">
        <v>2.8</v>
      </c>
      <c r="L6456" s="10">
        <v>7</v>
      </c>
      <c r="M6456" s="6" t="s">
        <v>371</v>
      </c>
    </row>
    <row r="6457" spans="1:13">
      <c r="A6457" s="6">
        <v>2025</v>
      </c>
      <c r="B6457" s="6">
        <v>9</v>
      </c>
      <c r="C6457" s="6" t="s">
        <v>67</v>
      </c>
      <c r="D6457" s="6" t="s">
        <v>799</v>
      </c>
      <c r="E6457" s="6" t="s">
        <v>391</v>
      </c>
      <c r="F6457" s="6" t="str">
        <f>IF($M6457="PADD I","PADD 1",IF($M6457="PADD II","PADD 2",IF($M6457="PADD III","PADD 3",IF($M6457="PADD IV","PADD 4",IF($M6457="PADD V","PADD 5","")))))</f>
        <v>PADD 4</v>
      </c>
      <c r="G6457" s="6">
        <f>IF(AND($H6457="ATMOS DISTILLATION",ISNUMBER(SEARCH("VPS",$I6457))=FALSE,LEFT($I6457,6)&lt;&gt;"VACUUM"),"CDU",IF($H6457="FLUID CAT CRACKING","FCC",IF(OR($H6457="HYDROCRACKING",$H6457="RESID_HYDROCRACKING"),"Hydrocracker",IF($H6457="REFORMING","Reformer",""))))</f>
        <v/>
      </c>
      <c r="H6457" s="6" t="s">
        <v>435</v>
      </c>
      <c r="I6457" s="6" t="s">
        <v>1188</v>
      </c>
      <c r="J6457" s="6" t="s">
        <v>345</v>
      </c>
      <c r="K6457" s="10">
        <v>2.7</v>
      </c>
      <c r="L6457" s="10">
        <v>10</v>
      </c>
      <c r="M6457" s="6" t="s">
        <v>430</v>
      </c>
    </row>
    <row r="6458" spans="1:13">
      <c r="A6458" s="6">
        <v>2025</v>
      </c>
      <c r="B6458" s="6">
        <v>9</v>
      </c>
      <c r="C6458" s="6" t="s">
        <v>67</v>
      </c>
      <c r="D6458" s="6" t="s">
        <v>500</v>
      </c>
      <c r="E6458" s="6" t="s">
        <v>388</v>
      </c>
      <c r="F6458" s="6" t="str">
        <f>IF($M6458="PADD I","PADD 1",IF($M6458="PADD II","PADD 2",IF($M6458="PADD III","PADD 3",IF($M6458="PADD IV","PADD 4",IF($M6458="PADD V","PADD 5","")))))</f>
        <v>PADD 2</v>
      </c>
      <c r="G6458" s="6">
        <f>IF(AND($H6458="ATMOS DISTILLATION",ISNUMBER(SEARCH("VPS",$I6458))=FALSE,LEFT($I6458,6)&lt;&gt;"VACUUM"),"CDU",IF($H6458="FLUID CAT CRACKING","FCC",IF(OR($H6458="HYDROCRACKING",$H6458="RESID_HYDROCRACKING"),"Hydrocracker",IF($H6458="REFORMING","Reformer",""))))</f>
        <v/>
      </c>
      <c r="H6458" s="6" t="s">
        <v>43</v>
      </c>
      <c r="I6458" s="6" t="s">
        <v>921</v>
      </c>
      <c r="J6458" s="6" t="s">
        <v>345</v>
      </c>
      <c r="K6458" s="10">
        <v>2.6</v>
      </c>
      <c r="L6458" s="10">
        <v>20</v>
      </c>
      <c r="M6458" s="6" t="s">
        <v>375</v>
      </c>
    </row>
    <row r="6459" spans="1:13">
      <c r="A6459" s="6">
        <v>2025</v>
      </c>
      <c r="B6459" s="6">
        <v>9</v>
      </c>
      <c r="C6459" s="6" t="s">
        <v>67</v>
      </c>
      <c r="D6459" s="6" t="s">
        <v>500</v>
      </c>
      <c r="E6459" s="6" t="s">
        <v>388</v>
      </c>
      <c r="F6459" s="6" t="str">
        <f>IF($M6459="PADD I","PADD 1",IF($M6459="PADD II","PADD 2",IF($M6459="PADD III","PADD 3",IF($M6459="PADD IV","PADD 4",IF($M6459="PADD V","PADD 5","")))))</f>
        <v>PADD 2</v>
      </c>
      <c r="G6459" s="6">
        <f>IF(AND($H6459="ATMOS DISTILLATION",ISNUMBER(SEARCH("VPS",$I6459))=FALSE,LEFT($I6459,6)&lt;&gt;"VACUUM"),"CDU",IF($H6459="FLUID CAT CRACKING","FCC",IF(OR($H6459="HYDROCRACKING",$H6459="RESID_HYDROCRACKING"),"Hydrocracker",IF($H6459="REFORMING","Reformer",""))))</f>
        <v/>
      </c>
      <c r="H6459" s="6" t="s">
        <v>43</v>
      </c>
      <c r="I6459" s="6" t="s">
        <v>924</v>
      </c>
      <c r="J6459" s="6" t="s">
        <v>349</v>
      </c>
      <c r="K6459" s="10">
        <v>2.55</v>
      </c>
      <c r="L6459" s="10">
        <v>15</v>
      </c>
      <c r="M6459" s="6" t="s">
        <v>375</v>
      </c>
    </row>
    <row r="6460" spans="1:13">
      <c r="A6460" s="6">
        <v>2025</v>
      </c>
      <c r="B6460" s="6">
        <v>9</v>
      </c>
      <c r="C6460" s="6" t="s">
        <v>67</v>
      </c>
      <c r="D6460" s="6" t="s">
        <v>801</v>
      </c>
      <c r="E6460" s="6" t="s">
        <v>779</v>
      </c>
      <c r="F6460" s="6" t="str">
        <f>IF($M6460="PADD I","PADD 1",IF($M6460="PADD II","PADD 2",IF($M6460="PADD III","PADD 3",IF($M6460="PADD IV","PADD 4",IF($M6460="PADD V","PADD 5","")))))</f>
        <v>PADD 2</v>
      </c>
      <c r="G6460" s="6">
        <f>IF(AND($H6460="ATMOS DISTILLATION",ISNUMBER(SEARCH("VPS",$I6460))=FALSE,LEFT($I6460,6)&lt;&gt;"VACUUM"),"CDU",IF($H6460="FLUID CAT CRACKING","FCC",IF(OR($H6460="HYDROCRACKING",$H6460="RESID_HYDROCRACKING"),"Hydrocracker",IF($H6460="REFORMING","Reformer",""))))</f>
        <v/>
      </c>
      <c r="H6460" s="6" t="s">
        <v>435</v>
      </c>
      <c r="I6460" s="6" t="s">
        <v>1179</v>
      </c>
      <c r="J6460" s="6" t="s">
        <v>345</v>
      </c>
      <c r="K6460" s="10">
        <v>2.52</v>
      </c>
      <c r="L6460" s="10">
        <v>36</v>
      </c>
      <c r="M6460" s="6" t="s">
        <v>375</v>
      </c>
    </row>
    <row r="6461" spans="1:13">
      <c r="A6461" s="6">
        <v>2025</v>
      </c>
      <c r="B6461" s="6">
        <v>9</v>
      </c>
      <c r="C6461" s="6" t="s">
        <v>67</v>
      </c>
      <c r="D6461" s="6" t="s">
        <v>778</v>
      </c>
      <c r="E6461" s="6" t="s">
        <v>779</v>
      </c>
      <c r="F6461" s="6" t="str">
        <f>IF($M6461="PADD I","PADD 1",IF($M6461="PADD II","PADD 2",IF($M6461="PADD III","PADD 3",IF($M6461="PADD IV","PADD 4",IF($M6461="PADD V","PADD 5","")))))</f>
        <v>PADD 3</v>
      </c>
      <c r="G6461" s="6">
        <f>IF(AND($H6461="ATMOS DISTILLATION",ISNUMBER(SEARCH("VPS",$I6461))=FALSE,LEFT($I6461,6)&lt;&gt;"VACUUM"),"CDU",IF($H6461="FLUID CAT CRACKING","FCC",IF(OR($H6461="HYDROCRACKING",$H6461="RESID_HYDROCRACKING"),"Hydrocracker",IF($H6461="REFORMING","Reformer",""))))</f>
        <v/>
      </c>
      <c r="H6461" s="6" t="s">
        <v>378</v>
      </c>
      <c r="I6461" s="6" t="s">
        <v>797</v>
      </c>
      <c r="J6461" s="6" t="s">
        <v>345</v>
      </c>
      <c r="K6461" s="10">
        <v>2.3</v>
      </c>
      <c r="L6461" s="10">
        <v>23</v>
      </c>
      <c r="M6461" s="6" t="s">
        <v>371</v>
      </c>
    </row>
    <row r="6462" spans="1:13">
      <c r="A6462" s="6">
        <v>2025</v>
      </c>
      <c r="B6462" s="6">
        <v>9</v>
      </c>
      <c r="C6462" s="6" t="s">
        <v>67</v>
      </c>
      <c r="D6462" s="6" t="s">
        <v>331</v>
      </c>
      <c r="E6462" s="6" t="s">
        <v>373</v>
      </c>
      <c r="F6462" s="6" t="str">
        <f>IF($M6462="PADD I","PADD 1",IF($M6462="PADD II","PADD 2",IF($M6462="PADD III","PADD 3",IF($M6462="PADD IV","PADD 4",IF($M6462="PADD V","PADD 5","")))))</f>
        <v>PADD 2</v>
      </c>
      <c r="G6462" s="6">
        <f>IF(AND($H6462="ATMOS DISTILLATION",ISNUMBER(SEARCH("VPS",$I6462))=FALSE,LEFT($I6462,6)&lt;&gt;"VACUUM"),"CDU",IF($H6462="FLUID CAT CRACKING","FCC",IF(OR($H6462="HYDROCRACKING",$H6462="RESID_HYDROCRACKING"),"Hydrocracker",IF($H6462="REFORMING","Reformer",""))))</f>
        <v/>
      </c>
      <c r="H6462" s="6" t="s">
        <v>435</v>
      </c>
      <c r="I6462" s="6" t="s">
        <v>441</v>
      </c>
      <c r="J6462" s="6" t="s">
        <v>345</v>
      </c>
      <c r="K6462" s="10">
        <v>2.3</v>
      </c>
      <c r="L6462" s="10">
        <v>23</v>
      </c>
      <c r="M6462" s="6" t="s">
        <v>375</v>
      </c>
    </row>
    <row r="6463" spans="1:13">
      <c r="A6463" s="6">
        <v>2025</v>
      </c>
      <c r="B6463" s="6">
        <v>9</v>
      </c>
      <c r="C6463" s="6" t="s">
        <v>67</v>
      </c>
      <c r="D6463" s="6" t="s">
        <v>380</v>
      </c>
      <c r="E6463" s="6" t="s">
        <v>381</v>
      </c>
      <c r="F6463" s="6" t="str">
        <f>IF($M6463="PADD I","PADD 1",IF($M6463="PADD II","PADD 2",IF($M6463="PADD III","PADD 3",IF($M6463="PADD IV","PADD 4",IF($M6463="PADD V","PADD 5","")))))</f>
        <v>PADD 3</v>
      </c>
      <c r="G6463" s="6">
        <f>IF(AND($H6463="ATMOS DISTILLATION",ISNUMBER(SEARCH("VPS",$I6463))=FALSE,LEFT($I6463,6)&lt;&gt;"VACUUM"),"CDU",IF($H6463="FLUID CAT CRACKING","FCC",IF(OR($H6463="HYDROCRACKING",$H6463="RESID_HYDROCRACKING"),"Hydrocracker",IF($H6463="REFORMING","Reformer",""))))</f>
        <v/>
      </c>
      <c r="H6463" s="6" t="s">
        <v>435</v>
      </c>
      <c r="I6463" s="6" t="s">
        <v>515</v>
      </c>
      <c r="J6463" s="6" t="s">
        <v>345</v>
      </c>
      <c r="K6463" s="10">
        <v>2.24</v>
      </c>
      <c r="L6463" s="10">
        <v>32</v>
      </c>
      <c r="M6463" s="6" t="s">
        <v>371</v>
      </c>
    </row>
    <row r="6464" spans="1:13">
      <c r="A6464" s="6">
        <v>2025</v>
      </c>
      <c r="B6464" s="6">
        <v>9</v>
      </c>
      <c r="C6464" s="6" t="s">
        <v>67</v>
      </c>
      <c r="D6464" s="6" t="s">
        <v>851</v>
      </c>
      <c r="E6464" s="6" t="s">
        <v>852</v>
      </c>
      <c r="F6464" s="6" t="str">
        <f>IF($M6464="PADD I","PADD 1",IF($M6464="PADD II","PADD 2",IF($M6464="PADD III","PADD 3",IF($M6464="PADD IV","PADD 4",IF($M6464="PADD V","PADD 5","")))))</f>
        <v>PADD 3</v>
      </c>
      <c r="G6464" s="6" t="str">
        <f>IF(AND($H6464="ATMOS DISTILLATION",ISNUMBER(SEARCH("VPS",$I6464))=FALSE,LEFT($I6464,6)&lt;&gt;"VACUUM"),"CDU",IF($H6464="FLUID CAT CRACKING","FCC",IF(OR($H6464="HYDROCRACKING",$H6464="RESID_HYDROCRACKING"),"Hydrocracker",IF($H6464="REFORMING","Reformer",""))))</f>
        <v>CDU</v>
      </c>
      <c r="H6464" s="6" t="s">
        <v>38</v>
      </c>
      <c r="I6464" s="6" t="s">
        <v>854</v>
      </c>
      <c r="J6464" s="6" t="s">
        <v>345</v>
      </c>
      <c r="K6464" s="10">
        <v>2.19</v>
      </c>
      <c r="L6464" s="10">
        <v>73</v>
      </c>
      <c r="M6464" s="6" t="s">
        <v>371</v>
      </c>
    </row>
    <row r="6465" spans="1:13">
      <c r="A6465" s="6">
        <v>2025</v>
      </c>
      <c r="B6465" s="6">
        <v>9</v>
      </c>
      <c r="C6465" s="6" t="s">
        <v>67</v>
      </c>
      <c r="D6465" s="6" t="s">
        <v>322</v>
      </c>
      <c r="E6465" s="6" t="s">
        <v>369</v>
      </c>
      <c r="F6465" s="6" t="str">
        <f>IF($M6465="PADD I","PADD 1",IF($M6465="PADD II","PADD 2",IF($M6465="PADD III","PADD 3",IF($M6465="PADD IV","PADD 4",IF($M6465="PADD V","PADD 5","")))))</f>
        <v>PADD 2</v>
      </c>
      <c r="G6465" s="6" t="str">
        <f>IF(AND($H6465="ATMOS DISTILLATION",ISNUMBER(SEARCH("VPS",$I6465))=FALSE,LEFT($I6465,6)&lt;&gt;"VACUUM"),"CDU",IF($H6465="FLUID CAT CRACKING","FCC",IF(OR($H6465="HYDROCRACKING",$H6465="RESID_HYDROCRACKING"),"Hydrocracker",IF($H6465="REFORMING","Reformer",""))))</f>
        <v>CDU</v>
      </c>
      <c r="H6465" s="6" t="s">
        <v>38</v>
      </c>
      <c r="I6465" s="6" t="s">
        <v>911</v>
      </c>
      <c r="J6465" s="6" t="s">
        <v>345</v>
      </c>
      <c r="K6465" s="10">
        <v>2.025</v>
      </c>
      <c r="L6465" s="10">
        <v>67.5</v>
      </c>
      <c r="M6465" s="6" t="s">
        <v>375</v>
      </c>
    </row>
    <row r="6466" spans="1:13">
      <c r="A6466" s="6">
        <v>2025</v>
      </c>
      <c r="B6466" s="6">
        <v>9</v>
      </c>
      <c r="C6466" s="6" t="s">
        <v>67</v>
      </c>
      <c r="D6466" s="6" t="s">
        <v>500</v>
      </c>
      <c r="E6466" s="6" t="s">
        <v>388</v>
      </c>
      <c r="F6466" s="6" t="str">
        <f>IF($M6466="PADD I","PADD 1",IF($M6466="PADD II","PADD 2",IF($M6466="PADD III","PADD 3",IF($M6466="PADD IV","PADD 4",IF($M6466="PADD V","PADD 5","")))))</f>
        <v>PADD 2</v>
      </c>
      <c r="G6466" s="6">
        <f>IF(AND($H6466="ATMOS DISTILLATION",ISNUMBER(SEARCH("VPS",$I6466))=FALSE,LEFT($I6466,6)&lt;&gt;"VACUUM"),"CDU",IF($H6466="FLUID CAT CRACKING","FCC",IF(OR($H6466="HYDROCRACKING",$H6466="RESID_HYDROCRACKING"),"Hydrocracker",IF($H6466="REFORMING","Reformer",""))))</f>
        <v/>
      </c>
      <c r="H6466" s="6" t="s">
        <v>43</v>
      </c>
      <c r="I6466" s="6" t="s">
        <v>924</v>
      </c>
      <c r="J6466" s="6" t="s">
        <v>345</v>
      </c>
      <c r="K6466" s="10">
        <v>1.95</v>
      </c>
      <c r="L6466" s="10">
        <v>15</v>
      </c>
      <c r="M6466" s="6" t="s">
        <v>375</v>
      </c>
    </row>
    <row r="6467" spans="1:13">
      <c r="A6467" s="6">
        <v>2025</v>
      </c>
      <c r="B6467" s="6">
        <v>9</v>
      </c>
      <c r="C6467" s="6" t="s">
        <v>67</v>
      </c>
      <c r="D6467" s="6" t="s">
        <v>851</v>
      </c>
      <c r="E6467" s="6" t="s">
        <v>852</v>
      </c>
      <c r="F6467" s="6" t="str">
        <f>IF($M6467="PADD I","PADD 1",IF($M6467="PADD II","PADD 2",IF($M6467="PADD III","PADD 3",IF($M6467="PADD IV","PADD 4",IF($M6467="PADD V","PADD 5","")))))</f>
        <v>PADD 3</v>
      </c>
      <c r="G6467" s="6" t="str">
        <f>IF(AND($H6467="ATMOS DISTILLATION",ISNUMBER(SEARCH("VPS",$I6467))=FALSE,LEFT($I6467,6)&lt;&gt;"VACUUM"),"CDU",IF($H6467="FLUID CAT CRACKING","FCC",IF(OR($H6467="HYDROCRACKING",$H6467="RESID_HYDROCRACKING"),"Hydrocracker",IF($H6467="REFORMING","Reformer",""))))</f>
        <v>CDU</v>
      </c>
      <c r="H6467" s="6" t="s">
        <v>38</v>
      </c>
      <c r="I6467" s="6" t="s">
        <v>853</v>
      </c>
      <c r="J6467" s="6" t="s">
        <v>345</v>
      </c>
      <c r="K6467" s="10">
        <v>1.92</v>
      </c>
      <c r="L6467" s="10">
        <v>64</v>
      </c>
      <c r="M6467" s="6" t="s">
        <v>371</v>
      </c>
    </row>
    <row r="6468" spans="1:13">
      <c r="A6468" s="6">
        <v>2025</v>
      </c>
      <c r="B6468" s="6">
        <v>9</v>
      </c>
      <c r="C6468" s="6" t="s">
        <v>67</v>
      </c>
      <c r="D6468" s="6" t="s">
        <v>500</v>
      </c>
      <c r="E6468" s="6" t="s">
        <v>388</v>
      </c>
      <c r="F6468" s="6" t="str">
        <f>IF($M6468="PADD I","PADD 1",IF($M6468="PADD II","PADD 2",IF($M6468="PADD III","PADD 3",IF($M6468="PADD IV","PADD 4",IF($M6468="PADD V","PADD 5","")))))</f>
        <v>PADD 2</v>
      </c>
      <c r="G6468" s="6">
        <f>IF(AND($H6468="ATMOS DISTILLATION",ISNUMBER(SEARCH("VPS",$I6468))=FALSE,LEFT($I6468,6)&lt;&gt;"VACUUM"),"CDU",IF($H6468="FLUID CAT CRACKING","FCC",IF(OR($H6468="HYDROCRACKING",$H6468="RESID_HYDROCRACKING"),"Hydrocracker",IF($H6468="REFORMING","Reformer",""))))</f>
        <v/>
      </c>
      <c r="H6468" s="6" t="s">
        <v>523</v>
      </c>
      <c r="I6468" s="6" t="s">
        <v>524</v>
      </c>
      <c r="J6468" s="6" t="s">
        <v>345</v>
      </c>
      <c r="K6468" s="10">
        <v>1.833</v>
      </c>
      <c r="L6468" s="10">
        <v>14.1</v>
      </c>
      <c r="M6468" s="6" t="s">
        <v>375</v>
      </c>
    </row>
    <row r="6469" spans="1:13">
      <c r="A6469" s="6">
        <v>2025</v>
      </c>
      <c r="B6469" s="6">
        <v>9</v>
      </c>
      <c r="C6469" s="6" t="s">
        <v>67</v>
      </c>
      <c r="D6469" s="6" t="s">
        <v>500</v>
      </c>
      <c r="E6469" s="6" t="s">
        <v>388</v>
      </c>
      <c r="F6469" s="6" t="str">
        <f>IF($M6469="PADD I","PADD 1",IF($M6469="PADD II","PADD 2",IF($M6469="PADD III","PADD 3",IF($M6469="PADD IV","PADD 4",IF($M6469="PADD V","PADD 5","")))))</f>
        <v>PADD 2</v>
      </c>
      <c r="G6469" s="6" t="str">
        <f>IF(AND($H6469="ATMOS DISTILLATION",ISNUMBER(SEARCH("VPS",$I6469))=FALSE,LEFT($I6469,6)&lt;&gt;"VACUUM"),"CDU",IF($H6469="FLUID CAT CRACKING","FCC",IF(OR($H6469="HYDROCRACKING",$H6469="RESID_HYDROCRACKING"),"Hydrocracker",IF($H6469="REFORMING","Reformer",""))))</f>
        <v>FCC</v>
      </c>
      <c r="H6469" s="6" t="s">
        <v>376</v>
      </c>
      <c r="I6469" s="6" t="s">
        <v>105</v>
      </c>
      <c r="J6469" s="6" t="s">
        <v>345</v>
      </c>
      <c r="K6469" s="10">
        <v>1.82</v>
      </c>
      <c r="L6469" s="10">
        <v>26</v>
      </c>
      <c r="M6469" s="6" t="s">
        <v>375</v>
      </c>
    </row>
    <row r="6470" spans="1:13">
      <c r="A6470" s="6">
        <v>2025</v>
      </c>
      <c r="B6470" s="6">
        <v>9</v>
      </c>
      <c r="C6470" s="6" t="s">
        <v>67</v>
      </c>
      <c r="D6470" s="6" t="s">
        <v>610</v>
      </c>
      <c r="E6470" s="6" t="s">
        <v>611</v>
      </c>
      <c r="F6470" s="6" t="str">
        <f>IF($M6470="PADD I","PADD 1",IF($M6470="PADD II","PADD 2",IF($M6470="PADD III","PADD 3",IF($M6470="PADD IV","PADD 4",IF($M6470="PADD V","PADD 5","")))))</f>
        <v>PADD 2</v>
      </c>
      <c r="G6470" s="6">
        <f>IF(AND($H6470="ATMOS DISTILLATION",ISNUMBER(SEARCH("VPS",$I6470))=FALSE,LEFT($I6470,6)&lt;&gt;"VACUUM"),"CDU",IF($H6470="FLUID CAT CRACKING","FCC",IF(OR($H6470="HYDROCRACKING",$H6470="RESID_HYDROCRACKING"),"Hydrocracker",IF($H6470="REFORMING","Reformer",""))))</f>
        <v/>
      </c>
      <c r="H6470" s="6" t="s">
        <v>435</v>
      </c>
      <c r="I6470" s="6" t="s">
        <v>441</v>
      </c>
      <c r="J6470" s="6" t="s">
        <v>345</v>
      </c>
      <c r="K6470" s="10">
        <v>1.82</v>
      </c>
      <c r="L6470" s="10">
        <v>26</v>
      </c>
      <c r="M6470" s="6" t="s">
        <v>375</v>
      </c>
    </row>
    <row r="6471" spans="1:13">
      <c r="A6471" s="6">
        <v>2025</v>
      </c>
      <c r="B6471" s="6">
        <v>9</v>
      </c>
      <c r="C6471" s="6" t="s">
        <v>67</v>
      </c>
      <c r="D6471" s="6" t="s">
        <v>639</v>
      </c>
      <c r="E6471" s="6" t="s">
        <v>452</v>
      </c>
      <c r="F6471" s="6" t="str">
        <f>IF($M6471="PADD I","PADD 1",IF($M6471="PADD II","PADD 2",IF($M6471="PADD III","PADD 3",IF($M6471="PADD IV","PADD 4",IF($M6471="PADD V","PADD 5","")))))</f>
        <v>PADD 5</v>
      </c>
      <c r="G6471" s="6">
        <f>IF(AND($H6471="ATMOS DISTILLATION",ISNUMBER(SEARCH("VPS",$I6471))=FALSE,LEFT($I6471,6)&lt;&gt;"VACUUM"),"CDU",IF($H6471="FLUID CAT CRACKING","FCC",IF(OR($H6471="HYDROCRACKING",$H6471="RESID_HYDROCRACKING"),"Hydrocracker",IF($H6471="REFORMING","Reformer",""))))</f>
        <v/>
      </c>
      <c r="H6471" s="6" t="s">
        <v>43</v>
      </c>
      <c r="I6471" s="6" t="s">
        <v>1328</v>
      </c>
      <c r="J6471" s="6" t="s">
        <v>349</v>
      </c>
      <c r="K6471" s="10">
        <v>1.8</v>
      </c>
      <c r="L6471" s="10">
        <v>60</v>
      </c>
      <c r="M6471" s="6" t="s">
        <v>386</v>
      </c>
    </row>
    <row r="6472" spans="1:13">
      <c r="A6472" s="6">
        <v>2025</v>
      </c>
      <c r="B6472" s="6">
        <v>9</v>
      </c>
      <c r="C6472" s="6" t="s">
        <v>67</v>
      </c>
      <c r="D6472" s="6" t="s">
        <v>722</v>
      </c>
      <c r="E6472" s="6" t="s">
        <v>452</v>
      </c>
      <c r="F6472" s="6" t="str">
        <f>IF($M6472="PADD I","PADD 1",IF($M6472="PADD II","PADD 2",IF($M6472="PADD III","PADD 3",IF($M6472="PADD IV","PADD 4",IF($M6472="PADD V","PADD 5","")))))</f>
        <v>PADD 4</v>
      </c>
      <c r="G6472" s="6" t="str">
        <f>IF(AND($H6472="ATMOS DISTILLATION",ISNUMBER(SEARCH("VPS",$I6472))=FALSE,LEFT($I6472,6)&lt;&gt;"VACUUM"),"CDU",IF($H6472="FLUID CAT CRACKING","FCC",IF(OR($H6472="HYDROCRACKING",$H6472="RESID_HYDROCRACKING"),"Hydrocracker",IF($H6472="REFORMING","Reformer",""))))</f>
        <v>FCC</v>
      </c>
      <c r="H6472" s="6" t="s">
        <v>376</v>
      </c>
      <c r="I6472" s="6" t="s">
        <v>1106</v>
      </c>
      <c r="J6472" s="6" t="s">
        <v>349</v>
      </c>
      <c r="K6472" s="10">
        <v>1.8</v>
      </c>
      <c r="L6472" s="10">
        <v>9</v>
      </c>
      <c r="M6472" s="6" t="s">
        <v>430</v>
      </c>
    </row>
    <row r="6473" spans="1:13">
      <c r="A6473" s="6">
        <v>2025</v>
      </c>
      <c r="B6473" s="6">
        <v>9</v>
      </c>
      <c r="C6473" s="6" t="s">
        <v>67</v>
      </c>
      <c r="D6473" s="6" t="s">
        <v>639</v>
      </c>
      <c r="E6473" s="6" t="s">
        <v>452</v>
      </c>
      <c r="F6473" s="6" t="str">
        <f>IF($M6473="PADD I","PADD 1",IF($M6473="PADD II","PADD 2",IF($M6473="PADD III","PADD 3",IF($M6473="PADD IV","PADD 4",IF($M6473="PADD V","PADD 5","")))))</f>
        <v>PADD 5</v>
      </c>
      <c r="G6473" s="6">
        <f>IF(AND($H6473="ATMOS DISTILLATION",ISNUMBER(SEARCH("VPS",$I6473))=FALSE,LEFT($I6473,6)&lt;&gt;"VACUUM"),"CDU",IF($H6473="FLUID CAT CRACKING","FCC",IF(OR($H6473="HYDROCRACKING",$H6473="RESID_HYDROCRACKING"),"Hydrocracker",IF($H6473="REFORMING","Reformer",""))))</f>
        <v/>
      </c>
      <c r="H6473" s="6" t="s">
        <v>435</v>
      </c>
      <c r="I6473" s="6" t="s">
        <v>1096</v>
      </c>
      <c r="J6473" s="6" t="s">
        <v>349</v>
      </c>
      <c r="K6473" s="10">
        <v>1.771</v>
      </c>
      <c r="L6473" s="10">
        <v>25.3</v>
      </c>
      <c r="M6473" s="6" t="s">
        <v>386</v>
      </c>
    </row>
    <row r="6474" spans="1:13">
      <c r="A6474" s="6">
        <v>2025</v>
      </c>
      <c r="B6474" s="6">
        <v>9</v>
      </c>
      <c r="C6474" s="6" t="s">
        <v>67</v>
      </c>
      <c r="D6474" s="6" t="s">
        <v>639</v>
      </c>
      <c r="E6474" s="6" t="s">
        <v>452</v>
      </c>
      <c r="F6474" s="6" t="str">
        <f>IF($M6474="PADD I","PADD 1",IF($M6474="PADD II","PADD 2",IF($M6474="PADD III","PADD 3",IF($M6474="PADD IV","PADD 4",IF($M6474="PADD V","PADD 5","")))))</f>
        <v>PADD 5</v>
      </c>
      <c r="G6474" s="6">
        <f>IF(AND($H6474="ATMOS DISTILLATION",ISNUMBER(SEARCH("VPS",$I6474))=FALSE,LEFT($I6474,6)&lt;&gt;"VACUUM"),"CDU",IF($H6474="FLUID CAT CRACKING","FCC",IF(OR($H6474="HYDROCRACKING",$H6474="RESID_HYDROCRACKING"),"Hydrocracker",IF($H6474="REFORMING","Reformer",""))))</f>
        <v/>
      </c>
      <c r="H6474" s="6" t="s">
        <v>435</v>
      </c>
      <c r="I6474" s="6" t="s">
        <v>1096</v>
      </c>
      <c r="J6474" s="6" t="s">
        <v>349</v>
      </c>
      <c r="K6474" s="10">
        <v>1.68</v>
      </c>
      <c r="L6474" s="10">
        <v>24</v>
      </c>
      <c r="M6474" s="6" t="s">
        <v>386</v>
      </c>
    </row>
    <row r="6475" spans="1:13">
      <c r="A6475" s="6">
        <v>2025</v>
      </c>
      <c r="B6475" s="6">
        <v>9</v>
      </c>
      <c r="C6475" s="6" t="s">
        <v>67</v>
      </c>
      <c r="D6475" s="6" t="s">
        <v>50</v>
      </c>
      <c r="E6475" s="6" t="s">
        <v>381</v>
      </c>
      <c r="F6475" s="6" t="str">
        <f>IF($M6475="PADD I","PADD 1",IF($M6475="PADD II","PADD 2",IF($M6475="PADD III","PADD 3",IF($M6475="PADD IV","PADD 4",IF($M6475="PADD V","PADD 5","")))))</f>
        <v>PADD 3</v>
      </c>
      <c r="G6475" s="6">
        <f>IF(AND($H6475="ATMOS DISTILLATION",ISNUMBER(SEARCH("VPS",$I6475))=FALSE,LEFT($I6475,6)&lt;&gt;"VACUUM"),"CDU",IF($H6475="FLUID CAT CRACKING","FCC",IF(OR($H6475="HYDROCRACKING",$H6475="RESID_HYDROCRACKING"),"Hydrocracker",IF($H6475="REFORMING","Reformer",""))))</f>
        <v/>
      </c>
      <c r="H6475" s="6" t="s">
        <v>43</v>
      </c>
      <c r="I6475" s="6" t="s">
        <v>1329</v>
      </c>
      <c r="J6475" s="6" t="s">
        <v>345</v>
      </c>
      <c r="K6475" s="10">
        <v>1.65</v>
      </c>
      <c r="L6475" s="10">
        <v>55</v>
      </c>
      <c r="M6475" s="6" t="s">
        <v>371</v>
      </c>
    </row>
    <row r="6476" spans="1:13">
      <c r="A6476" s="6">
        <v>2025</v>
      </c>
      <c r="B6476" s="6">
        <v>9</v>
      </c>
      <c r="C6476" s="6" t="s">
        <v>67</v>
      </c>
      <c r="D6476" s="6" t="s">
        <v>1032</v>
      </c>
      <c r="E6476" s="6" t="s">
        <v>1033</v>
      </c>
      <c r="F6476" s="6" t="str">
        <f>IF($M6476="PADD I","PADD 1",IF($M6476="PADD II","PADD 2",IF($M6476="PADD III","PADD 3",IF($M6476="PADD IV","PADD 4",IF($M6476="PADD V","PADD 5","")))))</f>
        <v>PADD 5</v>
      </c>
      <c r="G6476" s="6" t="str">
        <f>IF(AND($H6476="ATMOS DISTILLATION",ISNUMBER(SEARCH("VPS",$I6476))=FALSE,LEFT($I6476,6)&lt;&gt;"VACUUM"),"CDU",IF($H6476="FLUID CAT CRACKING","FCC",IF(OR($H6476="HYDROCRACKING",$H6476="RESID_HYDROCRACKING"),"Hydrocracker",IF($H6476="REFORMING","Reformer",""))))</f>
        <v>CDU</v>
      </c>
      <c r="H6476" s="6" t="s">
        <v>38</v>
      </c>
      <c r="I6476" s="6" t="s">
        <v>663</v>
      </c>
      <c r="J6476" s="6" t="s">
        <v>345</v>
      </c>
      <c r="K6476" s="10">
        <v>1.5</v>
      </c>
      <c r="L6476" s="10">
        <v>5</v>
      </c>
      <c r="M6476" s="6" t="s">
        <v>386</v>
      </c>
    </row>
    <row r="6477" spans="1:13">
      <c r="A6477" s="6">
        <v>2025</v>
      </c>
      <c r="B6477" s="6">
        <v>9</v>
      </c>
      <c r="C6477" s="6" t="s">
        <v>67</v>
      </c>
      <c r="D6477" s="6" t="s">
        <v>878</v>
      </c>
      <c r="E6477" s="6" t="s">
        <v>452</v>
      </c>
      <c r="F6477" s="6" t="str">
        <f>IF($M6477="PADD I","PADD 1",IF($M6477="PADD II","PADD 2",IF($M6477="PADD III","PADD 3",IF($M6477="PADD IV","PADD 4",IF($M6477="PADD V","PADD 5","")))))</f>
        <v>PADD 2</v>
      </c>
      <c r="G6477" s="6">
        <f>IF(AND($H6477="ATMOS DISTILLATION",ISNUMBER(SEARCH("VPS",$I6477))=FALSE,LEFT($I6477,6)&lt;&gt;"VACUUM"),"CDU",IF($H6477="FLUID CAT CRACKING","FCC",IF(OR($H6477="HYDROCRACKING",$H6477="RESID_HYDROCRACKING"),"Hydrocracker",IF($H6477="REFORMING","Reformer",""))))</f>
        <v/>
      </c>
      <c r="H6477" s="6" t="s">
        <v>435</v>
      </c>
      <c r="I6477" s="6" t="s">
        <v>441</v>
      </c>
      <c r="J6477" s="6" t="s">
        <v>345</v>
      </c>
      <c r="K6477" s="10">
        <v>1.445</v>
      </c>
      <c r="L6477" s="10">
        <v>8.5</v>
      </c>
      <c r="M6477" s="6" t="s">
        <v>375</v>
      </c>
    </row>
    <row r="6478" spans="1:13">
      <c r="A6478" s="6">
        <v>2025</v>
      </c>
      <c r="B6478" s="6">
        <v>9</v>
      </c>
      <c r="C6478" s="6" t="s">
        <v>67</v>
      </c>
      <c r="D6478" s="6" t="s">
        <v>500</v>
      </c>
      <c r="E6478" s="6" t="s">
        <v>388</v>
      </c>
      <c r="F6478" s="6" t="str">
        <f>IF($M6478="PADD I","PADD 1",IF($M6478="PADD II","PADD 2",IF($M6478="PADD III","PADD 3",IF($M6478="PADD IV","PADD 4",IF($M6478="PADD V","PADD 5","")))))</f>
        <v>PADD 2</v>
      </c>
      <c r="G6478" s="6">
        <f>IF(AND($H6478="ATMOS DISTILLATION",ISNUMBER(SEARCH("VPS",$I6478))=FALSE,LEFT($I6478,6)&lt;&gt;"VACUUM"),"CDU",IF($H6478="FLUID CAT CRACKING","FCC",IF(OR($H6478="HYDROCRACKING",$H6478="RESID_HYDROCRACKING"),"Hydrocracker",IF($H6478="REFORMING","Reformer",""))))</f>
        <v/>
      </c>
      <c r="H6478" s="6" t="s">
        <v>43</v>
      </c>
      <c r="I6478" s="6" t="s">
        <v>520</v>
      </c>
      <c r="J6478" s="6" t="s">
        <v>345</v>
      </c>
      <c r="K6478" s="10">
        <v>1.4</v>
      </c>
      <c r="L6478" s="10">
        <v>20</v>
      </c>
      <c r="M6478" s="6" t="s">
        <v>375</v>
      </c>
    </row>
    <row r="6479" spans="1:13">
      <c r="A6479" s="6">
        <v>2025</v>
      </c>
      <c r="B6479" s="6">
        <v>9</v>
      </c>
      <c r="C6479" s="6" t="s">
        <v>67</v>
      </c>
      <c r="D6479" s="6" t="s">
        <v>500</v>
      </c>
      <c r="E6479" s="6" t="s">
        <v>388</v>
      </c>
      <c r="F6479" s="6" t="str">
        <f>IF($M6479="PADD I","PADD 1",IF($M6479="PADD II","PADD 2",IF($M6479="PADD III","PADD 3",IF($M6479="PADD IV","PADD 4",IF($M6479="PADD V","PADD 5","")))))</f>
        <v>PADD 2</v>
      </c>
      <c r="G6479" s="6">
        <f>IF(AND($H6479="ATMOS DISTILLATION",ISNUMBER(SEARCH("VPS",$I6479))=FALSE,LEFT($I6479,6)&lt;&gt;"VACUUM"),"CDU",IF($H6479="FLUID CAT CRACKING","FCC",IF(OR($H6479="HYDROCRACKING",$H6479="RESID_HYDROCRACKING"),"Hydrocracker",IF($H6479="REFORMING","Reformer",""))))</f>
        <v/>
      </c>
      <c r="H6479" s="6" t="s">
        <v>43</v>
      </c>
      <c r="I6479" s="6" t="s">
        <v>501</v>
      </c>
      <c r="J6479" s="6" t="s">
        <v>345</v>
      </c>
      <c r="K6479" s="10">
        <v>1.4</v>
      </c>
      <c r="L6479" s="10">
        <v>20</v>
      </c>
      <c r="M6479" s="6" t="s">
        <v>375</v>
      </c>
    </row>
    <row r="6480" spans="1:13">
      <c r="A6480" s="6">
        <v>2025</v>
      </c>
      <c r="B6480" s="6">
        <v>9</v>
      </c>
      <c r="C6480" s="6" t="s">
        <v>67</v>
      </c>
      <c r="D6480" s="6" t="s">
        <v>500</v>
      </c>
      <c r="E6480" s="6" t="s">
        <v>388</v>
      </c>
      <c r="F6480" s="6" t="str">
        <f>IF($M6480="PADD I","PADD 1",IF($M6480="PADD II","PADD 2",IF($M6480="PADD III","PADD 3",IF($M6480="PADD IV","PADD 4",IF($M6480="PADD V","PADD 5","")))))</f>
        <v>PADD 2</v>
      </c>
      <c r="G6480" s="6" t="str">
        <f>IF(AND($H6480="ATMOS DISTILLATION",ISNUMBER(SEARCH("VPS",$I6480))=FALSE,LEFT($I6480,6)&lt;&gt;"VACUUM"),"CDU",IF($H6480="FLUID CAT CRACKING","FCC",IF(OR($H6480="HYDROCRACKING",$H6480="RESID_HYDROCRACKING"),"Hydrocracker",IF($H6480="REFORMING","Reformer",""))))</f>
        <v>Reformer</v>
      </c>
      <c r="H6480" s="6" t="s">
        <v>421</v>
      </c>
      <c r="I6480" s="6" t="s">
        <v>539</v>
      </c>
      <c r="J6480" s="6" t="s">
        <v>345</v>
      </c>
      <c r="K6480" s="10">
        <v>1.33</v>
      </c>
      <c r="L6480" s="10">
        <v>19</v>
      </c>
      <c r="M6480" s="6" t="s">
        <v>375</v>
      </c>
    </row>
    <row r="6481" spans="1:13">
      <c r="A6481" s="6">
        <v>2025</v>
      </c>
      <c r="B6481" s="6">
        <v>9</v>
      </c>
      <c r="C6481" s="6" t="s">
        <v>67</v>
      </c>
      <c r="D6481" s="6" t="s">
        <v>1330</v>
      </c>
      <c r="E6481" s="6" t="s">
        <v>1331</v>
      </c>
      <c r="F6481" s="6" t="str">
        <f>IF($M6481="PADD I","PADD 1",IF($M6481="PADD II","PADD 2",IF($M6481="PADD III","PADD 3",IF($M6481="PADD IV","PADD 4",IF($M6481="PADD V","PADD 5","")))))</f>
        <v>PADD 4</v>
      </c>
      <c r="G6481" s="6">
        <f>IF(AND($H6481="ATMOS DISTILLATION",ISNUMBER(SEARCH("VPS",$I6481))=FALSE,LEFT($I6481,6)&lt;&gt;"VACUUM"),"CDU",IF($H6481="FLUID CAT CRACKING","FCC",IF(OR($H6481="HYDROCRACKING",$H6481="RESID_HYDROCRACKING"),"Hydrocracker",IF($H6481="REFORMING","Reformer",""))))</f>
        <v/>
      </c>
      <c r="H6481" s="6" t="s">
        <v>43</v>
      </c>
      <c r="I6481" s="6" t="s">
        <v>1332</v>
      </c>
      <c r="J6481" s="6" t="s">
        <v>349</v>
      </c>
      <c r="K6481" s="10">
        <v>1.305</v>
      </c>
      <c r="L6481" s="10">
        <v>1.5</v>
      </c>
      <c r="M6481" s="6" t="s">
        <v>430</v>
      </c>
    </row>
    <row r="6482" spans="1:13">
      <c r="A6482" s="6">
        <v>2025</v>
      </c>
      <c r="B6482" s="6">
        <v>9</v>
      </c>
      <c r="C6482" s="6" t="s">
        <v>67</v>
      </c>
      <c r="D6482" s="6" t="s">
        <v>331</v>
      </c>
      <c r="E6482" s="6" t="s">
        <v>373</v>
      </c>
      <c r="F6482" s="6" t="str">
        <f>IF($M6482="PADD I","PADD 1",IF($M6482="PADD II","PADD 2",IF($M6482="PADD III","PADD 3",IF($M6482="PADD IV","PADD 4",IF($M6482="PADD V","PADD 5","")))))</f>
        <v>PADD 2</v>
      </c>
      <c r="G6482" s="6" t="str">
        <f>IF(AND($H6482="ATMOS DISTILLATION",ISNUMBER(SEARCH("VPS",$I6482))=FALSE,LEFT($I6482,6)&lt;&gt;"VACUUM"),"CDU",IF($H6482="FLUID CAT CRACKING","FCC",IF(OR($H6482="HYDROCRACKING",$H6482="RESID_HYDROCRACKING"),"Hydrocracker",IF($H6482="REFORMING","Reformer",""))))</f>
        <v>Reformer</v>
      </c>
      <c r="H6482" s="6" t="s">
        <v>421</v>
      </c>
      <c r="I6482" s="6" t="s">
        <v>916</v>
      </c>
      <c r="J6482" s="6" t="s">
        <v>345</v>
      </c>
      <c r="K6482" s="10">
        <v>1.2</v>
      </c>
      <c r="L6482" s="10">
        <v>40</v>
      </c>
      <c r="M6482" s="6" t="s">
        <v>375</v>
      </c>
    </row>
    <row r="6483" spans="1:13">
      <c r="A6483" s="6">
        <v>2025</v>
      </c>
      <c r="B6483" s="6">
        <v>9</v>
      </c>
      <c r="C6483" s="6" t="s">
        <v>67</v>
      </c>
      <c r="D6483" s="6" t="s">
        <v>851</v>
      </c>
      <c r="E6483" s="6" t="s">
        <v>852</v>
      </c>
      <c r="F6483" s="6" t="str">
        <f>IF($M6483="PADD I","PADD 1",IF($M6483="PADD II","PADD 2",IF($M6483="PADD III","PADD 3",IF($M6483="PADD IV","PADD 4",IF($M6483="PADD V","PADD 5","")))))</f>
        <v>PADD 3</v>
      </c>
      <c r="G6483" s="6">
        <f>IF(AND($H6483="ATMOS DISTILLATION",ISNUMBER(SEARCH("VPS",$I6483))=FALSE,LEFT($I6483,6)&lt;&gt;"VACUUM"),"CDU",IF($H6483="FLUID CAT CRACKING","FCC",IF(OR($H6483="HYDROCRACKING",$H6483="RESID_HYDROCRACKING"),"Hydrocracker",IF($H6483="REFORMING","Reformer",""))))</f>
        <v/>
      </c>
      <c r="H6483" s="6" t="s">
        <v>378</v>
      </c>
      <c r="I6483" s="6" t="s">
        <v>860</v>
      </c>
      <c r="J6483" s="6" t="s">
        <v>345</v>
      </c>
      <c r="K6483" s="10">
        <v>1.08</v>
      </c>
      <c r="L6483" s="10">
        <v>36</v>
      </c>
      <c r="M6483" s="6" t="s">
        <v>371</v>
      </c>
    </row>
    <row r="6484" spans="1:13">
      <c r="A6484" s="6">
        <v>2025</v>
      </c>
      <c r="B6484" s="6">
        <v>9</v>
      </c>
      <c r="C6484" s="6" t="s">
        <v>67</v>
      </c>
      <c r="D6484" s="6" t="s">
        <v>756</v>
      </c>
      <c r="E6484" s="6" t="s">
        <v>757</v>
      </c>
      <c r="F6484" s="6" t="str">
        <f>IF($M6484="PADD I","PADD 1",IF($M6484="PADD II","PADD 2",IF($M6484="PADD III","PADD 3",IF($M6484="PADD IV","PADD 4",IF($M6484="PADD V","PADD 5","")))))</f>
        <v>PADD 3</v>
      </c>
      <c r="G6484" s="6" t="str">
        <f>IF(AND($H6484="ATMOS DISTILLATION",ISNUMBER(SEARCH("VPS",$I6484))=FALSE,LEFT($I6484,6)&lt;&gt;"VACUUM"),"CDU",IF($H6484="FLUID CAT CRACKING","FCC",IF(OR($H6484="HYDROCRACKING",$H6484="RESID_HYDROCRACKING"),"Hydrocracker",IF($H6484="REFORMING","Reformer",""))))</f>
        <v>CDU</v>
      </c>
      <c r="H6484" s="6" t="s">
        <v>38</v>
      </c>
      <c r="I6484" s="6" t="s">
        <v>81</v>
      </c>
      <c r="J6484" s="6" t="s">
        <v>345</v>
      </c>
      <c r="K6484" s="10">
        <v>1.05</v>
      </c>
      <c r="L6484" s="10">
        <v>15</v>
      </c>
      <c r="M6484" s="6" t="s">
        <v>371</v>
      </c>
    </row>
    <row r="6485" spans="1:13">
      <c r="A6485" s="6">
        <v>2025</v>
      </c>
      <c r="B6485" s="6">
        <v>9</v>
      </c>
      <c r="C6485" s="6" t="s">
        <v>67</v>
      </c>
      <c r="D6485" s="6" t="s">
        <v>612</v>
      </c>
      <c r="E6485" s="6" t="s">
        <v>416</v>
      </c>
      <c r="F6485" s="6" t="str">
        <f>IF($M6485="PADD I","PADD 1",IF($M6485="PADD II","PADD 2",IF($M6485="PADD III","PADD 3",IF($M6485="PADD IV","PADD 4",IF($M6485="PADD V","PADD 5","")))))</f>
        <v>PADD 3</v>
      </c>
      <c r="G6485" s="6" t="str">
        <f>IF(AND($H6485="ATMOS DISTILLATION",ISNUMBER(SEARCH("VPS",$I6485))=FALSE,LEFT($I6485,6)&lt;&gt;"VACUUM"),"CDU",IF($H6485="FLUID CAT CRACKING","FCC",IF(OR($H6485="HYDROCRACKING",$H6485="RESID_HYDROCRACKING"),"Hydrocracker",IF($H6485="REFORMING","Reformer",""))))</f>
        <v>FCC</v>
      </c>
      <c r="H6485" s="6" t="s">
        <v>376</v>
      </c>
      <c r="I6485" s="6" t="s">
        <v>428</v>
      </c>
      <c r="J6485" s="6" t="s">
        <v>345</v>
      </c>
      <c r="K6485" s="10">
        <v>1.035</v>
      </c>
      <c r="L6485" s="10">
        <v>34.5</v>
      </c>
      <c r="M6485" s="6" t="s">
        <v>371</v>
      </c>
    </row>
    <row r="6486" spans="1:13">
      <c r="A6486" s="6">
        <v>2025</v>
      </c>
      <c r="B6486" s="6">
        <v>9</v>
      </c>
      <c r="C6486" s="6" t="s">
        <v>67</v>
      </c>
      <c r="D6486" s="6" t="s">
        <v>500</v>
      </c>
      <c r="E6486" s="6" t="s">
        <v>388</v>
      </c>
      <c r="F6486" s="6" t="str">
        <f>IF($M6486="PADD I","PADD 1",IF($M6486="PADD II","PADD 2",IF($M6486="PADD III","PADD 3",IF($M6486="PADD IV","PADD 4",IF($M6486="PADD V","PADD 5","")))))</f>
        <v>PADD 2</v>
      </c>
      <c r="G6486" s="6">
        <f>IF(AND($H6486="ATMOS DISTILLATION",ISNUMBER(SEARCH("VPS",$I6486))=FALSE,LEFT($I6486,6)&lt;&gt;"VACUUM"),"CDU",IF($H6486="FLUID CAT CRACKING","FCC",IF(OR($H6486="HYDROCRACKING",$H6486="RESID_HYDROCRACKING"),"Hydrocracker",IF($H6486="REFORMING","Reformer",""))))</f>
        <v/>
      </c>
      <c r="H6486" s="6" t="s">
        <v>460</v>
      </c>
      <c r="I6486" s="6" t="s">
        <v>616</v>
      </c>
      <c r="J6486" s="6" t="s">
        <v>349</v>
      </c>
      <c r="K6486" s="10">
        <v>1.02</v>
      </c>
      <c r="L6486" s="10">
        <v>6</v>
      </c>
      <c r="M6486" s="6" t="s">
        <v>375</v>
      </c>
    </row>
    <row r="6487" spans="1:13">
      <c r="A6487" s="6">
        <v>2025</v>
      </c>
      <c r="B6487" s="6">
        <v>9</v>
      </c>
      <c r="C6487" s="6" t="s">
        <v>67</v>
      </c>
      <c r="D6487" s="6" t="s">
        <v>639</v>
      </c>
      <c r="E6487" s="6" t="s">
        <v>452</v>
      </c>
      <c r="F6487" s="6" t="str">
        <f>IF($M6487="PADD I","PADD 1",IF($M6487="PADD II","PADD 2",IF($M6487="PADD III","PADD 3",IF($M6487="PADD IV","PADD 4",IF($M6487="PADD V","PADD 5","")))))</f>
        <v>PADD 5</v>
      </c>
      <c r="G6487" s="6">
        <f>IF(AND($H6487="ATMOS DISTILLATION",ISNUMBER(SEARCH("VPS",$I6487))=FALSE,LEFT($I6487,6)&lt;&gt;"VACUUM"),"CDU",IF($H6487="FLUID CAT CRACKING","FCC",IF(OR($H6487="HYDROCRACKING",$H6487="RESID_HYDROCRACKING"),"Hydrocracker",IF($H6487="REFORMING","Reformer",""))))</f>
        <v/>
      </c>
      <c r="H6487" s="6" t="s">
        <v>43</v>
      </c>
      <c r="I6487" s="6" t="s">
        <v>1333</v>
      </c>
      <c r="J6487" s="6" t="s">
        <v>349</v>
      </c>
      <c r="K6487" s="10">
        <v>0.99</v>
      </c>
      <c r="L6487" s="10">
        <v>33</v>
      </c>
      <c r="M6487" s="6" t="s">
        <v>386</v>
      </c>
    </row>
    <row r="6488" spans="1:13">
      <c r="A6488" s="6">
        <v>2025</v>
      </c>
      <c r="B6488" s="6">
        <v>9</v>
      </c>
      <c r="C6488" s="6" t="s">
        <v>67</v>
      </c>
      <c r="D6488" s="6" t="s">
        <v>628</v>
      </c>
      <c r="E6488" s="6" t="s">
        <v>388</v>
      </c>
      <c r="F6488" s="6" t="str">
        <f>IF($M6488="PADD I","PADD 1",IF($M6488="PADD II","PADD 2",IF($M6488="PADD III","PADD 3",IF($M6488="PADD IV","PADD 4",IF($M6488="PADD V","PADD 5","")))))</f>
        <v>PADD 3</v>
      </c>
      <c r="G6488" s="6">
        <f>IF(AND($H6488="ATMOS DISTILLATION",ISNUMBER(SEARCH("VPS",$I6488))=FALSE,LEFT($I6488,6)&lt;&gt;"VACUUM"),"CDU",IF($H6488="FLUID CAT CRACKING","FCC",IF(OR($H6488="HYDROCRACKING",$H6488="RESID_HYDROCRACKING"),"Hydrocracker",IF($H6488="REFORMING","Reformer",""))))</f>
        <v/>
      </c>
      <c r="H6488" s="6" t="s">
        <v>460</v>
      </c>
      <c r="I6488" s="6" t="s">
        <v>616</v>
      </c>
      <c r="J6488" s="6" t="s">
        <v>345</v>
      </c>
      <c r="K6488" s="10">
        <v>0.966</v>
      </c>
      <c r="L6488" s="10">
        <v>13.8</v>
      </c>
      <c r="M6488" s="6" t="s">
        <v>371</v>
      </c>
    </row>
    <row r="6489" spans="1:13">
      <c r="A6489" s="6">
        <v>2025</v>
      </c>
      <c r="B6489" s="6">
        <v>9</v>
      </c>
      <c r="C6489" s="6" t="s">
        <v>67</v>
      </c>
      <c r="D6489" s="6" t="s">
        <v>468</v>
      </c>
      <c r="E6489" s="6" t="s">
        <v>369</v>
      </c>
      <c r="F6489" s="6" t="str">
        <f>IF($M6489="PADD I","PADD 1",IF($M6489="PADD II","PADD 2",IF($M6489="PADD III","PADD 3",IF($M6489="PADD IV","PADD 4",IF($M6489="PADD V","PADD 5","")))))</f>
        <v>PADD 3</v>
      </c>
      <c r="G6489" s="6" t="str">
        <f>IF(AND($H6489="ATMOS DISTILLATION",ISNUMBER(SEARCH("VPS",$I6489))=FALSE,LEFT($I6489,6)&lt;&gt;"VACUUM"),"CDU",IF($H6489="FLUID CAT CRACKING","FCC",IF(OR($H6489="HYDROCRACKING",$H6489="RESID_HYDROCRACKING"),"Hydrocracker",IF($H6489="REFORMING","Reformer",""))))</f>
        <v>FCC</v>
      </c>
      <c r="H6489" s="6" t="s">
        <v>376</v>
      </c>
      <c r="I6489" s="6" t="s">
        <v>473</v>
      </c>
      <c r="J6489" s="6" t="s">
        <v>345</v>
      </c>
      <c r="K6489" s="10">
        <v>0.9</v>
      </c>
      <c r="L6489" s="10">
        <v>30</v>
      </c>
      <c r="M6489" s="6" t="s">
        <v>371</v>
      </c>
    </row>
    <row r="6490" spans="1:13">
      <c r="A6490" s="6">
        <v>2025</v>
      </c>
      <c r="B6490" s="6">
        <v>9</v>
      </c>
      <c r="C6490" s="6" t="s">
        <v>67</v>
      </c>
      <c r="D6490" s="6" t="s">
        <v>322</v>
      </c>
      <c r="E6490" s="6" t="s">
        <v>369</v>
      </c>
      <c r="F6490" s="6" t="str">
        <f>IF($M6490="PADD I","PADD 1",IF($M6490="PADD II","PADD 2",IF($M6490="PADD III","PADD 3",IF($M6490="PADD IV","PADD 4",IF($M6490="PADD V","PADD 5","")))))</f>
        <v>PADD 2</v>
      </c>
      <c r="G6490" s="6">
        <f>IF(AND($H6490="ATMOS DISTILLATION",ISNUMBER(SEARCH("VPS",$I6490))=FALSE,LEFT($I6490,6)&lt;&gt;"VACUUM"),"CDU",IF($H6490="FLUID CAT CRACKING","FCC",IF(OR($H6490="HYDROCRACKING",$H6490="RESID_HYDROCRACKING"),"Hydrocracker",IF($H6490="REFORMING","Reformer",""))))</f>
        <v/>
      </c>
      <c r="H6490" s="6" t="s">
        <v>378</v>
      </c>
      <c r="I6490" s="6" t="s">
        <v>1334</v>
      </c>
      <c r="J6490" s="6" t="s">
        <v>345</v>
      </c>
      <c r="K6490" s="10">
        <v>0.9</v>
      </c>
      <c r="L6490" s="10">
        <v>30</v>
      </c>
      <c r="M6490" s="6" t="s">
        <v>375</v>
      </c>
    </row>
    <row r="6491" spans="1:13">
      <c r="A6491" s="6">
        <v>2025</v>
      </c>
      <c r="B6491" s="6">
        <v>9</v>
      </c>
      <c r="C6491" s="6" t="s">
        <v>67</v>
      </c>
      <c r="D6491" s="6" t="s">
        <v>500</v>
      </c>
      <c r="E6491" s="6" t="s">
        <v>388</v>
      </c>
      <c r="F6491" s="6" t="str">
        <f>IF($M6491="PADD I","PADD 1",IF($M6491="PADD II","PADD 2",IF($M6491="PADD III","PADD 3",IF($M6491="PADD IV","PADD 4",IF($M6491="PADD V","PADD 5","")))))</f>
        <v>PADD 2</v>
      </c>
      <c r="G6491" s="6">
        <f>IF(AND($H6491="ATMOS DISTILLATION",ISNUMBER(SEARCH("VPS",$I6491))=FALSE,LEFT($I6491,6)&lt;&gt;"VACUUM"),"CDU",IF($H6491="FLUID CAT CRACKING","FCC",IF(OR($H6491="HYDROCRACKING",$H6491="RESID_HYDROCRACKING"),"Hydrocracker",IF($H6491="REFORMING","Reformer",""))))</f>
        <v/>
      </c>
      <c r="H6491" s="6" t="s">
        <v>460</v>
      </c>
      <c r="I6491" s="6" t="s">
        <v>616</v>
      </c>
      <c r="J6491" s="6" t="s">
        <v>345</v>
      </c>
      <c r="K6491" s="10">
        <v>0.78</v>
      </c>
      <c r="L6491" s="10">
        <v>6</v>
      </c>
      <c r="M6491" s="6" t="s">
        <v>375</v>
      </c>
    </row>
    <row r="6492" spans="1:13">
      <c r="A6492" s="6">
        <v>2025</v>
      </c>
      <c r="B6492" s="6">
        <v>9</v>
      </c>
      <c r="C6492" s="6" t="s">
        <v>67</v>
      </c>
      <c r="D6492" s="6" t="s">
        <v>468</v>
      </c>
      <c r="E6492" s="6" t="s">
        <v>369</v>
      </c>
      <c r="F6492" s="6" t="str">
        <f>IF($M6492="PADD I","PADD 1",IF($M6492="PADD II","PADD 2",IF($M6492="PADD III","PADD 3",IF($M6492="PADD IV","PADD 4",IF($M6492="PADD V","PADD 5","")))))</f>
        <v>PADD 3</v>
      </c>
      <c r="G6492" s="6" t="str">
        <f>IF(AND($H6492="ATMOS DISTILLATION",ISNUMBER(SEARCH("VPS",$I6492))=FALSE,LEFT($I6492,6)&lt;&gt;"VACUUM"),"CDU",IF($H6492="FLUID CAT CRACKING","FCC",IF(OR($H6492="HYDROCRACKING",$H6492="RESID_HYDROCRACKING"),"Hydrocracker",IF($H6492="REFORMING","Reformer",""))))</f>
        <v>Reformer</v>
      </c>
      <c r="H6492" s="6" t="s">
        <v>421</v>
      </c>
      <c r="I6492" s="6" t="s">
        <v>635</v>
      </c>
      <c r="J6492" s="6" t="s">
        <v>345</v>
      </c>
      <c r="K6492" s="10">
        <v>0.7</v>
      </c>
      <c r="L6492" s="10">
        <v>7</v>
      </c>
      <c r="M6492" s="6" t="s">
        <v>371</v>
      </c>
    </row>
    <row r="6493" spans="1:13">
      <c r="A6493" s="6">
        <v>2025</v>
      </c>
      <c r="B6493" s="6">
        <v>9</v>
      </c>
      <c r="C6493" s="6" t="s">
        <v>67</v>
      </c>
      <c r="D6493" s="6" t="s">
        <v>1032</v>
      </c>
      <c r="E6493" s="6" t="s">
        <v>1033</v>
      </c>
      <c r="F6493" s="6" t="str">
        <f>IF($M6493="PADD I","PADD 1",IF($M6493="PADD II","PADD 2",IF($M6493="PADD III","PADD 3",IF($M6493="PADD IV","PADD 4",IF($M6493="PADD V","PADD 5","")))))</f>
        <v>PADD 5</v>
      </c>
      <c r="G6493" s="6">
        <f>IF(AND($H6493="ATMOS DISTILLATION",ISNUMBER(SEARCH("VPS",$I6493))=FALSE,LEFT($I6493,6)&lt;&gt;"VACUUM"),"CDU",IF($H6493="FLUID CAT CRACKING","FCC",IF(OR($H6493="HYDROCRACKING",$H6493="RESID_HYDROCRACKING"),"Hydrocracker",IF($H6493="REFORMING","Reformer",""))))</f>
        <v/>
      </c>
      <c r="H6493" s="6" t="s">
        <v>378</v>
      </c>
      <c r="I6493" s="6" t="s">
        <v>1034</v>
      </c>
      <c r="J6493" s="6" t="s">
        <v>345</v>
      </c>
      <c r="K6493" s="10">
        <v>0.6</v>
      </c>
      <c r="L6493" s="10">
        <v>2</v>
      </c>
      <c r="M6493" s="6" t="s">
        <v>386</v>
      </c>
    </row>
    <row r="6494" spans="1:13">
      <c r="A6494" s="6">
        <v>2025</v>
      </c>
      <c r="B6494" s="6">
        <v>9</v>
      </c>
      <c r="C6494" s="6" t="s">
        <v>67</v>
      </c>
      <c r="D6494" s="6" t="s">
        <v>799</v>
      </c>
      <c r="E6494" s="6" t="s">
        <v>391</v>
      </c>
      <c r="F6494" s="6" t="str">
        <f>IF($M6494="PADD I","PADD 1",IF($M6494="PADD II","PADD 2",IF($M6494="PADD III","PADD 3",IF($M6494="PADD IV","PADD 4",IF($M6494="PADD V","PADD 5","")))))</f>
        <v>PADD 4</v>
      </c>
      <c r="G6494" s="6">
        <f>IF(AND($H6494="ATMOS DISTILLATION",ISNUMBER(SEARCH("VPS",$I6494))=FALSE,LEFT($I6494,6)&lt;&gt;"VACUUM"),"CDU",IF($H6494="FLUID CAT CRACKING","FCC",IF(OR($H6494="HYDROCRACKING",$H6494="RESID_HYDROCRACKING"),"Hydrocracker",IF($H6494="REFORMING","Reformer",""))))</f>
        <v/>
      </c>
      <c r="H6494" s="6" t="s">
        <v>460</v>
      </c>
      <c r="I6494" s="6" t="s">
        <v>908</v>
      </c>
      <c r="J6494" s="6" t="s">
        <v>345</v>
      </c>
      <c r="K6494" s="10">
        <v>0.5600000000000001</v>
      </c>
      <c r="L6494" s="10">
        <v>5.6</v>
      </c>
      <c r="M6494" s="6" t="s">
        <v>430</v>
      </c>
    </row>
    <row r="6495" spans="1:13">
      <c r="A6495" s="6">
        <v>2025</v>
      </c>
      <c r="B6495" s="6">
        <v>9</v>
      </c>
      <c r="C6495" s="6" t="s">
        <v>67</v>
      </c>
      <c r="D6495" s="6" t="s">
        <v>322</v>
      </c>
      <c r="E6495" s="6" t="s">
        <v>369</v>
      </c>
      <c r="F6495" s="6" t="str">
        <f>IF($M6495="PADD I","PADD 1",IF($M6495="PADD II","PADD 2",IF($M6495="PADD III","PADD 3",IF($M6495="PADD IV","PADD 4",IF($M6495="PADD V","PADD 5","")))))</f>
        <v>PADD 2</v>
      </c>
      <c r="G6495" s="6" t="str">
        <f>IF(AND($H6495="ATMOS DISTILLATION",ISNUMBER(SEARCH("VPS",$I6495))=FALSE,LEFT($I6495,6)&lt;&gt;"VACUUM"),"CDU",IF($H6495="FLUID CAT CRACKING","FCC",IF(OR($H6495="HYDROCRACKING",$H6495="RESID_HYDROCRACKING"),"Hydrocracker",IF($H6495="REFORMING","Reformer",""))))</f>
        <v>Reformer</v>
      </c>
      <c r="H6495" s="6" t="s">
        <v>421</v>
      </c>
      <c r="I6495" s="6" t="s">
        <v>706</v>
      </c>
      <c r="J6495" s="6" t="s">
        <v>345</v>
      </c>
      <c r="K6495" s="10">
        <v>0.555</v>
      </c>
      <c r="L6495" s="10">
        <v>18.5</v>
      </c>
      <c r="M6495" s="6" t="s">
        <v>375</v>
      </c>
    </row>
    <row r="6496" spans="1:13">
      <c r="A6496" s="6">
        <v>2025</v>
      </c>
      <c r="B6496" s="6">
        <v>9</v>
      </c>
      <c r="C6496" s="6" t="s">
        <v>67</v>
      </c>
      <c r="D6496" s="6" t="s">
        <v>326</v>
      </c>
      <c r="E6496" s="6" t="s">
        <v>385</v>
      </c>
      <c r="F6496" s="6" t="str">
        <f>IF($M6496="PADD I","PADD 1",IF($M6496="PADD II","PADD 2",IF($M6496="PADD III","PADD 3",IF($M6496="PADD IV","PADD 4",IF($M6496="PADD V","PADD 5","")))))</f>
        <v>PADD 5</v>
      </c>
      <c r="G6496" s="6">
        <f>IF(AND($H6496="ATMOS DISTILLATION",ISNUMBER(SEARCH("VPS",$I6496))=FALSE,LEFT($I6496,6)&lt;&gt;"VACUUM"),"CDU",IF($H6496="FLUID CAT CRACKING","FCC",IF(OR($H6496="HYDROCRACKING",$H6496="RESID_HYDROCRACKING"),"Hydrocracker",IF($H6496="REFORMING","Reformer",""))))</f>
        <v/>
      </c>
      <c r="H6496" s="6" t="s">
        <v>568</v>
      </c>
      <c r="I6496" s="6" t="s">
        <v>604</v>
      </c>
      <c r="J6496" s="6" t="s">
        <v>345</v>
      </c>
      <c r="K6496" s="10">
        <v>0.53</v>
      </c>
      <c r="L6496" s="10">
        <v>0.53</v>
      </c>
      <c r="M6496" s="6" t="s">
        <v>386</v>
      </c>
    </row>
    <row r="6497" spans="1:13">
      <c r="A6497" s="6">
        <v>2025</v>
      </c>
      <c r="B6497" s="6">
        <v>9</v>
      </c>
      <c r="C6497" s="6" t="s">
        <v>67</v>
      </c>
      <c r="D6497" s="6" t="s">
        <v>639</v>
      </c>
      <c r="E6497" s="6" t="s">
        <v>452</v>
      </c>
      <c r="F6497" s="6" t="str">
        <f>IF($M6497="PADD I","PADD 1",IF($M6497="PADD II","PADD 2",IF($M6497="PADD III","PADD 3",IF($M6497="PADD IV","PADD 4",IF($M6497="PADD V","PADD 5","")))))</f>
        <v>PADD 5</v>
      </c>
      <c r="G6497" s="6" t="str">
        <f>IF(AND($H6497="ATMOS DISTILLATION",ISNUMBER(SEARCH("VPS",$I6497))=FALSE,LEFT($I6497,6)&lt;&gt;"VACUUM"),"CDU",IF($H6497="FLUID CAT CRACKING","FCC",IF(OR($H6497="HYDROCRACKING",$H6497="RESID_HYDROCRACKING"),"Hydrocracker",IF($H6497="REFORMING","Reformer",""))))</f>
        <v>Reformer</v>
      </c>
      <c r="H6497" s="6" t="s">
        <v>421</v>
      </c>
      <c r="I6497" s="6" t="s">
        <v>906</v>
      </c>
      <c r="J6497" s="6" t="s">
        <v>349</v>
      </c>
      <c r="K6497" s="10">
        <v>0.51</v>
      </c>
      <c r="L6497" s="10">
        <v>17</v>
      </c>
      <c r="M6497" s="6" t="s">
        <v>386</v>
      </c>
    </row>
    <row r="6498" spans="1:13">
      <c r="A6498" s="6">
        <v>2025</v>
      </c>
      <c r="B6498" s="6">
        <v>9</v>
      </c>
      <c r="C6498" s="6" t="s">
        <v>67</v>
      </c>
      <c r="D6498" s="6" t="s">
        <v>756</v>
      </c>
      <c r="E6498" s="6" t="s">
        <v>757</v>
      </c>
      <c r="F6498" s="6" t="str">
        <f>IF($M6498="PADD I","PADD 1",IF($M6498="PADD II","PADD 2",IF($M6498="PADD III","PADD 3",IF($M6498="PADD IV","PADD 4",IF($M6498="PADD V","PADD 5","")))))</f>
        <v>PADD 3</v>
      </c>
      <c r="G6498" s="6" t="str">
        <f>IF(AND($H6498="ATMOS DISTILLATION",ISNUMBER(SEARCH("VPS",$I6498))=FALSE,LEFT($I6498,6)&lt;&gt;"VACUUM"),"CDU",IF($H6498="FLUID CAT CRACKING","FCC",IF(OR($H6498="HYDROCRACKING",$H6498="RESID_HYDROCRACKING"),"Hydrocracker",IF($H6498="REFORMING","Reformer",""))))</f>
        <v>CDU</v>
      </c>
      <c r="H6498" s="6" t="s">
        <v>38</v>
      </c>
      <c r="I6498" s="6" t="s">
        <v>81</v>
      </c>
      <c r="J6498" s="6" t="s">
        <v>345</v>
      </c>
      <c r="K6498" s="10">
        <v>0.45</v>
      </c>
      <c r="L6498" s="10">
        <v>15</v>
      </c>
      <c r="M6498" s="6" t="s">
        <v>371</v>
      </c>
    </row>
    <row r="6499" spans="1:13">
      <c r="A6499" s="6">
        <v>2025</v>
      </c>
      <c r="B6499" s="6">
        <v>9</v>
      </c>
      <c r="C6499" s="6" t="s">
        <v>67</v>
      </c>
      <c r="D6499" s="6" t="s">
        <v>756</v>
      </c>
      <c r="E6499" s="6" t="s">
        <v>757</v>
      </c>
      <c r="F6499" s="6" t="str">
        <f>IF($M6499="PADD I","PADD 1",IF($M6499="PADD II","PADD 2",IF($M6499="PADD III","PADD 3",IF($M6499="PADD IV","PADD 4",IF($M6499="PADD V","PADD 5","")))))</f>
        <v>PADD 3</v>
      </c>
      <c r="G6499" s="6" t="str">
        <f>IF(AND($H6499="ATMOS DISTILLATION",ISNUMBER(SEARCH("VPS",$I6499))=FALSE,LEFT($I6499,6)&lt;&gt;"VACUUM"),"CDU",IF($H6499="FLUID CAT CRACKING","FCC",IF(OR($H6499="HYDROCRACKING",$H6499="RESID_HYDROCRACKING"),"Hydrocracker",IF($H6499="REFORMING","Reformer",""))))</f>
        <v>CDU</v>
      </c>
      <c r="H6499" s="6" t="s">
        <v>38</v>
      </c>
      <c r="I6499" s="6" t="s">
        <v>81</v>
      </c>
      <c r="J6499" s="6" t="s">
        <v>345</v>
      </c>
      <c r="K6499" s="10">
        <v>0.45</v>
      </c>
      <c r="L6499" s="10">
        <v>15</v>
      </c>
      <c r="M6499" s="6" t="s">
        <v>371</v>
      </c>
    </row>
    <row r="6500" spans="1:13">
      <c r="A6500" s="6">
        <v>2025</v>
      </c>
      <c r="B6500" s="6">
        <v>9</v>
      </c>
      <c r="C6500" s="6" t="s">
        <v>67</v>
      </c>
      <c r="D6500" s="6" t="s">
        <v>762</v>
      </c>
      <c r="E6500" s="6" t="s">
        <v>763</v>
      </c>
      <c r="F6500" s="6" t="str">
        <f>IF($M6500="PADD I","PADD 1",IF($M6500="PADD II","PADD 2",IF($M6500="PADD III","PADD 3",IF($M6500="PADD IV","PADD 4",IF($M6500="PADD V","PADD 5","")))))</f>
        <v>PADD 2</v>
      </c>
      <c r="G6500" s="6">
        <f>IF(AND($H6500="ATMOS DISTILLATION",ISNUMBER(SEARCH("VPS",$I6500))=FALSE,LEFT($I6500,6)&lt;&gt;"VACUUM"),"CDU",IF($H6500="FLUID CAT CRACKING","FCC",IF(OR($H6500="HYDROCRACKING",$H6500="RESID_HYDROCRACKING"),"Hydrocracker",IF($H6500="REFORMING","Reformer",""))))</f>
        <v/>
      </c>
      <c r="H6500" s="6" t="s">
        <v>43</v>
      </c>
      <c r="I6500" s="6" t="s">
        <v>458</v>
      </c>
      <c r="J6500" s="6" t="s">
        <v>345</v>
      </c>
      <c r="K6500" s="10">
        <v>0.39</v>
      </c>
      <c r="L6500" s="10">
        <v>13</v>
      </c>
      <c r="M6500" s="6" t="s">
        <v>375</v>
      </c>
    </row>
    <row r="6501" spans="1:13">
      <c r="A6501" s="6">
        <v>2025</v>
      </c>
      <c r="B6501" s="6">
        <v>9</v>
      </c>
      <c r="C6501" s="6" t="s">
        <v>67</v>
      </c>
      <c r="D6501" s="6" t="s">
        <v>639</v>
      </c>
      <c r="E6501" s="6" t="s">
        <v>452</v>
      </c>
      <c r="F6501" s="6" t="str">
        <f>IF($M6501="PADD I","PADD 1",IF($M6501="PADD II","PADD 2",IF($M6501="PADD III","PADD 3",IF($M6501="PADD IV","PADD 4",IF($M6501="PADD V","PADD 5","")))))</f>
        <v>PADD 5</v>
      </c>
      <c r="G6501" s="6">
        <f>IF(AND($H6501="ATMOS DISTILLATION",ISNUMBER(SEARCH("VPS",$I6501))=FALSE,LEFT($I6501,6)&lt;&gt;"VACUUM"),"CDU",IF($H6501="FLUID CAT CRACKING","FCC",IF(OR($H6501="HYDROCRACKING",$H6501="RESID_HYDROCRACKING"),"Hydrocracker",IF($H6501="REFORMING","Reformer",""))))</f>
        <v/>
      </c>
      <c r="H6501" s="6" t="s">
        <v>568</v>
      </c>
      <c r="I6501" s="6" t="s">
        <v>713</v>
      </c>
      <c r="J6501" s="6" t="s">
        <v>349</v>
      </c>
      <c r="K6501" s="10">
        <v>0.36</v>
      </c>
      <c r="L6501" s="10">
        <v>12</v>
      </c>
      <c r="M6501" s="6" t="s">
        <v>386</v>
      </c>
    </row>
    <row r="6502" spans="1:13">
      <c r="A6502" s="6">
        <v>2025</v>
      </c>
      <c r="B6502" s="6">
        <v>9</v>
      </c>
      <c r="C6502" s="6" t="s">
        <v>67</v>
      </c>
      <c r="D6502" s="6" t="s">
        <v>468</v>
      </c>
      <c r="E6502" s="6" t="s">
        <v>369</v>
      </c>
      <c r="F6502" s="6" t="str">
        <f>IF($M6502="PADD I","PADD 1",IF($M6502="PADD II","PADD 2",IF($M6502="PADD III","PADD 3",IF($M6502="PADD IV","PADD 4",IF($M6502="PADD V","PADD 5","")))))</f>
        <v>PADD 3</v>
      </c>
      <c r="G6502" s="6" t="str">
        <f>IF(AND($H6502="ATMOS DISTILLATION",ISNUMBER(SEARCH("VPS",$I6502))=FALSE,LEFT($I6502,6)&lt;&gt;"VACUUM"),"CDU",IF($H6502="FLUID CAT CRACKING","FCC",IF(OR($H6502="HYDROCRACKING",$H6502="RESID_HYDROCRACKING"),"Hydrocracker",IF($H6502="REFORMING","Reformer",""))))</f>
        <v>Reformer</v>
      </c>
      <c r="H6502" s="6" t="s">
        <v>421</v>
      </c>
      <c r="I6502" s="6" t="s">
        <v>635</v>
      </c>
      <c r="J6502" s="6" t="s">
        <v>345</v>
      </c>
      <c r="K6502" s="10">
        <v>0.21</v>
      </c>
      <c r="L6502" s="10">
        <v>7</v>
      </c>
      <c r="M6502" s="6" t="s">
        <v>371</v>
      </c>
    </row>
    <row r="6503" spans="1:13">
      <c r="A6503" s="6">
        <v>2025</v>
      </c>
      <c r="B6503" s="6">
        <v>10</v>
      </c>
      <c r="C6503" s="6" t="s">
        <v>68</v>
      </c>
      <c r="D6503" s="6" t="s">
        <v>395</v>
      </c>
      <c r="E6503" s="6" t="s">
        <v>396</v>
      </c>
      <c r="F6503" s="6" t="str">
        <f>IF($M6503="PADD I","PADD 1",IF($M6503="PADD II","PADD 2",IF($M6503="PADD III","PADD 3",IF($M6503="PADD IV","PADD 4",IF($M6503="PADD V","PADD 5","")))))</f>
        <v>PADD 3</v>
      </c>
      <c r="G6503" s="6" t="str">
        <f>IF(AND($H6503="ATMOS DISTILLATION",ISNUMBER(SEARCH("VPS",$I6503))=FALSE,LEFT($I6503,6)&lt;&gt;"VACUUM"),"CDU",IF($H6503="FLUID CAT CRACKING","FCC",IF(OR($H6503="HYDROCRACKING",$H6503="RESID_HYDROCRACKING"),"Hydrocracker",IF($H6503="REFORMING","Reformer",""))))</f>
        <v>CDU</v>
      </c>
      <c r="H6503" s="6" t="s">
        <v>38</v>
      </c>
      <c r="I6503" s="6" t="s">
        <v>397</v>
      </c>
      <c r="J6503" s="6" t="s">
        <v>349</v>
      </c>
      <c r="K6503" s="10">
        <v>243</v>
      </c>
      <c r="L6503" s="10">
        <v>270</v>
      </c>
      <c r="M6503" s="6" t="s">
        <v>371</v>
      </c>
    </row>
    <row r="6504" spans="1:13">
      <c r="A6504" s="6">
        <v>2025</v>
      </c>
      <c r="B6504" s="6">
        <v>10</v>
      </c>
      <c r="C6504" s="6" t="s">
        <v>68</v>
      </c>
      <c r="D6504" s="6" t="s">
        <v>612</v>
      </c>
      <c r="E6504" s="6" t="s">
        <v>416</v>
      </c>
      <c r="F6504" s="6" t="str">
        <f>IF($M6504="PADD I","PADD 1",IF($M6504="PADD II","PADD 2",IF($M6504="PADD III","PADD 3",IF($M6504="PADD IV","PADD 4",IF($M6504="PADD V","PADD 5","")))))</f>
        <v>PADD 3</v>
      </c>
      <c r="G6504" s="6" t="str">
        <f>IF(AND($H6504="ATMOS DISTILLATION",ISNUMBER(SEARCH("VPS",$I6504))=FALSE,LEFT($I6504,6)&lt;&gt;"VACUUM"),"CDU",IF($H6504="FLUID CAT CRACKING","FCC",IF(OR($H6504="HYDROCRACKING",$H6504="RESID_HYDROCRACKING"),"Hydrocracker",IF($H6504="REFORMING","Reformer",""))))</f>
        <v>CDU</v>
      </c>
      <c r="H6504" s="6" t="s">
        <v>38</v>
      </c>
      <c r="I6504" s="6" t="s">
        <v>81</v>
      </c>
      <c r="J6504" s="6" t="s">
        <v>349</v>
      </c>
      <c r="K6504" s="10">
        <v>165</v>
      </c>
      <c r="L6504" s="10">
        <v>165</v>
      </c>
      <c r="M6504" s="6" t="s">
        <v>371</v>
      </c>
    </row>
    <row r="6505" spans="1:13">
      <c r="A6505" s="6">
        <v>2025</v>
      </c>
      <c r="B6505" s="6">
        <v>10</v>
      </c>
      <c r="C6505" s="6" t="s">
        <v>68</v>
      </c>
      <c r="D6505" s="6" t="s">
        <v>408</v>
      </c>
      <c r="E6505" s="6" t="s">
        <v>409</v>
      </c>
      <c r="F6505" s="6" t="str">
        <f>IF($M6505="PADD I","PADD 1",IF($M6505="PADD II","PADD 2",IF($M6505="PADD III","PADD 3",IF($M6505="PADD IV","PADD 4",IF($M6505="PADD V","PADD 5","")))))</f>
        <v>PADD 3</v>
      </c>
      <c r="G6505" s="6" t="str">
        <f>IF(AND($H6505="ATMOS DISTILLATION",ISNUMBER(SEARCH("VPS",$I6505))=FALSE,LEFT($I6505,6)&lt;&gt;"VACUUM"),"CDU",IF($H6505="FLUID CAT CRACKING","FCC",IF(OR($H6505="HYDROCRACKING",$H6505="RESID_HYDROCRACKING"),"Hydrocracker",IF($H6505="REFORMING","Reformer",""))))</f>
        <v>CDU</v>
      </c>
      <c r="H6505" s="6" t="s">
        <v>38</v>
      </c>
      <c r="I6505" s="6" t="s">
        <v>410</v>
      </c>
      <c r="J6505" s="6" t="s">
        <v>349</v>
      </c>
      <c r="K6505" s="10">
        <v>150</v>
      </c>
      <c r="L6505" s="10">
        <v>150</v>
      </c>
      <c r="M6505" s="6" t="s">
        <v>371</v>
      </c>
    </row>
    <row r="6506" spans="1:13">
      <c r="A6506" s="6">
        <v>2025</v>
      </c>
      <c r="B6506" s="6">
        <v>10</v>
      </c>
      <c r="C6506" s="6" t="s">
        <v>68</v>
      </c>
      <c r="D6506" s="6" t="s">
        <v>324</v>
      </c>
      <c r="E6506" s="6" t="s">
        <v>388</v>
      </c>
      <c r="F6506" s="6" t="str">
        <f>IF($M6506="PADD I","PADD 1",IF($M6506="PADD II","PADD 2",IF($M6506="PADD III","PADD 3",IF($M6506="PADD IV","PADD 4",IF($M6506="PADD V","PADD 5","")))))</f>
        <v>PADD 3</v>
      </c>
      <c r="G6506" s="6" t="str">
        <f>IF(AND($H6506="ATMOS DISTILLATION",ISNUMBER(SEARCH("VPS",$I6506))=FALSE,LEFT($I6506,6)&lt;&gt;"VACUUM"),"CDU",IF($H6506="FLUID CAT CRACKING","FCC",IF(OR($H6506="HYDROCRACKING",$H6506="RESID_HYDROCRACKING"),"Hydrocracker",IF($H6506="REFORMING","Reformer",""))))</f>
        <v>CDU</v>
      </c>
      <c r="H6506" s="6" t="s">
        <v>38</v>
      </c>
      <c r="I6506" s="6" t="s">
        <v>96</v>
      </c>
      <c r="J6506" s="6" t="s">
        <v>349</v>
      </c>
      <c r="K6506" s="10">
        <v>121.8</v>
      </c>
      <c r="L6506" s="10">
        <v>145</v>
      </c>
      <c r="M6506" s="6" t="s">
        <v>371</v>
      </c>
    </row>
    <row r="6507" spans="1:13">
      <c r="A6507" s="6">
        <v>2025</v>
      </c>
      <c r="B6507" s="6">
        <v>10</v>
      </c>
      <c r="C6507" s="6" t="s">
        <v>68</v>
      </c>
      <c r="D6507" s="6" t="s">
        <v>457</v>
      </c>
      <c r="E6507" s="6" t="s">
        <v>388</v>
      </c>
      <c r="F6507" s="6" t="str">
        <f>IF($M6507="PADD I","PADD 1",IF($M6507="PADD II","PADD 2",IF($M6507="PADD III","PADD 3",IF($M6507="PADD IV","PADD 4",IF($M6507="PADD V","PADD 5","")))))</f>
        <v>PADD 5</v>
      </c>
      <c r="G6507" s="6">
        <f>IF(AND($H6507="ATMOS DISTILLATION",ISNUMBER(SEARCH("VPS",$I6507))=FALSE,LEFT($I6507,6)&lt;&gt;"VACUUM"),"CDU",IF($H6507="FLUID CAT CRACKING","FCC",IF(OR($H6507="HYDROCRACKING",$H6507="RESID_HYDROCRACKING"),"Hydrocracker",IF($H6507="REFORMING","Reformer",""))))</f>
        <v/>
      </c>
      <c r="H6507" s="6" t="s">
        <v>43</v>
      </c>
      <c r="I6507" s="6" t="s">
        <v>1073</v>
      </c>
      <c r="J6507" s="6" t="s">
        <v>349</v>
      </c>
      <c r="K6507" s="10">
        <v>105</v>
      </c>
      <c r="L6507" s="10">
        <v>105</v>
      </c>
      <c r="M6507" s="6" t="s">
        <v>386</v>
      </c>
    </row>
    <row r="6508" spans="1:13">
      <c r="A6508" s="6">
        <v>2025</v>
      </c>
      <c r="B6508" s="6">
        <v>10</v>
      </c>
      <c r="C6508" s="6" t="s">
        <v>68</v>
      </c>
      <c r="D6508" s="6" t="s">
        <v>670</v>
      </c>
      <c r="E6508" s="6" t="s">
        <v>405</v>
      </c>
      <c r="F6508" s="6" t="str">
        <f>IF($M6508="PADD I","PADD 1",IF($M6508="PADD II","PADD 2",IF($M6508="PADD III","PADD 3",IF($M6508="PADD IV","PADD 4",IF($M6508="PADD V","PADD 5","")))))</f>
        <v>PADD 2</v>
      </c>
      <c r="G6508" s="6" t="str">
        <f>IF(AND($H6508="ATMOS DISTILLATION",ISNUMBER(SEARCH("VPS",$I6508))=FALSE,LEFT($I6508,6)&lt;&gt;"VACUUM"),"CDU",IF($H6508="FLUID CAT CRACKING","FCC",IF(OR($H6508="HYDROCRACKING",$H6508="RESID_HYDROCRACKING"),"Hydrocracker",IF($H6508="REFORMING","Reformer",""))))</f>
        <v>CDU</v>
      </c>
      <c r="H6508" s="6" t="s">
        <v>38</v>
      </c>
      <c r="I6508" s="6" t="s">
        <v>107</v>
      </c>
      <c r="J6508" s="6" t="s">
        <v>345</v>
      </c>
      <c r="K6508" s="10">
        <v>105</v>
      </c>
      <c r="L6508" s="10">
        <v>105</v>
      </c>
      <c r="M6508" s="6" t="s">
        <v>375</v>
      </c>
    </row>
    <row r="6509" spans="1:13">
      <c r="A6509" s="6">
        <v>2025</v>
      </c>
      <c r="B6509" s="6">
        <v>10</v>
      </c>
      <c r="C6509" s="6" t="s">
        <v>68</v>
      </c>
      <c r="D6509" s="6" t="s">
        <v>457</v>
      </c>
      <c r="E6509" s="6" t="s">
        <v>388</v>
      </c>
      <c r="F6509" s="6" t="str">
        <f>IF($M6509="PADD I","PADD 1",IF($M6509="PADD II","PADD 2",IF($M6509="PADD III","PADD 3",IF($M6509="PADD IV","PADD 4",IF($M6509="PADD V","PADD 5","")))))</f>
        <v>PADD 5</v>
      </c>
      <c r="G6509" s="6" t="str">
        <f>IF(AND($H6509="ATMOS DISTILLATION",ISNUMBER(SEARCH("VPS",$I6509))=FALSE,LEFT($I6509,6)&lt;&gt;"VACUUM"),"CDU",IF($H6509="FLUID CAT CRACKING","FCC",IF(OR($H6509="HYDROCRACKING",$H6509="RESID_HYDROCRACKING"),"Hydrocracker",IF($H6509="REFORMING","Reformer",""))))</f>
        <v>FCC</v>
      </c>
      <c r="H6509" s="6" t="s">
        <v>376</v>
      </c>
      <c r="I6509" s="6" t="s">
        <v>105</v>
      </c>
      <c r="J6509" s="6" t="s">
        <v>349</v>
      </c>
      <c r="K6509" s="10">
        <v>104</v>
      </c>
      <c r="L6509" s="10">
        <v>104</v>
      </c>
      <c r="M6509" s="6" t="s">
        <v>386</v>
      </c>
    </row>
    <row r="6510" spans="1:13">
      <c r="A6510" s="6">
        <v>2025</v>
      </c>
      <c r="B6510" s="6">
        <v>10</v>
      </c>
      <c r="C6510" s="6" t="s">
        <v>68</v>
      </c>
      <c r="D6510" s="6" t="s">
        <v>395</v>
      </c>
      <c r="E6510" s="6" t="s">
        <v>396</v>
      </c>
      <c r="F6510" s="6" t="str">
        <f>IF($M6510="PADD I","PADD 1",IF($M6510="PADD II","PADD 2",IF($M6510="PADD III","PADD 3",IF($M6510="PADD IV","PADD 4",IF($M6510="PADD V","PADD 5","")))))</f>
        <v>PADD 3</v>
      </c>
      <c r="G6510" s="6">
        <f>IF(AND($H6510="ATMOS DISTILLATION",ISNUMBER(SEARCH("VPS",$I6510))=FALSE,LEFT($I6510,6)&lt;&gt;"VACUUM"),"CDU",IF($H6510="FLUID CAT CRACKING","FCC",IF(OR($H6510="HYDROCRACKING",$H6510="RESID_HYDROCRACKING"),"Hydrocracker",IF($H6510="REFORMING","Reformer",""))))</f>
        <v/>
      </c>
      <c r="H6510" s="6" t="s">
        <v>378</v>
      </c>
      <c r="I6510" s="6" t="s">
        <v>474</v>
      </c>
      <c r="J6510" s="6" t="s">
        <v>349</v>
      </c>
      <c r="K6510" s="10">
        <v>103.5</v>
      </c>
      <c r="L6510" s="10">
        <v>115</v>
      </c>
      <c r="M6510" s="6" t="s">
        <v>371</v>
      </c>
    </row>
    <row r="6511" spans="1:13">
      <c r="A6511" s="6">
        <v>2025</v>
      </c>
      <c r="B6511" s="6">
        <v>10</v>
      </c>
      <c r="C6511" s="6" t="s">
        <v>68</v>
      </c>
      <c r="D6511" s="6" t="s">
        <v>542</v>
      </c>
      <c r="E6511" s="6" t="s">
        <v>543</v>
      </c>
      <c r="F6511" s="6" t="str">
        <f>IF($M6511="PADD I","PADD 1",IF($M6511="PADD II","PADD 2",IF($M6511="PADD III","PADD 3",IF($M6511="PADD IV","PADD 4",IF($M6511="PADD V","PADD 5","")))))</f>
        <v>PADD 2</v>
      </c>
      <c r="G6511" s="6" t="str">
        <f>IF(AND($H6511="ATMOS DISTILLATION",ISNUMBER(SEARCH("VPS",$I6511))=FALSE,LEFT($I6511,6)&lt;&gt;"VACUUM"),"CDU",IF($H6511="FLUID CAT CRACKING","FCC",IF(OR($H6511="HYDROCRACKING",$H6511="RESID_HYDROCRACKING"),"Hydrocracker",IF($H6511="REFORMING","Reformer",""))))</f>
        <v>CDU</v>
      </c>
      <c r="H6511" s="6" t="s">
        <v>38</v>
      </c>
      <c r="I6511" s="6" t="s">
        <v>874</v>
      </c>
      <c r="J6511" s="6" t="s">
        <v>345</v>
      </c>
      <c r="K6511" s="10">
        <v>97.5</v>
      </c>
      <c r="L6511" s="10">
        <v>250</v>
      </c>
      <c r="M6511" s="6" t="s">
        <v>375</v>
      </c>
    </row>
    <row r="6512" spans="1:13">
      <c r="A6512" s="6">
        <v>2025</v>
      </c>
      <c r="B6512" s="6">
        <v>10</v>
      </c>
      <c r="C6512" s="6" t="s">
        <v>68</v>
      </c>
      <c r="D6512" s="6" t="s">
        <v>1038</v>
      </c>
      <c r="E6512" s="6" t="s">
        <v>1039</v>
      </c>
      <c r="F6512" s="6" t="str">
        <f>IF($M6512="PADD I","PADD 1",IF($M6512="PADD II","PADD 2",IF($M6512="PADD III","PADD 3",IF($M6512="PADD IV","PADD 4",IF($M6512="PADD V","PADD 5","")))))</f>
        <v>PADD 2</v>
      </c>
      <c r="G6512" s="6" t="str">
        <f>IF(AND($H6512="ATMOS DISTILLATION",ISNUMBER(SEARCH("VPS",$I6512))=FALSE,LEFT($I6512,6)&lt;&gt;"VACUUM"),"CDU",IF($H6512="FLUID CAT CRACKING","FCC",IF(OR($H6512="HYDROCRACKING",$H6512="RESID_HYDROCRACKING"),"Hydrocracker",IF($H6512="REFORMING","Reformer",""))))</f>
        <v>CDU</v>
      </c>
      <c r="H6512" s="6" t="s">
        <v>38</v>
      </c>
      <c r="I6512" s="6" t="s">
        <v>1040</v>
      </c>
      <c r="J6512" s="6" t="s">
        <v>349</v>
      </c>
      <c r="K6512" s="10">
        <v>95</v>
      </c>
      <c r="L6512" s="10">
        <v>95</v>
      </c>
      <c r="M6512" s="6" t="s">
        <v>375</v>
      </c>
    </row>
    <row r="6513" spans="1:13">
      <c r="A6513" s="6">
        <v>2025</v>
      </c>
      <c r="B6513" s="6">
        <v>10</v>
      </c>
      <c r="C6513" s="6" t="s">
        <v>68</v>
      </c>
      <c r="D6513" s="6" t="s">
        <v>542</v>
      </c>
      <c r="E6513" s="6" t="s">
        <v>543</v>
      </c>
      <c r="F6513" s="6" t="str">
        <f>IF($M6513="PADD I","PADD 1",IF($M6513="PADD II","PADD 2",IF($M6513="PADD III","PADD 3",IF($M6513="PADD IV","PADD 4",IF($M6513="PADD V","PADD 5","")))))</f>
        <v>PADD 2</v>
      </c>
      <c r="G6513" s="6" t="str">
        <f>IF(AND($H6513="ATMOS DISTILLATION",ISNUMBER(SEARCH("VPS",$I6513))=FALSE,LEFT($I6513,6)&lt;&gt;"VACUUM"),"CDU",IF($H6513="FLUID CAT CRACKING","FCC",IF(OR($H6513="HYDROCRACKING",$H6513="RESID_HYDROCRACKING"),"Hydrocracker",IF($H6513="REFORMING","Reformer",""))))</f>
        <v>CDU</v>
      </c>
      <c r="H6513" s="6" t="s">
        <v>38</v>
      </c>
      <c r="I6513" s="6" t="s">
        <v>1115</v>
      </c>
      <c r="J6513" s="6" t="s">
        <v>349</v>
      </c>
      <c r="K6513" s="10">
        <v>90</v>
      </c>
      <c r="L6513" s="10">
        <v>90</v>
      </c>
      <c r="M6513" s="6" t="s">
        <v>375</v>
      </c>
    </row>
    <row r="6514" spans="1:13">
      <c r="A6514" s="6">
        <v>2025</v>
      </c>
      <c r="B6514" s="6">
        <v>10</v>
      </c>
      <c r="C6514" s="6" t="s">
        <v>68</v>
      </c>
      <c r="D6514" s="6" t="s">
        <v>612</v>
      </c>
      <c r="E6514" s="6" t="s">
        <v>416</v>
      </c>
      <c r="F6514" s="6" t="str">
        <f>IF($M6514="PADD I","PADD 1",IF($M6514="PADD II","PADD 2",IF($M6514="PADD III","PADD 3",IF($M6514="PADD IV","PADD 4",IF($M6514="PADD V","PADD 5","")))))</f>
        <v>PADD 3</v>
      </c>
      <c r="G6514" s="6">
        <f>IF(AND($H6514="ATMOS DISTILLATION",ISNUMBER(SEARCH("VPS",$I6514))=FALSE,LEFT($I6514,6)&lt;&gt;"VACUUM"),"CDU",IF($H6514="FLUID CAT CRACKING","FCC",IF(OR($H6514="HYDROCRACKING",$H6514="RESID_HYDROCRACKING"),"Hydrocracker",IF($H6514="REFORMING","Reformer",""))))</f>
        <v/>
      </c>
      <c r="H6514" s="6" t="s">
        <v>378</v>
      </c>
      <c r="I6514" s="6" t="s">
        <v>431</v>
      </c>
      <c r="J6514" s="6" t="s">
        <v>349</v>
      </c>
      <c r="K6514" s="10">
        <v>80</v>
      </c>
      <c r="L6514" s="10">
        <v>80</v>
      </c>
      <c r="M6514" s="6" t="s">
        <v>371</v>
      </c>
    </row>
    <row r="6515" spans="1:13">
      <c r="A6515" s="6">
        <v>2025</v>
      </c>
      <c r="B6515" s="6">
        <v>10</v>
      </c>
      <c r="C6515" s="6" t="s">
        <v>68</v>
      </c>
      <c r="D6515" s="6" t="s">
        <v>319</v>
      </c>
      <c r="E6515" s="6" t="s">
        <v>665</v>
      </c>
      <c r="F6515" s="6" t="str">
        <f>IF($M6515="PADD I","PADD 1",IF($M6515="PADD II","PADD 2",IF($M6515="PADD III","PADD 3",IF($M6515="PADD IV","PADD 4",IF($M6515="PADD V","PADD 5","")))))</f>
        <v>PADD 3</v>
      </c>
      <c r="G6515" s="6" t="str">
        <f>IF(AND($H6515="ATMOS DISTILLATION",ISNUMBER(SEARCH("VPS",$I6515))=FALSE,LEFT($I6515,6)&lt;&gt;"VACUUM"),"CDU",IF($H6515="FLUID CAT CRACKING","FCC",IF(OR($H6515="HYDROCRACKING",$H6515="RESID_HYDROCRACKING"),"Hydrocracker",IF($H6515="REFORMING","Reformer",""))))</f>
        <v>FCC</v>
      </c>
      <c r="H6515" s="6" t="s">
        <v>376</v>
      </c>
      <c r="I6515" s="6" t="s">
        <v>875</v>
      </c>
      <c r="J6515" s="6" t="s">
        <v>349</v>
      </c>
      <c r="K6515" s="10">
        <v>79.52</v>
      </c>
      <c r="L6515" s="10">
        <v>112</v>
      </c>
      <c r="M6515" s="6" t="s">
        <v>371</v>
      </c>
    </row>
    <row r="6516" spans="1:13">
      <c r="A6516" s="6">
        <v>2025</v>
      </c>
      <c r="B6516" s="6">
        <v>10</v>
      </c>
      <c r="C6516" s="6" t="s">
        <v>68</v>
      </c>
      <c r="D6516" s="6" t="s">
        <v>326</v>
      </c>
      <c r="E6516" s="6" t="s">
        <v>385</v>
      </c>
      <c r="F6516" s="6" t="str">
        <f>IF($M6516="PADD I","PADD 1",IF($M6516="PADD II","PADD 2",IF($M6516="PADD III","PADD 3",IF($M6516="PADD IV","PADD 4",IF($M6516="PADD V","PADD 5","")))))</f>
        <v>PADD 5</v>
      </c>
      <c r="G6516" s="6">
        <f>IF(AND($H6516="ATMOS DISTILLATION",ISNUMBER(SEARCH("VPS",$I6516))=FALSE,LEFT($I6516,6)&lt;&gt;"VACUUM"),"CDU",IF($H6516="FLUID CAT CRACKING","FCC",IF(OR($H6516="HYDROCRACKING",$H6516="RESID_HYDROCRACKING"),"Hydrocracker",IF($H6516="REFORMING","Reformer",""))))</f>
        <v/>
      </c>
      <c r="H6516" s="6" t="s">
        <v>43</v>
      </c>
      <c r="I6516" s="6" t="s">
        <v>1285</v>
      </c>
      <c r="J6516" s="6" t="s">
        <v>345</v>
      </c>
      <c r="K6516" s="10">
        <v>77.5</v>
      </c>
      <c r="L6516" s="10">
        <v>77.5</v>
      </c>
      <c r="M6516" s="6" t="s">
        <v>386</v>
      </c>
    </row>
    <row r="6517" spans="1:13">
      <c r="A6517" s="6">
        <v>2025</v>
      </c>
      <c r="B6517" s="6">
        <v>10</v>
      </c>
      <c r="C6517" s="6" t="s">
        <v>68</v>
      </c>
      <c r="D6517" s="6" t="s">
        <v>395</v>
      </c>
      <c r="E6517" s="6" t="s">
        <v>396</v>
      </c>
      <c r="F6517" s="6" t="str">
        <f>IF($M6517="PADD I","PADD 1",IF($M6517="PADD II","PADD 2",IF($M6517="PADD III","PADD 3",IF($M6517="PADD IV","PADD 4",IF($M6517="PADD V","PADD 5","")))))</f>
        <v>PADD 3</v>
      </c>
      <c r="G6517" s="6">
        <f>IF(AND($H6517="ATMOS DISTILLATION",ISNUMBER(SEARCH("VPS",$I6517))=FALSE,LEFT($I6517,6)&lt;&gt;"VACUUM"),"CDU",IF($H6517="FLUID CAT CRACKING","FCC",IF(OR($H6517="HYDROCRACKING",$H6517="RESID_HYDROCRACKING"),"Hydrocracker",IF($H6517="REFORMING","Reformer",""))))</f>
        <v/>
      </c>
      <c r="H6517" s="6" t="s">
        <v>435</v>
      </c>
      <c r="I6517" s="6" t="s">
        <v>441</v>
      </c>
      <c r="J6517" s="6" t="s">
        <v>349</v>
      </c>
      <c r="K6517" s="10">
        <v>77.28</v>
      </c>
      <c r="L6517" s="10">
        <v>92</v>
      </c>
      <c r="M6517" s="6" t="s">
        <v>371</v>
      </c>
    </row>
    <row r="6518" spans="1:13">
      <c r="A6518" s="6">
        <v>2025</v>
      </c>
      <c r="B6518" s="6">
        <v>10</v>
      </c>
      <c r="C6518" s="6" t="s">
        <v>68</v>
      </c>
      <c r="D6518" s="6" t="s">
        <v>1060</v>
      </c>
      <c r="E6518" s="6" t="s">
        <v>1039</v>
      </c>
      <c r="F6518" s="6" t="str">
        <f>IF($M6518="PADD I","PADD 1",IF($M6518="PADD II","PADD 2",IF($M6518="PADD III","PADD 3",IF($M6518="PADD IV","PADD 4",IF($M6518="PADD V","PADD 5","")))))</f>
        <v>PADD 2</v>
      </c>
      <c r="G6518" s="6">
        <f>IF(AND($H6518="ATMOS DISTILLATION",ISNUMBER(SEARCH("VPS",$I6518))=FALSE,LEFT($I6518,6)&lt;&gt;"VACUUM"),"CDU",IF($H6518="FLUID CAT CRACKING","FCC",IF(OR($H6518="HYDROCRACKING",$H6518="RESID_HYDROCRACKING"),"Hydrocracker",IF($H6518="REFORMING","Reformer",""))))</f>
        <v/>
      </c>
      <c r="H6518" s="6" t="s">
        <v>43</v>
      </c>
      <c r="I6518" s="6" t="s">
        <v>1180</v>
      </c>
      <c r="J6518" s="6" t="s">
        <v>349</v>
      </c>
      <c r="K6518" s="10">
        <v>71</v>
      </c>
      <c r="L6518" s="10">
        <v>71</v>
      </c>
      <c r="M6518" s="6" t="s">
        <v>375</v>
      </c>
    </row>
    <row r="6519" spans="1:13">
      <c r="A6519" s="6">
        <v>2025</v>
      </c>
      <c r="B6519" s="6">
        <v>10</v>
      </c>
      <c r="C6519" s="6" t="s">
        <v>68</v>
      </c>
      <c r="D6519" s="6" t="s">
        <v>326</v>
      </c>
      <c r="E6519" s="6" t="s">
        <v>385</v>
      </c>
      <c r="F6519" s="6" t="str">
        <f>IF($M6519="PADD I","PADD 1",IF($M6519="PADD II","PADD 2",IF($M6519="PADD III","PADD 3",IF($M6519="PADD IV","PADD 4",IF($M6519="PADD V","PADD 5","")))))</f>
        <v>PADD 5</v>
      </c>
      <c r="G6519" s="6" t="str">
        <f>IF(AND($H6519="ATMOS DISTILLATION",ISNUMBER(SEARCH("VPS",$I6519))=FALSE,LEFT($I6519,6)&lt;&gt;"VACUUM"),"CDU",IF($H6519="FLUID CAT CRACKING","FCC",IF(OR($H6519="HYDROCRACKING",$H6519="RESID_HYDROCRACKING"),"Hydrocracker",IF($H6519="REFORMING","Reformer",""))))</f>
        <v>FCC</v>
      </c>
      <c r="H6519" s="6" t="s">
        <v>376</v>
      </c>
      <c r="I6519" s="6" t="s">
        <v>504</v>
      </c>
      <c r="J6519" s="6" t="s">
        <v>345</v>
      </c>
      <c r="K6519" s="10">
        <v>70</v>
      </c>
      <c r="L6519" s="10">
        <v>70</v>
      </c>
      <c r="M6519" s="6" t="s">
        <v>386</v>
      </c>
    </row>
    <row r="6520" spans="1:13">
      <c r="A6520" s="6">
        <v>2025</v>
      </c>
      <c r="B6520" s="6">
        <v>10</v>
      </c>
      <c r="C6520" s="6" t="s">
        <v>68</v>
      </c>
      <c r="D6520" s="6" t="s">
        <v>670</v>
      </c>
      <c r="E6520" s="6" t="s">
        <v>405</v>
      </c>
      <c r="F6520" s="6" t="str">
        <f>IF($M6520="PADD I","PADD 1",IF($M6520="PADD II","PADD 2",IF($M6520="PADD III","PADD 3",IF($M6520="PADD IV","PADD 4",IF($M6520="PADD V","PADD 5","")))))</f>
        <v>PADD 2</v>
      </c>
      <c r="G6520" s="6" t="str">
        <f>IF(AND($H6520="ATMOS DISTILLATION",ISNUMBER(SEARCH("VPS",$I6520))=FALSE,LEFT($I6520,6)&lt;&gt;"VACUUM"),"CDU",IF($H6520="FLUID CAT CRACKING","FCC",IF(OR($H6520="HYDROCRACKING",$H6520="RESID_HYDROCRACKING"),"Hydrocracker",IF($H6520="REFORMING","Reformer",""))))</f>
        <v>FCC</v>
      </c>
      <c r="H6520" s="6" t="s">
        <v>376</v>
      </c>
      <c r="I6520" s="6" t="s">
        <v>105</v>
      </c>
      <c r="J6520" s="6" t="s">
        <v>349</v>
      </c>
      <c r="K6520" s="10">
        <v>65</v>
      </c>
      <c r="L6520" s="10">
        <v>65</v>
      </c>
      <c r="M6520" s="6" t="s">
        <v>375</v>
      </c>
    </row>
    <row r="6521" spans="1:13">
      <c r="A6521" s="6">
        <v>2025</v>
      </c>
      <c r="B6521" s="6">
        <v>10</v>
      </c>
      <c r="C6521" s="6" t="s">
        <v>68</v>
      </c>
      <c r="D6521" s="6" t="s">
        <v>542</v>
      </c>
      <c r="E6521" s="6" t="s">
        <v>543</v>
      </c>
      <c r="F6521" s="6" t="str">
        <f>IF($M6521="PADD I","PADD 1",IF($M6521="PADD II","PADD 2",IF($M6521="PADD III","PADD 3",IF($M6521="PADD IV","PADD 4",IF($M6521="PADD V","PADD 5","")))))</f>
        <v>PADD 2</v>
      </c>
      <c r="G6521" s="6" t="str">
        <f>IF(AND($H6521="ATMOS DISTILLATION",ISNUMBER(SEARCH("VPS",$I6521))=FALSE,LEFT($I6521,6)&lt;&gt;"VACUUM"),"CDU",IF($H6521="FLUID CAT CRACKING","FCC",IF(OR($H6521="HYDROCRACKING",$H6521="RESID_HYDROCRACKING"),"Hydrocracker",IF($H6521="REFORMING","Reformer",""))))</f>
        <v>FCC</v>
      </c>
      <c r="H6521" s="6" t="s">
        <v>376</v>
      </c>
      <c r="I6521" s="6" t="s">
        <v>1113</v>
      </c>
      <c r="J6521" s="6" t="s">
        <v>349</v>
      </c>
      <c r="K6521" s="10">
        <v>65</v>
      </c>
      <c r="L6521" s="10">
        <v>65</v>
      </c>
      <c r="M6521" s="6" t="s">
        <v>375</v>
      </c>
    </row>
    <row r="6522" spans="1:13">
      <c r="A6522" s="6">
        <v>2025</v>
      </c>
      <c r="B6522" s="6">
        <v>10</v>
      </c>
      <c r="C6522" s="6" t="s">
        <v>68</v>
      </c>
      <c r="D6522" s="6" t="s">
        <v>395</v>
      </c>
      <c r="E6522" s="6" t="s">
        <v>396</v>
      </c>
      <c r="F6522" s="6" t="str">
        <f>IF($M6522="PADD I","PADD 1",IF($M6522="PADD II","PADD 2",IF($M6522="PADD III","PADD 3",IF($M6522="PADD IV","PADD 4",IF($M6522="PADD V","PADD 5","")))))</f>
        <v>PADD 3</v>
      </c>
      <c r="G6522" s="6">
        <f>IF(AND($H6522="ATMOS DISTILLATION",ISNUMBER(SEARCH("VPS",$I6522))=FALSE,LEFT($I6522,6)&lt;&gt;"VACUUM"),"CDU",IF($H6522="FLUID CAT CRACKING","FCC",IF(OR($H6522="HYDROCRACKING",$H6522="RESID_HYDROCRACKING"),"Hydrocracker",IF($H6522="REFORMING","Reformer",""))))</f>
        <v/>
      </c>
      <c r="H6522" s="6" t="s">
        <v>43</v>
      </c>
      <c r="I6522" s="6" t="s">
        <v>499</v>
      </c>
      <c r="J6522" s="6" t="s">
        <v>349</v>
      </c>
      <c r="K6522" s="10">
        <v>64.8</v>
      </c>
      <c r="L6522" s="10">
        <v>72</v>
      </c>
      <c r="M6522" s="6" t="s">
        <v>371</v>
      </c>
    </row>
    <row r="6523" spans="1:13">
      <c r="A6523" s="6">
        <v>2025</v>
      </c>
      <c r="B6523" s="6">
        <v>10</v>
      </c>
      <c r="C6523" s="6" t="s">
        <v>68</v>
      </c>
      <c r="D6523" s="6" t="s">
        <v>576</v>
      </c>
      <c r="E6523" s="6" t="s">
        <v>369</v>
      </c>
      <c r="F6523" s="6" t="str">
        <f>IF($M6523="PADD I","PADD 1",IF($M6523="PADD II","PADD 2",IF($M6523="PADD III","PADD 3",IF($M6523="PADD IV","PADD 4",IF($M6523="PADD V","PADD 5","")))))</f>
        <v>PADD 3</v>
      </c>
      <c r="G6523" s="6" t="str">
        <f>IF(AND($H6523="ATMOS DISTILLATION",ISNUMBER(SEARCH("VPS",$I6523))=FALSE,LEFT($I6523,6)&lt;&gt;"VACUUM"),"CDU",IF($H6523="FLUID CAT CRACKING","FCC",IF(OR($H6523="HYDROCRACKING",$H6523="RESID_HYDROCRACKING"),"Hydrocracker",IF($H6523="REFORMING","Reformer",""))))</f>
        <v>CDU</v>
      </c>
      <c r="H6523" s="6" t="s">
        <v>38</v>
      </c>
      <c r="I6523" s="6" t="s">
        <v>110</v>
      </c>
      <c r="J6523" s="6" t="s">
        <v>345</v>
      </c>
      <c r="K6523" s="10">
        <v>63.8</v>
      </c>
      <c r="L6523" s="10">
        <v>110</v>
      </c>
      <c r="M6523" s="6" t="s">
        <v>371</v>
      </c>
    </row>
    <row r="6524" spans="1:13">
      <c r="A6524" s="6">
        <v>2025</v>
      </c>
      <c r="B6524" s="6">
        <v>10</v>
      </c>
      <c r="C6524" s="6" t="s">
        <v>68</v>
      </c>
      <c r="D6524" s="6" t="s">
        <v>395</v>
      </c>
      <c r="E6524" s="6" t="s">
        <v>396</v>
      </c>
      <c r="F6524" s="6" t="str">
        <f>IF($M6524="PADD I","PADD 1",IF($M6524="PADD II","PADD 2",IF($M6524="PADD III","PADD 3",IF($M6524="PADD IV","PADD 4",IF($M6524="PADD V","PADD 5","")))))</f>
        <v>PADD 3</v>
      </c>
      <c r="G6524" s="6" t="str">
        <f>IF(AND($H6524="ATMOS DISTILLATION",ISNUMBER(SEARCH("VPS",$I6524))=FALSE,LEFT($I6524,6)&lt;&gt;"VACUUM"),"CDU",IF($H6524="FLUID CAT CRACKING","FCC",IF(OR($H6524="HYDROCRACKING",$H6524="RESID_HYDROCRACKING"),"Hydrocracker",IF($H6524="REFORMING","Reformer",""))))</f>
        <v>Hydrocracker</v>
      </c>
      <c r="H6524" s="6" t="s">
        <v>444</v>
      </c>
      <c r="I6524" s="6" t="s">
        <v>512</v>
      </c>
      <c r="J6524" s="6" t="s">
        <v>349</v>
      </c>
      <c r="K6524" s="10">
        <v>63</v>
      </c>
      <c r="L6524" s="10">
        <v>70</v>
      </c>
      <c r="M6524" s="6" t="s">
        <v>371</v>
      </c>
    </row>
    <row r="6525" spans="1:13">
      <c r="A6525" s="6">
        <v>2025</v>
      </c>
      <c r="B6525" s="6">
        <v>10</v>
      </c>
      <c r="C6525" s="6" t="s">
        <v>68</v>
      </c>
      <c r="D6525" s="6" t="s">
        <v>415</v>
      </c>
      <c r="E6525" s="6" t="s">
        <v>416</v>
      </c>
      <c r="F6525" s="6" t="str">
        <f>IF($M6525="PADD I","PADD 1",IF($M6525="PADD II","PADD 2",IF($M6525="PADD III","PADD 3",IF($M6525="PADD IV","PADD 4",IF($M6525="PADD V","PADD 5","")))))</f>
        <v>PADD 3</v>
      </c>
      <c r="G6525" s="6">
        <f>IF(AND($H6525="ATMOS DISTILLATION",ISNUMBER(SEARCH("VPS",$I6525))=FALSE,LEFT($I6525,6)&lt;&gt;"VACUUM"),"CDU",IF($H6525="FLUID CAT CRACKING","FCC",IF(OR($H6525="HYDROCRACKING",$H6525="RESID_HYDROCRACKING"),"Hydrocracker",IF($H6525="REFORMING","Reformer",""))))</f>
        <v/>
      </c>
      <c r="H6525" s="6" t="s">
        <v>378</v>
      </c>
      <c r="I6525" s="6" t="s">
        <v>1062</v>
      </c>
      <c r="J6525" s="6" t="s">
        <v>345</v>
      </c>
      <c r="K6525" s="10">
        <v>63</v>
      </c>
      <c r="L6525" s="10">
        <v>140</v>
      </c>
      <c r="M6525" s="6" t="s">
        <v>371</v>
      </c>
    </row>
    <row r="6526" spans="1:13">
      <c r="A6526" s="6">
        <v>2025</v>
      </c>
      <c r="B6526" s="6">
        <v>10</v>
      </c>
      <c r="C6526" s="6" t="s">
        <v>68</v>
      </c>
      <c r="D6526" s="6" t="s">
        <v>639</v>
      </c>
      <c r="E6526" s="6" t="s">
        <v>452</v>
      </c>
      <c r="F6526" s="6" t="str">
        <f>IF($M6526="PADD I","PADD 1",IF($M6526="PADD II","PADD 2",IF($M6526="PADD III","PADD 3",IF($M6526="PADD IV","PADD 4",IF($M6526="PADD V","PADD 5","")))))</f>
        <v>PADD 5</v>
      </c>
      <c r="G6526" s="6">
        <f>IF(AND($H6526="ATMOS DISTILLATION",ISNUMBER(SEARCH("VPS",$I6526))=FALSE,LEFT($I6526,6)&lt;&gt;"VACUUM"),"CDU",IF($H6526="FLUID CAT CRACKING","FCC",IF(OR($H6526="HYDROCRACKING",$H6526="RESID_HYDROCRACKING"),"Hydrocracker",IF($H6526="REFORMING","Reformer",""))))</f>
        <v/>
      </c>
      <c r="H6526" s="6" t="s">
        <v>38</v>
      </c>
      <c r="I6526" s="6" t="s">
        <v>640</v>
      </c>
      <c r="J6526" s="6" t="s">
        <v>349</v>
      </c>
      <c r="K6526" s="10">
        <v>60.48</v>
      </c>
      <c r="L6526" s="10">
        <v>144</v>
      </c>
      <c r="M6526" s="6" t="s">
        <v>386</v>
      </c>
    </row>
    <row r="6527" spans="1:13">
      <c r="A6527" s="6">
        <v>2025</v>
      </c>
      <c r="B6527" s="6">
        <v>10</v>
      </c>
      <c r="C6527" s="6" t="s">
        <v>68</v>
      </c>
      <c r="D6527" s="6" t="s">
        <v>408</v>
      </c>
      <c r="E6527" s="6" t="s">
        <v>409</v>
      </c>
      <c r="F6527" s="6" t="str">
        <f>IF($M6527="PADD I","PADD 1",IF($M6527="PADD II","PADD 2",IF($M6527="PADD III","PADD 3",IF($M6527="PADD IV","PADD 4",IF($M6527="PADD V","PADD 5","")))))</f>
        <v>PADD 3</v>
      </c>
      <c r="G6527" s="6">
        <f>IF(AND($H6527="ATMOS DISTILLATION",ISNUMBER(SEARCH("VPS",$I6527))=FALSE,LEFT($I6527,6)&lt;&gt;"VACUUM"),"CDU",IF($H6527="FLUID CAT CRACKING","FCC",IF(OR($H6527="HYDROCRACKING",$H6527="RESID_HYDROCRACKING"),"Hydrocracker",IF($H6527="REFORMING","Reformer",""))))</f>
        <v/>
      </c>
      <c r="H6527" s="6" t="s">
        <v>435</v>
      </c>
      <c r="I6527" s="6" t="s">
        <v>459</v>
      </c>
      <c r="J6527" s="6" t="s">
        <v>349</v>
      </c>
      <c r="K6527" s="10">
        <v>60</v>
      </c>
      <c r="L6527" s="10">
        <v>60</v>
      </c>
      <c r="M6527" s="6" t="s">
        <v>371</v>
      </c>
    </row>
    <row r="6528" spans="1:13">
      <c r="A6528" s="6">
        <v>2025</v>
      </c>
      <c r="B6528" s="6">
        <v>10</v>
      </c>
      <c r="C6528" s="6" t="s">
        <v>68</v>
      </c>
      <c r="D6528" s="6" t="s">
        <v>408</v>
      </c>
      <c r="E6528" s="6" t="s">
        <v>409</v>
      </c>
      <c r="F6528" s="6" t="str">
        <f>IF($M6528="PADD I","PADD 1",IF($M6528="PADD II","PADD 2",IF($M6528="PADD III","PADD 3",IF($M6528="PADD IV","PADD 4",IF($M6528="PADD V","PADD 5","")))))</f>
        <v>PADD 3</v>
      </c>
      <c r="G6528" s="6">
        <f>IF(AND($H6528="ATMOS DISTILLATION",ISNUMBER(SEARCH("VPS",$I6528))=FALSE,LEFT($I6528,6)&lt;&gt;"VACUUM"),"CDU",IF($H6528="FLUID CAT CRACKING","FCC",IF(OR($H6528="HYDROCRACKING",$H6528="RESID_HYDROCRACKING"),"Hydrocracker",IF($H6528="REFORMING","Reformer",""))))</f>
        <v/>
      </c>
      <c r="H6528" s="6" t="s">
        <v>378</v>
      </c>
      <c r="I6528" s="6" t="s">
        <v>489</v>
      </c>
      <c r="J6528" s="6" t="s">
        <v>349</v>
      </c>
      <c r="K6528" s="10">
        <v>60</v>
      </c>
      <c r="L6528" s="10">
        <v>60</v>
      </c>
      <c r="M6528" s="6" t="s">
        <v>371</v>
      </c>
    </row>
    <row r="6529" spans="1:13">
      <c r="A6529" s="6">
        <v>2025</v>
      </c>
      <c r="B6529" s="6">
        <v>10</v>
      </c>
      <c r="C6529" s="6" t="s">
        <v>68</v>
      </c>
      <c r="D6529" s="6" t="s">
        <v>639</v>
      </c>
      <c r="E6529" s="6" t="s">
        <v>452</v>
      </c>
      <c r="F6529" s="6" t="str">
        <f>IF($M6529="PADD I","PADD 1",IF($M6529="PADD II","PADD 2",IF($M6529="PADD III","PADD 3",IF($M6529="PADD IV","PADD 4",IF($M6529="PADD V","PADD 5","")))))</f>
        <v>PADD 5</v>
      </c>
      <c r="G6529" s="6">
        <f>IF(AND($H6529="ATMOS DISTILLATION",ISNUMBER(SEARCH("VPS",$I6529))=FALSE,LEFT($I6529,6)&lt;&gt;"VACUUM"),"CDU",IF($H6529="FLUID CAT CRACKING","FCC",IF(OR($H6529="HYDROCRACKING",$H6529="RESID_HYDROCRACKING"),"Hydrocracker",IF($H6529="REFORMING","Reformer",""))))</f>
        <v/>
      </c>
      <c r="H6529" s="6" t="s">
        <v>43</v>
      </c>
      <c r="I6529" s="6" t="s">
        <v>1328</v>
      </c>
      <c r="J6529" s="6" t="s">
        <v>349</v>
      </c>
      <c r="K6529" s="10">
        <v>60</v>
      </c>
      <c r="L6529" s="10">
        <v>60</v>
      </c>
      <c r="M6529" s="6" t="s">
        <v>386</v>
      </c>
    </row>
    <row r="6530" spans="1:13">
      <c r="A6530" s="6">
        <v>2025</v>
      </c>
      <c r="B6530" s="6">
        <v>10</v>
      </c>
      <c r="C6530" s="6" t="s">
        <v>68</v>
      </c>
      <c r="D6530" s="6" t="s">
        <v>511</v>
      </c>
      <c r="E6530" s="6" t="s">
        <v>405</v>
      </c>
      <c r="F6530" s="6" t="str">
        <f>IF($M6530="PADD I","PADD 1",IF($M6530="PADD II","PADD 2",IF($M6530="PADD III","PADD 3",IF($M6530="PADD IV","PADD 4",IF($M6530="PADD V","PADD 5","")))))</f>
        <v>PADD 3</v>
      </c>
      <c r="G6530" s="6" t="str">
        <f>IF(AND($H6530="ATMOS DISTILLATION",ISNUMBER(SEARCH("VPS",$I6530))=FALSE,LEFT($I6530,6)&lt;&gt;"VACUUM"),"CDU",IF($H6530="FLUID CAT CRACKING","FCC",IF(OR($H6530="HYDROCRACKING",$H6530="RESID_HYDROCRACKING"),"Hydrocracker",IF($H6530="REFORMING","Reformer",""))))</f>
        <v>CDU</v>
      </c>
      <c r="H6530" s="6" t="s">
        <v>38</v>
      </c>
      <c r="I6530" s="6" t="s">
        <v>112</v>
      </c>
      <c r="J6530" s="6" t="s">
        <v>345</v>
      </c>
      <c r="K6530" s="10">
        <v>57.2</v>
      </c>
      <c r="L6530" s="10">
        <v>110</v>
      </c>
      <c r="M6530" s="6" t="s">
        <v>371</v>
      </c>
    </row>
    <row r="6531" spans="1:13">
      <c r="A6531" s="6">
        <v>2025</v>
      </c>
      <c r="B6531" s="6">
        <v>10</v>
      </c>
      <c r="C6531" s="6" t="s">
        <v>68</v>
      </c>
      <c r="D6531" s="6" t="s">
        <v>526</v>
      </c>
      <c r="E6531" s="6" t="s">
        <v>405</v>
      </c>
      <c r="F6531" s="6" t="str">
        <f>IF($M6531="PADD I","PADD 1",IF($M6531="PADD II","PADD 2",IF($M6531="PADD III","PADD 3",IF($M6531="PADD IV","PADD 4",IF($M6531="PADD V","PADD 5","")))))</f>
        <v>PADD 3</v>
      </c>
      <c r="G6531" s="6" t="str">
        <f>IF(AND($H6531="ATMOS DISTILLATION",ISNUMBER(SEARCH("VPS",$I6531))=FALSE,LEFT($I6531,6)&lt;&gt;"VACUUM"),"CDU",IF($H6531="FLUID CAT CRACKING","FCC",IF(OR($H6531="HYDROCRACKING",$H6531="RESID_HYDROCRACKING"),"Hydrocracker",IF($H6531="REFORMING","Reformer",""))))</f>
        <v>Hydrocracker</v>
      </c>
      <c r="H6531" s="6" t="s">
        <v>444</v>
      </c>
      <c r="I6531" s="6" t="s">
        <v>527</v>
      </c>
      <c r="J6531" s="6" t="s">
        <v>349</v>
      </c>
      <c r="K6531" s="10">
        <v>57</v>
      </c>
      <c r="L6531" s="10">
        <v>57</v>
      </c>
      <c r="M6531" s="6" t="s">
        <v>371</v>
      </c>
    </row>
    <row r="6532" spans="1:13">
      <c r="A6532" s="6">
        <v>2025</v>
      </c>
      <c r="B6532" s="6">
        <v>10</v>
      </c>
      <c r="C6532" s="6" t="s">
        <v>68</v>
      </c>
      <c r="D6532" s="6" t="s">
        <v>51</v>
      </c>
      <c r="E6532" s="6" t="s">
        <v>391</v>
      </c>
      <c r="F6532" s="6" t="str">
        <f>IF($M6532="PADD I","PADD 1",IF($M6532="PADD II","PADD 2",IF($M6532="PADD III","PADD 3",IF($M6532="PADD IV","PADD 4",IF($M6532="PADD V","PADD 5","")))))</f>
        <v>PADD 5</v>
      </c>
      <c r="G6532" s="6" t="str">
        <f>IF(AND($H6532="ATMOS DISTILLATION",ISNUMBER(SEARCH("VPS",$I6532))=FALSE,LEFT($I6532,6)&lt;&gt;"VACUUM"),"CDU",IF($H6532="FLUID CAT CRACKING","FCC",IF(OR($H6532="HYDROCRACKING",$H6532="RESID_HYDROCRACKING"),"Hydrocracker",IF($H6532="REFORMING","Reformer",""))))</f>
        <v>Reformer</v>
      </c>
      <c r="H6532" s="6" t="s">
        <v>421</v>
      </c>
      <c r="I6532" s="6" t="s">
        <v>539</v>
      </c>
      <c r="J6532" s="6" t="s">
        <v>345</v>
      </c>
      <c r="K6532" s="10">
        <v>56.4</v>
      </c>
      <c r="L6532" s="10">
        <v>60</v>
      </c>
      <c r="M6532" s="6" t="s">
        <v>386</v>
      </c>
    </row>
    <row r="6533" spans="1:13">
      <c r="A6533" s="6">
        <v>2025</v>
      </c>
      <c r="B6533" s="6">
        <v>10</v>
      </c>
      <c r="C6533" s="6" t="s">
        <v>68</v>
      </c>
      <c r="D6533" s="6" t="s">
        <v>326</v>
      </c>
      <c r="E6533" s="6" t="s">
        <v>385</v>
      </c>
      <c r="F6533" s="6" t="str">
        <f>IF($M6533="PADD I","PADD 1",IF($M6533="PADD II","PADD 2",IF($M6533="PADD III","PADD 3",IF($M6533="PADD IV","PADD 4",IF($M6533="PADD V","PADD 5","")))))</f>
        <v>PADD 5</v>
      </c>
      <c r="G6533" s="6" t="str">
        <f>IF(AND($H6533="ATMOS DISTILLATION",ISNUMBER(SEARCH("VPS",$I6533))=FALSE,LEFT($I6533,6)&lt;&gt;"VACUUM"),"CDU",IF($H6533="FLUID CAT CRACKING","FCC",IF(OR($H6533="HYDROCRACKING",$H6533="RESID_HYDROCRACKING"),"Hydrocracker",IF($H6533="REFORMING","Reformer",""))))</f>
        <v>CDU</v>
      </c>
      <c r="H6533" s="6" t="s">
        <v>38</v>
      </c>
      <c r="I6533" s="6" t="s">
        <v>93</v>
      </c>
      <c r="J6533" s="6" t="s">
        <v>345</v>
      </c>
      <c r="K6533" s="10">
        <v>54.25</v>
      </c>
      <c r="L6533" s="10">
        <v>54.25</v>
      </c>
      <c r="M6533" s="6" t="s">
        <v>386</v>
      </c>
    </row>
    <row r="6534" spans="1:13">
      <c r="A6534" s="6">
        <v>2025</v>
      </c>
      <c r="B6534" s="6">
        <v>10</v>
      </c>
      <c r="C6534" s="6" t="s">
        <v>68</v>
      </c>
      <c r="D6534" s="6" t="s">
        <v>801</v>
      </c>
      <c r="E6534" s="6" t="s">
        <v>779</v>
      </c>
      <c r="F6534" s="6" t="str">
        <f>IF($M6534="PADD I","PADD 1",IF($M6534="PADD II","PADD 2",IF($M6534="PADD III","PADD 3",IF($M6534="PADD IV","PADD 4",IF($M6534="PADD V","PADD 5","")))))</f>
        <v>PADD 2</v>
      </c>
      <c r="G6534" s="6" t="str">
        <f>IF(AND($H6534="ATMOS DISTILLATION",ISNUMBER(SEARCH("VPS",$I6534))=FALSE,LEFT($I6534,6)&lt;&gt;"VACUUM"),"CDU",IF($H6534="FLUID CAT CRACKING","FCC",IF(OR($H6534="HYDROCRACKING",$H6534="RESID_HYDROCRACKING"),"Hydrocracker",IF($H6534="REFORMING","Reformer",""))))</f>
        <v>CDU</v>
      </c>
      <c r="H6534" s="6" t="s">
        <v>38</v>
      </c>
      <c r="I6534" s="6" t="s">
        <v>979</v>
      </c>
      <c r="J6534" s="6" t="s">
        <v>349</v>
      </c>
      <c r="K6534" s="10">
        <v>52.8</v>
      </c>
      <c r="L6534" s="10">
        <v>165</v>
      </c>
      <c r="M6534" s="6" t="s">
        <v>375</v>
      </c>
    </row>
    <row r="6535" spans="1:13">
      <c r="A6535" s="6">
        <v>2025</v>
      </c>
      <c r="B6535" s="6">
        <v>10</v>
      </c>
      <c r="C6535" s="6" t="s">
        <v>68</v>
      </c>
      <c r="D6535" s="6" t="s">
        <v>408</v>
      </c>
      <c r="E6535" s="6" t="s">
        <v>409</v>
      </c>
      <c r="F6535" s="6" t="str">
        <f>IF($M6535="PADD I","PADD 1",IF($M6535="PADD II","PADD 2",IF($M6535="PADD III","PADD 3",IF($M6535="PADD IV","PADD 4",IF($M6535="PADD V","PADD 5","")))))</f>
        <v>PADD 3</v>
      </c>
      <c r="G6535" s="6">
        <f>IF(AND($H6535="ATMOS DISTILLATION",ISNUMBER(SEARCH("VPS",$I6535))=FALSE,LEFT($I6535,6)&lt;&gt;"VACUUM"),"CDU",IF($H6535="FLUID CAT CRACKING","FCC",IF(OR($H6535="HYDROCRACKING",$H6535="RESID_HYDROCRACKING"),"Hydrocracker",IF($H6535="REFORMING","Reformer",""))))</f>
        <v/>
      </c>
      <c r="H6535" s="6" t="s">
        <v>378</v>
      </c>
      <c r="I6535" s="6" t="s">
        <v>506</v>
      </c>
      <c r="J6535" s="6" t="s">
        <v>349</v>
      </c>
      <c r="K6535" s="10">
        <v>51</v>
      </c>
      <c r="L6535" s="10">
        <v>51</v>
      </c>
      <c r="M6535" s="6" t="s">
        <v>371</v>
      </c>
    </row>
    <row r="6536" spans="1:13">
      <c r="A6536" s="6">
        <v>2025</v>
      </c>
      <c r="B6536" s="6">
        <v>10</v>
      </c>
      <c r="C6536" s="6" t="s">
        <v>68</v>
      </c>
      <c r="D6536" s="6" t="s">
        <v>1139</v>
      </c>
      <c r="E6536" s="6" t="s">
        <v>452</v>
      </c>
      <c r="F6536" s="6" t="str">
        <f>IF($M6536="PADD I","PADD 1",IF($M6536="PADD II","PADD 2",IF($M6536="PADD III","PADD 3",IF($M6536="PADD IV","PADD 4",IF($M6536="PADD V","PADD 5","")))))</f>
        <v>PADD 5</v>
      </c>
      <c r="G6536" s="6">
        <f>IF(AND($H6536="ATMOS DISTILLATION",ISNUMBER(SEARCH("VPS",$I6536))=FALSE,LEFT($I6536,6)&lt;&gt;"VACUUM"),"CDU",IF($H6536="FLUID CAT CRACKING","FCC",IF(OR($H6536="HYDROCRACKING",$H6536="RESID_HYDROCRACKING"),"Hydrocracker",IF($H6536="REFORMING","Reformer",""))))</f>
        <v/>
      </c>
      <c r="H6536" s="6" t="s">
        <v>43</v>
      </c>
      <c r="I6536" s="6" t="s">
        <v>930</v>
      </c>
      <c r="J6536" s="6" t="s">
        <v>345</v>
      </c>
      <c r="K6536" s="10">
        <v>49.5</v>
      </c>
      <c r="L6536" s="10">
        <v>49.5</v>
      </c>
      <c r="M6536" s="6" t="s">
        <v>386</v>
      </c>
    </row>
    <row r="6537" spans="1:13">
      <c r="A6537" s="6">
        <v>2025</v>
      </c>
      <c r="B6537" s="6">
        <v>10</v>
      </c>
      <c r="C6537" s="6" t="s">
        <v>68</v>
      </c>
      <c r="D6537" s="6" t="s">
        <v>645</v>
      </c>
      <c r="E6537" s="6" t="s">
        <v>388</v>
      </c>
      <c r="F6537" s="6" t="str">
        <f>IF($M6537="PADD I","PADD 1",IF($M6537="PADD II","PADD 2",IF($M6537="PADD III","PADD 3",IF($M6537="PADD IV","PADD 4",IF($M6537="PADD V","PADD 5","")))))</f>
        <v>PADD 3</v>
      </c>
      <c r="G6537" s="6">
        <f>IF(AND($H6537="ATMOS DISTILLATION",ISNUMBER(SEARCH("VPS",$I6537))=FALSE,LEFT($I6537,6)&lt;&gt;"VACUUM"),"CDU",IF($H6537="FLUID CAT CRACKING","FCC",IF(OR($H6537="HYDROCRACKING",$H6537="RESID_HYDROCRACKING"),"Hydrocracker",IF($H6537="REFORMING","Reformer",""))))</f>
        <v/>
      </c>
      <c r="H6537" s="6" t="s">
        <v>43</v>
      </c>
      <c r="I6537" s="6" t="s">
        <v>449</v>
      </c>
      <c r="J6537" s="6" t="s">
        <v>345</v>
      </c>
      <c r="K6537" s="10">
        <v>48.8</v>
      </c>
      <c r="L6537" s="10">
        <v>80</v>
      </c>
      <c r="M6537" s="6" t="s">
        <v>371</v>
      </c>
    </row>
    <row r="6538" spans="1:13">
      <c r="A6538" s="6">
        <v>2025</v>
      </c>
      <c r="B6538" s="6">
        <v>10</v>
      </c>
      <c r="C6538" s="6" t="s">
        <v>68</v>
      </c>
      <c r="D6538" s="6" t="s">
        <v>324</v>
      </c>
      <c r="E6538" s="6" t="s">
        <v>388</v>
      </c>
      <c r="F6538" s="6" t="str">
        <f>IF($M6538="PADD I","PADD 1",IF($M6538="PADD II","PADD 2",IF($M6538="PADD III","PADD 3",IF($M6538="PADD IV","PADD 4",IF($M6538="PADD V","PADD 5","")))))</f>
        <v>PADD 3</v>
      </c>
      <c r="G6538" s="6" t="str">
        <f>IF(AND($H6538="ATMOS DISTILLATION",ISNUMBER(SEARCH("VPS",$I6538))=FALSE,LEFT($I6538,6)&lt;&gt;"VACUUM"),"CDU",IF($H6538="FLUID CAT CRACKING","FCC",IF(OR($H6538="HYDROCRACKING",$H6538="RESID_HYDROCRACKING"),"Hydrocracker",IF($H6538="REFORMING","Reformer",""))))</f>
        <v>FCC</v>
      </c>
      <c r="H6538" s="6" t="s">
        <v>376</v>
      </c>
      <c r="I6538" s="6" t="s">
        <v>944</v>
      </c>
      <c r="J6538" s="6" t="s">
        <v>345</v>
      </c>
      <c r="K6538" s="10">
        <v>47.6</v>
      </c>
      <c r="L6538" s="10">
        <v>136</v>
      </c>
      <c r="M6538" s="6" t="s">
        <v>371</v>
      </c>
    </row>
    <row r="6539" spans="1:13">
      <c r="A6539" s="6">
        <v>2025</v>
      </c>
      <c r="B6539" s="6">
        <v>10</v>
      </c>
      <c r="C6539" s="6" t="s">
        <v>68</v>
      </c>
      <c r="D6539" s="6" t="s">
        <v>526</v>
      </c>
      <c r="E6539" s="6" t="s">
        <v>405</v>
      </c>
      <c r="F6539" s="6" t="str">
        <f>IF($M6539="PADD I","PADD 1",IF($M6539="PADD II","PADD 2",IF($M6539="PADD III","PADD 3",IF($M6539="PADD IV","PADD 4",IF($M6539="PADD V","PADD 5","")))))</f>
        <v>PADD 3</v>
      </c>
      <c r="G6539" s="6" t="str">
        <f>IF(AND($H6539="ATMOS DISTILLATION",ISNUMBER(SEARCH("VPS",$I6539))=FALSE,LEFT($I6539,6)&lt;&gt;"VACUUM"),"CDU",IF($H6539="FLUID CAT CRACKING","FCC",IF(OR($H6539="HYDROCRACKING",$H6539="RESID_HYDROCRACKING"),"Hydrocracker",IF($H6539="REFORMING","Reformer",""))))</f>
        <v>Hydrocracker</v>
      </c>
      <c r="H6539" s="6" t="s">
        <v>444</v>
      </c>
      <c r="I6539" s="6" t="s">
        <v>351</v>
      </c>
      <c r="J6539" s="6" t="s">
        <v>345</v>
      </c>
      <c r="K6539" s="10">
        <v>46.17</v>
      </c>
      <c r="L6539" s="10">
        <v>57</v>
      </c>
      <c r="M6539" s="6" t="s">
        <v>371</v>
      </c>
    </row>
    <row r="6540" spans="1:13">
      <c r="A6540" s="6">
        <v>2025</v>
      </c>
      <c r="B6540" s="6">
        <v>10</v>
      </c>
      <c r="C6540" s="6" t="s">
        <v>68</v>
      </c>
      <c r="D6540" s="6" t="s">
        <v>395</v>
      </c>
      <c r="E6540" s="6" t="s">
        <v>396</v>
      </c>
      <c r="F6540" s="6" t="str">
        <f>IF($M6540="PADD I","PADD 1",IF($M6540="PADD II","PADD 2",IF($M6540="PADD III","PADD 3",IF($M6540="PADD IV","PADD 4",IF($M6540="PADD V","PADD 5","")))))</f>
        <v>PADD 3</v>
      </c>
      <c r="G6540" s="6" t="str">
        <f>IF(AND($H6540="ATMOS DISTILLATION",ISNUMBER(SEARCH("VPS",$I6540))=FALSE,LEFT($I6540,6)&lt;&gt;"VACUUM"),"CDU",IF($H6540="FLUID CAT CRACKING","FCC",IF(OR($H6540="HYDROCRACKING",$H6540="RESID_HYDROCRACKING"),"Hydrocracker",IF($H6540="REFORMING","Reformer",""))))</f>
        <v>Reformer</v>
      </c>
      <c r="H6540" s="6" t="s">
        <v>421</v>
      </c>
      <c r="I6540" s="6" t="s">
        <v>538</v>
      </c>
      <c r="J6540" s="6" t="s">
        <v>349</v>
      </c>
      <c r="K6540" s="10">
        <v>45.9</v>
      </c>
      <c r="L6540" s="10">
        <v>45.9</v>
      </c>
      <c r="M6540" s="6" t="s">
        <v>371</v>
      </c>
    </row>
    <row r="6541" spans="1:13">
      <c r="A6541" s="6">
        <v>2025</v>
      </c>
      <c r="B6541" s="6">
        <v>10</v>
      </c>
      <c r="C6541" s="6" t="s">
        <v>68</v>
      </c>
      <c r="D6541" s="6" t="s">
        <v>415</v>
      </c>
      <c r="E6541" s="6" t="s">
        <v>416</v>
      </c>
      <c r="F6541" s="6" t="str">
        <f>IF($M6541="PADD I","PADD 1",IF($M6541="PADD II","PADD 2",IF($M6541="PADD III","PADD 3",IF($M6541="PADD IV","PADD 4",IF($M6541="PADD V","PADD 5","")))))</f>
        <v>PADD 3</v>
      </c>
      <c r="G6541" s="6" t="str">
        <f>IF(AND($H6541="ATMOS DISTILLATION",ISNUMBER(SEARCH("VPS",$I6541))=FALSE,LEFT($I6541,6)&lt;&gt;"VACUUM"),"CDU",IF($H6541="FLUID CAT CRACKING","FCC",IF(OR($H6541="HYDROCRACKING",$H6541="RESID_HYDROCRACKING"),"Hydrocracker",IF($H6541="REFORMING","Reformer",""))))</f>
        <v>CDU</v>
      </c>
      <c r="H6541" s="6" t="s">
        <v>38</v>
      </c>
      <c r="I6541" s="6" t="s">
        <v>133</v>
      </c>
      <c r="J6541" s="6" t="s">
        <v>345</v>
      </c>
      <c r="K6541" s="10">
        <v>45</v>
      </c>
      <c r="L6541" s="10">
        <v>100</v>
      </c>
      <c r="M6541" s="6" t="s">
        <v>371</v>
      </c>
    </row>
    <row r="6542" spans="1:13">
      <c r="A6542" s="6">
        <v>2025</v>
      </c>
      <c r="B6542" s="6">
        <v>10</v>
      </c>
      <c r="C6542" s="6" t="s">
        <v>68</v>
      </c>
      <c r="D6542" s="6" t="s">
        <v>395</v>
      </c>
      <c r="E6542" s="6" t="s">
        <v>396</v>
      </c>
      <c r="F6542" s="6" t="str">
        <f>IF($M6542="PADD I","PADD 1",IF($M6542="PADD II","PADD 2",IF($M6542="PADD III","PADD 3",IF($M6542="PADD IV","PADD 4",IF($M6542="PADD V","PADD 5","")))))</f>
        <v>PADD 3</v>
      </c>
      <c r="G6542" s="6" t="str">
        <f>IF(AND($H6542="ATMOS DISTILLATION",ISNUMBER(SEARCH("VPS",$I6542))=FALSE,LEFT($I6542,6)&lt;&gt;"VACUUM"),"CDU",IF($H6542="FLUID CAT CRACKING","FCC",IF(OR($H6542="HYDROCRACKING",$H6542="RESID_HYDROCRACKING"),"Hydrocracker",IF($H6542="REFORMING","Reformer",""))))</f>
        <v>Reformer</v>
      </c>
      <c r="H6542" s="6" t="s">
        <v>421</v>
      </c>
      <c r="I6542" s="6" t="s">
        <v>540</v>
      </c>
      <c r="J6542" s="6" t="s">
        <v>345</v>
      </c>
      <c r="K6542" s="10">
        <v>45</v>
      </c>
      <c r="L6542" s="10">
        <v>45</v>
      </c>
      <c r="M6542" s="6" t="s">
        <v>371</v>
      </c>
    </row>
    <row r="6543" spans="1:13">
      <c r="A6543" s="6">
        <v>2025</v>
      </c>
      <c r="B6543" s="6">
        <v>10</v>
      </c>
      <c r="C6543" s="6" t="s">
        <v>68</v>
      </c>
      <c r="D6543" s="6" t="s">
        <v>662</v>
      </c>
      <c r="E6543" s="6" t="s">
        <v>552</v>
      </c>
      <c r="F6543" s="6" t="str">
        <f>IF($M6543="PADD I","PADD 1",IF($M6543="PADD II","PADD 2",IF($M6543="PADD III","PADD 3",IF($M6543="PADD IV","PADD 4",IF($M6543="PADD V","PADD 5","")))))</f>
        <v>PADD 3</v>
      </c>
      <c r="G6543" s="6" t="str">
        <f>IF(AND($H6543="ATMOS DISTILLATION",ISNUMBER(SEARCH("VPS",$I6543))=FALSE,LEFT($I6543,6)&lt;&gt;"VACUUM"),"CDU",IF($H6543="FLUID CAT CRACKING","FCC",IF(OR($H6543="HYDROCRACKING",$H6543="RESID_HYDROCRACKING"),"Hydrocracker",IF($H6543="REFORMING","Reformer",""))))</f>
        <v>CDU</v>
      </c>
      <c r="H6543" s="6" t="s">
        <v>38</v>
      </c>
      <c r="I6543" s="6" t="s">
        <v>663</v>
      </c>
      <c r="J6543" s="6" t="s">
        <v>349</v>
      </c>
      <c r="K6543" s="10">
        <v>44.53</v>
      </c>
      <c r="L6543" s="10">
        <v>73</v>
      </c>
      <c r="M6543" s="6" t="s">
        <v>371</v>
      </c>
    </row>
    <row r="6544" spans="1:13">
      <c r="A6544" s="6">
        <v>2025</v>
      </c>
      <c r="B6544" s="6">
        <v>10</v>
      </c>
      <c r="C6544" s="6" t="s">
        <v>68</v>
      </c>
      <c r="D6544" s="6" t="s">
        <v>785</v>
      </c>
      <c r="E6544" s="6" t="s">
        <v>779</v>
      </c>
      <c r="F6544" s="6" t="str">
        <f>IF($M6544="PADD I","PADD 1",IF($M6544="PADD II","PADD 2",IF($M6544="PADD III","PADD 3",IF($M6544="PADD IV","PADD 4",IF($M6544="PADD V","PADD 5","")))))</f>
        <v>PADD 2</v>
      </c>
      <c r="G6544" s="6">
        <f>IF(AND($H6544="ATMOS DISTILLATION",ISNUMBER(SEARCH("VPS",$I6544))=FALSE,LEFT($I6544,6)&lt;&gt;"VACUUM"),"CDU",IF($H6544="FLUID CAT CRACKING","FCC",IF(OR($H6544="HYDROCRACKING",$H6544="RESID_HYDROCRACKING"),"Hydrocracker",IF($H6544="REFORMING","Reformer",""))))</f>
        <v/>
      </c>
      <c r="H6544" s="6" t="s">
        <v>378</v>
      </c>
      <c r="I6544" s="6" t="s">
        <v>786</v>
      </c>
      <c r="J6544" s="6" t="s">
        <v>345</v>
      </c>
      <c r="K6544" s="10">
        <v>44.3144</v>
      </c>
      <c r="L6544" s="10">
        <v>85.22</v>
      </c>
      <c r="M6544" s="6" t="s">
        <v>375</v>
      </c>
    </row>
    <row r="6545" spans="1:13">
      <c r="A6545" s="6">
        <v>2025</v>
      </c>
      <c r="B6545" s="6">
        <v>10</v>
      </c>
      <c r="C6545" s="6" t="s">
        <v>68</v>
      </c>
      <c r="D6545" s="6" t="s">
        <v>326</v>
      </c>
      <c r="E6545" s="6" t="s">
        <v>385</v>
      </c>
      <c r="F6545" s="6" t="str">
        <f>IF($M6545="PADD I","PADD 1",IF($M6545="PADD II","PADD 2",IF($M6545="PADD III","PADD 3",IF($M6545="PADD IV","PADD 4",IF($M6545="PADD V","PADD 5","")))))</f>
        <v>PADD 5</v>
      </c>
      <c r="G6545" s="6" t="str">
        <f>IF(AND($H6545="ATMOS DISTILLATION",ISNUMBER(SEARCH("VPS",$I6545))=FALSE,LEFT($I6545,6)&lt;&gt;"VACUUM"),"CDU",IF($H6545="FLUID CAT CRACKING","FCC",IF(OR($H6545="HYDROCRACKING",$H6545="RESID_HYDROCRACKING"),"Hydrocracker",IF($H6545="REFORMING","Reformer",""))))</f>
        <v>Hydrocracker</v>
      </c>
      <c r="H6545" s="6" t="s">
        <v>444</v>
      </c>
      <c r="I6545" s="6" t="s">
        <v>498</v>
      </c>
      <c r="J6545" s="6" t="s">
        <v>345</v>
      </c>
      <c r="K6545" s="10">
        <v>42</v>
      </c>
      <c r="L6545" s="10">
        <v>42</v>
      </c>
      <c r="M6545" s="6" t="s">
        <v>386</v>
      </c>
    </row>
    <row r="6546" spans="1:13">
      <c r="A6546" s="6">
        <v>2025</v>
      </c>
      <c r="B6546" s="6">
        <v>10</v>
      </c>
      <c r="C6546" s="6" t="s">
        <v>68</v>
      </c>
      <c r="D6546" s="6" t="s">
        <v>639</v>
      </c>
      <c r="E6546" s="6" t="s">
        <v>452</v>
      </c>
      <c r="F6546" s="6" t="str">
        <f>IF($M6546="PADD I","PADD 1",IF($M6546="PADD II","PADD 2",IF($M6546="PADD III","PADD 3",IF($M6546="PADD IV","PADD 4",IF($M6546="PADD V","PADD 5","")))))</f>
        <v>PADD 5</v>
      </c>
      <c r="G6546" s="6">
        <f>IF(AND($H6546="ATMOS DISTILLATION",ISNUMBER(SEARCH("VPS",$I6546))=FALSE,LEFT($I6546,6)&lt;&gt;"VACUUM"),"CDU",IF($H6546="FLUID CAT CRACKING","FCC",IF(OR($H6546="HYDROCRACKING",$H6546="RESID_HYDROCRACKING"),"Hydrocracker",IF($H6546="REFORMING","Reformer",""))))</f>
        <v/>
      </c>
      <c r="H6546" s="6" t="s">
        <v>38</v>
      </c>
      <c r="I6546" s="6" t="s">
        <v>640</v>
      </c>
      <c r="J6546" s="6" t="s">
        <v>349</v>
      </c>
      <c r="K6546" s="10">
        <v>41.76</v>
      </c>
      <c r="L6546" s="10">
        <v>72</v>
      </c>
      <c r="M6546" s="6" t="s">
        <v>386</v>
      </c>
    </row>
    <row r="6547" spans="1:13">
      <c r="A6547" s="6">
        <v>2025</v>
      </c>
      <c r="B6547" s="6">
        <v>10</v>
      </c>
      <c r="C6547" s="6" t="s">
        <v>68</v>
      </c>
      <c r="D6547" s="6" t="s">
        <v>395</v>
      </c>
      <c r="E6547" s="6" t="s">
        <v>396</v>
      </c>
      <c r="F6547" s="6" t="str">
        <f>IF($M6547="PADD I","PADD 1",IF($M6547="PADD II","PADD 2",IF($M6547="PADD III","PADD 3",IF($M6547="PADD IV","PADD 4",IF($M6547="PADD V","PADD 5","")))))</f>
        <v>PADD 3</v>
      </c>
      <c r="G6547" s="6">
        <f>IF(AND($H6547="ATMOS DISTILLATION",ISNUMBER(SEARCH("VPS",$I6547))=FALSE,LEFT($I6547,6)&lt;&gt;"VACUUM"),"CDU",IF($H6547="FLUID CAT CRACKING","FCC",IF(OR($H6547="HYDROCRACKING",$H6547="RESID_HYDROCRACKING"),"Hydrocracker",IF($H6547="REFORMING","Reformer",""))))</f>
        <v/>
      </c>
      <c r="H6547" s="6" t="s">
        <v>43</v>
      </c>
      <c r="I6547" s="6" t="s">
        <v>551</v>
      </c>
      <c r="J6547" s="6" t="s">
        <v>349</v>
      </c>
      <c r="K6547" s="10">
        <v>40.9</v>
      </c>
      <c r="L6547" s="10">
        <v>40.9</v>
      </c>
      <c r="M6547" s="6" t="s">
        <v>371</v>
      </c>
    </row>
    <row r="6548" spans="1:13">
      <c r="A6548" s="6">
        <v>2025</v>
      </c>
      <c r="B6548" s="6">
        <v>10</v>
      </c>
      <c r="C6548" s="6" t="s">
        <v>68</v>
      </c>
      <c r="D6548" s="6" t="s">
        <v>563</v>
      </c>
      <c r="E6548" s="6" t="s">
        <v>396</v>
      </c>
      <c r="F6548" s="6" t="str">
        <f>IF($M6548="PADD I","PADD 1",IF($M6548="PADD II","PADD 2",IF($M6548="PADD III","PADD 3",IF($M6548="PADD IV","PADD 4",IF($M6548="PADD V","PADD 5","")))))</f>
        <v>PADD 3</v>
      </c>
      <c r="G6548" s="6">
        <f>IF(AND($H6548="ATMOS DISTILLATION",ISNUMBER(SEARCH("VPS",$I6548))=FALSE,LEFT($I6548,6)&lt;&gt;"VACUUM"),"CDU",IF($H6548="FLUID CAT CRACKING","FCC",IF(OR($H6548="HYDROCRACKING",$H6548="RESID_HYDROCRACKING"),"Hydrocracker",IF($H6548="REFORMING","Reformer",""))))</f>
        <v/>
      </c>
      <c r="H6548" s="6" t="s">
        <v>43</v>
      </c>
      <c r="I6548" s="6" t="s">
        <v>564</v>
      </c>
      <c r="J6548" s="6" t="s">
        <v>345</v>
      </c>
      <c r="K6548" s="10">
        <v>40.9</v>
      </c>
      <c r="L6548" s="10">
        <v>40.9</v>
      </c>
      <c r="M6548" s="6" t="s">
        <v>371</v>
      </c>
    </row>
    <row r="6549" spans="1:13">
      <c r="A6549" s="6">
        <v>2025</v>
      </c>
      <c r="B6549" s="6">
        <v>10</v>
      </c>
      <c r="C6549" s="6" t="s">
        <v>68</v>
      </c>
      <c r="D6549" s="6" t="s">
        <v>612</v>
      </c>
      <c r="E6549" s="6" t="s">
        <v>416</v>
      </c>
      <c r="F6549" s="6" t="str">
        <f>IF($M6549="PADD I","PADD 1",IF($M6549="PADD II","PADD 2",IF($M6549="PADD III","PADD 3",IF($M6549="PADD IV","PADD 4",IF($M6549="PADD V","PADD 5","")))))</f>
        <v>PADD 3</v>
      </c>
      <c r="G6549" s="6">
        <f>IF(AND($H6549="ATMOS DISTILLATION",ISNUMBER(SEARCH("VPS",$I6549))=FALSE,LEFT($I6549,6)&lt;&gt;"VACUUM"),"CDU",IF($H6549="FLUID CAT CRACKING","FCC",IF(OR($H6549="HYDROCRACKING",$H6549="RESID_HYDROCRACKING"),"Hydrocracker",IF($H6549="REFORMING","Reformer",""))))</f>
        <v/>
      </c>
      <c r="H6549" s="6" t="s">
        <v>43</v>
      </c>
      <c r="I6549" s="6" t="s">
        <v>458</v>
      </c>
      <c r="J6549" s="6" t="s">
        <v>349</v>
      </c>
      <c r="K6549" s="10">
        <v>40</v>
      </c>
      <c r="L6549" s="10">
        <v>40</v>
      </c>
      <c r="M6549" s="6" t="s">
        <v>371</v>
      </c>
    </row>
    <row r="6550" spans="1:13">
      <c r="A6550" s="6">
        <v>2025</v>
      </c>
      <c r="B6550" s="6">
        <v>10</v>
      </c>
      <c r="C6550" s="6" t="s">
        <v>68</v>
      </c>
      <c r="D6550" s="6" t="s">
        <v>408</v>
      </c>
      <c r="E6550" s="6" t="s">
        <v>409</v>
      </c>
      <c r="F6550" s="6" t="str">
        <f>IF($M6550="PADD I","PADD 1",IF($M6550="PADD II","PADD 2",IF($M6550="PADD III","PADD 3",IF($M6550="PADD IV","PADD 4",IF($M6550="PADD V","PADD 5","")))))</f>
        <v>PADD 3</v>
      </c>
      <c r="G6550" s="6" t="str">
        <f>IF(AND($H6550="ATMOS DISTILLATION",ISNUMBER(SEARCH("VPS",$I6550))=FALSE,LEFT($I6550,6)&lt;&gt;"VACUUM"),"CDU",IF($H6550="FLUID CAT CRACKING","FCC",IF(OR($H6550="HYDROCRACKING",$H6550="RESID_HYDROCRACKING"),"Hydrocracker",IF($H6550="REFORMING","Reformer",""))))</f>
        <v>CDU</v>
      </c>
      <c r="H6550" s="6" t="s">
        <v>38</v>
      </c>
      <c r="I6550" s="6" t="s">
        <v>522</v>
      </c>
      <c r="J6550" s="6" t="s">
        <v>349</v>
      </c>
      <c r="K6550" s="10">
        <v>40</v>
      </c>
      <c r="L6550" s="10">
        <v>40</v>
      </c>
      <c r="M6550" s="6" t="s">
        <v>371</v>
      </c>
    </row>
    <row r="6551" spans="1:13">
      <c r="A6551" s="6">
        <v>2025</v>
      </c>
      <c r="B6551" s="6">
        <v>10</v>
      </c>
      <c r="C6551" s="6" t="s">
        <v>68</v>
      </c>
      <c r="D6551" s="6" t="s">
        <v>51</v>
      </c>
      <c r="E6551" s="6" t="s">
        <v>391</v>
      </c>
      <c r="F6551" s="6" t="str">
        <f>IF($M6551="PADD I","PADD 1",IF($M6551="PADD II","PADD 2",IF($M6551="PADD III","PADD 3",IF($M6551="PADD IV","PADD 4",IF($M6551="PADD V","PADD 5","")))))</f>
        <v>PADD 5</v>
      </c>
      <c r="G6551" s="6" t="str">
        <f>IF(AND($H6551="ATMOS DISTILLATION",ISNUMBER(SEARCH("VPS",$I6551))=FALSE,LEFT($I6551,6)&lt;&gt;"VACUUM"),"CDU",IF($H6551="FLUID CAT CRACKING","FCC",IF(OR($H6551="HYDROCRACKING",$H6551="RESID_HYDROCRACKING"),"Hydrocracker",IF($H6551="REFORMING","Reformer",""))))</f>
        <v>CDU</v>
      </c>
      <c r="H6551" s="6" t="s">
        <v>38</v>
      </c>
      <c r="I6551" s="6" t="s">
        <v>1163</v>
      </c>
      <c r="J6551" s="6" t="s">
        <v>345</v>
      </c>
      <c r="K6551" s="10">
        <v>39.1</v>
      </c>
      <c r="L6551" s="10">
        <v>170</v>
      </c>
      <c r="M6551" s="6" t="s">
        <v>386</v>
      </c>
    </row>
    <row r="6552" spans="1:13">
      <c r="A6552" s="6">
        <v>2025</v>
      </c>
      <c r="B6552" s="6">
        <v>10</v>
      </c>
      <c r="C6552" s="6" t="s">
        <v>68</v>
      </c>
      <c r="D6552" s="6" t="s">
        <v>51</v>
      </c>
      <c r="E6552" s="6" t="s">
        <v>391</v>
      </c>
      <c r="F6552" s="6" t="str">
        <f>IF($M6552="PADD I","PADD 1",IF($M6552="PADD II","PADD 2",IF($M6552="PADD III","PADD 3",IF($M6552="PADD IV","PADD 4",IF($M6552="PADD V","PADD 5","")))))</f>
        <v>PADD 5</v>
      </c>
      <c r="G6552" s="6">
        <f>IF(AND($H6552="ATMOS DISTILLATION",ISNUMBER(SEARCH("VPS",$I6552))=FALSE,LEFT($I6552,6)&lt;&gt;"VACUUM"),"CDU",IF($H6552="FLUID CAT CRACKING","FCC",IF(OR($H6552="HYDROCRACKING",$H6552="RESID_HYDROCRACKING"),"Hydrocracker",IF($H6552="REFORMING","Reformer",""))))</f>
        <v/>
      </c>
      <c r="H6552" s="6" t="s">
        <v>378</v>
      </c>
      <c r="I6552" s="6" t="s">
        <v>1035</v>
      </c>
      <c r="J6552" s="6" t="s">
        <v>345</v>
      </c>
      <c r="K6552" s="10">
        <v>37.03</v>
      </c>
      <c r="L6552" s="10">
        <v>161</v>
      </c>
      <c r="M6552" s="6" t="s">
        <v>386</v>
      </c>
    </row>
    <row r="6553" spans="1:13">
      <c r="A6553" s="6">
        <v>2025</v>
      </c>
      <c r="B6553" s="6">
        <v>10</v>
      </c>
      <c r="C6553" s="6" t="s">
        <v>68</v>
      </c>
      <c r="D6553" s="6" t="s">
        <v>51</v>
      </c>
      <c r="E6553" s="6" t="s">
        <v>391</v>
      </c>
      <c r="F6553" s="6" t="str">
        <f>IF($M6553="PADD I","PADD 1",IF($M6553="PADD II","PADD 2",IF($M6553="PADD III","PADD 3",IF($M6553="PADD IV","PADD 4",IF($M6553="PADD V","PADD 5","")))))</f>
        <v>PADD 5</v>
      </c>
      <c r="G6553" s="6">
        <f>IF(AND($H6553="ATMOS DISTILLATION",ISNUMBER(SEARCH("VPS",$I6553))=FALSE,LEFT($I6553,6)&lt;&gt;"VACUUM"),"CDU",IF($H6553="FLUID CAT CRACKING","FCC",IF(OR($H6553="HYDROCRACKING",$H6553="RESID_HYDROCRACKING"),"Hydrocracker",IF($H6553="REFORMING","Reformer",""))))</f>
        <v/>
      </c>
      <c r="H6553" s="6" t="s">
        <v>43</v>
      </c>
      <c r="I6553" s="6" t="s">
        <v>1167</v>
      </c>
      <c r="J6553" s="6" t="s">
        <v>345</v>
      </c>
      <c r="K6553" s="10">
        <v>36.4</v>
      </c>
      <c r="L6553" s="10">
        <v>70</v>
      </c>
      <c r="M6553" s="6" t="s">
        <v>386</v>
      </c>
    </row>
    <row r="6554" spans="1:13">
      <c r="A6554" s="6">
        <v>2025</v>
      </c>
      <c r="B6554" s="6">
        <v>10</v>
      </c>
      <c r="C6554" s="6" t="s">
        <v>68</v>
      </c>
      <c r="D6554" s="6" t="s">
        <v>511</v>
      </c>
      <c r="E6554" s="6" t="s">
        <v>405</v>
      </c>
      <c r="F6554" s="6" t="str">
        <f>IF($M6554="PADD I","PADD 1",IF($M6554="PADD II","PADD 2",IF($M6554="PADD III","PADD 3",IF($M6554="PADD IV","PADD 4",IF($M6554="PADD V","PADD 5","")))))</f>
        <v>PADD 3</v>
      </c>
      <c r="G6554" s="6" t="str">
        <f>IF(AND($H6554="ATMOS DISTILLATION",ISNUMBER(SEARCH("VPS",$I6554))=FALSE,LEFT($I6554,6)&lt;&gt;"VACUUM"),"CDU",IF($H6554="FLUID CAT CRACKING","FCC",IF(OR($H6554="HYDROCRACKING",$H6554="RESID_HYDROCRACKING"),"Hydrocracker",IF($H6554="REFORMING","Reformer",""))))</f>
        <v>FCC</v>
      </c>
      <c r="H6554" s="6" t="s">
        <v>376</v>
      </c>
      <c r="I6554" s="6" t="s">
        <v>105</v>
      </c>
      <c r="J6554" s="6" t="s">
        <v>345</v>
      </c>
      <c r="K6554" s="10">
        <v>35.75</v>
      </c>
      <c r="L6554" s="10">
        <v>65</v>
      </c>
      <c r="M6554" s="6" t="s">
        <v>371</v>
      </c>
    </row>
    <row r="6555" spans="1:13">
      <c r="A6555" s="6">
        <v>2025</v>
      </c>
      <c r="B6555" s="6">
        <v>10</v>
      </c>
      <c r="C6555" s="6" t="s">
        <v>68</v>
      </c>
      <c r="D6555" s="6" t="s">
        <v>319</v>
      </c>
      <c r="E6555" s="6" t="s">
        <v>665</v>
      </c>
      <c r="F6555" s="6" t="str">
        <f>IF($M6555="PADD I","PADD 1",IF($M6555="PADD II","PADD 2",IF($M6555="PADD III","PADD 3",IF($M6555="PADD IV","PADD 4",IF($M6555="PADD V","PADD 5","")))))</f>
        <v>PADD 3</v>
      </c>
      <c r="G6555" s="6">
        <f>IF(AND($H6555="ATMOS DISTILLATION",ISNUMBER(SEARCH("VPS",$I6555))=FALSE,LEFT($I6555,6)&lt;&gt;"VACUUM"),"CDU",IF($H6555="FLUID CAT CRACKING","FCC",IF(OR($H6555="HYDROCRACKING",$H6555="RESID_HYDROCRACKING"),"Hydrocracker",IF($H6555="REFORMING","Reformer",""))))</f>
        <v/>
      </c>
      <c r="H6555" s="6" t="s">
        <v>43</v>
      </c>
      <c r="I6555" s="6" t="s">
        <v>883</v>
      </c>
      <c r="J6555" s="6" t="s">
        <v>349</v>
      </c>
      <c r="K6555" s="10">
        <v>35.5</v>
      </c>
      <c r="L6555" s="10">
        <v>50</v>
      </c>
      <c r="M6555" s="6" t="s">
        <v>371</v>
      </c>
    </row>
    <row r="6556" spans="1:13">
      <c r="A6556" s="6">
        <v>2025</v>
      </c>
      <c r="B6556" s="6">
        <v>10</v>
      </c>
      <c r="C6556" s="6" t="s">
        <v>68</v>
      </c>
      <c r="D6556" s="6" t="s">
        <v>51</v>
      </c>
      <c r="E6556" s="6" t="s">
        <v>391</v>
      </c>
      <c r="F6556" s="6" t="str">
        <f>IF($M6556="PADD I","PADD 1",IF($M6556="PADD II","PADD 2",IF($M6556="PADD III","PADD 3",IF($M6556="PADD IV","PADD 4",IF($M6556="PADD V","PADD 5","")))))</f>
        <v>PADD 5</v>
      </c>
      <c r="G6556" s="6">
        <f>IF(AND($H6556="ATMOS DISTILLATION",ISNUMBER(SEARCH("VPS",$I6556))=FALSE,LEFT($I6556,6)&lt;&gt;"VACUUM"),"CDU",IF($H6556="FLUID CAT CRACKING","FCC",IF(OR($H6556="HYDROCRACKING",$H6556="RESID_HYDROCRACKING"),"Hydrocracker",IF($H6556="REFORMING","Reformer",""))))</f>
        <v/>
      </c>
      <c r="H6556" s="6" t="s">
        <v>435</v>
      </c>
      <c r="I6556" s="6" t="s">
        <v>441</v>
      </c>
      <c r="J6556" s="6" t="s">
        <v>345</v>
      </c>
      <c r="K6556" s="10">
        <v>35.36</v>
      </c>
      <c r="L6556" s="10">
        <v>68</v>
      </c>
      <c r="M6556" s="6" t="s">
        <v>386</v>
      </c>
    </row>
    <row r="6557" spans="1:13">
      <c r="A6557" s="6">
        <v>2025</v>
      </c>
      <c r="B6557" s="6">
        <v>10</v>
      </c>
      <c r="C6557" s="6" t="s">
        <v>68</v>
      </c>
      <c r="D6557" s="6" t="s">
        <v>51</v>
      </c>
      <c r="E6557" s="6" t="s">
        <v>391</v>
      </c>
      <c r="F6557" s="6" t="str">
        <f>IF($M6557="PADD I","PADD 1",IF($M6557="PADD II","PADD 2",IF($M6557="PADD III","PADD 3",IF($M6557="PADD IV","PADD 4",IF($M6557="PADD V","PADD 5","")))))</f>
        <v>PADD 5</v>
      </c>
      <c r="G6557" s="6">
        <f>IF(AND($H6557="ATMOS DISTILLATION",ISNUMBER(SEARCH("VPS",$I6557))=FALSE,LEFT($I6557,6)&lt;&gt;"VACUUM"),"CDU",IF($H6557="FLUID CAT CRACKING","FCC",IF(OR($H6557="HYDROCRACKING",$H6557="RESID_HYDROCRACKING"),"Hydrocracker",IF($H6557="REFORMING","Reformer",""))))</f>
        <v/>
      </c>
      <c r="H6557" s="6" t="s">
        <v>43</v>
      </c>
      <c r="I6557" s="6" t="s">
        <v>1230</v>
      </c>
      <c r="J6557" s="6" t="s">
        <v>345</v>
      </c>
      <c r="K6557" s="10">
        <v>35.36</v>
      </c>
      <c r="L6557" s="10">
        <v>68</v>
      </c>
      <c r="M6557" s="6" t="s">
        <v>386</v>
      </c>
    </row>
    <row r="6558" spans="1:13">
      <c r="A6558" s="6">
        <v>2025</v>
      </c>
      <c r="B6558" s="6">
        <v>10</v>
      </c>
      <c r="C6558" s="6" t="s">
        <v>68</v>
      </c>
      <c r="D6558" s="6" t="s">
        <v>51</v>
      </c>
      <c r="E6558" s="6" t="s">
        <v>391</v>
      </c>
      <c r="F6558" s="6" t="str">
        <f>IF($M6558="PADD I","PADD 1",IF($M6558="PADD II","PADD 2",IF($M6558="PADD III","PADD 3",IF($M6558="PADD IV","PADD 4",IF($M6558="PADD V","PADD 5","")))))</f>
        <v>PADD 5</v>
      </c>
      <c r="G6558" s="6" t="str">
        <f>IF(AND($H6558="ATMOS DISTILLATION",ISNUMBER(SEARCH("VPS",$I6558))=FALSE,LEFT($I6558,6)&lt;&gt;"VACUUM"),"CDU",IF($H6558="FLUID CAT CRACKING","FCC",IF(OR($H6558="HYDROCRACKING",$H6558="RESID_HYDROCRACKING"),"Hydrocracker",IF($H6558="REFORMING","Reformer",""))))</f>
        <v>CDU</v>
      </c>
      <c r="H6558" s="6" t="s">
        <v>38</v>
      </c>
      <c r="I6558" s="6" t="s">
        <v>135</v>
      </c>
      <c r="J6558" s="6" t="s">
        <v>345</v>
      </c>
      <c r="K6558" s="10">
        <v>35.1</v>
      </c>
      <c r="L6558" s="10">
        <v>90</v>
      </c>
      <c r="M6558" s="6" t="s">
        <v>386</v>
      </c>
    </row>
    <row r="6559" spans="1:13">
      <c r="A6559" s="6">
        <v>2025</v>
      </c>
      <c r="B6559" s="6">
        <v>10</v>
      </c>
      <c r="C6559" s="6" t="s">
        <v>68</v>
      </c>
      <c r="D6559" s="6" t="s">
        <v>322</v>
      </c>
      <c r="E6559" s="6" t="s">
        <v>369</v>
      </c>
      <c r="F6559" s="6" t="str">
        <f>IF($M6559="PADD I","PADD 1",IF($M6559="PADD II","PADD 2",IF($M6559="PADD III","PADD 3",IF($M6559="PADD IV","PADD 4",IF($M6559="PADD V","PADD 5","")))))</f>
        <v>PADD 2</v>
      </c>
      <c r="G6559" s="6" t="str">
        <f>IF(AND($H6559="ATMOS DISTILLATION",ISNUMBER(SEARCH("VPS",$I6559))=FALSE,LEFT($I6559,6)&lt;&gt;"VACUUM"),"CDU",IF($H6559="FLUID CAT CRACKING","FCC",IF(OR($H6559="HYDROCRACKING",$H6559="RESID_HYDROCRACKING"),"Hydrocracker",IF($H6559="REFORMING","Reformer",""))))</f>
        <v>CDU</v>
      </c>
      <c r="H6559" s="6" t="s">
        <v>38</v>
      </c>
      <c r="I6559" s="6" t="s">
        <v>911</v>
      </c>
      <c r="J6559" s="6" t="s">
        <v>345</v>
      </c>
      <c r="K6559" s="10">
        <v>35.1</v>
      </c>
      <c r="L6559" s="10">
        <v>67.5</v>
      </c>
      <c r="M6559" s="6" t="s">
        <v>375</v>
      </c>
    </row>
    <row r="6560" spans="1:13">
      <c r="A6560" s="6">
        <v>2025</v>
      </c>
      <c r="B6560" s="6">
        <v>10</v>
      </c>
      <c r="C6560" s="6" t="s">
        <v>68</v>
      </c>
      <c r="D6560" s="6" t="s">
        <v>1038</v>
      </c>
      <c r="E6560" s="6" t="s">
        <v>1039</v>
      </c>
      <c r="F6560" s="6" t="str">
        <f>IF($M6560="PADD I","PADD 1",IF($M6560="PADD II","PADD 2",IF($M6560="PADD III","PADD 3",IF($M6560="PADD IV","PADD 4",IF($M6560="PADD V","PADD 5","")))))</f>
        <v>PADD 2</v>
      </c>
      <c r="G6560" s="6" t="str">
        <f>IF(AND($H6560="ATMOS DISTILLATION",ISNUMBER(SEARCH("VPS",$I6560))=FALSE,LEFT($I6560,6)&lt;&gt;"VACUUM"),"CDU",IF($H6560="FLUID CAT CRACKING","FCC",IF(OR($H6560="HYDROCRACKING",$H6560="RESID_HYDROCRACKING"),"Hydrocracker",IF($H6560="REFORMING","Reformer",""))))</f>
        <v>CDU</v>
      </c>
      <c r="H6560" s="6" t="s">
        <v>38</v>
      </c>
      <c r="I6560" s="6" t="s">
        <v>917</v>
      </c>
      <c r="J6560" s="6" t="s">
        <v>349</v>
      </c>
      <c r="K6560" s="10">
        <v>35</v>
      </c>
      <c r="L6560" s="10">
        <v>35</v>
      </c>
      <c r="M6560" s="6" t="s">
        <v>375</v>
      </c>
    </row>
    <row r="6561" spans="1:13">
      <c r="A6561" s="6">
        <v>2025</v>
      </c>
      <c r="B6561" s="6">
        <v>10</v>
      </c>
      <c r="C6561" s="6" t="s">
        <v>68</v>
      </c>
      <c r="D6561" s="6" t="s">
        <v>322</v>
      </c>
      <c r="E6561" s="6" t="s">
        <v>369</v>
      </c>
      <c r="F6561" s="6" t="str">
        <f>IF($M6561="PADD I","PADD 1",IF($M6561="PADD II","PADD 2",IF($M6561="PADD III","PADD 3",IF($M6561="PADD IV","PADD 4",IF($M6561="PADD V","PADD 5","")))))</f>
        <v>PADD 2</v>
      </c>
      <c r="G6561" s="6" t="str">
        <f>IF(AND($H6561="ATMOS DISTILLATION",ISNUMBER(SEARCH("VPS",$I6561))=FALSE,LEFT($I6561,6)&lt;&gt;"VACUUM"),"CDU",IF($H6561="FLUID CAT CRACKING","FCC",IF(OR($H6561="HYDROCRACKING",$H6561="RESID_HYDROCRACKING"),"Hydrocracker",IF($H6561="REFORMING","Reformer",""))))</f>
        <v>CDU</v>
      </c>
      <c r="H6561" s="6" t="s">
        <v>38</v>
      </c>
      <c r="I6561" s="6" t="s">
        <v>911</v>
      </c>
      <c r="J6561" s="6" t="s">
        <v>349</v>
      </c>
      <c r="K6561" s="10">
        <v>35</v>
      </c>
      <c r="L6561" s="10">
        <v>35</v>
      </c>
      <c r="M6561" s="6" t="s">
        <v>375</v>
      </c>
    </row>
    <row r="6562" spans="1:13">
      <c r="A6562" s="6">
        <v>2025</v>
      </c>
      <c r="B6562" s="6">
        <v>10</v>
      </c>
      <c r="C6562" s="6" t="s">
        <v>68</v>
      </c>
      <c r="D6562" s="6" t="s">
        <v>576</v>
      </c>
      <c r="E6562" s="6" t="s">
        <v>369</v>
      </c>
      <c r="F6562" s="6" t="str">
        <f>IF($M6562="PADD I","PADD 1",IF($M6562="PADD II","PADD 2",IF($M6562="PADD III","PADD 3",IF($M6562="PADD IV","PADD 4",IF($M6562="PADD V","PADD 5","")))))</f>
        <v>PADD 3</v>
      </c>
      <c r="G6562" s="6" t="str">
        <f>IF(AND($H6562="ATMOS DISTILLATION",ISNUMBER(SEARCH("VPS",$I6562))=FALSE,LEFT($I6562,6)&lt;&gt;"VACUUM"),"CDU",IF($H6562="FLUID CAT CRACKING","FCC",IF(OR($H6562="HYDROCRACKING",$H6562="RESID_HYDROCRACKING"),"Hydrocracker",IF($H6562="REFORMING","Reformer",""))))</f>
        <v>CDU</v>
      </c>
      <c r="H6562" s="6" t="s">
        <v>38</v>
      </c>
      <c r="I6562" s="6" t="s">
        <v>1319</v>
      </c>
      <c r="J6562" s="6" t="s">
        <v>345</v>
      </c>
      <c r="K6562" s="10">
        <v>34.86</v>
      </c>
      <c r="L6562" s="10">
        <v>83</v>
      </c>
      <c r="M6562" s="6" t="s">
        <v>371</v>
      </c>
    </row>
    <row r="6563" spans="1:13">
      <c r="A6563" s="6">
        <v>2025</v>
      </c>
      <c r="B6563" s="6">
        <v>10</v>
      </c>
      <c r="C6563" s="6" t="s">
        <v>68</v>
      </c>
      <c r="D6563" s="6" t="s">
        <v>324</v>
      </c>
      <c r="E6563" s="6" t="s">
        <v>388</v>
      </c>
      <c r="F6563" s="6" t="str">
        <f>IF($M6563="PADD I","PADD 1",IF($M6563="PADD II","PADD 2",IF($M6563="PADD III","PADD 3",IF($M6563="PADD IV","PADD 4",IF($M6563="PADD V","PADD 5","")))))</f>
        <v>PADD 3</v>
      </c>
      <c r="G6563" s="6">
        <f>IF(AND($H6563="ATMOS DISTILLATION",ISNUMBER(SEARCH("VPS",$I6563))=FALSE,LEFT($I6563,6)&lt;&gt;"VACUUM"),"CDU",IF($H6563="FLUID CAT CRACKING","FCC",IF(OR($H6563="HYDROCRACKING",$H6563="RESID_HYDROCRACKING"),"Hydrocracker",IF($H6563="REFORMING","Reformer",""))))</f>
        <v/>
      </c>
      <c r="H6563" s="6" t="s">
        <v>378</v>
      </c>
      <c r="I6563" s="6" t="s">
        <v>942</v>
      </c>
      <c r="J6563" s="6" t="s">
        <v>345</v>
      </c>
      <c r="K6563" s="10">
        <v>34.155</v>
      </c>
      <c r="L6563" s="10">
        <v>148.5</v>
      </c>
      <c r="M6563" s="6" t="s">
        <v>371</v>
      </c>
    </row>
    <row r="6564" spans="1:13">
      <c r="A6564" s="6">
        <v>2025</v>
      </c>
      <c r="B6564" s="6">
        <v>10</v>
      </c>
      <c r="C6564" s="6" t="s">
        <v>68</v>
      </c>
      <c r="D6564" s="6" t="s">
        <v>51</v>
      </c>
      <c r="E6564" s="6" t="s">
        <v>391</v>
      </c>
      <c r="F6564" s="6" t="str">
        <f>IF($M6564="PADD I","PADD 1",IF($M6564="PADD II","PADD 2",IF($M6564="PADD III","PADD 3",IF($M6564="PADD IV","PADD 4",IF($M6564="PADD V","PADD 5","")))))</f>
        <v>PADD 5</v>
      </c>
      <c r="G6564" s="6">
        <f>IF(AND($H6564="ATMOS DISTILLATION",ISNUMBER(SEARCH("VPS",$I6564))=FALSE,LEFT($I6564,6)&lt;&gt;"VACUUM"),"CDU",IF($H6564="FLUID CAT CRACKING","FCC",IF(OR($H6564="HYDROCRACKING",$H6564="RESID_HYDROCRACKING"),"Hydrocracker",IF($H6564="REFORMING","Reformer",""))))</f>
        <v/>
      </c>
      <c r="H6564" s="6" t="s">
        <v>43</v>
      </c>
      <c r="I6564" s="6" t="s">
        <v>859</v>
      </c>
      <c r="J6564" s="6" t="s">
        <v>345</v>
      </c>
      <c r="K6564" s="10">
        <v>33.95</v>
      </c>
      <c r="L6564" s="10">
        <v>35</v>
      </c>
      <c r="M6564" s="6" t="s">
        <v>386</v>
      </c>
    </row>
    <row r="6565" spans="1:13">
      <c r="A6565" s="6">
        <v>2025</v>
      </c>
      <c r="B6565" s="6">
        <v>10</v>
      </c>
      <c r="C6565" s="6" t="s">
        <v>68</v>
      </c>
      <c r="D6565" s="6" t="s">
        <v>324</v>
      </c>
      <c r="E6565" s="6" t="s">
        <v>388</v>
      </c>
      <c r="F6565" s="6" t="str">
        <f>IF($M6565="PADD I","PADD 1",IF($M6565="PADD II","PADD 2",IF($M6565="PADD III","PADD 3",IF($M6565="PADD IV","PADD 4",IF($M6565="PADD V","PADD 5","")))))</f>
        <v>PADD 3</v>
      </c>
      <c r="G6565" s="6">
        <f>IF(AND($H6565="ATMOS DISTILLATION",ISNUMBER(SEARCH("VPS",$I6565))=FALSE,LEFT($I6565,6)&lt;&gt;"VACUUM"),"CDU",IF($H6565="FLUID CAT CRACKING","FCC",IF(OR($H6565="HYDROCRACKING",$H6565="RESID_HYDROCRACKING"),"Hydrocracker",IF($H6565="REFORMING","Reformer",""))))</f>
        <v/>
      </c>
      <c r="H6565" s="6" t="s">
        <v>43</v>
      </c>
      <c r="I6565" s="6" t="s">
        <v>682</v>
      </c>
      <c r="J6565" s="6" t="s">
        <v>345</v>
      </c>
      <c r="K6565" s="10">
        <v>33.92</v>
      </c>
      <c r="L6565" s="10">
        <v>106</v>
      </c>
      <c r="M6565" s="6" t="s">
        <v>371</v>
      </c>
    </row>
    <row r="6566" spans="1:13">
      <c r="A6566" s="6">
        <v>2025</v>
      </c>
      <c r="B6566" s="6">
        <v>10</v>
      </c>
      <c r="C6566" s="6" t="s">
        <v>68</v>
      </c>
      <c r="D6566" s="6" t="s">
        <v>639</v>
      </c>
      <c r="E6566" s="6" t="s">
        <v>452</v>
      </c>
      <c r="F6566" s="6" t="str">
        <f>IF($M6566="PADD I","PADD 1",IF($M6566="PADD II","PADD 2",IF($M6566="PADD III","PADD 3",IF($M6566="PADD IV","PADD 4",IF($M6566="PADD V","PADD 5","")))))</f>
        <v>PADD 5</v>
      </c>
      <c r="G6566" s="6">
        <f>IF(AND($H6566="ATMOS DISTILLATION",ISNUMBER(SEARCH("VPS",$I6566))=FALSE,LEFT($I6566,6)&lt;&gt;"VACUUM"),"CDU",IF($H6566="FLUID CAT CRACKING","FCC",IF(OR($H6566="HYDROCRACKING",$H6566="RESID_HYDROCRACKING"),"Hydrocracker",IF($H6566="REFORMING","Reformer",""))))</f>
        <v/>
      </c>
      <c r="H6566" s="6" t="s">
        <v>43</v>
      </c>
      <c r="I6566" s="6" t="s">
        <v>1333</v>
      </c>
      <c r="J6566" s="6" t="s">
        <v>349</v>
      </c>
      <c r="K6566" s="10">
        <v>33</v>
      </c>
      <c r="L6566" s="10">
        <v>33</v>
      </c>
      <c r="M6566" s="6" t="s">
        <v>386</v>
      </c>
    </row>
    <row r="6567" spans="1:13">
      <c r="A6567" s="6">
        <v>2025</v>
      </c>
      <c r="B6567" s="6">
        <v>10</v>
      </c>
      <c r="C6567" s="6" t="s">
        <v>68</v>
      </c>
      <c r="D6567" s="6" t="s">
        <v>639</v>
      </c>
      <c r="E6567" s="6" t="s">
        <v>452</v>
      </c>
      <c r="F6567" s="6" t="str">
        <f>IF($M6567="PADD I","PADD 1",IF($M6567="PADD II","PADD 2",IF($M6567="PADD III","PADD 3",IF($M6567="PADD IV","PADD 4",IF($M6567="PADD V","PADD 5","")))))</f>
        <v>PADD 5</v>
      </c>
      <c r="G6567" s="6">
        <f>IF(AND($H6567="ATMOS DISTILLATION",ISNUMBER(SEARCH("VPS",$I6567))=FALSE,LEFT($I6567,6)&lt;&gt;"VACUUM"),"CDU",IF($H6567="FLUID CAT CRACKING","FCC",IF(OR($H6567="HYDROCRACKING",$H6567="RESID_HYDROCRACKING"),"Hydrocracker",IF($H6567="REFORMING","Reformer",""))))</f>
        <v/>
      </c>
      <c r="H6567" s="6" t="s">
        <v>378</v>
      </c>
      <c r="I6567" s="6" t="s">
        <v>379</v>
      </c>
      <c r="J6567" s="6" t="s">
        <v>349</v>
      </c>
      <c r="K6567" s="10">
        <v>32.9</v>
      </c>
      <c r="L6567" s="10">
        <v>32.9</v>
      </c>
      <c r="M6567" s="6" t="s">
        <v>386</v>
      </c>
    </row>
    <row r="6568" spans="1:13">
      <c r="A6568" s="6">
        <v>2025</v>
      </c>
      <c r="B6568" s="6">
        <v>10</v>
      </c>
      <c r="C6568" s="6" t="s">
        <v>68</v>
      </c>
      <c r="D6568" s="6" t="s">
        <v>612</v>
      </c>
      <c r="E6568" s="6" t="s">
        <v>416</v>
      </c>
      <c r="F6568" s="6" t="str">
        <f>IF($M6568="PADD I","PADD 1",IF($M6568="PADD II","PADD 2",IF($M6568="PADD III","PADD 3",IF($M6568="PADD IV","PADD 4",IF($M6568="PADD V","PADD 5","")))))</f>
        <v>PADD 3</v>
      </c>
      <c r="G6568" s="6">
        <f>IF(AND($H6568="ATMOS DISTILLATION",ISNUMBER(SEARCH("VPS",$I6568))=FALSE,LEFT($I6568,6)&lt;&gt;"VACUUM"),"CDU",IF($H6568="FLUID CAT CRACKING","FCC",IF(OR($H6568="HYDROCRACKING",$H6568="RESID_HYDROCRACKING"),"Hydrocracker",IF($H6568="REFORMING","Reformer",""))))</f>
        <v/>
      </c>
      <c r="H6568" s="6" t="s">
        <v>435</v>
      </c>
      <c r="I6568" s="6" t="s">
        <v>441</v>
      </c>
      <c r="J6568" s="6" t="s">
        <v>345</v>
      </c>
      <c r="K6568" s="10">
        <v>32.56</v>
      </c>
      <c r="L6568" s="10">
        <v>44</v>
      </c>
      <c r="M6568" s="6" t="s">
        <v>371</v>
      </c>
    </row>
    <row r="6569" spans="1:13">
      <c r="A6569" s="6">
        <v>2025</v>
      </c>
      <c r="B6569" s="6">
        <v>10</v>
      </c>
      <c r="C6569" s="6" t="s">
        <v>68</v>
      </c>
      <c r="D6569" s="6" t="s">
        <v>770</v>
      </c>
      <c r="E6569" s="6" t="s">
        <v>660</v>
      </c>
      <c r="F6569" s="6" t="str">
        <f>IF($M6569="PADD I","PADD 1",IF($M6569="PADD II","PADD 2",IF($M6569="PADD III","PADD 3",IF($M6569="PADD IV","PADD 4",IF($M6569="PADD V","PADD 5","")))))</f>
        <v>PADD 3</v>
      </c>
      <c r="G6569" s="6">
        <f>IF(AND($H6569="ATMOS DISTILLATION",ISNUMBER(SEARCH("VPS",$I6569))=FALSE,LEFT($I6569,6)&lt;&gt;"VACUUM"),"CDU",IF($H6569="FLUID CAT CRACKING","FCC",IF(OR($H6569="HYDROCRACKING",$H6569="RESID_HYDROCRACKING"),"Hydrocracker",IF($H6569="REFORMING","Reformer",""))))</f>
        <v/>
      </c>
      <c r="H6569" s="6" t="s">
        <v>435</v>
      </c>
      <c r="I6569" s="6" t="s">
        <v>441</v>
      </c>
      <c r="J6569" s="6" t="s">
        <v>345</v>
      </c>
      <c r="K6569" s="10">
        <v>32</v>
      </c>
      <c r="L6569" s="10">
        <v>32</v>
      </c>
      <c r="M6569" s="6" t="s">
        <v>371</v>
      </c>
    </row>
    <row r="6570" spans="1:13">
      <c r="A6570" s="6">
        <v>2025</v>
      </c>
      <c r="B6570" s="6">
        <v>10</v>
      </c>
      <c r="C6570" s="6" t="s">
        <v>68</v>
      </c>
      <c r="D6570" s="6" t="s">
        <v>326</v>
      </c>
      <c r="E6570" s="6" t="s">
        <v>385</v>
      </c>
      <c r="F6570" s="6" t="str">
        <f>IF($M6570="PADD I","PADD 1",IF($M6570="PADD II","PADD 2",IF($M6570="PADD III","PADD 3",IF($M6570="PADD IV","PADD 4",IF($M6570="PADD V","PADD 5","")))))</f>
        <v>PADD 5</v>
      </c>
      <c r="G6570" s="6">
        <f>IF(AND($H6570="ATMOS DISTILLATION",ISNUMBER(SEARCH("VPS",$I6570))=FALSE,LEFT($I6570,6)&lt;&gt;"VACUUM"),"CDU",IF($H6570="FLUID CAT CRACKING","FCC",IF(OR($H6570="HYDROCRACKING",$H6570="RESID_HYDROCRACKING"),"Hydrocracker",IF($H6570="REFORMING","Reformer",""))))</f>
        <v/>
      </c>
      <c r="H6570" s="6" t="s">
        <v>378</v>
      </c>
      <c r="I6570" s="6" t="s">
        <v>431</v>
      </c>
      <c r="J6570" s="6" t="s">
        <v>345</v>
      </c>
      <c r="K6570" s="10">
        <v>31.5</v>
      </c>
      <c r="L6570" s="10">
        <v>31.5</v>
      </c>
      <c r="M6570" s="6" t="s">
        <v>386</v>
      </c>
    </row>
    <row r="6571" spans="1:13">
      <c r="A6571" s="6">
        <v>2025</v>
      </c>
      <c r="B6571" s="6">
        <v>10</v>
      </c>
      <c r="C6571" s="6" t="s">
        <v>68</v>
      </c>
      <c r="D6571" s="6" t="s">
        <v>51</v>
      </c>
      <c r="E6571" s="6" t="s">
        <v>391</v>
      </c>
      <c r="F6571" s="6" t="str">
        <f>IF($M6571="PADD I","PADD 1",IF($M6571="PADD II","PADD 2",IF($M6571="PADD III","PADD 3",IF($M6571="PADD IV","PADD 4",IF($M6571="PADD V","PADD 5","")))))</f>
        <v>PADD 5</v>
      </c>
      <c r="G6571" s="6" t="str">
        <f>IF(AND($H6571="ATMOS DISTILLATION",ISNUMBER(SEARCH("VPS",$I6571))=FALSE,LEFT($I6571,6)&lt;&gt;"VACUUM"),"CDU",IF($H6571="FLUID CAT CRACKING","FCC",IF(OR($H6571="HYDROCRACKING",$H6571="RESID_HYDROCRACKING"),"Hydrocracker",IF($H6571="REFORMING","Reformer",""))))</f>
        <v>Reformer</v>
      </c>
      <c r="H6571" s="6" t="s">
        <v>421</v>
      </c>
      <c r="I6571" s="6" t="s">
        <v>539</v>
      </c>
      <c r="J6571" s="6" t="s">
        <v>345</v>
      </c>
      <c r="K6571" s="10">
        <v>31.2</v>
      </c>
      <c r="L6571" s="10">
        <v>60</v>
      </c>
      <c r="M6571" s="6" t="s">
        <v>386</v>
      </c>
    </row>
    <row r="6572" spans="1:13">
      <c r="A6572" s="6">
        <v>2025</v>
      </c>
      <c r="B6572" s="6">
        <v>10</v>
      </c>
      <c r="C6572" s="6" t="s">
        <v>68</v>
      </c>
      <c r="D6572" s="6" t="s">
        <v>563</v>
      </c>
      <c r="E6572" s="6" t="s">
        <v>396</v>
      </c>
      <c r="F6572" s="6" t="str">
        <f>IF($M6572="PADD I","PADD 1",IF($M6572="PADD II","PADD 2",IF($M6572="PADD III","PADD 3",IF($M6572="PADD IV","PADD 4",IF($M6572="PADD V","PADD 5","")))))</f>
        <v>PADD 3</v>
      </c>
      <c r="G6572" s="6">
        <f>IF(AND($H6572="ATMOS DISTILLATION",ISNUMBER(SEARCH("VPS",$I6572))=FALSE,LEFT($I6572,6)&lt;&gt;"VACUUM"),"CDU",IF($H6572="FLUID CAT CRACKING","FCC",IF(OR($H6572="HYDROCRACKING",$H6572="RESID_HYDROCRACKING"),"Hydrocracker",IF($H6572="REFORMING","Reformer",""))))</f>
        <v/>
      </c>
      <c r="H6572" s="6" t="s">
        <v>43</v>
      </c>
      <c r="I6572" s="6" t="s">
        <v>449</v>
      </c>
      <c r="J6572" s="6" t="s">
        <v>345</v>
      </c>
      <c r="K6572" s="10">
        <v>31.185</v>
      </c>
      <c r="L6572" s="10">
        <v>38.5</v>
      </c>
      <c r="M6572" s="6" t="s">
        <v>371</v>
      </c>
    </row>
    <row r="6573" spans="1:13">
      <c r="A6573" s="6">
        <v>2025</v>
      </c>
      <c r="B6573" s="6">
        <v>10</v>
      </c>
      <c r="C6573" s="6" t="s">
        <v>68</v>
      </c>
      <c r="D6573" s="6" t="s">
        <v>468</v>
      </c>
      <c r="E6573" s="6" t="s">
        <v>369</v>
      </c>
      <c r="F6573" s="6" t="str">
        <f>IF($M6573="PADD I","PADD 1",IF($M6573="PADD II","PADD 2",IF($M6573="PADD III","PADD 3",IF($M6573="PADD IV","PADD 4",IF($M6573="PADD V","PADD 5","")))))</f>
        <v>PADD 3</v>
      </c>
      <c r="G6573" s="6" t="str">
        <f>IF(AND($H6573="ATMOS DISTILLATION",ISNUMBER(SEARCH("VPS",$I6573))=FALSE,LEFT($I6573,6)&lt;&gt;"VACUUM"),"CDU",IF($H6573="FLUID CAT CRACKING","FCC",IF(OR($H6573="HYDROCRACKING",$H6573="RESID_HYDROCRACKING"),"Hydrocracker",IF($H6573="REFORMING","Reformer",""))))</f>
        <v>FCC</v>
      </c>
      <c r="H6573" s="6" t="s">
        <v>376</v>
      </c>
      <c r="I6573" s="6" t="s">
        <v>473</v>
      </c>
      <c r="J6573" s="6" t="s">
        <v>349</v>
      </c>
      <c r="K6573" s="10">
        <v>30</v>
      </c>
      <c r="L6573" s="10">
        <v>30</v>
      </c>
      <c r="M6573" s="6" t="s">
        <v>371</v>
      </c>
    </row>
    <row r="6574" spans="1:13">
      <c r="A6574" s="6">
        <v>2025</v>
      </c>
      <c r="B6574" s="6">
        <v>10</v>
      </c>
      <c r="C6574" s="6" t="s">
        <v>68</v>
      </c>
      <c r="D6574" s="6" t="s">
        <v>408</v>
      </c>
      <c r="E6574" s="6" t="s">
        <v>409</v>
      </c>
      <c r="F6574" s="6" t="str">
        <f>IF($M6574="PADD I","PADD 1",IF($M6574="PADD II","PADD 2",IF($M6574="PADD III","PADD 3",IF($M6574="PADD IV","PADD 4",IF($M6574="PADD V","PADD 5","")))))</f>
        <v>PADD 3</v>
      </c>
      <c r="G6574" s="6">
        <f>IF(AND($H6574="ATMOS DISTILLATION",ISNUMBER(SEARCH("VPS",$I6574))=FALSE,LEFT($I6574,6)&lt;&gt;"VACUUM"),"CDU",IF($H6574="FLUID CAT CRACKING","FCC",IF(OR($H6574="HYDROCRACKING",$H6574="RESID_HYDROCRACKING"),"Hydrocracker",IF($H6574="REFORMING","Reformer",""))))</f>
        <v/>
      </c>
      <c r="H6574" s="6" t="s">
        <v>43</v>
      </c>
      <c r="I6574" s="6" t="s">
        <v>503</v>
      </c>
      <c r="J6574" s="6" t="s">
        <v>349</v>
      </c>
      <c r="K6574" s="10">
        <v>30</v>
      </c>
      <c r="L6574" s="10">
        <v>30</v>
      </c>
      <c r="M6574" s="6" t="s">
        <v>371</v>
      </c>
    </row>
    <row r="6575" spans="1:13">
      <c r="A6575" s="6">
        <v>2025</v>
      </c>
      <c r="B6575" s="6">
        <v>10</v>
      </c>
      <c r="C6575" s="6" t="s">
        <v>68</v>
      </c>
      <c r="D6575" s="6" t="s">
        <v>542</v>
      </c>
      <c r="E6575" s="6" t="s">
        <v>543</v>
      </c>
      <c r="F6575" s="6" t="str">
        <f>IF($M6575="PADD I","PADD 1",IF($M6575="PADD II","PADD 2",IF($M6575="PADD III","PADD 3",IF($M6575="PADD IV","PADD 4",IF($M6575="PADD V","PADD 5","")))))</f>
        <v>PADD 2</v>
      </c>
      <c r="G6575" s="6">
        <f>IF(AND($H6575="ATMOS DISTILLATION",ISNUMBER(SEARCH("VPS",$I6575))=FALSE,LEFT($I6575,6)&lt;&gt;"VACUUM"),"CDU",IF($H6575="FLUID CAT CRACKING","FCC",IF(OR($H6575="HYDROCRACKING",$H6575="RESID_HYDROCRACKING"),"Hydrocracker",IF($H6575="REFORMING","Reformer",""))))</f>
        <v/>
      </c>
      <c r="H6575" s="6" t="s">
        <v>43</v>
      </c>
      <c r="I6575" s="6" t="s">
        <v>551</v>
      </c>
      <c r="J6575" s="6" t="s">
        <v>345</v>
      </c>
      <c r="K6575" s="10">
        <v>29</v>
      </c>
      <c r="L6575" s="10">
        <v>100</v>
      </c>
      <c r="M6575" s="6" t="s">
        <v>375</v>
      </c>
    </row>
    <row r="6576" spans="1:13">
      <c r="A6576" s="6">
        <v>2025</v>
      </c>
      <c r="B6576" s="6">
        <v>10</v>
      </c>
      <c r="C6576" s="6" t="s">
        <v>68</v>
      </c>
      <c r="D6576" s="6" t="s">
        <v>639</v>
      </c>
      <c r="E6576" s="6" t="s">
        <v>452</v>
      </c>
      <c r="F6576" s="6" t="str">
        <f>IF($M6576="PADD I","PADD 1",IF($M6576="PADD II","PADD 2",IF($M6576="PADD III","PADD 3",IF($M6576="PADD IV","PADD 4",IF($M6576="PADD V","PADD 5","")))))</f>
        <v>PADD 5</v>
      </c>
      <c r="G6576" s="6">
        <f>IF(AND($H6576="ATMOS DISTILLATION",ISNUMBER(SEARCH("VPS",$I6576))=FALSE,LEFT($I6576,6)&lt;&gt;"VACUUM"),"CDU",IF($H6576="FLUID CAT CRACKING","FCC",IF(OR($H6576="HYDROCRACKING",$H6576="RESID_HYDROCRACKING"),"Hydrocracker",IF($H6576="REFORMING","Reformer",""))))</f>
        <v/>
      </c>
      <c r="H6576" s="6" t="s">
        <v>378</v>
      </c>
      <c r="I6576" s="6" t="s">
        <v>379</v>
      </c>
      <c r="J6576" s="6" t="s">
        <v>349</v>
      </c>
      <c r="K6576" s="10">
        <v>27.636</v>
      </c>
      <c r="L6576" s="10">
        <v>65.8</v>
      </c>
      <c r="M6576" s="6" t="s">
        <v>386</v>
      </c>
    </row>
    <row r="6577" spans="1:13">
      <c r="A6577" s="6">
        <v>2025</v>
      </c>
      <c r="B6577" s="6">
        <v>10</v>
      </c>
      <c r="C6577" s="6" t="s">
        <v>68</v>
      </c>
      <c r="D6577" s="6" t="s">
        <v>985</v>
      </c>
      <c r="E6577" s="6" t="s">
        <v>543</v>
      </c>
      <c r="F6577" s="6" t="str">
        <f>IF($M6577="PADD I","PADD 1",IF($M6577="PADD II","PADD 2",IF($M6577="PADD III","PADD 3",IF($M6577="PADD IV","PADD 4",IF($M6577="PADD V","PADD 5","")))))</f>
        <v>PADD 2</v>
      </c>
      <c r="G6577" s="6">
        <f>IF(AND($H6577="ATMOS DISTILLATION",ISNUMBER(SEARCH("VPS",$I6577))=FALSE,LEFT($I6577,6)&lt;&gt;"VACUUM"),"CDU",IF($H6577="FLUID CAT CRACKING","FCC",IF(OR($H6577="HYDROCRACKING",$H6577="RESID_HYDROCRACKING"),"Hydrocracker",IF($H6577="REFORMING","Reformer",""))))</f>
        <v/>
      </c>
      <c r="H6577" s="6" t="s">
        <v>378</v>
      </c>
      <c r="I6577" s="6" t="s">
        <v>786</v>
      </c>
      <c r="J6577" s="6" t="s">
        <v>345</v>
      </c>
      <c r="K6577" s="10">
        <v>27.1485</v>
      </c>
      <c r="L6577" s="10">
        <v>60.33</v>
      </c>
      <c r="M6577" s="6" t="s">
        <v>375</v>
      </c>
    </row>
    <row r="6578" spans="1:13">
      <c r="A6578" s="6">
        <v>2025</v>
      </c>
      <c r="B6578" s="6">
        <v>10</v>
      </c>
      <c r="C6578" s="6" t="s">
        <v>68</v>
      </c>
      <c r="D6578" s="6" t="s">
        <v>542</v>
      </c>
      <c r="E6578" s="6" t="s">
        <v>543</v>
      </c>
      <c r="F6578" s="6" t="str">
        <f>IF($M6578="PADD I","PADD 1",IF($M6578="PADD II","PADD 2",IF($M6578="PADD III","PADD 3",IF($M6578="PADD IV","PADD 4",IF($M6578="PADD V","PADD 5","")))))</f>
        <v>PADD 2</v>
      </c>
      <c r="G6578" s="6" t="str">
        <f>IF(AND($H6578="ATMOS DISTILLATION",ISNUMBER(SEARCH("VPS",$I6578))=FALSE,LEFT($I6578,6)&lt;&gt;"VACUUM"),"CDU",IF($H6578="FLUID CAT CRACKING","FCC",IF(OR($H6578="HYDROCRACKING",$H6578="RESID_HYDROCRACKING"),"Hydrocracker",IF($H6578="REFORMING","Reformer",""))))</f>
        <v>FCC</v>
      </c>
      <c r="H6578" s="6" t="s">
        <v>376</v>
      </c>
      <c r="I6578" s="6" t="s">
        <v>1110</v>
      </c>
      <c r="J6578" s="6" t="s">
        <v>345</v>
      </c>
      <c r="K6578" s="10">
        <v>25.3</v>
      </c>
      <c r="L6578" s="10">
        <v>110</v>
      </c>
      <c r="M6578" s="6" t="s">
        <v>375</v>
      </c>
    </row>
    <row r="6579" spans="1:13">
      <c r="A6579" s="6">
        <v>2025</v>
      </c>
      <c r="B6579" s="6">
        <v>10</v>
      </c>
      <c r="C6579" s="6" t="s">
        <v>68</v>
      </c>
      <c r="D6579" s="6" t="s">
        <v>395</v>
      </c>
      <c r="E6579" s="6" t="s">
        <v>396</v>
      </c>
      <c r="F6579" s="6" t="str">
        <f>IF($M6579="PADD I","PADD 1",IF($M6579="PADD II","PADD 2",IF($M6579="PADD III","PADD 3",IF($M6579="PADD IV","PADD 4",IF($M6579="PADD V","PADD 5","")))))</f>
        <v>PADD 3</v>
      </c>
      <c r="G6579" s="6" t="str">
        <f>IF(AND($H6579="ATMOS DISTILLATION",ISNUMBER(SEARCH("VPS",$I6579))=FALSE,LEFT($I6579,6)&lt;&gt;"VACUUM"),"CDU",IF($H6579="FLUID CAT CRACKING","FCC",IF(OR($H6579="HYDROCRACKING",$H6579="RESID_HYDROCRACKING"),"Hydrocracker",IF($H6579="REFORMING","Reformer",""))))</f>
        <v>Reformer</v>
      </c>
      <c r="H6579" s="6" t="s">
        <v>421</v>
      </c>
      <c r="I6579" s="6" t="s">
        <v>540</v>
      </c>
      <c r="J6579" s="6" t="s">
        <v>349</v>
      </c>
      <c r="K6579" s="10">
        <v>25.2</v>
      </c>
      <c r="L6579" s="10">
        <v>30</v>
      </c>
      <c r="M6579" s="6" t="s">
        <v>371</v>
      </c>
    </row>
    <row r="6580" spans="1:13">
      <c r="A6580" s="6">
        <v>2025</v>
      </c>
      <c r="B6580" s="6">
        <v>10</v>
      </c>
      <c r="C6580" s="6" t="s">
        <v>68</v>
      </c>
      <c r="D6580" s="6" t="s">
        <v>457</v>
      </c>
      <c r="E6580" s="6" t="s">
        <v>388</v>
      </c>
      <c r="F6580" s="6" t="str">
        <f>IF($M6580="PADD I","PADD 1",IF($M6580="PADD II","PADD 2",IF($M6580="PADD III","PADD 3",IF($M6580="PADD IV","PADD 4",IF($M6580="PADD V","PADD 5","")))))</f>
        <v>PADD 5</v>
      </c>
      <c r="G6580" s="6">
        <f>IF(AND($H6580="ATMOS DISTILLATION",ISNUMBER(SEARCH("VPS",$I6580))=FALSE,LEFT($I6580,6)&lt;&gt;"VACUUM"),"CDU",IF($H6580="FLUID CAT CRACKING","FCC",IF(OR($H6580="HYDROCRACKING",$H6580="RESID_HYDROCRACKING"),"Hydrocracker",IF($H6580="REFORMING","Reformer",""))))</f>
        <v/>
      </c>
      <c r="H6580" s="6" t="s">
        <v>43</v>
      </c>
      <c r="I6580" s="6" t="s">
        <v>1093</v>
      </c>
      <c r="J6580" s="6" t="s">
        <v>349</v>
      </c>
      <c r="K6580" s="10">
        <v>25</v>
      </c>
      <c r="L6580" s="10">
        <v>25</v>
      </c>
      <c r="M6580" s="6" t="s">
        <v>386</v>
      </c>
    </row>
    <row r="6581" spans="1:13">
      <c r="A6581" s="6">
        <v>2025</v>
      </c>
      <c r="B6581" s="6">
        <v>10</v>
      </c>
      <c r="C6581" s="6" t="s">
        <v>68</v>
      </c>
      <c r="D6581" s="6" t="s">
        <v>714</v>
      </c>
      <c r="E6581" s="6" t="s">
        <v>405</v>
      </c>
      <c r="F6581" s="6" t="str">
        <f>IF($M6581="PADD I","PADD 1",IF($M6581="PADD II","PADD 2",IF($M6581="PADD III","PADD 3",IF($M6581="PADD IV","PADD 4",IF($M6581="PADD V","PADD 5","")))))</f>
        <v>PADD 3</v>
      </c>
      <c r="G6581" s="6" t="str">
        <f>IF(AND($H6581="ATMOS DISTILLATION",ISNUMBER(SEARCH("VPS",$I6581))=FALSE,LEFT($I6581,6)&lt;&gt;"VACUUM"),"CDU",IF($H6581="FLUID CAT CRACKING","FCC",IF(OR($H6581="HYDROCRACKING",$H6581="RESID_HYDROCRACKING"),"Hydrocracker",IF($H6581="REFORMING","Reformer",""))))</f>
        <v>FCC</v>
      </c>
      <c r="H6581" s="6" t="s">
        <v>376</v>
      </c>
      <c r="I6581" s="6" t="s">
        <v>105</v>
      </c>
      <c r="J6581" s="6" t="s">
        <v>345</v>
      </c>
      <c r="K6581" s="10">
        <v>24.5115</v>
      </c>
      <c r="L6581" s="10">
        <v>54.47</v>
      </c>
      <c r="M6581" s="6" t="s">
        <v>371</v>
      </c>
    </row>
    <row r="6582" spans="1:13">
      <c r="A6582" s="6">
        <v>2025</v>
      </c>
      <c r="B6582" s="6">
        <v>10</v>
      </c>
      <c r="C6582" s="6" t="s">
        <v>68</v>
      </c>
      <c r="D6582" s="6" t="s">
        <v>408</v>
      </c>
      <c r="E6582" s="6" t="s">
        <v>409</v>
      </c>
      <c r="F6582" s="6" t="str">
        <f>IF($M6582="PADD I","PADD 1",IF($M6582="PADD II","PADD 2",IF($M6582="PADD III","PADD 3",IF($M6582="PADD IV","PADD 4",IF($M6582="PADD V","PADD 5","")))))</f>
        <v>PADD 3</v>
      </c>
      <c r="G6582" s="6">
        <f>IF(AND($H6582="ATMOS DISTILLATION",ISNUMBER(SEARCH("VPS",$I6582))=FALSE,LEFT($I6582,6)&lt;&gt;"VACUUM"),"CDU",IF($H6582="FLUID CAT CRACKING","FCC",IF(OR($H6582="HYDROCRACKING",$H6582="RESID_HYDROCRACKING"),"Hydrocracker",IF($H6582="REFORMING","Reformer",""))))</f>
        <v/>
      </c>
      <c r="H6582" s="6" t="s">
        <v>43</v>
      </c>
      <c r="I6582" s="6" t="s">
        <v>517</v>
      </c>
      <c r="J6582" s="6" t="s">
        <v>349</v>
      </c>
      <c r="K6582" s="10">
        <v>24</v>
      </c>
      <c r="L6582" s="10">
        <v>24</v>
      </c>
      <c r="M6582" s="6" t="s">
        <v>371</v>
      </c>
    </row>
    <row r="6583" spans="1:13">
      <c r="A6583" s="6">
        <v>2025</v>
      </c>
      <c r="B6583" s="6">
        <v>10</v>
      </c>
      <c r="C6583" s="6" t="s">
        <v>68</v>
      </c>
      <c r="D6583" s="6" t="s">
        <v>639</v>
      </c>
      <c r="E6583" s="6" t="s">
        <v>452</v>
      </c>
      <c r="F6583" s="6" t="str">
        <f>IF($M6583="PADD I","PADD 1",IF($M6583="PADD II","PADD 2",IF($M6583="PADD III","PADD 3",IF($M6583="PADD IV","PADD 4",IF($M6583="PADD V","PADD 5","")))))</f>
        <v>PADD 5</v>
      </c>
      <c r="G6583" s="6">
        <f>IF(AND($H6583="ATMOS DISTILLATION",ISNUMBER(SEARCH("VPS",$I6583))=FALSE,LEFT($I6583,6)&lt;&gt;"VACUUM"),"CDU",IF($H6583="FLUID CAT CRACKING","FCC",IF(OR($H6583="HYDROCRACKING",$H6583="RESID_HYDROCRACKING"),"Hydrocracker",IF($H6583="REFORMING","Reformer",""))))</f>
        <v/>
      </c>
      <c r="H6583" s="6" t="s">
        <v>435</v>
      </c>
      <c r="I6583" s="6" t="s">
        <v>1096</v>
      </c>
      <c r="J6583" s="6" t="s">
        <v>349</v>
      </c>
      <c r="K6583" s="10">
        <v>24</v>
      </c>
      <c r="L6583" s="10">
        <v>24</v>
      </c>
      <c r="M6583" s="6" t="s">
        <v>386</v>
      </c>
    </row>
    <row r="6584" spans="1:13">
      <c r="A6584" s="6">
        <v>2025</v>
      </c>
      <c r="B6584" s="6">
        <v>10</v>
      </c>
      <c r="C6584" s="6" t="s">
        <v>68</v>
      </c>
      <c r="D6584" s="6" t="s">
        <v>387</v>
      </c>
      <c r="E6584" s="6" t="s">
        <v>388</v>
      </c>
      <c r="F6584" s="6" t="str">
        <f>IF($M6584="PADD I","PADD 1",IF($M6584="PADD II","PADD 2",IF($M6584="PADD III","PADD 3",IF($M6584="PADD IV","PADD 4",IF($M6584="PADD V","PADD 5","")))))</f>
        <v>PADD 3</v>
      </c>
      <c r="G6584" s="6" t="str">
        <f>IF(AND($H6584="ATMOS DISTILLATION",ISNUMBER(SEARCH("VPS",$I6584))=FALSE,LEFT($I6584,6)&lt;&gt;"VACUUM"),"CDU",IF($H6584="FLUID CAT CRACKING","FCC",IF(OR($H6584="HYDROCRACKING",$H6584="RESID_HYDROCRACKING"),"Hydrocracker",IF($H6584="REFORMING","Reformer",""))))</f>
        <v>FCC</v>
      </c>
      <c r="H6584" s="6" t="s">
        <v>376</v>
      </c>
      <c r="I6584" s="6" t="s">
        <v>472</v>
      </c>
      <c r="J6584" s="6" t="s">
        <v>345</v>
      </c>
      <c r="K6584" s="10">
        <v>23.2</v>
      </c>
      <c r="L6584" s="10">
        <v>145</v>
      </c>
      <c r="M6584" s="6" t="s">
        <v>371</v>
      </c>
    </row>
    <row r="6585" spans="1:13">
      <c r="A6585" s="6">
        <v>2025</v>
      </c>
      <c r="B6585" s="6">
        <v>10</v>
      </c>
      <c r="C6585" s="6" t="s">
        <v>68</v>
      </c>
      <c r="D6585" s="6" t="s">
        <v>324</v>
      </c>
      <c r="E6585" s="6" t="s">
        <v>388</v>
      </c>
      <c r="F6585" s="6" t="str">
        <f>IF($M6585="PADD I","PADD 1",IF($M6585="PADD II","PADD 2",IF($M6585="PADD III","PADD 3",IF($M6585="PADD IV","PADD 4",IF($M6585="PADD V","PADD 5","")))))</f>
        <v>PADD 3</v>
      </c>
      <c r="G6585" s="6" t="str">
        <f>IF(AND($H6585="ATMOS DISTILLATION",ISNUMBER(SEARCH("VPS",$I6585))=FALSE,LEFT($I6585,6)&lt;&gt;"VACUUM"),"CDU",IF($H6585="FLUID CAT CRACKING","FCC",IF(OR($H6585="HYDROCRACKING",$H6585="RESID_HYDROCRACKING"),"Hydrocracker",IF($H6585="REFORMING","Reformer",""))))</f>
        <v>CDU</v>
      </c>
      <c r="H6585" s="6" t="s">
        <v>38</v>
      </c>
      <c r="I6585" s="6" t="s">
        <v>98</v>
      </c>
      <c r="J6585" s="6" t="s">
        <v>349</v>
      </c>
      <c r="K6585" s="10">
        <v>23.2</v>
      </c>
      <c r="L6585" s="10">
        <v>145</v>
      </c>
      <c r="M6585" s="6" t="s">
        <v>371</v>
      </c>
    </row>
    <row r="6586" spans="1:13">
      <c r="A6586" s="6">
        <v>2025</v>
      </c>
      <c r="B6586" s="6">
        <v>10</v>
      </c>
      <c r="C6586" s="6" t="s">
        <v>68</v>
      </c>
      <c r="D6586" s="6" t="s">
        <v>408</v>
      </c>
      <c r="E6586" s="6" t="s">
        <v>409</v>
      </c>
      <c r="F6586" s="6" t="str">
        <f>IF($M6586="PADD I","PADD 1",IF($M6586="PADD II","PADD 2",IF($M6586="PADD III","PADD 3",IF($M6586="PADD IV","PADD 4",IF($M6586="PADD V","PADD 5","")))))</f>
        <v>PADD 3</v>
      </c>
      <c r="G6586" s="6">
        <f>IF(AND($H6586="ATMOS DISTILLATION",ISNUMBER(SEARCH("VPS",$I6586))=FALSE,LEFT($I6586,6)&lt;&gt;"VACUUM"),"CDU",IF($H6586="FLUID CAT CRACKING","FCC",IF(OR($H6586="HYDROCRACKING",$H6586="RESID_HYDROCRACKING"),"Hydrocracker",IF($H6586="REFORMING","Reformer",""))))</f>
        <v/>
      </c>
      <c r="H6586" s="6" t="s">
        <v>43</v>
      </c>
      <c r="I6586" s="6" t="s">
        <v>478</v>
      </c>
      <c r="J6586" s="6" t="s">
        <v>349</v>
      </c>
      <c r="K6586" s="10">
        <v>23.1</v>
      </c>
      <c r="L6586" s="10">
        <v>42</v>
      </c>
      <c r="M6586" s="6" t="s">
        <v>371</v>
      </c>
    </row>
    <row r="6587" spans="1:13">
      <c r="A6587" s="6">
        <v>2025</v>
      </c>
      <c r="B6587" s="6">
        <v>10</v>
      </c>
      <c r="C6587" s="6" t="s">
        <v>68</v>
      </c>
      <c r="D6587" s="6" t="s">
        <v>324</v>
      </c>
      <c r="E6587" s="6" t="s">
        <v>388</v>
      </c>
      <c r="F6587" s="6" t="str">
        <f>IF($M6587="PADD I","PADD 1",IF($M6587="PADD II","PADD 2",IF($M6587="PADD III","PADD 3",IF($M6587="PADD IV","PADD 4",IF($M6587="PADD V","PADD 5","")))))</f>
        <v>PADD 3</v>
      </c>
      <c r="G6587" s="6">
        <f>IF(AND($H6587="ATMOS DISTILLATION",ISNUMBER(SEARCH("VPS",$I6587))=FALSE,LEFT($I6587,6)&lt;&gt;"VACUUM"),"CDU",IF($H6587="FLUID CAT CRACKING","FCC",IF(OR($H6587="HYDROCRACKING",$H6587="RESID_HYDROCRACKING"),"Hydrocracker",IF($H6587="REFORMING","Reformer",""))))</f>
        <v/>
      </c>
      <c r="H6587" s="6" t="s">
        <v>43</v>
      </c>
      <c r="I6587" s="6" t="s">
        <v>693</v>
      </c>
      <c r="J6587" s="6" t="s">
        <v>349</v>
      </c>
      <c r="K6587" s="10">
        <v>22.36</v>
      </c>
      <c r="L6587" s="10">
        <v>43</v>
      </c>
      <c r="M6587" s="6" t="s">
        <v>371</v>
      </c>
    </row>
    <row r="6588" spans="1:13">
      <c r="A6588" s="6">
        <v>2025</v>
      </c>
      <c r="B6588" s="6">
        <v>10</v>
      </c>
      <c r="C6588" s="6" t="s">
        <v>68</v>
      </c>
      <c r="D6588" s="6" t="s">
        <v>324</v>
      </c>
      <c r="E6588" s="6" t="s">
        <v>388</v>
      </c>
      <c r="F6588" s="6" t="str">
        <f>IF($M6588="PADD I","PADD 1",IF($M6588="PADD II","PADD 2",IF($M6588="PADD III","PADD 3",IF($M6588="PADD IV","PADD 4",IF($M6588="PADD V","PADD 5","")))))</f>
        <v>PADD 3</v>
      </c>
      <c r="G6588" s="6" t="str">
        <f>IF(AND($H6588="ATMOS DISTILLATION",ISNUMBER(SEARCH("VPS",$I6588))=FALSE,LEFT($I6588,6)&lt;&gt;"VACUUM"),"CDU",IF($H6588="FLUID CAT CRACKING","FCC",IF(OR($H6588="HYDROCRACKING",$H6588="RESID_HYDROCRACKING"),"Hydrocracker",IF($H6588="REFORMING","Reformer",""))))</f>
        <v>Reformer</v>
      </c>
      <c r="H6588" s="6" t="s">
        <v>421</v>
      </c>
      <c r="I6588" s="6" t="s">
        <v>1322</v>
      </c>
      <c r="J6588" s="6" t="s">
        <v>349</v>
      </c>
      <c r="K6588" s="10">
        <v>22.256</v>
      </c>
      <c r="L6588" s="10">
        <v>42.8</v>
      </c>
      <c r="M6588" s="6" t="s">
        <v>371</v>
      </c>
    </row>
    <row r="6589" spans="1:13">
      <c r="A6589" s="6">
        <v>2025</v>
      </c>
      <c r="B6589" s="6">
        <v>10</v>
      </c>
      <c r="C6589" s="6" t="s">
        <v>68</v>
      </c>
      <c r="D6589" s="6" t="s">
        <v>646</v>
      </c>
      <c r="E6589" s="6" t="s">
        <v>405</v>
      </c>
      <c r="F6589" s="6" t="str">
        <f>IF($M6589="PADD I","PADD 1",IF($M6589="PADD II","PADD 2",IF($M6589="PADD III","PADD 3",IF($M6589="PADD IV","PADD 4",IF($M6589="PADD V","PADD 5","")))))</f>
        <v>PADD 3</v>
      </c>
      <c r="G6589" s="6">
        <f>IF(AND($H6589="ATMOS DISTILLATION",ISNUMBER(SEARCH("VPS",$I6589))=FALSE,LEFT($I6589,6)&lt;&gt;"VACUUM"),"CDU",IF($H6589="FLUID CAT CRACKING","FCC",IF(OR($H6589="HYDROCRACKING",$H6589="RESID_HYDROCRACKING"),"Hydrocracker",IF($H6589="REFORMING","Reformer",""))))</f>
        <v/>
      </c>
      <c r="H6589" s="6" t="s">
        <v>43</v>
      </c>
      <c r="I6589" s="6" t="s">
        <v>843</v>
      </c>
      <c r="J6589" s="6" t="s">
        <v>345</v>
      </c>
      <c r="K6589" s="10">
        <v>22.2</v>
      </c>
      <c r="L6589" s="10">
        <v>30</v>
      </c>
      <c r="M6589" s="6" t="s">
        <v>371</v>
      </c>
    </row>
    <row r="6590" spans="1:13">
      <c r="A6590" s="6">
        <v>2025</v>
      </c>
      <c r="B6590" s="6">
        <v>10</v>
      </c>
      <c r="C6590" s="6" t="s">
        <v>68</v>
      </c>
      <c r="D6590" s="6" t="s">
        <v>372</v>
      </c>
      <c r="E6590" s="6" t="s">
        <v>373</v>
      </c>
      <c r="F6590" s="6" t="str">
        <f>IF($M6590="PADD I","PADD 1",IF($M6590="PADD II","PADD 2",IF($M6590="PADD III","PADD 3",IF($M6590="PADD IV","PADD 4",IF($M6590="PADD V","PADD 5","")))))</f>
        <v>PADD 2</v>
      </c>
      <c r="G6590" s="6">
        <f>IF(AND($H6590="ATMOS DISTILLATION",ISNUMBER(SEARCH("VPS",$I6590))=FALSE,LEFT($I6590,6)&lt;&gt;"VACUUM"),"CDU",IF($H6590="FLUID CAT CRACKING","FCC",IF(OR($H6590="HYDROCRACKING",$H6590="RESID_HYDROCRACKING"),"Hydrocracker",IF($H6590="REFORMING","Reformer",""))))</f>
        <v/>
      </c>
      <c r="H6590" s="6" t="s">
        <v>435</v>
      </c>
      <c r="I6590" s="6" t="s">
        <v>467</v>
      </c>
      <c r="J6590" s="6" t="s">
        <v>349</v>
      </c>
      <c r="K6590" s="10">
        <v>21.3</v>
      </c>
      <c r="L6590" s="10">
        <v>30</v>
      </c>
      <c r="M6590" s="6" t="s">
        <v>375</v>
      </c>
    </row>
    <row r="6591" spans="1:13">
      <c r="A6591" s="6">
        <v>2025</v>
      </c>
      <c r="B6591" s="6">
        <v>10</v>
      </c>
      <c r="C6591" s="6" t="s">
        <v>68</v>
      </c>
      <c r="D6591" s="6" t="s">
        <v>372</v>
      </c>
      <c r="E6591" s="6" t="s">
        <v>373</v>
      </c>
      <c r="F6591" s="6" t="str">
        <f>IF($M6591="PADD I","PADD 1",IF($M6591="PADD II","PADD 2",IF($M6591="PADD III","PADD 3",IF($M6591="PADD IV","PADD 4",IF($M6591="PADD V","PADD 5","")))))</f>
        <v>PADD 2</v>
      </c>
      <c r="G6591" s="6" t="str">
        <f>IF(AND($H6591="ATMOS DISTILLATION",ISNUMBER(SEARCH("VPS",$I6591))=FALSE,LEFT($I6591,6)&lt;&gt;"VACUUM"),"CDU",IF($H6591="FLUID CAT CRACKING","FCC",IF(OR($H6591="HYDROCRACKING",$H6591="RESID_HYDROCRACKING"),"Hydrocracker",IF($H6591="REFORMING","Reformer",""))))</f>
        <v>CDU</v>
      </c>
      <c r="H6591" s="6" t="s">
        <v>38</v>
      </c>
      <c r="I6591" s="6" t="s">
        <v>374</v>
      </c>
      <c r="J6591" s="6" t="s">
        <v>345</v>
      </c>
      <c r="K6591" s="10">
        <v>20.9</v>
      </c>
      <c r="L6591" s="10">
        <v>110</v>
      </c>
      <c r="M6591" s="6" t="s">
        <v>375</v>
      </c>
    </row>
    <row r="6592" spans="1:13">
      <c r="A6592" s="6">
        <v>2025</v>
      </c>
      <c r="B6592" s="6">
        <v>10</v>
      </c>
      <c r="C6592" s="6" t="s">
        <v>68</v>
      </c>
      <c r="D6592" s="6" t="s">
        <v>51</v>
      </c>
      <c r="E6592" s="6" t="s">
        <v>391</v>
      </c>
      <c r="F6592" s="6" t="str">
        <f>IF($M6592="PADD I","PADD 1",IF($M6592="PADD II","PADD 2",IF($M6592="PADD III","PADD 3",IF($M6592="PADD IV","PADD 4",IF($M6592="PADD V","PADD 5","")))))</f>
        <v>PADD 5</v>
      </c>
      <c r="G6592" s="6" t="str">
        <f>IF(AND($H6592="ATMOS DISTILLATION",ISNUMBER(SEARCH("VPS",$I6592))=FALSE,LEFT($I6592,6)&lt;&gt;"VACUUM"),"CDU",IF($H6592="FLUID CAT CRACKING","FCC",IF(OR($H6592="HYDROCRACKING",$H6592="RESID_HYDROCRACKING"),"Hydrocracker",IF($H6592="REFORMING","Reformer",""))))</f>
        <v>CDU</v>
      </c>
      <c r="H6592" s="6" t="s">
        <v>38</v>
      </c>
      <c r="I6592" s="6" t="s">
        <v>135</v>
      </c>
      <c r="J6592" s="6" t="s">
        <v>345</v>
      </c>
      <c r="K6592" s="10">
        <v>20.7</v>
      </c>
      <c r="L6592" s="10">
        <v>90</v>
      </c>
      <c r="M6592" s="6" t="s">
        <v>386</v>
      </c>
    </row>
    <row r="6593" spans="1:13">
      <c r="A6593" s="6">
        <v>2025</v>
      </c>
      <c r="B6593" s="6">
        <v>10</v>
      </c>
      <c r="C6593" s="6" t="s">
        <v>68</v>
      </c>
      <c r="D6593" s="6" t="s">
        <v>484</v>
      </c>
      <c r="E6593" s="6" t="s">
        <v>409</v>
      </c>
      <c r="F6593" s="6" t="str">
        <f>IF($M6593="PADD I","PADD 1",IF($M6593="PADD II","PADD 2",IF($M6593="PADD III","PADD 3",IF($M6593="PADD IV","PADD 4",IF($M6593="PADD V","PADD 5","")))))</f>
        <v>PADD 3</v>
      </c>
      <c r="G6593" s="6">
        <f>IF(AND($H6593="ATMOS DISTILLATION",ISNUMBER(SEARCH("VPS",$I6593))=FALSE,LEFT($I6593,6)&lt;&gt;"VACUUM"),"CDU",IF($H6593="FLUID CAT CRACKING","FCC",IF(OR($H6593="HYDROCRACKING",$H6593="RESID_HYDROCRACKING"),"Hydrocracker",IF($H6593="REFORMING","Reformer",""))))</f>
        <v/>
      </c>
      <c r="H6593" s="6" t="s">
        <v>43</v>
      </c>
      <c r="I6593" s="6" t="s">
        <v>501</v>
      </c>
      <c r="J6593" s="6" t="s">
        <v>345</v>
      </c>
      <c r="K6593" s="10">
        <v>20.475</v>
      </c>
      <c r="L6593" s="10">
        <v>45.5</v>
      </c>
      <c r="M6593" s="6" t="s">
        <v>371</v>
      </c>
    </row>
    <row r="6594" spans="1:13">
      <c r="A6594" s="6">
        <v>2025</v>
      </c>
      <c r="B6594" s="6">
        <v>10</v>
      </c>
      <c r="C6594" s="6" t="s">
        <v>68</v>
      </c>
      <c r="D6594" s="6" t="s">
        <v>408</v>
      </c>
      <c r="E6594" s="6" t="s">
        <v>409</v>
      </c>
      <c r="F6594" s="6" t="str">
        <f>IF($M6594="PADD I","PADD 1",IF($M6594="PADD II","PADD 2",IF($M6594="PADD III","PADD 3",IF($M6594="PADD IV","PADD 4",IF($M6594="PADD V","PADD 5","")))))</f>
        <v>PADD 3</v>
      </c>
      <c r="G6594" s="6">
        <f>IF(AND($H6594="ATMOS DISTILLATION",ISNUMBER(SEARCH("VPS",$I6594))=FALSE,LEFT($I6594,6)&lt;&gt;"VACUUM"),"CDU",IF($H6594="FLUID CAT CRACKING","FCC",IF(OR($H6594="HYDROCRACKING",$H6594="RESID_HYDROCRACKING"),"Hydrocracker",IF($H6594="REFORMING","Reformer",""))))</f>
        <v/>
      </c>
      <c r="H6594" s="6" t="s">
        <v>43</v>
      </c>
      <c r="I6594" s="6" t="s">
        <v>502</v>
      </c>
      <c r="J6594" s="6" t="s">
        <v>349</v>
      </c>
      <c r="K6594" s="10">
        <v>20.4</v>
      </c>
      <c r="L6594" s="10">
        <v>30</v>
      </c>
      <c r="M6594" s="6" t="s">
        <v>371</v>
      </c>
    </row>
    <row r="6595" spans="1:13">
      <c r="A6595" s="6">
        <v>2025</v>
      </c>
      <c r="B6595" s="6">
        <v>10</v>
      </c>
      <c r="C6595" s="6" t="s">
        <v>68</v>
      </c>
      <c r="D6595" s="6" t="s">
        <v>335</v>
      </c>
      <c r="E6595" s="6" t="s">
        <v>369</v>
      </c>
      <c r="F6595" s="6" t="str">
        <f>IF($M6595="PADD I","PADD 1",IF($M6595="PADD II","PADD 2",IF($M6595="PADD III","PADD 3",IF($M6595="PADD IV","PADD 4",IF($M6595="PADD V","PADD 5","")))))</f>
        <v>PADD 3</v>
      </c>
      <c r="G6595" s="6" t="str">
        <f>IF(AND($H6595="ATMOS DISTILLATION",ISNUMBER(SEARCH("VPS",$I6595))=FALSE,LEFT($I6595,6)&lt;&gt;"VACUUM"),"CDU",IF($H6595="FLUID CAT CRACKING","FCC",IF(OR($H6595="HYDROCRACKING",$H6595="RESID_HYDROCRACKING"),"Hydrocracker",IF($H6595="REFORMING","Reformer",""))))</f>
        <v>FCC</v>
      </c>
      <c r="H6595" s="6" t="s">
        <v>376</v>
      </c>
      <c r="I6595" s="6" t="s">
        <v>141</v>
      </c>
      <c r="J6595" s="6" t="s">
        <v>349</v>
      </c>
      <c r="K6595" s="10">
        <v>20.28</v>
      </c>
      <c r="L6595" s="10">
        <v>78</v>
      </c>
      <c r="M6595" s="6" t="s">
        <v>371</v>
      </c>
    </row>
    <row r="6596" spans="1:13">
      <c r="A6596" s="6">
        <v>2025</v>
      </c>
      <c r="B6596" s="6">
        <v>10</v>
      </c>
      <c r="C6596" s="6" t="s">
        <v>68</v>
      </c>
      <c r="D6596" s="6" t="s">
        <v>50</v>
      </c>
      <c r="E6596" s="6" t="s">
        <v>381</v>
      </c>
      <c r="F6596" s="6" t="str">
        <f>IF($M6596="PADD I","PADD 1",IF($M6596="PADD II","PADD 2",IF($M6596="PADD III","PADD 3",IF($M6596="PADD IV","PADD 4",IF($M6596="PADD V","PADD 5","")))))</f>
        <v>PADD 3</v>
      </c>
      <c r="G6596" s="6" t="str">
        <f>IF(AND($H6596="ATMOS DISTILLATION",ISNUMBER(SEARCH("VPS",$I6596))=FALSE,LEFT($I6596,6)&lt;&gt;"VACUUM"),"CDU",IF($H6596="FLUID CAT CRACKING","FCC",IF(OR($H6596="HYDROCRACKING",$H6596="RESID_HYDROCRACKING"),"Hydrocracker",IF($H6596="REFORMING","Reformer",""))))</f>
        <v>CDU</v>
      </c>
      <c r="H6596" s="6" t="s">
        <v>38</v>
      </c>
      <c r="I6596" s="6" t="s">
        <v>1267</v>
      </c>
      <c r="J6596" s="6" t="s">
        <v>345</v>
      </c>
      <c r="K6596" s="10">
        <v>20.15</v>
      </c>
      <c r="L6596" s="10">
        <v>155</v>
      </c>
      <c r="M6596" s="6" t="s">
        <v>371</v>
      </c>
    </row>
    <row r="6597" spans="1:13">
      <c r="A6597" s="6">
        <v>2025</v>
      </c>
      <c r="B6597" s="6">
        <v>10</v>
      </c>
      <c r="C6597" s="6" t="s">
        <v>68</v>
      </c>
      <c r="D6597" s="6" t="s">
        <v>468</v>
      </c>
      <c r="E6597" s="6" t="s">
        <v>369</v>
      </c>
      <c r="F6597" s="6" t="str">
        <f>IF($M6597="PADD I","PADD 1",IF($M6597="PADD II","PADD 2",IF($M6597="PADD III","PADD 3",IF($M6597="PADD IV","PADD 4",IF($M6597="PADD V","PADD 5","")))))</f>
        <v>PADD 3</v>
      </c>
      <c r="G6597" s="6">
        <f>IF(AND($H6597="ATMOS DISTILLATION",ISNUMBER(SEARCH("VPS",$I6597))=FALSE,LEFT($I6597,6)&lt;&gt;"VACUUM"),"CDU",IF($H6597="FLUID CAT CRACKING","FCC",IF(OR($H6597="HYDROCRACKING",$H6597="RESID_HYDROCRACKING"),"Hydrocracker",IF($H6597="REFORMING","Reformer",""))))</f>
        <v/>
      </c>
      <c r="H6597" s="6" t="s">
        <v>43</v>
      </c>
      <c r="I6597" s="6" t="s">
        <v>1030</v>
      </c>
      <c r="J6597" s="6" t="s">
        <v>349</v>
      </c>
      <c r="K6597" s="10">
        <v>20</v>
      </c>
      <c r="L6597" s="10">
        <v>20</v>
      </c>
      <c r="M6597" s="6" t="s">
        <v>371</v>
      </c>
    </row>
    <row r="6598" spans="1:13">
      <c r="A6598" s="6">
        <v>2025</v>
      </c>
      <c r="B6598" s="6">
        <v>10</v>
      </c>
      <c r="C6598" s="6" t="s">
        <v>68</v>
      </c>
      <c r="D6598" s="6" t="s">
        <v>457</v>
      </c>
      <c r="E6598" s="6" t="s">
        <v>388</v>
      </c>
      <c r="F6598" s="6" t="str">
        <f>IF($M6598="PADD I","PADD 1",IF($M6598="PADD II","PADD 2",IF($M6598="PADD III","PADD 3",IF($M6598="PADD IV","PADD 4",IF($M6598="PADD V","PADD 5","")))))</f>
        <v>PADD 5</v>
      </c>
      <c r="G6598" s="6" t="str">
        <f>IF(AND($H6598="ATMOS DISTILLATION",ISNUMBER(SEARCH("VPS",$I6598))=FALSE,LEFT($I6598,6)&lt;&gt;"VACUUM"),"CDU",IF($H6598="FLUID CAT CRACKING","FCC",IF(OR($H6598="HYDROCRACKING",$H6598="RESID_HYDROCRACKING"),"Hydrocracker",IF($H6598="REFORMING","Reformer",""))))</f>
        <v>Reformer</v>
      </c>
      <c r="H6598" s="6" t="s">
        <v>421</v>
      </c>
      <c r="I6598" s="6" t="s">
        <v>557</v>
      </c>
      <c r="J6598" s="6" t="s">
        <v>349</v>
      </c>
      <c r="K6598" s="10">
        <v>20</v>
      </c>
      <c r="L6598" s="10">
        <v>20</v>
      </c>
      <c r="M6598" s="6" t="s">
        <v>386</v>
      </c>
    </row>
    <row r="6599" spans="1:13">
      <c r="A6599" s="6">
        <v>2025</v>
      </c>
      <c r="B6599" s="6">
        <v>10</v>
      </c>
      <c r="C6599" s="6" t="s">
        <v>68</v>
      </c>
      <c r="D6599" s="6" t="s">
        <v>1038</v>
      </c>
      <c r="E6599" s="6" t="s">
        <v>1039</v>
      </c>
      <c r="F6599" s="6" t="str">
        <f>IF($M6599="PADD I","PADD 1",IF($M6599="PADD II","PADD 2",IF($M6599="PADD III","PADD 3",IF($M6599="PADD IV","PADD 4",IF($M6599="PADD V","PADD 5","")))))</f>
        <v>PADD 2</v>
      </c>
      <c r="G6599" s="6" t="str">
        <f>IF(AND($H6599="ATMOS DISTILLATION",ISNUMBER(SEARCH("VPS",$I6599))=FALSE,LEFT($I6599,6)&lt;&gt;"VACUUM"),"CDU",IF($H6599="FLUID CAT CRACKING","FCC",IF(OR($H6599="HYDROCRACKING",$H6599="RESID_HYDROCRACKING"),"Hydrocracker",IF($H6599="REFORMING","Reformer",""))))</f>
        <v>Reformer</v>
      </c>
      <c r="H6599" s="6" t="s">
        <v>421</v>
      </c>
      <c r="I6599" s="6" t="s">
        <v>1046</v>
      </c>
      <c r="J6599" s="6" t="s">
        <v>349</v>
      </c>
      <c r="K6599" s="10">
        <v>20</v>
      </c>
      <c r="L6599" s="10">
        <v>20</v>
      </c>
      <c r="M6599" s="6" t="s">
        <v>375</v>
      </c>
    </row>
    <row r="6600" spans="1:13">
      <c r="A6600" s="6">
        <v>2025</v>
      </c>
      <c r="B6600" s="6">
        <v>10</v>
      </c>
      <c r="C6600" s="6" t="s">
        <v>68</v>
      </c>
      <c r="D6600" s="6" t="s">
        <v>51</v>
      </c>
      <c r="E6600" s="6" t="s">
        <v>391</v>
      </c>
      <c r="F6600" s="6" t="str">
        <f>IF($M6600="PADD I","PADD 1",IF($M6600="PADD II","PADD 2",IF($M6600="PADD III","PADD 3",IF($M6600="PADD IV","PADD 4",IF($M6600="PADD V","PADD 5","")))))</f>
        <v>PADD 5</v>
      </c>
      <c r="G6600" s="6">
        <f>IF(AND($H6600="ATMOS DISTILLATION",ISNUMBER(SEARCH("VPS",$I6600))=FALSE,LEFT($I6600,6)&lt;&gt;"VACUUM"),"CDU",IF($H6600="FLUID CAT CRACKING","FCC",IF(OR($H6600="HYDROCRACKING",$H6600="RESID_HYDROCRACKING"),"Hydrocracker",IF($H6600="REFORMING","Reformer",""))))</f>
        <v/>
      </c>
      <c r="H6600" s="6" t="s">
        <v>378</v>
      </c>
      <c r="I6600" s="6" t="s">
        <v>1035</v>
      </c>
      <c r="J6600" s="6" t="s">
        <v>345</v>
      </c>
      <c r="K6600" s="10">
        <v>19.6</v>
      </c>
      <c r="L6600" s="10">
        <v>56</v>
      </c>
      <c r="M6600" s="6" t="s">
        <v>386</v>
      </c>
    </row>
    <row r="6601" spans="1:13">
      <c r="A6601" s="6">
        <v>2025</v>
      </c>
      <c r="B6601" s="6">
        <v>10</v>
      </c>
      <c r="C6601" s="6" t="s">
        <v>68</v>
      </c>
      <c r="D6601" s="6" t="s">
        <v>408</v>
      </c>
      <c r="E6601" s="6" t="s">
        <v>409</v>
      </c>
      <c r="F6601" s="6" t="str">
        <f>IF($M6601="PADD I","PADD 1",IF($M6601="PADD II","PADD 2",IF($M6601="PADD III","PADD 3",IF($M6601="PADD IV","PADD 4",IF($M6601="PADD V","PADD 5","")))))</f>
        <v>PADD 3</v>
      </c>
      <c r="G6601" s="6" t="str">
        <f>IF(AND($H6601="ATMOS DISTILLATION",ISNUMBER(SEARCH("VPS",$I6601))=FALSE,LEFT($I6601,6)&lt;&gt;"VACUUM"),"CDU",IF($H6601="FLUID CAT CRACKING","FCC",IF(OR($H6601="HYDROCRACKING",$H6601="RESID_HYDROCRACKING"),"Hydrocracker",IF($H6601="REFORMING","Reformer",""))))</f>
        <v>Reformer</v>
      </c>
      <c r="H6601" s="6" t="s">
        <v>421</v>
      </c>
      <c r="I6601" s="6" t="s">
        <v>533</v>
      </c>
      <c r="J6601" s="6" t="s">
        <v>349</v>
      </c>
      <c r="K6601" s="10">
        <v>19.25</v>
      </c>
      <c r="L6601" s="10">
        <v>35</v>
      </c>
      <c r="M6601" s="6" t="s">
        <v>371</v>
      </c>
    </row>
    <row r="6602" spans="1:13">
      <c r="A6602" s="6">
        <v>2025</v>
      </c>
      <c r="B6602" s="6">
        <v>10</v>
      </c>
      <c r="C6602" s="6" t="s">
        <v>68</v>
      </c>
      <c r="D6602" s="6" t="s">
        <v>380</v>
      </c>
      <c r="E6602" s="6" t="s">
        <v>381</v>
      </c>
      <c r="F6602" s="6" t="str">
        <f>IF($M6602="PADD I","PADD 1",IF($M6602="PADD II","PADD 2",IF($M6602="PADD III","PADD 3",IF($M6602="PADD IV","PADD 4",IF($M6602="PADD V","PADD 5","")))))</f>
        <v>PADD 3</v>
      </c>
      <c r="G6602" s="6" t="str">
        <f>IF(AND($H6602="ATMOS DISTILLATION",ISNUMBER(SEARCH("VPS",$I6602))=FALSE,LEFT($I6602,6)&lt;&gt;"VACUUM"),"CDU",IF($H6602="FLUID CAT CRACKING","FCC",IF(OR($H6602="HYDROCRACKING",$H6602="RESID_HYDROCRACKING"),"Hydrocracker",IF($H6602="REFORMING","Reformer",""))))</f>
        <v>CDU</v>
      </c>
      <c r="H6602" s="6" t="s">
        <v>38</v>
      </c>
      <c r="I6602" s="6" t="s">
        <v>114</v>
      </c>
      <c r="J6602" s="6" t="s">
        <v>345</v>
      </c>
      <c r="K6602" s="10">
        <v>19.2</v>
      </c>
      <c r="L6602" s="10">
        <v>120</v>
      </c>
      <c r="M6602" s="6" t="s">
        <v>371</v>
      </c>
    </row>
    <row r="6603" spans="1:13">
      <c r="A6603" s="6">
        <v>2025</v>
      </c>
      <c r="B6603" s="6">
        <v>10</v>
      </c>
      <c r="C6603" s="6" t="s">
        <v>68</v>
      </c>
      <c r="D6603" s="6" t="s">
        <v>1323</v>
      </c>
      <c r="E6603" s="6" t="s">
        <v>369</v>
      </c>
      <c r="F6603" s="6" t="str">
        <f>IF($M6603="PADD I","PADD 1",IF($M6603="PADD II","PADD 2",IF($M6603="PADD III","PADD 3",IF($M6603="PADD IV","PADD 4",IF($M6603="PADD V","PADD 5","")))))</f>
        <v>PADD 5</v>
      </c>
      <c r="G6603" s="6">
        <f>IF(AND($H6603="ATMOS DISTILLATION",ISNUMBER(SEARCH("VPS",$I6603))=FALSE,LEFT($I6603,6)&lt;&gt;"VACUUM"),"CDU",IF($H6603="FLUID CAT CRACKING","FCC",IF(OR($H6603="HYDROCRACKING",$H6603="RESID_HYDROCRACKING"),"Hydrocracker",IF($H6603="REFORMING","Reformer",""))))</f>
        <v/>
      </c>
      <c r="H6603" s="6" t="s">
        <v>43</v>
      </c>
      <c r="I6603" s="6" t="s">
        <v>811</v>
      </c>
      <c r="J6603" s="6" t="s">
        <v>349</v>
      </c>
      <c r="K6603" s="10">
        <v>18.56</v>
      </c>
      <c r="L6603" s="10">
        <v>32</v>
      </c>
      <c r="M6603" s="6" t="s">
        <v>386</v>
      </c>
    </row>
    <row r="6604" spans="1:13">
      <c r="A6604" s="6">
        <v>2025</v>
      </c>
      <c r="B6604" s="6">
        <v>10</v>
      </c>
      <c r="C6604" s="6" t="s">
        <v>68</v>
      </c>
      <c r="D6604" s="6" t="s">
        <v>51</v>
      </c>
      <c r="E6604" s="6" t="s">
        <v>391</v>
      </c>
      <c r="F6604" s="6" t="str">
        <f>IF($M6604="PADD I","PADD 1",IF($M6604="PADD II","PADD 2",IF($M6604="PADD III","PADD 3",IF($M6604="PADD IV","PADD 4",IF($M6604="PADD V","PADD 5","")))))</f>
        <v>PADD 5</v>
      </c>
      <c r="G6604" s="6">
        <f>IF(AND($H6604="ATMOS DISTILLATION",ISNUMBER(SEARCH("VPS",$I6604))=FALSE,LEFT($I6604,6)&lt;&gt;"VACUUM"),"CDU",IF($H6604="FLUID CAT CRACKING","FCC",IF(OR($H6604="HYDROCRACKING",$H6604="RESID_HYDROCRACKING"),"Hydrocracker",IF($H6604="REFORMING","Reformer",""))))</f>
        <v/>
      </c>
      <c r="H6604" s="6" t="s">
        <v>43</v>
      </c>
      <c r="I6604" s="6" t="s">
        <v>1220</v>
      </c>
      <c r="J6604" s="6" t="s">
        <v>345</v>
      </c>
      <c r="K6604" s="10">
        <v>18.2</v>
      </c>
      <c r="L6604" s="10">
        <v>35</v>
      </c>
      <c r="M6604" s="6" t="s">
        <v>386</v>
      </c>
    </row>
    <row r="6605" spans="1:13">
      <c r="A6605" s="6">
        <v>2025</v>
      </c>
      <c r="B6605" s="6">
        <v>10</v>
      </c>
      <c r="C6605" s="6" t="s">
        <v>68</v>
      </c>
      <c r="D6605" s="6" t="s">
        <v>1038</v>
      </c>
      <c r="E6605" s="6" t="s">
        <v>1039</v>
      </c>
      <c r="F6605" s="6" t="str">
        <f>IF($M6605="PADD I","PADD 1",IF($M6605="PADD II","PADD 2",IF($M6605="PADD III","PADD 3",IF($M6605="PADD IV","PADD 4",IF($M6605="PADD V","PADD 5","")))))</f>
        <v>PADD 2</v>
      </c>
      <c r="G6605" s="6">
        <f>IF(AND($H6605="ATMOS DISTILLATION",ISNUMBER(SEARCH("VPS",$I6605))=FALSE,LEFT($I6605,6)&lt;&gt;"VACUUM"),"CDU",IF($H6605="FLUID CAT CRACKING","FCC",IF(OR($H6605="HYDROCRACKING",$H6605="RESID_HYDROCRACKING"),"Hydrocracker",IF($H6605="REFORMING","Reformer",""))))</f>
        <v/>
      </c>
      <c r="H6605" s="6" t="s">
        <v>43</v>
      </c>
      <c r="I6605" s="6" t="s">
        <v>1197</v>
      </c>
      <c r="J6605" s="6" t="s">
        <v>349</v>
      </c>
      <c r="K6605" s="10">
        <v>18</v>
      </c>
      <c r="L6605" s="10">
        <v>18</v>
      </c>
      <c r="M6605" s="6" t="s">
        <v>375</v>
      </c>
    </row>
    <row r="6606" spans="1:13">
      <c r="A6606" s="6">
        <v>2025</v>
      </c>
      <c r="B6606" s="6">
        <v>10</v>
      </c>
      <c r="C6606" s="6" t="s">
        <v>68</v>
      </c>
      <c r="D6606" s="6" t="s">
        <v>326</v>
      </c>
      <c r="E6606" s="6" t="s">
        <v>385</v>
      </c>
      <c r="F6606" s="6" t="str">
        <f>IF($M6606="PADD I","PADD 1",IF($M6606="PADD II","PADD 2",IF($M6606="PADD III","PADD 3",IF($M6606="PADD IV","PADD 4",IF($M6606="PADD V","PADD 5","")))))</f>
        <v>PADD 5</v>
      </c>
      <c r="G6606" s="6">
        <f>IF(AND($H6606="ATMOS DISTILLATION",ISNUMBER(SEARCH("VPS",$I6606))=FALSE,LEFT($I6606,6)&lt;&gt;"VACUUM"),"CDU",IF($H6606="FLUID CAT CRACKING","FCC",IF(OR($H6606="HYDROCRACKING",$H6606="RESID_HYDROCRACKING"),"Hydrocracker",IF($H6606="REFORMING","Reformer",""))))</f>
        <v/>
      </c>
      <c r="H6606" s="6" t="s">
        <v>43</v>
      </c>
      <c r="I6606" s="6" t="s">
        <v>1174</v>
      </c>
      <c r="J6606" s="6" t="s">
        <v>345</v>
      </c>
      <c r="K6606" s="10">
        <v>17.57</v>
      </c>
      <c r="L6606" s="10">
        <v>17.57</v>
      </c>
      <c r="M6606" s="6" t="s">
        <v>386</v>
      </c>
    </row>
    <row r="6607" spans="1:13">
      <c r="A6607" s="6">
        <v>2025</v>
      </c>
      <c r="B6607" s="6">
        <v>10</v>
      </c>
      <c r="C6607" s="6" t="s">
        <v>68</v>
      </c>
      <c r="D6607" s="6" t="s">
        <v>322</v>
      </c>
      <c r="E6607" s="6" t="s">
        <v>369</v>
      </c>
      <c r="F6607" s="6" t="str">
        <f>IF($M6607="PADD I","PADD 1",IF($M6607="PADD II","PADD 2",IF($M6607="PADD III","PADD 3",IF($M6607="PADD IV","PADD 4",IF($M6607="PADD V","PADD 5","")))))</f>
        <v>PADD 2</v>
      </c>
      <c r="G6607" s="6" t="str">
        <f>IF(AND($H6607="ATMOS DISTILLATION",ISNUMBER(SEARCH("VPS",$I6607))=FALSE,LEFT($I6607,6)&lt;&gt;"VACUUM"),"CDU",IF($H6607="FLUID CAT CRACKING","FCC",IF(OR($H6607="HYDROCRACKING",$H6607="RESID_HYDROCRACKING"),"Hydrocracker",IF($H6607="REFORMING","Reformer",""))))</f>
        <v>Reformer</v>
      </c>
      <c r="H6607" s="6" t="s">
        <v>421</v>
      </c>
      <c r="I6607" s="6" t="s">
        <v>685</v>
      </c>
      <c r="J6607" s="6" t="s">
        <v>349</v>
      </c>
      <c r="K6607" s="10">
        <v>17.5</v>
      </c>
      <c r="L6607" s="10">
        <v>50</v>
      </c>
      <c r="M6607" s="6" t="s">
        <v>375</v>
      </c>
    </row>
    <row r="6608" spans="1:13">
      <c r="A6608" s="6">
        <v>2025</v>
      </c>
      <c r="B6608" s="6">
        <v>10</v>
      </c>
      <c r="C6608" s="6" t="s">
        <v>68</v>
      </c>
      <c r="D6608" s="6" t="s">
        <v>662</v>
      </c>
      <c r="E6608" s="6" t="s">
        <v>552</v>
      </c>
      <c r="F6608" s="6" t="str">
        <f>IF($M6608="PADD I","PADD 1",IF($M6608="PADD II","PADD 2",IF($M6608="PADD III","PADD 3",IF($M6608="PADD IV","PADD 4",IF($M6608="PADD V","PADD 5","")))))</f>
        <v>PADD 3</v>
      </c>
      <c r="G6608" s="6">
        <f>IF(AND($H6608="ATMOS DISTILLATION",ISNUMBER(SEARCH("VPS",$I6608))=FALSE,LEFT($I6608,6)&lt;&gt;"VACUUM"),"CDU",IF($H6608="FLUID CAT CRACKING","FCC",IF(OR($H6608="HYDROCRACKING",$H6608="RESID_HYDROCRACKING"),"Hydrocracker",IF($H6608="REFORMING","Reformer",""))))</f>
        <v/>
      </c>
      <c r="H6608" s="6" t="s">
        <v>43</v>
      </c>
      <c r="I6608" s="6" t="s">
        <v>927</v>
      </c>
      <c r="J6608" s="6" t="s">
        <v>349</v>
      </c>
      <c r="K6608" s="10">
        <v>17.34</v>
      </c>
      <c r="L6608" s="10">
        <v>25.5</v>
      </c>
      <c r="M6608" s="6" t="s">
        <v>371</v>
      </c>
    </row>
    <row r="6609" spans="1:13">
      <c r="A6609" s="6">
        <v>2025</v>
      </c>
      <c r="B6609" s="6">
        <v>10</v>
      </c>
      <c r="C6609" s="6" t="s">
        <v>68</v>
      </c>
      <c r="D6609" s="6" t="s">
        <v>801</v>
      </c>
      <c r="E6609" s="6" t="s">
        <v>779</v>
      </c>
      <c r="F6609" s="6" t="str">
        <f>IF($M6609="PADD I","PADD 1",IF($M6609="PADD II","PADD 2",IF($M6609="PADD III","PADD 3",IF($M6609="PADD IV","PADD 4",IF($M6609="PADD V","PADD 5","")))))</f>
        <v>PADD 2</v>
      </c>
      <c r="G6609" s="6">
        <f>IF(AND($H6609="ATMOS DISTILLATION",ISNUMBER(SEARCH("VPS",$I6609))=FALSE,LEFT($I6609,6)&lt;&gt;"VACUUM"),"CDU",IF($H6609="FLUID CAT CRACKING","FCC",IF(OR($H6609="HYDROCRACKING",$H6609="RESID_HYDROCRACKING"),"Hydrocracker",IF($H6609="REFORMING","Reformer",""))))</f>
        <v/>
      </c>
      <c r="H6609" s="6" t="s">
        <v>43</v>
      </c>
      <c r="I6609" s="6" t="s">
        <v>981</v>
      </c>
      <c r="J6609" s="6" t="s">
        <v>349</v>
      </c>
      <c r="K6609" s="10">
        <v>17.28</v>
      </c>
      <c r="L6609" s="10">
        <v>54</v>
      </c>
      <c r="M6609" s="6" t="s">
        <v>375</v>
      </c>
    </row>
    <row r="6610" spans="1:13">
      <c r="A6610" s="6">
        <v>2025</v>
      </c>
      <c r="B6610" s="6">
        <v>10</v>
      </c>
      <c r="C6610" s="6" t="s">
        <v>68</v>
      </c>
      <c r="D6610" s="6" t="s">
        <v>51</v>
      </c>
      <c r="E6610" s="6" t="s">
        <v>391</v>
      </c>
      <c r="F6610" s="6" t="str">
        <f>IF($M6610="PADD I","PADD 1",IF($M6610="PADD II","PADD 2",IF($M6610="PADD III","PADD 3",IF($M6610="PADD IV","PADD 4",IF($M6610="PADD V","PADD 5","")))))</f>
        <v>PADD 5</v>
      </c>
      <c r="G6610" s="6">
        <f>IF(AND($H6610="ATMOS DISTILLATION",ISNUMBER(SEARCH("VPS",$I6610))=FALSE,LEFT($I6610,6)&lt;&gt;"VACUUM"),"CDU",IF($H6610="FLUID CAT CRACKING","FCC",IF(OR($H6610="HYDROCRACKING",$H6610="RESID_HYDROCRACKING"),"Hydrocracker",IF($H6610="REFORMING","Reformer",""))))</f>
        <v/>
      </c>
      <c r="H6610" s="6" t="s">
        <v>460</v>
      </c>
      <c r="I6610" s="6" t="s">
        <v>461</v>
      </c>
      <c r="J6610" s="6" t="s">
        <v>345</v>
      </c>
      <c r="K6610" s="10">
        <v>17.16</v>
      </c>
      <c r="L6610" s="10">
        <v>33</v>
      </c>
      <c r="M6610" s="6" t="s">
        <v>386</v>
      </c>
    </row>
    <row r="6611" spans="1:13">
      <c r="A6611" s="6">
        <v>2025</v>
      </c>
      <c r="B6611" s="6">
        <v>10</v>
      </c>
      <c r="C6611" s="6" t="s">
        <v>68</v>
      </c>
      <c r="D6611" s="6" t="s">
        <v>639</v>
      </c>
      <c r="E6611" s="6" t="s">
        <v>452</v>
      </c>
      <c r="F6611" s="6" t="str">
        <f>IF($M6611="PADD I","PADD 1",IF($M6611="PADD II","PADD 2",IF($M6611="PADD III","PADD 3",IF($M6611="PADD IV","PADD 4",IF($M6611="PADD V","PADD 5","")))))</f>
        <v>PADD 5</v>
      </c>
      <c r="G6611" s="6" t="str">
        <f>IF(AND($H6611="ATMOS DISTILLATION",ISNUMBER(SEARCH("VPS",$I6611))=FALSE,LEFT($I6611,6)&lt;&gt;"VACUUM"),"CDU",IF($H6611="FLUID CAT CRACKING","FCC",IF(OR($H6611="HYDROCRACKING",$H6611="RESID_HYDROCRACKING"),"Hydrocracker",IF($H6611="REFORMING","Reformer",""))))</f>
        <v>Reformer</v>
      </c>
      <c r="H6611" s="6" t="s">
        <v>421</v>
      </c>
      <c r="I6611" s="6" t="s">
        <v>906</v>
      </c>
      <c r="J6611" s="6" t="s">
        <v>349</v>
      </c>
      <c r="K6611" s="10">
        <v>17</v>
      </c>
      <c r="L6611" s="10">
        <v>17</v>
      </c>
      <c r="M6611" s="6" t="s">
        <v>386</v>
      </c>
    </row>
    <row r="6612" spans="1:13">
      <c r="A6612" s="6">
        <v>2025</v>
      </c>
      <c r="B6612" s="6">
        <v>10</v>
      </c>
      <c r="C6612" s="6" t="s">
        <v>68</v>
      </c>
      <c r="D6612" s="6" t="s">
        <v>1320</v>
      </c>
      <c r="E6612" s="6" t="s">
        <v>1321</v>
      </c>
      <c r="F6612" s="6" t="str">
        <f>IF($M6612="PADD I","PADD 1",IF($M6612="PADD II","PADD 2",IF($M6612="PADD III","PADD 3",IF($M6612="PADD IV","PADD 4",IF($M6612="PADD V","PADD 5","")))))</f>
        <v>PADD 3</v>
      </c>
      <c r="G6612" s="6" t="str">
        <f>IF(AND($H6612="ATMOS DISTILLATION",ISNUMBER(SEARCH("VPS",$I6612))=FALSE,LEFT($I6612,6)&lt;&gt;"VACUUM"),"CDU",IF($H6612="FLUID CAT CRACKING","FCC",IF(OR($H6612="HYDROCRACKING",$H6612="RESID_HYDROCRACKING"),"Hydrocracker",IF($H6612="REFORMING","Reformer",""))))</f>
        <v>CDU</v>
      </c>
      <c r="H6612" s="6" t="s">
        <v>38</v>
      </c>
      <c r="I6612" s="6" t="s">
        <v>81</v>
      </c>
      <c r="J6612" s="6" t="s">
        <v>349</v>
      </c>
      <c r="K6612" s="10">
        <v>16.165</v>
      </c>
      <c r="L6612" s="10">
        <v>26.5</v>
      </c>
      <c r="M6612" s="6" t="s">
        <v>371</v>
      </c>
    </row>
    <row r="6613" spans="1:13">
      <c r="A6613" s="6">
        <v>2025</v>
      </c>
      <c r="B6613" s="6">
        <v>10</v>
      </c>
      <c r="C6613" s="6" t="s">
        <v>68</v>
      </c>
      <c r="D6613" s="6" t="s">
        <v>387</v>
      </c>
      <c r="E6613" s="6" t="s">
        <v>388</v>
      </c>
      <c r="F6613" s="6" t="str">
        <f>IF($M6613="PADD I","PADD 1",IF($M6613="PADD II","PADD 2",IF($M6613="PADD III","PADD 3",IF($M6613="PADD IV","PADD 4",IF($M6613="PADD V","PADD 5","")))))</f>
        <v>PADD 3</v>
      </c>
      <c r="G6613" s="6" t="str">
        <f>IF(AND($H6613="ATMOS DISTILLATION",ISNUMBER(SEARCH("VPS",$I6613))=FALSE,LEFT($I6613,6)&lt;&gt;"VACUUM"),"CDU",IF($H6613="FLUID CAT CRACKING","FCC",IF(OR($H6613="HYDROCRACKING",$H6613="RESID_HYDROCRACKING"),"Hydrocracker",IF($H6613="REFORMING","Reformer",""))))</f>
        <v>Hydrocracker</v>
      </c>
      <c r="H6613" s="6" t="s">
        <v>581</v>
      </c>
      <c r="I6613" s="6" t="s">
        <v>868</v>
      </c>
      <c r="J6613" s="6" t="s">
        <v>345</v>
      </c>
      <c r="K6613" s="10">
        <v>16</v>
      </c>
      <c r="L6613" s="10">
        <v>16</v>
      </c>
      <c r="M6613" s="6" t="s">
        <v>371</v>
      </c>
    </row>
    <row r="6614" spans="1:13">
      <c r="A6614" s="6">
        <v>2025</v>
      </c>
      <c r="B6614" s="6">
        <v>10</v>
      </c>
      <c r="C6614" s="6" t="s">
        <v>68</v>
      </c>
      <c r="D6614" s="6" t="s">
        <v>322</v>
      </c>
      <c r="E6614" s="6" t="s">
        <v>369</v>
      </c>
      <c r="F6614" s="6" t="str">
        <f>IF($M6614="PADD I","PADD 1",IF($M6614="PADD II","PADD 2",IF($M6614="PADD III","PADD 3",IF($M6614="PADD IV","PADD 4",IF($M6614="PADD V","PADD 5","")))))</f>
        <v>PADD 2</v>
      </c>
      <c r="G6614" s="6">
        <f>IF(AND($H6614="ATMOS DISTILLATION",ISNUMBER(SEARCH("VPS",$I6614))=FALSE,LEFT($I6614,6)&lt;&gt;"VACUUM"),"CDU",IF($H6614="FLUID CAT CRACKING","FCC",IF(OR($H6614="HYDROCRACKING",$H6614="RESID_HYDROCRACKING"),"Hydrocracker",IF($H6614="REFORMING","Reformer",""))))</f>
        <v/>
      </c>
      <c r="H6614" s="6" t="s">
        <v>378</v>
      </c>
      <c r="I6614" s="6" t="s">
        <v>1334</v>
      </c>
      <c r="J6614" s="6" t="s">
        <v>345</v>
      </c>
      <c r="K6614" s="10">
        <v>15.6</v>
      </c>
      <c r="L6614" s="10">
        <v>30</v>
      </c>
      <c r="M6614" s="6" t="s">
        <v>375</v>
      </c>
    </row>
    <row r="6615" spans="1:13">
      <c r="A6615" s="6">
        <v>2025</v>
      </c>
      <c r="B6615" s="6">
        <v>10</v>
      </c>
      <c r="C6615" s="6" t="s">
        <v>68</v>
      </c>
      <c r="D6615" s="6" t="s">
        <v>324</v>
      </c>
      <c r="E6615" s="6" t="s">
        <v>388</v>
      </c>
      <c r="F6615" s="6" t="str">
        <f>IF($M6615="PADD I","PADD 1",IF($M6615="PADD II","PADD 2",IF($M6615="PADD III","PADD 3",IF($M6615="PADD IV","PADD 4",IF($M6615="PADD V","PADD 5","")))))</f>
        <v>PADD 3</v>
      </c>
      <c r="G6615" s="6">
        <f>IF(AND($H6615="ATMOS DISTILLATION",ISNUMBER(SEARCH("VPS",$I6615))=FALSE,LEFT($I6615,6)&lt;&gt;"VACUUM"),"CDU",IF($H6615="FLUID CAT CRACKING","FCC",IF(OR($H6615="HYDROCRACKING",$H6615="RESID_HYDROCRACKING"),"Hydrocracker",IF($H6615="REFORMING","Reformer",""))))</f>
        <v/>
      </c>
      <c r="H6615" s="6" t="s">
        <v>435</v>
      </c>
      <c r="I6615" s="6" t="s">
        <v>962</v>
      </c>
      <c r="J6615" s="6" t="s">
        <v>349</v>
      </c>
      <c r="K6615" s="10">
        <v>15.525</v>
      </c>
      <c r="L6615" s="10">
        <v>34.5</v>
      </c>
      <c r="M6615" s="6" t="s">
        <v>371</v>
      </c>
    </row>
    <row r="6616" spans="1:13">
      <c r="A6616" s="6">
        <v>2025</v>
      </c>
      <c r="B6616" s="6">
        <v>10</v>
      </c>
      <c r="C6616" s="6" t="s">
        <v>68</v>
      </c>
      <c r="D6616" s="6" t="s">
        <v>51</v>
      </c>
      <c r="E6616" s="6" t="s">
        <v>391</v>
      </c>
      <c r="F6616" s="6" t="str">
        <f>IF($M6616="PADD I","PADD 1",IF($M6616="PADD II","PADD 2",IF($M6616="PADD III","PADD 3",IF($M6616="PADD IV","PADD 4",IF($M6616="PADD V","PADD 5","")))))</f>
        <v>PADD 5</v>
      </c>
      <c r="G6616" s="6">
        <f>IF(AND($H6616="ATMOS DISTILLATION",ISNUMBER(SEARCH("VPS",$I6616))=FALSE,LEFT($I6616,6)&lt;&gt;"VACUUM"),"CDU",IF($H6616="FLUID CAT CRACKING","FCC",IF(OR($H6616="HYDROCRACKING",$H6616="RESID_HYDROCRACKING"),"Hydrocracker",IF($H6616="REFORMING","Reformer",""))))</f>
        <v/>
      </c>
      <c r="H6616" s="6" t="s">
        <v>378</v>
      </c>
      <c r="I6616" s="6" t="s">
        <v>1035</v>
      </c>
      <c r="J6616" s="6" t="s">
        <v>345</v>
      </c>
      <c r="K6616" s="10">
        <v>15.4077</v>
      </c>
      <c r="L6616" s="10">
        <v>53.13</v>
      </c>
      <c r="M6616" s="6" t="s">
        <v>386</v>
      </c>
    </row>
    <row r="6617" spans="1:13">
      <c r="A6617" s="6">
        <v>2025</v>
      </c>
      <c r="B6617" s="6">
        <v>10</v>
      </c>
      <c r="C6617" s="6" t="s">
        <v>68</v>
      </c>
      <c r="D6617" s="6" t="s">
        <v>547</v>
      </c>
      <c r="E6617" s="6" t="s">
        <v>391</v>
      </c>
      <c r="F6617" s="6" t="str">
        <f>IF($M6617="PADD I","PADD 1",IF($M6617="PADD II","PADD 2",IF($M6617="PADD III","PADD 3",IF($M6617="PADD IV","PADD 4",IF($M6617="PADD V","PADD 5","")))))</f>
        <v>PADD 5</v>
      </c>
      <c r="G6617" s="6">
        <f>IF(AND($H6617="ATMOS DISTILLATION",ISNUMBER(SEARCH("VPS",$I6617))=FALSE,LEFT($I6617,6)&lt;&gt;"VACUUM"),"CDU",IF($H6617="FLUID CAT CRACKING","FCC",IF(OR($H6617="HYDROCRACKING",$H6617="RESID_HYDROCRACKING"),"Hydrocracker",IF($H6617="REFORMING","Reformer",""))))</f>
        <v/>
      </c>
      <c r="H6617" s="6" t="s">
        <v>43</v>
      </c>
      <c r="I6617" s="6" t="s">
        <v>105</v>
      </c>
      <c r="J6617" s="6" t="s">
        <v>345</v>
      </c>
      <c r="K6617" s="10">
        <v>14.95</v>
      </c>
      <c r="L6617" s="10">
        <v>65</v>
      </c>
      <c r="M6617" s="6" t="s">
        <v>386</v>
      </c>
    </row>
    <row r="6618" spans="1:13">
      <c r="A6618" s="6">
        <v>2025</v>
      </c>
      <c r="B6618" s="6">
        <v>10</v>
      </c>
      <c r="C6618" s="6" t="s">
        <v>68</v>
      </c>
      <c r="D6618" s="6" t="s">
        <v>801</v>
      </c>
      <c r="E6618" s="6" t="s">
        <v>779</v>
      </c>
      <c r="F6618" s="6" t="str">
        <f>IF($M6618="PADD I","PADD 1",IF($M6618="PADD II","PADD 2",IF($M6618="PADD III","PADD 3",IF($M6618="PADD IV","PADD 4",IF($M6618="PADD V","PADD 5","")))))</f>
        <v>PADD 2</v>
      </c>
      <c r="G6618" s="6">
        <f>IF(AND($H6618="ATMOS DISTILLATION",ISNUMBER(SEARCH("VPS",$I6618))=FALSE,LEFT($I6618,6)&lt;&gt;"VACUUM"),"CDU",IF($H6618="FLUID CAT CRACKING","FCC",IF(OR($H6618="HYDROCRACKING",$H6618="RESID_HYDROCRACKING"),"Hydrocracker",IF($H6618="REFORMING","Reformer",""))))</f>
        <v/>
      </c>
      <c r="H6618" s="6" t="s">
        <v>435</v>
      </c>
      <c r="I6618" s="6" t="s">
        <v>1179</v>
      </c>
      <c r="J6618" s="6" t="s">
        <v>345</v>
      </c>
      <c r="K6618" s="10">
        <v>14.64</v>
      </c>
      <c r="L6618" s="10">
        <v>24</v>
      </c>
      <c r="M6618" s="6" t="s">
        <v>375</v>
      </c>
    </row>
    <row r="6619" spans="1:13">
      <c r="A6619" s="6">
        <v>2025</v>
      </c>
      <c r="B6619" s="6">
        <v>10</v>
      </c>
      <c r="C6619" s="6" t="s">
        <v>68</v>
      </c>
      <c r="D6619" s="6" t="s">
        <v>801</v>
      </c>
      <c r="E6619" s="6" t="s">
        <v>779</v>
      </c>
      <c r="F6619" s="6" t="str">
        <f>IF($M6619="PADD I","PADD 1",IF($M6619="PADD II","PADD 2",IF($M6619="PADD III","PADD 3",IF($M6619="PADD IV","PADD 4",IF($M6619="PADD V","PADD 5","")))))</f>
        <v>PADD 2</v>
      </c>
      <c r="G6619" s="6">
        <f>IF(AND($H6619="ATMOS DISTILLATION",ISNUMBER(SEARCH("VPS",$I6619))=FALSE,LEFT($I6619,6)&lt;&gt;"VACUUM"),"CDU",IF($H6619="FLUID CAT CRACKING","FCC",IF(OR($H6619="HYDROCRACKING",$H6619="RESID_HYDROCRACKING"),"Hydrocracker",IF($H6619="REFORMING","Reformer",""))))</f>
        <v/>
      </c>
      <c r="H6619" s="6" t="s">
        <v>43</v>
      </c>
      <c r="I6619" s="6" t="s">
        <v>990</v>
      </c>
      <c r="J6619" s="6" t="s">
        <v>349</v>
      </c>
      <c r="K6619" s="10">
        <v>14.4</v>
      </c>
      <c r="L6619" s="10">
        <v>45</v>
      </c>
      <c r="M6619" s="6" t="s">
        <v>375</v>
      </c>
    </row>
    <row r="6620" spans="1:13">
      <c r="A6620" s="6">
        <v>2025</v>
      </c>
      <c r="B6620" s="6">
        <v>10</v>
      </c>
      <c r="C6620" s="6" t="s">
        <v>68</v>
      </c>
      <c r="D6620" s="6" t="s">
        <v>468</v>
      </c>
      <c r="E6620" s="6" t="s">
        <v>369</v>
      </c>
      <c r="F6620" s="6" t="str">
        <f>IF($M6620="PADD I","PADD 1",IF($M6620="PADD II","PADD 2",IF($M6620="PADD III","PADD 3",IF($M6620="PADD IV","PADD 4",IF($M6620="PADD V","PADD 5","")))))</f>
        <v>PADD 3</v>
      </c>
      <c r="G6620" s="6">
        <f>IF(AND($H6620="ATMOS DISTILLATION",ISNUMBER(SEARCH("VPS",$I6620))=FALSE,LEFT($I6620,6)&lt;&gt;"VACUUM"),"CDU",IF($H6620="FLUID CAT CRACKING","FCC",IF(OR($H6620="HYDROCRACKING",$H6620="RESID_HYDROCRACKING"),"Hydrocracker",IF($H6620="REFORMING","Reformer",""))))</f>
        <v/>
      </c>
      <c r="H6620" s="6" t="s">
        <v>460</v>
      </c>
      <c r="I6620" s="6" t="s">
        <v>890</v>
      </c>
      <c r="J6620" s="6" t="s">
        <v>349</v>
      </c>
      <c r="K6620" s="10">
        <v>14</v>
      </c>
      <c r="L6620" s="10">
        <v>14</v>
      </c>
      <c r="M6620" s="6" t="s">
        <v>371</v>
      </c>
    </row>
    <row r="6621" spans="1:13">
      <c r="A6621" s="6">
        <v>2025</v>
      </c>
      <c r="B6621" s="6">
        <v>10</v>
      </c>
      <c r="C6621" s="6" t="s">
        <v>68</v>
      </c>
      <c r="D6621" s="6" t="s">
        <v>772</v>
      </c>
      <c r="E6621" s="6" t="s">
        <v>405</v>
      </c>
      <c r="F6621" s="6" t="str">
        <f>IF($M6621="PADD I","PADD 1",IF($M6621="PADD II","PADD 2",IF($M6621="PADD III","PADD 3",IF($M6621="PADD IV","PADD 4",IF($M6621="PADD V","PADD 5","")))))</f>
        <v>PADD 3</v>
      </c>
      <c r="G6621" s="6" t="str">
        <f>IF(AND($H6621="ATMOS DISTILLATION",ISNUMBER(SEARCH("VPS",$I6621))=FALSE,LEFT($I6621,6)&lt;&gt;"VACUUM"),"CDU",IF($H6621="FLUID CAT CRACKING","FCC",IF(OR($H6621="HYDROCRACKING",$H6621="RESID_HYDROCRACKING"),"Hydrocracker",IF($H6621="REFORMING","Reformer",""))))</f>
        <v>CDU</v>
      </c>
      <c r="H6621" s="6" t="s">
        <v>38</v>
      </c>
      <c r="I6621" s="6" t="s">
        <v>1097</v>
      </c>
      <c r="J6621" s="6" t="s">
        <v>349</v>
      </c>
      <c r="K6621" s="10">
        <v>13.02</v>
      </c>
      <c r="L6621" s="10">
        <v>37.2</v>
      </c>
      <c r="M6621" s="6" t="s">
        <v>371</v>
      </c>
    </row>
    <row r="6622" spans="1:13">
      <c r="A6622" s="6">
        <v>2025</v>
      </c>
      <c r="B6622" s="6">
        <v>10</v>
      </c>
      <c r="C6622" s="6" t="s">
        <v>68</v>
      </c>
      <c r="D6622" s="6" t="s">
        <v>778</v>
      </c>
      <c r="E6622" s="6" t="s">
        <v>779</v>
      </c>
      <c r="F6622" s="6" t="str">
        <f>IF($M6622="PADD I","PADD 1",IF($M6622="PADD II","PADD 2",IF($M6622="PADD III","PADD 3",IF($M6622="PADD IV","PADD 4",IF($M6622="PADD V","PADD 5","")))))</f>
        <v>PADD 3</v>
      </c>
      <c r="G6622" s="6" t="str">
        <f>IF(AND($H6622="ATMOS DISTILLATION",ISNUMBER(SEARCH("VPS",$I6622))=FALSE,LEFT($I6622,6)&lt;&gt;"VACUUM"),"CDU",IF($H6622="FLUID CAT CRACKING","FCC",IF(OR($H6622="HYDROCRACKING",$H6622="RESID_HYDROCRACKING"),"Hydrocracker",IF($H6622="REFORMING","Reformer",""))))</f>
        <v>CDU</v>
      </c>
      <c r="H6622" s="6" t="s">
        <v>38</v>
      </c>
      <c r="I6622" s="6" t="s">
        <v>780</v>
      </c>
      <c r="J6622" s="6" t="s">
        <v>345</v>
      </c>
      <c r="K6622" s="10">
        <v>13.02</v>
      </c>
      <c r="L6622" s="10">
        <v>217</v>
      </c>
      <c r="M6622" s="6" t="s">
        <v>371</v>
      </c>
    </row>
    <row r="6623" spans="1:13">
      <c r="A6623" s="6">
        <v>2025</v>
      </c>
      <c r="B6623" s="6">
        <v>10</v>
      </c>
      <c r="C6623" s="6" t="s">
        <v>68</v>
      </c>
      <c r="D6623" s="6" t="s">
        <v>457</v>
      </c>
      <c r="E6623" s="6" t="s">
        <v>388</v>
      </c>
      <c r="F6623" s="6" t="str">
        <f>IF($M6623="PADD I","PADD 1",IF($M6623="PADD II","PADD 2",IF($M6623="PADD III","PADD 3",IF($M6623="PADD IV","PADD 4",IF($M6623="PADD V","PADD 5","")))))</f>
        <v>PADD 5</v>
      </c>
      <c r="G6623" s="6">
        <f>IF(AND($H6623="ATMOS DISTILLATION",ISNUMBER(SEARCH("VPS",$I6623))=FALSE,LEFT($I6623,6)&lt;&gt;"VACUUM"),"CDU",IF($H6623="FLUID CAT CRACKING","FCC",IF(OR($H6623="HYDROCRACKING",$H6623="RESID_HYDROCRACKING"),"Hydrocracker",IF($H6623="REFORMING","Reformer",""))))</f>
        <v/>
      </c>
      <c r="H6623" s="6" t="s">
        <v>460</v>
      </c>
      <c r="I6623" s="6" t="s">
        <v>461</v>
      </c>
      <c r="J6623" s="6" t="s">
        <v>349</v>
      </c>
      <c r="K6623" s="10">
        <v>13</v>
      </c>
      <c r="L6623" s="10">
        <v>13</v>
      </c>
      <c r="M6623" s="6" t="s">
        <v>386</v>
      </c>
    </row>
    <row r="6624" spans="1:13">
      <c r="A6624" s="6">
        <v>2025</v>
      </c>
      <c r="B6624" s="6">
        <v>10</v>
      </c>
      <c r="C6624" s="6" t="s">
        <v>68</v>
      </c>
      <c r="D6624" s="6" t="s">
        <v>576</v>
      </c>
      <c r="E6624" s="6" t="s">
        <v>369</v>
      </c>
      <c r="F6624" s="6" t="str">
        <f>IF($M6624="PADD I","PADD 1",IF($M6624="PADD II","PADD 2",IF($M6624="PADD III","PADD 3",IF($M6624="PADD IV","PADD 4",IF($M6624="PADD V","PADD 5","")))))</f>
        <v>PADD 3</v>
      </c>
      <c r="G6624" s="6" t="str">
        <f>IF(AND($H6624="ATMOS DISTILLATION",ISNUMBER(SEARCH("VPS",$I6624))=FALSE,LEFT($I6624,6)&lt;&gt;"VACUUM"),"CDU",IF($H6624="FLUID CAT CRACKING","FCC",IF(OR($H6624="HYDROCRACKING",$H6624="RESID_HYDROCRACKING"),"Hydrocracker",IF($H6624="REFORMING","Reformer",""))))</f>
        <v>CDU</v>
      </c>
      <c r="H6624" s="6" t="s">
        <v>38</v>
      </c>
      <c r="I6624" s="6" t="s">
        <v>1319</v>
      </c>
      <c r="J6624" s="6" t="s">
        <v>349</v>
      </c>
      <c r="K6624" s="10">
        <v>12.8</v>
      </c>
      <c r="L6624" s="10">
        <v>80</v>
      </c>
      <c r="M6624" s="6" t="s">
        <v>371</v>
      </c>
    </row>
    <row r="6625" spans="1:13">
      <c r="A6625" s="6">
        <v>2025</v>
      </c>
      <c r="B6625" s="6">
        <v>10</v>
      </c>
      <c r="C6625" s="6" t="s">
        <v>68</v>
      </c>
      <c r="D6625" s="6" t="s">
        <v>799</v>
      </c>
      <c r="E6625" s="6" t="s">
        <v>391</v>
      </c>
      <c r="F6625" s="6" t="str">
        <f>IF($M6625="PADD I","PADD 1",IF($M6625="PADD II","PADD 2",IF($M6625="PADD III","PADD 3",IF($M6625="PADD IV","PADD 4",IF($M6625="PADD V","PADD 5","")))))</f>
        <v>PADD 4</v>
      </c>
      <c r="G6625" s="6" t="str">
        <f>IF(AND($H6625="ATMOS DISTILLATION",ISNUMBER(SEARCH("VPS",$I6625))=FALSE,LEFT($I6625,6)&lt;&gt;"VACUUM"),"CDU",IF($H6625="FLUID CAT CRACKING","FCC",IF(OR($H6625="HYDROCRACKING",$H6625="RESID_HYDROCRACKING"),"Hydrocracker",IF($H6625="REFORMING","Reformer",""))))</f>
        <v>FCC</v>
      </c>
      <c r="H6625" s="6" t="s">
        <v>376</v>
      </c>
      <c r="I6625" s="6" t="s">
        <v>800</v>
      </c>
      <c r="J6625" s="6" t="s">
        <v>349</v>
      </c>
      <c r="K6625" s="10">
        <v>12.61</v>
      </c>
      <c r="L6625" s="10">
        <v>13</v>
      </c>
      <c r="M6625" s="6" t="s">
        <v>430</v>
      </c>
    </row>
    <row r="6626" spans="1:13">
      <c r="A6626" s="6">
        <v>2025</v>
      </c>
      <c r="B6626" s="6">
        <v>10</v>
      </c>
      <c r="C6626" s="6" t="s">
        <v>68</v>
      </c>
      <c r="D6626" s="6" t="s">
        <v>335</v>
      </c>
      <c r="E6626" s="6" t="s">
        <v>369</v>
      </c>
      <c r="F6626" s="6" t="str">
        <f>IF($M6626="PADD I","PADD 1",IF($M6626="PADD II","PADD 2",IF($M6626="PADD III","PADD 3",IF($M6626="PADD IV","PADD 4",IF($M6626="PADD V","PADD 5","")))))</f>
        <v>PADD 3</v>
      </c>
      <c r="G6626" s="6" t="str">
        <f>IF(AND($H6626="ATMOS DISTILLATION",ISNUMBER(SEARCH("VPS",$I6626))=FALSE,LEFT($I6626,6)&lt;&gt;"VACUUM"),"CDU",IF($H6626="FLUID CAT CRACKING","FCC",IF(OR($H6626="HYDROCRACKING",$H6626="RESID_HYDROCRACKING"),"Hydrocracker",IF($H6626="REFORMING","Reformer",""))))</f>
        <v>CDU</v>
      </c>
      <c r="H6626" s="6" t="s">
        <v>38</v>
      </c>
      <c r="I6626" s="6" t="s">
        <v>729</v>
      </c>
      <c r="J6626" s="6" t="s">
        <v>345</v>
      </c>
      <c r="K6626" s="10">
        <v>12.36</v>
      </c>
      <c r="L6626" s="10">
        <v>206</v>
      </c>
      <c r="M6626" s="6" t="s">
        <v>371</v>
      </c>
    </row>
    <row r="6627" spans="1:13">
      <c r="A6627" s="6">
        <v>2025</v>
      </c>
      <c r="B6627" s="6">
        <v>10</v>
      </c>
      <c r="C6627" s="6" t="s">
        <v>68</v>
      </c>
      <c r="D6627" s="6" t="s">
        <v>1320</v>
      </c>
      <c r="E6627" s="6" t="s">
        <v>1321</v>
      </c>
      <c r="F6627" s="6" t="str">
        <f>IF($M6627="PADD I","PADD 1",IF($M6627="PADD II","PADD 2",IF($M6627="PADD III","PADD 3",IF($M6627="PADD IV","PADD 4",IF($M6627="PADD V","PADD 5","")))))</f>
        <v>PADD 3</v>
      </c>
      <c r="G6627" s="6">
        <f>IF(AND($H6627="ATMOS DISTILLATION",ISNUMBER(SEARCH("VPS",$I6627))=FALSE,LEFT($I6627,6)&lt;&gt;"VACUUM"),"CDU",IF($H6627="FLUID CAT CRACKING","FCC",IF(OR($H6627="HYDROCRACKING",$H6627="RESID_HYDROCRACKING"),"Hydrocracker",IF($H6627="REFORMING","Reformer",""))))</f>
        <v/>
      </c>
      <c r="H6627" s="6" t="s">
        <v>378</v>
      </c>
      <c r="I6627" s="6" t="s">
        <v>431</v>
      </c>
      <c r="J6627" s="6" t="s">
        <v>349</v>
      </c>
      <c r="K6627" s="10">
        <v>12.2</v>
      </c>
      <c r="L6627" s="10">
        <v>20</v>
      </c>
      <c r="M6627" s="6" t="s">
        <v>371</v>
      </c>
    </row>
    <row r="6628" spans="1:13">
      <c r="A6628" s="6">
        <v>2025</v>
      </c>
      <c r="B6628" s="6">
        <v>10</v>
      </c>
      <c r="C6628" s="6" t="s">
        <v>68</v>
      </c>
      <c r="D6628" s="6" t="s">
        <v>670</v>
      </c>
      <c r="E6628" s="6" t="s">
        <v>405</v>
      </c>
      <c r="F6628" s="6" t="str">
        <f>IF($M6628="PADD I","PADD 1",IF($M6628="PADD II","PADD 2",IF($M6628="PADD III","PADD 3",IF($M6628="PADD IV","PADD 4",IF($M6628="PADD V","PADD 5","")))))</f>
        <v>PADD 2</v>
      </c>
      <c r="G6628" s="6">
        <f>IF(AND($H6628="ATMOS DISTILLATION",ISNUMBER(SEARCH("VPS",$I6628))=FALSE,LEFT($I6628,6)&lt;&gt;"VACUUM"),"CDU",IF($H6628="FLUID CAT CRACKING","FCC",IF(OR($H6628="HYDROCRACKING",$H6628="RESID_HYDROCRACKING"),"Hydrocracker",IF($H6628="REFORMING","Reformer",""))))</f>
        <v/>
      </c>
      <c r="H6628" s="6" t="s">
        <v>460</v>
      </c>
      <c r="I6628" s="6" t="s">
        <v>616</v>
      </c>
      <c r="J6628" s="6" t="s">
        <v>349</v>
      </c>
      <c r="K6628" s="10">
        <v>12</v>
      </c>
      <c r="L6628" s="10">
        <v>12</v>
      </c>
      <c r="M6628" s="6" t="s">
        <v>375</v>
      </c>
    </row>
    <row r="6629" spans="1:13">
      <c r="A6629" s="6">
        <v>2025</v>
      </c>
      <c r="B6629" s="6">
        <v>10</v>
      </c>
      <c r="C6629" s="6" t="s">
        <v>68</v>
      </c>
      <c r="D6629" s="6" t="s">
        <v>639</v>
      </c>
      <c r="E6629" s="6" t="s">
        <v>452</v>
      </c>
      <c r="F6629" s="6" t="str">
        <f>IF($M6629="PADD I","PADD 1",IF($M6629="PADD II","PADD 2",IF($M6629="PADD III","PADD 3",IF($M6629="PADD IV","PADD 4",IF($M6629="PADD V","PADD 5","")))))</f>
        <v>PADD 5</v>
      </c>
      <c r="G6629" s="6">
        <f>IF(AND($H6629="ATMOS DISTILLATION",ISNUMBER(SEARCH("VPS",$I6629))=FALSE,LEFT($I6629,6)&lt;&gt;"VACUUM"),"CDU",IF($H6629="FLUID CAT CRACKING","FCC",IF(OR($H6629="HYDROCRACKING",$H6629="RESID_HYDROCRACKING"),"Hydrocracker",IF($H6629="REFORMING","Reformer",""))))</f>
        <v/>
      </c>
      <c r="H6629" s="6" t="s">
        <v>568</v>
      </c>
      <c r="I6629" s="6" t="s">
        <v>713</v>
      </c>
      <c r="J6629" s="6" t="s">
        <v>349</v>
      </c>
      <c r="K6629" s="10">
        <v>12</v>
      </c>
      <c r="L6629" s="10">
        <v>12</v>
      </c>
      <c r="M6629" s="6" t="s">
        <v>386</v>
      </c>
    </row>
    <row r="6630" spans="1:13">
      <c r="A6630" s="6">
        <v>2025</v>
      </c>
      <c r="B6630" s="6">
        <v>10</v>
      </c>
      <c r="C6630" s="6" t="s">
        <v>68</v>
      </c>
      <c r="D6630" s="6" t="s">
        <v>511</v>
      </c>
      <c r="E6630" s="6" t="s">
        <v>405</v>
      </c>
      <c r="F6630" s="6" t="str">
        <f>IF($M6630="PADD I","PADD 1",IF($M6630="PADD II","PADD 2",IF($M6630="PADD III","PADD 3",IF($M6630="PADD IV","PADD 4",IF($M6630="PADD V","PADD 5","")))))</f>
        <v>PADD 3</v>
      </c>
      <c r="G6630" s="6" t="str">
        <f>IF(AND($H6630="ATMOS DISTILLATION",ISNUMBER(SEARCH("VPS",$I6630))=FALSE,LEFT($I6630,6)&lt;&gt;"VACUUM"),"CDU",IF($H6630="FLUID CAT CRACKING","FCC",IF(OR($H6630="HYDROCRACKING",$H6630="RESID_HYDROCRACKING"),"Hydrocracker",IF($H6630="REFORMING","Reformer",""))))</f>
        <v>CDU</v>
      </c>
      <c r="H6630" s="6" t="s">
        <v>38</v>
      </c>
      <c r="I6630" s="6" t="s">
        <v>112</v>
      </c>
      <c r="J6630" s="6" t="s">
        <v>345</v>
      </c>
      <c r="K6630" s="10">
        <v>11.5</v>
      </c>
      <c r="L6630" s="10">
        <v>115</v>
      </c>
      <c r="M6630" s="6" t="s">
        <v>371</v>
      </c>
    </row>
    <row r="6631" spans="1:13">
      <c r="A6631" s="6">
        <v>2025</v>
      </c>
      <c r="B6631" s="6">
        <v>10</v>
      </c>
      <c r="C6631" s="6" t="s">
        <v>68</v>
      </c>
      <c r="D6631" s="6" t="s">
        <v>387</v>
      </c>
      <c r="E6631" s="6" t="s">
        <v>388</v>
      </c>
      <c r="F6631" s="6" t="str">
        <f>IF($M6631="PADD I","PADD 1",IF($M6631="PADD II","PADD 2",IF($M6631="PADD III","PADD 3",IF($M6631="PADD IV","PADD 4",IF($M6631="PADD V","PADD 5","")))))</f>
        <v>PADD 3</v>
      </c>
      <c r="G6631" s="6" t="str">
        <f>IF(AND($H6631="ATMOS DISTILLATION",ISNUMBER(SEARCH("VPS",$I6631))=FALSE,LEFT($I6631,6)&lt;&gt;"VACUUM"),"CDU",IF($H6631="FLUID CAT CRACKING","FCC",IF(OR($H6631="HYDROCRACKING",$H6631="RESID_HYDROCRACKING"),"Hydrocracker",IF($H6631="REFORMING","Reformer",""))))</f>
        <v>FCC</v>
      </c>
      <c r="H6631" s="6" t="s">
        <v>376</v>
      </c>
      <c r="I6631" s="6" t="s">
        <v>472</v>
      </c>
      <c r="J6631" s="6" t="s">
        <v>345</v>
      </c>
      <c r="K6631" s="10">
        <v>11.44</v>
      </c>
      <c r="L6631" s="10">
        <v>44</v>
      </c>
      <c r="M6631" s="6" t="s">
        <v>371</v>
      </c>
    </row>
    <row r="6632" spans="1:13">
      <c r="A6632" s="6">
        <v>2025</v>
      </c>
      <c r="B6632" s="6">
        <v>10</v>
      </c>
      <c r="C6632" s="6" t="s">
        <v>68</v>
      </c>
      <c r="D6632" s="6" t="s">
        <v>662</v>
      </c>
      <c r="E6632" s="6" t="s">
        <v>552</v>
      </c>
      <c r="F6632" s="6" t="str">
        <f>IF($M6632="PADD I","PADD 1",IF($M6632="PADD II","PADD 2",IF($M6632="PADD III","PADD 3",IF($M6632="PADD IV","PADD 4",IF($M6632="PADD V","PADD 5","")))))</f>
        <v>PADD 3</v>
      </c>
      <c r="G6632" s="6">
        <f>IF(AND($H6632="ATMOS DISTILLATION",ISNUMBER(SEARCH("VPS",$I6632))=FALSE,LEFT($I6632,6)&lt;&gt;"VACUUM"),"CDU",IF($H6632="FLUID CAT CRACKING","FCC",IF(OR($H6632="HYDROCRACKING",$H6632="RESID_HYDROCRACKING"),"Hydrocracker",IF($H6632="REFORMING","Reformer",""))))</f>
        <v/>
      </c>
      <c r="H6632" s="6" t="s">
        <v>43</v>
      </c>
      <c r="I6632" s="6" t="s">
        <v>735</v>
      </c>
      <c r="J6632" s="6" t="s">
        <v>349</v>
      </c>
      <c r="K6632" s="10">
        <v>11.04</v>
      </c>
      <c r="L6632" s="10">
        <v>23</v>
      </c>
      <c r="M6632" s="6" t="s">
        <v>371</v>
      </c>
    </row>
    <row r="6633" spans="1:13">
      <c r="A6633" s="6">
        <v>2025</v>
      </c>
      <c r="B6633" s="6">
        <v>10</v>
      </c>
      <c r="C6633" s="6" t="s">
        <v>68</v>
      </c>
      <c r="D6633" s="6" t="s">
        <v>1320</v>
      </c>
      <c r="E6633" s="6" t="s">
        <v>1321</v>
      </c>
      <c r="F6633" s="6" t="str">
        <f>IF($M6633="PADD I","PADD 1",IF($M6633="PADD II","PADD 2",IF($M6633="PADD III","PADD 3",IF($M6633="PADD IV","PADD 4",IF($M6633="PADD V","PADD 5","")))))</f>
        <v>PADD 3</v>
      </c>
      <c r="G6633" s="6">
        <f>IF(AND($H6633="ATMOS DISTILLATION",ISNUMBER(SEARCH("VPS",$I6633))=FALSE,LEFT($I6633,6)&lt;&gt;"VACUUM"),"CDU",IF($H6633="FLUID CAT CRACKING","FCC",IF(OR($H6633="HYDROCRACKING",$H6633="RESID_HYDROCRACKING"),"Hydrocracker",IF($H6633="REFORMING","Reformer",""))))</f>
        <v/>
      </c>
      <c r="H6633" s="6" t="s">
        <v>523</v>
      </c>
      <c r="I6633" s="6" t="s">
        <v>524</v>
      </c>
      <c r="J6633" s="6" t="s">
        <v>349</v>
      </c>
      <c r="K6633" s="10">
        <v>10.858</v>
      </c>
      <c r="L6633" s="10">
        <v>17.8</v>
      </c>
      <c r="M6633" s="6" t="s">
        <v>371</v>
      </c>
    </row>
    <row r="6634" spans="1:13">
      <c r="A6634" s="6">
        <v>2025</v>
      </c>
      <c r="B6634" s="6">
        <v>10</v>
      </c>
      <c r="C6634" s="6" t="s">
        <v>68</v>
      </c>
      <c r="D6634" s="6" t="s">
        <v>1043</v>
      </c>
      <c r="E6634" s="6" t="s">
        <v>388</v>
      </c>
      <c r="F6634" s="6" t="str">
        <f>IF($M6634="PADD I","PADD 1",IF($M6634="PADD II","PADD 2",IF($M6634="PADD III","PADD 3",IF($M6634="PADD IV","PADD 4",IF($M6634="PADD V","PADD 5","")))))</f>
        <v>PADD 2</v>
      </c>
      <c r="G6634" s="6">
        <f>IF(AND($H6634="ATMOS DISTILLATION",ISNUMBER(SEARCH("VPS",$I6634))=FALSE,LEFT($I6634,6)&lt;&gt;"VACUUM"),"CDU",IF($H6634="FLUID CAT CRACKING","FCC",IF(OR($H6634="HYDROCRACKING",$H6634="RESID_HYDROCRACKING"),"Hydrocracker",IF($H6634="REFORMING","Reformer",""))))</f>
        <v/>
      </c>
      <c r="H6634" s="6" t="s">
        <v>43</v>
      </c>
      <c r="I6634" s="6" t="s">
        <v>1052</v>
      </c>
      <c r="J6634" s="6" t="s">
        <v>345</v>
      </c>
      <c r="K6634" s="10">
        <v>10.71</v>
      </c>
      <c r="L6634" s="10">
        <v>23.8</v>
      </c>
      <c r="M6634" s="6" t="s">
        <v>375</v>
      </c>
    </row>
    <row r="6635" spans="1:13">
      <c r="A6635" s="6">
        <v>2025</v>
      </c>
      <c r="B6635" s="6">
        <v>10</v>
      </c>
      <c r="C6635" s="6" t="s">
        <v>68</v>
      </c>
      <c r="D6635" s="6" t="s">
        <v>799</v>
      </c>
      <c r="E6635" s="6" t="s">
        <v>391</v>
      </c>
      <c r="F6635" s="6" t="str">
        <f>IF($M6635="PADD I","PADD 1",IF($M6635="PADD II","PADD 2",IF($M6635="PADD III","PADD 3",IF($M6635="PADD IV","PADD 4",IF($M6635="PADD V","PADD 5","")))))</f>
        <v>PADD 4</v>
      </c>
      <c r="G6635" s="6">
        <f>IF(AND($H6635="ATMOS DISTILLATION",ISNUMBER(SEARCH("VPS",$I6635))=FALSE,LEFT($I6635,6)&lt;&gt;"VACUUM"),"CDU",IF($H6635="FLUID CAT CRACKING","FCC",IF(OR($H6635="HYDROCRACKING",$H6635="RESID_HYDROCRACKING"),"Hydrocracker",IF($H6635="REFORMING","Reformer",""))))</f>
        <v/>
      </c>
      <c r="H6635" s="6" t="s">
        <v>43</v>
      </c>
      <c r="I6635" s="6" t="s">
        <v>1067</v>
      </c>
      <c r="J6635" s="6" t="s">
        <v>349</v>
      </c>
      <c r="K6635" s="10">
        <v>10.65</v>
      </c>
      <c r="L6635" s="10">
        <v>15</v>
      </c>
      <c r="M6635" s="6" t="s">
        <v>430</v>
      </c>
    </row>
    <row r="6636" spans="1:13">
      <c r="A6636" s="6">
        <v>2025</v>
      </c>
      <c r="B6636" s="6">
        <v>10</v>
      </c>
      <c r="C6636" s="6" t="s">
        <v>68</v>
      </c>
      <c r="D6636" s="6" t="s">
        <v>319</v>
      </c>
      <c r="E6636" s="6" t="s">
        <v>665</v>
      </c>
      <c r="F6636" s="6" t="str">
        <f>IF($M6636="PADD I","PADD 1",IF($M6636="PADD II","PADD 2",IF($M6636="PADD III","PADD 3",IF($M6636="PADD IV","PADD 4",IF($M6636="PADD V","PADD 5","")))))</f>
        <v>PADD 3</v>
      </c>
      <c r="G6636" s="6">
        <f>IF(AND($H6636="ATMOS DISTILLATION",ISNUMBER(SEARCH("VPS",$I6636))=FALSE,LEFT($I6636,6)&lt;&gt;"VACUUM"),"CDU",IF($H6636="FLUID CAT CRACKING","FCC",IF(OR($H6636="HYDROCRACKING",$H6636="RESID_HYDROCRACKING"),"Hydrocracker",IF($H6636="REFORMING","Reformer",""))))</f>
        <v/>
      </c>
      <c r="H6636" s="6" t="s">
        <v>460</v>
      </c>
      <c r="I6636" s="6" t="s">
        <v>461</v>
      </c>
      <c r="J6636" s="6" t="s">
        <v>349</v>
      </c>
      <c r="K6636" s="10">
        <v>10.508</v>
      </c>
      <c r="L6636" s="10">
        <v>14.8</v>
      </c>
      <c r="M6636" s="6" t="s">
        <v>371</v>
      </c>
    </row>
    <row r="6637" spans="1:13">
      <c r="A6637" s="6">
        <v>2025</v>
      </c>
      <c r="B6637" s="6">
        <v>10</v>
      </c>
      <c r="C6637" s="6" t="s">
        <v>68</v>
      </c>
      <c r="D6637" s="6" t="s">
        <v>772</v>
      </c>
      <c r="E6637" s="6" t="s">
        <v>405</v>
      </c>
      <c r="F6637" s="6" t="str">
        <f>IF($M6637="PADD I","PADD 1",IF($M6637="PADD II","PADD 2",IF($M6637="PADD III","PADD 3",IF($M6637="PADD IV","PADD 4",IF($M6637="PADD V","PADD 5","")))))</f>
        <v>PADD 3</v>
      </c>
      <c r="G6637" s="6">
        <f>IF(AND($H6637="ATMOS DISTILLATION",ISNUMBER(SEARCH("VPS",$I6637))=FALSE,LEFT($I6637,6)&lt;&gt;"VACUUM"),"CDU",IF($H6637="FLUID CAT CRACKING","FCC",IF(OR($H6637="HYDROCRACKING",$H6637="RESID_HYDROCRACKING"),"Hydrocracker",IF($H6637="REFORMING","Reformer",""))))</f>
        <v/>
      </c>
      <c r="H6637" s="6" t="s">
        <v>378</v>
      </c>
      <c r="I6637" s="6" t="s">
        <v>431</v>
      </c>
      <c r="J6637" s="6" t="s">
        <v>349</v>
      </c>
      <c r="K6637" s="10">
        <v>10.5</v>
      </c>
      <c r="L6637" s="10">
        <v>30</v>
      </c>
      <c r="M6637" s="6" t="s">
        <v>371</v>
      </c>
    </row>
    <row r="6638" spans="1:13">
      <c r="A6638" s="6">
        <v>2025</v>
      </c>
      <c r="B6638" s="6">
        <v>10</v>
      </c>
      <c r="C6638" s="6" t="s">
        <v>68</v>
      </c>
      <c r="D6638" s="6" t="s">
        <v>372</v>
      </c>
      <c r="E6638" s="6" t="s">
        <v>373</v>
      </c>
      <c r="F6638" s="6" t="str">
        <f>IF($M6638="PADD I","PADD 1",IF($M6638="PADD II","PADD 2",IF($M6638="PADD III","PADD 3",IF($M6638="PADD IV","PADD 4",IF($M6638="PADD V","PADD 5","")))))</f>
        <v>PADD 2</v>
      </c>
      <c r="G6638" s="6" t="str">
        <f>IF(AND($H6638="ATMOS DISTILLATION",ISNUMBER(SEARCH("VPS",$I6638))=FALSE,LEFT($I6638,6)&lt;&gt;"VACUUM"),"CDU",IF($H6638="FLUID CAT CRACKING","FCC",IF(OR($H6638="HYDROCRACKING",$H6638="RESID_HYDROCRACKING"),"Hydrocracker",IF($H6638="REFORMING","Reformer",""))))</f>
        <v>FCC</v>
      </c>
      <c r="H6638" s="6" t="s">
        <v>376</v>
      </c>
      <c r="I6638" s="6" t="s">
        <v>407</v>
      </c>
      <c r="J6638" s="6" t="s">
        <v>345</v>
      </c>
      <c r="K6638" s="10">
        <v>10.45</v>
      </c>
      <c r="L6638" s="10">
        <v>55</v>
      </c>
      <c r="M6638" s="6" t="s">
        <v>375</v>
      </c>
    </row>
    <row r="6639" spans="1:13">
      <c r="A6639" s="6">
        <v>2025</v>
      </c>
      <c r="B6639" s="6">
        <v>10</v>
      </c>
      <c r="C6639" s="6" t="s">
        <v>68</v>
      </c>
      <c r="D6639" s="6" t="s">
        <v>576</v>
      </c>
      <c r="E6639" s="6" t="s">
        <v>369</v>
      </c>
      <c r="F6639" s="6" t="str">
        <f>IF($M6639="PADD I","PADD 1",IF($M6639="PADD II","PADD 2",IF($M6639="PADD III","PADD 3",IF($M6639="PADD IV","PADD 4",IF($M6639="PADD V","PADD 5","")))))</f>
        <v>PADD 3</v>
      </c>
      <c r="G6639" s="6">
        <f>IF(AND($H6639="ATMOS DISTILLATION",ISNUMBER(SEARCH("VPS",$I6639))=FALSE,LEFT($I6639,6)&lt;&gt;"VACUUM"),"CDU",IF($H6639="FLUID CAT CRACKING","FCC",IF(OR($H6639="HYDROCRACKING",$H6639="RESID_HYDROCRACKING"),"Hydrocracker",IF($H6639="REFORMING","Reformer",""))))</f>
        <v/>
      </c>
      <c r="H6639" s="6" t="s">
        <v>378</v>
      </c>
      <c r="I6639" s="6" t="s">
        <v>964</v>
      </c>
      <c r="J6639" s="6" t="s">
        <v>349</v>
      </c>
      <c r="K6639" s="10">
        <v>10.4</v>
      </c>
      <c r="L6639" s="10">
        <v>65</v>
      </c>
      <c r="M6639" s="6" t="s">
        <v>371</v>
      </c>
    </row>
    <row r="6640" spans="1:13">
      <c r="A6640" s="6">
        <v>2025</v>
      </c>
      <c r="B6640" s="6">
        <v>10</v>
      </c>
      <c r="C6640" s="6" t="s">
        <v>68</v>
      </c>
      <c r="D6640" s="6" t="s">
        <v>326</v>
      </c>
      <c r="E6640" s="6" t="s">
        <v>385</v>
      </c>
      <c r="F6640" s="6" t="str">
        <f>IF($M6640="PADD I","PADD 1",IF($M6640="PADD II","PADD 2",IF($M6640="PADD III","PADD 3",IF($M6640="PADD IV","PADD 4",IF($M6640="PADD V","PADD 5","")))))</f>
        <v>PADD 5</v>
      </c>
      <c r="G6640" s="6" t="str">
        <f>IF(AND($H6640="ATMOS DISTILLATION",ISNUMBER(SEARCH("VPS",$I6640))=FALSE,LEFT($I6640,6)&lt;&gt;"VACUUM"),"CDU",IF($H6640="FLUID CAT CRACKING","FCC",IF(OR($H6640="HYDROCRACKING",$H6640="RESID_HYDROCRACKING"),"Hydrocracker",IF($H6640="REFORMING","Reformer",""))))</f>
        <v>Reformer</v>
      </c>
      <c r="H6640" s="6" t="s">
        <v>421</v>
      </c>
      <c r="I6640" s="6" t="s">
        <v>15</v>
      </c>
      <c r="J6640" s="6" t="s">
        <v>345</v>
      </c>
      <c r="K6640" s="10">
        <v>10.33</v>
      </c>
      <c r="L6640" s="10">
        <v>10.33</v>
      </c>
      <c r="M6640" s="6" t="s">
        <v>386</v>
      </c>
    </row>
    <row r="6641" spans="1:13">
      <c r="A6641" s="6">
        <v>2025</v>
      </c>
      <c r="B6641" s="6">
        <v>10</v>
      </c>
      <c r="C6641" s="6" t="s">
        <v>68</v>
      </c>
      <c r="D6641" s="6" t="s">
        <v>326</v>
      </c>
      <c r="E6641" s="6" t="s">
        <v>385</v>
      </c>
      <c r="F6641" s="6" t="str">
        <f>IF($M6641="PADD I","PADD 1",IF($M6641="PADD II","PADD 2",IF($M6641="PADD III","PADD 3",IF($M6641="PADD IV","PADD 4",IF($M6641="PADD V","PADD 5","")))))</f>
        <v>PADD 5</v>
      </c>
      <c r="G6641" s="6">
        <f>IF(AND($H6641="ATMOS DISTILLATION",ISNUMBER(SEARCH("VPS",$I6641))=FALSE,LEFT($I6641,6)&lt;&gt;"VACUUM"),"CDU",IF($H6641="FLUID CAT CRACKING","FCC",IF(OR($H6641="HYDROCRACKING",$H6641="RESID_HYDROCRACKING"),"Hydrocracker",IF($H6641="REFORMING","Reformer",""))))</f>
        <v/>
      </c>
      <c r="H6641" s="6" t="s">
        <v>43</v>
      </c>
      <c r="I6641" s="6" t="s">
        <v>501</v>
      </c>
      <c r="J6641" s="6" t="s">
        <v>345</v>
      </c>
      <c r="K6641" s="10">
        <v>9.800000000000001</v>
      </c>
      <c r="L6641" s="10">
        <v>9.800000000000001</v>
      </c>
      <c r="M6641" s="6" t="s">
        <v>386</v>
      </c>
    </row>
    <row r="6642" spans="1:13">
      <c r="A6642" s="6">
        <v>2025</v>
      </c>
      <c r="B6642" s="6">
        <v>10</v>
      </c>
      <c r="C6642" s="6" t="s">
        <v>68</v>
      </c>
      <c r="D6642" s="6" t="s">
        <v>321</v>
      </c>
      <c r="E6642" s="6" t="s">
        <v>381</v>
      </c>
      <c r="F6642" s="6" t="str">
        <f>IF($M6642="PADD I","PADD 1",IF($M6642="PADD II","PADD 2",IF($M6642="PADD III","PADD 3",IF($M6642="PADD IV","PADD 4",IF($M6642="PADD V","PADD 5","")))))</f>
        <v>PADD 2</v>
      </c>
      <c r="G6642" s="6" t="str">
        <f>IF(AND($H6642="ATMOS DISTILLATION",ISNUMBER(SEARCH("VPS",$I6642))=FALSE,LEFT($I6642,6)&lt;&gt;"VACUUM"),"CDU",IF($H6642="FLUID CAT CRACKING","FCC",IF(OR($H6642="HYDROCRACKING",$H6642="RESID_HYDROCRACKING"),"Hydrocracker",IF($H6642="REFORMING","Reformer",""))))</f>
        <v>FCC</v>
      </c>
      <c r="H6642" s="6" t="s">
        <v>376</v>
      </c>
      <c r="I6642" s="6" t="s">
        <v>105</v>
      </c>
      <c r="J6642" s="6" t="s">
        <v>345</v>
      </c>
      <c r="K6642" s="10">
        <v>9.800000000000001</v>
      </c>
      <c r="L6642" s="10">
        <v>98</v>
      </c>
      <c r="M6642" s="6" t="s">
        <v>375</v>
      </c>
    </row>
    <row r="6643" spans="1:13">
      <c r="A6643" s="6">
        <v>2025</v>
      </c>
      <c r="B6643" s="6">
        <v>10</v>
      </c>
      <c r="C6643" s="6" t="s">
        <v>68</v>
      </c>
      <c r="D6643" s="6" t="s">
        <v>612</v>
      </c>
      <c r="E6643" s="6" t="s">
        <v>416</v>
      </c>
      <c r="F6643" s="6" t="str">
        <f>IF($M6643="PADD I","PADD 1",IF($M6643="PADD II","PADD 2",IF($M6643="PADD III","PADD 3",IF($M6643="PADD IV","PADD 4",IF($M6643="PADD V","PADD 5","")))))</f>
        <v>PADD 3</v>
      </c>
      <c r="G6643" s="6" t="str">
        <f>IF(AND($H6643="ATMOS DISTILLATION",ISNUMBER(SEARCH("VPS",$I6643))=FALSE,LEFT($I6643,6)&lt;&gt;"VACUUM"),"CDU",IF($H6643="FLUID CAT CRACKING","FCC",IF(OR($H6643="HYDROCRACKING",$H6643="RESID_HYDROCRACKING"),"Hydrocracker",IF($H6643="REFORMING","Reformer",""))))</f>
        <v>Reformer</v>
      </c>
      <c r="H6643" s="6" t="s">
        <v>421</v>
      </c>
      <c r="I6643" s="6" t="s">
        <v>755</v>
      </c>
      <c r="J6643" s="6" t="s">
        <v>345</v>
      </c>
      <c r="K6643" s="10">
        <v>9.6</v>
      </c>
      <c r="L6643" s="10">
        <v>30</v>
      </c>
      <c r="M6643" s="6" t="s">
        <v>371</v>
      </c>
    </row>
    <row r="6644" spans="1:13">
      <c r="A6644" s="6">
        <v>2025</v>
      </c>
      <c r="B6644" s="6">
        <v>10</v>
      </c>
      <c r="C6644" s="6" t="s">
        <v>68</v>
      </c>
      <c r="D6644" s="6" t="s">
        <v>51</v>
      </c>
      <c r="E6644" s="6" t="s">
        <v>391</v>
      </c>
      <c r="F6644" s="6" t="str">
        <f>IF($M6644="PADD I","PADD 1",IF($M6644="PADD II","PADD 2",IF($M6644="PADD III","PADD 3",IF($M6644="PADD IV","PADD 4",IF($M6644="PADD V","PADD 5","")))))</f>
        <v>PADD 5</v>
      </c>
      <c r="G6644" s="6" t="str">
        <f>IF(AND($H6644="ATMOS DISTILLATION",ISNUMBER(SEARCH("VPS",$I6644))=FALSE,LEFT($I6644,6)&lt;&gt;"VACUUM"),"CDU",IF($H6644="FLUID CAT CRACKING","FCC",IF(OR($H6644="HYDROCRACKING",$H6644="RESID_HYDROCRACKING"),"Hydrocracker",IF($H6644="REFORMING","Reformer",""))))</f>
        <v>FCC</v>
      </c>
      <c r="H6644" s="6" t="s">
        <v>376</v>
      </c>
      <c r="I6644" s="6" t="s">
        <v>105</v>
      </c>
      <c r="J6644" s="6" t="s">
        <v>345</v>
      </c>
      <c r="K6644" s="10">
        <v>9.425000000000001</v>
      </c>
      <c r="L6644" s="10">
        <v>72.5</v>
      </c>
      <c r="M6644" s="6" t="s">
        <v>386</v>
      </c>
    </row>
    <row r="6645" spans="1:13">
      <c r="A6645" s="6">
        <v>2025</v>
      </c>
      <c r="B6645" s="6">
        <v>10</v>
      </c>
      <c r="C6645" s="6" t="s">
        <v>68</v>
      </c>
      <c r="D6645" s="6" t="s">
        <v>451</v>
      </c>
      <c r="E6645" s="6" t="s">
        <v>452</v>
      </c>
      <c r="F6645" s="6" t="str">
        <f>IF($M6645="PADD I","PADD 1",IF($M6645="PADD II","PADD 2",IF($M6645="PADD III","PADD 3",IF($M6645="PADD IV","PADD 4",IF($M6645="PADD V","PADD 5","")))))</f>
        <v>PADD 2</v>
      </c>
      <c r="G6645" s="6" t="str">
        <f>IF(AND($H6645="ATMOS DISTILLATION",ISNUMBER(SEARCH("VPS",$I6645))=FALSE,LEFT($I6645,6)&lt;&gt;"VACUUM"),"CDU",IF($H6645="FLUID CAT CRACKING","FCC",IF(OR($H6645="HYDROCRACKING",$H6645="RESID_HYDROCRACKING"),"Hydrocracker",IF($H6645="REFORMING","Reformer",""))))</f>
        <v>CDU</v>
      </c>
      <c r="H6645" s="6" t="s">
        <v>38</v>
      </c>
      <c r="I6645" s="6" t="s">
        <v>481</v>
      </c>
      <c r="J6645" s="6" t="s">
        <v>345</v>
      </c>
      <c r="K6645" s="10">
        <v>9.199999999999999</v>
      </c>
      <c r="L6645" s="10">
        <v>40</v>
      </c>
      <c r="M6645" s="6" t="s">
        <v>375</v>
      </c>
    </row>
    <row r="6646" spans="1:13">
      <c r="A6646" s="6">
        <v>2025</v>
      </c>
      <c r="B6646" s="6">
        <v>10</v>
      </c>
      <c r="C6646" s="6" t="s">
        <v>68</v>
      </c>
      <c r="D6646" s="6" t="s">
        <v>326</v>
      </c>
      <c r="E6646" s="6" t="s">
        <v>385</v>
      </c>
      <c r="F6646" s="6" t="str">
        <f>IF($M6646="PADD I","PADD 1",IF($M6646="PADD II","PADD 2",IF($M6646="PADD III","PADD 3",IF($M6646="PADD IV","PADD 4",IF($M6646="PADD V","PADD 5","")))))</f>
        <v>PADD 5</v>
      </c>
      <c r="G6646" s="6">
        <f>IF(AND($H6646="ATMOS DISTILLATION",ISNUMBER(SEARCH("VPS",$I6646))=FALSE,LEFT($I6646,6)&lt;&gt;"VACUUM"),"CDU",IF($H6646="FLUID CAT CRACKING","FCC",IF(OR($H6646="HYDROCRACKING",$H6646="RESID_HYDROCRACKING"),"Hydrocracker",IF($H6646="REFORMING","Reformer",""))))</f>
        <v/>
      </c>
      <c r="H6646" s="6" t="s">
        <v>43</v>
      </c>
      <c r="I6646" s="6" t="s">
        <v>1183</v>
      </c>
      <c r="J6646" s="6" t="s">
        <v>345</v>
      </c>
      <c r="K6646" s="10">
        <v>9.1</v>
      </c>
      <c r="L6646" s="10">
        <v>9.1</v>
      </c>
      <c r="M6646" s="6" t="s">
        <v>386</v>
      </c>
    </row>
    <row r="6647" spans="1:13">
      <c r="A6647" s="6">
        <v>2025</v>
      </c>
      <c r="B6647" s="6">
        <v>10</v>
      </c>
      <c r="C6647" s="6" t="s">
        <v>68</v>
      </c>
      <c r="D6647" s="6" t="s">
        <v>490</v>
      </c>
      <c r="E6647" s="6" t="s">
        <v>491</v>
      </c>
      <c r="F6647" s="6" t="str">
        <f>IF($M6647="PADD I","PADD 1",IF($M6647="PADD II","PADD 2",IF($M6647="PADD III","PADD 3",IF($M6647="PADD IV","PADD 4",IF($M6647="PADD V","PADD 5","")))))</f>
        <v>PADD 3</v>
      </c>
      <c r="G6647" s="6" t="str">
        <f>IF(AND($H6647="ATMOS DISTILLATION",ISNUMBER(SEARCH("VPS",$I6647))=FALSE,LEFT($I6647,6)&lt;&gt;"VACUUM"),"CDU",IF($H6647="FLUID CAT CRACKING","FCC",IF(OR($H6647="HYDROCRACKING",$H6647="RESID_HYDROCRACKING"),"Hydrocracker",IF($H6647="REFORMING","Reformer",""))))</f>
        <v>FCC</v>
      </c>
      <c r="H6647" s="6" t="s">
        <v>376</v>
      </c>
      <c r="I6647" s="6" t="s">
        <v>472</v>
      </c>
      <c r="J6647" s="6" t="s">
        <v>345</v>
      </c>
      <c r="K6647" s="10">
        <v>8.800000000000001</v>
      </c>
      <c r="L6647" s="10">
        <v>88</v>
      </c>
      <c r="M6647" s="6" t="s">
        <v>371</v>
      </c>
    </row>
    <row r="6648" spans="1:13">
      <c r="A6648" s="6">
        <v>2025</v>
      </c>
      <c r="B6648" s="6">
        <v>10</v>
      </c>
      <c r="C6648" s="6" t="s">
        <v>68</v>
      </c>
      <c r="D6648" s="6" t="s">
        <v>380</v>
      </c>
      <c r="E6648" s="6" t="s">
        <v>381</v>
      </c>
      <c r="F6648" s="6" t="str">
        <f>IF($M6648="PADD I","PADD 1",IF($M6648="PADD II","PADD 2",IF($M6648="PADD III","PADD 3",IF($M6648="PADD IV","PADD 4",IF($M6648="PADD V","PADD 5","")))))</f>
        <v>PADD 3</v>
      </c>
      <c r="G6648" s="6">
        <f>IF(AND($H6648="ATMOS DISTILLATION",ISNUMBER(SEARCH("VPS",$I6648))=FALSE,LEFT($I6648,6)&lt;&gt;"VACUUM"),"CDU",IF($H6648="FLUID CAT CRACKING","FCC",IF(OR($H6648="HYDROCRACKING",$H6648="RESID_HYDROCRACKING"),"Hydrocracker",IF($H6648="REFORMING","Reformer",""))))</f>
        <v/>
      </c>
      <c r="H6648" s="6" t="s">
        <v>378</v>
      </c>
      <c r="I6648" s="6" t="s">
        <v>1126</v>
      </c>
      <c r="J6648" s="6" t="s">
        <v>345</v>
      </c>
      <c r="K6648" s="10">
        <v>8.640000000000001</v>
      </c>
      <c r="L6648" s="10">
        <v>54</v>
      </c>
      <c r="M6648" s="6" t="s">
        <v>371</v>
      </c>
    </row>
    <row r="6649" spans="1:13">
      <c r="A6649" s="6">
        <v>2025</v>
      </c>
      <c r="B6649" s="6">
        <v>10</v>
      </c>
      <c r="C6649" s="6" t="s">
        <v>68</v>
      </c>
      <c r="D6649" s="6" t="s">
        <v>788</v>
      </c>
      <c r="E6649" s="6" t="s">
        <v>405</v>
      </c>
      <c r="F6649" s="6" t="str">
        <f>IF($M6649="PADD I","PADD 1",IF($M6649="PADD II","PADD 2",IF($M6649="PADD III","PADD 3",IF($M6649="PADD IV","PADD 4",IF($M6649="PADD V","PADD 5","")))))</f>
        <v>PADD 3</v>
      </c>
      <c r="G6649" s="6" t="str">
        <f>IF(AND($H6649="ATMOS DISTILLATION",ISNUMBER(SEARCH("VPS",$I6649))=FALSE,LEFT($I6649,6)&lt;&gt;"VACUUM"),"CDU",IF($H6649="FLUID CAT CRACKING","FCC",IF(OR($H6649="HYDROCRACKING",$H6649="RESID_HYDROCRACKING"),"Hydrocracker",IF($H6649="REFORMING","Reformer",""))))</f>
        <v>Reformer</v>
      </c>
      <c r="H6649" s="6" t="s">
        <v>421</v>
      </c>
      <c r="I6649" s="6" t="s">
        <v>782</v>
      </c>
      <c r="J6649" s="6" t="s">
        <v>345</v>
      </c>
      <c r="K6649" s="10">
        <v>8.32</v>
      </c>
      <c r="L6649" s="10">
        <v>32</v>
      </c>
      <c r="M6649" s="6" t="s">
        <v>371</v>
      </c>
    </row>
    <row r="6650" spans="1:13">
      <c r="A6650" s="6">
        <v>2025</v>
      </c>
      <c r="B6650" s="6">
        <v>10</v>
      </c>
      <c r="C6650" s="6" t="s">
        <v>68</v>
      </c>
      <c r="D6650" s="6" t="s">
        <v>801</v>
      </c>
      <c r="E6650" s="6" t="s">
        <v>779</v>
      </c>
      <c r="F6650" s="6" t="str">
        <f>IF($M6650="PADD I","PADD 1",IF($M6650="PADD II","PADD 2",IF($M6650="PADD III","PADD 3",IF($M6650="PADD IV","PADD 4",IF($M6650="PADD V","PADD 5","")))))</f>
        <v>PADD 2</v>
      </c>
      <c r="G6650" s="6">
        <f>IF(AND($H6650="ATMOS DISTILLATION",ISNUMBER(SEARCH("VPS",$I6650))=FALSE,LEFT($I6650,6)&lt;&gt;"VACUUM"),"CDU",IF($H6650="FLUID CAT CRACKING","FCC",IF(OR($H6650="HYDROCRACKING",$H6650="RESID_HYDROCRACKING"),"Hydrocracker",IF($H6650="REFORMING","Reformer",""))))</f>
        <v/>
      </c>
      <c r="H6650" s="6" t="s">
        <v>435</v>
      </c>
      <c r="I6650" s="6" t="s">
        <v>1179</v>
      </c>
      <c r="J6650" s="6" t="s">
        <v>345</v>
      </c>
      <c r="K6650" s="10">
        <v>8.279999999999999</v>
      </c>
      <c r="L6650" s="10">
        <v>36</v>
      </c>
      <c r="M6650" s="6" t="s">
        <v>375</v>
      </c>
    </row>
    <row r="6651" spans="1:13">
      <c r="A6651" s="6">
        <v>2025</v>
      </c>
      <c r="B6651" s="6">
        <v>10</v>
      </c>
      <c r="C6651" s="6" t="s">
        <v>68</v>
      </c>
      <c r="D6651" s="6" t="s">
        <v>615</v>
      </c>
      <c r="E6651" s="6" t="s">
        <v>405</v>
      </c>
      <c r="F6651" s="6" t="str">
        <f>IF($M6651="PADD I","PADD 1",IF($M6651="PADD II","PADD 2",IF($M6651="PADD III","PADD 3",IF($M6651="PADD IV","PADD 4",IF($M6651="PADD V","PADD 5","")))))</f>
        <v>PADD 5</v>
      </c>
      <c r="G6651" s="6" t="str">
        <f>IF(AND($H6651="ATMOS DISTILLATION",ISNUMBER(SEARCH("VPS",$I6651))=FALSE,LEFT($I6651,6)&lt;&gt;"VACUUM"),"CDU",IF($H6651="FLUID CAT CRACKING","FCC",IF(OR($H6651="HYDROCRACKING",$H6651="RESID_HYDROCRACKING"),"Hydrocracker",IF($H6651="REFORMING","Reformer",""))))</f>
        <v>Hydrocracker</v>
      </c>
      <c r="H6651" s="6" t="s">
        <v>444</v>
      </c>
      <c r="I6651" s="6" t="s">
        <v>14</v>
      </c>
      <c r="J6651" s="6" t="s">
        <v>349</v>
      </c>
      <c r="K6651" s="10">
        <v>8.279999999999999</v>
      </c>
      <c r="L6651" s="10">
        <v>36</v>
      </c>
      <c r="M6651" s="6" t="s">
        <v>386</v>
      </c>
    </row>
    <row r="6652" spans="1:13">
      <c r="A6652" s="6">
        <v>2025</v>
      </c>
      <c r="B6652" s="6">
        <v>10</v>
      </c>
      <c r="C6652" s="6" t="s">
        <v>68</v>
      </c>
      <c r="D6652" s="6" t="s">
        <v>547</v>
      </c>
      <c r="E6652" s="6" t="s">
        <v>391</v>
      </c>
      <c r="F6652" s="6" t="str">
        <f>IF($M6652="PADD I","PADD 1",IF($M6652="PADD II","PADD 2",IF($M6652="PADD III","PADD 3",IF($M6652="PADD IV","PADD 4",IF($M6652="PADD V","PADD 5","")))))</f>
        <v>PADD 5</v>
      </c>
      <c r="G6652" s="6" t="str">
        <f>IF(AND($H6652="ATMOS DISTILLATION",ISNUMBER(SEARCH("VPS",$I6652))=FALSE,LEFT($I6652,6)&lt;&gt;"VACUUM"),"CDU",IF($H6652="FLUID CAT CRACKING","FCC",IF(OR($H6652="HYDROCRACKING",$H6652="RESID_HYDROCRACKING"),"Hydrocracker",IF($H6652="REFORMING","Reformer",""))))</f>
        <v>FCC</v>
      </c>
      <c r="H6652" s="6" t="s">
        <v>376</v>
      </c>
      <c r="I6652" s="6" t="s">
        <v>105</v>
      </c>
      <c r="J6652" s="6" t="s">
        <v>345</v>
      </c>
      <c r="K6652" s="10">
        <v>8</v>
      </c>
      <c r="L6652" s="10">
        <v>80</v>
      </c>
      <c r="M6652" s="6" t="s">
        <v>386</v>
      </c>
    </row>
    <row r="6653" spans="1:13">
      <c r="A6653" s="6">
        <v>2025</v>
      </c>
      <c r="B6653" s="6">
        <v>10</v>
      </c>
      <c r="C6653" s="6" t="s">
        <v>68</v>
      </c>
      <c r="D6653" s="6" t="s">
        <v>326</v>
      </c>
      <c r="E6653" s="6" t="s">
        <v>385</v>
      </c>
      <c r="F6653" s="6" t="str">
        <f>IF($M6653="PADD I","PADD 1",IF($M6653="PADD II","PADD 2",IF($M6653="PADD III","PADD 3",IF($M6653="PADD IV","PADD 4",IF($M6653="PADD V","PADD 5","")))))</f>
        <v>PADD 5</v>
      </c>
      <c r="G6653" s="6">
        <f>IF(AND($H6653="ATMOS DISTILLATION",ISNUMBER(SEARCH("VPS",$I6653))=FALSE,LEFT($I6653,6)&lt;&gt;"VACUUM"),"CDU",IF($H6653="FLUID CAT CRACKING","FCC",IF(OR($H6653="HYDROCRACKING",$H6653="RESID_HYDROCRACKING"),"Hydrocracker",IF($H6653="REFORMING","Reformer",""))))</f>
        <v/>
      </c>
      <c r="H6653" s="6" t="s">
        <v>435</v>
      </c>
      <c r="I6653" s="6" t="s">
        <v>441</v>
      </c>
      <c r="J6653" s="6" t="s">
        <v>345</v>
      </c>
      <c r="K6653" s="10">
        <v>7.7</v>
      </c>
      <c r="L6653" s="10">
        <v>7.7</v>
      </c>
      <c r="M6653" s="6" t="s">
        <v>386</v>
      </c>
    </row>
    <row r="6654" spans="1:13">
      <c r="A6654" s="6">
        <v>2025</v>
      </c>
      <c r="B6654" s="6">
        <v>10</v>
      </c>
      <c r="C6654" s="6" t="s">
        <v>68</v>
      </c>
      <c r="D6654" s="6" t="s">
        <v>676</v>
      </c>
      <c r="E6654" s="6" t="s">
        <v>677</v>
      </c>
      <c r="F6654" s="6" t="str">
        <f>IF($M6654="PADD I","PADD 1",IF($M6654="PADD II","PADD 2",IF($M6654="PADD III","PADD 3",IF($M6654="PADD IV","PADD 4",IF($M6654="PADD V","PADD 5","")))))</f>
        <v>PADD 1</v>
      </c>
      <c r="G6654" s="6" t="str">
        <f>IF(AND($H6654="ATMOS DISTILLATION",ISNUMBER(SEARCH("VPS",$I6654))=FALSE,LEFT($I6654,6)&lt;&gt;"VACUUM"),"CDU",IF($H6654="FLUID CAT CRACKING","FCC",IF(OR($H6654="HYDROCRACKING",$H6654="RESID_HYDROCRACKING"),"Hydrocracker",IF($H6654="REFORMING","Reformer",""))))</f>
        <v>Reformer</v>
      </c>
      <c r="H6654" s="6" t="s">
        <v>421</v>
      </c>
      <c r="I6654" s="6" t="s">
        <v>899</v>
      </c>
      <c r="J6654" s="6" t="s">
        <v>345</v>
      </c>
      <c r="K6654" s="10">
        <v>7.36</v>
      </c>
      <c r="L6654" s="10">
        <v>32</v>
      </c>
      <c r="M6654" s="6" t="s">
        <v>413</v>
      </c>
    </row>
    <row r="6655" spans="1:13">
      <c r="A6655" s="6">
        <v>2025</v>
      </c>
      <c r="B6655" s="6">
        <v>10</v>
      </c>
      <c r="C6655" s="6" t="s">
        <v>68</v>
      </c>
      <c r="D6655" s="6" t="s">
        <v>326</v>
      </c>
      <c r="E6655" s="6" t="s">
        <v>385</v>
      </c>
      <c r="F6655" s="6" t="str">
        <f>IF($M6655="PADD I","PADD 1",IF($M6655="PADD II","PADD 2",IF($M6655="PADD III","PADD 3",IF($M6655="PADD IV","PADD 4",IF($M6655="PADD V","PADD 5","")))))</f>
        <v>PADD 5</v>
      </c>
      <c r="G6655" s="6">
        <f>IF(AND($H6655="ATMOS DISTILLATION",ISNUMBER(SEARCH("VPS",$I6655))=FALSE,LEFT($I6655,6)&lt;&gt;"VACUUM"),"CDU",IF($H6655="FLUID CAT CRACKING","FCC",IF(OR($H6655="HYDROCRACKING",$H6655="RESID_HYDROCRACKING"),"Hydrocracker",IF($H6655="REFORMING","Reformer",""))))</f>
        <v/>
      </c>
      <c r="H6655" s="6" t="s">
        <v>435</v>
      </c>
      <c r="I6655" s="6" t="s">
        <v>813</v>
      </c>
      <c r="J6655" s="6" t="s">
        <v>345</v>
      </c>
      <c r="K6655" s="10">
        <v>7.32</v>
      </c>
      <c r="L6655" s="10">
        <v>7.32</v>
      </c>
      <c r="M6655" s="6" t="s">
        <v>386</v>
      </c>
    </row>
    <row r="6656" spans="1:13">
      <c r="A6656" s="6">
        <v>2025</v>
      </c>
      <c r="B6656" s="6">
        <v>10</v>
      </c>
      <c r="C6656" s="6" t="s">
        <v>68</v>
      </c>
      <c r="D6656" s="6" t="s">
        <v>1320</v>
      </c>
      <c r="E6656" s="6" t="s">
        <v>1321</v>
      </c>
      <c r="F6656" s="6" t="str">
        <f>IF($M6656="PADD I","PADD 1",IF($M6656="PADD II","PADD 2",IF($M6656="PADD III","PADD 3",IF($M6656="PADD IV","PADD 4",IF($M6656="PADD V","PADD 5","")))))</f>
        <v>PADD 3</v>
      </c>
      <c r="G6656" s="6">
        <f>IF(AND($H6656="ATMOS DISTILLATION",ISNUMBER(SEARCH("VPS",$I6656))=FALSE,LEFT($I6656,6)&lt;&gt;"VACUUM"),"CDU",IF($H6656="FLUID CAT CRACKING","FCC",IF(OR($H6656="HYDROCRACKING",$H6656="RESID_HYDROCRACKING"),"Hydrocracker",IF($H6656="REFORMING","Reformer",""))))</f>
        <v/>
      </c>
      <c r="H6656" s="6" t="s">
        <v>43</v>
      </c>
      <c r="I6656" s="6" t="s">
        <v>904</v>
      </c>
      <c r="J6656" s="6" t="s">
        <v>349</v>
      </c>
      <c r="K6656" s="10">
        <v>7.32</v>
      </c>
      <c r="L6656" s="10">
        <v>12</v>
      </c>
      <c r="M6656" s="6" t="s">
        <v>371</v>
      </c>
    </row>
    <row r="6657" spans="1:13">
      <c r="A6657" s="6">
        <v>2025</v>
      </c>
      <c r="B6657" s="6">
        <v>10</v>
      </c>
      <c r="C6657" s="6" t="s">
        <v>68</v>
      </c>
      <c r="D6657" s="6" t="s">
        <v>662</v>
      </c>
      <c r="E6657" s="6" t="s">
        <v>552</v>
      </c>
      <c r="F6657" s="6" t="str">
        <f>IF($M6657="PADD I","PADD 1",IF($M6657="PADD II","PADD 2",IF($M6657="PADD III","PADD 3",IF($M6657="PADD IV","PADD 4",IF($M6657="PADD V","PADD 5","")))))</f>
        <v>PADD 3</v>
      </c>
      <c r="G6657" s="6">
        <f>IF(AND($H6657="ATMOS DISTILLATION",ISNUMBER(SEARCH("VPS",$I6657))=FALSE,LEFT($I6657,6)&lt;&gt;"VACUUM"),"CDU",IF($H6657="FLUID CAT CRACKING","FCC",IF(OR($H6657="HYDROCRACKING",$H6657="RESID_HYDROCRACKING"),"Hydrocracker",IF($H6657="REFORMING","Reformer",""))))</f>
        <v/>
      </c>
      <c r="H6657" s="6" t="s">
        <v>378</v>
      </c>
      <c r="I6657" s="6" t="s">
        <v>431</v>
      </c>
      <c r="J6657" s="6" t="s">
        <v>349</v>
      </c>
      <c r="K6657" s="10">
        <v>6.96</v>
      </c>
      <c r="L6657" s="10">
        <v>24</v>
      </c>
      <c r="M6657" s="6" t="s">
        <v>371</v>
      </c>
    </row>
    <row r="6658" spans="1:13">
      <c r="A6658" s="6">
        <v>2025</v>
      </c>
      <c r="B6658" s="6">
        <v>10</v>
      </c>
      <c r="C6658" s="6" t="s">
        <v>68</v>
      </c>
      <c r="D6658" s="6" t="s">
        <v>662</v>
      </c>
      <c r="E6658" s="6" t="s">
        <v>552</v>
      </c>
      <c r="F6658" s="6" t="str">
        <f>IF($M6658="PADD I","PADD 1",IF($M6658="PADD II","PADD 2",IF($M6658="PADD III","PADD 3",IF($M6658="PADD IV","PADD 4",IF($M6658="PADD V","PADD 5","")))))</f>
        <v>PADD 3</v>
      </c>
      <c r="G6658" s="6" t="str">
        <f>IF(AND($H6658="ATMOS DISTILLATION",ISNUMBER(SEARCH("VPS",$I6658))=FALSE,LEFT($I6658,6)&lt;&gt;"VACUUM"),"CDU",IF($H6658="FLUID CAT CRACKING","FCC",IF(OR($H6658="HYDROCRACKING",$H6658="RESID_HYDROCRACKING"),"Hydrocracker",IF($H6658="REFORMING","Reformer",""))))</f>
        <v>Reformer</v>
      </c>
      <c r="H6658" s="6" t="s">
        <v>421</v>
      </c>
      <c r="I6658" s="6" t="s">
        <v>1049</v>
      </c>
      <c r="J6658" s="6" t="s">
        <v>349</v>
      </c>
      <c r="K6658" s="10">
        <v>6.88</v>
      </c>
      <c r="L6658" s="10">
        <v>21.5</v>
      </c>
      <c r="M6658" s="6" t="s">
        <v>371</v>
      </c>
    </row>
    <row r="6659" spans="1:13">
      <c r="A6659" s="6">
        <v>2025</v>
      </c>
      <c r="B6659" s="6">
        <v>10</v>
      </c>
      <c r="C6659" s="6" t="s">
        <v>68</v>
      </c>
      <c r="D6659" s="6" t="s">
        <v>662</v>
      </c>
      <c r="E6659" s="6" t="s">
        <v>552</v>
      </c>
      <c r="F6659" s="6" t="str">
        <f>IF($M6659="PADD I","PADD 1",IF($M6659="PADD II","PADD 2",IF($M6659="PADD III","PADD 3",IF($M6659="PADD IV","PADD 4",IF($M6659="PADD V","PADD 5","")))))</f>
        <v>PADD 3</v>
      </c>
      <c r="G6659" s="6" t="str">
        <f>IF(AND($H6659="ATMOS DISTILLATION",ISNUMBER(SEARCH("VPS",$I6659))=FALSE,LEFT($I6659,6)&lt;&gt;"VACUUM"),"CDU",IF($H6659="FLUID CAT CRACKING","FCC",IF(OR($H6659="HYDROCRACKING",$H6659="RESID_HYDROCRACKING"),"Hydrocracker",IF($H6659="REFORMING","Reformer",""))))</f>
        <v>FCC</v>
      </c>
      <c r="H6659" s="6" t="s">
        <v>376</v>
      </c>
      <c r="I6659" s="6" t="s">
        <v>105</v>
      </c>
      <c r="J6659" s="6" t="s">
        <v>349</v>
      </c>
      <c r="K6659" s="10">
        <v>6.5</v>
      </c>
      <c r="L6659" s="10">
        <v>25</v>
      </c>
      <c r="M6659" s="6" t="s">
        <v>371</v>
      </c>
    </row>
    <row r="6660" spans="1:13">
      <c r="A6660" s="6">
        <v>2025</v>
      </c>
      <c r="B6660" s="6">
        <v>10</v>
      </c>
      <c r="C6660" s="6" t="s">
        <v>68</v>
      </c>
      <c r="D6660" s="6" t="s">
        <v>542</v>
      </c>
      <c r="E6660" s="6" t="s">
        <v>543</v>
      </c>
      <c r="F6660" s="6" t="str">
        <f>IF($M6660="PADD I","PADD 1",IF($M6660="PADD II","PADD 2",IF($M6660="PADD III","PADD 3",IF($M6660="PADD IV","PADD 4",IF($M6660="PADD V","PADD 5","")))))</f>
        <v>PADD 2</v>
      </c>
      <c r="G6660" s="6">
        <f>IF(AND($H6660="ATMOS DISTILLATION",ISNUMBER(SEARCH("VPS",$I6660))=FALSE,LEFT($I6660,6)&lt;&gt;"VACUUM"),"CDU",IF($H6660="FLUID CAT CRACKING","FCC",IF(OR($H6660="HYDROCRACKING",$H6660="RESID_HYDROCRACKING"),"Hydrocracker",IF($H6660="REFORMING","Reformer",""))))</f>
        <v/>
      </c>
      <c r="H6660" s="6" t="s">
        <v>43</v>
      </c>
      <c r="I6660" s="6" t="s">
        <v>913</v>
      </c>
      <c r="J6660" s="6" t="s">
        <v>345</v>
      </c>
      <c r="K6660" s="10">
        <v>6.3</v>
      </c>
      <c r="L6660" s="10">
        <v>105</v>
      </c>
      <c r="M6660" s="6" t="s">
        <v>375</v>
      </c>
    </row>
    <row r="6661" spans="1:13">
      <c r="A6661" s="6">
        <v>2025</v>
      </c>
      <c r="B6661" s="6">
        <v>10</v>
      </c>
      <c r="C6661" s="6" t="s">
        <v>68</v>
      </c>
      <c r="D6661" s="6" t="s">
        <v>1043</v>
      </c>
      <c r="E6661" s="6" t="s">
        <v>388</v>
      </c>
      <c r="F6661" s="6" t="str">
        <f>IF($M6661="PADD I","PADD 1",IF($M6661="PADD II","PADD 2",IF($M6661="PADD III","PADD 3",IF($M6661="PADD IV","PADD 4",IF($M6661="PADD V","PADD 5","")))))</f>
        <v>PADD 2</v>
      </c>
      <c r="G6661" s="6" t="str">
        <f>IF(AND($H6661="ATMOS DISTILLATION",ISNUMBER(SEARCH("VPS",$I6661))=FALSE,LEFT($I6661,6)&lt;&gt;"VACUUM"),"CDU",IF($H6661="FLUID CAT CRACKING","FCC",IF(OR($H6661="HYDROCRACKING",$H6661="RESID_HYDROCRACKING"),"Hydrocracker",IF($H6661="REFORMING","Reformer",""))))</f>
        <v>FCC</v>
      </c>
      <c r="H6661" s="6" t="s">
        <v>376</v>
      </c>
      <c r="I6661" s="6" t="s">
        <v>105</v>
      </c>
      <c r="J6661" s="6" t="s">
        <v>345</v>
      </c>
      <c r="K6661" s="10">
        <v>6.21</v>
      </c>
      <c r="L6661" s="10">
        <v>27</v>
      </c>
      <c r="M6661" s="6" t="s">
        <v>375</v>
      </c>
    </row>
    <row r="6662" spans="1:13">
      <c r="A6662" s="6">
        <v>2025</v>
      </c>
      <c r="B6662" s="6">
        <v>10</v>
      </c>
      <c r="C6662" s="6" t="s">
        <v>68</v>
      </c>
      <c r="D6662" s="6" t="s">
        <v>799</v>
      </c>
      <c r="E6662" s="6" t="s">
        <v>391</v>
      </c>
      <c r="F6662" s="6" t="str">
        <f>IF($M6662="PADD I","PADD 1",IF($M6662="PADD II","PADD 2",IF($M6662="PADD III","PADD 3",IF($M6662="PADD IV","PADD 4",IF($M6662="PADD V","PADD 5","")))))</f>
        <v>PADD 4</v>
      </c>
      <c r="G6662" s="6" t="str">
        <f>IF(AND($H6662="ATMOS DISTILLATION",ISNUMBER(SEARCH("VPS",$I6662))=FALSE,LEFT($I6662,6)&lt;&gt;"VACUUM"),"CDU",IF($H6662="FLUID CAT CRACKING","FCC",IF(OR($H6662="HYDROCRACKING",$H6662="RESID_HYDROCRACKING"),"Hydrocracker",IF($H6662="REFORMING","Reformer",""))))</f>
        <v>Reformer</v>
      </c>
      <c r="H6662" s="6" t="s">
        <v>421</v>
      </c>
      <c r="I6662" s="6" t="s">
        <v>1335</v>
      </c>
      <c r="J6662" s="6" t="s">
        <v>349</v>
      </c>
      <c r="K6662" s="10">
        <v>5.68</v>
      </c>
      <c r="L6662" s="10">
        <v>8</v>
      </c>
      <c r="M6662" s="6" t="s">
        <v>430</v>
      </c>
    </row>
    <row r="6663" spans="1:13">
      <c r="A6663" s="6">
        <v>2025</v>
      </c>
      <c r="B6663" s="6">
        <v>10</v>
      </c>
      <c r="C6663" s="6" t="s">
        <v>68</v>
      </c>
      <c r="D6663" s="6" t="s">
        <v>500</v>
      </c>
      <c r="E6663" s="6" t="s">
        <v>388</v>
      </c>
      <c r="F6663" s="6" t="str">
        <f>IF($M6663="PADD I","PADD 1",IF($M6663="PADD II","PADD 2",IF($M6663="PADD III","PADD 3",IF($M6663="PADD IV","PADD 4",IF($M6663="PADD V","PADD 5","")))))</f>
        <v>PADD 2</v>
      </c>
      <c r="G6663" s="6" t="str">
        <f>IF(AND($H6663="ATMOS DISTILLATION",ISNUMBER(SEARCH("VPS",$I6663))=FALSE,LEFT($I6663,6)&lt;&gt;"VACUUM"),"CDU",IF($H6663="FLUID CAT CRACKING","FCC",IF(OR($H6663="HYDROCRACKING",$H6663="RESID_HYDROCRACKING"),"Hydrocracker",IF($H6663="REFORMING","Reformer",""))))</f>
        <v>CDU</v>
      </c>
      <c r="H6663" s="6" t="s">
        <v>38</v>
      </c>
      <c r="I6663" s="6" t="s">
        <v>530</v>
      </c>
      <c r="J6663" s="6" t="s">
        <v>345</v>
      </c>
      <c r="K6663" s="10">
        <v>5.52</v>
      </c>
      <c r="L6663" s="10">
        <v>92</v>
      </c>
      <c r="M6663" s="6" t="s">
        <v>375</v>
      </c>
    </row>
    <row r="6664" spans="1:13">
      <c r="A6664" s="6">
        <v>2025</v>
      </c>
      <c r="B6664" s="6">
        <v>10</v>
      </c>
      <c r="C6664" s="6" t="s">
        <v>68</v>
      </c>
      <c r="D6664" s="6" t="s">
        <v>42</v>
      </c>
      <c r="E6664" s="6" t="s">
        <v>405</v>
      </c>
      <c r="F6664" s="6" t="str">
        <f>IF($M6664="PADD I","PADD 1",IF($M6664="PADD II","PADD 2",IF($M6664="PADD III","PADD 3",IF($M6664="PADD IV","PADD 4",IF($M6664="PADD V","PADD 5","")))))</f>
        <v>PADD 3</v>
      </c>
      <c r="G6664" s="6" t="str">
        <f>IF(AND($H6664="ATMOS DISTILLATION",ISNUMBER(SEARCH("VPS",$I6664))=FALSE,LEFT($I6664,6)&lt;&gt;"VACUUM"),"CDU",IF($H6664="FLUID CAT CRACKING","FCC",IF(OR($H6664="HYDROCRACKING",$H6664="RESID_HYDROCRACKING"),"Hydrocracker",IF($H6664="REFORMING","Reformer",""))))</f>
        <v>Reformer</v>
      </c>
      <c r="H6664" s="6" t="s">
        <v>421</v>
      </c>
      <c r="I6664" s="6" t="s">
        <v>1336</v>
      </c>
      <c r="J6664" s="6" t="s">
        <v>345</v>
      </c>
      <c r="K6664" s="10">
        <v>5.22</v>
      </c>
      <c r="L6664" s="10">
        <v>18</v>
      </c>
      <c r="M6664" s="6" t="s">
        <v>371</v>
      </c>
    </row>
    <row r="6665" spans="1:13">
      <c r="A6665" s="6">
        <v>2025</v>
      </c>
      <c r="B6665" s="6">
        <v>10</v>
      </c>
      <c r="C6665" s="6" t="s">
        <v>68</v>
      </c>
      <c r="D6665" s="6" t="s">
        <v>500</v>
      </c>
      <c r="E6665" s="6" t="s">
        <v>388</v>
      </c>
      <c r="F6665" s="6" t="str">
        <f>IF($M6665="PADD I","PADD 1",IF($M6665="PADD II","PADD 2",IF($M6665="PADD III","PADD 3",IF($M6665="PADD IV","PADD 4",IF($M6665="PADD V","PADD 5","")))))</f>
        <v>PADD 2</v>
      </c>
      <c r="G6665" s="6">
        <f>IF(AND($H6665="ATMOS DISTILLATION",ISNUMBER(SEARCH("VPS",$I6665))=FALSE,LEFT($I6665,6)&lt;&gt;"VACUUM"),"CDU",IF($H6665="FLUID CAT CRACKING","FCC",IF(OR($H6665="HYDROCRACKING",$H6665="RESID_HYDROCRACKING"),"Hydrocracker",IF($H6665="REFORMING","Reformer",""))))</f>
        <v/>
      </c>
      <c r="H6665" s="6" t="s">
        <v>378</v>
      </c>
      <c r="I6665" s="6" t="s">
        <v>431</v>
      </c>
      <c r="J6665" s="6" t="s">
        <v>345</v>
      </c>
      <c r="K6665" s="10">
        <v>5.12</v>
      </c>
      <c r="L6665" s="10">
        <v>32</v>
      </c>
      <c r="M6665" s="6" t="s">
        <v>375</v>
      </c>
    </row>
    <row r="6666" spans="1:13">
      <c r="A6666" s="6">
        <v>2025</v>
      </c>
      <c r="B6666" s="6">
        <v>10</v>
      </c>
      <c r="C6666" s="6" t="s">
        <v>68</v>
      </c>
      <c r="D6666" s="6" t="s">
        <v>803</v>
      </c>
      <c r="E6666" s="6" t="s">
        <v>388</v>
      </c>
      <c r="F6666" s="6" t="str">
        <f>IF($M6666="PADD I","PADD 1",IF($M6666="PADD II","PADD 2",IF($M6666="PADD III","PADD 3",IF($M6666="PADD IV","PADD 4",IF($M6666="PADD V","PADD 5","")))))</f>
        <v>PADD 2</v>
      </c>
      <c r="G6666" s="6">
        <f>IF(AND($H6666="ATMOS DISTILLATION",ISNUMBER(SEARCH("VPS",$I6666))=FALSE,LEFT($I6666,6)&lt;&gt;"VACUUM"),"CDU",IF($H6666="FLUID CAT CRACKING","FCC",IF(OR($H6666="HYDROCRACKING",$H6666="RESID_HYDROCRACKING"),"Hydrocracker",IF($H6666="REFORMING","Reformer",""))))</f>
        <v/>
      </c>
      <c r="H6666" s="6" t="s">
        <v>43</v>
      </c>
      <c r="I6666" s="6" t="s">
        <v>918</v>
      </c>
      <c r="J6666" s="6" t="s">
        <v>345</v>
      </c>
      <c r="K6666" s="10">
        <v>5.12</v>
      </c>
      <c r="L6666" s="10">
        <v>32</v>
      </c>
      <c r="M6666" s="6" t="s">
        <v>375</v>
      </c>
    </row>
    <row r="6667" spans="1:13">
      <c r="A6667" s="6">
        <v>2025</v>
      </c>
      <c r="B6667" s="6">
        <v>10</v>
      </c>
      <c r="C6667" s="6" t="s">
        <v>68</v>
      </c>
      <c r="D6667" s="6" t="s">
        <v>542</v>
      </c>
      <c r="E6667" s="6" t="s">
        <v>543</v>
      </c>
      <c r="F6667" s="6" t="str">
        <f>IF($M6667="PADD I","PADD 1",IF($M6667="PADD II","PADD 2",IF($M6667="PADD III","PADD 3",IF($M6667="PADD IV","PADD 4",IF($M6667="PADD V","PADD 5","")))))</f>
        <v>PADD 2</v>
      </c>
      <c r="G6667" s="6">
        <f>IF(AND($H6667="ATMOS DISTILLATION",ISNUMBER(SEARCH("VPS",$I6667))=FALSE,LEFT($I6667,6)&lt;&gt;"VACUUM"),"CDU",IF($H6667="FLUID CAT CRACKING","FCC",IF(OR($H6667="HYDROCRACKING",$H6667="RESID_HYDROCRACKING"),"Hydrocracker",IF($H6667="REFORMING","Reformer",""))))</f>
        <v/>
      </c>
      <c r="H6667" s="6" t="s">
        <v>43</v>
      </c>
      <c r="I6667" s="6" t="s">
        <v>1111</v>
      </c>
      <c r="J6667" s="6" t="s">
        <v>345</v>
      </c>
      <c r="K6667" s="10">
        <v>5.1</v>
      </c>
      <c r="L6667" s="10">
        <v>85</v>
      </c>
      <c r="M6667" s="6" t="s">
        <v>375</v>
      </c>
    </row>
    <row r="6668" spans="1:13">
      <c r="A6668" s="6">
        <v>2025</v>
      </c>
      <c r="B6668" s="6">
        <v>10</v>
      </c>
      <c r="C6668" s="6" t="s">
        <v>68</v>
      </c>
      <c r="D6668" s="6" t="s">
        <v>408</v>
      </c>
      <c r="E6668" s="6" t="s">
        <v>409</v>
      </c>
      <c r="F6668" s="6" t="str">
        <f>IF($M6668="PADD I","PADD 1",IF($M6668="PADD II","PADD 2",IF($M6668="PADD III","PADD 3",IF($M6668="PADD IV","PADD 4",IF($M6668="PADD V","PADD 5","")))))</f>
        <v>PADD 3</v>
      </c>
      <c r="G6668" s="6">
        <f>IF(AND($H6668="ATMOS DISTILLATION",ISNUMBER(SEARCH("VPS",$I6668))=FALSE,LEFT($I6668,6)&lt;&gt;"VACUUM"),"CDU",IF($H6668="FLUID CAT CRACKING","FCC",IF(OR($H6668="HYDROCRACKING",$H6668="RESID_HYDROCRACKING"),"Hydrocracker",IF($H6668="REFORMING","Reformer",""))))</f>
        <v/>
      </c>
      <c r="H6668" s="6" t="s">
        <v>460</v>
      </c>
      <c r="I6668" s="6" t="s">
        <v>606</v>
      </c>
      <c r="J6668" s="6" t="s">
        <v>349</v>
      </c>
      <c r="K6668" s="10">
        <v>5</v>
      </c>
      <c r="L6668" s="10">
        <v>5</v>
      </c>
      <c r="M6668" s="6" t="s">
        <v>371</v>
      </c>
    </row>
    <row r="6669" spans="1:13">
      <c r="A6669" s="6">
        <v>2025</v>
      </c>
      <c r="B6669" s="6">
        <v>10</v>
      </c>
      <c r="C6669" s="6" t="s">
        <v>68</v>
      </c>
      <c r="D6669" s="6" t="s">
        <v>778</v>
      </c>
      <c r="E6669" s="6" t="s">
        <v>779</v>
      </c>
      <c r="F6669" s="6" t="str">
        <f>IF($M6669="PADD I","PADD 1",IF($M6669="PADD II","PADD 2",IF($M6669="PADD III","PADD 3",IF($M6669="PADD IV","PADD 4",IF($M6669="PADD V","PADD 5","")))))</f>
        <v>PADD 3</v>
      </c>
      <c r="G6669" s="6">
        <f>IF(AND($H6669="ATMOS DISTILLATION",ISNUMBER(SEARCH("VPS",$I6669))=FALSE,LEFT($I6669,6)&lt;&gt;"VACUUM"),"CDU",IF($H6669="FLUID CAT CRACKING","FCC",IF(OR($H6669="HYDROCRACKING",$H6669="RESID_HYDROCRACKING"),"Hydrocracker",IF($H6669="REFORMING","Reformer",""))))</f>
        <v/>
      </c>
      <c r="H6669" s="6" t="s">
        <v>378</v>
      </c>
      <c r="I6669" s="6" t="s">
        <v>797</v>
      </c>
      <c r="J6669" s="6" t="s">
        <v>345</v>
      </c>
      <c r="K6669" s="10">
        <v>4.9878</v>
      </c>
      <c r="L6669" s="10">
        <v>83.13</v>
      </c>
      <c r="M6669" s="6" t="s">
        <v>371</v>
      </c>
    </row>
    <row r="6670" spans="1:13">
      <c r="A6670" s="6">
        <v>2025</v>
      </c>
      <c r="B6670" s="6">
        <v>10</v>
      </c>
      <c r="C6670" s="6" t="s">
        <v>68</v>
      </c>
      <c r="D6670" s="6" t="s">
        <v>778</v>
      </c>
      <c r="E6670" s="6" t="s">
        <v>779</v>
      </c>
      <c r="F6670" s="6" t="str">
        <f>IF($M6670="PADD I","PADD 1",IF($M6670="PADD II","PADD 2",IF($M6670="PADD III","PADD 3",IF($M6670="PADD IV","PADD 4",IF($M6670="PADD V","PADD 5","")))))</f>
        <v>PADD 3</v>
      </c>
      <c r="G6670" s="6">
        <f>IF(AND($H6670="ATMOS DISTILLATION",ISNUMBER(SEARCH("VPS",$I6670))=FALSE,LEFT($I6670,6)&lt;&gt;"VACUUM"),"CDU",IF($H6670="FLUID CAT CRACKING","FCC",IF(OR($H6670="HYDROCRACKING",$H6670="RESID_HYDROCRACKING"),"Hydrocracker",IF($H6670="REFORMING","Reformer",""))))</f>
        <v/>
      </c>
      <c r="H6670" s="6" t="s">
        <v>378</v>
      </c>
      <c r="I6670" s="6" t="s">
        <v>798</v>
      </c>
      <c r="J6670" s="6" t="s">
        <v>345</v>
      </c>
      <c r="K6670" s="10">
        <v>4.98</v>
      </c>
      <c r="L6670" s="10">
        <v>83</v>
      </c>
      <c r="M6670" s="6" t="s">
        <v>371</v>
      </c>
    </row>
    <row r="6671" spans="1:13">
      <c r="A6671" s="6">
        <v>2025</v>
      </c>
      <c r="B6671" s="6">
        <v>10</v>
      </c>
      <c r="C6671" s="6" t="s">
        <v>68</v>
      </c>
      <c r="D6671" s="6" t="s">
        <v>1320</v>
      </c>
      <c r="E6671" s="6" t="s">
        <v>1321</v>
      </c>
      <c r="F6671" s="6" t="str">
        <f>IF($M6671="PADD I","PADD 1",IF($M6671="PADD II","PADD 2",IF($M6671="PADD III","PADD 3",IF($M6671="PADD IV","PADD 4",IF($M6671="PADD V","PADD 5","")))))</f>
        <v>PADD 3</v>
      </c>
      <c r="G6671" s="6">
        <f>IF(AND($H6671="ATMOS DISTILLATION",ISNUMBER(SEARCH("VPS",$I6671))=FALSE,LEFT($I6671,6)&lt;&gt;"VACUUM"),"CDU",IF($H6671="FLUID CAT CRACKING","FCC",IF(OR($H6671="HYDROCRACKING",$H6671="RESID_HYDROCRACKING"),"Hydrocracker",IF($H6671="REFORMING","Reformer",""))))</f>
        <v/>
      </c>
      <c r="H6671" s="6" t="s">
        <v>43</v>
      </c>
      <c r="I6671" s="6" t="s">
        <v>1324</v>
      </c>
      <c r="J6671" s="6" t="s">
        <v>349</v>
      </c>
      <c r="K6671" s="10">
        <v>4.88</v>
      </c>
      <c r="L6671" s="10">
        <v>8</v>
      </c>
      <c r="M6671" s="6" t="s">
        <v>371</v>
      </c>
    </row>
    <row r="6672" spans="1:13">
      <c r="A6672" s="6">
        <v>2025</v>
      </c>
      <c r="B6672" s="6">
        <v>10</v>
      </c>
      <c r="C6672" s="6" t="s">
        <v>68</v>
      </c>
      <c r="D6672" s="6" t="s">
        <v>1320</v>
      </c>
      <c r="E6672" s="6" t="s">
        <v>1321</v>
      </c>
      <c r="F6672" s="6" t="str">
        <f>IF($M6672="PADD I","PADD 1",IF($M6672="PADD II","PADD 2",IF($M6672="PADD III","PADD 3",IF($M6672="PADD IV","PADD 4",IF($M6672="PADD V","PADD 5","")))))</f>
        <v>PADD 3</v>
      </c>
      <c r="G6672" s="6">
        <f>IF(AND($H6672="ATMOS DISTILLATION",ISNUMBER(SEARCH("VPS",$I6672))=FALSE,LEFT($I6672,6)&lt;&gt;"VACUUM"),"CDU",IF($H6672="FLUID CAT CRACKING","FCC",IF(OR($H6672="HYDROCRACKING",$H6672="RESID_HYDROCRACKING"),"Hydrocracker",IF($H6672="REFORMING","Reformer",""))))</f>
        <v/>
      </c>
      <c r="H6672" s="6" t="s">
        <v>637</v>
      </c>
      <c r="I6672" s="6" t="s">
        <v>1325</v>
      </c>
      <c r="J6672" s="6" t="s">
        <v>349</v>
      </c>
      <c r="K6672" s="10">
        <v>4.88</v>
      </c>
      <c r="L6672" s="10">
        <v>8</v>
      </c>
      <c r="M6672" s="6" t="s">
        <v>371</v>
      </c>
    </row>
    <row r="6673" spans="1:13">
      <c r="A6673" s="6">
        <v>2025</v>
      </c>
      <c r="B6673" s="6">
        <v>10</v>
      </c>
      <c r="C6673" s="6" t="s">
        <v>68</v>
      </c>
      <c r="D6673" s="6" t="s">
        <v>51</v>
      </c>
      <c r="E6673" s="6" t="s">
        <v>391</v>
      </c>
      <c r="F6673" s="6" t="str">
        <f>IF($M6673="PADD I","PADD 1",IF($M6673="PADD II","PADD 2",IF($M6673="PADD III","PADD 3",IF($M6673="PADD IV","PADD 4",IF($M6673="PADD V","PADD 5","")))))</f>
        <v>PADD 5</v>
      </c>
      <c r="G6673" s="6">
        <f>IF(AND($H6673="ATMOS DISTILLATION",ISNUMBER(SEARCH("VPS",$I6673))=FALSE,LEFT($I6673,6)&lt;&gt;"VACUUM"),"CDU",IF($H6673="FLUID CAT CRACKING","FCC",IF(OR($H6673="HYDROCRACKING",$H6673="RESID_HYDROCRACKING"),"Hydrocracker",IF($H6673="REFORMING","Reformer",""))))</f>
        <v/>
      </c>
      <c r="H6673" s="6" t="s">
        <v>43</v>
      </c>
      <c r="I6673" s="6" t="s">
        <v>1337</v>
      </c>
      <c r="J6673" s="6" t="s">
        <v>345</v>
      </c>
      <c r="K6673" s="10">
        <v>4.83</v>
      </c>
      <c r="L6673" s="10">
        <v>21</v>
      </c>
      <c r="M6673" s="6" t="s">
        <v>386</v>
      </c>
    </row>
    <row r="6674" spans="1:13">
      <c r="A6674" s="6">
        <v>2025</v>
      </c>
      <c r="B6674" s="6">
        <v>10</v>
      </c>
      <c r="C6674" s="6" t="s">
        <v>68</v>
      </c>
      <c r="D6674" s="6" t="s">
        <v>722</v>
      </c>
      <c r="E6674" s="6" t="s">
        <v>452</v>
      </c>
      <c r="F6674" s="6" t="str">
        <f>IF($M6674="PADD I","PADD 1",IF($M6674="PADD II","PADD 2",IF($M6674="PADD III","PADD 3",IF($M6674="PADD IV","PADD 4",IF($M6674="PADD V","PADD 5","")))))</f>
        <v>PADD 4</v>
      </c>
      <c r="G6674" s="6" t="str">
        <f>IF(AND($H6674="ATMOS DISTILLATION",ISNUMBER(SEARCH("VPS",$I6674))=FALSE,LEFT($I6674,6)&lt;&gt;"VACUUM"),"CDU",IF($H6674="FLUID CAT CRACKING","FCC",IF(OR($H6674="HYDROCRACKING",$H6674="RESID_HYDROCRACKING"),"Hydrocracker",IF($H6674="REFORMING","Reformer",""))))</f>
        <v>Hydrocracker</v>
      </c>
      <c r="H6674" s="6" t="s">
        <v>444</v>
      </c>
      <c r="I6674" s="6" t="s">
        <v>1147</v>
      </c>
      <c r="J6674" s="6" t="s">
        <v>345</v>
      </c>
      <c r="K6674" s="10">
        <v>4.8</v>
      </c>
      <c r="L6674" s="10">
        <v>15</v>
      </c>
      <c r="M6674" s="6" t="s">
        <v>430</v>
      </c>
    </row>
    <row r="6675" spans="1:13">
      <c r="A6675" s="6">
        <v>2025</v>
      </c>
      <c r="B6675" s="6">
        <v>10</v>
      </c>
      <c r="C6675" s="6" t="s">
        <v>68</v>
      </c>
      <c r="D6675" s="6" t="s">
        <v>51</v>
      </c>
      <c r="E6675" s="6" t="s">
        <v>391</v>
      </c>
      <c r="F6675" s="6" t="str">
        <f>IF($M6675="PADD I","PADD 1",IF($M6675="PADD II","PADD 2",IF($M6675="PADD III","PADD 3",IF($M6675="PADD IV","PADD 4",IF($M6675="PADD V","PADD 5","")))))</f>
        <v>PADD 5</v>
      </c>
      <c r="G6675" s="6">
        <f>IF(AND($H6675="ATMOS DISTILLATION",ISNUMBER(SEARCH("VPS",$I6675))=FALSE,LEFT($I6675,6)&lt;&gt;"VACUUM"),"CDU",IF($H6675="FLUID CAT CRACKING","FCC",IF(OR($H6675="HYDROCRACKING",$H6675="RESID_HYDROCRACKING"),"Hydrocracker",IF($H6675="REFORMING","Reformer",""))))</f>
        <v/>
      </c>
      <c r="H6675" s="6" t="s">
        <v>43</v>
      </c>
      <c r="I6675" s="6" t="s">
        <v>1338</v>
      </c>
      <c r="J6675" s="6" t="s">
        <v>345</v>
      </c>
      <c r="K6675" s="10">
        <v>4.6</v>
      </c>
      <c r="L6675" s="10">
        <v>20</v>
      </c>
      <c r="M6675" s="6" t="s">
        <v>386</v>
      </c>
    </row>
    <row r="6676" spans="1:13">
      <c r="A6676" s="6">
        <v>2025</v>
      </c>
      <c r="B6676" s="6">
        <v>10</v>
      </c>
      <c r="C6676" s="6" t="s">
        <v>68</v>
      </c>
      <c r="D6676" s="6" t="s">
        <v>722</v>
      </c>
      <c r="E6676" s="6" t="s">
        <v>452</v>
      </c>
      <c r="F6676" s="6" t="str">
        <f>IF($M6676="PADD I","PADD 1",IF($M6676="PADD II","PADD 2",IF($M6676="PADD III","PADD 3",IF($M6676="PADD IV","PADD 4",IF($M6676="PADD V","PADD 5","")))))</f>
        <v>PADD 4</v>
      </c>
      <c r="G6676" s="6" t="str">
        <f>IF(AND($H6676="ATMOS DISTILLATION",ISNUMBER(SEARCH("VPS",$I6676))=FALSE,LEFT($I6676,6)&lt;&gt;"VACUUM"),"CDU",IF($H6676="FLUID CAT CRACKING","FCC",IF(OR($H6676="HYDROCRACKING",$H6676="RESID_HYDROCRACKING"),"Hydrocracker",IF($H6676="REFORMING","Reformer",""))))</f>
        <v>FCC</v>
      </c>
      <c r="H6676" s="6" t="s">
        <v>376</v>
      </c>
      <c r="I6676" s="6" t="s">
        <v>428</v>
      </c>
      <c r="J6676" s="6" t="s">
        <v>345</v>
      </c>
      <c r="K6676" s="10">
        <v>4.42</v>
      </c>
      <c r="L6676" s="10">
        <v>8.5</v>
      </c>
      <c r="M6676" s="6" t="s">
        <v>430</v>
      </c>
    </row>
    <row r="6677" spans="1:13">
      <c r="A6677" s="6">
        <v>2025</v>
      </c>
      <c r="B6677" s="6">
        <v>10</v>
      </c>
      <c r="C6677" s="6" t="s">
        <v>68</v>
      </c>
      <c r="D6677" s="6" t="s">
        <v>387</v>
      </c>
      <c r="E6677" s="6" t="s">
        <v>388</v>
      </c>
      <c r="F6677" s="6" t="str">
        <f>IF($M6677="PADD I","PADD 1",IF($M6677="PADD II","PADD 2",IF($M6677="PADD III","PADD 3",IF($M6677="PADD IV","PADD 4",IF($M6677="PADD V","PADD 5","")))))</f>
        <v>PADD 3</v>
      </c>
      <c r="G6677" s="6" t="str">
        <f>IF(AND($H6677="ATMOS DISTILLATION",ISNUMBER(SEARCH("VPS",$I6677))=FALSE,LEFT($I6677,6)&lt;&gt;"VACUUM"),"CDU",IF($H6677="FLUID CAT CRACKING","FCC",IF(OR($H6677="HYDROCRACKING",$H6677="RESID_HYDROCRACKING"),"Hydrocracker",IF($H6677="REFORMING","Reformer",""))))</f>
        <v>FCC</v>
      </c>
      <c r="H6677" s="6" t="s">
        <v>376</v>
      </c>
      <c r="I6677" s="6" t="s">
        <v>472</v>
      </c>
      <c r="J6677" s="6" t="s">
        <v>345</v>
      </c>
      <c r="K6677" s="10">
        <v>4.4</v>
      </c>
      <c r="L6677" s="10">
        <v>44</v>
      </c>
      <c r="M6677" s="6" t="s">
        <v>371</v>
      </c>
    </row>
    <row r="6678" spans="1:13">
      <c r="A6678" s="6">
        <v>2025</v>
      </c>
      <c r="B6678" s="6">
        <v>10</v>
      </c>
      <c r="C6678" s="6" t="s">
        <v>68</v>
      </c>
      <c r="D6678" s="6" t="s">
        <v>602</v>
      </c>
      <c r="E6678" s="6" t="s">
        <v>369</v>
      </c>
      <c r="F6678" s="6" t="str">
        <f>IF($M6678="PADD I","PADD 1",IF($M6678="PADD II","PADD 2",IF($M6678="PADD III","PADD 3",IF($M6678="PADD IV","PADD 4",IF($M6678="PADD V","PADD 5","")))))</f>
        <v>PADD 2</v>
      </c>
      <c r="G6678" s="6">
        <f>IF(AND($H6678="ATMOS DISTILLATION",ISNUMBER(SEARCH("VPS",$I6678))=FALSE,LEFT($I6678,6)&lt;&gt;"VACUUM"),"CDU",IF($H6678="FLUID CAT CRACKING","FCC",IF(OR($H6678="HYDROCRACKING",$H6678="RESID_HYDROCRACKING"),"Hydrocracker",IF($H6678="REFORMING","Reformer",""))))</f>
        <v/>
      </c>
      <c r="H6678" s="6" t="s">
        <v>435</v>
      </c>
      <c r="I6678" s="6" t="s">
        <v>441</v>
      </c>
      <c r="J6678" s="6" t="s">
        <v>345</v>
      </c>
      <c r="K6678" s="10">
        <v>4.389</v>
      </c>
      <c r="L6678" s="10">
        <v>23.1</v>
      </c>
      <c r="M6678" s="6" t="s">
        <v>375</v>
      </c>
    </row>
    <row r="6679" spans="1:13">
      <c r="A6679" s="6">
        <v>2025</v>
      </c>
      <c r="B6679" s="6">
        <v>10</v>
      </c>
      <c r="C6679" s="6" t="s">
        <v>68</v>
      </c>
      <c r="D6679" s="6" t="s">
        <v>51</v>
      </c>
      <c r="E6679" s="6" t="s">
        <v>391</v>
      </c>
      <c r="F6679" s="6" t="str">
        <f>IF($M6679="PADD I","PADD 1",IF($M6679="PADD II","PADD 2",IF($M6679="PADD III","PADD 3",IF($M6679="PADD IV","PADD 4",IF($M6679="PADD V","PADD 5","")))))</f>
        <v>PADD 5</v>
      </c>
      <c r="G6679" s="6" t="str">
        <f>IF(AND($H6679="ATMOS DISTILLATION",ISNUMBER(SEARCH("VPS",$I6679))=FALSE,LEFT($I6679,6)&lt;&gt;"VACUUM"),"CDU",IF($H6679="FLUID CAT CRACKING","FCC",IF(OR($H6679="HYDROCRACKING",$H6679="RESID_HYDROCRACKING"),"Hydrocracker",IF($H6679="REFORMING","Reformer",""))))</f>
        <v>FCC</v>
      </c>
      <c r="H6679" s="6" t="s">
        <v>376</v>
      </c>
      <c r="I6679" s="6" t="s">
        <v>105</v>
      </c>
      <c r="J6679" s="6" t="s">
        <v>345</v>
      </c>
      <c r="K6679" s="10">
        <v>4.38</v>
      </c>
      <c r="L6679" s="10">
        <v>73</v>
      </c>
      <c r="M6679" s="6" t="s">
        <v>386</v>
      </c>
    </row>
    <row r="6680" spans="1:13">
      <c r="A6680" s="6">
        <v>2025</v>
      </c>
      <c r="B6680" s="6">
        <v>10</v>
      </c>
      <c r="C6680" s="6" t="s">
        <v>68</v>
      </c>
      <c r="D6680" s="6" t="s">
        <v>335</v>
      </c>
      <c r="E6680" s="6" t="s">
        <v>369</v>
      </c>
      <c r="F6680" s="6" t="str">
        <f>IF($M6680="PADD I","PADD 1",IF($M6680="PADD II","PADD 2",IF($M6680="PADD III","PADD 3",IF($M6680="PADD IV","PADD 4",IF($M6680="PADD V","PADD 5","")))))</f>
        <v>PADD 3</v>
      </c>
      <c r="G6680" s="6">
        <f>IF(AND($H6680="ATMOS DISTILLATION",ISNUMBER(SEARCH("VPS",$I6680))=FALSE,LEFT($I6680,6)&lt;&gt;"VACUUM"),"CDU",IF($H6680="FLUID CAT CRACKING","FCC",IF(OR($H6680="HYDROCRACKING",$H6680="RESID_HYDROCRACKING"),"Hydrocracker",IF($H6680="REFORMING","Reformer",""))))</f>
        <v/>
      </c>
      <c r="H6680" s="6" t="s">
        <v>435</v>
      </c>
      <c r="I6680" s="6" t="s">
        <v>1205</v>
      </c>
      <c r="J6680" s="6" t="s">
        <v>345</v>
      </c>
      <c r="K6680" s="10">
        <v>4.254</v>
      </c>
      <c r="L6680" s="10">
        <v>70.90000000000001</v>
      </c>
      <c r="M6680" s="6" t="s">
        <v>371</v>
      </c>
    </row>
    <row r="6681" spans="1:13">
      <c r="A6681" s="6">
        <v>2025</v>
      </c>
      <c r="B6681" s="6">
        <v>10</v>
      </c>
      <c r="C6681" s="6" t="s">
        <v>68</v>
      </c>
      <c r="D6681" s="6" t="s">
        <v>326</v>
      </c>
      <c r="E6681" s="6" t="s">
        <v>385</v>
      </c>
      <c r="F6681" s="6" t="str">
        <f>IF($M6681="PADD I","PADD 1",IF($M6681="PADD II","PADD 2",IF($M6681="PADD III","PADD 3",IF($M6681="PADD IV","PADD 4",IF($M6681="PADD V","PADD 5","")))))</f>
        <v>PADD 5</v>
      </c>
      <c r="G6681" s="6">
        <f>IF(AND($H6681="ATMOS DISTILLATION",ISNUMBER(SEARCH("VPS",$I6681))=FALSE,LEFT($I6681,6)&lt;&gt;"VACUUM"),"CDU",IF($H6681="FLUID CAT CRACKING","FCC",IF(OR($H6681="HYDROCRACKING",$H6681="RESID_HYDROCRACKING"),"Hydrocracker",IF($H6681="REFORMING","Reformer",""))))</f>
        <v/>
      </c>
      <c r="H6681" s="6" t="s">
        <v>460</v>
      </c>
      <c r="I6681" s="6" t="s">
        <v>1288</v>
      </c>
      <c r="J6681" s="6" t="s">
        <v>345</v>
      </c>
      <c r="K6681" s="10">
        <v>4.2</v>
      </c>
      <c r="L6681" s="10">
        <v>4.2</v>
      </c>
      <c r="M6681" s="6" t="s">
        <v>386</v>
      </c>
    </row>
    <row r="6682" spans="1:13">
      <c r="A6682" s="6">
        <v>2025</v>
      </c>
      <c r="B6682" s="6">
        <v>10</v>
      </c>
      <c r="C6682" s="6" t="s">
        <v>68</v>
      </c>
      <c r="D6682" s="6" t="s">
        <v>462</v>
      </c>
      <c r="E6682" s="6" t="s">
        <v>438</v>
      </c>
      <c r="F6682" s="6" t="str">
        <f>IF($M6682="PADD I","PADD 1",IF($M6682="PADD II","PADD 2",IF($M6682="PADD III","PADD 3",IF($M6682="PADD IV","PADD 4",IF($M6682="PADD V","PADD 5","")))))</f>
        <v>PADD 4</v>
      </c>
      <c r="G6682" s="6" t="str">
        <f>IF(AND($H6682="ATMOS DISTILLATION",ISNUMBER(SEARCH("VPS",$I6682))=FALSE,LEFT($I6682,6)&lt;&gt;"VACUUM"),"CDU",IF($H6682="FLUID CAT CRACKING","FCC",IF(OR($H6682="HYDROCRACKING",$H6682="RESID_HYDROCRACKING"),"Hydrocracker",IF($H6682="REFORMING","Reformer",""))))</f>
        <v>CDU</v>
      </c>
      <c r="H6682" s="6" t="s">
        <v>38</v>
      </c>
      <c r="I6682" s="6" t="s">
        <v>123</v>
      </c>
      <c r="J6682" s="6" t="s">
        <v>345</v>
      </c>
      <c r="K6682" s="10">
        <v>4.16</v>
      </c>
      <c r="L6682" s="10">
        <v>32</v>
      </c>
      <c r="M6682" s="6" t="s">
        <v>430</v>
      </c>
    </row>
    <row r="6683" spans="1:13">
      <c r="A6683" s="6">
        <v>2025</v>
      </c>
      <c r="B6683" s="6">
        <v>10</v>
      </c>
      <c r="C6683" s="6" t="s">
        <v>68</v>
      </c>
      <c r="D6683" s="6" t="s">
        <v>395</v>
      </c>
      <c r="E6683" s="6" t="s">
        <v>396</v>
      </c>
      <c r="F6683" s="6" t="str">
        <f>IF($M6683="PADD I","PADD 1",IF($M6683="PADD II","PADD 2",IF($M6683="PADD III","PADD 3",IF($M6683="PADD IV","PADD 4",IF($M6683="PADD V","PADD 5","")))))</f>
        <v>PADD 3</v>
      </c>
      <c r="G6683" s="6">
        <f>IF(AND($H6683="ATMOS DISTILLATION",ISNUMBER(SEARCH("VPS",$I6683))=FALSE,LEFT($I6683,6)&lt;&gt;"VACUUM"),"CDU",IF($H6683="FLUID CAT CRACKING","FCC",IF(OR($H6683="HYDROCRACKING",$H6683="RESID_HYDROCRACKING"),"Hydrocracker",IF($H6683="REFORMING","Reformer",""))))</f>
        <v/>
      </c>
      <c r="H6683" s="6" t="s">
        <v>43</v>
      </c>
      <c r="I6683" s="6" t="s">
        <v>550</v>
      </c>
      <c r="J6683" s="6" t="s">
        <v>345</v>
      </c>
      <c r="K6683" s="10">
        <v>4.11</v>
      </c>
      <c r="L6683" s="10">
        <v>41.1</v>
      </c>
      <c r="M6683" s="6" t="s">
        <v>371</v>
      </c>
    </row>
    <row r="6684" spans="1:13">
      <c r="A6684" s="6">
        <v>2025</v>
      </c>
      <c r="B6684" s="6">
        <v>10</v>
      </c>
      <c r="C6684" s="6" t="s">
        <v>68</v>
      </c>
      <c r="D6684" s="6" t="s">
        <v>500</v>
      </c>
      <c r="E6684" s="6" t="s">
        <v>388</v>
      </c>
      <c r="F6684" s="6" t="str">
        <f>IF($M6684="PADD I","PADD 1",IF($M6684="PADD II","PADD 2",IF($M6684="PADD III","PADD 3",IF($M6684="PADD IV","PADD 4",IF($M6684="PADD V","PADD 5","")))))</f>
        <v>PADD 2</v>
      </c>
      <c r="G6684" s="6" t="str">
        <f>IF(AND($H6684="ATMOS DISTILLATION",ISNUMBER(SEARCH("VPS",$I6684))=FALSE,LEFT($I6684,6)&lt;&gt;"VACUUM"),"CDU",IF($H6684="FLUID CAT CRACKING","FCC",IF(OR($H6684="HYDROCRACKING",$H6684="RESID_HYDROCRACKING"),"Hydrocracker",IF($H6684="REFORMING","Reformer",""))))</f>
        <v>CDU</v>
      </c>
      <c r="H6684" s="6" t="s">
        <v>38</v>
      </c>
      <c r="I6684" s="6" t="s">
        <v>917</v>
      </c>
      <c r="J6684" s="6" t="s">
        <v>345</v>
      </c>
      <c r="K6684" s="10">
        <v>4</v>
      </c>
      <c r="L6684" s="10">
        <v>25</v>
      </c>
      <c r="M6684" s="6" t="s">
        <v>375</v>
      </c>
    </row>
    <row r="6685" spans="1:13">
      <c r="A6685" s="6">
        <v>2025</v>
      </c>
      <c r="B6685" s="6">
        <v>10</v>
      </c>
      <c r="C6685" s="6" t="s">
        <v>68</v>
      </c>
      <c r="D6685" s="6" t="s">
        <v>500</v>
      </c>
      <c r="E6685" s="6" t="s">
        <v>388</v>
      </c>
      <c r="F6685" s="6" t="str">
        <f>IF($M6685="PADD I","PADD 1",IF($M6685="PADD II","PADD 2",IF($M6685="PADD III","PADD 3",IF($M6685="PADD IV","PADD 4",IF($M6685="PADD V","PADD 5","")))))</f>
        <v>PADD 2</v>
      </c>
      <c r="G6685" s="6">
        <f>IF(AND($H6685="ATMOS DISTILLATION",ISNUMBER(SEARCH("VPS",$I6685))=FALSE,LEFT($I6685,6)&lt;&gt;"VACUUM"),"CDU",IF($H6685="FLUID CAT CRACKING","FCC",IF(OR($H6685="HYDROCRACKING",$H6685="RESID_HYDROCRACKING"),"Hydrocracker",IF($H6685="REFORMING","Reformer",""))))</f>
        <v/>
      </c>
      <c r="H6685" s="6" t="s">
        <v>43</v>
      </c>
      <c r="I6685" s="6" t="s">
        <v>918</v>
      </c>
      <c r="J6685" s="6" t="s">
        <v>345</v>
      </c>
      <c r="K6685" s="10">
        <v>4</v>
      </c>
      <c r="L6685" s="10">
        <v>25</v>
      </c>
      <c r="M6685" s="6" t="s">
        <v>375</v>
      </c>
    </row>
    <row r="6686" spans="1:13">
      <c r="A6686" s="6">
        <v>2025</v>
      </c>
      <c r="B6686" s="6">
        <v>10</v>
      </c>
      <c r="C6686" s="6" t="s">
        <v>68</v>
      </c>
      <c r="D6686" s="6" t="s">
        <v>1320</v>
      </c>
      <c r="E6686" s="6" t="s">
        <v>1321</v>
      </c>
      <c r="F6686" s="6" t="str">
        <f>IF($M6686="PADD I","PADD 1",IF($M6686="PADD II","PADD 2",IF($M6686="PADD III","PADD 3",IF($M6686="PADD IV","PADD 4",IF($M6686="PADD V","PADD 5","")))))</f>
        <v>PADD 3</v>
      </c>
      <c r="G6686" s="6">
        <f>IF(AND($H6686="ATMOS DISTILLATION",ISNUMBER(SEARCH("VPS",$I6686))=FALSE,LEFT($I6686,6)&lt;&gt;"VACUUM"),"CDU",IF($H6686="FLUID CAT CRACKING","FCC",IF(OR($H6686="HYDROCRACKING",$H6686="RESID_HYDROCRACKING"),"Hydrocracker",IF($H6686="REFORMING","Reformer",""))))</f>
        <v/>
      </c>
      <c r="H6686" s="6" t="s">
        <v>637</v>
      </c>
      <c r="I6686" s="6" t="s">
        <v>1326</v>
      </c>
      <c r="J6686" s="6" t="s">
        <v>349</v>
      </c>
      <c r="K6686" s="10">
        <v>3.965</v>
      </c>
      <c r="L6686" s="10">
        <v>6.5</v>
      </c>
      <c r="M6686" s="6" t="s">
        <v>371</v>
      </c>
    </row>
    <row r="6687" spans="1:13">
      <c r="A6687" s="6">
        <v>2025</v>
      </c>
      <c r="B6687" s="6">
        <v>10</v>
      </c>
      <c r="C6687" s="6" t="s">
        <v>68</v>
      </c>
      <c r="D6687" s="6" t="s">
        <v>762</v>
      </c>
      <c r="E6687" s="6" t="s">
        <v>763</v>
      </c>
      <c r="F6687" s="6" t="str">
        <f>IF($M6687="PADD I","PADD 1",IF($M6687="PADD II","PADD 2",IF($M6687="PADD III","PADD 3",IF($M6687="PADD IV","PADD 4",IF($M6687="PADD V","PADD 5","")))))</f>
        <v>PADD 2</v>
      </c>
      <c r="G6687" s="6" t="str">
        <f>IF(AND($H6687="ATMOS DISTILLATION",ISNUMBER(SEARCH("VPS",$I6687))=FALSE,LEFT($I6687,6)&lt;&gt;"VACUUM"),"CDU",IF($H6687="FLUID CAT CRACKING","FCC",IF(OR($H6687="HYDROCRACKING",$H6687="RESID_HYDROCRACKING"),"Hydrocracker",IF($H6687="REFORMING","Reformer",""))))</f>
        <v>CDU</v>
      </c>
      <c r="H6687" s="6" t="s">
        <v>38</v>
      </c>
      <c r="I6687" s="6" t="s">
        <v>131</v>
      </c>
      <c r="J6687" s="6" t="s">
        <v>345</v>
      </c>
      <c r="K6687" s="10">
        <v>3.9</v>
      </c>
      <c r="L6687" s="10">
        <v>39</v>
      </c>
      <c r="M6687" s="6" t="s">
        <v>375</v>
      </c>
    </row>
    <row r="6688" spans="1:13">
      <c r="A6688" s="6">
        <v>2025</v>
      </c>
      <c r="B6688" s="6">
        <v>10</v>
      </c>
      <c r="C6688" s="6" t="s">
        <v>68</v>
      </c>
      <c r="D6688" s="6" t="s">
        <v>762</v>
      </c>
      <c r="E6688" s="6" t="s">
        <v>763</v>
      </c>
      <c r="F6688" s="6" t="str">
        <f>IF($M6688="PADD I","PADD 1",IF($M6688="PADD II","PADD 2",IF($M6688="PADD III","PADD 3",IF($M6688="PADD IV","PADD 4",IF($M6688="PADD V","PADD 5","")))))</f>
        <v>PADD 2</v>
      </c>
      <c r="G6688" s="6" t="str">
        <f>IF(AND($H6688="ATMOS DISTILLATION",ISNUMBER(SEARCH("VPS",$I6688))=FALSE,LEFT($I6688,6)&lt;&gt;"VACUUM"),"CDU",IF($H6688="FLUID CAT CRACKING","FCC",IF(OR($H6688="HYDROCRACKING",$H6688="RESID_HYDROCRACKING"),"Hydrocracker",IF($H6688="REFORMING","Reformer",""))))</f>
        <v>CDU</v>
      </c>
      <c r="H6688" s="6" t="s">
        <v>38</v>
      </c>
      <c r="I6688" s="6" t="s">
        <v>330</v>
      </c>
      <c r="J6688" s="6" t="s">
        <v>345</v>
      </c>
      <c r="K6688" s="10">
        <v>3.9</v>
      </c>
      <c r="L6688" s="10">
        <v>39</v>
      </c>
      <c r="M6688" s="6" t="s">
        <v>375</v>
      </c>
    </row>
    <row r="6689" spans="1:13">
      <c r="A6689" s="6">
        <v>2025</v>
      </c>
      <c r="B6689" s="6">
        <v>10</v>
      </c>
      <c r="C6689" s="6" t="s">
        <v>68</v>
      </c>
      <c r="D6689" s="6" t="s">
        <v>662</v>
      </c>
      <c r="E6689" s="6" t="s">
        <v>552</v>
      </c>
      <c r="F6689" s="6" t="str">
        <f>IF($M6689="PADD I","PADD 1",IF($M6689="PADD II","PADD 2",IF($M6689="PADD III","PADD 3",IF($M6689="PADD IV","PADD 4",IF($M6689="PADD V","PADD 5","")))))</f>
        <v>PADD 3</v>
      </c>
      <c r="G6689" s="6">
        <f>IF(AND($H6689="ATMOS DISTILLATION",ISNUMBER(SEARCH("VPS",$I6689))=FALSE,LEFT($I6689,6)&lt;&gt;"VACUUM"),"CDU",IF($H6689="FLUID CAT CRACKING","FCC",IF(OR($H6689="HYDROCRACKING",$H6689="RESID_HYDROCRACKING"),"Hydrocracker",IF($H6689="REFORMING","Reformer",""))))</f>
        <v/>
      </c>
      <c r="H6689" s="6" t="s">
        <v>43</v>
      </c>
      <c r="I6689" s="6" t="s">
        <v>828</v>
      </c>
      <c r="J6689" s="6" t="s">
        <v>349</v>
      </c>
      <c r="K6689" s="10">
        <v>3.84</v>
      </c>
      <c r="L6689" s="10">
        <v>12</v>
      </c>
      <c r="M6689" s="6" t="s">
        <v>371</v>
      </c>
    </row>
    <row r="6690" spans="1:13">
      <c r="A6690" s="6">
        <v>2025</v>
      </c>
      <c r="B6690" s="6">
        <v>10</v>
      </c>
      <c r="C6690" s="6" t="s">
        <v>68</v>
      </c>
      <c r="D6690" s="6" t="s">
        <v>51</v>
      </c>
      <c r="E6690" s="6" t="s">
        <v>391</v>
      </c>
      <c r="F6690" s="6" t="str">
        <f>IF($M6690="PADD I","PADD 1",IF($M6690="PADD II","PADD 2",IF($M6690="PADD III","PADD 3",IF($M6690="PADD IV","PADD 4",IF($M6690="PADD V","PADD 5","")))))</f>
        <v>PADD 5</v>
      </c>
      <c r="G6690" s="6">
        <f>IF(AND($H6690="ATMOS DISTILLATION",ISNUMBER(SEARCH("VPS",$I6690))=FALSE,LEFT($I6690,6)&lt;&gt;"VACUUM"),"CDU",IF($H6690="FLUID CAT CRACKING","FCC",IF(OR($H6690="HYDROCRACKING",$H6690="RESID_HYDROCRACKING"),"Hydrocracker",IF($H6690="REFORMING","Reformer",""))))</f>
        <v/>
      </c>
      <c r="H6690" s="6" t="s">
        <v>43</v>
      </c>
      <c r="I6690" s="6" t="s">
        <v>859</v>
      </c>
      <c r="J6690" s="6" t="s">
        <v>345</v>
      </c>
      <c r="K6690" s="10">
        <v>3.828</v>
      </c>
      <c r="L6690" s="10">
        <v>13.2</v>
      </c>
      <c r="M6690" s="6" t="s">
        <v>386</v>
      </c>
    </row>
    <row r="6691" spans="1:13">
      <c r="A6691" s="6">
        <v>2025</v>
      </c>
      <c r="B6691" s="6">
        <v>10</v>
      </c>
      <c r="C6691" s="6" t="s">
        <v>68</v>
      </c>
      <c r="D6691" s="6" t="s">
        <v>451</v>
      </c>
      <c r="E6691" s="6" t="s">
        <v>452</v>
      </c>
      <c r="F6691" s="6" t="str">
        <f>IF($M6691="PADD I","PADD 1",IF($M6691="PADD II","PADD 2",IF($M6691="PADD III","PADD 3",IF($M6691="PADD IV","PADD 4",IF($M6691="PADD V","PADD 5","")))))</f>
        <v>PADD 2</v>
      </c>
      <c r="G6691" s="6" t="str">
        <f>IF(AND($H6691="ATMOS DISTILLATION",ISNUMBER(SEARCH("VPS",$I6691))=FALSE,LEFT($I6691,6)&lt;&gt;"VACUUM"),"CDU",IF($H6691="FLUID CAT CRACKING","FCC",IF(OR($H6691="HYDROCRACKING",$H6691="RESID_HYDROCRACKING"),"Hydrocracker",IF($H6691="REFORMING","Reformer",""))))</f>
        <v>FCC</v>
      </c>
      <c r="H6691" s="6" t="s">
        <v>376</v>
      </c>
      <c r="I6691" s="6" t="s">
        <v>105</v>
      </c>
      <c r="J6691" s="6" t="s">
        <v>345</v>
      </c>
      <c r="K6691" s="10">
        <v>3.77</v>
      </c>
      <c r="L6691" s="10">
        <v>29</v>
      </c>
      <c r="M6691" s="6" t="s">
        <v>375</v>
      </c>
    </row>
    <row r="6692" spans="1:13">
      <c r="A6692" s="6">
        <v>2025</v>
      </c>
      <c r="B6692" s="6">
        <v>10</v>
      </c>
      <c r="C6692" s="6" t="s">
        <v>68</v>
      </c>
      <c r="D6692" s="6" t="s">
        <v>451</v>
      </c>
      <c r="E6692" s="6" t="s">
        <v>452</v>
      </c>
      <c r="F6692" s="6" t="str">
        <f>IF($M6692="PADD I","PADD 1",IF($M6692="PADD II","PADD 2",IF($M6692="PADD III","PADD 3",IF($M6692="PADD IV","PADD 4",IF($M6692="PADD V","PADD 5","")))))</f>
        <v>PADD 2</v>
      </c>
      <c r="G6692" s="6">
        <f>IF(AND($H6692="ATMOS DISTILLATION",ISNUMBER(SEARCH("VPS",$I6692))=FALSE,LEFT($I6692,6)&lt;&gt;"VACUUM"),"CDU",IF($H6692="FLUID CAT CRACKING","FCC",IF(OR($H6692="HYDROCRACKING",$H6692="RESID_HYDROCRACKING"),"Hydrocracker",IF($H6692="REFORMING","Reformer",""))))</f>
        <v/>
      </c>
      <c r="H6692" s="6" t="s">
        <v>43</v>
      </c>
      <c r="I6692" s="6" t="s">
        <v>902</v>
      </c>
      <c r="J6692" s="6" t="s">
        <v>345</v>
      </c>
      <c r="K6692" s="10">
        <v>3.68</v>
      </c>
      <c r="L6692" s="10">
        <v>16</v>
      </c>
      <c r="M6692" s="6" t="s">
        <v>375</v>
      </c>
    </row>
    <row r="6693" spans="1:13">
      <c r="A6693" s="6">
        <v>2025</v>
      </c>
      <c r="B6693" s="6">
        <v>10</v>
      </c>
      <c r="C6693" s="6" t="s">
        <v>68</v>
      </c>
      <c r="D6693" s="6" t="s">
        <v>1130</v>
      </c>
      <c r="E6693" s="6" t="s">
        <v>452</v>
      </c>
      <c r="F6693" s="6" t="str">
        <f>IF($M6693="PADD I","PADD 1",IF($M6693="PADD II","PADD 2",IF($M6693="PADD III","PADD 3",IF($M6693="PADD IV","PADD 4",IF($M6693="PADD V","PADD 5","")))))</f>
        <v>PADD 2</v>
      </c>
      <c r="G6693" s="6">
        <f>IF(AND($H6693="ATMOS DISTILLATION",ISNUMBER(SEARCH("VPS",$I6693))=FALSE,LEFT($I6693,6)&lt;&gt;"VACUUM"),"CDU",IF($H6693="FLUID CAT CRACKING","FCC",IF(OR($H6693="HYDROCRACKING",$H6693="RESID_HYDROCRACKING"),"Hydrocracker",IF($H6693="REFORMING","Reformer",""))))</f>
        <v/>
      </c>
      <c r="H6693" s="6" t="s">
        <v>43</v>
      </c>
      <c r="I6693" s="6" t="s">
        <v>493</v>
      </c>
      <c r="J6693" s="6" t="s">
        <v>345</v>
      </c>
      <c r="K6693" s="10">
        <v>3.565</v>
      </c>
      <c r="L6693" s="10">
        <v>15.5</v>
      </c>
      <c r="M6693" s="6" t="s">
        <v>375</v>
      </c>
    </row>
    <row r="6694" spans="1:13">
      <c r="A6694" s="6">
        <v>2025</v>
      </c>
      <c r="B6694" s="6">
        <v>10</v>
      </c>
      <c r="C6694" s="6" t="s">
        <v>68</v>
      </c>
      <c r="D6694" s="6" t="s">
        <v>662</v>
      </c>
      <c r="E6694" s="6" t="s">
        <v>552</v>
      </c>
      <c r="F6694" s="6" t="str">
        <f>IF($M6694="PADD I","PADD 1",IF($M6694="PADD II","PADD 2",IF($M6694="PADD III","PADD 3",IF($M6694="PADD IV","PADD 4",IF($M6694="PADD V","PADD 5","")))))</f>
        <v>PADD 3</v>
      </c>
      <c r="G6694" s="6">
        <f>IF(AND($H6694="ATMOS DISTILLATION",ISNUMBER(SEARCH("VPS",$I6694))=FALSE,LEFT($I6694,6)&lt;&gt;"VACUUM"),"CDU",IF($H6694="FLUID CAT CRACKING","FCC",IF(OR($H6694="HYDROCRACKING",$H6694="RESID_HYDROCRACKING"),"Hydrocracker",IF($H6694="REFORMING","Reformer",""))))</f>
        <v/>
      </c>
      <c r="H6694" s="6" t="s">
        <v>460</v>
      </c>
      <c r="I6694" s="6" t="s">
        <v>616</v>
      </c>
      <c r="J6694" s="6" t="s">
        <v>345</v>
      </c>
      <c r="K6694" s="10">
        <v>3.55</v>
      </c>
      <c r="L6694" s="10">
        <v>5</v>
      </c>
      <c r="M6694" s="6" t="s">
        <v>371</v>
      </c>
    </row>
    <row r="6695" spans="1:13">
      <c r="A6695" s="6">
        <v>2025</v>
      </c>
      <c r="B6695" s="6">
        <v>10</v>
      </c>
      <c r="C6695" s="6" t="s">
        <v>68</v>
      </c>
      <c r="D6695" s="6" t="s">
        <v>778</v>
      </c>
      <c r="E6695" s="6" t="s">
        <v>779</v>
      </c>
      <c r="F6695" s="6" t="str">
        <f>IF($M6695="PADD I","PADD 1",IF($M6695="PADD II","PADD 2",IF($M6695="PADD III","PADD 3",IF($M6695="PADD IV","PADD 4",IF($M6695="PADD V","PADD 5","")))))</f>
        <v>PADD 3</v>
      </c>
      <c r="G6695" s="6" t="str">
        <f>IF(AND($H6695="ATMOS DISTILLATION",ISNUMBER(SEARCH("VPS",$I6695))=FALSE,LEFT($I6695,6)&lt;&gt;"VACUUM"),"CDU",IF($H6695="FLUID CAT CRACKING","FCC",IF(OR($H6695="HYDROCRACKING",$H6695="RESID_HYDROCRACKING"),"Hydrocracker",IF($H6695="REFORMING","Reformer",""))))</f>
        <v>CDU</v>
      </c>
      <c r="H6695" s="6" t="s">
        <v>38</v>
      </c>
      <c r="I6695" s="6" t="s">
        <v>805</v>
      </c>
      <c r="J6695" s="6" t="s">
        <v>345</v>
      </c>
      <c r="K6695" s="10">
        <v>3.48</v>
      </c>
      <c r="L6695" s="10">
        <v>58</v>
      </c>
      <c r="M6695" s="6" t="s">
        <v>371</v>
      </c>
    </row>
    <row r="6696" spans="1:13">
      <c r="A6696" s="6">
        <v>2025</v>
      </c>
      <c r="B6696" s="6">
        <v>10</v>
      </c>
      <c r="C6696" s="6" t="s">
        <v>68</v>
      </c>
      <c r="D6696" s="6" t="s">
        <v>511</v>
      </c>
      <c r="E6696" s="6" t="s">
        <v>405</v>
      </c>
      <c r="F6696" s="6" t="str">
        <f>IF($M6696="PADD I","PADD 1",IF($M6696="PADD II","PADD 2",IF($M6696="PADD III","PADD 3",IF($M6696="PADD IV","PADD 4",IF($M6696="PADD V","PADD 5","")))))</f>
        <v>PADD 3</v>
      </c>
      <c r="G6696" s="6">
        <f>IF(AND($H6696="ATMOS DISTILLATION",ISNUMBER(SEARCH("VPS",$I6696))=FALSE,LEFT($I6696,6)&lt;&gt;"VACUUM"),"CDU",IF($H6696="FLUID CAT CRACKING","FCC",IF(OR($H6696="HYDROCRACKING",$H6696="RESID_HYDROCRACKING"),"Hydrocracker",IF($H6696="REFORMING","Reformer",""))))</f>
        <v/>
      </c>
      <c r="H6696" s="6" t="s">
        <v>460</v>
      </c>
      <c r="I6696" s="6" t="s">
        <v>461</v>
      </c>
      <c r="J6696" s="6" t="s">
        <v>345</v>
      </c>
      <c r="K6696" s="10">
        <v>3.38</v>
      </c>
      <c r="L6696" s="10">
        <v>13</v>
      </c>
      <c r="M6696" s="6" t="s">
        <v>371</v>
      </c>
    </row>
    <row r="6697" spans="1:13">
      <c r="A6697" s="6">
        <v>2025</v>
      </c>
      <c r="B6697" s="6">
        <v>10</v>
      </c>
      <c r="C6697" s="6" t="s">
        <v>68</v>
      </c>
      <c r="D6697" s="6" t="s">
        <v>500</v>
      </c>
      <c r="E6697" s="6" t="s">
        <v>388</v>
      </c>
      <c r="F6697" s="6" t="str">
        <f>IF($M6697="PADD I","PADD 1",IF($M6697="PADD II","PADD 2",IF($M6697="PADD III","PADD 3",IF($M6697="PADD IV","PADD 4",IF($M6697="PADD V","PADD 5","")))))</f>
        <v>PADD 2</v>
      </c>
      <c r="G6697" s="6">
        <f>IF(AND($H6697="ATMOS DISTILLATION",ISNUMBER(SEARCH("VPS",$I6697))=FALSE,LEFT($I6697,6)&lt;&gt;"VACUUM"),"CDU",IF($H6697="FLUID CAT CRACKING","FCC",IF(OR($H6697="HYDROCRACKING",$H6697="RESID_HYDROCRACKING"),"Hydrocracker",IF($H6697="REFORMING","Reformer",""))))</f>
        <v/>
      </c>
      <c r="H6697" s="6" t="s">
        <v>43</v>
      </c>
      <c r="I6697" s="6" t="s">
        <v>921</v>
      </c>
      <c r="J6697" s="6" t="s">
        <v>345</v>
      </c>
      <c r="K6697" s="10">
        <v>3.2</v>
      </c>
      <c r="L6697" s="10">
        <v>20</v>
      </c>
      <c r="M6697" s="6" t="s">
        <v>375</v>
      </c>
    </row>
    <row r="6698" spans="1:13">
      <c r="A6698" s="6">
        <v>2025</v>
      </c>
      <c r="B6698" s="6">
        <v>10</v>
      </c>
      <c r="C6698" s="6" t="s">
        <v>68</v>
      </c>
      <c r="D6698" s="6" t="s">
        <v>547</v>
      </c>
      <c r="E6698" s="6" t="s">
        <v>391</v>
      </c>
      <c r="F6698" s="6" t="str">
        <f>IF($M6698="PADD I","PADD 1",IF($M6698="PADD II","PADD 2",IF($M6698="PADD III","PADD 3",IF($M6698="PADD IV","PADD 4",IF($M6698="PADD V","PADD 5","")))))</f>
        <v>PADD 5</v>
      </c>
      <c r="G6698" s="6">
        <f>IF(AND($H6698="ATMOS DISTILLATION",ISNUMBER(SEARCH("VPS",$I6698))=FALSE,LEFT($I6698,6)&lt;&gt;"VACUUM"),"CDU",IF($H6698="FLUID CAT CRACKING","FCC",IF(OR($H6698="HYDROCRACKING",$H6698="RESID_HYDROCRACKING"),"Hydrocracker",IF($H6698="REFORMING","Reformer",""))))</f>
        <v/>
      </c>
      <c r="H6698" s="6" t="s">
        <v>460</v>
      </c>
      <c r="I6698" s="6" t="s">
        <v>461</v>
      </c>
      <c r="J6698" s="6" t="s">
        <v>345</v>
      </c>
      <c r="K6698" s="10">
        <v>3.2</v>
      </c>
      <c r="L6698" s="10">
        <v>20</v>
      </c>
      <c r="M6698" s="6" t="s">
        <v>386</v>
      </c>
    </row>
    <row r="6699" spans="1:13">
      <c r="A6699" s="6">
        <v>2025</v>
      </c>
      <c r="B6699" s="6">
        <v>10</v>
      </c>
      <c r="C6699" s="6" t="s">
        <v>68</v>
      </c>
      <c r="D6699" s="6" t="s">
        <v>801</v>
      </c>
      <c r="E6699" s="6" t="s">
        <v>779</v>
      </c>
      <c r="F6699" s="6" t="str">
        <f>IF($M6699="PADD I","PADD 1",IF($M6699="PADD II","PADD 2",IF($M6699="PADD III","PADD 3",IF($M6699="PADD IV","PADD 4",IF($M6699="PADD V","PADD 5","")))))</f>
        <v>PADD 2</v>
      </c>
      <c r="G6699" s="6">
        <f>IF(AND($H6699="ATMOS DISTILLATION",ISNUMBER(SEARCH("VPS",$I6699))=FALSE,LEFT($I6699,6)&lt;&gt;"VACUUM"),"CDU",IF($H6699="FLUID CAT CRACKING","FCC",IF(OR($H6699="HYDROCRACKING",$H6699="RESID_HYDROCRACKING"),"Hydrocracker",IF($H6699="REFORMING","Reformer",""))))</f>
        <v/>
      </c>
      <c r="H6699" s="6" t="s">
        <v>435</v>
      </c>
      <c r="I6699" s="6" t="s">
        <v>802</v>
      </c>
      <c r="J6699" s="6" t="s">
        <v>345</v>
      </c>
      <c r="K6699" s="10">
        <v>3.12</v>
      </c>
      <c r="L6699" s="10">
        <v>24</v>
      </c>
      <c r="M6699" s="6" t="s">
        <v>375</v>
      </c>
    </row>
    <row r="6700" spans="1:13">
      <c r="A6700" s="6">
        <v>2025</v>
      </c>
      <c r="B6700" s="6">
        <v>10</v>
      </c>
      <c r="C6700" s="6" t="s">
        <v>68</v>
      </c>
      <c r="D6700" s="6" t="s">
        <v>662</v>
      </c>
      <c r="E6700" s="6" t="s">
        <v>552</v>
      </c>
      <c r="F6700" s="6" t="str">
        <f>IF($M6700="PADD I","PADD 1",IF($M6700="PADD II","PADD 2",IF($M6700="PADD III","PADD 3",IF($M6700="PADD IV","PADD 4",IF($M6700="PADD V","PADD 5","")))))</f>
        <v>PADD 3</v>
      </c>
      <c r="G6700" s="6">
        <f>IF(AND($H6700="ATMOS DISTILLATION",ISNUMBER(SEARCH("VPS",$I6700))=FALSE,LEFT($I6700,6)&lt;&gt;"VACUUM"),"CDU",IF($H6700="FLUID CAT CRACKING","FCC",IF(OR($H6700="HYDROCRACKING",$H6700="RESID_HYDROCRACKING"),"Hydrocracker",IF($H6700="REFORMING","Reformer",""))))</f>
        <v/>
      </c>
      <c r="H6700" s="6" t="s">
        <v>43</v>
      </c>
      <c r="I6700" s="6" t="s">
        <v>844</v>
      </c>
      <c r="J6700" s="6" t="s">
        <v>349</v>
      </c>
      <c r="K6700" s="10">
        <v>3.05</v>
      </c>
      <c r="L6700" s="10">
        <v>5</v>
      </c>
      <c r="M6700" s="6" t="s">
        <v>371</v>
      </c>
    </row>
    <row r="6701" spans="1:13">
      <c r="A6701" s="6">
        <v>2025</v>
      </c>
      <c r="B6701" s="6">
        <v>10</v>
      </c>
      <c r="C6701" s="6" t="s">
        <v>68</v>
      </c>
      <c r="D6701" s="6" t="s">
        <v>612</v>
      </c>
      <c r="E6701" s="6" t="s">
        <v>416</v>
      </c>
      <c r="F6701" s="6" t="str">
        <f>IF($M6701="PADD I","PADD 1",IF($M6701="PADD II","PADD 2",IF($M6701="PADD III","PADD 3",IF($M6701="PADD IV","PADD 4",IF($M6701="PADD V","PADD 5","")))))</f>
        <v>PADD 3</v>
      </c>
      <c r="G6701" s="6" t="str">
        <f>IF(AND($H6701="ATMOS DISTILLATION",ISNUMBER(SEARCH("VPS",$I6701))=FALSE,LEFT($I6701,6)&lt;&gt;"VACUUM"),"CDU",IF($H6701="FLUID CAT CRACKING","FCC",IF(OR($H6701="HYDROCRACKING",$H6701="RESID_HYDROCRACKING"),"Hydrocracker",IF($H6701="REFORMING","Reformer",""))))</f>
        <v>FCC</v>
      </c>
      <c r="H6701" s="6" t="s">
        <v>376</v>
      </c>
      <c r="I6701" s="6" t="s">
        <v>806</v>
      </c>
      <c r="J6701" s="6" t="s">
        <v>345</v>
      </c>
      <c r="K6701" s="10">
        <v>2.99</v>
      </c>
      <c r="L6701" s="10">
        <v>13</v>
      </c>
      <c r="M6701" s="6" t="s">
        <v>371</v>
      </c>
    </row>
    <row r="6702" spans="1:13">
      <c r="A6702" s="6">
        <v>2025</v>
      </c>
      <c r="B6702" s="6">
        <v>10</v>
      </c>
      <c r="C6702" s="6" t="s">
        <v>68</v>
      </c>
      <c r="D6702" s="6" t="s">
        <v>774</v>
      </c>
      <c r="E6702" s="6" t="s">
        <v>775</v>
      </c>
      <c r="F6702" s="6" t="str">
        <f>IF($M6702="PADD I","PADD 1",IF($M6702="PADD II","PADD 2",IF($M6702="PADD III","PADD 3",IF($M6702="PADD IV","PADD 4",IF($M6702="PADD V","PADD 5","")))))</f>
        <v>PADD 1</v>
      </c>
      <c r="G6702" s="6" t="str">
        <f>IF(AND($H6702="ATMOS DISTILLATION",ISNUMBER(SEARCH("VPS",$I6702))=FALSE,LEFT($I6702,6)&lt;&gt;"VACUUM"),"CDU",IF($H6702="FLUID CAT CRACKING","FCC",IF(OR($H6702="HYDROCRACKING",$H6702="RESID_HYDROCRACKING"),"Hydrocracker",IF($H6702="REFORMING","Reformer",""))))</f>
        <v>Hydrocracker</v>
      </c>
      <c r="H6702" s="6" t="s">
        <v>444</v>
      </c>
      <c r="I6702" s="6" t="s">
        <v>14</v>
      </c>
      <c r="J6702" s="6" t="s">
        <v>345</v>
      </c>
      <c r="K6702" s="10">
        <v>2.88</v>
      </c>
      <c r="L6702" s="10">
        <v>18</v>
      </c>
      <c r="M6702" s="6" t="s">
        <v>413</v>
      </c>
    </row>
    <row r="6703" spans="1:13">
      <c r="A6703" s="6">
        <v>2025</v>
      </c>
      <c r="B6703" s="6">
        <v>10</v>
      </c>
      <c r="C6703" s="6" t="s">
        <v>68</v>
      </c>
      <c r="D6703" s="6" t="s">
        <v>51</v>
      </c>
      <c r="E6703" s="6" t="s">
        <v>391</v>
      </c>
      <c r="F6703" s="6" t="str">
        <f>IF($M6703="PADD I","PADD 1",IF($M6703="PADD II","PADD 2",IF($M6703="PADD III","PADD 3",IF($M6703="PADD IV","PADD 4",IF($M6703="PADD V","PADD 5","")))))</f>
        <v>PADD 5</v>
      </c>
      <c r="G6703" s="6">
        <f>IF(AND($H6703="ATMOS DISTILLATION",ISNUMBER(SEARCH("VPS",$I6703))=FALSE,LEFT($I6703,6)&lt;&gt;"VACUUM"),"CDU",IF($H6703="FLUID CAT CRACKING","FCC",IF(OR($H6703="HYDROCRACKING",$H6703="RESID_HYDROCRACKING"),"Hydrocracker",IF($H6703="REFORMING","Reformer",""))))</f>
        <v/>
      </c>
      <c r="H6703" s="6" t="s">
        <v>43</v>
      </c>
      <c r="I6703" s="6" t="s">
        <v>1207</v>
      </c>
      <c r="J6703" s="6" t="s">
        <v>345</v>
      </c>
      <c r="K6703" s="10">
        <v>2.76</v>
      </c>
      <c r="L6703" s="10">
        <v>12</v>
      </c>
      <c r="M6703" s="6" t="s">
        <v>386</v>
      </c>
    </row>
    <row r="6704" spans="1:13">
      <c r="A6704" s="6">
        <v>2025</v>
      </c>
      <c r="B6704" s="6">
        <v>10</v>
      </c>
      <c r="C6704" s="6" t="s">
        <v>68</v>
      </c>
      <c r="D6704" s="6" t="s">
        <v>762</v>
      </c>
      <c r="E6704" s="6" t="s">
        <v>763</v>
      </c>
      <c r="F6704" s="6" t="str">
        <f>IF($M6704="PADD I","PADD 1",IF($M6704="PADD II","PADD 2",IF($M6704="PADD III","PADD 3",IF($M6704="PADD IV","PADD 4",IF($M6704="PADD V","PADD 5","")))))</f>
        <v>PADD 2</v>
      </c>
      <c r="G6704" s="6">
        <f>IF(AND($H6704="ATMOS DISTILLATION",ISNUMBER(SEARCH("VPS",$I6704))=FALSE,LEFT($I6704,6)&lt;&gt;"VACUUM"),"CDU",IF($H6704="FLUID CAT CRACKING","FCC",IF(OR($H6704="HYDROCRACKING",$H6704="RESID_HYDROCRACKING"),"Hydrocracker",IF($H6704="REFORMING","Reformer",""))))</f>
        <v/>
      </c>
      <c r="H6704" s="6" t="s">
        <v>378</v>
      </c>
      <c r="I6704" s="6" t="s">
        <v>812</v>
      </c>
      <c r="J6704" s="6" t="s">
        <v>345</v>
      </c>
      <c r="K6704" s="10">
        <v>2.7</v>
      </c>
      <c r="L6704" s="10">
        <v>27</v>
      </c>
      <c r="M6704" s="6" t="s">
        <v>375</v>
      </c>
    </row>
    <row r="6705" spans="1:13">
      <c r="A6705" s="6">
        <v>2025</v>
      </c>
      <c r="B6705" s="6">
        <v>10</v>
      </c>
      <c r="C6705" s="6" t="s">
        <v>68</v>
      </c>
      <c r="D6705" s="6" t="s">
        <v>646</v>
      </c>
      <c r="E6705" s="6" t="s">
        <v>405</v>
      </c>
      <c r="F6705" s="6" t="str">
        <f>IF($M6705="PADD I","PADD 1",IF($M6705="PADD II","PADD 2",IF($M6705="PADD III","PADD 3",IF($M6705="PADD IV","PADD 4",IF($M6705="PADD V","PADD 5","")))))</f>
        <v>PADD 3</v>
      </c>
      <c r="G6705" s="6">
        <f>IF(AND($H6705="ATMOS DISTILLATION",ISNUMBER(SEARCH("VPS",$I6705))=FALSE,LEFT($I6705,6)&lt;&gt;"VACUUM"),"CDU",IF($H6705="FLUID CAT CRACKING","FCC",IF(OR($H6705="HYDROCRACKING",$H6705="RESID_HYDROCRACKING"),"Hydrocracker",IF($H6705="REFORMING","Reformer",""))))</f>
        <v/>
      </c>
      <c r="H6705" s="6" t="s">
        <v>43</v>
      </c>
      <c r="I6705" s="6" t="s">
        <v>647</v>
      </c>
      <c r="J6705" s="6" t="s">
        <v>345</v>
      </c>
      <c r="K6705" s="10">
        <v>2.7</v>
      </c>
      <c r="L6705" s="10">
        <v>45</v>
      </c>
      <c r="M6705" s="6" t="s">
        <v>371</v>
      </c>
    </row>
    <row r="6706" spans="1:13">
      <c r="A6706" s="6">
        <v>2025</v>
      </c>
      <c r="B6706" s="6">
        <v>10</v>
      </c>
      <c r="C6706" s="6" t="s">
        <v>68</v>
      </c>
      <c r="D6706" s="6" t="s">
        <v>602</v>
      </c>
      <c r="E6706" s="6" t="s">
        <v>369</v>
      </c>
      <c r="F6706" s="6" t="str">
        <f>IF($M6706="PADD I","PADD 1",IF($M6706="PADD II","PADD 2",IF($M6706="PADD III","PADD 3",IF($M6706="PADD IV","PADD 4",IF($M6706="PADD V","PADD 5","")))))</f>
        <v>PADD 2</v>
      </c>
      <c r="G6706" s="6" t="str">
        <f>IF(AND($H6706="ATMOS DISTILLATION",ISNUMBER(SEARCH("VPS",$I6706))=FALSE,LEFT($I6706,6)&lt;&gt;"VACUUM"),"CDU",IF($H6706="FLUID CAT CRACKING","FCC",IF(OR($H6706="HYDROCRACKING",$H6706="RESID_HYDROCRACKING"),"Hydrocracker",IF($H6706="REFORMING","Reformer",""))))</f>
        <v>FCC</v>
      </c>
      <c r="H6706" s="6" t="s">
        <v>376</v>
      </c>
      <c r="I6706" s="6" t="s">
        <v>654</v>
      </c>
      <c r="J6706" s="6" t="s">
        <v>345</v>
      </c>
      <c r="K6706" s="10">
        <v>2.6</v>
      </c>
      <c r="L6706" s="10">
        <v>26</v>
      </c>
      <c r="M6706" s="6" t="s">
        <v>375</v>
      </c>
    </row>
    <row r="6707" spans="1:13">
      <c r="A6707" s="6">
        <v>2025</v>
      </c>
      <c r="B6707" s="6">
        <v>10</v>
      </c>
      <c r="C6707" s="6" t="s">
        <v>68</v>
      </c>
      <c r="D6707" s="6" t="s">
        <v>576</v>
      </c>
      <c r="E6707" s="6" t="s">
        <v>369</v>
      </c>
      <c r="F6707" s="6" t="str">
        <f>IF($M6707="PADD I","PADD 1",IF($M6707="PADD II","PADD 2",IF($M6707="PADD III","PADD 3",IF($M6707="PADD IV","PADD 4",IF($M6707="PADD V","PADD 5","")))))</f>
        <v>PADD 3</v>
      </c>
      <c r="G6707" s="6" t="str">
        <f>IF(AND($H6707="ATMOS DISTILLATION",ISNUMBER(SEARCH("VPS",$I6707))=FALSE,LEFT($I6707,6)&lt;&gt;"VACUUM"),"CDU",IF($H6707="FLUID CAT CRACKING","FCC",IF(OR($H6707="HYDROCRACKING",$H6707="RESID_HYDROCRACKING"),"Hydrocracker",IF($H6707="REFORMING","Reformer",""))))</f>
        <v>CDU</v>
      </c>
      <c r="H6707" s="6" t="s">
        <v>38</v>
      </c>
      <c r="I6707" s="6" t="s">
        <v>1319</v>
      </c>
      <c r="J6707" s="6" t="s">
        <v>345</v>
      </c>
      <c r="K6707" s="10">
        <v>2.49</v>
      </c>
      <c r="L6707" s="10">
        <v>83</v>
      </c>
      <c r="M6707" s="6" t="s">
        <v>371</v>
      </c>
    </row>
    <row r="6708" spans="1:13">
      <c r="A6708" s="6">
        <v>2025</v>
      </c>
      <c r="B6708" s="6">
        <v>10</v>
      </c>
      <c r="C6708" s="6" t="s">
        <v>68</v>
      </c>
      <c r="D6708" s="6" t="s">
        <v>714</v>
      </c>
      <c r="E6708" s="6" t="s">
        <v>405</v>
      </c>
      <c r="F6708" s="6" t="str">
        <f>IF($M6708="PADD I","PADD 1",IF($M6708="PADD II","PADD 2",IF($M6708="PADD III","PADD 3",IF($M6708="PADD IV","PADD 4",IF($M6708="PADD V","PADD 5","")))))</f>
        <v>PADD 3</v>
      </c>
      <c r="G6708" s="6">
        <f>IF(AND($H6708="ATMOS DISTILLATION",ISNUMBER(SEARCH("VPS",$I6708))=FALSE,LEFT($I6708,6)&lt;&gt;"VACUUM"),"CDU",IF($H6708="FLUID CAT CRACKING","FCC",IF(OR($H6708="HYDROCRACKING",$H6708="RESID_HYDROCRACKING"),"Hydrocracker",IF($H6708="REFORMING","Reformer",""))))</f>
        <v/>
      </c>
      <c r="H6708" s="6" t="s">
        <v>460</v>
      </c>
      <c r="I6708" s="6" t="s">
        <v>461</v>
      </c>
      <c r="J6708" s="6" t="s">
        <v>345</v>
      </c>
      <c r="K6708" s="10">
        <v>2.47</v>
      </c>
      <c r="L6708" s="10">
        <v>9.5</v>
      </c>
      <c r="M6708" s="6" t="s">
        <v>371</v>
      </c>
    </row>
    <row r="6709" spans="1:13">
      <c r="A6709" s="6">
        <v>2025</v>
      </c>
      <c r="B6709" s="6">
        <v>10</v>
      </c>
      <c r="C6709" s="6" t="s">
        <v>68</v>
      </c>
      <c r="D6709" s="6" t="s">
        <v>722</v>
      </c>
      <c r="E6709" s="6" t="s">
        <v>452</v>
      </c>
      <c r="F6709" s="6" t="str">
        <f>IF($M6709="PADD I","PADD 1",IF($M6709="PADD II","PADD 2",IF($M6709="PADD III","PADD 3",IF($M6709="PADD IV","PADD 4",IF($M6709="PADD V","PADD 5","")))))</f>
        <v>PADD 4</v>
      </c>
      <c r="G6709" s="6" t="str">
        <f>IF(AND($H6709="ATMOS DISTILLATION",ISNUMBER(SEARCH("VPS",$I6709))=FALSE,LEFT($I6709,6)&lt;&gt;"VACUUM"),"CDU",IF($H6709="FLUID CAT CRACKING","FCC",IF(OR($H6709="HYDROCRACKING",$H6709="RESID_HYDROCRACKING"),"Hydrocracker",IF($H6709="REFORMING","Reformer",""))))</f>
        <v>FCC</v>
      </c>
      <c r="H6709" s="6" t="s">
        <v>376</v>
      </c>
      <c r="I6709" s="6" t="s">
        <v>428</v>
      </c>
      <c r="J6709" s="6" t="s">
        <v>345</v>
      </c>
      <c r="K6709" s="10">
        <v>2.465</v>
      </c>
      <c r="L6709" s="10">
        <v>8.5</v>
      </c>
      <c r="M6709" s="6" t="s">
        <v>430</v>
      </c>
    </row>
    <row r="6710" spans="1:13">
      <c r="A6710" s="6">
        <v>2025</v>
      </c>
      <c r="B6710" s="6">
        <v>10</v>
      </c>
      <c r="C6710" s="6" t="s">
        <v>68</v>
      </c>
      <c r="D6710" s="6" t="s">
        <v>500</v>
      </c>
      <c r="E6710" s="6" t="s">
        <v>388</v>
      </c>
      <c r="F6710" s="6" t="str">
        <f>IF($M6710="PADD I","PADD 1",IF($M6710="PADD II","PADD 2",IF($M6710="PADD III","PADD 3",IF($M6710="PADD IV","PADD 4",IF($M6710="PADD V","PADD 5","")))))</f>
        <v>PADD 2</v>
      </c>
      <c r="G6710" s="6">
        <f>IF(AND($H6710="ATMOS DISTILLATION",ISNUMBER(SEARCH("VPS",$I6710))=FALSE,LEFT($I6710,6)&lt;&gt;"VACUUM"),"CDU",IF($H6710="FLUID CAT CRACKING","FCC",IF(OR($H6710="HYDROCRACKING",$H6710="RESID_HYDROCRACKING"),"Hydrocracker",IF($H6710="REFORMING","Reformer",""))))</f>
        <v/>
      </c>
      <c r="H6710" s="6" t="s">
        <v>43</v>
      </c>
      <c r="I6710" s="6" t="s">
        <v>924</v>
      </c>
      <c r="J6710" s="6" t="s">
        <v>345</v>
      </c>
      <c r="K6710" s="10">
        <v>2.4</v>
      </c>
      <c r="L6710" s="10">
        <v>15</v>
      </c>
      <c r="M6710" s="6" t="s">
        <v>375</v>
      </c>
    </row>
    <row r="6711" spans="1:13">
      <c r="A6711" s="6">
        <v>2025</v>
      </c>
      <c r="B6711" s="6">
        <v>10</v>
      </c>
      <c r="C6711" s="6" t="s">
        <v>68</v>
      </c>
      <c r="D6711" s="6" t="s">
        <v>408</v>
      </c>
      <c r="E6711" s="6" t="s">
        <v>409</v>
      </c>
      <c r="F6711" s="6" t="str">
        <f>IF($M6711="PADD I","PADD 1",IF($M6711="PADD II","PADD 2",IF($M6711="PADD III","PADD 3",IF($M6711="PADD IV","PADD 4",IF($M6711="PADD V","PADD 5","")))))</f>
        <v>PADD 3</v>
      </c>
      <c r="G6711" s="6" t="str">
        <f>IF(AND($H6711="ATMOS DISTILLATION",ISNUMBER(SEARCH("VPS",$I6711))=FALSE,LEFT($I6711,6)&lt;&gt;"VACUUM"),"CDU",IF($H6711="FLUID CAT CRACKING","FCC",IF(OR($H6711="HYDROCRACKING",$H6711="RESID_HYDROCRACKING"),"Hydrocracker",IF($H6711="REFORMING","Reformer",""))))</f>
        <v>CDU</v>
      </c>
      <c r="H6711" s="6" t="s">
        <v>38</v>
      </c>
      <c r="I6711" s="6" t="s">
        <v>410</v>
      </c>
      <c r="J6711" s="6" t="s">
        <v>345</v>
      </c>
      <c r="K6711" s="10">
        <v>2.4</v>
      </c>
      <c r="L6711" s="10">
        <v>80</v>
      </c>
      <c r="M6711" s="6" t="s">
        <v>371</v>
      </c>
    </row>
    <row r="6712" spans="1:13">
      <c r="A6712" s="6">
        <v>2025</v>
      </c>
      <c r="B6712" s="6">
        <v>10</v>
      </c>
      <c r="C6712" s="6" t="s">
        <v>68</v>
      </c>
      <c r="D6712" s="6" t="s">
        <v>801</v>
      </c>
      <c r="E6712" s="6" t="s">
        <v>779</v>
      </c>
      <c r="F6712" s="6" t="str">
        <f>IF($M6712="PADD I","PADD 1",IF($M6712="PADD II","PADD 2",IF($M6712="PADD III","PADD 3",IF($M6712="PADD IV","PADD 4",IF($M6712="PADD V","PADD 5","")))))</f>
        <v>PADD 2</v>
      </c>
      <c r="G6712" s="6">
        <f>IF(AND($H6712="ATMOS DISTILLATION",ISNUMBER(SEARCH("VPS",$I6712))=FALSE,LEFT($I6712,6)&lt;&gt;"VACUUM"),"CDU",IF($H6712="FLUID CAT CRACKING","FCC",IF(OR($H6712="HYDROCRACKING",$H6712="RESID_HYDROCRACKING"),"Hydrocracker",IF($H6712="REFORMING","Reformer",""))))</f>
        <v/>
      </c>
      <c r="H6712" s="6" t="s">
        <v>435</v>
      </c>
      <c r="I6712" s="6" t="s">
        <v>894</v>
      </c>
      <c r="J6712" s="6" t="s">
        <v>345</v>
      </c>
      <c r="K6712" s="10">
        <v>2.4</v>
      </c>
      <c r="L6712" s="10">
        <v>24</v>
      </c>
      <c r="M6712" s="6" t="s">
        <v>375</v>
      </c>
    </row>
    <row r="6713" spans="1:13">
      <c r="A6713" s="6">
        <v>2025</v>
      </c>
      <c r="B6713" s="6">
        <v>10</v>
      </c>
      <c r="C6713" s="6" t="s">
        <v>68</v>
      </c>
      <c r="D6713" s="6" t="s">
        <v>321</v>
      </c>
      <c r="E6713" s="6" t="s">
        <v>381</v>
      </c>
      <c r="F6713" s="6" t="str">
        <f>IF($M6713="PADD I","PADD 1",IF($M6713="PADD II","PADD 2",IF($M6713="PADD III","PADD 3",IF($M6713="PADD IV","PADD 4",IF($M6713="PADD V","PADD 5","")))))</f>
        <v>PADD 2</v>
      </c>
      <c r="G6713" s="6">
        <f>IF(AND($H6713="ATMOS DISTILLATION",ISNUMBER(SEARCH("VPS",$I6713))=FALSE,LEFT($I6713,6)&lt;&gt;"VACUUM"),"CDU",IF($H6713="FLUID CAT CRACKING","FCC",IF(OR($H6713="HYDROCRACKING",$H6713="RESID_HYDROCRACKING"),"Hydrocracker",IF($H6713="REFORMING","Reformer",""))))</f>
        <v/>
      </c>
      <c r="H6713" s="6" t="s">
        <v>460</v>
      </c>
      <c r="I6713" s="6" t="s">
        <v>616</v>
      </c>
      <c r="J6713" s="6" t="s">
        <v>345</v>
      </c>
      <c r="K6713" s="10">
        <v>2.261</v>
      </c>
      <c r="L6713" s="10">
        <v>11.9</v>
      </c>
      <c r="M6713" s="6" t="s">
        <v>375</v>
      </c>
    </row>
    <row r="6714" spans="1:13">
      <c r="A6714" s="6">
        <v>2025</v>
      </c>
      <c r="B6714" s="6">
        <v>10</v>
      </c>
      <c r="C6714" s="6" t="s">
        <v>68</v>
      </c>
      <c r="D6714" s="6" t="s">
        <v>500</v>
      </c>
      <c r="E6714" s="6" t="s">
        <v>388</v>
      </c>
      <c r="F6714" s="6" t="str">
        <f>IF($M6714="PADD I","PADD 1",IF($M6714="PADD II","PADD 2",IF($M6714="PADD III","PADD 3",IF($M6714="PADD IV","PADD 4",IF($M6714="PADD V","PADD 5","")))))</f>
        <v>PADD 2</v>
      </c>
      <c r="G6714" s="6">
        <f>IF(AND($H6714="ATMOS DISTILLATION",ISNUMBER(SEARCH("VPS",$I6714))=FALSE,LEFT($I6714,6)&lt;&gt;"VACUUM"),"CDU",IF($H6714="FLUID CAT CRACKING","FCC",IF(OR($H6714="HYDROCRACKING",$H6714="RESID_HYDROCRACKING"),"Hydrocracker",IF($H6714="REFORMING","Reformer",""))))</f>
        <v/>
      </c>
      <c r="H6714" s="6" t="s">
        <v>523</v>
      </c>
      <c r="I6714" s="6" t="s">
        <v>524</v>
      </c>
      <c r="J6714" s="6" t="s">
        <v>345</v>
      </c>
      <c r="K6714" s="10">
        <v>2.256</v>
      </c>
      <c r="L6714" s="10">
        <v>14.1</v>
      </c>
      <c r="M6714" s="6" t="s">
        <v>375</v>
      </c>
    </row>
    <row r="6715" spans="1:13">
      <c r="A6715" s="6">
        <v>2025</v>
      </c>
      <c r="B6715" s="6">
        <v>10</v>
      </c>
      <c r="C6715" s="6" t="s">
        <v>68</v>
      </c>
      <c r="D6715" s="6" t="s">
        <v>778</v>
      </c>
      <c r="E6715" s="6" t="s">
        <v>779</v>
      </c>
      <c r="F6715" s="6" t="str">
        <f>IF($M6715="PADD I","PADD 1",IF($M6715="PADD II","PADD 2",IF($M6715="PADD III","PADD 3",IF($M6715="PADD IV","PADD 4",IF($M6715="PADD V","PADD 5","")))))</f>
        <v>PADD 3</v>
      </c>
      <c r="G6715" s="6" t="str">
        <f>IF(AND($H6715="ATMOS DISTILLATION",ISNUMBER(SEARCH("VPS",$I6715))=FALSE,LEFT($I6715,6)&lt;&gt;"VACUUM"),"CDU",IF($H6715="FLUID CAT CRACKING","FCC",IF(OR($H6715="HYDROCRACKING",$H6715="RESID_HYDROCRACKING"),"Hydrocracker",IF($H6715="REFORMING","Reformer",""))))</f>
        <v>CDU</v>
      </c>
      <c r="H6715" s="6" t="s">
        <v>38</v>
      </c>
      <c r="I6715" s="6" t="s">
        <v>805</v>
      </c>
      <c r="J6715" s="6" t="s">
        <v>345</v>
      </c>
      <c r="K6715" s="10">
        <v>2.25</v>
      </c>
      <c r="L6715" s="10">
        <v>75</v>
      </c>
      <c r="M6715" s="6" t="s">
        <v>371</v>
      </c>
    </row>
    <row r="6716" spans="1:13">
      <c r="A6716" s="6">
        <v>2025</v>
      </c>
      <c r="B6716" s="6">
        <v>10</v>
      </c>
      <c r="C6716" s="6" t="s">
        <v>68</v>
      </c>
      <c r="D6716" s="6" t="s">
        <v>785</v>
      </c>
      <c r="E6716" s="6" t="s">
        <v>779</v>
      </c>
      <c r="F6716" s="6" t="str">
        <f>IF($M6716="PADD I","PADD 1",IF($M6716="PADD II","PADD 2",IF($M6716="PADD III","PADD 3",IF($M6716="PADD IV","PADD 4",IF($M6716="PADD V","PADD 5","")))))</f>
        <v>PADD 2</v>
      </c>
      <c r="G6716" s="6">
        <f>IF(AND($H6716="ATMOS DISTILLATION",ISNUMBER(SEARCH("VPS",$I6716))=FALSE,LEFT($I6716,6)&lt;&gt;"VACUUM"),"CDU",IF($H6716="FLUID CAT CRACKING","FCC",IF(OR($H6716="HYDROCRACKING",$H6716="RESID_HYDROCRACKING"),"Hydrocracker",IF($H6716="REFORMING","Reformer",""))))</f>
        <v/>
      </c>
      <c r="H6716" s="6" t="s">
        <v>378</v>
      </c>
      <c r="I6716" s="6" t="s">
        <v>786</v>
      </c>
      <c r="J6716" s="6" t="s">
        <v>345</v>
      </c>
      <c r="K6716" s="10">
        <v>2.22</v>
      </c>
      <c r="L6716" s="10">
        <v>37</v>
      </c>
      <c r="M6716" s="6" t="s">
        <v>375</v>
      </c>
    </row>
    <row r="6717" spans="1:13">
      <c r="A6717" s="6">
        <v>2025</v>
      </c>
      <c r="B6717" s="6">
        <v>10</v>
      </c>
      <c r="C6717" s="6" t="s">
        <v>68</v>
      </c>
      <c r="D6717" s="6" t="s">
        <v>542</v>
      </c>
      <c r="E6717" s="6" t="s">
        <v>543</v>
      </c>
      <c r="F6717" s="6" t="str">
        <f>IF($M6717="PADD I","PADD 1",IF($M6717="PADD II","PADD 2",IF($M6717="PADD III","PADD 3",IF($M6717="PADD IV","PADD 4",IF($M6717="PADD V","PADD 5","")))))</f>
        <v>PADD 2</v>
      </c>
      <c r="G6717" s="6">
        <f>IF(AND($H6717="ATMOS DISTILLATION",ISNUMBER(SEARCH("VPS",$I6717))=FALSE,LEFT($I6717,6)&lt;&gt;"VACUUM"),"CDU",IF($H6717="FLUID CAT CRACKING","FCC",IF(OR($H6717="HYDROCRACKING",$H6717="RESID_HYDROCRACKING"),"Hydrocracker",IF($H6717="REFORMING","Reformer",""))))</f>
        <v/>
      </c>
      <c r="H6717" s="6" t="s">
        <v>43</v>
      </c>
      <c r="I6717" s="6" t="s">
        <v>759</v>
      </c>
      <c r="J6717" s="6" t="s">
        <v>345</v>
      </c>
      <c r="K6717" s="10">
        <v>2.1</v>
      </c>
      <c r="L6717" s="10">
        <v>70</v>
      </c>
      <c r="M6717" s="6" t="s">
        <v>375</v>
      </c>
    </row>
    <row r="6718" spans="1:13">
      <c r="A6718" s="6">
        <v>2025</v>
      </c>
      <c r="B6718" s="6">
        <v>10</v>
      </c>
      <c r="C6718" s="6" t="s">
        <v>68</v>
      </c>
      <c r="D6718" s="6" t="s">
        <v>387</v>
      </c>
      <c r="E6718" s="6" t="s">
        <v>388</v>
      </c>
      <c r="F6718" s="6" t="str">
        <f>IF($M6718="PADD I","PADD 1",IF($M6718="PADD II","PADD 2",IF($M6718="PADD III","PADD 3",IF($M6718="PADD IV","PADD 4",IF($M6718="PADD V","PADD 5","")))))</f>
        <v>PADD 3</v>
      </c>
      <c r="G6718" s="6" t="str">
        <f>IF(AND($H6718="ATMOS DISTILLATION",ISNUMBER(SEARCH("VPS",$I6718))=FALSE,LEFT($I6718,6)&lt;&gt;"VACUUM"),"CDU",IF($H6718="FLUID CAT CRACKING","FCC",IF(OR($H6718="HYDROCRACKING",$H6718="RESID_HYDROCRACKING"),"Hydrocracker",IF($H6718="REFORMING","Reformer",""))))</f>
        <v>Hydrocracker</v>
      </c>
      <c r="H6718" s="6" t="s">
        <v>444</v>
      </c>
      <c r="I6718" s="6" t="s">
        <v>476</v>
      </c>
      <c r="J6718" s="6" t="s">
        <v>345</v>
      </c>
      <c r="K6718" s="10">
        <v>2.1</v>
      </c>
      <c r="L6718" s="10">
        <v>70</v>
      </c>
      <c r="M6718" s="6" t="s">
        <v>371</v>
      </c>
    </row>
    <row r="6719" spans="1:13">
      <c r="A6719" s="6">
        <v>2025</v>
      </c>
      <c r="B6719" s="6">
        <v>10</v>
      </c>
      <c r="C6719" s="6" t="s">
        <v>68</v>
      </c>
      <c r="D6719" s="6" t="s">
        <v>762</v>
      </c>
      <c r="E6719" s="6" t="s">
        <v>763</v>
      </c>
      <c r="F6719" s="6" t="str">
        <f>IF($M6719="PADD I","PADD 1",IF($M6719="PADD II","PADD 2",IF($M6719="PADD III","PADD 3",IF($M6719="PADD IV","PADD 4",IF($M6719="PADD V","PADD 5","")))))</f>
        <v>PADD 2</v>
      </c>
      <c r="G6719" s="6" t="str">
        <f>IF(AND($H6719="ATMOS DISTILLATION",ISNUMBER(SEARCH("VPS",$I6719))=FALSE,LEFT($I6719,6)&lt;&gt;"VACUUM"),"CDU",IF($H6719="FLUID CAT CRACKING","FCC",IF(OR($H6719="HYDROCRACKING",$H6719="RESID_HYDROCRACKING"),"Hydrocracker",IF($H6719="REFORMING","Reformer",""))))</f>
        <v>FCC</v>
      </c>
      <c r="H6719" s="6" t="s">
        <v>376</v>
      </c>
      <c r="I6719" s="6" t="s">
        <v>105</v>
      </c>
      <c r="J6719" s="6" t="s">
        <v>345</v>
      </c>
      <c r="K6719" s="10">
        <v>2.05</v>
      </c>
      <c r="L6719" s="10">
        <v>20.5</v>
      </c>
      <c r="M6719" s="6" t="s">
        <v>375</v>
      </c>
    </row>
    <row r="6720" spans="1:13">
      <c r="A6720" s="6">
        <v>2025</v>
      </c>
      <c r="B6720" s="6">
        <v>10</v>
      </c>
      <c r="C6720" s="6" t="s">
        <v>68</v>
      </c>
      <c r="D6720" s="6" t="s">
        <v>51</v>
      </c>
      <c r="E6720" s="6" t="s">
        <v>391</v>
      </c>
      <c r="F6720" s="6" t="str">
        <f>IF($M6720="PADD I","PADD 1",IF($M6720="PADD II","PADD 2",IF($M6720="PADD III","PADD 3",IF($M6720="PADD IV","PADD 4",IF($M6720="PADD V","PADD 5","")))))</f>
        <v>PADD 5</v>
      </c>
      <c r="G6720" s="6">
        <f>IF(AND($H6720="ATMOS DISTILLATION",ISNUMBER(SEARCH("VPS",$I6720))=FALSE,LEFT($I6720,6)&lt;&gt;"VACUUM"),"CDU",IF($H6720="FLUID CAT CRACKING","FCC",IF(OR($H6720="HYDROCRACKING",$H6720="RESID_HYDROCRACKING"),"Hydrocracker",IF($H6720="REFORMING","Reformer",""))))</f>
        <v/>
      </c>
      <c r="H6720" s="6" t="s">
        <v>43</v>
      </c>
      <c r="I6720" s="6" t="s">
        <v>1337</v>
      </c>
      <c r="J6720" s="6" t="s">
        <v>345</v>
      </c>
      <c r="K6720" s="10">
        <v>2.0097</v>
      </c>
      <c r="L6720" s="10">
        <v>6.93</v>
      </c>
      <c r="M6720" s="6" t="s">
        <v>386</v>
      </c>
    </row>
    <row r="6721" spans="1:13">
      <c r="A6721" s="6">
        <v>2025</v>
      </c>
      <c r="B6721" s="6">
        <v>10</v>
      </c>
      <c r="C6721" s="6" t="s">
        <v>68</v>
      </c>
      <c r="D6721" s="6" t="s">
        <v>1043</v>
      </c>
      <c r="E6721" s="6" t="s">
        <v>388</v>
      </c>
      <c r="F6721" s="6" t="str">
        <f>IF($M6721="PADD I","PADD 1",IF($M6721="PADD II","PADD 2",IF($M6721="PADD III","PADD 3",IF($M6721="PADD IV","PADD 4",IF($M6721="PADD V","PADD 5","")))))</f>
        <v>PADD 2</v>
      </c>
      <c r="G6721" s="6">
        <f>IF(AND($H6721="ATMOS DISTILLATION",ISNUMBER(SEARCH("VPS",$I6721))=FALSE,LEFT($I6721,6)&lt;&gt;"VACUUM"),"CDU",IF($H6721="FLUID CAT CRACKING","FCC",IF(OR($H6721="HYDROCRACKING",$H6721="RESID_HYDROCRACKING"),"Hydrocracker",IF($H6721="REFORMING","Reformer",""))))</f>
        <v/>
      </c>
      <c r="H6721" s="6" t="s">
        <v>43</v>
      </c>
      <c r="I6721" s="6" t="s">
        <v>464</v>
      </c>
      <c r="J6721" s="6" t="s">
        <v>345</v>
      </c>
      <c r="K6721" s="10">
        <v>1.935</v>
      </c>
      <c r="L6721" s="10">
        <v>4.3</v>
      </c>
      <c r="M6721" s="6" t="s">
        <v>375</v>
      </c>
    </row>
    <row r="6722" spans="1:13">
      <c r="A6722" s="6">
        <v>2025</v>
      </c>
      <c r="B6722" s="6">
        <v>10</v>
      </c>
      <c r="C6722" s="6" t="s">
        <v>68</v>
      </c>
      <c r="D6722" s="6" t="s">
        <v>51</v>
      </c>
      <c r="E6722" s="6" t="s">
        <v>391</v>
      </c>
      <c r="F6722" s="6" t="str">
        <f>IF($M6722="PADD I","PADD 1",IF($M6722="PADD II","PADD 2",IF($M6722="PADD III","PADD 3",IF($M6722="PADD IV","PADD 4",IF($M6722="PADD V","PADD 5","")))))</f>
        <v>PADD 5</v>
      </c>
      <c r="G6722" s="6">
        <f>IF(AND($H6722="ATMOS DISTILLATION",ISNUMBER(SEARCH("VPS",$I6722))=FALSE,LEFT($I6722,6)&lt;&gt;"VACUUM"),"CDU",IF($H6722="FLUID CAT CRACKING","FCC",IF(OR($H6722="HYDROCRACKING",$H6722="RESID_HYDROCRACKING"),"Hydrocracker",IF($H6722="REFORMING","Reformer",""))))</f>
        <v/>
      </c>
      <c r="H6722" s="6" t="s">
        <v>43</v>
      </c>
      <c r="I6722" s="6" t="s">
        <v>1338</v>
      </c>
      <c r="J6722" s="6" t="s">
        <v>345</v>
      </c>
      <c r="K6722" s="10">
        <v>1.914</v>
      </c>
      <c r="L6722" s="10">
        <v>6.6</v>
      </c>
      <c r="M6722" s="6" t="s">
        <v>386</v>
      </c>
    </row>
    <row r="6723" spans="1:13">
      <c r="A6723" s="6">
        <v>2025</v>
      </c>
      <c r="B6723" s="6">
        <v>10</v>
      </c>
      <c r="C6723" s="6" t="s">
        <v>68</v>
      </c>
      <c r="D6723" s="6" t="s">
        <v>542</v>
      </c>
      <c r="E6723" s="6" t="s">
        <v>543</v>
      </c>
      <c r="F6723" s="6" t="str">
        <f>IF($M6723="PADD I","PADD 1",IF($M6723="PADD II","PADD 2",IF($M6723="PADD III","PADD 3",IF($M6723="PADD IV","PADD 4",IF($M6723="PADD V","PADD 5","")))))</f>
        <v>PADD 2</v>
      </c>
      <c r="G6723" s="6" t="str">
        <f>IF(AND($H6723="ATMOS DISTILLATION",ISNUMBER(SEARCH("VPS",$I6723))=FALSE,LEFT($I6723,6)&lt;&gt;"VACUUM"),"CDU",IF($H6723="FLUID CAT CRACKING","FCC",IF(OR($H6723="HYDROCRACKING",$H6723="RESID_HYDROCRACKING"),"Hydrocracker",IF($H6723="REFORMING","Reformer",""))))</f>
        <v>Reformer</v>
      </c>
      <c r="H6723" s="6" t="s">
        <v>421</v>
      </c>
      <c r="I6723" s="6" t="s">
        <v>1114</v>
      </c>
      <c r="J6723" s="6" t="s">
        <v>345</v>
      </c>
      <c r="K6723" s="10">
        <v>1.8</v>
      </c>
      <c r="L6723" s="10">
        <v>60</v>
      </c>
      <c r="M6723" s="6" t="s">
        <v>375</v>
      </c>
    </row>
    <row r="6724" spans="1:13">
      <c r="A6724" s="6">
        <v>2025</v>
      </c>
      <c r="B6724" s="6">
        <v>10</v>
      </c>
      <c r="C6724" s="6" t="s">
        <v>68</v>
      </c>
      <c r="D6724" s="6" t="s">
        <v>500</v>
      </c>
      <c r="E6724" s="6" t="s">
        <v>388</v>
      </c>
      <c r="F6724" s="6" t="str">
        <f>IF($M6724="PADD I","PADD 1",IF($M6724="PADD II","PADD 2",IF($M6724="PADD III","PADD 3",IF($M6724="PADD IV","PADD 4",IF($M6724="PADD V","PADD 5","")))))</f>
        <v>PADD 2</v>
      </c>
      <c r="G6724" s="6" t="str">
        <f>IF(AND($H6724="ATMOS DISTILLATION",ISNUMBER(SEARCH("VPS",$I6724))=FALSE,LEFT($I6724,6)&lt;&gt;"VACUUM"),"CDU",IF($H6724="FLUID CAT CRACKING","FCC",IF(OR($H6724="HYDROCRACKING",$H6724="RESID_HYDROCRACKING"),"Hydrocracker",IF($H6724="REFORMING","Reformer",""))))</f>
        <v>FCC</v>
      </c>
      <c r="H6724" s="6" t="s">
        <v>376</v>
      </c>
      <c r="I6724" s="6" t="s">
        <v>105</v>
      </c>
      <c r="J6724" s="6" t="s">
        <v>345</v>
      </c>
      <c r="K6724" s="10">
        <v>1.56</v>
      </c>
      <c r="L6724" s="10">
        <v>26</v>
      </c>
      <c r="M6724" s="6" t="s">
        <v>375</v>
      </c>
    </row>
    <row r="6725" spans="1:13">
      <c r="A6725" s="6">
        <v>2025</v>
      </c>
      <c r="B6725" s="6">
        <v>10</v>
      </c>
      <c r="C6725" s="6" t="s">
        <v>68</v>
      </c>
      <c r="D6725" s="6" t="s">
        <v>408</v>
      </c>
      <c r="E6725" s="6" t="s">
        <v>409</v>
      </c>
      <c r="F6725" s="6" t="str">
        <f>IF($M6725="PADD I","PADD 1",IF($M6725="PADD II","PADD 2",IF($M6725="PADD III","PADD 3",IF($M6725="PADD IV","PADD 4",IF($M6725="PADD V","PADD 5","")))))</f>
        <v>PADD 3</v>
      </c>
      <c r="G6725" s="6">
        <f>IF(AND($H6725="ATMOS DISTILLATION",ISNUMBER(SEARCH("VPS",$I6725))=FALSE,LEFT($I6725,6)&lt;&gt;"VACUUM"),"CDU",IF($H6725="FLUID CAT CRACKING","FCC",IF(OR($H6725="HYDROCRACKING",$H6725="RESID_HYDROCRACKING"),"Hydrocracker",IF($H6725="REFORMING","Reformer",""))))</f>
        <v/>
      </c>
      <c r="H6725" s="6" t="s">
        <v>378</v>
      </c>
      <c r="I6725" s="6" t="s">
        <v>506</v>
      </c>
      <c r="J6725" s="6" t="s">
        <v>345</v>
      </c>
      <c r="K6725" s="10">
        <v>1.56</v>
      </c>
      <c r="L6725" s="10">
        <v>52</v>
      </c>
      <c r="M6725" s="6" t="s">
        <v>371</v>
      </c>
    </row>
    <row r="6726" spans="1:13">
      <c r="A6726" s="6">
        <v>2025</v>
      </c>
      <c r="B6726" s="6">
        <v>10</v>
      </c>
      <c r="C6726" s="6" t="s">
        <v>68</v>
      </c>
      <c r="D6726" s="6" t="s">
        <v>610</v>
      </c>
      <c r="E6726" s="6" t="s">
        <v>611</v>
      </c>
      <c r="F6726" s="6" t="str">
        <f>IF($M6726="PADD I","PADD 1",IF($M6726="PADD II","PADD 2",IF($M6726="PADD III","PADD 3",IF($M6726="PADD IV","PADD 4",IF($M6726="PADD V","PADD 5","")))))</f>
        <v>PADD 2</v>
      </c>
      <c r="G6726" s="6">
        <f>IF(AND($H6726="ATMOS DISTILLATION",ISNUMBER(SEARCH("VPS",$I6726))=FALSE,LEFT($I6726,6)&lt;&gt;"VACUUM"),"CDU",IF($H6726="FLUID CAT CRACKING","FCC",IF(OR($H6726="HYDROCRACKING",$H6726="RESID_HYDROCRACKING"),"Hydrocracker",IF($H6726="REFORMING","Reformer",""))))</f>
        <v/>
      </c>
      <c r="H6726" s="6" t="s">
        <v>435</v>
      </c>
      <c r="I6726" s="6" t="s">
        <v>441</v>
      </c>
      <c r="J6726" s="6" t="s">
        <v>345</v>
      </c>
      <c r="K6726" s="10">
        <v>1.56</v>
      </c>
      <c r="L6726" s="10">
        <v>26</v>
      </c>
      <c r="M6726" s="6" t="s">
        <v>375</v>
      </c>
    </row>
    <row r="6727" spans="1:13">
      <c r="A6727" s="6">
        <v>2025</v>
      </c>
      <c r="B6727" s="6">
        <v>10</v>
      </c>
      <c r="C6727" s="6" t="s">
        <v>68</v>
      </c>
      <c r="D6727" s="6" t="s">
        <v>871</v>
      </c>
      <c r="E6727" s="6" t="s">
        <v>872</v>
      </c>
      <c r="F6727" s="6" t="str">
        <f>IF($M6727="PADD I","PADD 1",IF($M6727="PADD II","PADD 2",IF($M6727="PADD III","PADD 3",IF($M6727="PADD IV","PADD 4",IF($M6727="PADD V","PADD 5","")))))</f>
        <v>PADD 4</v>
      </c>
      <c r="G6727" s="6" t="str">
        <f>IF(AND($H6727="ATMOS DISTILLATION",ISNUMBER(SEARCH("VPS",$I6727))=FALSE,LEFT($I6727,6)&lt;&gt;"VACUUM"),"CDU",IF($H6727="FLUID CAT CRACKING","FCC",IF(OR($H6727="HYDROCRACKING",$H6727="RESID_HYDROCRACKING"),"Hydrocracker",IF($H6727="REFORMING","Reformer",""))))</f>
        <v>CDU</v>
      </c>
      <c r="H6727" s="6" t="s">
        <v>38</v>
      </c>
      <c r="I6727" s="6" t="s">
        <v>81</v>
      </c>
      <c r="J6727" s="6" t="s">
        <v>349</v>
      </c>
      <c r="K6727" s="10">
        <v>1.53</v>
      </c>
      <c r="L6727" s="10">
        <v>3.4</v>
      </c>
      <c r="M6727" s="6" t="s">
        <v>430</v>
      </c>
    </row>
    <row r="6728" spans="1:13">
      <c r="A6728" s="6">
        <v>2025</v>
      </c>
      <c r="B6728" s="6">
        <v>10</v>
      </c>
      <c r="C6728" s="6" t="s">
        <v>68</v>
      </c>
      <c r="D6728" s="6" t="s">
        <v>762</v>
      </c>
      <c r="E6728" s="6" t="s">
        <v>763</v>
      </c>
      <c r="F6728" s="6" t="str">
        <f>IF($M6728="PADD I","PADD 1",IF($M6728="PADD II","PADD 2",IF($M6728="PADD III","PADD 3",IF($M6728="PADD IV","PADD 4",IF($M6728="PADD V","PADD 5","")))))</f>
        <v>PADD 2</v>
      </c>
      <c r="G6728" s="6">
        <f>IF(AND($H6728="ATMOS DISTILLATION",ISNUMBER(SEARCH("VPS",$I6728))=FALSE,LEFT($I6728,6)&lt;&gt;"VACUUM"),"CDU",IF($H6728="FLUID CAT CRACKING","FCC",IF(OR($H6728="HYDROCRACKING",$H6728="RESID_HYDROCRACKING"),"Hydrocracker",IF($H6728="REFORMING","Reformer",""))))</f>
        <v/>
      </c>
      <c r="H6728" s="6" t="s">
        <v>378</v>
      </c>
      <c r="I6728" s="6" t="s">
        <v>812</v>
      </c>
      <c r="J6728" s="6" t="s">
        <v>345</v>
      </c>
      <c r="K6728" s="10">
        <v>1.5</v>
      </c>
      <c r="L6728" s="10">
        <v>15</v>
      </c>
      <c r="M6728" s="6" t="s">
        <v>375</v>
      </c>
    </row>
    <row r="6729" spans="1:13">
      <c r="A6729" s="6">
        <v>2025</v>
      </c>
      <c r="B6729" s="6">
        <v>10</v>
      </c>
      <c r="C6729" s="6" t="s">
        <v>68</v>
      </c>
      <c r="D6729" s="6" t="s">
        <v>801</v>
      </c>
      <c r="E6729" s="6" t="s">
        <v>779</v>
      </c>
      <c r="F6729" s="6" t="str">
        <f>IF($M6729="PADD I","PADD 1",IF($M6729="PADD II","PADD 2",IF($M6729="PADD III","PADD 3",IF($M6729="PADD IV","PADD 4",IF($M6729="PADD V","PADD 5","")))))</f>
        <v>PADD 2</v>
      </c>
      <c r="G6729" s="6">
        <f>IF(AND($H6729="ATMOS DISTILLATION",ISNUMBER(SEARCH("VPS",$I6729))=FALSE,LEFT($I6729,6)&lt;&gt;"VACUUM"),"CDU",IF($H6729="FLUID CAT CRACKING","FCC",IF(OR($H6729="HYDROCRACKING",$H6729="RESID_HYDROCRACKING"),"Hydrocracker",IF($H6729="REFORMING","Reformer",""))))</f>
        <v/>
      </c>
      <c r="H6729" s="6" t="s">
        <v>460</v>
      </c>
      <c r="I6729" s="6" t="s">
        <v>461</v>
      </c>
      <c r="J6729" s="6" t="s">
        <v>349</v>
      </c>
      <c r="K6729" s="10">
        <v>1.38</v>
      </c>
      <c r="L6729" s="10">
        <v>6</v>
      </c>
      <c r="M6729" s="6" t="s">
        <v>375</v>
      </c>
    </row>
    <row r="6730" spans="1:13">
      <c r="A6730" s="6">
        <v>2025</v>
      </c>
      <c r="B6730" s="6">
        <v>10</v>
      </c>
      <c r="C6730" s="6" t="s">
        <v>68</v>
      </c>
      <c r="D6730" s="6" t="s">
        <v>871</v>
      </c>
      <c r="E6730" s="6" t="s">
        <v>872</v>
      </c>
      <c r="F6730" s="6" t="str">
        <f>IF($M6730="PADD I","PADD 1",IF($M6730="PADD II","PADD 2",IF($M6730="PADD III","PADD 3",IF($M6730="PADD IV","PADD 4",IF($M6730="PADD V","PADD 5","")))))</f>
        <v>PADD 4</v>
      </c>
      <c r="G6730" s="6">
        <f>IF(AND($H6730="ATMOS DISTILLATION",ISNUMBER(SEARCH("VPS",$I6730))=FALSE,LEFT($I6730,6)&lt;&gt;"VACUUM"),"CDU",IF($H6730="FLUID CAT CRACKING","FCC",IF(OR($H6730="HYDROCRACKING",$H6730="RESID_HYDROCRACKING"),"Hydrocracker",IF($H6730="REFORMING","Reformer",""))))</f>
        <v/>
      </c>
      <c r="H6730" s="6" t="s">
        <v>43</v>
      </c>
      <c r="I6730" s="6" t="s">
        <v>873</v>
      </c>
      <c r="J6730" s="6" t="s">
        <v>349</v>
      </c>
      <c r="K6730" s="10">
        <v>1.35</v>
      </c>
      <c r="L6730" s="10">
        <v>3</v>
      </c>
      <c r="M6730" s="6" t="s">
        <v>430</v>
      </c>
    </row>
    <row r="6731" spans="1:13">
      <c r="A6731" s="6">
        <v>2025</v>
      </c>
      <c r="B6731" s="6">
        <v>10</v>
      </c>
      <c r="C6731" s="6" t="s">
        <v>68</v>
      </c>
      <c r="D6731" s="6" t="s">
        <v>871</v>
      </c>
      <c r="E6731" s="6" t="s">
        <v>872</v>
      </c>
      <c r="F6731" s="6" t="str">
        <f>IF($M6731="PADD I","PADD 1",IF($M6731="PADD II","PADD 2",IF($M6731="PADD III","PADD 3",IF($M6731="PADD IV","PADD 4",IF($M6731="PADD V","PADD 5","")))))</f>
        <v>PADD 4</v>
      </c>
      <c r="G6731" s="6" t="str">
        <f>IF(AND($H6731="ATMOS DISTILLATION",ISNUMBER(SEARCH("VPS",$I6731))=FALSE,LEFT($I6731,6)&lt;&gt;"VACUUM"),"CDU",IF($H6731="FLUID CAT CRACKING","FCC",IF(OR($H6731="HYDROCRACKING",$H6731="RESID_HYDROCRACKING"),"Hydrocracker",IF($H6731="REFORMING","Reformer",""))))</f>
        <v>Reformer</v>
      </c>
      <c r="H6731" s="6" t="s">
        <v>421</v>
      </c>
      <c r="I6731" s="6" t="s">
        <v>15</v>
      </c>
      <c r="J6731" s="6" t="s">
        <v>349</v>
      </c>
      <c r="K6731" s="10">
        <v>1.35</v>
      </c>
      <c r="L6731" s="10">
        <v>3</v>
      </c>
      <c r="M6731" s="6" t="s">
        <v>430</v>
      </c>
    </row>
    <row r="6732" spans="1:13">
      <c r="A6732" s="6">
        <v>2025</v>
      </c>
      <c r="B6732" s="6">
        <v>10</v>
      </c>
      <c r="C6732" s="6" t="s">
        <v>68</v>
      </c>
      <c r="D6732" s="6" t="s">
        <v>468</v>
      </c>
      <c r="E6732" s="6" t="s">
        <v>369</v>
      </c>
      <c r="F6732" s="6" t="str">
        <f>IF($M6732="PADD I","PADD 1",IF($M6732="PADD II","PADD 2",IF($M6732="PADD III","PADD 3",IF($M6732="PADD IV","PADD 4",IF($M6732="PADD V","PADD 5","")))))</f>
        <v>PADD 3</v>
      </c>
      <c r="G6732" s="6" t="str">
        <f>IF(AND($H6732="ATMOS DISTILLATION",ISNUMBER(SEARCH("VPS",$I6732))=FALSE,LEFT($I6732,6)&lt;&gt;"VACUUM"),"CDU",IF($H6732="FLUID CAT CRACKING","FCC",IF(OR($H6732="HYDROCRACKING",$H6732="RESID_HYDROCRACKING"),"Hydrocracker",IF($H6732="REFORMING","Reformer",""))))</f>
        <v>Reformer</v>
      </c>
      <c r="H6732" s="6" t="s">
        <v>421</v>
      </c>
      <c r="I6732" s="6" t="s">
        <v>635</v>
      </c>
      <c r="J6732" s="6" t="s">
        <v>345</v>
      </c>
      <c r="K6732" s="10">
        <v>1.33</v>
      </c>
      <c r="L6732" s="10">
        <v>7</v>
      </c>
      <c r="M6732" s="6" t="s">
        <v>371</v>
      </c>
    </row>
    <row r="6733" spans="1:13">
      <c r="A6733" s="6">
        <v>2025</v>
      </c>
      <c r="B6733" s="6">
        <v>10</v>
      </c>
      <c r="C6733" s="6" t="s">
        <v>68</v>
      </c>
      <c r="D6733" s="6" t="s">
        <v>462</v>
      </c>
      <c r="E6733" s="6" t="s">
        <v>438</v>
      </c>
      <c r="F6733" s="6" t="str">
        <f>IF($M6733="PADD I","PADD 1",IF($M6733="PADD II","PADD 2",IF($M6733="PADD III","PADD 3",IF($M6733="PADD IV","PADD 4",IF($M6733="PADD V","PADD 5","")))))</f>
        <v>PADD 4</v>
      </c>
      <c r="G6733" s="6">
        <f>IF(AND($H6733="ATMOS DISTILLATION",ISNUMBER(SEARCH("VPS",$I6733))=FALSE,LEFT($I6733,6)&lt;&gt;"VACUUM"),"CDU",IF($H6733="FLUID CAT CRACKING","FCC",IF(OR($H6733="HYDROCRACKING",$H6733="RESID_HYDROCRACKING"),"Hydrocracker",IF($H6733="REFORMING","Reformer",""))))</f>
        <v/>
      </c>
      <c r="H6733" s="6" t="s">
        <v>378</v>
      </c>
      <c r="I6733" s="6" t="s">
        <v>555</v>
      </c>
      <c r="J6733" s="6" t="s">
        <v>345</v>
      </c>
      <c r="K6733" s="10">
        <v>1.3</v>
      </c>
      <c r="L6733" s="10">
        <v>10</v>
      </c>
      <c r="M6733" s="6" t="s">
        <v>430</v>
      </c>
    </row>
    <row r="6734" spans="1:13">
      <c r="A6734" s="6">
        <v>2025</v>
      </c>
      <c r="B6734" s="6">
        <v>10</v>
      </c>
      <c r="C6734" s="6" t="s">
        <v>68</v>
      </c>
      <c r="D6734" s="6" t="s">
        <v>437</v>
      </c>
      <c r="E6734" s="6" t="s">
        <v>438</v>
      </c>
      <c r="F6734" s="6" t="str">
        <f>IF($M6734="PADD I","PADD 1",IF($M6734="PADD II","PADD 2",IF($M6734="PADD III","PADD 3",IF($M6734="PADD IV","PADD 4",IF($M6734="PADD V","PADD 5","")))))</f>
        <v>PADD 4</v>
      </c>
      <c r="G6734" s="6">
        <f>IF(AND($H6734="ATMOS DISTILLATION",ISNUMBER(SEARCH("VPS",$I6734))=FALSE,LEFT($I6734,6)&lt;&gt;"VACUUM"),"CDU",IF($H6734="FLUID CAT CRACKING","FCC",IF(OR($H6734="HYDROCRACKING",$H6734="RESID_HYDROCRACKING"),"Hydrocracker",IF($H6734="REFORMING","Reformer",""))))</f>
        <v/>
      </c>
      <c r="H6734" s="6" t="s">
        <v>43</v>
      </c>
      <c r="I6734" s="6" t="s">
        <v>493</v>
      </c>
      <c r="J6734" s="6" t="s">
        <v>345</v>
      </c>
      <c r="K6734" s="10">
        <v>1.26</v>
      </c>
      <c r="L6734" s="10">
        <v>21</v>
      </c>
      <c r="M6734" s="6" t="s">
        <v>430</v>
      </c>
    </row>
    <row r="6735" spans="1:13">
      <c r="A6735" s="6">
        <v>2025</v>
      </c>
      <c r="B6735" s="6">
        <v>10</v>
      </c>
      <c r="C6735" s="6" t="s">
        <v>68</v>
      </c>
      <c r="D6735" s="6" t="s">
        <v>328</v>
      </c>
      <c r="E6735" s="6" t="s">
        <v>416</v>
      </c>
      <c r="F6735" s="6" t="str">
        <f>IF($M6735="PADD I","PADD 1",IF($M6735="PADD II","PADD 2",IF($M6735="PADD III","PADD 3",IF($M6735="PADD IV","PADD 4",IF($M6735="PADD V","PADD 5","")))))</f>
        <v>PADD 2</v>
      </c>
      <c r="G6735" s="6">
        <f>IF(AND($H6735="ATMOS DISTILLATION",ISNUMBER(SEARCH("VPS",$I6735))=FALSE,LEFT($I6735,6)&lt;&gt;"VACUUM"),"CDU",IF($H6735="FLUID CAT CRACKING","FCC",IF(OR($H6735="HYDROCRACKING",$H6735="RESID_HYDROCRACKING"),"Hydrocracker",IF($H6735="REFORMING","Reformer",""))))</f>
        <v/>
      </c>
      <c r="H6735" s="6" t="s">
        <v>435</v>
      </c>
      <c r="I6735" s="6" t="s">
        <v>1059</v>
      </c>
      <c r="J6735" s="6" t="s">
        <v>349</v>
      </c>
      <c r="K6735" s="10">
        <v>1.254</v>
      </c>
      <c r="L6735" s="10">
        <v>12.54</v>
      </c>
      <c r="M6735" s="6" t="s">
        <v>375</v>
      </c>
    </row>
    <row r="6736" spans="1:13">
      <c r="A6736" s="6">
        <v>2025</v>
      </c>
      <c r="B6736" s="6">
        <v>10</v>
      </c>
      <c r="C6736" s="6" t="s">
        <v>68</v>
      </c>
      <c r="D6736" s="6" t="s">
        <v>500</v>
      </c>
      <c r="E6736" s="6" t="s">
        <v>388</v>
      </c>
      <c r="F6736" s="6" t="str">
        <f>IF($M6736="PADD I","PADD 1",IF($M6736="PADD II","PADD 2",IF($M6736="PADD III","PADD 3",IF($M6736="PADD IV","PADD 4",IF($M6736="PADD V","PADD 5","")))))</f>
        <v>PADD 2</v>
      </c>
      <c r="G6736" s="6">
        <f>IF(AND($H6736="ATMOS DISTILLATION",ISNUMBER(SEARCH("VPS",$I6736))=FALSE,LEFT($I6736,6)&lt;&gt;"VACUUM"),"CDU",IF($H6736="FLUID CAT CRACKING","FCC",IF(OR($H6736="HYDROCRACKING",$H6736="RESID_HYDROCRACKING"),"Hydrocracker",IF($H6736="REFORMING","Reformer",""))))</f>
        <v/>
      </c>
      <c r="H6736" s="6" t="s">
        <v>43</v>
      </c>
      <c r="I6736" s="6" t="s">
        <v>520</v>
      </c>
      <c r="J6736" s="6" t="s">
        <v>345</v>
      </c>
      <c r="K6736" s="10">
        <v>1.2</v>
      </c>
      <c r="L6736" s="10">
        <v>20</v>
      </c>
      <c r="M6736" s="6" t="s">
        <v>375</v>
      </c>
    </row>
    <row r="6737" spans="1:13">
      <c r="A6737" s="6">
        <v>2025</v>
      </c>
      <c r="B6737" s="6">
        <v>10</v>
      </c>
      <c r="C6737" s="6" t="s">
        <v>68</v>
      </c>
      <c r="D6737" s="6" t="s">
        <v>500</v>
      </c>
      <c r="E6737" s="6" t="s">
        <v>388</v>
      </c>
      <c r="F6737" s="6" t="str">
        <f>IF($M6737="PADD I","PADD 1",IF($M6737="PADD II","PADD 2",IF($M6737="PADD III","PADD 3",IF($M6737="PADD IV","PADD 4",IF($M6737="PADD V","PADD 5","")))))</f>
        <v>PADD 2</v>
      </c>
      <c r="G6737" s="6">
        <f>IF(AND($H6737="ATMOS DISTILLATION",ISNUMBER(SEARCH("VPS",$I6737))=FALSE,LEFT($I6737,6)&lt;&gt;"VACUUM"),"CDU",IF($H6737="FLUID CAT CRACKING","FCC",IF(OR($H6737="HYDROCRACKING",$H6737="RESID_HYDROCRACKING"),"Hydrocracker",IF($H6737="REFORMING","Reformer",""))))</f>
        <v/>
      </c>
      <c r="H6737" s="6" t="s">
        <v>43</v>
      </c>
      <c r="I6737" s="6" t="s">
        <v>501</v>
      </c>
      <c r="J6737" s="6" t="s">
        <v>345</v>
      </c>
      <c r="K6737" s="10">
        <v>1.2</v>
      </c>
      <c r="L6737" s="10">
        <v>20</v>
      </c>
      <c r="M6737" s="6" t="s">
        <v>375</v>
      </c>
    </row>
    <row r="6738" spans="1:13">
      <c r="A6738" s="6">
        <v>2025</v>
      </c>
      <c r="B6738" s="6">
        <v>10</v>
      </c>
      <c r="C6738" s="6" t="s">
        <v>68</v>
      </c>
      <c r="D6738" s="6" t="s">
        <v>542</v>
      </c>
      <c r="E6738" s="6" t="s">
        <v>543</v>
      </c>
      <c r="F6738" s="6" t="str">
        <f>IF($M6738="PADD I","PADD 1",IF($M6738="PADD II","PADD 2",IF($M6738="PADD III","PADD 3",IF($M6738="PADD IV","PADD 4",IF($M6738="PADD V","PADD 5","")))))</f>
        <v>PADD 2</v>
      </c>
      <c r="G6738" s="6">
        <f>IF(AND($H6738="ATMOS DISTILLATION",ISNUMBER(SEARCH("VPS",$I6738))=FALSE,LEFT($I6738,6)&lt;&gt;"VACUUM"),"CDU",IF($H6738="FLUID CAT CRACKING","FCC",IF(OR($H6738="HYDROCRACKING",$H6738="RESID_HYDROCRACKING"),"Hydrocracker",IF($H6738="REFORMING","Reformer",""))))</f>
        <v/>
      </c>
      <c r="H6738" s="6" t="s">
        <v>43</v>
      </c>
      <c r="I6738" s="6" t="s">
        <v>915</v>
      </c>
      <c r="J6738" s="6" t="s">
        <v>345</v>
      </c>
      <c r="K6738" s="10">
        <v>1.2</v>
      </c>
      <c r="L6738" s="10">
        <v>40</v>
      </c>
      <c r="M6738" s="6" t="s">
        <v>375</v>
      </c>
    </row>
    <row r="6739" spans="1:13">
      <c r="A6739" s="6">
        <v>2025</v>
      </c>
      <c r="B6739" s="6">
        <v>10</v>
      </c>
      <c r="C6739" s="6" t="s">
        <v>68</v>
      </c>
      <c r="D6739" s="6" t="s">
        <v>630</v>
      </c>
      <c r="E6739" s="6" t="s">
        <v>491</v>
      </c>
      <c r="F6739" s="6" t="str">
        <f>IF($M6739="PADD I","PADD 1",IF($M6739="PADD II","PADD 2",IF($M6739="PADD III","PADD 3",IF($M6739="PADD IV","PADD 4",IF($M6739="PADD V","PADD 5","")))))</f>
        <v>PADD 3</v>
      </c>
      <c r="G6739" s="6">
        <f>IF(AND($H6739="ATMOS DISTILLATION",ISNUMBER(SEARCH("VPS",$I6739))=FALSE,LEFT($I6739,6)&lt;&gt;"VACUUM"),"CDU",IF($H6739="FLUID CAT CRACKING","FCC",IF(OR($H6739="HYDROCRACKING",$H6739="RESID_HYDROCRACKING"),"Hydrocracker",IF($H6739="REFORMING","Reformer",""))))</f>
        <v/>
      </c>
      <c r="H6739" s="6" t="s">
        <v>43</v>
      </c>
      <c r="I6739" s="6" t="s">
        <v>464</v>
      </c>
      <c r="J6739" s="6" t="s">
        <v>345</v>
      </c>
      <c r="K6739" s="10">
        <v>1.2</v>
      </c>
      <c r="L6739" s="10">
        <v>12</v>
      </c>
      <c r="M6739" s="6" t="s">
        <v>371</v>
      </c>
    </row>
    <row r="6740" spans="1:13">
      <c r="A6740" s="6">
        <v>2025</v>
      </c>
      <c r="B6740" s="6">
        <v>10</v>
      </c>
      <c r="C6740" s="6" t="s">
        <v>68</v>
      </c>
      <c r="D6740" s="6" t="s">
        <v>51</v>
      </c>
      <c r="E6740" s="6" t="s">
        <v>391</v>
      </c>
      <c r="F6740" s="6" t="str">
        <f>IF($M6740="PADD I","PADD 1",IF($M6740="PADD II","PADD 2",IF($M6740="PADD III","PADD 3",IF($M6740="PADD IV","PADD 4",IF($M6740="PADD V","PADD 5","")))))</f>
        <v>PADD 5</v>
      </c>
      <c r="G6740" s="6">
        <f>IF(AND($H6740="ATMOS DISTILLATION",ISNUMBER(SEARCH("VPS",$I6740))=FALSE,LEFT($I6740,6)&lt;&gt;"VACUUM"),"CDU",IF($H6740="FLUID CAT CRACKING","FCC",IF(OR($H6740="HYDROCRACKING",$H6740="RESID_HYDROCRACKING"),"Hydrocracker",IF($H6740="REFORMING","Reformer",""))))</f>
        <v/>
      </c>
      <c r="H6740" s="6" t="s">
        <v>43</v>
      </c>
      <c r="I6740" s="6" t="s">
        <v>1207</v>
      </c>
      <c r="J6740" s="6" t="s">
        <v>345</v>
      </c>
      <c r="K6740" s="10">
        <v>1.1484</v>
      </c>
      <c r="L6740" s="10">
        <v>3.96</v>
      </c>
      <c r="M6740" s="6" t="s">
        <v>386</v>
      </c>
    </row>
    <row r="6741" spans="1:13">
      <c r="A6741" s="6">
        <v>2025</v>
      </c>
      <c r="B6741" s="6">
        <v>10</v>
      </c>
      <c r="C6741" s="6" t="s">
        <v>68</v>
      </c>
      <c r="D6741" s="6" t="s">
        <v>500</v>
      </c>
      <c r="E6741" s="6" t="s">
        <v>388</v>
      </c>
      <c r="F6741" s="6" t="str">
        <f>IF($M6741="PADD I","PADD 1",IF($M6741="PADD II","PADD 2",IF($M6741="PADD III","PADD 3",IF($M6741="PADD IV","PADD 4",IF($M6741="PADD V","PADD 5","")))))</f>
        <v>PADD 2</v>
      </c>
      <c r="G6741" s="6" t="str">
        <f>IF(AND($H6741="ATMOS DISTILLATION",ISNUMBER(SEARCH("VPS",$I6741))=FALSE,LEFT($I6741,6)&lt;&gt;"VACUUM"),"CDU",IF($H6741="FLUID CAT CRACKING","FCC",IF(OR($H6741="HYDROCRACKING",$H6741="RESID_HYDROCRACKING"),"Hydrocracker",IF($H6741="REFORMING","Reformer",""))))</f>
        <v>Reformer</v>
      </c>
      <c r="H6741" s="6" t="s">
        <v>421</v>
      </c>
      <c r="I6741" s="6" t="s">
        <v>539</v>
      </c>
      <c r="J6741" s="6" t="s">
        <v>345</v>
      </c>
      <c r="K6741" s="10">
        <v>1.14</v>
      </c>
      <c r="L6741" s="10">
        <v>19</v>
      </c>
      <c r="M6741" s="6" t="s">
        <v>375</v>
      </c>
    </row>
    <row r="6742" spans="1:13">
      <c r="A6742" s="6">
        <v>2025</v>
      </c>
      <c r="B6742" s="6">
        <v>10</v>
      </c>
      <c r="C6742" s="6" t="s">
        <v>68</v>
      </c>
      <c r="D6742" s="6" t="s">
        <v>542</v>
      </c>
      <c r="E6742" s="6" t="s">
        <v>543</v>
      </c>
      <c r="F6742" s="6" t="str">
        <f>IF($M6742="PADD I","PADD 1",IF($M6742="PADD II","PADD 2",IF($M6742="PADD III","PADD 3",IF($M6742="PADD IV","PADD 4",IF($M6742="PADD V","PADD 5","")))))</f>
        <v>PADD 2</v>
      </c>
      <c r="G6742" s="6">
        <f>IF(AND($H6742="ATMOS DISTILLATION",ISNUMBER(SEARCH("VPS",$I6742))=FALSE,LEFT($I6742,6)&lt;&gt;"VACUUM"),"CDU",IF($H6742="FLUID CAT CRACKING","FCC",IF(OR($H6742="HYDROCRACKING",$H6742="RESID_HYDROCRACKING"),"Hydrocracker",IF($H6742="REFORMING","Reformer",""))))</f>
        <v/>
      </c>
      <c r="H6742" s="6" t="s">
        <v>43</v>
      </c>
      <c r="I6742" s="6" t="s">
        <v>1006</v>
      </c>
      <c r="J6742" s="6" t="s">
        <v>345</v>
      </c>
      <c r="K6742" s="10">
        <v>1.08</v>
      </c>
      <c r="L6742" s="10">
        <v>36</v>
      </c>
      <c r="M6742" s="6" t="s">
        <v>375</v>
      </c>
    </row>
    <row r="6743" spans="1:13">
      <c r="A6743" s="6">
        <v>2025</v>
      </c>
      <c r="B6743" s="6">
        <v>10</v>
      </c>
      <c r="C6743" s="6" t="s">
        <v>68</v>
      </c>
      <c r="D6743" s="6" t="s">
        <v>799</v>
      </c>
      <c r="E6743" s="6" t="s">
        <v>391</v>
      </c>
      <c r="F6743" s="6" t="str">
        <f>IF($M6743="PADD I","PADD 1",IF($M6743="PADD II","PADD 2",IF($M6743="PADD III","PADD 3",IF($M6743="PADD IV","PADD 4",IF($M6743="PADD V","PADD 5","")))))</f>
        <v>PADD 4</v>
      </c>
      <c r="G6743" s="6">
        <f>IF(AND($H6743="ATMOS DISTILLATION",ISNUMBER(SEARCH("VPS",$I6743))=FALSE,LEFT($I6743,6)&lt;&gt;"VACUUM"),"CDU",IF($H6743="FLUID CAT CRACKING","FCC",IF(OR($H6743="HYDROCRACKING",$H6743="RESID_HYDROCRACKING"),"Hydrocracker",IF($H6743="REFORMING","Reformer",""))))</f>
        <v/>
      </c>
      <c r="H6743" s="6" t="s">
        <v>435</v>
      </c>
      <c r="I6743" s="6" t="s">
        <v>1188</v>
      </c>
      <c r="J6743" s="6" t="s">
        <v>345</v>
      </c>
      <c r="K6743" s="10">
        <v>1</v>
      </c>
      <c r="L6743" s="10">
        <v>10</v>
      </c>
      <c r="M6743" s="6" t="s">
        <v>430</v>
      </c>
    </row>
    <row r="6744" spans="1:13">
      <c r="A6744" s="6">
        <v>2025</v>
      </c>
      <c r="B6744" s="6">
        <v>10</v>
      </c>
      <c r="C6744" s="6" t="s">
        <v>68</v>
      </c>
      <c r="D6744" s="6" t="s">
        <v>500</v>
      </c>
      <c r="E6744" s="6" t="s">
        <v>388</v>
      </c>
      <c r="F6744" s="6" t="str">
        <f>IF($M6744="PADD I","PADD 1",IF($M6744="PADD II","PADD 2",IF($M6744="PADD III","PADD 3",IF($M6744="PADD IV","PADD 4",IF($M6744="PADD V","PADD 5","")))))</f>
        <v>PADD 2</v>
      </c>
      <c r="G6744" s="6">
        <f>IF(AND($H6744="ATMOS DISTILLATION",ISNUMBER(SEARCH("VPS",$I6744))=FALSE,LEFT($I6744,6)&lt;&gt;"VACUUM"),"CDU",IF($H6744="FLUID CAT CRACKING","FCC",IF(OR($H6744="HYDROCRACKING",$H6744="RESID_HYDROCRACKING"),"Hydrocracker",IF($H6744="REFORMING","Reformer",""))))</f>
        <v/>
      </c>
      <c r="H6744" s="6" t="s">
        <v>460</v>
      </c>
      <c r="I6744" s="6" t="s">
        <v>616</v>
      </c>
      <c r="J6744" s="6" t="s">
        <v>345</v>
      </c>
      <c r="K6744" s="10">
        <v>0.96</v>
      </c>
      <c r="L6744" s="10">
        <v>6</v>
      </c>
      <c r="M6744" s="6" t="s">
        <v>375</v>
      </c>
    </row>
    <row r="6745" spans="1:13">
      <c r="A6745" s="6">
        <v>2025</v>
      </c>
      <c r="B6745" s="6">
        <v>10</v>
      </c>
      <c r="C6745" s="6" t="s">
        <v>68</v>
      </c>
      <c r="D6745" s="6" t="s">
        <v>542</v>
      </c>
      <c r="E6745" s="6" t="s">
        <v>543</v>
      </c>
      <c r="F6745" s="6" t="str">
        <f>IF($M6745="PADD I","PADD 1",IF($M6745="PADD II","PADD 2",IF($M6745="PADD III","PADD 3",IF($M6745="PADD IV","PADD 4",IF($M6745="PADD V","PADD 5","")))))</f>
        <v>PADD 2</v>
      </c>
      <c r="G6745" s="6">
        <f>IF(AND($H6745="ATMOS DISTILLATION",ISNUMBER(SEARCH("VPS",$I6745))=FALSE,LEFT($I6745,6)&lt;&gt;"VACUUM"),"CDU",IF($H6745="FLUID CAT CRACKING","FCC",IF(OR($H6745="HYDROCRACKING",$H6745="RESID_HYDROCRACKING"),"Hydrocracker",IF($H6745="REFORMING","Reformer",""))))</f>
        <v/>
      </c>
      <c r="H6745" s="6" t="s">
        <v>568</v>
      </c>
      <c r="I6745" s="6" t="s">
        <v>604</v>
      </c>
      <c r="J6745" s="6" t="s">
        <v>345</v>
      </c>
      <c r="K6745" s="10">
        <v>0.837</v>
      </c>
      <c r="L6745" s="10">
        <v>27.9</v>
      </c>
      <c r="M6745" s="6" t="s">
        <v>375</v>
      </c>
    </row>
    <row r="6746" spans="1:13">
      <c r="A6746" s="6">
        <v>2025</v>
      </c>
      <c r="B6746" s="6">
        <v>10</v>
      </c>
      <c r="C6746" s="6" t="s">
        <v>68</v>
      </c>
      <c r="D6746" s="6" t="s">
        <v>542</v>
      </c>
      <c r="E6746" s="6" t="s">
        <v>543</v>
      </c>
      <c r="F6746" s="6" t="str">
        <f>IF($M6746="PADD I","PADD 1",IF($M6746="PADD II","PADD 2",IF($M6746="PADD III","PADD 3",IF($M6746="PADD IV","PADD 4",IF($M6746="PADD V","PADD 5","")))))</f>
        <v>PADD 2</v>
      </c>
      <c r="G6746" s="6">
        <f>IF(AND($H6746="ATMOS DISTILLATION",ISNUMBER(SEARCH("VPS",$I6746))=FALSE,LEFT($I6746,6)&lt;&gt;"VACUUM"),"CDU",IF($H6746="FLUID CAT CRACKING","FCC",IF(OR($H6746="HYDROCRACKING",$H6746="RESID_HYDROCRACKING"),"Hydrocracker",IF($H6746="REFORMING","Reformer",""))))</f>
        <v/>
      </c>
      <c r="H6746" s="6" t="s">
        <v>43</v>
      </c>
      <c r="I6746" s="6" t="s">
        <v>1112</v>
      </c>
      <c r="J6746" s="6" t="s">
        <v>345</v>
      </c>
      <c r="K6746" s="10">
        <v>0.729</v>
      </c>
      <c r="L6746" s="10">
        <v>24.3</v>
      </c>
      <c r="M6746" s="6" t="s">
        <v>375</v>
      </c>
    </row>
    <row r="6747" spans="1:13">
      <c r="A6747" s="6">
        <v>2025</v>
      </c>
      <c r="B6747" s="6">
        <v>10</v>
      </c>
      <c r="C6747" s="6" t="s">
        <v>68</v>
      </c>
      <c r="D6747" s="6" t="s">
        <v>468</v>
      </c>
      <c r="E6747" s="6" t="s">
        <v>369</v>
      </c>
      <c r="F6747" s="6" t="str">
        <f>IF($M6747="PADD I","PADD 1",IF($M6747="PADD II","PADD 2",IF($M6747="PADD III","PADD 3",IF($M6747="PADD IV","PADD 4",IF($M6747="PADD V","PADD 5","")))))</f>
        <v>PADD 3</v>
      </c>
      <c r="G6747" s="6" t="str">
        <f>IF(AND($H6747="ATMOS DISTILLATION",ISNUMBER(SEARCH("VPS",$I6747))=FALSE,LEFT($I6747,6)&lt;&gt;"VACUUM"),"CDU",IF($H6747="FLUID CAT CRACKING","FCC",IF(OR($H6747="HYDROCRACKING",$H6747="RESID_HYDROCRACKING"),"Hydrocracker",IF($H6747="REFORMING","Reformer",""))))</f>
        <v>Reformer</v>
      </c>
      <c r="H6747" s="6" t="s">
        <v>421</v>
      </c>
      <c r="I6747" s="6" t="s">
        <v>635</v>
      </c>
      <c r="J6747" s="6" t="s">
        <v>345</v>
      </c>
      <c r="K6747" s="10">
        <v>0.7</v>
      </c>
      <c r="L6747" s="10">
        <v>7</v>
      </c>
      <c r="M6747" s="6" t="s">
        <v>371</v>
      </c>
    </row>
    <row r="6748" spans="1:13">
      <c r="A6748" s="6">
        <v>2025</v>
      </c>
      <c r="B6748" s="6">
        <v>10</v>
      </c>
      <c r="C6748" s="6" t="s">
        <v>68</v>
      </c>
      <c r="D6748" s="6" t="s">
        <v>778</v>
      </c>
      <c r="E6748" s="6" t="s">
        <v>779</v>
      </c>
      <c r="F6748" s="6" t="str">
        <f>IF($M6748="PADD I","PADD 1",IF($M6748="PADD II","PADD 2",IF($M6748="PADD III","PADD 3",IF($M6748="PADD IV","PADD 4",IF($M6748="PADD V","PADD 5","")))))</f>
        <v>PADD 3</v>
      </c>
      <c r="G6748" s="6">
        <f>IF(AND($H6748="ATMOS DISTILLATION",ISNUMBER(SEARCH("VPS",$I6748))=FALSE,LEFT($I6748,6)&lt;&gt;"VACUUM"),"CDU",IF($H6748="FLUID CAT CRACKING","FCC",IF(OR($H6748="HYDROCRACKING",$H6748="RESID_HYDROCRACKING"),"Hydrocracker",IF($H6748="REFORMING","Reformer",""))))</f>
        <v/>
      </c>
      <c r="H6748" s="6" t="s">
        <v>378</v>
      </c>
      <c r="I6748" s="6" t="s">
        <v>797</v>
      </c>
      <c r="J6748" s="6" t="s">
        <v>345</v>
      </c>
      <c r="K6748" s="10">
        <v>0.6899999999999999</v>
      </c>
      <c r="L6748" s="10">
        <v>23</v>
      </c>
      <c r="M6748" s="6" t="s">
        <v>371</v>
      </c>
    </row>
    <row r="6749" spans="1:13">
      <c r="A6749" s="6">
        <v>2025</v>
      </c>
      <c r="B6749" s="6">
        <v>10</v>
      </c>
      <c r="C6749" s="6" t="s">
        <v>68</v>
      </c>
      <c r="D6749" s="6" t="s">
        <v>1330</v>
      </c>
      <c r="E6749" s="6" t="s">
        <v>1331</v>
      </c>
      <c r="F6749" s="6" t="str">
        <f>IF($M6749="PADD I","PADD 1",IF($M6749="PADD II","PADD 2",IF($M6749="PADD III","PADD 3",IF($M6749="PADD IV","PADD 4",IF($M6749="PADD V","PADD 5","")))))</f>
        <v>PADD 4</v>
      </c>
      <c r="G6749" s="6">
        <f>IF(AND($H6749="ATMOS DISTILLATION",ISNUMBER(SEARCH("VPS",$I6749))=FALSE,LEFT($I6749,6)&lt;&gt;"VACUUM"),"CDU",IF($H6749="FLUID CAT CRACKING","FCC",IF(OR($H6749="HYDROCRACKING",$H6749="RESID_HYDROCRACKING"),"Hydrocracker",IF($H6749="REFORMING","Reformer",""))))</f>
        <v/>
      </c>
      <c r="H6749" s="6" t="s">
        <v>43</v>
      </c>
      <c r="I6749" s="6" t="s">
        <v>1332</v>
      </c>
      <c r="J6749" s="6" t="s">
        <v>349</v>
      </c>
      <c r="K6749" s="10">
        <v>0.63</v>
      </c>
      <c r="L6749" s="10">
        <v>1.5</v>
      </c>
      <c r="M6749" s="6" t="s">
        <v>430</v>
      </c>
    </row>
    <row r="6750" spans="1:13">
      <c r="A6750" s="6">
        <v>2025</v>
      </c>
      <c r="B6750" s="6">
        <v>10</v>
      </c>
      <c r="C6750" s="6" t="s">
        <v>68</v>
      </c>
      <c r="D6750" s="6" t="s">
        <v>722</v>
      </c>
      <c r="E6750" s="6" t="s">
        <v>452</v>
      </c>
      <c r="F6750" s="6" t="str">
        <f>IF($M6750="PADD I","PADD 1",IF($M6750="PADD II","PADD 2",IF($M6750="PADD III","PADD 3",IF($M6750="PADD IV","PADD 4",IF($M6750="PADD V","PADD 5","")))))</f>
        <v>PADD 4</v>
      </c>
      <c r="G6750" s="6" t="str">
        <f>IF(AND($H6750="ATMOS DISTILLATION",ISNUMBER(SEARCH("VPS",$I6750))=FALSE,LEFT($I6750,6)&lt;&gt;"VACUUM"),"CDU",IF($H6750="FLUID CAT CRACKING","FCC",IF(OR($H6750="HYDROCRACKING",$H6750="RESID_HYDROCRACKING"),"Hydrocracker",IF($H6750="REFORMING","Reformer",""))))</f>
        <v>FCC</v>
      </c>
      <c r="H6750" s="6" t="s">
        <v>376</v>
      </c>
      <c r="I6750" s="6" t="s">
        <v>1106</v>
      </c>
      <c r="J6750" s="6" t="s">
        <v>349</v>
      </c>
      <c r="K6750" s="10">
        <v>0.54</v>
      </c>
      <c r="L6750" s="10">
        <v>9</v>
      </c>
      <c r="M6750" s="6" t="s">
        <v>430</v>
      </c>
    </row>
    <row r="6751" spans="1:13">
      <c r="A6751" s="6">
        <v>2025</v>
      </c>
      <c r="B6751" s="6">
        <v>10</v>
      </c>
      <c r="C6751" s="6" t="s">
        <v>68</v>
      </c>
      <c r="D6751" s="6" t="s">
        <v>326</v>
      </c>
      <c r="E6751" s="6" t="s">
        <v>385</v>
      </c>
      <c r="F6751" s="6" t="str">
        <f>IF($M6751="PADD I","PADD 1",IF($M6751="PADD II","PADD 2",IF($M6751="PADD III","PADD 3",IF($M6751="PADD IV","PADD 4",IF($M6751="PADD V","PADD 5","")))))</f>
        <v>PADD 5</v>
      </c>
      <c r="G6751" s="6">
        <f>IF(AND($H6751="ATMOS DISTILLATION",ISNUMBER(SEARCH("VPS",$I6751))=FALSE,LEFT($I6751,6)&lt;&gt;"VACUUM"),"CDU",IF($H6751="FLUID CAT CRACKING","FCC",IF(OR($H6751="HYDROCRACKING",$H6751="RESID_HYDROCRACKING"),"Hydrocracker",IF($H6751="REFORMING","Reformer",""))))</f>
        <v/>
      </c>
      <c r="H6751" s="6" t="s">
        <v>568</v>
      </c>
      <c r="I6751" s="6" t="s">
        <v>604</v>
      </c>
      <c r="J6751" s="6" t="s">
        <v>345</v>
      </c>
      <c r="K6751" s="10">
        <v>0.53</v>
      </c>
      <c r="L6751" s="10">
        <v>0.53</v>
      </c>
      <c r="M6751" s="6" t="s">
        <v>386</v>
      </c>
    </row>
    <row r="6752" spans="1:13">
      <c r="A6752" s="6">
        <v>2025</v>
      </c>
      <c r="B6752" s="6">
        <v>10</v>
      </c>
      <c r="C6752" s="6" t="s">
        <v>68</v>
      </c>
      <c r="D6752" s="6" t="s">
        <v>878</v>
      </c>
      <c r="E6752" s="6" t="s">
        <v>452</v>
      </c>
      <c r="F6752" s="6" t="str">
        <f>IF($M6752="PADD I","PADD 1",IF($M6752="PADD II","PADD 2",IF($M6752="PADD III","PADD 3",IF($M6752="PADD IV","PADD 4",IF($M6752="PADD V","PADD 5","")))))</f>
        <v>PADD 2</v>
      </c>
      <c r="G6752" s="6">
        <f>IF(AND($H6752="ATMOS DISTILLATION",ISNUMBER(SEARCH("VPS",$I6752))=FALSE,LEFT($I6752,6)&lt;&gt;"VACUUM"),"CDU",IF($H6752="FLUID CAT CRACKING","FCC",IF(OR($H6752="HYDROCRACKING",$H6752="RESID_HYDROCRACKING"),"Hydrocracker",IF($H6752="REFORMING","Reformer",""))))</f>
        <v/>
      </c>
      <c r="H6752" s="6" t="s">
        <v>435</v>
      </c>
      <c r="I6752" s="6" t="s">
        <v>441</v>
      </c>
      <c r="J6752" s="6" t="s">
        <v>345</v>
      </c>
      <c r="K6752" s="10">
        <v>0.51</v>
      </c>
      <c r="L6752" s="10">
        <v>8.5</v>
      </c>
      <c r="M6752" s="6" t="s">
        <v>375</v>
      </c>
    </row>
    <row r="6753" spans="1:13">
      <c r="A6753" s="6">
        <v>2025</v>
      </c>
      <c r="B6753" s="6">
        <v>10</v>
      </c>
      <c r="C6753" s="6" t="s">
        <v>68</v>
      </c>
      <c r="D6753" s="6" t="s">
        <v>680</v>
      </c>
      <c r="E6753" s="6" t="s">
        <v>681</v>
      </c>
      <c r="F6753" s="6" t="str">
        <f>IF($M6753="PADD I","PADD 1",IF($M6753="PADD II","PADD 2",IF($M6753="PADD III","PADD 3",IF($M6753="PADD IV","PADD 4",IF($M6753="PADD V","PADD 5","")))))</f>
        <v>PADD 3</v>
      </c>
      <c r="G6753" s="6" t="str">
        <f>IF(AND($H6753="ATMOS DISTILLATION",ISNUMBER(SEARCH("VPS",$I6753))=FALSE,LEFT($I6753,6)&lt;&gt;"VACUUM"),"CDU",IF($H6753="FLUID CAT CRACKING","FCC",IF(OR($H6753="HYDROCRACKING",$H6753="RESID_HYDROCRACKING"),"Hydrocracker",IF($H6753="REFORMING","Reformer",""))))</f>
        <v>Hydrocracker</v>
      </c>
      <c r="H6753" s="6" t="s">
        <v>444</v>
      </c>
      <c r="I6753" s="6" t="s">
        <v>707</v>
      </c>
      <c r="J6753" s="6" t="s">
        <v>345</v>
      </c>
      <c r="K6753" s="10">
        <v>0.45</v>
      </c>
      <c r="L6753" s="10">
        <v>15</v>
      </c>
      <c r="M6753" s="6" t="s">
        <v>371</v>
      </c>
    </row>
    <row r="6754" spans="1:13">
      <c r="A6754" s="6">
        <v>2025</v>
      </c>
      <c r="B6754" s="6">
        <v>10</v>
      </c>
      <c r="C6754" s="6" t="s">
        <v>68</v>
      </c>
      <c r="D6754" s="6" t="s">
        <v>871</v>
      </c>
      <c r="E6754" s="6" t="s">
        <v>872</v>
      </c>
      <c r="F6754" s="6" t="str">
        <f>IF($M6754="PADD I","PADD 1",IF($M6754="PADD II","PADD 2",IF($M6754="PADD III","PADD 3",IF($M6754="PADD IV","PADD 4",IF($M6754="PADD V","PADD 5","")))))</f>
        <v>PADD 4</v>
      </c>
      <c r="G6754" s="6">
        <f>IF(AND($H6754="ATMOS DISTILLATION",ISNUMBER(SEARCH("VPS",$I6754))=FALSE,LEFT($I6754,6)&lt;&gt;"VACUUM"),"CDU",IF($H6754="FLUID CAT CRACKING","FCC",IF(OR($H6754="HYDROCRACKING",$H6754="RESID_HYDROCRACKING"),"Hydrocracker",IF($H6754="REFORMING","Reformer",""))))</f>
        <v/>
      </c>
      <c r="H6754" s="6" t="s">
        <v>568</v>
      </c>
      <c r="I6754" s="6" t="s">
        <v>1202</v>
      </c>
      <c r="J6754" s="6" t="s">
        <v>349</v>
      </c>
      <c r="K6754" s="10">
        <v>0.45</v>
      </c>
      <c r="L6754" s="10">
        <v>1</v>
      </c>
      <c r="M6754" s="6" t="s">
        <v>430</v>
      </c>
    </row>
    <row r="6755" spans="1:13">
      <c r="A6755" s="6">
        <v>2025</v>
      </c>
      <c r="B6755" s="6">
        <v>10</v>
      </c>
      <c r="C6755" s="6" t="s">
        <v>68</v>
      </c>
      <c r="D6755" s="6" t="s">
        <v>451</v>
      </c>
      <c r="E6755" s="6" t="s">
        <v>452</v>
      </c>
      <c r="F6755" s="6" t="str">
        <f>IF($M6755="PADD I","PADD 1",IF($M6755="PADD II","PADD 2",IF($M6755="PADD III","PADD 3",IF($M6755="PADD IV","PADD 4",IF($M6755="PADD V","PADD 5","")))))</f>
        <v>PADD 2</v>
      </c>
      <c r="G6755" s="6">
        <f>IF(AND($H6755="ATMOS DISTILLATION",ISNUMBER(SEARCH("VPS",$I6755))=FALSE,LEFT($I6755,6)&lt;&gt;"VACUUM"),"CDU",IF($H6755="FLUID CAT CRACKING","FCC",IF(OR($H6755="HYDROCRACKING",$H6755="RESID_HYDROCRACKING"),"Hydrocracker",IF($H6755="REFORMING","Reformer",""))))</f>
        <v/>
      </c>
      <c r="H6755" s="6" t="s">
        <v>460</v>
      </c>
      <c r="I6755" s="6" t="s">
        <v>461</v>
      </c>
      <c r="J6755" s="6" t="s">
        <v>345</v>
      </c>
      <c r="K6755" s="10">
        <v>0.39</v>
      </c>
      <c r="L6755" s="10">
        <v>3</v>
      </c>
      <c r="M6755" s="6" t="s">
        <v>375</v>
      </c>
    </row>
    <row r="6756" spans="1:13">
      <c r="A6756" s="6">
        <v>2025</v>
      </c>
      <c r="B6756" s="6">
        <v>10</v>
      </c>
      <c r="C6756" s="6" t="s">
        <v>68</v>
      </c>
      <c r="D6756" s="6" t="s">
        <v>48</v>
      </c>
      <c r="E6756" s="6" t="s">
        <v>388</v>
      </c>
      <c r="F6756" s="6" t="str">
        <f>IF($M6756="PADD I","PADD 1",IF($M6756="PADD II","PADD 2",IF($M6756="PADD III","PADD 3",IF($M6756="PADD IV","PADD 4",IF($M6756="PADD V","PADD 5","")))))</f>
        <v>PADD 2</v>
      </c>
      <c r="G6756" s="6">
        <f>IF(AND($H6756="ATMOS DISTILLATION",ISNUMBER(SEARCH("VPS",$I6756))=FALSE,LEFT($I6756,6)&lt;&gt;"VACUUM"),"CDU",IF($H6756="FLUID CAT CRACKING","FCC",IF(OR($H6756="HYDROCRACKING",$H6756="RESID_HYDROCRACKING"),"Hydrocracker",IF($H6756="REFORMING","Reformer",""))))</f>
        <v/>
      </c>
      <c r="H6756" s="6" t="s">
        <v>435</v>
      </c>
      <c r="I6756" s="6" t="s">
        <v>631</v>
      </c>
      <c r="J6756" s="6" t="s">
        <v>345</v>
      </c>
      <c r="K6756" s="10">
        <v>0.36</v>
      </c>
      <c r="L6756" s="10">
        <v>12</v>
      </c>
      <c r="M6756" s="6" t="s">
        <v>375</v>
      </c>
    </row>
    <row r="6757" spans="1:13">
      <c r="A6757" s="6">
        <v>2025</v>
      </c>
      <c r="B6757" s="6">
        <v>11</v>
      </c>
      <c r="C6757" s="6" t="s">
        <v>69</v>
      </c>
      <c r="D6757" s="6" t="s">
        <v>395</v>
      </c>
      <c r="E6757" s="6" t="s">
        <v>396</v>
      </c>
      <c r="F6757" s="6" t="str">
        <f>IF($M6757="PADD I","PADD 1",IF($M6757="PADD II","PADD 2",IF($M6757="PADD III","PADD 3",IF($M6757="PADD IV","PADD 4",IF($M6757="PADD V","PADD 5","")))))</f>
        <v>PADD 3</v>
      </c>
      <c r="G6757" s="6" t="str">
        <f>IF(AND($H6757="ATMOS DISTILLATION",ISNUMBER(SEARCH("VPS",$I6757))=FALSE,LEFT($I6757,6)&lt;&gt;"VACUUM"),"CDU",IF($H6757="FLUID CAT CRACKING","FCC",IF(OR($H6757="HYDROCRACKING",$H6757="RESID_HYDROCRACKING"),"Hydrocracker",IF($H6757="REFORMING","Reformer",""))))</f>
        <v>CDU</v>
      </c>
      <c r="H6757" s="6" t="s">
        <v>38</v>
      </c>
      <c r="I6757" s="6" t="s">
        <v>397</v>
      </c>
      <c r="J6757" s="6" t="s">
        <v>349</v>
      </c>
      <c r="K6757" s="10">
        <v>170.1</v>
      </c>
      <c r="L6757" s="10">
        <v>270</v>
      </c>
      <c r="M6757" s="6" t="s">
        <v>371</v>
      </c>
    </row>
    <row r="6758" spans="1:13">
      <c r="A6758" s="6">
        <v>2025</v>
      </c>
      <c r="B6758" s="6">
        <v>11</v>
      </c>
      <c r="C6758" s="6" t="s">
        <v>69</v>
      </c>
      <c r="D6758" s="6" t="s">
        <v>612</v>
      </c>
      <c r="E6758" s="6" t="s">
        <v>416</v>
      </c>
      <c r="F6758" s="6" t="str">
        <f>IF($M6758="PADD I","PADD 1",IF($M6758="PADD II","PADD 2",IF($M6758="PADD III","PADD 3",IF($M6758="PADD IV","PADD 4",IF($M6758="PADD V","PADD 5","")))))</f>
        <v>PADD 3</v>
      </c>
      <c r="G6758" s="6" t="str">
        <f>IF(AND($H6758="ATMOS DISTILLATION",ISNUMBER(SEARCH("VPS",$I6758))=FALSE,LEFT($I6758,6)&lt;&gt;"VACUUM"),"CDU",IF($H6758="FLUID CAT CRACKING","FCC",IF(OR($H6758="HYDROCRACKING",$H6758="RESID_HYDROCRACKING"),"Hydrocracker",IF($H6758="REFORMING","Reformer",""))))</f>
        <v>CDU</v>
      </c>
      <c r="H6758" s="6" t="s">
        <v>38</v>
      </c>
      <c r="I6758" s="6" t="s">
        <v>81</v>
      </c>
      <c r="J6758" s="6" t="s">
        <v>349</v>
      </c>
      <c r="K6758" s="10">
        <v>165</v>
      </c>
      <c r="L6758" s="10">
        <v>165</v>
      </c>
      <c r="M6758" s="6" t="s">
        <v>371</v>
      </c>
    </row>
    <row r="6759" spans="1:13">
      <c r="A6759" s="6">
        <v>2025</v>
      </c>
      <c r="B6759" s="6">
        <v>11</v>
      </c>
      <c r="C6759" s="6" t="s">
        <v>69</v>
      </c>
      <c r="D6759" s="6" t="s">
        <v>612</v>
      </c>
      <c r="E6759" s="6" t="s">
        <v>416</v>
      </c>
      <c r="F6759" s="6" t="str">
        <f>IF($M6759="PADD I","PADD 1",IF($M6759="PADD II","PADD 2",IF($M6759="PADD III","PADD 3",IF($M6759="PADD IV","PADD 4",IF($M6759="PADD V","PADD 5","")))))</f>
        <v>PADD 3</v>
      </c>
      <c r="G6759" s="6" t="str">
        <f>IF(AND($H6759="ATMOS DISTILLATION",ISNUMBER(SEARCH("VPS",$I6759))=FALSE,LEFT($I6759,6)&lt;&gt;"VACUUM"),"CDU",IF($H6759="FLUID CAT CRACKING","FCC",IF(OR($H6759="HYDROCRACKING",$H6759="RESID_HYDROCRACKING"),"Hydrocracker",IF($H6759="REFORMING","Reformer",""))))</f>
        <v>CDU</v>
      </c>
      <c r="H6759" s="6" t="s">
        <v>38</v>
      </c>
      <c r="I6759" s="6" t="s">
        <v>81</v>
      </c>
      <c r="J6759" s="6" t="s">
        <v>345</v>
      </c>
      <c r="K6759" s="10">
        <v>139.2</v>
      </c>
      <c r="L6759" s="10">
        <v>174</v>
      </c>
      <c r="M6759" s="6" t="s">
        <v>371</v>
      </c>
    </row>
    <row r="6760" spans="1:13">
      <c r="A6760" s="6">
        <v>2025</v>
      </c>
      <c r="B6760" s="6">
        <v>11</v>
      </c>
      <c r="C6760" s="6" t="s">
        <v>69</v>
      </c>
      <c r="D6760" s="6" t="s">
        <v>408</v>
      </c>
      <c r="E6760" s="6" t="s">
        <v>409</v>
      </c>
      <c r="F6760" s="6" t="str">
        <f>IF($M6760="PADD I","PADD 1",IF($M6760="PADD II","PADD 2",IF($M6760="PADD III","PADD 3",IF($M6760="PADD IV","PADD 4",IF($M6760="PADD V","PADD 5","")))))</f>
        <v>PADD 3</v>
      </c>
      <c r="G6760" s="6" t="str">
        <f>IF(AND($H6760="ATMOS DISTILLATION",ISNUMBER(SEARCH("VPS",$I6760))=FALSE,LEFT($I6760,6)&lt;&gt;"VACUUM"),"CDU",IF($H6760="FLUID CAT CRACKING","FCC",IF(OR($H6760="HYDROCRACKING",$H6760="RESID_HYDROCRACKING"),"Hydrocracker",IF($H6760="REFORMING","Reformer",""))))</f>
        <v>CDU</v>
      </c>
      <c r="H6760" s="6" t="s">
        <v>38</v>
      </c>
      <c r="I6760" s="6" t="s">
        <v>410</v>
      </c>
      <c r="J6760" s="6" t="s">
        <v>349</v>
      </c>
      <c r="K6760" s="10">
        <v>120</v>
      </c>
      <c r="L6760" s="10">
        <v>150</v>
      </c>
      <c r="M6760" s="6" t="s">
        <v>371</v>
      </c>
    </row>
    <row r="6761" spans="1:13">
      <c r="A6761" s="6">
        <v>2025</v>
      </c>
      <c r="B6761" s="6">
        <v>11</v>
      </c>
      <c r="C6761" s="6" t="s">
        <v>69</v>
      </c>
      <c r="D6761" s="6" t="s">
        <v>51</v>
      </c>
      <c r="E6761" s="6" t="s">
        <v>391</v>
      </c>
      <c r="F6761" s="6" t="str">
        <f>IF($M6761="PADD I","PADD 1",IF($M6761="PADD II","PADD 2",IF($M6761="PADD III","PADD 3",IF($M6761="PADD IV","PADD 4",IF($M6761="PADD V","PADD 5","")))))</f>
        <v>PADD 5</v>
      </c>
      <c r="G6761" s="6" t="str">
        <f>IF(AND($H6761="ATMOS DISTILLATION",ISNUMBER(SEARCH("VPS",$I6761))=FALSE,LEFT($I6761,6)&lt;&gt;"VACUUM"),"CDU",IF($H6761="FLUID CAT CRACKING","FCC",IF(OR($H6761="HYDROCRACKING",$H6761="RESID_HYDROCRACKING"),"Hydrocracker",IF($H6761="REFORMING","Reformer",""))))</f>
        <v>CDU</v>
      </c>
      <c r="H6761" s="6" t="s">
        <v>38</v>
      </c>
      <c r="I6761" s="6" t="s">
        <v>135</v>
      </c>
      <c r="J6761" s="6" t="s">
        <v>345</v>
      </c>
      <c r="K6761" s="10">
        <v>90</v>
      </c>
      <c r="L6761" s="10">
        <v>90</v>
      </c>
      <c r="M6761" s="6" t="s">
        <v>386</v>
      </c>
    </row>
    <row r="6762" spans="1:13">
      <c r="A6762" s="6">
        <v>2025</v>
      </c>
      <c r="B6762" s="6">
        <v>11</v>
      </c>
      <c r="C6762" s="6" t="s">
        <v>69</v>
      </c>
      <c r="D6762" s="6" t="s">
        <v>457</v>
      </c>
      <c r="E6762" s="6" t="s">
        <v>388</v>
      </c>
      <c r="F6762" s="6" t="str">
        <f>IF($M6762="PADD I","PADD 1",IF($M6762="PADD II","PADD 2",IF($M6762="PADD III","PADD 3",IF($M6762="PADD IV","PADD 4",IF($M6762="PADD V","PADD 5","")))))</f>
        <v>PADD 5</v>
      </c>
      <c r="G6762" s="6">
        <f>IF(AND($H6762="ATMOS DISTILLATION",ISNUMBER(SEARCH("VPS",$I6762))=FALSE,LEFT($I6762,6)&lt;&gt;"VACUUM"),"CDU",IF($H6762="FLUID CAT CRACKING","FCC",IF(OR($H6762="HYDROCRACKING",$H6762="RESID_HYDROCRACKING"),"Hydrocracker",IF($H6762="REFORMING","Reformer",""))))</f>
        <v/>
      </c>
      <c r="H6762" s="6" t="s">
        <v>43</v>
      </c>
      <c r="I6762" s="6" t="s">
        <v>1073</v>
      </c>
      <c r="J6762" s="6" t="s">
        <v>349</v>
      </c>
      <c r="K6762" s="10">
        <v>87.15000000000001</v>
      </c>
      <c r="L6762" s="10">
        <v>105</v>
      </c>
      <c r="M6762" s="6" t="s">
        <v>386</v>
      </c>
    </row>
    <row r="6763" spans="1:13">
      <c r="A6763" s="6">
        <v>2025</v>
      </c>
      <c r="B6763" s="6">
        <v>11</v>
      </c>
      <c r="C6763" s="6" t="s">
        <v>69</v>
      </c>
      <c r="D6763" s="6" t="s">
        <v>457</v>
      </c>
      <c r="E6763" s="6" t="s">
        <v>388</v>
      </c>
      <c r="F6763" s="6" t="str">
        <f>IF($M6763="PADD I","PADD 1",IF($M6763="PADD II","PADD 2",IF($M6763="PADD III","PADD 3",IF($M6763="PADD IV","PADD 4",IF($M6763="PADD V","PADD 5","")))))</f>
        <v>PADD 5</v>
      </c>
      <c r="G6763" s="6" t="str">
        <f>IF(AND($H6763="ATMOS DISTILLATION",ISNUMBER(SEARCH("VPS",$I6763))=FALSE,LEFT($I6763,6)&lt;&gt;"VACUUM"),"CDU",IF($H6763="FLUID CAT CRACKING","FCC",IF(OR($H6763="HYDROCRACKING",$H6763="RESID_HYDROCRACKING"),"Hydrocracker",IF($H6763="REFORMING","Reformer",""))))</f>
        <v>FCC</v>
      </c>
      <c r="H6763" s="6" t="s">
        <v>376</v>
      </c>
      <c r="I6763" s="6" t="s">
        <v>105</v>
      </c>
      <c r="J6763" s="6" t="s">
        <v>349</v>
      </c>
      <c r="K6763" s="10">
        <v>86.31999999999999</v>
      </c>
      <c r="L6763" s="10">
        <v>104</v>
      </c>
      <c r="M6763" s="6" t="s">
        <v>386</v>
      </c>
    </row>
    <row r="6764" spans="1:13">
      <c r="A6764" s="6">
        <v>2025</v>
      </c>
      <c r="B6764" s="6">
        <v>11</v>
      </c>
      <c r="C6764" s="6" t="s">
        <v>69</v>
      </c>
      <c r="D6764" s="6" t="s">
        <v>612</v>
      </c>
      <c r="E6764" s="6" t="s">
        <v>416</v>
      </c>
      <c r="F6764" s="6" t="str">
        <f>IF($M6764="PADD I","PADD 1",IF($M6764="PADD II","PADD 2",IF($M6764="PADD III","PADD 3",IF($M6764="PADD IV","PADD 4",IF($M6764="PADD V","PADD 5","")))))</f>
        <v>PADD 3</v>
      </c>
      <c r="G6764" s="6">
        <f>IF(AND($H6764="ATMOS DISTILLATION",ISNUMBER(SEARCH("VPS",$I6764))=FALSE,LEFT($I6764,6)&lt;&gt;"VACUUM"),"CDU",IF($H6764="FLUID CAT CRACKING","FCC",IF(OR($H6764="HYDROCRACKING",$H6764="RESID_HYDROCRACKING"),"Hydrocracker",IF($H6764="REFORMING","Reformer",""))))</f>
        <v/>
      </c>
      <c r="H6764" s="6" t="s">
        <v>378</v>
      </c>
      <c r="I6764" s="6" t="s">
        <v>431</v>
      </c>
      <c r="J6764" s="6" t="s">
        <v>349</v>
      </c>
      <c r="K6764" s="10">
        <v>80</v>
      </c>
      <c r="L6764" s="10">
        <v>80</v>
      </c>
      <c r="M6764" s="6" t="s">
        <v>371</v>
      </c>
    </row>
    <row r="6765" spans="1:13">
      <c r="A6765" s="6">
        <v>2025</v>
      </c>
      <c r="B6765" s="6">
        <v>11</v>
      </c>
      <c r="C6765" s="6" t="s">
        <v>69</v>
      </c>
      <c r="D6765" s="6" t="s">
        <v>326</v>
      </c>
      <c r="E6765" s="6" t="s">
        <v>385</v>
      </c>
      <c r="F6765" s="6" t="str">
        <f>IF($M6765="PADD I","PADD 1",IF($M6765="PADD II","PADD 2",IF($M6765="PADD III","PADD 3",IF($M6765="PADD IV","PADD 4",IF($M6765="PADD V","PADD 5","")))))</f>
        <v>PADD 5</v>
      </c>
      <c r="G6765" s="6">
        <f>IF(AND($H6765="ATMOS DISTILLATION",ISNUMBER(SEARCH("VPS",$I6765))=FALSE,LEFT($I6765,6)&lt;&gt;"VACUUM"),"CDU",IF($H6765="FLUID CAT CRACKING","FCC",IF(OR($H6765="HYDROCRACKING",$H6765="RESID_HYDROCRACKING"),"Hydrocracker",IF($H6765="REFORMING","Reformer",""))))</f>
        <v/>
      </c>
      <c r="H6765" s="6" t="s">
        <v>43</v>
      </c>
      <c r="I6765" s="6" t="s">
        <v>1285</v>
      </c>
      <c r="J6765" s="6" t="s">
        <v>345</v>
      </c>
      <c r="K6765" s="10">
        <v>77.5</v>
      </c>
      <c r="L6765" s="10">
        <v>77.5</v>
      </c>
      <c r="M6765" s="6" t="s">
        <v>386</v>
      </c>
    </row>
    <row r="6766" spans="1:13">
      <c r="A6766" s="6">
        <v>2025</v>
      </c>
      <c r="B6766" s="6">
        <v>11</v>
      </c>
      <c r="C6766" s="6" t="s">
        <v>69</v>
      </c>
      <c r="D6766" s="6" t="s">
        <v>395</v>
      </c>
      <c r="E6766" s="6" t="s">
        <v>396</v>
      </c>
      <c r="F6766" s="6" t="str">
        <f>IF($M6766="PADD I","PADD 1",IF($M6766="PADD II","PADD 2",IF($M6766="PADD III","PADD 3",IF($M6766="PADD IV","PADD 4",IF($M6766="PADD V","PADD 5","")))))</f>
        <v>PADD 3</v>
      </c>
      <c r="G6766" s="6">
        <f>IF(AND($H6766="ATMOS DISTILLATION",ISNUMBER(SEARCH("VPS",$I6766))=FALSE,LEFT($I6766,6)&lt;&gt;"VACUUM"),"CDU",IF($H6766="FLUID CAT CRACKING","FCC",IF(OR($H6766="HYDROCRACKING",$H6766="RESID_HYDROCRACKING"),"Hydrocracker",IF($H6766="REFORMING","Reformer",""))))</f>
        <v/>
      </c>
      <c r="H6766" s="6" t="s">
        <v>378</v>
      </c>
      <c r="I6766" s="6" t="s">
        <v>474</v>
      </c>
      <c r="J6766" s="6" t="s">
        <v>349</v>
      </c>
      <c r="K6766" s="10">
        <v>72.45</v>
      </c>
      <c r="L6766" s="10">
        <v>115</v>
      </c>
      <c r="M6766" s="6" t="s">
        <v>371</v>
      </c>
    </row>
    <row r="6767" spans="1:13">
      <c r="A6767" s="6">
        <v>2025</v>
      </c>
      <c r="B6767" s="6">
        <v>11</v>
      </c>
      <c r="C6767" s="6" t="s">
        <v>69</v>
      </c>
      <c r="D6767" s="6" t="s">
        <v>326</v>
      </c>
      <c r="E6767" s="6" t="s">
        <v>385</v>
      </c>
      <c r="F6767" s="6" t="str">
        <f>IF($M6767="PADD I","PADD 1",IF($M6767="PADD II","PADD 2",IF($M6767="PADD III","PADD 3",IF($M6767="PADD IV","PADD 4",IF($M6767="PADD V","PADD 5","")))))</f>
        <v>PADD 5</v>
      </c>
      <c r="G6767" s="6" t="str">
        <f>IF(AND($H6767="ATMOS DISTILLATION",ISNUMBER(SEARCH("VPS",$I6767))=FALSE,LEFT($I6767,6)&lt;&gt;"VACUUM"),"CDU",IF($H6767="FLUID CAT CRACKING","FCC",IF(OR($H6767="HYDROCRACKING",$H6767="RESID_HYDROCRACKING"),"Hydrocracker",IF($H6767="REFORMING","Reformer",""))))</f>
        <v>FCC</v>
      </c>
      <c r="H6767" s="6" t="s">
        <v>376</v>
      </c>
      <c r="I6767" s="6" t="s">
        <v>504</v>
      </c>
      <c r="J6767" s="6" t="s">
        <v>345</v>
      </c>
      <c r="K6767" s="10">
        <v>70</v>
      </c>
      <c r="L6767" s="10">
        <v>70</v>
      </c>
      <c r="M6767" s="6" t="s">
        <v>386</v>
      </c>
    </row>
    <row r="6768" spans="1:13">
      <c r="A6768" s="6">
        <v>2025</v>
      </c>
      <c r="B6768" s="6">
        <v>11</v>
      </c>
      <c r="C6768" s="6" t="s">
        <v>69</v>
      </c>
      <c r="D6768" s="6" t="s">
        <v>612</v>
      </c>
      <c r="E6768" s="6" t="s">
        <v>416</v>
      </c>
      <c r="F6768" s="6" t="str">
        <f>IF($M6768="PADD I","PADD 1",IF($M6768="PADD II","PADD 2",IF($M6768="PADD III","PADD 3",IF($M6768="PADD IV","PADD 4",IF($M6768="PADD V","PADD 5","")))))</f>
        <v>PADD 3</v>
      </c>
      <c r="G6768" s="6">
        <f>IF(AND($H6768="ATMOS DISTILLATION",ISNUMBER(SEARCH("VPS",$I6768))=FALSE,LEFT($I6768,6)&lt;&gt;"VACUUM"),"CDU",IF($H6768="FLUID CAT CRACKING","FCC",IF(OR($H6768="HYDROCRACKING",$H6768="RESID_HYDROCRACKING"),"Hydrocracker",IF($H6768="REFORMING","Reformer",""))))</f>
        <v/>
      </c>
      <c r="H6768" s="6" t="s">
        <v>378</v>
      </c>
      <c r="I6768" s="6" t="s">
        <v>431</v>
      </c>
      <c r="J6768" s="6" t="s">
        <v>345</v>
      </c>
      <c r="K6768" s="10">
        <v>68.23999999999999</v>
      </c>
      <c r="L6768" s="10">
        <v>85.3</v>
      </c>
      <c r="M6768" s="6" t="s">
        <v>371</v>
      </c>
    </row>
    <row r="6769" spans="1:13">
      <c r="A6769" s="6">
        <v>2025</v>
      </c>
      <c r="B6769" s="6">
        <v>11</v>
      </c>
      <c r="C6769" s="6" t="s">
        <v>69</v>
      </c>
      <c r="D6769" s="6" t="s">
        <v>335</v>
      </c>
      <c r="E6769" s="6" t="s">
        <v>369</v>
      </c>
      <c r="F6769" s="6" t="str">
        <f>IF($M6769="PADD I","PADD 1",IF($M6769="PADD II","PADD 2",IF($M6769="PADD III","PADD 3",IF($M6769="PADD IV","PADD 4",IF($M6769="PADD V","PADD 5","")))))</f>
        <v>PADD 3</v>
      </c>
      <c r="G6769" s="6" t="str">
        <f>IF(AND($H6769="ATMOS DISTILLATION",ISNUMBER(SEARCH("VPS",$I6769))=FALSE,LEFT($I6769,6)&lt;&gt;"VACUUM"),"CDU",IF($H6769="FLUID CAT CRACKING","FCC",IF(OR($H6769="HYDROCRACKING",$H6769="RESID_HYDROCRACKING"),"Hydrocracker",IF($H6769="REFORMING","Reformer",""))))</f>
        <v>FCC</v>
      </c>
      <c r="H6769" s="6" t="s">
        <v>376</v>
      </c>
      <c r="I6769" s="6" t="s">
        <v>141</v>
      </c>
      <c r="J6769" s="6" t="s">
        <v>349</v>
      </c>
      <c r="K6769" s="10">
        <v>64.73999999999999</v>
      </c>
      <c r="L6769" s="10">
        <v>78</v>
      </c>
      <c r="M6769" s="6" t="s">
        <v>371</v>
      </c>
    </row>
    <row r="6770" spans="1:13">
      <c r="A6770" s="6">
        <v>2025</v>
      </c>
      <c r="B6770" s="6">
        <v>11</v>
      </c>
      <c r="C6770" s="6" t="s">
        <v>69</v>
      </c>
      <c r="D6770" s="6" t="s">
        <v>329</v>
      </c>
      <c r="E6770" s="6" t="s">
        <v>427</v>
      </c>
      <c r="F6770" s="6" t="str">
        <f>IF($M6770="PADD I","PADD 1",IF($M6770="PADD II","PADD 2",IF($M6770="PADD III","PADD 3",IF($M6770="PADD IV","PADD 4",IF($M6770="PADD V","PADD 5","")))))</f>
        <v>PADD 3</v>
      </c>
      <c r="G6770" s="6" t="str">
        <f>IF(AND($H6770="ATMOS DISTILLATION",ISNUMBER(SEARCH("VPS",$I6770))=FALSE,LEFT($I6770,6)&lt;&gt;"VACUUM"),"CDU",IF($H6770="FLUID CAT CRACKING","FCC",IF(OR($H6770="HYDROCRACKING",$H6770="RESID_HYDROCRACKING"),"Hydrocracker",IF($H6770="REFORMING","Reformer",""))))</f>
        <v>CDU</v>
      </c>
      <c r="H6770" s="6" t="s">
        <v>38</v>
      </c>
      <c r="I6770" s="6" t="s">
        <v>330</v>
      </c>
      <c r="J6770" s="6" t="s">
        <v>349</v>
      </c>
      <c r="K6770" s="10">
        <v>64.31999999999999</v>
      </c>
      <c r="L6770" s="10">
        <v>96</v>
      </c>
      <c r="M6770" s="6" t="s">
        <v>371</v>
      </c>
    </row>
    <row r="6771" spans="1:13">
      <c r="A6771" s="6">
        <v>2025</v>
      </c>
      <c r="B6771" s="6">
        <v>11</v>
      </c>
      <c r="C6771" s="6" t="s">
        <v>69</v>
      </c>
      <c r="D6771" s="6" t="s">
        <v>395</v>
      </c>
      <c r="E6771" s="6" t="s">
        <v>396</v>
      </c>
      <c r="F6771" s="6" t="str">
        <f>IF($M6771="PADD I","PADD 1",IF($M6771="PADD II","PADD 2",IF($M6771="PADD III","PADD 3",IF($M6771="PADD IV","PADD 4",IF($M6771="PADD V","PADD 5","")))))</f>
        <v>PADD 3</v>
      </c>
      <c r="G6771" s="6">
        <f>IF(AND($H6771="ATMOS DISTILLATION",ISNUMBER(SEARCH("VPS",$I6771))=FALSE,LEFT($I6771,6)&lt;&gt;"VACUUM"),"CDU",IF($H6771="FLUID CAT CRACKING","FCC",IF(OR($H6771="HYDROCRACKING",$H6771="RESID_HYDROCRACKING"),"Hydrocracker",IF($H6771="REFORMING","Reformer",""))))</f>
        <v/>
      </c>
      <c r="H6771" s="6" t="s">
        <v>435</v>
      </c>
      <c r="I6771" s="6" t="s">
        <v>441</v>
      </c>
      <c r="J6771" s="6" t="s">
        <v>349</v>
      </c>
      <c r="K6771" s="10">
        <v>57.96</v>
      </c>
      <c r="L6771" s="10">
        <v>92</v>
      </c>
      <c r="M6771" s="6" t="s">
        <v>371</v>
      </c>
    </row>
    <row r="6772" spans="1:13">
      <c r="A6772" s="6">
        <v>2025</v>
      </c>
      <c r="B6772" s="6">
        <v>11</v>
      </c>
      <c r="C6772" s="6" t="s">
        <v>69</v>
      </c>
      <c r="D6772" s="6" t="s">
        <v>326</v>
      </c>
      <c r="E6772" s="6" t="s">
        <v>385</v>
      </c>
      <c r="F6772" s="6" t="str">
        <f>IF($M6772="PADD I","PADD 1",IF($M6772="PADD II","PADD 2",IF($M6772="PADD III","PADD 3",IF($M6772="PADD IV","PADD 4",IF($M6772="PADD V","PADD 5","")))))</f>
        <v>PADD 5</v>
      </c>
      <c r="G6772" s="6" t="str">
        <f>IF(AND($H6772="ATMOS DISTILLATION",ISNUMBER(SEARCH("VPS",$I6772))=FALSE,LEFT($I6772,6)&lt;&gt;"VACUUM"),"CDU",IF($H6772="FLUID CAT CRACKING","FCC",IF(OR($H6772="HYDROCRACKING",$H6772="RESID_HYDROCRACKING"),"Hydrocracker",IF($H6772="REFORMING","Reformer",""))))</f>
        <v>CDU</v>
      </c>
      <c r="H6772" s="6" t="s">
        <v>38</v>
      </c>
      <c r="I6772" s="6" t="s">
        <v>93</v>
      </c>
      <c r="J6772" s="6" t="s">
        <v>345</v>
      </c>
      <c r="K6772" s="10">
        <v>54.25</v>
      </c>
      <c r="L6772" s="10">
        <v>54.25</v>
      </c>
      <c r="M6772" s="6" t="s">
        <v>386</v>
      </c>
    </row>
    <row r="6773" spans="1:13">
      <c r="A6773" s="6">
        <v>2025</v>
      </c>
      <c r="B6773" s="6">
        <v>11</v>
      </c>
      <c r="C6773" s="6" t="s">
        <v>69</v>
      </c>
      <c r="D6773" s="6" t="s">
        <v>547</v>
      </c>
      <c r="E6773" s="6" t="s">
        <v>391</v>
      </c>
      <c r="F6773" s="6" t="str">
        <f>IF($M6773="PADD I","PADD 1",IF($M6773="PADD II","PADD 2",IF($M6773="PADD III","PADD 3",IF($M6773="PADD IV","PADD 4",IF($M6773="PADD V","PADD 5","")))))</f>
        <v>PADD 5</v>
      </c>
      <c r="G6773" s="6" t="str">
        <f>IF(AND($H6773="ATMOS DISTILLATION",ISNUMBER(SEARCH("VPS",$I6773))=FALSE,LEFT($I6773,6)&lt;&gt;"VACUUM"),"CDU",IF($H6773="FLUID CAT CRACKING","FCC",IF(OR($H6773="HYDROCRACKING",$H6773="RESID_HYDROCRACKING"),"Hydrocracker",IF($H6773="REFORMING","Reformer",""))))</f>
        <v>FCC</v>
      </c>
      <c r="H6773" s="6" t="s">
        <v>376</v>
      </c>
      <c r="I6773" s="6" t="s">
        <v>105</v>
      </c>
      <c r="J6773" s="6" t="s">
        <v>345</v>
      </c>
      <c r="K6773" s="10">
        <v>53.6</v>
      </c>
      <c r="L6773" s="10">
        <v>80</v>
      </c>
      <c r="M6773" s="6" t="s">
        <v>386</v>
      </c>
    </row>
    <row r="6774" spans="1:13">
      <c r="A6774" s="6">
        <v>2025</v>
      </c>
      <c r="B6774" s="6">
        <v>11</v>
      </c>
      <c r="C6774" s="6" t="s">
        <v>69</v>
      </c>
      <c r="D6774" s="6" t="s">
        <v>542</v>
      </c>
      <c r="E6774" s="6" t="s">
        <v>543</v>
      </c>
      <c r="F6774" s="6" t="str">
        <f>IF($M6774="PADD I","PADD 1",IF($M6774="PADD II","PADD 2",IF($M6774="PADD III","PADD 3",IF($M6774="PADD IV","PADD 4",IF($M6774="PADD V","PADD 5","")))))</f>
        <v>PADD 2</v>
      </c>
      <c r="G6774" s="6" t="str">
        <f>IF(AND($H6774="ATMOS DISTILLATION",ISNUMBER(SEARCH("VPS",$I6774))=FALSE,LEFT($I6774,6)&lt;&gt;"VACUUM"),"CDU",IF($H6774="FLUID CAT CRACKING","FCC",IF(OR($H6774="HYDROCRACKING",$H6774="RESID_HYDROCRACKING"),"Hydrocracker",IF($H6774="REFORMING","Reformer",""))))</f>
        <v>FCC</v>
      </c>
      <c r="H6774" s="6" t="s">
        <v>376</v>
      </c>
      <c r="I6774" s="6" t="s">
        <v>1113</v>
      </c>
      <c r="J6774" s="6" t="s">
        <v>349</v>
      </c>
      <c r="K6774" s="10">
        <v>52</v>
      </c>
      <c r="L6774" s="10">
        <v>65</v>
      </c>
      <c r="M6774" s="6" t="s">
        <v>375</v>
      </c>
    </row>
    <row r="6775" spans="1:13">
      <c r="A6775" s="6">
        <v>2025</v>
      </c>
      <c r="B6775" s="6">
        <v>11</v>
      </c>
      <c r="C6775" s="6" t="s">
        <v>69</v>
      </c>
      <c r="D6775" s="6" t="s">
        <v>408</v>
      </c>
      <c r="E6775" s="6" t="s">
        <v>409</v>
      </c>
      <c r="F6775" s="6" t="str">
        <f>IF($M6775="PADD I","PADD 1",IF($M6775="PADD II","PADD 2",IF($M6775="PADD III","PADD 3",IF($M6775="PADD IV","PADD 4",IF($M6775="PADD V","PADD 5","")))))</f>
        <v>PADD 3</v>
      </c>
      <c r="G6775" s="6">
        <f>IF(AND($H6775="ATMOS DISTILLATION",ISNUMBER(SEARCH("VPS",$I6775))=FALSE,LEFT($I6775,6)&lt;&gt;"VACUUM"),"CDU",IF($H6775="FLUID CAT CRACKING","FCC",IF(OR($H6775="HYDROCRACKING",$H6775="RESID_HYDROCRACKING"),"Hydrocracker",IF($H6775="REFORMING","Reformer",""))))</f>
        <v/>
      </c>
      <c r="H6775" s="6" t="s">
        <v>435</v>
      </c>
      <c r="I6775" s="6" t="s">
        <v>459</v>
      </c>
      <c r="J6775" s="6" t="s">
        <v>349</v>
      </c>
      <c r="K6775" s="10">
        <v>48</v>
      </c>
      <c r="L6775" s="10">
        <v>60</v>
      </c>
      <c r="M6775" s="6" t="s">
        <v>371</v>
      </c>
    </row>
    <row r="6776" spans="1:13">
      <c r="A6776" s="6">
        <v>2025</v>
      </c>
      <c r="B6776" s="6">
        <v>11</v>
      </c>
      <c r="C6776" s="6" t="s">
        <v>69</v>
      </c>
      <c r="D6776" s="6" t="s">
        <v>408</v>
      </c>
      <c r="E6776" s="6" t="s">
        <v>409</v>
      </c>
      <c r="F6776" s="6" t="str">
        <f>IF($M6776="PADD I","PADD 1",IF($M6776="PADD II","PADD 2",IF($M6776="PADD III","PADD 3",IF($M6776="PADD IV","PADD 4",IF($M6776="PADD V","PADD 5","")))))</f>
        <v>PADD 3</v>
      </c>
      <c r="G6776" s="6">
        <f>IF(AND($H6776="ATMOS DISTILLATION",ISNUMBER(SEARCH("VPS",$I6776))=FALSE,LEFT($I6776,6)&lt;&gt;"VACUUM"),"CDU",IF($H6776="FLUID CAT CRACKING","FCC",IF(OR($H6776="HYDROCRACKING",$H6776="RESID_HYDROCRACKING"),"Hydrocracker",IF($H6776="REFORMING","Reformer",""))))</f>
        <v/>
      </c>
      <c r="H6776" s="6" t="s">
        <v>378</v>
      </c>
      <c r="I6776" s="6" t="s">
        <v>489</v>
      </c>
      <c r="J6776" s="6" t="s">
        <v>349</v>
      </c>
      <c r="K6776" s="10">
        <v>48</v>
      </c>
      <c r="L6776" s="10">
        <v>60</v>
      </c>
      <c r="M6776" s="6" t="s">
        <v>371</v>
      </c>
    </row>
    <row r="6777" spans="1:13">
      <c r="A6777" s="6">
        <v>2025</v>
      </c>
      <c r="B6777" s="6">
        <v>11</v>
      </c>
      <c r="C6777" s="6" t="s">
        <v>69</v>
      </c>
      <c r="D6777" s="6" t="s">
        <v>51</v>
      </c>
      <c r="E6777" s="6" t="s">
        <v>391</v>
      </c>
      <c r="F6777" s="6" t="str">
        <f>IF($M6777="PADD I","PADD 1",IF($M6777="PADD II","PADD 2",IF($M6777="PADD III","PADD 3",IF($M6777="PADD IV","PADD 4",IF($M6777="PADD V","PADD 5","")))))</f>
        <v>PADD 5</v>
      </c>
      <c r="G6777" s="6" t="str">
        <f>IF(AND($H6777="ATMOS DISTILLATION",ISNUMBER(SEARCH("VPS",$I6777))=FALSE,LEFT($I6777,6)&lt;&gt;"VACUUM"),"CDU",IF($H6777="FLUID CAT CRACKING","FCC",IF(OR($H6777="HYDROCRACKING",$H6777="RESID_HYDROCRACKING"),"Hydrocracker",IF($H6777="REFORMING","Reformer",""))))</f>
        <v>Reformer</v>
      </c>
      <c r="H6777" s="6" t="s">
        <v>421</v>
      </c>
      <c r="I6777" s="6" t="s">
        <v>539</v>
      </c>
      <c r="J6777" s="6" t="s">
        <v>345</v>
      </c>
      <c r="K6777" s="10">
        <v>48</v>
      </c>
      <c r="L6777" s="10">
        <v>60</v>
      </c>
      <c r="M6777" s="6" t="s">
        <v>386</v>
      </c>
    </row>
    <row r="6778" spans="1:13">
      <c r="A6778" s="6">
        <v>2025</v>
      </c>
      <c r="B6778" s="6">
        <v>11</v>
      </c>
      <c r="C6778" s="6" t="s">
        <v>69</v>
      </c>
      <c r="D6778" s="6" t="s">
        <v>395</v>
      </c>
      <c r="E6778" s="6" t="s">
        <v>396</v>
      </c>
      <c r="F6778" s="6" t="str">
        <f>IF($M6778="PADD I","PADD 1",IF($M6778="PADD II","PADD 2",IF($M6778="PADD III","PADD 3",IF($M6778="PADD IV","PADD 4",IF($M6778="PADD V","PADD 5","")))))</f>
        <v>PADD 3</v>
      </c>
      <c r="G6778" s="6">
        <f>IF(AND($H6778="ATMOS DISTILLATION",ISNUMBER(SEARCH("VPS",$I6778))=FALSE,LEFT($I6778,6)&lt;&gt;"VACUUM"),"CDU",IF($H6778="FLUID CAT CRACKING","FCC",IF(OR($H6778="HYDROCRACKING",$H6778="RESID_HYDROCRACKING"),"Hydrocracker",IF($H6778="REFORMING","Reformer",""))))</f>
        <v/>
      </c>
      <c r="H6778" s="6" t="s">
        <v>43</v>
      </c>
      <c r="I6778" s="6" t="s">
        <v>499</v>
      </c>
      <c r="J6778" s="6" t="s">
        <v>349</v>
      </c>
      <c r="K6778" s="10">
        <v>45.36</v>
      </c>
      <c r="L6778" s="10">
        <v>72</v>
      </c>
      <c r="M6778" s="6" t="s">
        <v>371</v>
      </c>
    </row>
    <row r="6779" spans="1:13">
      <c r="A6779" s="6">
        <v>2025</v>
      </c>
      <c r="B6779" s="6">
        <v>11</v>
      </c>
      <c r="C6779" s="6" t="s">
        <v>69</v>
      </c>
      <c r="D6779" s="6" t="s">
        <v>395</v>
      </c>
      <c r="E6779" s="6" t="s">
        <v>396</v>
      </c>
      <c r="F6779" s="6" t="str">
        <f>IF($M6779="PADD I","PADD 1",IF($M6779="PADD II","PADD 2",IF($M6779="PADD III","PADD 3",IF($M6779="PADD IV","PADD 4",IF($M6779="PADD V","PADD 5","")))))</f>
        <v>PADD 3</v>
      </c>
      <c r="G6779" s="6" t="str">
        <f>IF(AND($H6779="ATMOS DISTILLATION",ISNUMBER(SEARCH("VPS",$I6779))=FALSE,LEFT($I6779,6)&lt;&gt;"VACUUM"),"CDU",IF($H6779="FLUID CAT CRACKING","FCC",IF(OR($H6779="HYDROCRACKING",$H6779="RESID_HYDROCRACKING"),"Hydrocracker",IF($H6779="REFORMING","Reformer",""))))</f>
        <v>Hydrocracker</v>
      </c>
      <c r="H6779" s="6" t="s">
        <v>444</v>
      </c>
      <c r="I6779" s="6" t="s">
        <v>512</v>
      </c>
      <c r="J6779" s="6" t="s">
        <v>349</v>
      </c>
      <c r="K6779" s="10">
        <v>44.1</v>
      </c>
      <c r="L6779" s="10">
        <v>70</v>
      </c>
      <c r="M6779" s="6" t="s">
        <v>371</v>
      </c>
    </row>
    <row r="6780" spans="1:13">
      <c r="A6780" s="6">
        <v>2025</v>
      </c>
      <c r="B6780" s="6">
        <v>11</v>
      </c>
      <c r="C6780" s="6" t="s">
        <v>69</v>
      </c>
      <c r="D6780" s="6" t="s">
        <v>612</v>
      </c>
      <c r="E6780" s="6" t="s">
        <v>416</v>
      </c>
      <c r="F6780" s="6" t="str">
        <f>IF($M6780="PADD I","PADD 1",IF($M6780="PADD II","PADD 2",IF($M6780="PADD III","PADD 3",IF($M6780="PADD IV","PADD 4",IF($M6780="PADD V","PADD 5","")))))</f>
        <v>PADD 3</v>
      </c>
      <c r="G6780" s="6">
        <f>IF(AND($H6780="ATMOS DISTILLATION",ISNUMBER(SEARCH("VPS",$I6780))=FALSE,LEFT($I6780,6)&lt;&gt;"VACUUM"),"CDU",IF($H6780="FLUID CAT CRACKING","FCC",IF(OR($H6780="HYDROCRACKING",$H6780="RESID_HYDROCRACKING"),"Hydrocracker",IF($H6780="REFORMING","Reformer",""))))</f>
        <v/>
      </c>
      <c r="H6780" s="6" t="s">
        <v>435</v>
      </c>
      <c r="I6780" s="6" t="s">
        <v>441</v>
      </c>
      <c r="J6780" s="6" t="s">
        <v>345</v>
      </c>
      <c r="K6780" s="10">
        <v>44</v>
      </c>
      <c r="L6780" s="10">
        <v>44</v>
      </c>
      <c r="M6780" s="6" t="s">
        <v>371</v>
      </c>
    </row>
    <row r="6781" spans="1:13">
      <c r="A6781" s="6">
        <v>2025</v>
      </c>
      <c r="B6781" s="6">
        <v>11</v>
      </c>
      <c r="C6781" s="6" t="s">
        <v>69</v>
      </c>
      <c r="D6781" s="6" t="s">
        <v>326</v>
      </c>
      <c r="E6781" s="6" t="s">
        <v>385</v>
      </c>
      <c r="F6781" s="6" t="str">
        <f>IF($M6781="PADD I","PADD 1",IF($M6781="PADD II","PADD 2",IF($M6781="PADD III","PADD 3",IF($M6781="PADD IV","PADD 4",IF($M6781="PADD V","PADD 5","")))))</f>
        <v>PADD 5</v>
      </c>
      <c r="G6781" s="6" t="str">
        <f>IF(AND($H6781="ATMOS DISTILLATION",ISNUMBER(SEARCH("VPS",$I6781))=FALSE,LEFT($I6781,6)&lt;&gt;"VACUUM"),"CDU",IF($H6781="FLUID CAT CRACKING","FCC",IF(OR($H6781="HYDROCRACKING",$H6781="RESID_HYDROCRACKING"),"Hydrocracker",IF($H6781="REFORMING","Reformer",""))))</f>
        <v>Hydrocracker</v>
      </c>
      <c r="H6781" s="6" t="s">
        <v>444</v>
      </c>
      <c r="I6781" s="6" t="s">
        <v>498</v>
      </c>
      <c r="J6781" s="6" t="s">
        <v>345</v>
      </c>
      <c r="K6781" s="10">
        <v>42</v>
      </c>
      <c r="L6781" s="10">
        <v>42</v>
      </c>
      <c r="M6781" s="6" t="s">
        <v>386</v>
      </c>
    </row>
    <row r="6782" spans="1:13">
      <c r="A6782" s="6">
        <v>2025</v>
      </c>
      <c r="B6782" s="6">
        <v>11</v>
      </c>
      <c r="C6782" s="6" t="s">
        <v>69</v>
      </c>
      <c r="D6782" s="6" t="s">
        <v>408</v>
      </c>
      <c r="E6782" s="6" t="s">
        <v>409</v>
      </c>
      <c r="F6782" s="6" t="str">
        <f>IF($M6782="PADD I","PADD 1",IF($M6782="PADD II","PADD 2",IF($M6782="PADD III","PADD 3",IF($M6782="PADD IV","PADD 4",IF($M6782="PADD V","PADD 5","")))))</f>
        <v>PADD 3</v>
      </c>
      <c r="G6782" s="6">
        <f>IF(AND($H6782="ATMOS DISTILLATION",ISNUMBER(SEARCH("VPS",$I6782))=FALSE,LEFT($I6782,6)&lt;&gt;"VACUUM"),"CDU",IF($H6782="FLUID CAT CRACKING","FCC",IF(OR($H6782="HYDROCRACKING",$H6782="RESID_HYDROCRACKING"),"Hydrocracker",IF($H6782="REFORMING","Reformer",""))))</f>
        <v/>
      </c>
      <c r="H6782" s="6" t="s">
        <v>378</v>
      </c>
      <c r="I6782" s="6" t="s">
        <v>506</v>
      </c>
      <c r="J6782" s="6" t="s">
        <v>349</v>
      </c>
      <c r="K6782" s="10">
        <v>40.8</v>
      </c>
      <c r="L6782" s="10">
        <v>51</v>
      </c>
      <c r="M6782" s="6" t="s">
        <v>371</v>
      </c>
    </row>
    <row r="6783" spans="1:13">
      <c r="A6783" s="6">
        <v>2025</v>
      </c>
      <c r="B6783" s="6">
        <v>11</v>
      </c>
      <c r="C6783" s="6" t="s">
        <v>69</v>
      </c>
      <c r="D6783" s="6" t="s">
        <v>322</v>
      </c>
      <c r="E6783" s="6" t="s">
        <v>369</v>
      </c>
      <c r="F6783" s="6" t="str">
        <f>IF($M6783="PADD I","PADD 1",IF($M6783="PADD II","PADD 2",IF($M6783="PADD III","PADD 3",IF($M6783="PADD IV","PADD 4",IF($M6783="PADD V","PADD 5","")))))</f>
        <v>PADD 2</v>
      </c>
      <c r="G6783" s="6" t="str">
        <f>IF(AND($H6783="ATMOS DISTILLATION",ISNUMBER(SEARCH("VPS",$I6783))=FALSE,LEFT($I6783,6)&lt;&gt;"VACUUM"),"CDU",IF($H6783="FLUID CAT CRACKING","FCC",IF(OR($H6783="HYDROCRACKING",$H6783="RESID_HYDROCRACKING"),"Hydrocracker",IF($H6783="REFORMING","Reformer",""))))</f>
        <v>Reformer</v>
      </c>
      <c r="H6783" s="6" t="s">
        <v>421</v>
      </c>
      <c r="I6783" s="6" t="s">
        <v>685</v>
      </c>
      <c r="J6783" s="6" t="s">
        <v>349</v>
      </c>
      <c r="K6783" s="10">
        <v>38.5</v>
      </c>
      <c r="L6783" s="10">
        <v>50</v>
      </c>
      <c r="M6783" s="6" t="s">
        <v>375</v>
      </c>
    </row>
    <row r="6784" spans="1:13">
      <c r="A6784" s="6">
        <v>2025</v>
      </c>
      <c r="B6784" s="6">
        <v>11</v>
      </c>
      <c r="C6784" s="6" t="s">
        <v>69</v>
      </c>
      <c r="D6784" s="6" t="s">
        <v>51</v>
      </c>
      <c r="E6784" s="6" t="s">
        <v>391</v>
      </c>
      <c r="F6784" s="6" t="str">
        <f>IF($M6784="PADD I","PADD 1",IF($M6784="PADD II","PADD 2",IF($M6784="PADD III","PADD 3",IF($M6784="PADD IV","PADD 4",IF($M6784="PADD V","PADD 5","")))))</f>
        <v>PADD 5</v>
      </c>
      <c r="G6784" s="6">
        <f>IF(AND($H6784="ATMOS DISTILLATION",ISNUMBER(SEARCH("VPS",$I6784))=FALSE,LEFT($I6784,6)&lt;&gt;"VACUUM"),"CDU",IF($H6784="FLUID CAT CRACKING","FCC",IF(OR($H6784="HYDROCRACKING",$H6784="RESID_HYDROCRACKING"),"Hydrocracker",IF($H6784="REFORMING","Reformer",""))))</f>
        <v/>
      </c>
      <c r="H6784" s="6" t="s">
        <v>378</v>
      </c>
      <c r="I6784" s="6" t="s">
        <v>1035</v>
      </c>
      <c r="J6784" s="6" t="s">
        <v>345</v>
      </c>
      <c r="K6784" s="10">
        <v>37.52</v>
      </c>
      <c r="L6784" s="10">
        <v>56</v>
      </c>
      <c r="M6784" s="6" t="s">
        <v>386</v>
      </c>
    </row>
    <row r="6785" spans="1:13">
      <c r="A6785" s="6">
        <v>2025</v>
      </c>
      <c r="B6785" s="6">
        <v>11</v>
      </c>
      <c r="C6785" s="6" t="s">
        <v>69</v>
      </c>
      <c r="D6785" s="6" t="s">
        <v>408</v>
      </c>
      <c r="E6785" s="6" t="s">
        <v>409</v>
      </c>
      <c r="F6785" s="6" t="str">
        <f>IF($M6785="PADD I","PADD 1",IF($M6785="PADD II","PADD 2",IF($M6785="PADD III","PADD 3",IF($M6785="PADD IV","PADD 4",IF($M6785="PADD V","PADD 5","")))))</f>
        <v>PADD 3</v>
      </c>
      <c r="G6785" s="6" t="str">
        <f>IF(AND($H6785="ATMOS DISTILLATION",ISNUMBER(SEARCH("VPS",$I6785))=FALSE,LEFT($I6785,6)&lt;&gt;"VACUUM"),"CDU",IF($H6785="FLUID CAT CRACKING","FCC",IF(OR($H6785="HYDROCRACKING",$H6785="RESID_HYDROCRACKING"),"Hydrocracker",IF($H6785="REFORMING","Reformer",""))))</f>
        <v>CDU</v>
      </c>
      <c r="H6785" s="6" t="s">
        <v>38</v>
      </c>
      <c r="I6785" s="6" t="s">
        <v>522</v>
      </c>
      <c r="J6785" s="6" t="s">
        <v>349</v>
      </c>
      <c r="K6785" s="10">
        <v>32</v>
      </c>
      <c r="L6785" s="10">
        <v>40</v>
      </c>
      <c r="M6785" s="6" t="s">
        <v>371</v>
      </c>
    </row>
    <row r="6786" spans="1:13">
      <c r="A6786" s="6">
        <v>2025</v>
      </c>
      <c r="B6786" s="6">
        <v>11</v>
      </c>
      <c r="C6786" s="6" t="s">
        <v>69</v>
      </c>
      <c r="D6786" s="6" t="s">
        <v>326</v>
      </c>
      <c r="E6786" s="6" t="s">
        <v>385</v>
      </c>
      <c r="F6786" s="6" t="str">
        <f>IF($M6786="PADD I","PADD 1",IF($M6786="PADD II","PADD 2",IF($M6786="PADD III","PADD 3",IF($M6786="PADD IV","PADD 4",IF($M6786="PADD V","PADD 5","")))))</f>
        <v>PADD 5</v>
      </c>
      <c r="G6786" s="6">
        <f>IF(AND($H6786="ATMOS DISTILLATION",ISNUMBER(SEARCH("VPS",$I6786))=FALSE,LEFT($I6786,6)&lt;&gt;"VACUUM"),"CDU",IF($H6786="FLUID CAT CRACKING","FCC",IF(OR($H6786="HYDROCRACKING",$H6786="RESID_HYDROCRACKING"),"Hydrocracker",IF($H6786="REFORMING","Reformer",""))))</f>
        <v/>
      </c>
      <c r="H6786" s="6" t="s">
        <v>378</v>
      </c>
      <c r="I6786" s="6" t="s">
        <v>431</v>
      </c>
      <c r="J6786" s="6" t="s">
        <v>345</v>
      </c>
      <c r="K6786" s="10">
        <v>31.5</v>
      </c>
      <c r="L6786" s="10">
        <v>31.5</v>
      </c>
      <c r="M6786" s="6" t="s">
        <v>386</v>
      </c>
    </row>
    <row r="6787" spans="1:13">
      <c r="A6787" s="6">
        <v>2025</v>
      </c>
      <c r="B6787" s="6">
        <v>11</v>
      </c>
      <c r="C6787" s="6" t="s">
        <v>69</v>
      </c>
      <c r="D6787" s="6" t="s">
        <v>395</v>
      </c>
      <c r="E6787" s="6" t="s">
        <v>396</v>
      </c>
      <c r="F6787" s="6" t="str">
        <f>IF($M6787="PADD I","PADD 1",IF($M6787="PADD II","PADD 2",IF($M6787="PADD III","PADD 3",IF($M6787="PADD IV","PADD 4",IF($M6787="PADD V","PADD 5","")))))</f>
        <v>PADD 3</v>
      </c>
      <c r="G6787" s="6" t="str">
        <f>IF(AND($H6787="ATMOS DISTILLATION",ISNUMBER(SEARCH("VPS",$I6787))=FALSE,LEFT($I6787,6)&lt;&gt;"VACUUM"),"CDU",IF($H6787="FLUID CAT CRACKING","FCC",IF(OR($H6787="HYDROCRACKING",$H6787="RESID_HYDROCRACKING"),"Hydrocracker",IF($H6787="REFORMING","Reformer",""))))</f>
        <v>Reformer</v>
      </c>
      <c r="H6787" s="6" t="s">
        <v>421</v>
      </c>
      <c r="I6787" s="6" t="s">
        <v>540</v>
      </c>
      <c r="J6787" s="6" t="s">
        <v>345</v>
      </c>
      <c r="K6787" s="10">
        <v>31.5</v>
      </c>
      <c r="L6787" s="10">
        <v>45</v>
      </c>
      <c r="M6787" s="6" t="s">
        <v>371</v>
      </c>
    </row>
    <row r="6788" spans="1:13">
      <c r="A6788" s="6">
        <v>2025</v>
      </c>
      <c r="B6788" s="6">
        <v>11</v>
      </c>
      <c r="C6788" s="6" t="s">
        <v>69</v>
      </c>
      <c r="D6788" s="6" t="s">
        <v>1139</v>
      </c>
      <c r="E6788" s="6" t="s">
        <v>452</v>
      </c>
      <c r="F6788" s="6" t="str">
        <f>IF($M6788="PADD I","PADD 1",IF($M6788="PADD II","PADD 2",IF($M6788="PADD III","PADD 3",IF($M6788="PADD IV","PADD 4",IF($M6788="PADD V","PADD 5","")))))</f>
        <v>PADD 5</v>
      </c>
      <c r="G6788" s="6">
        <f>IF(AND($H6788="ATMOS DISTILLATION",ISNUMBER(SEARCH("VPS",$I6788))=FALSE,LEFT($I6788,6)&lt;&gt;"VACUUM"),"CDU",IF($H6788="FLUID CAT CRACKING","FCC",IF(OR($H6788="HYDROCRACKING",$H6788="RESID_HYDROCRACKING"),"Hydrocracker",IF($H6788="REFORMING","Reformer",""))))</f>
        <v/>
      </c>
      <c r="H6788" s="6" t="s">
        <v>43</v>
      </c>
      <c r="I6788" s="6" t="s">
        <v>930</v>
      </c>
      <c r="J6788" s="6" t="s">
        <v>345</v>
      </c>
      <c r="K6788" s="10">
        <v>31.185</v>
      </c>
      <c r="L6788" s="10">
        <v>49.5</v>
      </c>
      <c r="M6788" s="6" t="s">
        <v>386</v>
      </c>
    </row>
    <row r="6789" spans="1:13">
      <c r="A6789" s="6">
        <v>2025</v>
      </c>
      <c r="B6789" s="6">
        <v>11</v>
      </c>
      <c r="C6789" s="6" t="s">
        <v>69</v>
      </c>
      <c r="D6789" s="6" t="s">
        <v>646</v>
      </c>
      <c r="E6789" s="6" t="s">
        <v>405</v>
      </c>
      <c r="F6789" s="6" t="str">
        <f>IF($M6789="PADD I","PADD 1",IF($M6789="PADD II","PADD 2",IF($M6789="PADD III","PADD 3",IF($M6789="PADD IV","PADD 4",IF($M6789="PADD V","PADD 5","")))))</f>
        <v>PADD 3</v>
      </c>
      <c r="G6789" s="6">
        <f>IF(AND($H6789="ATMOS DISTILLATION",ISNUMBER(SEARCH("VPS",$I6789))=FALSE,LEFT($I6789,6)&lt;&gt;"VACUUM"),"CDU",IF($H6789="FLUID CAT CRACKING","FCC",IF(OR($H6789="HYDROCRACKING",$H6789="RESID_HYDROCRACKING"),"Hydrocracker",IF($H6789="REFORMING","Reformer",""))))</f>
        <v/>
      </c>
      <c r="H6789" s="6" t="s">
        <v>43</v>
      </c>
      <c r="I6789" s="6" t="s">
        <v>843</v>
      </c>
      <c r="J6789" s="6" t="s">
        <v>345</v>
      </c>
      <c r="K6789" s="10">
        <v>30</v>
      </c>
      <c r="L6789" s="10">
        <v>30</v>
      </c>
      <c r="M6789" s="6" t="s">
        <v>371</v>
      </c>
    </row>
    <row r="6790" spans="1:13">
      <c r="A6790" s="6">
        <v>2025</v>
      </c>
      <c r="B6790" s="6">
        <v>11</v>
      </c>
      <c r="C6790" s="6" t="s">
        <v>69</v>
      </c>
      <c r="D6790" s="6" t="s">
        <v>542</v>
      </c>
      <c r="E6790" s="6" t="s">
        <v>543</v>
      </c>
      <c r="F6790" s="6" t="str">
        <f>IF($M6790="PADD I","PADD 1",IF($M6790="PADD II","PADD 2",IF($M6790="PADD III","PADD 3",IF($M6790="PADD IV","PADD 4",IF($M6790="PADD V","PADD 5","")))))</f>
        <v>PADD 2</v>
      </c>
      <c r="G6790" s="6" t="str">
        <f>IF(AND($H6790="ATMOS DISTILLATION",ISNUMBER(SEARCH("VPS",$I6790))=FALSE,LEFT($I6790,6)&lt;&gt;"VACUUM"),"CDU",IF($H6790="FLUID CAT CRACKING","FCC",IF(OR($H6790="HYDROCRACKING",$H6790="RESID_HYDROCRACKING"),"Hydrocracker",IF($H6790="REFORMING","Reformer",""))))</f>
        <v>CDU</v>
      </c>
      <c r="H6790" s="6" t="s">
        <v>38</v>
      </c>
      <c r="I6790" s="6" t="s">
        <v>1115</v>
      </c>
      <c r="J6790" s="6" t="s">
        <v>349</v>
      </c>
      <c r="K6790" s="10">
        <v>29.7</v>
      </c>
      <c r="L6790" s="10">
        <v>90</v>
      </c>
      <c r="M6790" s="6" t="s">
        <v>375</v>
      </c>
    </row>
    <row r="6791" spans="1:13">
      <c r="A6791" s="6">
        <v>2025</v>
      </c>
      <c r="B6791" s="6">
        <v>11</v>
      </c>
      <c r="C6791" s="6" t="s">
        <v>69</v>
      </c>
      <c r="D6791" s="6" t="s">
        <v>1063</v>
      </c>
      <c r="E6791" s="6" t="s">
        <v>388</v>
      </c>
      <c r="F6791" s="6" t="str">
        <f>IF($M6791="PADD I","PADD 1",IF($M6791="PADD II","PADD 2",IF($M6791="PADD III","PADD 3",IF($M6791="PADD IV","PADD 4",IF($M6791="PADD V","PADD 5","")))))</f>
        <v>PADD 2</v>
      </c>
      <c r="G6791" s="6" t="str">
        <f>IF(AND($H6791="ATMOS DISTILLATION",ISNUMBER(SEARCH("VPS",$I6791))=FALSE,LEFT($I6791,6)&lt;&gt;"VACUUM"),"CDU",IF($H6791="FLUID CAT CRACKING","FCC",IF(OR($H6791="HYDROCRACKING",$H6791="RESID_HYDROCRACKING"),"Hydrocracker",IF($H6791="REFORMING","Reformer",""))))</f>
        <v>CDU</v>
      </c>
      <c r="H6791" s="6" t="s">
        <v>38</v>
      </c>
      <c r="I6791" s="6" t="s">
        <v>81</v>
      </c>
      <c r="J6791" s="6" t="s">
        <v>345</v>
      </c>
      <c r="K6791" s="10">
        <v>29.4</v>
      </c>
      <c r="L6791" s="10">
        <v>147</v>
      </c>
      <c r="M6791" s="6" t="s">
        <v>375</v>
      </c>
    </row>
    <row r="6792" spans="1:13">
      <c r="A6792" s="6">
        <v>2025</v>
      </c>
      <c r="B6792" s="6">
        <v>11</v>
      </c>
      <c r="C6792" s="6" t="s">
        <v>69</v>
      </c>
      <c r="D6792" s="6" t="s">
        <v>51</v>
      </c>
      <c r="E6792" s="6" t="s">
        <v>391</v>
      </c>
      <c r="F6792" s="6" t="str">
        <f>IF($M6792="PADD I","PADD 1",IF($M6792="PADD II","PADD 2",IF($M6792="PADD III","PADD 3",IF($M6792="PADD IV","PADD 4",IF($M6792="PADD V","PADD 5","")))))</f>
        <v>PADD 5</v>
      </c>
      <c r="G6792" s="6" t="str">
        <f>IF(AND($H6792="ATMOS DISTILLATION",ISNUMBER(SEARCH("VPS",$I6792))=FALSE,LEFT($I6792,6)&lt;&gt;"VACUUM"),"CDU",IF($H6792="FLUID CAT CRACKING","FCC",IF(OR($H6792="HYDROCRACKING",$H6792="RESID_HYDROCRACKING"),"Hydrocracker",IF($H6792="REFORMING","Reformer",""))))</f>
        <v>FCC</v>
      </c>
      <c r="H6792" s="6" t="s">
        <v>376</v>
      </c>
      <c r="I6792" s="6" t="s">
        <v>105</v>
      </c>
      <c r="J6792" s="6" t="s">
        <v>345</v>
      </c>
      <c r="K6792" s="10">
        <v>29.2</v>
      </c>
      <c r="L6792" s="10">
        <v>73</v>
      </c>
      <c r="M6792" s="6" t="s">
        <v>386</v>
      </c>
    </row>
    <row r="6793" spans="1:13">
      <c r="A6793" s="6">
        <v>2025</v>
      </c>
      <c r="B6793" s="6">
        <v>11</v>
      </c>
      <c r="C6793" s="6" t="s">
        <v>69</v>
      </c>
      <c r="D6793" s="6" t="s">
        <v>395</v>
      </c>
      <c r="E6793" s="6" t="s">
        <v>396</v>
      </c>
      <c r="F6793" s="6" t="str">
        <f>IF($M6793="PADD I","PADD 1",IF($M6793="PADD II","PADD 2",IF($M6793="PADD III","PADD 3",IF($M6793="PADD IV","PADD 4",IF($M6793="PADD V","PADD 5","")))))</f>
        <v>PADD 3</v>
      </c>
      <c r="G6793" s="6" t="str">
        <f>IF(AND($H6793="ATMOS DISTILLATION",ISNUMBER(SEARCH("VPS",$I6793))=FALSE,LEFT($I6793,6)&lt;&gt;"VACUUM"),"CDU",IF($H6793="FLUID CAT CRACKING","FCC",IF(OR($H6793="HYDROCRACKING",$H6793="RESID_HYDROCRACKING"),"Hydrocracker",IF($H6793="REFORMING","Reformer",""))))</f>
        <v>Reformer</v>
      </c>
      <c r="H6793" s="6" t="s">
        <v>421</v>
      </c>
      <c r="I6793" s="6" t="s">
        <v>538</v>
      </c>
      <c r="J6793" s="6" t="s">
        <v>349</v>
      </c>
      <c r="K6793" s="10">
        <v>28.917</v>
      </c>
      <c r="L6793" s="10">
        <v>45.9</v>
      </c>
      <c r="M6793" s="6" t="s">
        <v>371</v>
      </c>
    </row>
    <row r="6794" spans="1:13">
      <c r="A6794" s="6">
        <v>2025</v>
      </c>
      <c r="B6794" s="6">
        <v>11</v>
      </c>
      <c r="C6794" s="6" t="s">
        <v>69</v>
      </c>
      <c r="D6794" s="6" t="s">
        <v>563</v>
      </c>
      <c r="E6794" s="6" t="s">
        <v>396</v>
      </c>
      <c r="F6794" s="6" t="str">
        <f>IF($M6794="PADD I","PADD 1",IF($M6794="PADD II","PADD 2",IF($M6794="PADD III","PADD 3",IF($M6794="PADD IV","PADD 4",IF($M6794="PADD V","PADD 5","")))))</f>
        <v>PADD 3</v>
      </c>
      <c r="G6794" s="6">
        <f>IF(AND($H6794="ATMOS DISTILLATION",ISNUMBER(SEARCH("VPS",$I6794))=FALSE,LEFT($I6794,6)&lt;&gt;"VACUUM"),"CDU",IF($H6794="FLUID CAT CRACKING","FCC",IF(OR($H6794="HYDROCRACKING",$H6794="RESID_HYDROCRACKING"),"Hydrocracker",IF($H6794="REFORMING","Reformer",""))))</f>
        <v/>
      </c>
      <c r="H6794" s="6" t="s">
        <v>43</v>
      </c>
      <c r="I6794" s="6" t="s">
        <v>564</v>
      </c>
      <c r="J6794" s="6" t="s">
        <v>345</v>
      </c>
      <c r="K6794" s="10">
        <v>27.403</v>
      </c>
      <c r="L6794" s="10">
        <v>40.9</v>
      </c>
      <c r="M6794" s="6" t="s">
        <v>371</v>
      </c>
    </row>
    <row r="6795" spans="1:13">
      <c r="A6795" s="6">
        <v>2025</v>
      </c>
      <c r="B6795" s="6">
        <v>11</v>
      </c>
      <c r="C6795" s="6" t="s">
        <v>69</v>
      </c>
      <c r="D6795" s="6" t="s">
        <v>395</v>
      </c>
      <c r="E6795" s="6" t="s">
        <v>396</v>
      </c>
      <c r="F6795" s="6" t="str">
        <f>IF($M6795="PADD I","PADD 1",IF($M6795="PADD II","PADD 2",IF($M6795="PADD III","PADD 3",IF($M6795="PADD IV","PADD 4",IF($M6795="PADD V","PADD 5","")))))</f>
        <v>PADD 3</v>
      </c>
      <c r="G6795" s="6">
        <f>IF(AND($H6795="ATMOS DISTILLATION",ISNUMBER(SEARCH("VPS",$I6795))=FALSE,LEFT($I6795,6)&lt;&gt;"VACUUM"),"CDU",IF($H6795="FLUID CAT CRACKING","FCC",IF(OR($H6795="HYDROCRACKING",$H6795="RESID_HYDROCRACKING"),"Hydrocracker",IF($H6795="REFORMING","Reformer",""))))</f>
        <v/>
      </c>
      <c r="H6795" s="6" t="s">
        <v>43</v>
      </c>
      <c r="I6795" s="6" t="s">
        <v>551</v>
      </c>
      <c r="J6795" s="6" t="s">
        <v>349</v>
      </c>
      <c r="K6795" s="10">
        <v>25.767</v>
      </c>
      <c r="L6795" s="10">
        <v>40.9</v>
      </c>
      <c r="M6795" s="6" t="s">
        <v>371</v>
      </c>
    </row>
    <row r="6796" spans="1:13">
      <c r="A6796" s="6">
        <v>2025</v>
      </c>
      <c r="B6796" s="6">
        <v>11</v>
      </c>
      <c r="C6796" s="6" t="s">
        <v>69</v>
      </c>
      <c r="D6796" s="6" t="s">
        <v>612</v>
      </c>
      <c r="E6796" s="6" t="s">
        <v>416</v>
      </c>
      <c r="F6796" s="6" t="str">
        <f>IF($M6796="PADD I","PADD 1",IF($M6796="PADD II","PADD 2",IF($M6796="PADD III","PADD 3",IF($M6796="PADD IV","PADD 4",IF($M6796="PADD V","PADD 5","")))))</f>
        <v>PADD 3</v>
      </c>
      <c r="G6796" s="6">
        <f>IF(AND($H6796="ATMOS DISTILLATION",ISNUMBER(SEARCH("VPS",$I6796))=FALSE,LEFT($I6796,6)&lt;&gt;"VACUUM"),"CDU",IF($H6796="FLUID CAT CRACKING","FCC",IF(OR($H6796="HYDROCRACKING",$H6796="RESID_HYDROCRACKING"),"Hydrocracker",IF($H6796="REFORMING","Reformer",""))))</f>
        <v/>
      </c>
      <c r="H6796" s="6" t="s">
        <v>43</v>
      </c>
      <c r="I6796" s="6" t="s">
        <v>458</v>
      </c>
      <c r="J6796" s="6" t="s">
        <v>349</v>
      </c>
      <c r="K6796" s="10">
        <v>25.2</v>
      </c>
      <c r="L6796" s="10">
        <v>40</v>
      </c>
      <c r="M6796" s="6" t="s">
        <v>371</v>
      </c>
    </row>
    <row r="6797" spans="1:13">
      <c r="A6797" s="6">
        <v>2025</v>
      </c>
      <c r="B6797" s="6">
        <v>11</v>
      </c>
      <c r="C6797" s="6" t="s">
        <v>69</v>
      </c>
      <c r="D6797" s="6" t="s">
        <v>670</v>
      </c>
      <c r="E6797" s="6" t="s">
        <v>405</v>
      </c>
      <c r="F6797" s="6" t="str">
        <f>IF($M6797="PADD I","PADD 1",IF($M6797="PADD II","PADD 2",IF($M6797="PADD III","PADD 3",IF($M6797="PADD IV","PADD 4",IF($M6797="PADD V","PADD 5","")))))</f>
        <v>PADD 2</v>
      </c>
      <c r="G6797" s="6" t="str">
        <f>IF(AND($H6797="ATMOS DISTILLATION",ISNUMBER(SEARCH("VPS",$I6797))=FALSE,LEFT($I6797,6)&lt;&gt;"VACUUM"),"CDU",IF($H6797="FLUID CAT CRACKING","FCC",IF(OR($H6797="HYDROCRACKING",$H6797="RESID_HYDROCRACKING"),"Hydrocracker",IF($H6797="REFORMING","Reformer",""))))</f>
        <v>CDU</v>
      </c>
      <c r="H6797" s="6" t="s">
        <v>38</v>
      </c>
      <c r="I6797" s="6" t="s">
        <v>107</v>
      </c>
      <c r="J6797" s="6" t="s">
        <v>345</v>
      </c>
      <c r="K6797" s="10">
        <v>24.15</v>
      </c>
      <c r="L6797" s="10">
        <v>105</v>
      </c>
      <c r="M6797" s="6" t="s">
        <v>375</v>
      </c>
    </row>
    <row r="6798" spans="1:13">
      <c r="A6798" s="6">
        <v>2025</v>
      </c>
      <c r="B6798" s="6">
        <v>11</v>
      </c>
      <c r="C6798" s="6" t="s">
        <v>69</v>
      </c>
      <c r="D6798" s="6" t="s">
        <v>408</v>
      </c>
      <c r="E6798" s="6" t="s">
        <v>409</v>
      </c>
      <c r="F6798" s="6" t="str">
        <f>IF($M6798="PADD I","PADD 1",IF($M6798="PADD II","PADD 2",IF($M6798="PADD III","PADD 3",IF($M6798="PADD IV","PADD 4",IF($M6798="PADD V","PADD 5","")))))</f>
        <v>PADD 3</v>
      </c>
      <c r="G6798" s="6">
        <f>IF(AND($H6798="ATMOS DISTILLATION",ISNUMBER(SEARCH("VPS",$I6798))=FALSE,LEFT($I6798,6)&lt;&gt;"VACUUM"),"CDU",IF($H6798="FLUID CAT CRACKING","FCC",IF(OR($H6798="HYDROCRACKING",$H6798="RESID_HYDROCRACKING"),"Hydrocracker",IF($H6798="REFORMING","Reformer",""))))</f>
        <v/>
      </c>
      <c r="H6798" s="6" t="s">
        <v>43</v>
      </c>
      <c r="I6798" s="6" t="s">
        <v>503</v>
      </c>
      <c r="J6798" s="6" t="s">
        <v>349</v>
      </c>
      <c r="K6798" s="10">
        <v>24</v>
      </c>
      <c r="L6798" s="10">
        <v>30</v>
      </c>
      <c r="M6798" s="6" t="s">
        <v>371</v>
      </c>
    </row>
    <row r="6799" spans="1:13">
      <c r="A6799" s="6">
        <v>2025</v>
      </c>
      <c r="B6799" s="6">
        <v>11</v>
      </c>
      <c r="C6799" s="6" t="s">
        <v>69</v>
      </c>
      <c r="D6799" s="6" t="s">
        <v>1038</v>
      </c>
      <c r="E6799" s="6" t="s">
        <v>1039</v>
      </c>
      <c r="F6799" s="6" t="str">
        <f>IF($M6799="PADD I","PADD 1",IF($M6799="PADD II","PADD 2",IF($M6799="PADD III","PADD 3",IF($M6799="PADD IV","PADD 4",IF($M6799="PADD V","PADD 5","")))))</f>
        <v>PADD 2</v>
      </c>
      <c r="G6799" s="6" t="str">
        <f>IF(AND($H6799="ATMOS DISTILLATION",ISNUMBER(SEARCH("VPS",$I6799))=FALSE,LEFT($I6799,6)&lt;&gt;"VACUUM"),"CDU",IF($H6799="FLUID CAT CRACKING","FCC",IF(OR($H6799="HYDROCRACKING",$H6799="RESID_HYDROCRACKING"),"Hydrocracker",IF($H6799="REFORMING","Reformer",""))))</f>
        <v>CDU</v>
      </c>
      <c r="H6799" s="6" t="s">
        <v>38</v>
      </c>
      <c r="I6799" s="6" t="s">
        <v>1040</v>
      </c>
      <c r="J6799" s="6" t="s">
        <v>349</v>
      </c>
      <c r="K6799" s="10">
        <v>21.85</v>
      </c>
      <c r="L6799" s="10">
        <v>95</v>
      </c>
      <c r="M6799" s="6" t="s">
        <v>375</v>
      </c>
    </row>
    <row r="6800" spans="1:13">
      <c r="A6800" s="6">
        <v>2025</v>
      </c>
      <c r="B6800" s="6">
        <v>11</v>
      </c>
      <c r="C6800" s="6" t="s">
        <v>69</v>
      </c>
      <c r="D6800" s="6" t="s">
        <v>639</v>
      </c>
      <c r="E6800" s="6" t="s">
        <v>452</v>
      </c>
      <c r="F6800" s="6" t="str">
        <f>IF($M6800="PADD I","PADD 1",IF($M6800="PADD II","PADD 2",IF($M6800="PADD III","PADD 3",IF($M6800="PADD IV","PADD 4",IF($M6800="PADD V","PADD 5","")))))</f>
        <v>PADD 5</v>
      </c>
      <c r="G6800" s="6">
        <f>IF(AND($H6800="ATMOS DISTILLATION",ISNUMBER(SEARCH("VPS",$I6800))=FALSE,LEFT($I6800,6)&lt;&gt;"VACUUM"),"CDU",IF($H6800="FLUID CAT CRACKING","FCC",IF(OR($H6800="HYDROCRACKING",$H6800="RESID_HYDROCRACKING"),"Hydrocracker",IF($H6800="REFORMING","Reformer",""))))</f>
        <v/>
      </c>
      <c r="H6800" s="6" t="s">
        <v>38</v>
      </c>
      <c r="I6800" s="6" t="s">
        <v>640</v>
      </c>
      <c r="J6800" s="6" t="s">
        <v>349</v>
      </c>
      <c r="K6800" s="10">
        <v>21.6</v>
      </c>
      <c r="L6800" s="10">
        <v>72</v>
      </c>
      <c r="M6800" s="6" t="s">
        <v>386</v>
      </c>
    </row>
    <row r="6801" spans="1:13">
      <c r="A6801" s="6">
        <v>2025</v>
      </c>
      <c r="B6801" s="6">
        <v>11</v>
      </c>
      <c r="C6801" s="6" t="s">
        <v>69</v>
      </c>
      <c r="D6801" s="6" t="s">
        <v>457</v>
      </c>
      <c r="E6801" s="6" t="s">
        <v>388</v>
      </c>
      <c r="F6801" s="6" t="str">
        <f>IF($M6801="PADD I","PADD 1",IF($M6801="PADD II","PADD 2",IF($M6801="PADD III","PADD 3",IF($M6801="PADD IV","PADD 4",IF($M6801="PADD V","PADD 5","")))))</f>
        <v>PADD 5</v>
      </c>
      <c r="G6801" s="6">
        <f>IF(AND($H6801="ATMOS DISTILLATION",ISNUMBER(SEARCH("VPS",$I6801))=FALSE,LEFT($I6801,6)&lt;&gt;"VACUUM"),"CDU",IF($H6801="FLUID CAT CRACKING","FCC",IF(OR($H6801="HYDROCRACKING",$H6801="RESID_HYDROCRACKING"),"Hydrocracker",IF($H6801="REFORMING","Reformer",""))))</f>
        <v/>
      </c>
      <c r="H6801" s="6" t="s">
        <v>43</v>
      </c>
      <c r="I6801" s="6" t="s">
        <v>1093</v>
      </c>
      <c r="J6801" s="6" t="s">
        <v>349</v>
      </c>
      <c r="K6801" s="10">
        <v>20.75</v>
      </c>
      <c r="L6801" s="10">
        <v>25</v>
      </c>
      <c r="M6801" s="6" t="s">
        <v>386</v>
      </c>
    </row>
    <row r="6802" spans="1:13">
      <c r="A6802" s="6">
        <v>2025</v>
      </c>
      <c r="B6802" s="6">
        <v>11</v>
      </c>
      <c r="C6802" s="6" t="s">
        <v>69</v>
      </c>
      <c r="D6802" s="6" t="s">
        <v>547</v>
      </c>
      <c r="E6802" s="6" t="s">
        <v>391</v>
      </c>
      <c r="F6802" s="6" t="str">
        <f>IF($M6802="PADD I","PADD 1",IF($M6802="PADD II","PADD 2",IF($M6802="PADD III","PADD 3",IF($M6802="PADD IV","PADD 4",IF($M6802="PADD V","PADD 5","")))))</f>
        <v>PADD 5</v>
      </c>
      <c r="G6802" s="6">
        <f>IF(AND($H6802="ATMOS DISTILLATION",ISNUMBER(SEARCH("VPS",$I6802))=FALSE,LEFT($I6802,6)&lt;&gt;"VACUUM"),"CDU",IF($H6802="FLUID CAT CRACKING","FCC",IF(OR($H6802="HYDROCRACKING",$H6802="RESID_HYDROCRACKING"),"Hydrocracker",IF($H6802="REFORMING","Reformer",""))))</f>
        <v/>
      </c>
      <c r="H6802" s="6" t="s">
        <v>43</v>
      </c>
      <c r="I6802" s="6" t="s">
        <v>105</v>
      </c>
      <c r="J6802" s="6" t="s">
        <v>345</v>
      </c>
      <c r="K6802" s="10">
        <v>19.5</v>
      </c>
      <c r="L6802" s="10">
        <v>65</v>
      </c>
      <c r="M6802" s="6" t="s">
        <v>386</v>
      </c>
    </row>
    <row r="6803" spans="1:13">
      <c r="A6803" s="6">
        <v>2025</v>
      </c>
      <c r="B6803" s="6">
        <v>11</v>
      </c>
      <c r="C6803" s="6" t="s">
        <v>69</v>
      </c>
      <c r="D6803" s="6" t="s">
        <v>408</v>
      </c>
      <c r="E6803" s="6" t="s">
        <v>409</v>
      </c>
      <c r="F6803" s="6" t="str">
        <f>IF($M6803="PADD I","PADD 1",IF($M6803="PADD II","PADD 2",IF($M6803="PADD III","PADD 3",IF($M6803="PADD IV","PADD 4",IF($M6803="PADD V","PADD 5","")))))</f>
        <v>PADD 3</v>
      </c>
      <c r="G6803" s="6">
        <f>IF(AND($H6803="ATMOS DISTILLATION",ISNUMBER(SEARCH("VPS",$I6803))=FALSE,LEFT($I6803,6)&lt;&gt;"VACUUM"),"CDU",IF($H6803="FLUID CAT CRACKING","FCC",IF(OR($H6803="HYDROCRACKING",$H6803="RESID_HYDROCRACKING"),"Hydrocracker",IF($H6803="REFORMING","Reformer",""))))</f>
        <v/>
      </c>
      <c r="H6803" s="6" t="s">
        <v>43</v>
      </c>
      <c r="I6803" s="6" t="s">
        <v>517</v>
      </c>
      <c r="J6803" s="6" t="s">
        <v>349</v>
      </c>
      <c r="K6803" s="10">
        <v>19.2</v>
      </c>
      <c r="L6803" s="10">
        <v>24</v>
      </c>
      <c r="M6803" s="6" t="s">
        <v>371</v>
      </c>
    </row>
    <row r="6804" spans="1:13">
      <c r="A6804" s="6">
        <v>2025</v>
      </c>
      <c r="B6804" s="6">
        <v>11</v>
      </c>
      <c r="C6804" s="6" t="s">
        <v>69</v>
      </c>
      <c r="D6804" s="6" t="s">
        <v>395</v>
      </c>
      <c r="E6804" s="6" t="s">
        <v>396</v>
      </c>
      <c r="F6804" s="6" t="str">
        <f>IF($M6804="PADD I","PADD 1",IF($M6804="PADD II","PADD 2",IF($M6804="PADD III","PADD 3",IF($M6804="PADD IV","PADD 4",IF($M6804="PADD V","PADD 5","")))))</f>
        <v>PADD 3</v>
      </c>
      <c r="G6804" s="6" t="str">
        <f>IF(AND($H6804="ATMOS DISTILLATION",ISNUMBER(SEARCH("VPS",$I6804))=FALSE,LEFT($I6804,6)&lt;&gt;"VACUUM"),"CDU",IF($H6804="FLUID CAT CRACKING","FCC",IF(OR($H6804="HYDROCRACKING",$H6804="RESID_HYDROCRACKING"),"Hydrocracker",IF($H6804="REFORMING","Reformer",""))))</f>
        <v>Reformer</v>
      </c>
      <c r="H6804" s="6" t="s">
        <v>421</v>
      </c>
      <c r="I6804" s="6" t="s">
        <v>540</v>
      </c>
      <c r="J6804" s="6" t="s">
        <v>349</v>
      </c>
      <c r="K6804" s="10">
        <v>18.9</v>
      </c>
      <c r="L6804" s="10">
        <v>30</v>
      </c>
      <c r="M6804" s="6" t="s">
        <v>371</v>
      </c>
    </row>
    <row r="6805" spans="1:13">
      <c r="A6805" s="6">
        <v>2025</v>
      </c>
      <c r="B6805" s="6">
        <v>11</v>
      </c>
      <c r="C6805" s="6" t="s">
        <v>69</v>
      </c>
      <c r="D6805" s="6" t="s">
        <v>639</v>
      </c>
      <c r="E6805" s="6" t="s">
        <v>452</v>
      </c>
      <c r="F6805" s="6" t="str">
        <f>IF($M6805="PADD I","PADD 1",IF($M6805="PADD II","PADD 2",IF($M6805="PADD III","PADD 3",IF($M6805="PADD IV","PADD 4",IF($M6805="PADD V","PADD 5","")))))</f>
        <v>PADD 5</v>
      </c>
      <c r="G6805" s="6">
        <f>IF(AND($H6805="ATMOS DISTILLATION",ISNUMBER(SEARCH("VPS",$I6805))=FALSE,LEFT($I6805,6)&lt;&gt;"VACUUM"),"CDU",IF($H6805="FLUID CAT CRACKING","FCC",IF(OR($H6805="HYDROCRACKING",$H6805="RESID_HYDROCRACKING"),"Hydrocracker",IF($H6805="REFORMING","Reformer",""))))</f>
        <v/>
      </c>
      <c r="H6805" s="6" t="s">
        <v>43</v>
      </c>
      <c r="I6805" s="6" t="s">
        <v>1328</v>
      </c>
      <c r="J6805" s="6" t="s">
        <v>349</v>
      </c>
      <c r="K6805" s="10">
        <v>18</v>
      </c>
      <c r="L6805" s="10">
        <v>60</v>
      </c>
      <c r="M6805" s="6" t="s">
        <v>386</v>
      </c>
    </row>
    <row r="6806" spans="1:13">
      <c r="A6806" s="6">
        <v>2025</v>
      </c>
      <c r="B6806" s="6">
        <v>11</v>
      </c>
      <c r="C6806" s="6" t="s">
        <v>69</v>
      </c>
      <c r="D6806" s="6" t="s">
        <v>326</v>
      </c>
      <c r="E6806" s="6" t="s">
        <v>385</v>
      </c>
      <c r="F6806" s="6" t="str">
        <f>IF($M6806="PADD I","PADD 1",IF($M6806="PADD II","PADD 2",IF($M6806="PADD III","PADD 3",IF($M6806="PADD IV","PADD 4",IF($M6806="PADD V","PADD 5","")))))</f>
        <v>PADD 5</v>
      </c>
      <c r="G6806" s="6">
        <f>IF(AND($H6806="ATMOS DISTILLATION",ISNUMBER(SEARCH("VPS",$I6806))=FALSE,LEFT($I6806,6)&lt;&gt;"VACUUM"),"CDU",IF($H6806="FLUID CAT CRACKING","FCC",IF(OR($H6806="HYDROCRACKING",$H6806="RESID_HYDROCRACKING"),"Hydrocracker",IF($H6806="REFORMING","Reformer",""))))</f>
        <v/>
      </c>
      <c r="H6806" s="6" t="s">
        <v>43</v>
      </c>
      <c r="I6806" s="6" t="s">
        <v>1174</v>
      </c>
      <c r="J6806" s="6" t="s">
        <v>345</v>
      </c>
      <c r="K6806" s="10">
        <v>17.57</v>
      </c>
      <c r="L6806" s="10">
        <v>17.57</v>
      </c>
      <c r="M6806" s="6" t="s">
        <v>386</v>
      </c>
    </row>
    <row r="6807" spans="1:13">
      <c r="A6807" s="6">
        <v>2025</v>
      </c>
      <c r="B6807" s="6">
        <v>11</v>
      </c>
      <c r="C6807" s="6" t="s">
        <v>69</v>
      </c>
      <c r="D6807" s="6" t="s">
        <v>457</v>
      </c>
      <c r="E6807" s="6" t="s">
        <v>388</v>
      </c>
      <c r="F6807" s="6" t="str">
        <f>IF($M6807="PADD I","PADD 1",IF($M6807="PADD II","PADD 2",IF($M6807="PADD III","PADD 3",IF($M6807="PADD IV","PADD 4",IF($M6807="PADD V","PADD 5","")))))</f>
        <v>PADD 5</v>
      </c>
      <c r="G6807" s="6" t="str">
        <f>IF(AND($H6807="ATMOS DISTILLATION",ISNUMBER(SEARCH("VPS",$I6807))=FALSE,LEFT($I6807,6)&lt;&gt;"VACUUM"),"CDU",IF($H6807="FLUID CAT CRACKING","FCC",IF(OR($H6807="HYDROCRACKING",$H6807="RESID_HYDROCRACKING"),"Hydrocracker",IF($H6807="REFORMING","Reformer",""))))</f>
        <v>Reformer</v>
      </c>
      <c r="H6807" s="6" t="s">
        <v>421</v>
      </c>
      <c r="I6807" s="6" t="s">
        <v>557</v>
      </c>
      <c r="J6807" s="6" t="s">
        <v>349</v>
      </c>
      <c r="K6807" s="10">
        <v>16.6</v>
      </c>
      <c r="L6807" s="10">
        <v>20</v>
      </c>
      <c r="M6807" s="6" t="s">
        <v>386</v>
      </c>
    </row>
    <row r="6808" spans="1:13">
      <c r="A6808" s="6">
        <v>2025</v>
      </c>
      <c r="B6808" s="6">
        <v>11</v>
      </c>
      <c r="C6808" s="6" t="s">
        <v>69</v>
      </c>
      <c r="D6808" s="6" t="s">
        <v>1060</v>
      </c>
      <c r="E6808" s="6" t="s">
        <v>1039</v>
      </c>
      <c r="F6808" s="6" t="str">
        <f>IF($M6808="PADD I","PADD 1",IF($M6808="PADD II","PADD 2",IF($M6808="PADD III","PADD 3",IF($M6808="PADD IV","PADD 4",IF($M6808="PADD V","PADD 5","")))))</f>
        <v>PADD 2</v>
      </c>
      <c r="G6808" s="6">
        <f>IF(AND($H6808="ATMOS DISTILLATION",ISNUMBER(SEARCH("VPS",$I6808))=FALSE,LEFT($I6808,6)&lt;&gt;"VACUUM"),"CDU",IF($H6808="FLUID CAT CRACKING","FCC",IF(OR($H6808="HYDROCRACKING",$H6808="RESID_HYDROCRACKING"),"Hydrocracker",IF($H6808="REFORMING","Reformer",""))))</f>
        <v/>
      </c>
      <c r="H6808" s="6" t="s">
        <v>43</v>
      </c>
      <c r="I6808" s="6" t="s">
        <v>1180</v>
      </c>
      <c r="J6808" s="6" t="s">
        <v>349</v>
      </c>
      <c r="K6808" s="10">
        <v>16.33</v>
      </c>
      <c r="L6808" s="10">
        <v>71</v>
      </c>
      <c r="M6808" s="6" t="s">
        <v>375</v>
      </c>
    </row>
    <row r="6809" spans="1:13">
      <c r="A6809" s="6">
        <v>2025</v>
      </c>
      <c r="B6809" s="6">
        <v>11</v>
      </c>
      <c r="C6809" s="6" t="s">
        <v>69</v>
      </c>
      <c r="D6809" s="6" t="s">
        <v>547</v>
      </c>
      <c r="E6809" s="6" t="s">
        <v>391</v>
      </c>
      <c r="F6809" s="6" t="str">
        <f>IF($M6809="PADD I","PADD 1",IF($M6809="PADD II","PADD 2",IF($M6809="PADD III","PADD 3",IF($M6809="PADD IV","PADD 4",IF($M6809="PADD V","PADD 5","")))))</f>
        <v>PADD 5</v>
      </c>
      <c r="G6809" s="6">
        <f>IF(AND($H6809="ATMOS DISTILLATION",ISNUMBER(SEARCH("VPS",$I6809))=FALSE,LEFT($I6809,6)&lt;&gt;"VACUUM"),"CDU",IF($H6809="FLUID CAT CRACKING","FCC",IF(OR($H6809="HYDROCRACKING",$H6809="RESID_HYDROCRACKING"),"Hydrocracker",IF($H6809="REFORMING","Reformer",""))))</f>
        <v/>
      </c>
      <c r="H6809" s="6" t="s">
        <v>460</v>
      </c>
      <c r="I6809" s="6" t="s">
        <v>461</v>
      </c>
      <c r="J6809" s="6" t="s">
        <v>345</v>
      </c>
      <c r="K6809" s="10">
        <v>16</v>
      </c>
      <c r="L6809" s="10">
        <v>20</v>
      </c>
      <c r="M6809" s="6" t="s">
        <v>386</v>
      </c>
    </row>
    <row r="6810" spans="1:13">
      <c r="A6810" s="6">
        <v>2025</v>
      </c>
      <c r="B6810" s="6">
        <v>11</v>
      </c>
      <c r="C6810" s="6" t="s">
        <v>69</v>
      </c>
      <c r="D6810" s="6" t="s">
        <v>670</v>
      </c>
      <c r="E6810" s="6" t="s">
        <v>405</v>
      </c>
      <c r="F6810" s="6" t="str">
        <f>IF($M6810="PADD I","PADD 1",IF($M6810="PADD II","PADD 2",IF($M6810="PADD III","PADD 3",IF($M6810="PADD IV","PADD 4",IF($M6810="PADD V","PADD 5","")))))</f>
        <v>PADD 2</v>
      </c>
      <c r="G6810" s="6" t="str">
        <f>IF(AND($H6810="ATMOS DISTILLATION",ISNUMBER(SEARCH("VPS",$I6810))=FALSE,LEFT($I6810,6)&lt;&gt;"VACUUM"),"CDU",IF($H6810="FLUID CAT CRACKING","FCC",IF(OR($H6810="HYDROCRACKING",$H6810="RESID_HYDROCRACKING"),"Hydrocracker",IF($H6810="REFORMING","Reformer",""))))</f>
        <v>FCC</v>
      </c>
      <c r="H6810" s="6" t="s">
        <v>376</v>
      </c>
      <c r="I6810" s="6" t="s">
        <v>105</v>
      </c>
      <c r="J6810" s="6" t="s">
        <v>349</v>
      </c>
      <c r="K6810" s="10">
        <v>14.95</v>
      </c>
      <c r="L6810" s="10">
        <v>65</v>
      </c>
      <c r="M6810" s="6" t="s">
        <v>375</v>
      </c>
    </row>
    <row r="6811" spans="1:13">
      <c r="A6811" s="6">
        <v>2025</v>
      </c>
      <c r="B6811" s="6">
        <v>11</v>
      </c>
      <c r="C6811" s="6" t="s">
        <v>69</v>
      </c>
      <c r="D6811" s="6" t="s">
        <v>511</v>
      </c>
      <c r="E6811" s="6" t="s">
        <v>405</v>
      </c>
      <c r="F6811" s="6" t="str">
        <f>IF($M6811="PADD I","PADD 1",IF($M6811="PADD II","PADD 2",IF($M6811="PADD III","PADD 3",IF($M6811="PADD IV","PADD 4",IF($M6811="PADD V","PADD 5","")))))</f>
        <v>PADD 3</v>
      </c>
      <c r="G6811" s="6" t="str">
        <f>IF(AND($H6811="ATMOS DISTILLATION",ISNUMBER(SEARCH("VPS",$I6811))=FALSE,LEFT($I6811,6)&lt;&gt;"VACUUM"),"CDU",IF($H6811="FLUID CAT CRACKING","FCC",IF(OR($H6811="HYDROCRACKING",$H6811="RESID_HYDROCRACKING"),"Hydrocracker",IF($H6811="REFORMING","Reformer",""))))</f>
        <v>CDU</v>
      </c>
      <c r="H6811" s="6" t="s">
        <v>38</v>
      </c>
      <c r="I6811" s="6" t="s">
        <v>112</v>
      </c>
      <c r="J6811" s="6" t="s">
        <v>345</v>
      </c>
      <c r="K6811" s="10">
        <v>14.95</v>
      </c>
      <c r="L6811" s="10">
        <v>115</v>
      </c>
      <c r="M6811" s="6" t="s">
        <v>371</v>
      </c>
    </row>
    <row r="6812" spans="1:13">
      <c r="A6812" s="6">
        <v>2025</v>
      </c>
      <c r="B6812" s="6">
        <v>11</v>
      </c>
      <c r="C6812" s="6" t="s">
        <v>69</v>
      </c>
      <c r="D6812" s="6" t="s">
        <v>1063</v>
      </c>
      <c r="E6812" s="6" t="s">
        <v>388</v>
      </c>
      <c r="F6812" s="6" t="str">
        <f>IF($M6812="PADD I","PADD 1",IF($M6812="PADD II","PADD 2",IF($M6812="PADD III","PADD 3",IF($M6812="PADD IV","PADD 4",IF($M6812="PADD V","PADD 5","")))))</f>
        <v>PADD 2</v>
      </c>
      <c r="G6812" s="6">
        <f>IF(AND($H6812="ATMOS DISTILLATION",ISNUMBER(SEARCH("VPS",$I6812))=FALSE,LEFT($I6812,6)&lt;&gt;"VACUUM"),"CDU",IF($H6812="FLUID CAT CRACKING","FCC",IF(OR($H6812="HYDROCRACKING",$H6812="RESID_HYDROCRACKING"),"Hydrocracker",IF($H6812="REFORMING","Reformer",""))))</f>
        <v/>
      </c>
      <c r="H6812" s="6" t="s">
        <v>43</v>
      </c>
      <c r="I6812" s="6" t="s">
        <v>493</v>
      </c>
      <c r="J6812" s="6" t="s">
        <v>345</v>
      </c>
      <c r="K6812" s="10">
        <v>14.62</v>
      </c>
      <c r="L6812" s="10">
        <v>34</v>
      </c>
      <c r="M6812" s="6" t="s">
        <v>375</v>
      </c>
    </row>
    <row r="6813" spans="1:13">
      <c r="A6813" s="6">
        <v>2025</v>
      </c>
      <c r="B6813" s="6">
        <v>11</v>
      </c>
      <c r="C6813" s="6" t="s">
        <v>69</v>
      </c>
      <c r="D6813" s="6" t="s">
        <v>612</v>
      </c>
      <c r="E6813" s="6" t="s">
        <v>416</v>
      </c>
      <c r="F6813" s="6" t="str">
        <f>IF($M6813="PADD I","PADD 1",IF($M6813="PADD II","PADD 2",IF($M6813="PADD III","PADD 3",IF($M6813="PADD IV","PADD 4",IF($M6813="PADD V","PADD 5","")))))</f>
        <v>PADD 3</v>
      </c>
      <c r="G6813" s="6" t="str">
        <f>IF(AND($H6813="ATMOS DISTILLATION",ISNUMBER(SEARCH("VPS",$I6813))=FALSE,LEFT($I6813,6)&lt;&gt;"VACUUM"),"CDU",IF($H6813="FLUID CAT CRACKING","FCC",IF(OR($H6813="HYDROCRACKING",$H6813="RESID_HYDROCRACKING"),"Hydrocracker",IF($H6813="REFORMING","Reformer",""))))</f>
        <v>Reformer</v>
      </c>
      <c r="H6813" s="6" t="s">
        <v>421</v>
      </c>
      <c r="I6813" s="6" t="s">
        <v>755</v>
      </c>
      <c r="J6813" s="6" t="s">
        <v>345</v>
      </c>
      <c r="K6813" s="10">
        <v>14.1</v>
      </c>
      <c r="L6813" s="10">
        <v>30</v>
      </c>
      <c r="M6813" s="6" t="s">
        <v>371</v>
      </c>
    </row>
    <row r="6814" spans="1:13">
      <c r="A6814" s="6">
        <v>2025</v>
      </c>
      <c r="B6814" s="6">
        <v>11</v>
      </c>
      <c r="C6814" s="6" t="s">
        <v>69</v>
      </c>
      <c r="D6814" s="6" t="s">
        <v>51</v>
      </c>
      <c r="E6814" s="6" t="s">
        <v>391</v>
      </c>
      <c r="F6814" s="6" t="str">
        <f>IF($M6814="PADD I","PADD 1",IF($M6814="PADD II","PADD 2",IF($M6814="PADD III","PADD 3",IF($M6814="PADD IV","PADD 4",IF($M6814="PADD V","PADD 5","")))))</f>
        <v>PADD 5</v>
      </c>
      <c r="G6814" s="6">
        <f>IF(AND($H6814="ATMOS DISTILLATION",ISNUMBER(SEARCH("VPS",$I6814))=FALSE,LEFT($I6814,6)&lt;&gt;"VACUUM"),"CDU",IF($H6814="FLUID CAT CRACKING","FCC",IF(OR($H6814="HYDROCRACKING",$H6814="RESID_HYDROCRACKING"),"Hydrocracker",IF($H6814="REFORMING","Reformer",""))))</f>
        <v/>
      </c>
      <c r="H6814" s="6" t="s">
        <v>43</v>
      </c>
      <c r="I6814" s="6" t="s">
        <v>859</v>
      </c>
      <c r="J6814" s="6" t="s">
        <v>345</v>
      </c>
      <c r="K6814" s="10">
        <v>14</v>
      </c>
      <c r="L6814" s="10">
        <v>35</v>
      </c>
      <c r="M6814" s="6" t="s">
        <v>386</v>
      </c>
    </row>
    <row r="6815" spans="1:13">
      <c r="A6815" s="6">
        <v>2025</v>
      </c>
      <c r="B6815" s="6">
        <v>11</v>
      </c>
      <c r="C6815" s="6" t="s">
        <v>69</v>
      </c>
      <c r="D6815" s="6" t="s">
        <v>680</v>
      </c>
      <c r="E6815" s="6" t="s">
        <v>681</v>
      </c>
      <c r="F6815" s="6" t="str">
        <f>IF($M6815="PADD I","PADD 1",IF($M6815="PADD II","PADD 2",IF($M6815="PADD III","PADD 3",IF($M6815="PADD IV","PADD 4",IF($M6815="PADD V","PADD 5","")))))</f>
        <v>PADD 3</v>
      </c>
      <c r="G6815" s="6" t="str">
        <f>IF(AND($H6815="ATMOS DISTILLATION",ISNUMBER(SEARCH("VPS",$I6815))=FALSE,LEFT($I6815,6)&lt;&gt;"VACUUM"),"CDU",IF($H6815="FLUID CAT CRACKING","FCC",IF(OR($H6815="HYDROCRACKING",$H6815="RESID_HYDROCRACKING"),"Hydrocracker",IF($H6815="REFORMING","Reformer",""))))</f>
        <v>Hydrocracker</v>
      </c>
      <c r="H6815" s="6" t="s">
        <v>444</v>
      </c>
      <c r="I6815" s="6" t="s">
        <v>707</v>
      </c>
      <c r="J6815" s="6" t="s">
        <v>345</v>
      </c>
      <c r="K6815" s="10">
        <v>13.95</v>
      </c>
      <c r="L6815" s="10">
        <v>15</v>
      </c>
      <c r="M6815" s="6" t="s">
        <v>371</v>
      </c>
    </row>
    <row r="6816" spans="1:13">
      <c r="A6816" s="6">
        <v>2025</v>
      </c>
      <c r="B6816" s="6">
        <v>11</v>
      </c>
      <c r="C6816" s="6" t="s">
        <v>69</v>
      </c>
      <c r="D6816" s="6" t="s">
        <v>324</v>
      </c>
      <c r="E6816" s="6" t="s">
        <v>388</v>
      </c>
      <c r="F6816" s="6" t="str">
        <f>IF($M6816="PADD I","PADD 1",IF($M6816="PADD II","PADD 2",IF($M6816="PADD III","PADD 3",IF($M6816="PADD IV","PADD 4",IF($M6816="PADD V","PADD 5","")))))</f>
        <v>PADD 3</v>
      </c>
      <c r="G6816" s="6" t="str">
        <f>IF(AND($H6816="ATMOS DISTILLATION",ISNUMBER(SEARCH("VPS",$I6816))=FALSE,LEFT($I6816,6)&lt;&gt;"VACUUM"),"CDU",IF($H6816="FLUID CAT CRACKING","FCC",IF(OR($H6816="HYDROCRACKING",$H6816="RESID_HYDROCRACKING"),"Hydrocracker",IF($H6816="REFORMING","Reformer",""))))</f>
        <v>FCC</v>
      </c>
      <c r="H6816" s="6" t="s">
        <v>376</v>
      </c>
      <c r="I6816" s="6" t="s">
        <v>944</v>
      </c>
      <c r="J6816" s="6" t="s">
        <v>345</v>
      </c>
      <c r="K6816" s="10">
        <v>13.6</v>
      </c>
      <c r="L6816" s="10">
        <v>136</v>
      </c>
      <c r="M6816" s="6" t="s">
        <v>371</v>
      </c>
    </row>
    <row r="6817" spans="1:13">
      <c r="A6817" s="6">
        <v>2025</v>
      </c>
      <c r="B6817" s="6">
        <v>11</v>
      </c>
      <c r="C6817" s="6" t="s">
        <v>69</v>
      </c>
      <c r="D6817" s="6" t="s">
        <v>526</v>
      </c>
      <c r="E6817" s="6" t="s">
        <v>405</v>
      </c>
      <c r="F6817" s="6" t="str">
        <f>IF($M6817="PADD I","PADD 1",IF($M6817="PADD II","PADD 2",IF($M6817="PADD III","PADD 3",IF($M6817="PADD IV","PADD 4",IF($M6817="PADD V","PADD 5","")))))</f>
        <v>PADD 3</v>
      </c>
      <c r="G6817" s="6" t="str">
        <f>IF(AND($H6817="ATMOS DISTILLATION",ISNUMBER(SEARCH("VPS",$I6817))=FALSE,LEFT($I6817,6)&lt;&gt;"VACUUM"),"CDU",IF($H6817="FLUID CAT CRACKING","FCC",IF(OR($H6817="HYDROCRACKING",$H6817="RESID_HYDROCRACKING"),"Hydrocracker",IF($H6817="REFORMING","Reformer",""))))</f>
        <v>Hydrocracker</v>
      </c>
      <c r="H6817" s="6" t="s">
        <v>444</v>
      </c>
      <c r="I6817" s="6" t="s">
        <v>527</v>
      </c>
      <c r="J6817" s="6" t="s">
        <v>349</v>
      </c>
      <c r="K6817" s="10">
        <v>13.11</v>
      </c>
      <c r="L6817" s="10">
        <v>57</v>
      </c>
      <c r="M6817" s="6" t="s">
        <v>371</v>
      </c>
    </row>
    <row r="6818" spans="1:13">
      <c r="A6818" s="6">
        <v>2025</v>
      </c>
      <c r="B6818" s="6">
        <v>11</v>
      </c>
      <c r="C6818" s="6" t="s">
        <v>69</v>
      </c>
      <c r="D6818" s="6" t="s">
        <v>803</v>
      </c>
      <c r="E6818" s="6" t="s">
        <v>388</v>
      </c>
      <c r="F6818" s="6" t="str">
        <f>IF($M6818="PADD I","PADD 1",IF($M6818="PADD II","PADD 2",IF($M6818="PADD III","PADD 3",IF($M6818="PADD IV","PADD 4",IF($M6818="PADD V","PADD 5","")))))</f>
        <v>PADD 2</v>
      </c>
      <c r="G6818" s="6">
        <f>IF(AND($H6818="ATMOS DISTILLATION",ISNUMBER(SEARCH("VPS",$I6818))=FALSE,LEFT($I6818,6)&lt;&gt;"VACUUM"),"CDU",IF($H6818="FLUID CAT CRACKING","FCC",IF(OR($H6818="HYDROCRACKING",$H6818="RESID_HYDROCRACKING"),"Hydrocracker",IF($H6818="REFORMING","Reformer",""))))</f>
        <v/>
      </c>
      <c r="H6818" s="6" t="s">
        <v>43</v>
      </c>
      <c r="I6818" s="6" t="s">
        <v>918</v>
      </c>
      <c r="J6818" s="6" t="s">
        <v>345</v>
      </c>
      <c r="K6818" s="10">
        <v>11.84</v>
      </c>
      <c r="L6818" s="10">
        <v>32</v>
      </c>
      <c r="M6818" s="6" t="s">
        <v>375</v>
      </c>
    </row>
    <row r="6819" spans="1:13">
      <c r="A6819" s="6">
        <v>2025</v>
      </c>
      <c r="B6819" s="6">
        <v>11</v>
      </c>
      <c r="C6819" s="6" t="s">
        <v>69</v>
      </c>
      <c r="D6819" s="6" t="s">
        <v>387</v>
      </c>
      <c r="E6819" s="6" t="s">
        <v>388</v>
      </c>
      <c r="F6819" s="6" t="str">
        <f>IF($M6819="PADD I","PADD 1",IF($M6819="PADD II","PADD 2",IF($M6819="PADD III","PADD 3",IF($M6819="PADD IV","PADD 4",IF($M6819="PADD V","PADD 5","")))))</f>
        <v>PADD 3</v>
      </c>
      <c r="G6819" s="6" t="str">
        <f>IF(AND($H6819="ATMOS DISTILLATION",ISNUMBER(SEARCH("VPS",$I6819))=FALSE,LEFT($I6819,6)&lt;&gt;"VACUUM"),"CDU",IF($H6819="FLUID CAT CRACKING","FCC",IF(OR($H6819="HYDROCRACKING",$H6819="RESID_HYDROCRACKING"),"Hydrocracker",IF($H6819="REFORMING","Reformer",""))))</f>
        <v>Hydrocracker</v>
      </c>
      <c r="H6819" s="6" t="s">
        <v>581</v>
      </c>
      <c r="I6819" s="6" t="s">
        <v>868</v>
      </c>
      <c r="J6819" s="6" t="s">
        <v>345</v>
      </c>
      <c r="K6819" s="10">
        <v>11.2</v>
      </c>
      <c r="L6819" s="10">
        <v>16</v>
      </c>
      <c r="M6819" s="6" t="s">
        <v>371</v>
      </c>
    </row>
    <row r="6820" spans="1:13">
      <c r="A6820" s="6">
        <v>2025</v>
      </c>
      <c r="B6820" s="6">
        <v>11</v>
      </c>
      <c r="C6820" s="6" t="s">
        <v>69</v>
      </c>
      <c r="D6820" s="6" t="s">
        <v>1063</v>
      </c>
      <c r="E6820" s="6" t="s">
        <v>388</v>
      </c>
      <c r="F6820" s="6" t="str">
        <f>IF($M6820="PADD I","PADD 1",IF($M6820="PADD II","PADD 2",IF($M6820="PADD III","PADD 3",IF($M6820="PADD IV","PADD 4",IF($M6820="PADD V","PADD 5","")))))</f>
        <v>PADD 2</v>
      </c>
      <c r="G6820" s="6">
        <f>IF(AND($H6820="ATMOS DISTILLATION",ISNUMBER(SEARCH("VPS",$I6820))=FALSE,LEFT($I6820,6)&lt;&gt;"VACUUM"),"CDU",IF($H6820="FLUID CAT CRACKING","FCC",IF(OR($H6820="HYDROCRACKING",$H6820="RESID_HYDROCRACKING"),"Hydrocracker",IF($H6820="REFORMING","Reformer",""))))</f>
        <v/>
      </c>
      <c r="H6820" s="6" t="s">
        <v>378</v>
      </c>
      <c r="I6820" s="6" t="s">
        <v>431</v>
      </c>
      <c r="J6820" s="6" t="s">
        <v>345</v>
      </c>
      <c r="K6820" s="10">
        <v>11</v>
      </c>
      <c r="L6820" s="10">
        <v>55</v>
      </c>
      <c r="M6820" s="6" t="s">
        <v>375</v>
      </c>
    </row>
    <row r="6821" spans="1:13">
      <c r="A6821" s="6">
        <v>2025</v>
      </c>
      <c r="B6821" s="6">
        <v>11</v>
      </c>
      <c r="C6821" s="6" t="s">
        <v>69</v>
      </c>
      <c r="D6821" s="6" t="s">
        <v>457</v>
      </c>
      <c r="E6821" s="6" t="s">
        <v>388</v>
      </c>
      <c r="F6821" s="6" t="str">
        <f>IF($M6821="PADD I","PADD 1",IF($M6821="PADD II","PADD 2",IF($M6821="PADD III","PADD 3",IF($M6821="PADD IV","PADD 4",IF($M6821="PADD V","PADD 5","")))))</f>
        <v>PADD 5</v>
      </c>
      <c r="G6821" s="6">
        <f>IF(AND($H6821="ATMOS DISTILLATION",ISNUMBER(SEARCH("VPS",$I6821))=FALSE,LEFT($I6821,6)&lt;&gt;"VACUUM"),"CDU",IF($H6821="FLUID CAT CRACKING","FCC",IF(OR($H6821="HYDROCRACKING",$H6821="RESID_HYDROCRACKING"),"Hydrocracker",IF($H6821="REFORMING","Reformer",""))))</f>
        <v/>
      </c>
      <c r="H6821" s="6" t="s">
        <v>460</v>
      </c>
      <c r="I6821" s="6" t="s">
        <v>461</v>
      </c>
      <c r="J6821" s="6" t="s">
        <v>349</v>
      </c>
      <c r="K6821" s="10">
        <v>10.79</v>
      </c>
      <c r="L6821" s="10">
        <v>13</v>
      </c>
      <c r="M6821" s="6" t="s">
        <v>386</v>
      </c>
    </row>
    <row r="6822" spans="1:13">
      <c r="A6822" s="6">
        <v>2025</v>
      </c>
      <c r="B6822" s="6">
        <v>11</v>
      </c>
      <c r="C6822" s="6" t="s">
        <v>69</v>
      </c>
      <c r="D6822" s="6" t="s">
        <v>326</v>
      </c>
      <c r="E6822" s="6" t="s">
        <v>385</v>
      </c>
      <c r="F6822" s="6" t="str">
        <f>IF($M6822="PADD I","PADD 1",IF($M6822="PADD II","PADD 2",IF($M6822="PADD III","PADD 3",IF($M6822="PADD IV","PADD 4",IF($M6822="PADD V","PADD 5","")))))</f>
        <v>PADD 5</v>
      </c>
      <c r="G6822" s="6" t="str">
        <f>IF(AND($H6822="ATMOS DISTILLATION",ISNUMBER(SEARCH("VPS",$I6822))=FALSE,LEFT($I6822,6)&lt;&gt;"VACUUM"),"CDU",IF($H6822="FLUID CAT CRACKING","FCC",IF(OR($H6822="HYDROCRACKING",$H6822="RESID_HYDROCRACKING"),"Hydrocracker",IF($H6822="REFORMING","Reformer",""))))</f>
        <v>Reformer</v>
      </c>
      <c r="H6822" s="6" t="s">
        <v>421</v>
      </c>
      <c r="I6822" s="6" t="s">
        <v>15</v>
      </c>
      <c r="J6822" s="6" t="s">
        <v>345</v>
      </c>
      <c r="K6822" s="10">
        <v>10.33</v>
      </c>
      <c r="L6822" s="10">
        <v>10.33</v>
      </c>
      <c r="M6822" s="6" t="s">
        <v>386</v>
      </c>
    </row>
    <row r="6823" spans="1:13">
      <c r="A6823" s="6">
        <v>2025</v>
      </c>
      <c r="B6823" s="6">
        <v>11</v>
      </c>
      <c r="C6823" s="6" t="s">
        <v>69</v>
      </c>
      <c r="D6823" s="6" t="s">
        <v>639</v>
      </c>
      <c r="E6823" s="6" t="s">
        <v>452</v>
      </c>
      <c r="F6823" s="6" t="str">
        <f>IF($M6823="PADD I","PADD 1",IF($M6823="PADD II","PADD 2",IF($M6823="PADD III","PADD 3",IF($M6823="PADD IV","PADD 4",IF($M6823="PADD V","PADD 5","")))))</f>
        <v>PADD 5</v>
      </c>
      <c r="G6823" s="6">
        <f>IF(AND($H6823="ATMOS DISTILLATION",ISNUMBER(SEARCH("VPS",$I6823))=FALSE,LEFT($I6823,6)&lt;&gt;"VACUUM"),"CDU",IF($H6823="FLUID CAT CRACKING","FCC",IF(OR($H6823="HYDROCRACKING",$H6823="RESID_HYDROCRACKING"),"Hydrocracker",IF($H6823="REFORMING","Reformer",""))))</f>
        <v/>
      </c>
      <c r="H6823" s="6" t="s">
        <v>43</v>
      </c>
      <c r="I6823" s="6" t="s">
        <v>1333</v>
      </c>
      <c r="J6823" s="6" t="s">
        <v>349</v>
      </c>
      <c r="K6823" s="10">
        <v>9.9</v>
      </c>
      <c r="L6823" s="10">
        <v>33</v>
      </c>
      <c r="M6823" s="6" t="s">
        <v>386</v>
      </c>
    </row>
    <row r="6824" spans="1:13">
      <c r="A6824" s="6">
        <v>2025</v>
      </c>
      <c r="B6824" s="6">
        <v>11</v>
      </c>
      <c r="C6824" s="6" t="s">
        <v>69</v>
      </c>
      <c r="D6824" s="6" t="s">
        <v>639</v>
      </c>
      <c r="E6824" s="6" t="s">
        <v>452</v>
      </c>
      <c r="F6824" s="6" t="str">
        <f>IF($M6824="PADD I","PADD 1",IF($M6824="PADD II","PADD 2",IF($M6824="PADD III","PADD 3",IF($M6824="PADD IV","PADD 4",IF($M6824="PADD V","PADD 5","")))))</f>
        <v>PADD 5</v>
      </c>
      <c r="G6824" s="6">
        <f>IF(AND($H6824="ATMOS DISTILLATION",ISNUMBER(SEARCH("VPS",$I6824))=FALSE,LEFT($I6824,6)&lt;&gt;"VACUUM"),"CDU",IF($H6824="FLUID CAT CRACKING","FCC",IF(OR($H6824="HYDROCRACKING",$H6824="RESID_HYDROCRACKING"),"Hydrocracker",IF($H6824="REFORMING","Reformer",""))))</f>
        <v/>
      </c>
      <c r="H6824" s="6" t="s">
        <v>378</v>
      </c>
      <c r="I6824" s="6" t="s">
        <v>379</v>
      </c>
      <c r="J6824" s="6" t="s">
        <v>349</v>
      </c>
      <c r="K6824" s="10">
        <v>9.869999999999999</v>
      </c>
      <c r="L6824" s="10">
        <v>32.9</v>
      </c>
      <c r="M6824" s="6" t="s">
        <v>386</v>
      </c>
    </row>
    <row r="6825" spans="1:13">
      <c r="A6825" s="6">
        <v>2025</v>
      </c>
      <c r="B6825" s="6">
        <v>11</v>
      </c>
      <c r="C6825" s="6" t="s">
        <v>69</v>
      </c>
      <c r="D6825" s="6" t="s">
        <v>326</v>
      </c>
      <c r="E6825" s="6" t="s">
        <v>385</v>
      </c>
      <c r="F6825" s="6" t="str">
        <f>IF($M6825="PADD I","PADD 1",IF($M6825="PADD II","PADD 2",IF($M6825="PADD III","PADD 3",IF($M6825="PADD IV","PADD 4",IF($M6825="PADD V","PADD 5","")))))</f>
        <v>PADD 5</v>
      </c>
      <c r="G6825" s="6">
        <f>IF(AND($H6825="ATMOS DISTILLATION",ISNUMBER(SEARCH("VPS",$I6825))=FALSE,LEFT($I6825,6)&lt;&gt;"VACUUM"),"CDU",IF($H6825="FLUID CAT CRACKING","FCC",IF(OR($H6825="HYDROCRACKING",$H6825="RESID_HYDROCRACKING"),"Hydrocracker",IF($H6825="REFORMING","Reformer",""))))</f>
        <v/>
      </c>
      <c r="H6825" s="6" t="s">
        <v>43</v>
      </c>
      <c r="I6825" s="6" t="s">
        <v>501</v>
      </c>
      <c r="J6825" s="6" t="s">
        <v>345</v>
      </c>
      <c r="K6825" s="10">
        <v>9.800000000000001</v>
      </c>
      <c r="L6825" s="10">
        <v>9.800000000000001</v>
      </c>
      <c r="M6825" s="6" t="s">
        <v>386</v>
      </c>
    </row>
    <row r="6826" spans="1:13">
      <c r="A6826" s="6">
        <v>2025</v>
      </c>
      <c r="B6826" s="6">
        <v>11</v>
      </c>
      <c r="C6826" s="6" t="s">
        <v>69</v>
      </c>
      <c r="D6826" s="6" t="s">
        <v>51</v>
      </c>
      <c r="E6826" s="6" t="s">
        <v>391</v>
      </c>
      <c r="F6826" s="6" t="str">
        <f>IF($M6826="PADD I","PADD 1",IF($M6826="PADD II","PADD 2",IF($M6826="PADD III","PADD 3",IF($M6826="PADD IV","PADD 4",IF($M6826="PADD V","PADD 5","")))))</f>
        <v>PADD 5</v>
      </c>
      <c r="G6826" s="6">
        <f>IF(AND($H6826="ATMOS DISTILLATION",ISNUMBER(SEARCH("VPS",$I6826))=FALSE,LEFT($I6826,6)&lt;&gt;"VACUUM"),"CDU",IF($H6826="FLUID CAT CRACKING","FCC",IF(OR($H6826="HYDROCRACKING",$H6826="RESID_HYDROCRACKING"),"Hydrocracker",IF($H6826="REFORMING","Reformer",""))))</f>
        <v/>
      </c>
      <c r="H6826" s="6" t="s">
        <v>378</v>
      </c>
      <c r="I6826" s="6" t="s">
        <v>1035</v>
      </c>
      <c r="J6826" s="6" t="s">
        <v>345</v>
      </c>
      <c r="K6826" s="10">
        <v>9.579499999999999</v>
      </c>
      <c r="L6826" s="10">
        <v>56.35</v>
      </c>
      <c r="M6826" s="6" t="s">
        <v>386</v>
      </c>
    </row>
    <row r="6827" spans="1:13">
      <c r="A6827" s="6">
        <v>2025</v>
      </c>
      <c r="B6827" s="6">
        <v>11</v>
      </c>
      <c r="C6827" s="6" t="s">
        <v>69</v>
      </c>
      <c r="D6827" s="6" t="s">
        <v>326</v>
      </c>
      <c r="E6827" s="6" t="s">
        <v>385</v>
      </c>
      <c r="F6827" s="6" t="str">
        <f>IF($M6827="PADD I","PADD 1",IF($M6827="PADD II","PADD 2",IF($M6827="PADD III","PADD 3",IF($M6827="PADD IV","PADD 4",IF($M6827="PADD V","PADD 5","")))))</f>
        <v>PADD 5</v>
      </c>
      <c r="G6827" s="6">
        <f>IF(AND($H6827="ATMOS DISTILLATION",ISNUMBER(SEARCH("VPS",$I6827))=FALSE,LEFT($I6827,6)&lt;&gt;"VACUUM"),"CDU",IF($H6827="FLUID CAT CRACKING","FCC",IF(OR($H6827="HYDROCRACKING",$H6827="RESID_HYDROCRACKING"),"Hydrocracker",IF($H6827="REFORMING","Reformer",""))))</f>
        <v/>
      </c>
      <c r="H6827" s="6" t="s">
        <v>43</v>
      </c>
      <c r="I6827" s="6" t="s">
        <v>1183</v>
      </c>
      <c r="J6827" s="6" t="s">
        <v>345</v>
      </c>
      <c r="K6827" s="10">
        <v>9.1</v>
      </c>
      <c r="L6827" s="10">
        <v>9.1</v>
      </c>
      <c r="M6827" s="6" t="s">
        <v>386</v>
      </c>
    </row>
    <row r="6828" spans="1:13">
      <c r="A6828" s="6">
        <v>2025</v>
      </c>
      <c r="B6828" s="6">
        <v>11</v>
      </c>
      <c r="C6828" s="6" t="s">
        <v>69</v>
      </c>
      <c r="D6828" s="6" t="s">
        <v>468</v>
      </c>
      <c r="E6828" s="6" t="s">
        <v>369</v>
      </c>
      <c r="F6828" s="6" t="str">
        <f>IF($M6828="PADD I","PADD 1",IF($M6828="PADD II","PADD 2",IF($M6828="PADD III","PADD 3",IF($M6828="PADD IV","PADD 4",IF($M6828="PADD V","PADD 5","")))))</f>
        <v>PADD 3</v>
      </c>
      <c r="G6828" s="6" t="str">
        <f>IF(AND($H6828="ATMOS DISTILLATION",ISNUMBER(SEARCH("VPS",$I6828))=FALSE,LEFT($I6828,6)&lt;&gt;"VACUUM"),"CDU",IF($H6828="FLUID CAT CRACKING","FCC",IF(OR($H6828="HYDROCRACKING",$H6828="RESID_HYDROCRACKING"),"Hydrocracker",IF($H6828="REFORMING","Reformer",""))))</f>
        <v>FCC</v>
      </c>
      <c r="H6828" s="6" t="s">
        <v>376</v>
      </c>
      <c r="I6828" s="6" t="s">
        <v>473</v>
      </c>
      <c r="J6828" s="6" t="s">
        <v>349</v>
      </c>
      <c r="K6828" s="10">
        <v>8.1</v>
      </c>
      <c r="L6828" s="10">
        <v>30</v>
      </c>
      <c r="M6828" s="6" t="s">
        <v>371</v>
      </c>
    </row>
    <row r="6829" spans="1:13">
      <c r="A6829" s="6">
        <v>2025</v>
      </c>
      <c r="B6829" s="6">
        <v>11</v>
      </c>
      <c r="C6829" s="6" t="s">
        <v>69</v>
      </c>
      <c r="D6829" s="6" t="s">
        <v>1038</v>
      </c>
      <c r="E6829" s="6" t="s">
        <v>1039</v>
      </c>
      <c r="F6829" s="6" t="str">
        <f>IF($M6829="PADD I","PADD 1",IF($M6829="PADD II","PADD 2",IF($M6829="PADD III","PADD 3",IF($M6829="PADD IV","PADD 4",IF($M6829="PADD V","PADD 5","")))))</f>
        <v>PADD 2</v>
      </c>
      <c r="G6829" s="6" t="str">
        <f>IF(AND($H6829="ATMOS DISTILLATION",ISNUMBER(SEARCH("VPS",$I6829))=FALSE,LEFT($I6829,6)&lt;&gt;"VACUUM"),"CDU",IF($H6829="FLUID CAT CRACKING","FCC",IF(OR($H6829="HYDROCRACKING",$H6829="RESID_HYDROCRACKING"),"Hydrocracker",IF($H6829="REFORMING","Reformer",""))))</f>
        <v>CDU</v>
      </c>
      <c r="H6829" s="6" t="s">
        <v>38</v>
      </c>
      <c r="I6829" s="6" t="s">
        <v>917</v>
      </c>
      <c r="J6829" s="6" t="s">
        <v>349</v>
      </c>
      <c r="K6829" s="10">
        <v>8.050000000000001</v>
      </c>
      <c r="L6829" s="10">
        <v>35</v>
      </c>
      <c r="M6829" s="6" t="s">
        <v>375</v>
      </c>
    </row>
    <row r="6830" spans="1:13">
      <c r="A6830" s="6">
        <v>2025</v>
      </c>
      <c r="B6830" s="6">
        <v>11</v>
      </c>
      <c r="C6830" s="6" t="s">
        <v>69</v>
      </c>
      <c r="D6830" s="6" t="s">
        <v>326</v>
      </c>
      <c r="E6830" s="6" t="s">
        <v>385</v>
      </c>
      <c r="F6830" s="6" t="str">
        <f>IF($M6830="PADD I","PADD 1",IF($M6830="PADD II","PADD 2",IF($M6830="PADD III","PADD 3",IF($M6830="PADD IV","PADD 4",IF($M6830="PADD V","PADD 5","")))))</f>
        <v>PADD 5</v>
      </c>
      <c r="G6830" s="6">
        <f>IF(AND($H6830="ATMOS DISTILLATION",ISNUMBER(SEARCH("VPS",$I6830))=FALSE,LEFT($I6830,6)&lt;&gt;"VACUUM"),"CDU",IF($H6830="FLUID CAT CRACKING","FCC",IF(OR($H6830="HYDROCRACKING",$H6830="RESID_HYDROCRACKING"),"Hydrocracker",IF($H6830="REFORMING","Reformer",""))))</f>
        <v/>
      </c>
      <c r="H6830" s="6" t="s">
        <v>435</v>
      </c>
      <c r="I6830" s="6" t="s">
        <v>441</v>
      </c>
      <c r="J6830" s="6" t="s">
        <v>345</v>
      </c>
      <c r="K6830" s="10">
        <v>7.7</v>
      </c>
      <c r="L6830" s="10">
        <v>7.7</v>
      </c>
      <c r="M6830" s="6" t="s">
        <v>386</v>
      </c>
    </row>
    <row r="6831" spans="1:13">
      <c r="A6831" s="6">
        <v>2025</v>
      </c>
      <c r="B6831" s="6">
        <v>11</v>
      </c>
      <c r="C6831" s="6" t="s">
        <v>69</v>
      </c>
      <c r="D6831" s="6" t="s">
        <v>526</v>
      </c>
      <c r="E6831" s="6" t="s">
        <v>405</v>
      </c>
      <c r="F6831" s="6" t="str">
        <f>IF($M6831="PADD I","PADD 1",IF($M6831="PADD II","PADD 2",IF($M6831="PADD III","PADD 3",IF($M6831="PADD IV","PADD 4",IF($M6831="PADD V","PADD 5","")))))</f>
        <v>PADD 3</v>
      </c>
      <c r="G6831" s="6" t="str">
        <f>IF(AND($H6831="ATMOS DISTILLATION",ISNUMBER(SEARCH("VPS",$I6831))=FALSE,LEFT($I6831,6)&lt;&gt;"VACUUM"),"CDU",IF($H6831="FLUID CAT CRACKING","FCC",IF(OR($H6831="HYDROCRACKING",$H6831="RESID_HYDROCRACKING"),"Hydrocracker",IF($H6831="REFORMING","Reformer",""))))</f>
        <v>Hydrocracker</v>
      </c>
      <c r="H6831" s="6" t="s">
        <v>444</v>
      </c>
      <c r="I6831" s="6" t="s">
        <v>351</v>
      </c>
      <c r="J6831" s="6" t="s">
        <v>345</v>
      </c>
      <c r="K6831" s="10">
        <v>7.41</v>
      </c>
      <c r="L6831" s="10">
        <v>57</v>
      </c>
      <c r="M6831" s="6" t="s">
        <v>371</v>
      </c>
    </row>
    <row r="6832" spans="1:13">
      <c r="A6832" s="6">
        <v>2025</v>
      </c>
      <c r="B6832" s="6">
        <v>11</v>
      </c>
      <c r="C6832" s="6" t="s">
        <v>69</v>
      </c>
      <c r="D6832" s="6" t="s">
        <v>326</v>
      </c>
      <c r="E6832" s="6" t="s">
        <v>385</v>
      </c>
      <c r="F6832" s="6" t="str">
        <f>IF($M6832="PADD I","PADD 1",IF($M6832="PADD II","PADD 2",IF($M6832="PADD III","PADD 3",IF($M6832="PADD IV","PADD 4",IF($M6832="PADD V","PADD 5","")))))</f>
        <v>PADD 5</v>
      </c>
      <c r="G6832" s="6">
        <f>IF(AND($H6832="ATMOS DISTILLATION",ISNUMBER(SEARCH("VPS",$I6832))=FALSE,LEFT($I6832,6)&lt;&gt;"VACUUM"),"CDU",IF($H6832="FLUID CAT CRACKING","FCC",IF(OR($H6832="HYDROCRACKING",$H6832="RESID_HYDROCRACKING"),"Hydrocracker",IF($H6832="REFORMING","Reformer",""))))</f>
        <v/>
      </c>
      <c r="H6832" s="6" t="s">
        <v>435</v>
      </c>
      <c r="I6832" s="6" t="s">
        <v>813</v>
      </c>
      <c r="J6832" s="6" t="s">
        <v>345</v>
      </c>
      <c r="K6832" s="10">
        <v>7.32</v>
      </c>
      <c r="L6832" s="10">
        <v>7.32</v>
      </c>
      <c r="M6832" s="6" t="s">
        <v>386</v>
      </c>
    </row>
    <row r="6833" spans="1:13">
      <c r="A6833" s="6">
        <v>2025</v>
      </c>
      <c r="B6833" s="6">
        <v>11</v>
      </c>
      <c r="C6833" s="6" t="s">
        <v>69</v>
      </c>
      <c r="D6833" s="6" t="s">
        <v>851</v>
      </c>
      <c r="E6833" s="6" t="s">
        <v>852</v>
      </c>
      <c r="F6833" s="6" t="str">
        <f>IF($M6833="PADD I","PADD 1",IF($M6833="PADD II","PADD 2",IF($M6833="PADD III","PADD 3",IF($M6833="PADD IV","PADD 4",IF($M6833="PADD V","PADD 5","")))))</f>
        <v>PADD 3</v>
      </c>
      <c r="G6833" s="6" t="str">
        <f>IF(AND($H6833="ATMOS DISTILLATION",ISNUMBER(SEARCH("VPS",$I6833))=FALSE,LEFT($I6833,6)&lt;&gt;"VACUUM"),"CDU",IF($H6833="FLUID CAT CRACKING","FCC",IF(OR($H6833="HYDROCRACKING",$H6833="RESID_HYDROCRACKING"),"Hydrocracker",IF($H6833="REFORMING","Reformer",""))))</f>
        <v>CDU</v>
      </c>
      <c r="H6833" s="6" t="s">
        <v>38</v>
      </c>
      <c r="I6833" s="6" t="s">
        <v>854</v>
      </c>
      <c r="J6833" s="6" t="s">
        <v>345</v>
      </c>
      <c r="K6833" s="10">
        <v>7.3</v>
      </c>
      <c r="L6833" s="10">
        <v>73</v>
      </c>
      <c r="M6833" s="6" t="s">
        <v>371</v>
      </c>
    </row>
    <row r="6834" spans="1:13">
      <c r="A6834" s="6">
        <v>2025</v>
      </c>
      <c r="B6834" s="6">
        <v>11</v>
      </c>
      <c r="C6834" s="6" t="s">
        <v>69</v>
      </c>
      <c r="D6834" s="6" t="s">
        <v>639</v>
      </c>
      <c r="E6834" s="6" t="s">
        <v>452</v>
      </c>
      <c r="F6834" s="6" t="str">
        <f>IF($M6834="PADD I","PADD 1",IF($M6834="PADD II","PADD 2",IF($M6834="PADD III","PADD 3",IF($M6834="PADD IV","PADD 4",IF($M6834="PADD V","PADD 5","")))))</f>
        <v>PADD 5</v>
      </c>
      <c r="G6834" s="6">
        <f>IF(AND($H6834="ATMOS DISTILLATION",ISNUMBER(SEARCH("VPS",$I6834))=FALSE,LEFT($I6834,6)&lt;&gt;"VACUUM"),"CDU",IF($H6834="FLUID CAT CRACKING","FCC",IF(OR($H6834="HYDROCRACKING",$H6834="RESID_HYDROCRACKING"),"Hydrocracker",IF($H6834="REFORMING","Reformer",""))))</f>
        <v/>
      </c>
      <c r="H6834" s="6" t="s">
        <v>435</v>
      </c>
      <c r="I6834" s="6" t="s">
        <v>1096</v>
      </c>
      <c r="J6834" s="6" t="s">
        <v>349</v>
      </c>
      <c r="K6834" s="10">
        <v>7.2</v>
      </c>
      <c r="L6834" s="10">
        <v>24</v>
      </c>
      <c r="M6834" s="6" t="s">
        <v>386</v>
      </c>
    </row>
    <row r="6835" spans="1:13">
      <c r="A6835" s="6">
        <v>2025</v>
      </c>
      <c r="B6835" s="6">
        <v>11</v>
      </c>
      <c r="C6835" s="6" t="s">
        <v>69</v>
      </c>
      <c r="D6835" s="6" t="s">
        <v>372</v>
      </c>
      <c r="E6835" s="6" t="s">
        <v>373</v>
      </c>
      <c r="F6835" s="6" t="str">
        <f>IF($M6835="PADD I","PADD 1",IF($M6835="PADD II","PADD 2",IF($M6835="PADD III","PADD 3",IF($M6835="PADD IV","PADD 4",IF($M6835="PADD V","PADD 5","")))))</f>
        <v>PADD 2</v>
      </c>
      <c r="G6835" s="6">
        <f>IF(AND($H6835="ATMOS DISTILLATION",ISNUMBER(SEARCH("VPS",$I6835))=FALSE,LEFT($I6835,6)&lt;&gt;"VACUUM"),"CDU",IF($H6835="FLUID CAT CRACKING","FCC",IF(OR($H6835="HYDROCRACKING",$H6835="RESID_HYDROCRACKING"),"Hydrocracker",IF($H6835="REFORMING","Reformer",""))))</f>
        <v/>
      </c>
      <c r="H6835" s="6" t="s">
        <v>435</v>
      </c>
      <c r="I6835" s="6" t="s">
        <v>467</v>
      </c>
      <c r="J6835" s="6" t="s">
        <v>349</v>
      </c>
      <c r="K6835" s="10">
        <v>6.9</v>
      </c>
      <c r="L6835" s="10">
        <v>30</v>
      </c>
      <c r="M6835" s="6" t="s">
        <v>375</v>
      </c>
    </row>
    <row r="6836" spans="1:13">
      <c r="A6836" s="6">
        <v>2025</v>
      </c>
      <c r="B6836" s="6">
        <v>11</v>
      </c>
      <c r="C6836" s="6" t="s">
        <v>69</v>
      </c>
      <c r="D6836" s="6" t="s">
        <v>44</v>
      </c>
      <c r="E6836" s="6" t="s">
        <v>1339</v>
      </c>
      <c r="F6836" s="6" t="str">
        <f>IF($M6836="PADD I","PADD 1",IF($M6836="PADD II","PADD 2",IF($M6836="PADD III","PADD 3",IF($M6836="PADD IV","PADD 4",IF($M6836="PADD V","PADD 5","")))))</f>
        <v>PADD 5</v>
      </c>
      <c r="G6836" s="6">
        <f>IF(AND($H6836="ATMOS DISTILLATION",ISNUMBER(SEARCH("VPS",$I6836))=FALSE,LEFT($I6836,6)&lt;&gt;"VACUUM"),"CDU",IF($H6836="FLUID CAT CRACKING","FCC",IF(OR($H6836="HYDROCRACKING",$H6836="RESID_HYDROCRACKING"),"Hydrocracker",IF($H6836="REFORMING","Reformer",""))))</f>
        <v/>
      </c>
      <c r="H6836" s="6" t="s">
        <v>378</v>
      </c>
      <c r="I6836" s="6" t="s">
        <v>1340</v>
      </c>
      <c r="J6836" s="6" t="s">
        <v>345</v>
      </c>
      <c r="K6836" s="10">
        <v>6.8</v>
      </c>
      <c r="L6836" s="10">
        <v>40</v>
      </c>
      <c r="M6836" s="6" t="s">
        <v>386</v>
      </c>
    </row>
    <row r="6837" spans="1:13">
      <c r="A6837" s="6">
        <v>2025</v>
      </c>
      <c r="B6837" s="6">
        <v>11</v>
      </c>
      <c r="C6837" s="6" t="s">
        <v>69</v>
      </c>
      <c r="D6837" s="6" t="s">
        <v>714</v>
      </c>
      <c r="E6837" s="6" t="s">
        <v>405</v>
      </c>
      <c r="F6837" s="6" t="str">
        <f>IF($M6837="PADD I","PADD 1",IF($M6837="PADD II","PADD 2",IF($M6837="PADD III","PADD 3",IF($M6837="PADD IV","PADD 4",IF($M6837="PADD V","PADD 5","")))))</f>
        <v>PADD 3</v>
      </c>
      <c r="G6837" s="6" t="str">
        <f>IF(AND($H6837="ATMOS DISTILLATION",ISNUMBER(SEARCH("VPS",$I6837))=FALSE,LEFT($I6837,6)&lt;&gt;"VACUUM"),"CDU",IF($H6837="FLUID CAT CRACKING","FCC",IF(OR($H6837="HYDROCRACKING",$H6837="RESID_HYDROCRACKING"),"Hydrocracker",IF($H6837="REFORMING","Reformer",""))))</f>
        <v>Hydrocracker</v>
      </c>
      <c r="H6837" s="6" t="s">
        <v>444</v>
      </c>
      <c r="I6837" s="6" t="s">
        <v>14</v>
      </c>
      <c r="J6837" s="6" t="s">
        <v>345</v>
      </c>
      <c r="K6837" s="10">
        <v>6.785</v>
      </c>
      <c r="L6837" s="10">
        <v>29.5</v>
      </c>
      <c r="M6837" s="6" t="s">
        <v>371</v>
      </c>
    </row>
    <row r="6838" spans="1:13">
      <c r="A6838" s="6">
        <v>2025</v>
      </c>
      <c r="B6838" s="6">
        <v>11</v>
      </c>
      <c r="C6838" s="6" t="s">
        <v>69</v>
      </c>
      <c r="D6838" s="6" t="s">
        <v>563</v>
      </c>
      <c r="E6838" s="6" t="s">
        <v>396</v>
      </c>
      <c r="F6838" s="6" t="str">
        <f>IF($M6838="PADD I","PADD 1",IF($M6838="PADD II","PADD 2",IF($M6838="PADD III","PADD 3",IF($M6838="PADD IV","PADD 4",IF($M6838="PADD V","PADD 5","")))))</f>
        <v>PADD 3</v>
      </c>
      <c r="G6838" s="6">
        <f>IF(AND($H6838="ATMOS DISTILLATION",ISNUMBER(SEARCH("VPS",$I6838))=FALSE,LEFT($I6838,6)&lt;&gt;"VACUUM"),"CDU",IF($H6838="FLUID CAT CRACKING","FCC",IF(OR($H6838="HYDROCRACKING",$H6838="RESID_HYDROCRACKING"),"Hydrocracker",IF($H6838="REFORMING","Reformer",""))))</f>
        <v/>
      </c>
      <c r="H6838" s="6" t="s">
        <v>43</v>
      </c>
      <c r="I6838" s="6" t="s">
        <v>449</v>
      </c>
      <c r="J6838" s="6" t="s">
        <v>345</v>
      </c>
      <c r="K6838" s="10">
        <v>6.545</v>
      </c>
      <c r="L6838" s="10">
        <v>38.5</v>
      </c>
      <c r="M6838" s="6" t="s">
        <v>371</v>
      </c>
    </row>
    <row r="6839" spans="1:13">
      <c r="A6839" s="6">
        <v>2025</v>
      </c>
      <c r="B6839" s="6">
        <v>11</v>
      </c>
      <c r="C6839" s="6" t="s">
        <v>69</v>
      </c>
      <c r="D6839" s="6" t="s">
        <v>468</v>
      </c>
      <c r="E6839" s="6" t="s">
        <v>369</v>
      </c>
      <c r="F6839" s="6" t="str">
        <f>IF($M6839="PADD I","PADD 1",IF($M6839="PADD II","PADD 2",IF($M6839="PADD III","PADD 3",IF($M6839="PADD IV","PADD 4",IF($M6839="PADD V","PADD 5","")))))</f>
        <v>PADD 3</v>
      </c>
      <c r="G6839" s="6">
        <f>IF(AND($H6839="ATMOS DISTILLATION",ISNUMBER(SEARCH("VPS",$I6839))=FALSE,LEFT($I6839,6)&lt;&gt;"VACUUM"),"CDU",IF($H6839="FLUID CAT CRACKING","FCC",IF(OR($H6839="HYDROCRACKING",$H6839="RESID_HYDROCRACKING"),"Hydrocracker",IF($H6839="REFORMING","Reformer",""))))</f>
        <v/>
      </c>
      <c r="H6839" s="6" t="s">
        <v>43</v>
      </c>
      <c r="I6839" s="6" t="s">
        <v>1030</v>
      </c>
      <c r="J6839" s="6" t="s">
        <v>349</v>
      </c>
      <c r="K6839" s="10">
        <v>5.4</v>
      </c>
      <c r="L6839" s="10">
        <v>20</v>
      </c>
      <c r="M6839" s="6" t="s">
        <v>371</v>
      </c>
    </row>
    <row r="6840" spans="1:13">
      <c r="A6840" s="6">
        <v>2025</v>
      </c>
      <c r="B6840" s="6">
        <v>11</v>
      </c>
      <c r="C6840" s="6" t="s">
        <v>69</v>
      </c>
      <c r="D6840" s="6" t="s">
        <v>51</v>
      </c>
      <c r="E6840" s="6" t="s">
        <v>391</v>
      </c>
      <c r="F6840" s="6" t="str">
        <f>IF($M6840="PADD I","PADD 1",IF($M6840="PADD II","PADD 2",IF($M6840="PADD III","PADD 3",IF($M6840="PADD IV","PADD 4",IF($M6840="PADD V","PADD 5","")))))</f>
        <v>PADD 5</v>
      </c>
      <c r="G6840" s="6" t="str">
        <f>IF(AND($H6840="ATMOS DISTILLATION",ISNUMBER(SEARCH("VPS",$I6840))=FALSE,LEFT($I6840,6)&lt;&gt;"VACUUM"),"CDU",IF($H6840="FLUID CAT CRACKING","FCC",IF(OR($H6840="HYDROCRACKING",$H6840="RESID_HYDROCRACKING"),"Hydrocracker",IF($H6840="REFORMING","Reformer",""))))</f>
        <v>CDU</v>
      </c>
      <c r="H6840" s="6" t="s">
        <v>38</v>
      </c>
      <c r="I6840" s="6" t="s">
        <v>135</v>
      </c>
      <c r="J6840" s="6" t="s">
        <v>345</v>
      </c>
      <c r="K6840" s="10">
        <v>5.355</v>
      </c>
      <c r="L6840" s="10">
        <v>31.5</v>
      </c>
      <c r="M6840" s="6" t="s">
        <v>386</v>
      </c>
    </row>
    <row r="6841" spans="1:13">
      <c r="A6841" s="6">
        <v>2025</v>
      </c>
      <c r="B6841" s="6">
        <v>11</v>
      </c>
      <c r="C6841" s="6" t="s">
        <v>69</v>
      </c>
      <c r="D6841" s="6" t="s">
        <v>346</v>
      </c>
      <c r="E6841" s="6" t="s">
        <v>383</v>
      </c>
      <c r="F6841" s="6" t="str">
        <f>IF($M6841="PADD I","PADD 1",IF($M6841="PADD II","PADD 2",IF($M6841="PADD III","PADD 3",IF($M6841="PADD IV","PADD 4",IF($M6841="PADD V","PADD 5","")))))</f>
        <v>PADD 2</v>
      </c>
      <c r="G6841" s="6" t="str">
        <f>IF(AND($H6841="ATMOS DISTILLATION",ISNUMBER(SEARCH("VPS",$I6841))=FALSE,LEFT($I6841,6)&lt;&gt;"VACUUM"),"CDU",IF($H6841="FLUID CAT CRACKING","FCC",IF(OR($H6841="HYDROCRACKING",$H6841="RESID_HYDROCRACKING"),"Hydrocracker",IF($H6841="REFORMING","Reformer",""))))</f>
        <v>Hydrocracker</v>
      </c>
      <c r="H6841" s="6" t="s">
        <v>444</v>
      </c>
      <c r="I6841" s="6" t="s">
        <v>463</v>
      </c>
      <c r="J6841" s="6" t="s">
        <v>345</v>
      </c>
      <c r="K6841" s="10">
        <v>5.2</v>
      </c>
      <c r="L6841" s="10">
        <v>52</v>
      </c>
      <c r="M6841" s="6" t="s">
        <v>375</v>
      </c>
    </row>
    <row r="6842" spans="1:13">
      <c r="A6842" s="6">
        <v>2025</v>
      </c>
      <c r="B6842" s="6">
        <v>11</v>
      </c>
      <c r="C6842" s="6" t="s">
        <v>69</v>
      </c>
      <c r="D6842" s="6" t="s">
        <v>639</v>
      </c>
      <c r="E6842" s="6" t="s">
        <v>452</v>
      </c>
      <c r="F6842" s="6" t="str">
        <f>IF($M6842="PADD I","PADD 1",IF($M6842="PADD II","PADD 2",IF($M6842="PADD III","PADD 3",IF($M6842="PADD IV","PADD 4",IF($M6842="PADD V","PADD 5","")))))</f>
        <v>PADD 5</v>
      </c>
      <c r="G6842" s="6" t="str">
        <f>IF(AND($H6842="ATMOS DISTILLATION",ISNUMBER(SEARCH("VPS",$I6842))=FALSE,LEFT($I6842,6)&lt;&gt;"VACUUM"),"CDU",IF($H6842="FLUID CAT CRACKING","FCC",IF(OR($H6842="HYDROCRACKING",$H6842="RESID_HYDROCRACKING"),"Hydrocracker",IF($H6842="REFORMING","Reformer",""))))</f>
        <v>Reformer</v>
      </c>
      <c r="H6842" s="6" t="s">
        <v>421</v>
      </c>
      <c r="I6842" s="6" t="s">
        <v>906</v>
      </c>
      <c r="J6842" s="6" t="s">
        <v>349</v>
      </c>
      <c r="K6842" s="10">
        <v>5.1</v>
      </c>
      <c r="L6842" s="10">
        <v>17</v>
      </c>
      <c r="M6842" s="6" t="s">
        <v>386</v>
      </c>
    </row>
    <row r="6843" spans="1:13">
      <c r="A6843" s="6">
        <v>2025</v>
      </c>
      <c r="B6843" s="6">
        <v>11</v>
      </c>
      <c r="C6843" s="6" t="s">
        <v>69</v>
      </c>
      <c r="D6843" s="6" t="s">
        <v>563</v>
      </c>
      <c r="E6843" s="6" t="s">
        <v>396</v>
      </c>
      <c r="F6843" s="6" t="str">
        <f>IF($M6843="PADD I","PADD 1",IF($M6843="PADD II","PADD 2",IF($M6843="PADD III","PADD 3",IF($M6843="PADD IV","PADD 4",IF($M6843="PADD V","PADD 5","")))))</f>
        <v>PADD 3</v>
      </c>
      <c r="G6843" s="6">
        <f>IF(AND($H6843="ATMOS DISTILLATION",ISNUMBER(SEARCH("VPS",$I6843))=FALSE,LEFT($I6843,6)&lt;&gt;"VACUUM"),"CDU",IF($H6843="FLUID CAT CRACKING","FCC",IF(OR($H6843="HYDROCRACKING",$H6843="RESID_HYDROCRACKING"),"Hydrocracker",IF($H6843="REFORMING","Reformer",""))))</f>
        <v/>
      </c>
      <c r="H6843" s="6" t="s">
        <v>43</v>
      </c>
      <c r="I6843" s="6" t="s">
        <v>449</v>
      </c>
      <c r="J6843" s="6" t="s">
        <v>345</v>
      </c>
      <c r="K6843" s="10">
        <v>5.005</v>
      </c>
      <c r="L6843" s="10">
        <v>38.5</v>
      </c>
      <c r="M6843" s="6" t="s">
        <v>371</v>
      </c>
    </row>
    <row r="6844" spans="1:13">
      <c r="A6844" s="6">
        <v>2025</v>
      </c>
      <c r="B6844" s="6">
        <v>11</v>
      </c>
      <c r="C6844" s="6" t="s">
        <v>69</v>
      </c>
      <c r="D6844" s="6" t="s">
        <v>1038</v>
      </c>
      <c r="E6844" s="6" t="s">
        <v>1039</v>
      </c>
      <c r="F6844" s="6" t="str">
        <f>IF($M6844="PADD I","PADD 1",IF($M6844="PADD II","PADD 2",IF($M6844="PADD III","PADD 3",IF($M6844="PADD IV","PADD 4",IF($M6844="PADD V","PADD 5","")))))</f>
        <v>PADD 2</v>
      </c>
      <c r="G6844" s="6" t="str">
        <f>IF(AND($H6844="ATMOS DISTILLATION",ISNUMBER(SEARCH("VPS",$I6844))=FALSE,LEFT($I6844,6)&lt;&gt;"VACUUM"),"CDU",IF($H6844="FLUID CAT CRACKING","FCC",IF(OR($H6844="HYDROCRACKING",$H6844="RESID_HYDROCRACKING"),"Hydrocracker",IF($H6844="REFORMING","Reformer",""))))</f>
        <v>Reformer</v>
      </c>
      <c r="H6844" s="6" t="s">
        <v>421</v>
      </c>
      <c r="I6844" s="6" t="s">
        <v>1046</v>
      </c>
      <c r="J6844" s="6" t="s">
        <v>349</v>
      </c>
      <c r="K6844" s="10">
        <v>4.6</v>
      </c>
      <c r="L6844" s="10">
        <v>20</v>
      </c>
      <c r="M6844" s="6" t="s">
        <v>375</v>
      </c>
    </row>
    <row r="6845" spans="1:13">
      <c r="A6845" s="6">
        <v>2025</v>
      </c>
      <c r="B6845" s="6">
        <v>11</v>
      </c>
      <c r="C6845" s="6" t="s">
        <v>69</v>
      </c>
      <c r="D6845" s="6" t="s">
        <v>639</v>
      </c>
      <c r="E6845" s="6" t="s">
        <v>452</v>
      </c>
      <c r="F6845" s="6" t="str">
        <f>IF($M6845="PADD I","PADD 1",IF($M6845="PADD II","PADD 2",IF($M6845="PADD III","PADD 3",IF($M6845="PADD IV","PADD 4",IF($M6845="PADD V","PADD 5","")))))</f>
        <v>PADD 5</v>
      </c>
      <c r="G6845" s="6">
        <f>IF(AND($H6845="ATMOS DISTILLATION",ISNUMBER(SEARCH("VPS",$I6845))=FALSE,LEFT($I6845,6)&lt;&gt;"VACUUM"),"CDU",IF($H6845="FLUID CAT CRACKING","FCC",IF(OR($H6845="HYDROCRACKING",$H6845="RESID_HYDROCRACKING"),"Hydrocracker",IF($H6845="REFORMING","Reformer",""))))</f>
        <v/>
      </c>
      <c r="H6845" s="6" t="s">
        <v>38</v>
      </c>
      <c r="I6845" s="6" t="s">
        <v>640</v>
      </c>
      <c r="J6845" s="6" t="s">
        <v>345</v>
      </c>
      <c r="K6845" s="10">
        <v>4.47</v>
      </c>
      <c r="L6845" s="10">
        <v>149</v>
      </c>
      <c r="M6845" s="6" t="s">
        <v>386</v>
      </c>
    </row>
    <row r="6846" spans="1:13">
      <c r="A6846" s="6">
        <v>2025</v>
      </c>
      <c r="B6846" s="6">
        <v>11</v>
      </c>
      <c r="C6846" s="6" t="s">
        <v>69</v>
      </c>
      <c r="D6846" s="6" t="s">
        <v>1063</v>
      </c>
      <c r="E6846" s="6" t="s">
        <v>388</v>
      </c>
      <c r="F6846" s="6" t="str">
        <f>IF($M6846="PADD I","PADD 1",IF($M6846="PADD II","PADD 2",IF($M6846="PADD III","PADD 3",IF($M6846="PADD IV","PADD 4",IF($M6846="PADD V","PADD 5","")))))</f>
        <v>PADD 2</v>
      </c>
      <c r="G6846" s="6" t="str">
        <f>IF(AND($H6846="ATMOS DISTILLATION",ISNUMBER(SEARCH("VPS",$I6846))=FALSE,LEFT($I6846,6)&lt;&gt;"VACUUM"),"CDU",IF($H6846="FLUID CAT CRACKING","FCC",IF(OR($H6846="HYDROCRACKING",$H6846="RESID_HYDROCRACKING"),"Hydrocracker",IF($H6846="REFORMING","Reformer",""))))</f>
        <v>CDU</v>
      </c>
      <c r="H6846" s="6" t="s">
        <v>38</v>
      </c>
      <c r="I6846" s="6" t="s">
        <v>81</v>
      </c>
      <c r="J6846" s="6" t="s">
        <v>345</v>
      </c>
      <c r="K6846" s="10">
        <v>4.41</v>
      </c>
      <c r="L6846" s="10">
        <v>147</v>
      </c>
      <c r="M6846" s="6" t="s">
        <v>375</v>
      </c>
    </row>
    <row r="6847" spans="1:13">
      <c r="A6847" s="6">
        <v>2025</v>
      </c>
      <c r="B6847" s="6">
        <v>11</v>
      </c>
      <c r="C6847" s="6" t="s">
        <v>69</v>
      </c>
      <c r="D6847" s="6" t="s">
        <v>326</v>
      </c>
      <c r="E6847" s="6" t="s">
        <v>385</v>
      </c>
      <c r="F6847" s="6" t="str">
        <f>IF($M6847="PADD I","PADD 1",IF($M6847="PADD II","PADD 2",IF($M6847="PADD III","PADD 3",IF($M6847="PADD IV","PADD 4",IF($M6847="PADD V","PADD 5","")))))</f>
        <v>PADD 5</v>
      </c>
      <c r="G6847" s="6">
        <f>IF(AND($H6847="ATMOS DISTILLATION",ISNUMBER(SEARCH("VPS",$I6847))=FALSE,LEFT($I6847,6)&lt;&gt;"VACUUM"),"CDU",IF($H6847="FLUID CAT CRACKING","FCC",IF(OR($H6847="HYDROCRACKING",$H6847="RESID_HYDROCRACKING"),"Hydrocracker",IF($H6847="REFORMING","Reformer",""))))</f>
        <v/>
      </c>
      <c r="H6847" s="6" t="s">
        <v>460</v>
      </c>
      <c r="I6847" s="6" t="s">
        <v>1288</v>
      </c>
      <c r="J6847" s="6" t="s">
        <v>345</v>
      </c>
      <c r="K6847" s="10">
        <v>4.2</v>
      </c>
      <c r="L6847" s="10">
        <v>4.2</v>
      </c>
      <c r="M6847" s="6" t="s">
        <v>386</v>
      </c>
    </row>
    <row r="6848" spans="1:13">
      <c r="A6848" s="6">
        <v>2025</v>
      </c>
      <c r="B6848" s="6">
        <v>11</v>
      </c>
      <c r="C6848" s="6" t="s">
        <v>69</v>
      </c>
      <c r="D6848" s="6" t="s">
        <v>51</v>
      </c>
      <c r="E6848" s="6" t="s">
        <v>391</v>
      </c>
      <c r="F6848" s="6" t="str">
        <f>IF($M6848="PADD I","PADD 1",IF($M6848="PADD II","PADD 2",IF($M6848="PADD III","PADD 3",IF($M6848="PADD IV","PADD 4",IF($M6848="PADD V","PADD 5","")))))</f>
        <v>PADD 5</v>
      </c>
      <c r="G6848" s="6">
        <f>IF(AND($H6848="ATMOS DISTILLATION",ISNUMBER(SEARCH("VPS",$I6848))=FALSE,LEFT($I6848,6)&lt;&gt;"VACUUM"),"CDU",IF($H6848="FLUID CAT CRACKING","FCC",IF(OR($H6848="HYDROCRACKING",$H6848="RESID_HYDROCRACKING"),"Hydrocracker",IF($H6848="REFORMING","Reformer",""))))</f>
        <v/>
      </c>
      <c r="H6848" s="6" t="s">
        <v>43</v>
      </c>
      <c r="I6848" s="6" t="s">
        <v>1167</v>
      </c>
      <c r="J6848" s="6" t="s">
        <v>345</v>
      </c>
      <c r="K6848" s="10">
        <v>4.165</v>
      </c>
      <c r="L6848" s="10">
        <v>24.5</v>
      </c>
      <c r="M6848" s="6" t="s">
        <v>386</v>
      </c>
    </row>
    <row r="6849" spans="1:13">
      <c r="A6849" s="6">
        <v>2025</v>
      </c>
      <c r="B6849" s="6">
        <v>11</v>
      </c>
      <c r="C6849" s="6" t="s">
        <v>69</v>
      </c>
      <c r="D6849" s="6" t="s">
        <v>1038</v>
      </c>
      <c r="E6849" s="6" t="s">
        <v>1039</v>
      </c>
      <c r="F6849" s="6" t="str">
        <f>IF($M6849="PADD I","PADD 1",IF($M6849="PADD II","PADD 2",IF($M6849="PADD III","PADD 3",IF($M6849="PADD IV","PADD 4",IF($M6849="PADD V","PADD 5","")))))</f>
        <v>PADD 2</v>
      </c>
      <c r="G6849" s="6">
        <f>IF(AND($H6849="ATMOS DISTILLATION",ISNUMBER(SEARCH("VPS",$I6849))=FALSE,LEFT($I6849,6)&lt;&gt;"VACUUM"),"CDU",IF($H6849="FLUID CAT CRACKING","FCC",IF(OR($H6849="HYDROCRACKING",$H6849="RESID_HYDROCRACKING"),"Hydrocracker",IF($H6849="REFORMING","Reformer",""))))</f>
        <v/>
      </c>
      <c r="H6849" s="6" t="s">
        <v>43</v>
      </c>
      <c r="I6849" s="6" t="s">
        <v>1197</v>
      </c>
      <c r="J6849" s="6" t="s">
        <v>349</v>
      </c>
      <c r="K6849" s="10">
        <v>4.14</v>
      </c>
      <c r="L6849" s="10">
        <v>18</v>
      </c>
      <c r="M6849" s="6" t="s">
        <v>375</v>
      </c>
    </row>
    <row r="6850" spans="1:13">
      <c r="A6850" s="6">
        <v>2025</v>
      </c>
      <c r="B6850" s="6">
        <v>11</v>
      </c>
      <c r="C6850" s="6" t="s">
        <v>69</v>
      </c>
      <c r="D6850" s="6" t="s">
        <v>799</v>
      </c>
      <c r="E6850" s="6" t="s">
        <v>391</v>
      </c>
      <c r="F6850" s="6" t="str">
        <f>IF($M6850="PADD I","PADD 1",IF($M6850="PADD II","PADD 2",IF($M6850="PADD III","PADD 3",IF($M6850="PADD IV","PADD 4",IF($M6850="PADD V","PADD 5","")))))</f>
        <v>PADD 4</v>
      </c>
      <c r="G6850" s="6">
        <f>IF(AND($H6850="ATMOS DISTILLATION",ISNUMBER(SEARCH("VPS",$I6850))=FALSE,LEFT($I6850,6)&lt;&gt;"VACUUM"),"CDU",IF($H6850="FLUID CAT CRACKING","FCC",IF(OR($H6850="HYDROCRACKING",$H6850="RESID_HYDROCRACKING"),"Hydrocracker",IF($H6850="REFORMING","Reformer",""))))</f>
        <v/>
      </c>
      <c r="H6850" s="6" t="s">
        <v>43</v>
      </c>
      <c r="I6850" s="6" t="s">
        <v>1067</v>
      </c>
      <c r="J6850" s="6" t="s">
        <v>349</v>
      </c>
      <c r="K6850" s="10">
        <v>4.05</v>
      </c>
      <c r="L6850" s="10">
        <v>15</v>
      </c>
      <c r="M6850" s="6" t="s">
        <v>430</v>
      </c>
    </row>
    <row r="6851" spans="1:13">
      <c r="A6851" s="6">
        <v>2025</v>
      </c>
      <c r="B6851" s="6">
        <v>11</v>
      </c>
      <c r="C6851" s="6" t="s">
        <v>69</v>
      </c>
      <c r="D6851" s="6" t="s">
        <v>51</v>
      </c>
      <c r="E6851" s="6" t="s">
        <v>391</v>
      </c>
      <c r="F6851" s="6" t="str">
        <f>IF($M6851="PADD I","PADD 1",IF($M6851="PADD II","PADD 2",IF($M6851="PADD III","PADD 3",IF($M6851="PADD IV","PADD 4",IF($M6851="PADD V","PADD 5","")))))</f>
        <v>PADD 5</v>
      </c>
      <c r="G6851" s="6">
        <f>IF(AND($H6851="ATMOS DISTILLATION",ISNUMBER(SEARCH("VPS",$I6851))=FALSE,LEFT($I6851,6)&lt;&gt;"VACUUM"),"CDU",IF($H6851="FLUID CAT CRACKING","FCC",IF(OR($H6851="HYDROCRACKING",$H6851="RESID_HYDROCRACKING"),"Hydrocracker",IF($H6851="REFORMING","Reformer",""))))</f>
        <v/>
      </c>
      <c r="H6851" s="6" t="s">
        <v>43</v>
      </c>
      <c r="I6851" s="6" t="s">
        <v>1230</v>
      </c>
      <c r="J6851" s="6" t="s">
        <v>345</v>
      </c>
      <c r="K6851" s="10">
        <v>4.046</v>
      </c>
      <c r="L6851" s="10">
        <v>23.8</v>
      </c>
      <c r="M6851" s="6" t="s">
        <v>386</v>
      </c>
    </row>
    <row r="6852" spans="1:13">
      <c r="A6852" s="6">
        <v>2025</v>
      </c>
      <c r="B6852" s="6">
        <v>11</v>
      </c>
      <c r="C6852" s="6" t="s">
        <v>69</v>
      </c>
      <c r="D6852" s="6" t="s">
        <v>408</v>
      </c>
      <c r="E6852" s="6" t="s">
        <v>409</v>
      </c>
      <c r="F6852" s="6" t="str">
        <f>IF($M6852="PADD I","PADD 1",IF($M6852="PADD II","PADD 2",IF($M6852="PADD III","PADD 3",IF($M6852="PADD IV","PADD 4",IF($M6852="PADD V","PADD 5","")))))</f>
        <v>PADD 3</v>
      </c>
      <c r="G6852" s="6">
        <f>IF(AND($H6852="ATMOS DISTILLATION",ISNUMBER(SEARCH("VPS",$I6852))=FALSE,LEFT($I6852,6)&lt;&gt;"VACUUM"),"CDU",IF($H6852="FLUID CAT CRACKING","FCC",IF(OR($H6852="HYDROCRACKING",$H6852="RESID_HYDROCRACKING"),"Hydrocracker",IF($H6852="REFORMING","Reformer",""))))</f>
        <v/>
      </c>
      <c r="H6852" s="6" t="s">
        <v>460</v>
      </c>
      <c r="I6852" s="6" t="s">
        <v>606</v>
      </c>
      <c r="J6852" s="6" t="s">
        <v>349</v>
      </c>
      <c r="K6852" s="10">
        <v>4</v>
      </c>
      <c r="L6852" s="10">
        <v>5</v>
      </c>
      <c r="M6852" s="6" t="s">
        <v>371</v>
      </c>
    </row>
    <row r="6853" spans="1:13">
      <c r="A6853" s="6">
        <v>2025</v>
      </c>
      <c r="B6853" s="6">
        <v>11</v>
      </c>
      <c r="C6853" s="6" t="s">
        <v>69</v>
      </c>
      <c r="D6853" s="6" t="s">
        <v>714</v>
      </c>
      <c r="E6853" s="6" t="s">
        <v>405</v>
      </c>
      <c r="F6853" s="6" t="str">
        <f>IF($M6853="PADD I","PADD 1",IF($M6853="PADD II","PADD 2",IF($M6853="PADD III","PADD 3",IF($M6853="PADD IV","PADD 4",IF($M6853="PADD V","PADD 5","")))))</f>
        <v>PADD 3</v>
      </c>
      <c r="G6853" s="6" t="str">
        <f>IF(AND($H6853="ATMOS DISTILLATION",ISNUMBER(SEARCH("VPS",$I6853))=FALSE,LEFT($I6853,6)&lt;&gt;"VACUUM"),"CDU",IF($H6853="FLUID CAT CRACKING","FCC",IF(OR($H6853="HYDROCRACKING",$H6853="RESID_HYDROCRACKING"),"Hydrocracker",IF($H6853="REFORMING","Reformer",""))))</f>
        <v>FCC</v>
      </c>
      <c r="H6853" s="6" t="s">
        <v>376</v>
      </c>
      <c r="I6853" s="6" t="s">
        <v>105</v>
      </c>
      <c r="J6853" s="6" t="s">
        <v>345</v>
      </c>
      <c r="K6853" s="10">
        <v>3.8129</v>
      </c>
      <c r="L6853" s="10">
        <v>54.47</v>
      </c>
      <c r="M6853" s="6" t="s">
        <v>371</v>
      </c>
    </row>
    <row r="6854" spans="1:13">
      <c r="A6854" s="6">
        <v>2025</v>
      </c>
      <c r="B6854" s="6">
        <v>11</v>
      </c>
      <c r="C6854" s="6" t="s">
        <v>69</v>
      </c>
      <c r="D6854" s="6" t="s">
        <v>468</v>
      </c>
      <c r="E6854" s="6" t="s">
        <v>369</v>
      </c>
      <c r="F6854" s="6" t="str">
        <f>IF($M6854="PADD I","PADD 1",IF($M6854="PADD II","PADD 2",IF($M6854="PADD III","PADD 3",IF($M6854="PADD IV","PADD 4",IF($M6854="PADD V","PADD 5","")))))</f>
        <v>PADD 3</v>
      </c>
      <c r="G6854" s="6">
        <f>IF(AND($H6854="ATMOS DISTILLATION",ISNUMBER(SEARCH("VPS",$I6854))=FALSE,LEFT($I6854,6)&lt;&gt;"VACUUM"),"CDU",IF($H6854="FLUID CAT CRACKING","FCC",IF(OR($H6854="HYDROCRACKING",$H6854="RESID_HYDROCRACKING"),"Hydrocracker",IF($H6854="REFORMING","Reformer",""))))</f>
        <v/>
      </c>
      <c r="H6854" s="6" t="s">
        <v>460</v>
      </c>
      <c r="I6854" s="6" t="s">
        <v>890</v>
      </c>
      <c r="J6854" s="6" t="s">
        <v>349</v>
      </c>
      <c r="K6854" s="10">
        <v>3.78</v>
      </c>
      <c r="L6854" s="10">
        <v>14</v>
      </c>
      <c r="M6854" s="6" t="s">
        <v>371</v>
      </c>
    </row>
    <row r="6855" spans="1:13">
      <c r="A6855" s="6">
        <v>2025</v>
      </c>
      <c r="B6855" s="6">
        <v>11</v>
      </c>
      <c r="C6855" s="6" t="s">
        <v>69</v>
      </c>
      <c r="D6855" s="6" t="s">
        <v>639</v>
      </c>
      <c r="E6855" s="6" t="s">
        <v>452</v>
      </c>
      <c r="F6855" s="6" t="str">
        <f>IF($M6855="PADD I","PADD 1",IF($M6855="PADD II","PADD 2",IF($M6855="PADD III","PADD 3",IF($M6855="PADD IV","PADD 4",IF($M6855="PADD V","PADD 5","")))))</f>
        <v>PADD 5</v>
      </c>
      <c r="G6855" s="6">
        <f>IF(AND($H6855="ATMOS DISTILLATION",ISNUMBER(SEARCH("VPS",$I6855))=FALSE,LEFT($I6855,6)&lt;&gt;"VACUUM"),"CDU",IF($H6855="FLUID CAT CRACKING","FCC",IF(OR($H6855="HYDROCRACKING",$H6855="RESID_HYDROCRACKING"),"Hydrocracker",IF($H6855="REFORMING","Reformer",""))))</f>
        <v/>
      </c>
      <c r="H6855" s="6" t="s">
        <v>568</v>
      </c>
      <c r="I6855" s="6" t="s">
        <v>713</v>
      </c>
      <c r="J6855" s="6" t="s">
        <v>349</v>
      </c>
      <c r="K6855" s="10">
        <v>3.6</v>
      </c>
      <c r="L6855" s="10">
        <v>12</v>
      </c>
      <c r="M6855" s="6" t="s">
        <v>386</v>
      </c>
    </row>
    <row r="6856" spans="1:13">
      <c r="A6856" s="6">
        <v>2025</v>
      </c>
      <c r="B6856" s="6">
        <v>11</v>
      </c>
      <c r="C6856" s="6" t="s">
        <v>69</v>
      </c>
      <c r="D6856" s="6" t="s">
        <v>799</v>
      </c>
      <c r="E6856" s="6" t="s">
        <v>391</v>
      </c>
      <c r="F6856" s="6" t="str">
        <f>IF($M6856="PADD I","PADD 1",IF($M6856="PADD II","PADD 2",IF($M6856="PADD III","PADD 3",IF($M6856="PADD IV","PADD 4",IF($M6856="PADD V","PADD 5","")))))</f>
        <v>PADD 4</v>
      </c>
      <c r="G6856" s="6" t="str">
        <f>IF(AND($H6856="ATMOS DISTILLATION",ISNUMBER(SEARCH("VPS",$I6856))=FALSE,LEFT($I6856,6)&lt;&gt;"VACUUM"),"CDU",IF($H6856="FLUID CAT CRACKING","FCC",IF(OR($H6856="HYDROCRACKING",$H6856="RESID_HYDROCRACKING"),"Hydrocracker",IF($H6856="REFORMING","Reformer",""))))</f>
        <v>FCC</v>
      </c>
      <c r="H6856" s="6" t="s">
        <v>376</v>
      </c>
      <c r="I6856" s="6" t="s">
        <v>800</v>
      </c>
      <c r="J6856" s="6" t="s">
        <v>349</v>
      </c>
      <c r="K6856" s="10">
        <v>3.51</v>
      </c>
      <c r="L6856" s="10">
        <v>13</v>
      </c>
      <c r="M6856" s="6" t="s">
        <v>430</v>
      </c>
    </row>
    <row r="6857" spans="1:13">
      <c r="A6857" s="6">
        <v>2025</v>
      </c>
      <c r="B6857" s="6">
        <v>11</v>
      </c>
      <c r="C6857" s="6" t="s">
        <v>69</v>
      </c>
      <c r="D6857" s="6" t="s">
        <v>531</v>
      </c>
      <c r="E6857" s="6" t="s">
        <v>532</v>
      </c>
      <c r="F6857" s="6" t="str">
        <f>IF($M6857="PADD I","PADD 1",IF($M6857="PADD II","PADD 2",IF($M6857="PADD III","PADD 3",IF($M6857="PADD IV","PADD 4",IF($M6857="PADD V","PADD 5","")))))</f>
        <v>PADD 5</v>
      </c>
      <c r="G6857" s="6">
        <f>IF(AND($H6857="ATMOS DISTILLATION",ISNUMBER(SEARCH("VPS",$I6857))=FALSE,LEFT($I6857,6)&lt;&gt;"VACUUM"),"CDU",IF($H6857="FLUID CAT CRACKING","FCC",IF(OR($H6857="HYDROCRACKING",$H6857="RESID_HYDROCRACKING"),"Hydrocracker",IF($H6857="REFORMING","Reformer",""))))</f>
        <v/>
      </c>
      <c r="H6857" s="6" t="s">
        <v>435</v>
      </c>
      <c r="I6857" s="6" t="s">
        <v>614</v>
      </c>
      <c r="J6857" s="6" t="s">
        <v>345</v>
      </c>
      <c r="K6857" s="10">
        <v>3.51</v>
      </c>
      <c r="L6857" s="10">
        <v>27</v>
      </c>
      <c r="M6857" s="6" t="s">
        <v>386</v>
      </c>
    </row>
    <row r="6858" spans="1:13">
      <c r="A6858" s="6">
        <v>2025</v>
      </c>
      <c r="B6858" s="6">
        <v>11</v>
      </c>
      <c r="C6858" s="6" t="s">
        <v>69</v>
      </c>
      <c r="D6858" s="6" t="s">
        <v>1063</v>
      </c>
      <c r="E6858" s="6" t="s">
        <v>388</v>
      </c>
      <c r="F6858" s="6" t="str">
        <f>IF($M6858="PADD I","PADD 1",IF($M6858="PADD II","PADD 2",IF($M6858="PADD III","PADD 3",IF($M6858="PADD IV","PADD 4",IF($M6858="PADD V","PADD 5","")))))</f>
        <v>PADD 2</v>
      </c>
      <c r="G6858" s="6" t="str">
        <f>IF(AND($H6858="ATMOS DISTILLATION",ISNUMBER(SEARCH("VPS",$I6858))=FALSE,LEFT($I6858,6)&lt;&gt;"VACUUM"),"CDU",IF($H6858="FLUID CAT CRACKING","FCC",IF(OR($H6858="HYDROCRACKING",$H6858="RESID_HYDROCRACKING"),"Hydrocracker",IF($H6858="REFORMING","Reformer",""))))</f>
        <v>FCC</v>
      </c>
      <c r="H6858" s="6" t="s">
        <v>376</v>
      </c>
      <c r="I6858" s="6" t="s">
        <v>105</v>
      </c>
      <c r="J6858" s="6" t="s">
        <v>345</v>
      </c>
      <c r="K6858" s="10">
        <v>3.5</v>
      </c>
      <c r="L6858" s="10">
        <v>35</v>
      </c>
      <c r="M6858" s="6" t="s">
        <v>375</v>
      </c>
    </row>
    <row r="6859" spans="1:13">
      <c r="A6859" s="6">
        <v>2025</v>
      </c>
      <c r="B6859" s="6">
        <v>11</v>
      </c>
      <c r="C6859" s="6" t="s">
        <v>69</v>
      </c>
      <c r="D6859" s="6" t="s">
        <v>722</v>
      </c>
      <c r="E6859" s="6" t="s">
        <v>452</v>
      </c>
      <c r="F6859" s="6" t="str">
        <f>IF($M6859="PADD I","PADD 1",IF($M6859="PADD II","PADD 2",IF($M6859="PADD III","PADD 3",IF($M6859="PADD IV","PADD 4",IF($M6859="PADD V","PADD 5","")))))</f>
        <v>PADD 4</v>
      </c>
      <c r="G6859" s="6" t="str">
        <f>IF(AND($H6859="ATMOS DISTILLATION",ISNUMBER(SEARCH("VPS",$I6859))=FALSE,LEFT($I6859,6)&lt;&gt;"VACUUM"),"CDU",IF($H6859="FLUID CAT CRACKING","FCC",IF(OR($H6859="HYDROCRACKING",$H6859="RESID_HYDROCRACKING"),"Hydrocracker",IF($H6859="REFORMING","Reformer",""))))</f>
        <v>CDU</v>
      </c>
      <c r="H6859" s="6" t="s">
        <v>38</v>
      </c>
      <c r="I6859" s="6" t="s">
        <v>81</v>
      </c>
      <c r="J6859" s="6" t="s">
        <v>345</v>
      </c>
      <c r="K6859" s="10">
        <v>3.45</v>
      </c>
      <c r="L6859" s="10">
        <v>15</v>
      </c>
      <c r="M6859" s="6" t="s">
        <v>430</v>
      </c>
    </row>
    <row r="6860" spans="1:13">
      <c r="A6860" s="6">
        <v>2025</v>
      </c>
      <c r="B6860" s="6">
        <v>11</v>
      </c>
      <c r="C6860" s="6" t="s">
        <v>69</v>
      </c>
      <c r="D6860" s="6" t="s">
        <v>434</v>
      </c>
      <c r="E6860" s="6" t="s">
        <v>388</v>
      </c>
      <c r="F6860" s="6" t="str">
        <f>IF($M6860="PADD I","PADD 1",IF($M6860="PADD II","PADD 2",IF($M6860="PADD III","PADD 3",IF($M6860="PADD IV","PADD 4",IF($M6860="PADD V","PADD 5","")))))</f>
        <v>PADD 5</v>
      </c>
      <c r="G6860" s="6" t="str">
        <f>IF(AND($H6860="ATMOS DISTILLATION",ISNUMBER(SEARCH("VPS",$I6860))=FALSE,LEFT($I6860,6)&lt;&gt;"VACUUM"),"CDU",IF($H6860="FLUID CAT CRACKING","FCC",IF(OR($H6860="HYDROCRACKING",$H6860="RESID_HYDROCRACKING"),"Hydrocracker",IF($H6860="REFORMING","Reformer",""))))</f>
        <v>Hydrocracker</v>
      </c>
      <c r="H6860" s="6" t="s">
        <v>444</v>
      </c>
      <c r="I6860" s="6" t="s">
        <v>14</v>
      </c>
      <c r="J6860" s="6" t="s">
        <v>345</v>
      </c>
      <c r="K6860" s="10">
        <v>3.2</v>
      </c>
      <c r="L6860" s="10">
        <v>32</v>
      </c>
      <c r="M6860" s="6" t="s">
        <v>386</v>
      </c>
    </row>
    <row r="6861" spans="1:13">
      <c r="A6861" s="6">
        <v>2025</v>
      </c>
      <c r="B6861" s="6">
        <v>11</v>
      </c>
      <c r="C6861" s="6" t="s">
        <v>69</v>
      </c>
      <c r="D6861" s="6" t="s">
        <v>1223</v>
      </c>
      <c r="E6861" s="6" t="s">
        <v>1039</v>
      </c>
      <c r="F6861" s="6" t="str">
        <f>IF($M6861="PADD I","PADD 1",IF($M6861="PADD II","PADD 2",IF($M6861="PADD III","PADD 3",IF($M6861="PADD IV","PADD 4",IF($M6861="PADD V","PADD 5","")))))</f>
        <v>PADD 2</v>
      </c>
      <c r="G6861" s="6" t="str">
        <f>IF(AND($H6861="ATMOS DISTILLATION",ISNUMBER(SEARCH("VPS",$I6861))=FALSE,LEFT($I6861,6)&lt;&gt;"VACUUM"),"CDU",IF($H6861="FLUID CAT CRACKING","FCC",IF(OR($H6861="HYDROCRACKING",$H6861="RESID_HYDROCRACKING"),"Hydrocracker",IF($H6861="REFORMING","Reformer",""))))</f>
        <v>Reformer</v>
      </c>
      <c r="H6861" s="6" t="s">
        <v>421</v>
      </c>
      <c r="I6861" s="6" t="s">
        <v>15</v>
      </c>
      <c r="J6861" s="6" t="s">
        <v>345</v>
      </c>
      <c r="K6861" s="10">
        <v>3.0525</v>
      </c>
      <c r="L6861" s="10">
        <v>8.25</v>
      </c>
      <c r="M6861" s="6" t="s">
        <v>375</v>
      </c>
    </row>
    <row r="6862" spans="1:13">
      <c r="A6862" s="6">
        <v>2025</v>
      </c>
      <c r="B6862" s="6">
        <v>11</v>
      </c>
      <c r="C6862" s="6" t="s">
        <v>69</v>
      </c>
      <c r="D6862" s="6" t="s">
        <v>1063</v>
      </c>
      <c r="E6862" s="6" t="s">
        <v>388</v>
      </c>
      <c r="F6862" s="6" t="str">
        <f>IF($M6862="PADD I","PADD 1",IF($M6862="PADD II","PADD 2",IF($M6862="PADD III","PADD 3",IF($M6862="PADD IV","PADD 4",IF($M6862="PADD V","PADD 5","")))))</f>
        <v>PADD 2</v>
      </c>
      <c r="G6862" s="6">
        <f>IF(AND($H6862="ATMOS DISTILLATION",ISNUMBER(SEARCH("VPS",$I6862))=FALSE,LEFT($I6862,6)&lt;&gt;"VACUUM"),"CDU",IF($H6862="FLUID CAT CRACKING","FCC",IF(OR($H6862="HYDROCRACKING",$H6862="RESID_HYDROCRACKING"),"Hydrocracker",IF($H6862="REFORMING","Reformer",""))))</f>
        <v/>
      </c>
      <c r="H6862" s="6" t="s">
        <v>43</v>
      </c>
      <c r="I6862" s="6" t="s">
        <v>689</v>
      </c>
      <c r="J6862" s="6" t="s">
        <v>345</v>
      </c>
      <c r="K6862" s="10">
        <v>3.01</v>
      </c>
      <c r="L6862" s="10">
        <v>7</v>
      </c>
      <c r="M6862" s="6" t="s">
        <v>375</v>
      </c>
    </row>
    <row r="6863" spans="1:13">
      <c r="A6863" s="6">
        <v>2025</v>
      </c>
      <c r="B6863" s="6">
        <v>11</v>
      </c>
      <c r="C6863" s="6" t="s">
        <v>69</v>
      </c>
      <c r="D6863" s="6" t="s">
        <v>346</v>
      </c>
      <c r="E6863" s="6" t="s">
        <v>383</v>
      </c>
      <c r="F6863" s="6" t="str">
        <f>IF($M6863="PADD I","PADD 1",IF($M6863="PADD II","PADD 2",IF($M6863="PADD III","PADD 3",IF($M6863="PADD IV","PADD 4",IF($M6863="PADD V","PADD 5","")))))</f>
        <v>PADD 2</v>
      </c>
      <c r="G6863" s="6" t="str">
        <f>IF(AND($H6863="ATMOS DISTILLATION",ISNUMBER(SEARCH("VPS",$I6863))=FALSE,LEFT($I6863,6)&lt;&gt;"VACUUM"),"CDU",IF($H6863="FLUID CAT CRACKING","FCC",IF(OR($H6863="HYDROCRACKING",$H6863="RESID_HYDROCRACKING"),"Hydrocracker",IF($H6863="REFORMING","Reformer",""))))</f>
        <v>Reformer</v>
      </c>
      <c r="H6863" s="6" t="s">
        <v>421</v>
      </c>
      <c r="I6863" s="6" t="s">
        <v>471</v>
      </c>
      <c r="J6863" s="6" t="s">
        <v>345</v>
      </c>
      <c r="K6863" s="10">
        <v>3</v>
      </c>
      <c r="L6863" s="10">
        <v>30</v>
      </c>
      <c r="M6863" s="6" t="s">
        <v>375</v>
      </c>
    </row>
    <row r="6864" spans="1:13">
      <c r="A6864" s="6">
        <v>2025</v>
      </c>
      <c r="B6864" s="6">
        <v>11</v>
      </c>
      <c r="C6864" s="6" t="s">
        <v>69</v>
      </c>
      <c r="D6864" s="6" t="s">
        <v>1063</v>
      </c>
      <c r="E6864" s="6" t="s">
        <v>388</v>
      </c>
      <c r="F6864" s="6" t="str">
        <f>IF($M6864="PADD I","PADD 1",IF($M6864="PADD II","PADD 2",IF($M6864="PADD III","PADD 3",IF($M6864="PADD IV","PADD 4",IF($M6864="PADD V","PADD 5","")))))</f>
        <v>PADD 2</v>
      </c>
      <c r="G6864" s="6">
        <f>IF(AND($H6864="ATMOS DISTILLATION",ISNUMBER(SEARCH("VPS",$I6864))=FALSE,LEFT($I6864,6)&lt;&gt;"VACUUM"),"CDU",IF($H6864="FLUID CAT CRACKING","FCC",IF(OR($H6864="HYDROCRACKING",$H6864="RESID_HYDROCRACKING"),"Hydrocracker",IF($H6864="REFORMING","Reformer",""))))</f>
        <v/>
      </c>
      <c r="H6864" s="6" t="s">
        <v>435</v>
      </c>
      <c r="I6864" s="6" t="s">
        <v>441</v>
      </c>
      <c r="J6864" s="6" t="s">
        <v>345</v>
      </c>
      <c r="K6864" s="10">
        <v>2.8</v>
      </c>
      <c r="L6864" s="10">
        <v>28</v>
      </c>
      <c r="M6864" s="6" t="s">
        <v>375</v>
      </c>
    </row>
    <row r="6865" spans="1:13">
      <c r="A6865" s="6">
        <v>2025</v>
      </c>
      <c r="B6865" s="6">
        <v>11</v>
      </c>
      <c r="C6865" s="6" t="s">
        <v>69</v>
      </c>
      <c r="D6865" s="6" t="s">
        <v>878</v>
      </c>
      <c r="E6865" s="6" t="s">
        <v>452</v>
      </c>
      <c r="F6865" s="6" t="str">
        <f>IF($M6865="PADD I","PADD 1",IF($M6865="PADD II","PADD 2",IF($M6865="PADD III","PADD 3",IF($M6865="PADD IV","PADD 4",IF($M6865="PADD V","PADD 5","")))))</f>
        <v>PADD 2</v>
      </c>
      <c r="G6865" s="6" t="str">
        <f>IF(AND($H6865="ATMOS DISTILLATION",ISNUMBER(SEARCH("VPS",$I6865))=FALSE,LEFT($I6865,6)&lt;&gt;"VACUUM"),"CDU",IF($H6865="FLUID CAT CRACKING","FCC",IF(OR($H6865="HYDROCRACKING",$H6865="RESID_HYDROCRACKING"),"Hydrocracker",IF($H6865="REFORMING","Reformer",""))))</f>
        <v>CDU</v>
      </c>
      <c r="H6865" s="6" t="s">
        <v>38</v>
      </c>
      <c r="I6865" s="6" t="s">
        <v>879</v>
      </c>
      <c r="J6865" s="6" t="s">
        <v>345</v>
      </c>
      <c r="K6865" s="10">
        <v>2.7306</v>
      </c>
      <c r="L6865" s="10">
        <v>91.02</v>
      </c>
      <c r="M6865" s="6" t="s">
        <v>375</v>
      </c>
    </row>
    <row r="6866" spans="1:13">
      <c r="A6866" s="6">
        <v>2025</v>
      </c>
      <c r="B6866" s="6">
        <v>11</v>
      </c>
      <c r="C6866" s="6" t="s">
        <v>69</v>
      </c>
      <c r="D6866" s="6" t="s">
        <v>51</v>
      </c>
      <c r="E6866" s="6" t="s">
        <v>391</v>
      </c>
      <c r="F6866" s="6" t="str">
        <f>IF($M6866="PADD I","PADD 1",IF($M6866="PADD II","PADD 2",IF($M6866="PADD III","PADD 3",IF($M6866="PADD IV","PADD 4",IF($M6866="PADD V","PADD 5","")))))</f>
        <v>PADD 5</v>
      </c>
      <c r="G6866" s="6">
        <f>IF(AND($H6866="ATMOS DISTILLATION",ISNUMBER(SEARCH("VPS",$I6866))=FALSE,LEFT($I6866,6)&lt;&gt;"VACUUM"),"CDU",IF($H6866="FLUID CAT CRACKING","FCC",IF(OR($H6866="HYDROCRACKING",$H6866="RESID_HYDROCRACKING"),"Hydrocracker",IF($H6866="REFORMING","Reformer",""))))</f>
        <v/>
      </c>
      <c r="H6866" s="6" t="s">
        <v>43</v>
      </c>
      <c r="I6866" s="6" t="s">
        <v>859</v>
      </c>
      <c r="J6866" s="6" t="s">
        <v>345</v>
      </c>
      <c r="K6866" s="10">
        <v>2.38</v>
      </c>
      <c r="L6866" s="10">
        <v>14</v>
      </c>
      <c r="M6866" s="6" t="s">
        <v>386</v>
      </c>
    </row>
    <row r="6867" spans="1:13">
      <c r="A6867" s="6">
        <v>2025</v>
      </c>
      <c r="B6867" s="6">
        <v>11</v>
      </c>
      <c r="C6867" s="6" t="s">
        <v>69</v>
      </c>
      <c r="D6867" s="6" t="s">
        <v>799</v>
      </c>
      <c r="E6867" s="6" t="s">
        <v>391</v>
      </c>
      <c r="F6867" s="6" t="str">
        <f>IF($M6867="PADD I","PADD 1",IF($M6867="PADD II","PADD 2",IF($M6867="PADD III","PADD 3",IF($M6867="PADD IV","PADD 4",IF($M6867="PADD V","PADD 5","")))))</f>
        <v>PADD 4</v>
      </c>
      <c r="G6867" s="6" t="str">
        <f>IF(AND($H6867="ATMOS DISTILLATION",ISNUMBER(SEARCH("VPS",$I6867))=FALSE,LEFT($I6867,6)&lt;&gt;"VACUUM"),"CDU",IF($H6867="FLUID CAT CRACKING","FCC",IF(OR($H6867="HYDROCRACKING",$H6867="RESID_HYDROCRACKING"),"Hydrocracker",IF($H6867="REFORMING","Reformer",""))))</f>
        <v>Reformer</v>
      </c>
      <c r="H6867" s="6" t="s">
        <v>421</v>
      </c>
      <c r="I6867" s="6" t="s">
        <v>1335</v>
      </c>
      <c r="J6867" s="6" t="s">
        <v>349</v>
      </c>
      <c r="K6867" s="10">
        <v>2.16</v>
      </c>
      <c r="L6867" s="10">
        <v>8</v>
      </c>
      <c r="M6867" s="6" t="s">
        <v>430</v>
      </c>
    </row>
    <row r="6868" spans="1:13">
      <c r="A6868" s="6">
        <v>2025</v>
      </c>
      <c r="B6868" s="6">
        <v>11</v>
      </c>
      <c r="C6868" s="6" t="s">
        <v>69</v>
      </c>
      <c r="D6868" s="6" t="s">
        <v>1063</v>
      </c>
      <c r="E6868" s="6" t="s">
        <v>388</v>
      </c>
      <c r="F6868" s="6" t="str">
        <f>IF($M6868="PADD I","PADD 1",IF($M6868="PADD II","PADD 2",IF($M6868="PADD III","PADD 3",IF($M6868="PADD IV","PADD 4",IF($M6868="PADD V","PADD 5","")))))</f>
        <v>PADD 2</v>
      </c>
      <c r="G6868" s="6" t="str">
        <f>IF(AND($H6868="ATMOS DISTILLATION",ISNUMBER(SEARCH("VPS",$I6868))=FALSE,LEFT($I6868,6)&lt;&gt;"VACUUM"),"CDU",IF($H6868="FLUID CAT CRACKING","FCC",IF(OR($H6868="HYDROCRACKING",$H6868="RESID_HYDROCRACKING"),"Hydrocracker",IF($H6868="REFORMING","Reformer",""))))</f>
        <v>Reformer</v>
      </c>
      <c r="H6868" s="6" t="s">
        <v>421</v>
      </c>
      <c r="I6868" s="6" t="s">
        <v>1069</v>
      </c>
      <c r="J6868" s="6" t="s">
        <v>345</v>
      </c>
      <c r="K6868" s="10">
        <v>2.15</v>
      </c>
      <c r="L6868" s="10">
        <v>21.5</v>
      </c>
      <c r="M6868" s="6" t="s">
        <v>375</v>
      </c>
    </row>
    <row r="6869" spans="1:13">
      <c r="A6869" s="6">
        <v>2025</v>
      </c>
      <c r="B6869" s="6">
        <v>11</v>
      </c>
      <c r="C6869" s="6" t="s">
        <v>69</v>
      </c>
      <c r="D6869" s="6" t="s">
        <v>40</v>
      </c>
      <c r="E6869" s="6" t="s">
        <v>736</v>
      </c>
      <c r="F6869" s="6" t="str">
        <f>IF($M6869="PADD I","PADD 1",IF($M6869="PADD II","PADD 2",IF($M6869="PADD III","PADD 3",IF($M6869="PADD IV","PADD 4",IF($M6869="PADD V","PADD 5","")))))</f>
        <v>PADD 1</v>
      </c>
      <c r="G6869" s="6" t="str">
        <f>IF(AND($H6869="ATMOS DISTILLATION",ISNUMBER(SEARCH("VPS",$I6869))=FALSE,LEFT($I6869,6)&lt;&gt;"VACUUM"),"CDU",IF($H6869="FLUID CAT CRACKING","FCC",IF(OR($H6869="HYDROCRACKING",$H6869="RESID_HYDROCRACKING"),"Hydrocracker",IF($H6869="REFORMING","Reformer",""))))</f>
        <v>FCC</v>
      </c>
      <c r="H6869" s="6" t="s">
        <v>376</v>
      </c>
      <c r="I6869" s="6" t="s">
        <v>737</v>
      </c>
      <c r="J6869" s="6" t="s">
        <v>345</v>
      </c>
      <c r="K6869" s="10">
        <v>2.04</v>
      </c>
      <c r="L6869" s="10">
        <v>68</v>
      </c>
      <c r="M6869" s="6" t="s">
        <v>413</v>
      </c>
    </row>
    <row r="6870" spans="1:13">
      <c r="A6870" s="6">
        <v>2025</v>
      </c>
      <c r="B6870" s="6">
        <v>11</v>
      </c>
      <c r="C6870" s="6" t="s">
        <v>69</v>
      </c>
      <c r="D6870" s="6" t="s">
        <v>639</v>
      </c>
      <c r="E6870" s="6" t="s">
        <v>452</v>
      </c>
      <c r="F6870" s="6" t="str">
        <f>IF($M6870="PADD I","PADD 1",IF($M6870="PADD II","PADD 2",IF($M6870="PADD III","PADD 3",IF($M6870="PADD IV","PADD 4",IF($M6870="PADD V","PADD 5","")))))</f>
        <v>PADD 5</v>
      </c>
      <c r="G6870" s="6">
        <f>IF(AND($H6870="ATMOS DISTILLATION",ISNUMBER(SEARCH("VPS",$I6870))=FALSE,LEFT($I6870,6)&lt;&gt;"VACUUM"),"CDU",IF($H6870="FLUID CAT CRACKING","FCC",IF(OR($H6870="HYDROCRACKING",$H6870="RESID_HYDROCRACKING"),"Hydrocracker",IF($H6870="REFORMING","Reformer",""))))</f>
        <v/>
      </c>
      <c r="H6870" s="6" t="s">
        <v>378</v>
      </c>
      <c r="I6870" s="6" t="s">
        <v>379</v>
      </c>
      <c r="J6870" s="6" t="s">
        <v>345</v>
      </c>
      <c r="K6870" s="10">
        <v>1.965</v>
      </c>
      <c r="L6870" s="10">
        <v>65.5</v>
      </c>
      <c r="M6870" s="6" t="s">
        <v>386</v>
      </c>
    </row>
    <row r="6871" spans="1:13">
      <c r="A6871" s="6">
        <v>2025</v>
      </c>
      <c r="B6871" s="6">
        <v>11</v>
      </c>
      <c r="C6871" s="6" t="s">
        <v>69</v>
      </c>
      <c r="D6871" s="6" t="s">
        <v>851</v>
      </c>
      <c r="E6871" s="6" t="s">
        <v>852</v>
      </c>
      <c r="F6871" s="6" t="str">
        <f>IF($M6871="PADD I","PADD 1",IF($M6871="PADD II","PADD 2",IF($M6871="PADD III","PADD 3",IF($M6871="PADD IV","PADD 4",IF($M6871="PADD V","PADD 5","")))))</f>
        <v>PADD 3</v>
      </c>
      <c r="G6871" s="6" t="str">
        <f>IF(AND($H6871="ATMOS DISTILLATION",ISNUMBER(SEARCH("VPS",$I6871))=FALSE,LEFT($I6871,6)&lt;&gt;"VACUUM"),"CDU",IF($H6871="FLUID CAT CRACKING","FCC",IF(OR($H6871="HYDROCRACKING",$H6871="RESID_HYDROCRACKING"),"Hydrocracker",IF($H6871="REFORMING","Reformer",""))))</f>
        <v>CDU</v>
      </c>
      <c r="H6871" s="6" t="s">
        <v>38</v>
      </c>
      <c r="I6871" s="6" t="s">
        <v>853</v>
      </c>
      <c r="J6871" s="6" t="s">
        <v>345</v>
      </c>
      <c r="K6871" s="10">
        <v>1.92</v>
      </c>
      <c r="L6871" s="10">
        <v>64</v>
      </c>
      <c r="M6871" s="6" t="s">
        <v>371</v>
      </c>
    </row>
    <row r="6872" spans="1:13">
      <c r="A6872" s="6">
        <v>2025</v>
      </c>
      <c r="B6872" s="6">
        <v>11</v>
      </c>
      <c r="C6872" s="6" t="s">
        <v>69</v>
      </c>
      <c r="D6872" s="6" t="s">
        <v>612</v>
      </c>
      <c r="E6872" s="6" t="s">
        <v>416</v>
      </c>
      <c r="F6872" s="6" t="str">
        <f>IF($M6872="PADD I","PADD 1",IF($M6872="PADD II","PADD 2",IF($M6872="PADD III","PADD 3",IF($M6872="PADD IV","PADD 4",IF($M6872="PADD V","PADD 5","")))))</f>
        <v>PADD 3</v>
      </c>
      <c r="G6872" s="6" t="str">
        <f>IF(AND($H6872="ATMOS DISTILLATION",ISNUMBER(SEARCH("VPS",$I6872))=FALSE,LEFT($I6872,6)&lt;&gt;"VACUUM"),"CDU",IF($H6872="FLUID CAT CRACKING","FCC",IF(OR($H6872="HYDROCRACKING",$H6872="RESID_HYDROCRACKING"),"Hydrocracker",IF($H6872="REFORMING","Reformer",""))))</f>
        <v>FCC</v>
      </c>
      <c r="H6872" s="6" t="s">
        <v>376</v>
      </c>
      <c r="I6872" s="6" t="s">
        <v>806</v>
      </c>
      <c r="J6872" s="6" t="s">
        <v>345</v>
      </c>
      <c r="K6872" s="10">
        <v>1.69</v>
      </c>
      <c r="L6872" s="10">
        <v>13</v>
      </c>
      <c r="M6872" s="6" t="s">
        <v>371</v>
      </c>
    </row>
    <row r="6873" spans="1:13">
      <c r="A6873" s="6">
        <v>2025</v>
      </c>
      <c r="B6873" s="6">
        <v>11</v>
      </c>
      <c r="C6873" s="6" t="s">
        <v>69</v>
      </c>
      <c r="D6873" s="6" t="s">
        <v>801</v>
      </c>
      <c r="E6873" s="6" t="s">
        <v>779</v>
      </c>
      <c r="F6873" s="6" t="str">
        <f>IF($M6873="PADD I","PADD 1",IF($M6873="PADD II","PADD 2",IF($M6873="PADD III","PADD 3",IF($M6873="PADD IV","PADD 4",IF($M6873="PADD V","PADD 5","")))))</f>
        <v>PADD 2</v>
      </c>
      <c r="G6873" s="6">
        <f>IF(AND($H6873="ATMOS DISTILLATION",ISNUMBER(SEARCH("VPS",$I6873))=FALSE,LEFT($I6873,6)&lt;&gt;"VACUUM"),"CDU",IF($H6873="FLUID CAT CRACKING","FCC",IF(OR($H6873="HYDROCRACKING",$H6873="RESID_HYDROCRACKING"),"Hydrocracker",IF($H6873="REFORMING","Reformer",""))))</f>
        <v/>
      </c>
      <c r="H6873" s="6" t="s">
        <v>435</v>
      </c>
      <c r="I6873" s="6" t="s">
        <v>802</v>
      </c>
      <c r="J6873" s="6" t="s">
        <v>345</v>
      </c>
      <c r="K6873" s="10">
        <v>1.68</v>
      </c>
      <c r="L6873" s="10">
        <v>24</v>
      </c>
      <c r="M6873" s="6" t="s">
        <v>375</v>
      </c>
    </row>
    <row r="6874" spans="1:13">
      <c r="A6874" s="6">
        <v>2025</v>
      </c>
      <c r="B6874" s="6">
        <v>11</v>
      </c>
      <c r="C6874" s="6" t="s">
        <v>69</v>
      </c>
      <c r="D6874" s="6" t="s">
        <v>801</v>
      </c>
      <c r="E6874" s="6" t="s">
        <v>779</v>
      </c>
      <c r="F6874" s="6" t="str">
        <f>IF($M6874="PADD I","PADD 1",IF($M6874="PADD II","PADD 2",IF($M6874="PADD III","PADD 3",IF($M6874="PADD IV","PADD 4",IF($M6874="PADD V","PADD 5","")))))</f>
        <v>PADD 2</v>
      </c>
      <c r="G6874" s="6">
        <f>IF(AND($H6874="ATMOS DISTILLATION",ISNUMBER(SEARCH("VPS",$I6874))=FALSE,LEFT($I6874,6)&lt;&gt;"VACUUM"),"CDU",IF($H6874="FLUID CAT CRACKING","FCC",IF(OR($H6874="HYDROCRACKING",$H6874="RESID_HYDROCRACKING"),"Hydrocracker",IF($H6874="REFORMING","Reformer",""))))</f>
        <v/>
      </c>
      <c r="H6874" s="6" t="s">
        <v>435</v>
      </c>
      <c r="I6874" s="6" t="s">
        <v>894</v>
      </c>
      <c r="J6874" s="6" t="s">
        <v>345</v>
      </c>
      <c r="K6874" s="10">
        <v>1.68</v>
      </c>
      <c r="L6874" s="10">
        <v>24</v>
      </c>
      <c r="M6874" s="6" t="s">
        <v>375</v>
      </c>
    </row>
    <row r="6875" spans="1:13">
      <c r="A6875" s="6">
        <v>2025</v>
      </c>
      <c r="B6875" s="6">
        <v>11</v>
      </c>
      <c r="C6875" s="6" t="s">
        <v>69</v>
      </c>
      <c r="D6875" s="6" t="s">
        <v>1063</v>
      </c>
      <c r="E6875" s="6" t="s">
        <v>388</v>
      </c>
      <c r="F6875" s="6" t="str">
        <f>IF($M6875="PADD I","PADD 1",IF($M6875="PADD II","PADD 2",IF($M6875="PADD III","PADD 3",IF($M6875="PADD IV","PADD 4",IF($M6875="PADD V","PADD 5","")))))</f>
        <v>PADD 2</v>
      </c>
      <c r="G6875" s="6">
        <f>IF(AND($H6875="ATMOS DISTILLATION",ISNUMBER(SEARCH("VPS",$I6875))=FALSE,LEFT($I6875,6)&lt;&gt;"VACUUM"),"CDU",IF($H6875="FLUID CAT CRACKING","FCC",IF(OR($H6875="HYDROCRACKING",$H6875="RESID_HYDROCRACKING"),"Hydrocracker",IF($H6875="REFORMING","Reformer",""))))</f>
        <v/>
      </c>
      <c r="H6875" s="6" t="s">
        <v>378</v>
      </c>
      <c r="I6875" s="6" t="s">
        <v>431</v>
      </c>
      <c r="J6875" s="6" t="s">
        <v>345</v>
      </c>
      <c r="K6875" s="10">
        <v>1.65</v>
      </c>
      <c r="L6875" s="10">
        <v>55</v>
      </c>
      <c r="M6875" s="6" t="s">
        <v>375</v>
      </c>
    </row>
    <row r="6876" spans="1:13">
      <c r="A6876" s="6">
        <v>2025</v>
      </c>
      <c r="B6876" s="6">
        <v>11</v>
      </c>
      <c r="C6876" s="6" t="s">
        <v>69</v>
      </c>
      <c r="D6876" s="6" t="s">
        <v>1152</v>
      </c>
      <c r="E6876" s="6" t="s">
        <v>452</v>
      </c>
      <c r="F6876" s="6" t="str">
        <f>IF($M6876="PADD I","PADD 1",IF($M6876="PADD II","PADD 2",IF($M6876="PADD III","PADD 3",IF($M6876="PADD IV","PADD 4",IF($M6876="PADD V","PADD 5","")))))</f>
        <v>PADD 4</v>
      </c>
      <c r="G6876" s="6">
        <f>IF(AND($H6876="ATMOS DISTILLATION",ISNUMBER(SEARCH("VPS",$I6876))=FALSE,LEFT($I6876,6)&lt;&gt;"VACUUM"),"CDU",IF($H6876="FLUID CAT CRACKING","FCC",IF(OR($H6876="HYDROCRACKING",$H6876="RESID_HYDROCRACKING"),"Hydrocracker",IF($H6876="REFORMING","Reformer",""))))</f>
        <v/>
      </c>
      <c r="H6876" s="6" t="s">
        <v>43</v>
      </c>
      <c r="I6876" s="6" t="s">
        <v>493</v>
      </c>
      <c r="J6876" s="6" t="s">
        <v>345</v>
      </c>
      <c r="K6876" s="10">
        <v>1.625</v>
      </c>
      <c r="L6876" s="10">
        <v>12.5</v>
      </c>
      <c r="M6876" s="6" t="s">
        <v>430</v>
      </c>
    </row>
    <row r="6877" spans="1:13">
      <c r="A6877" s="6">
        <v>2025</v>
      </c>
      <c r="B6877" s="6">
        <v>11</v>
      </c>
      <c r="C6877" s="6" t="s">
        <v>69</v>
      </c>
      <c r="D6877" s="6" t="s">
        <v>48</v>
      </c>
      <c r="E6877" s="6" t="s">
        <v>388</v>
      </c>
      <c r="F6877" s="6" t="str">
        <f>IF($M6877="PADD I","PADD 1",IF($M6877="PADD II","PADD 2",IF($M6877="PADD III","PADD 3",IF($M6877="PADD IV","PADD 4",IF($M6877="PADD V","PADD 5","")))))</f>
        <v>PADD 2</v>
      </c>
      <c r="G6877" s="6">
        <f>IF(AND($H6877="ATMOS DISTILLATION",ISNUMBER(SEARCH("VPS",$I6877))=FALSE,LEFT($I6877,6)&lt;&gt;"VACUUM"),"CDU",IF($H6877="FLUID CAT CRACKING","FCC",IF(OR($H6877="HYDROCRACKING",$H6877="RESID_HYDROCRACKING"),"Hydrocracker",IF($H6877="REFORMING","Reformer",""))))</f>
        <v/>
      </c>
      <c r="H6877" s="6" t="s">
        <v>435</v>
      </c>
      <c r="I6877" s="6" t="s">
        <v>631</v>
      </c>
      <c r="J6877" s="6" t="s">
        <v>345</v>
      </c>
      <c r="K6877" s="10">
        <v>1.56</v>
      </c>
      <c r="L6877" s="10">
        <v>12</v>
      </c>
      <c r="M6877" s="6" t="s">
        <v>375</v>
      </c>
    </row>
    <row r="6878" spans="1:13">
      <c r="A6878" s="6">
        <v>2025</v>
      </c>
      <c r="B6878" s="6">
        <v>11</v>
      </c>
      <c r="C6878" s="6" t="s">
        <v>69</v>
      </c>
      <c r="D6878" s="6" t="s">
        <v>762</v>
      </c>
      <c r="E6878" s="6" t="s">
        <v>763</v>
      </c>
      <c r="F6878" s="6" t="str">
        <f>IF($M6878="PADD I","PADD 1",IF($M6878="PADD II","PADD 2",IF($M6878="PADD III","PADD 3",IF($M6878="PADD IV","PADD 4",IF($M6878="PADD V","PADD 5","")))))</f>
        <v>PADD 2</v>
      </c>
      <c r="G6878" s="6">
        <f>IF(AND($H6878="ATMOS DISTILLATION",ISNUMBER(SEARCH("VPS",$I6878))=FALSE,LEFT($I6878,6)&lt;&gt;"VACUUM"),"CDU",IF($H6878="FLUID CAT CRACKING","FCC",IF(OR($H6878="HYDROCRACKING",$H6878="RESID_HYDROCRACKING"),"Hydrocracker",IF($H6878="REFORMING","Reformer",""))))</f>
        <v/>
      </c>
      <c r="H6878" s="6" t="s">
        <v>378</v>
      </c>
      <c r="I6878" s="6" t="s">
        <v>812</v>
      </c>
      <c r="J6878" s="6" t="s">
        <v>345</v>
      </c>
      <c r="K6878" s="10">
        <v>1.5</v>
      </c>
      <c r="L6878" s="10">
        <v>15</v>
      </c>
      <c r="M6878" s="6" t="s">
        <v>375</v>
      </c>
    </row>
    <row r="6879" spans="1:13">
      <c r="A6879" s="6">
        <v>2025</v>
      </c>
      <c r="B6879" s="6">
        <v>11</v>
      </c>
      <c r="C6879" s="6" t="s">
        <v>69</v>
      </c>
      <c r="D6879" s="6" t="s">
        <v>437</v>
      </c>
      <c r="E6879" s="6" t="s">
        <v>438</v>
      </c>
      <c r="F6879" s="6" t="str">
        <f>IF($M6879="PADD I","PADD 1",IF($M6879="PADD II","PADD 2",IF($M6879="PADD III","PADD 3",IF($M6879="PADD IV","PADD 4",IF($M6879="PADD V","PADD 5","")))))</f>
        <v>PADD 4</v>
      </c>
      <c r="G6879" s="6">
        <f>IF(AND($H6879="ATMOS DISTILLATION",ISNUMBER(SEARCH("VPS",$I6879))=FALSE,LEFT($I6879,6)&lt;&gt;"VACUUM"),"CDU",IF($H6879="FLUID CAT CRACKING","FCC",IF(OR($H6879="HYDROCRACKING",$H6879="RESID_HYDROCRACKING"),"Hydrocracker",IF($H6879="REFORMING","Reformer",""))))</f>
        <v/>
      </c>
      <c r="H6879" s="6" t="s">
        <v>43</v>
      </c>
      <c r="I6879" s="6" t="s">
        <v>493</v>
      </c>
      <c r="J6879" s="6" t="s">
        <v>345</v>
      </c>
      <c r="K6879" s="10">
        <v>1.47</v>
      </c>
      <c r="L6879" s="10">
        <v>21</v>
      </c>
      <c r="M6879" s="6" t="s">
        <v>430</v>
      </c>
    </row>
    <row r="6880" spans="1:13">
      <c r="A6880" s="6">
        <v>2025</v>
      </c>
      <c r="B6880" s="6">
        <v>11</v>
      </c>
      <c r="C6880" s="6" t="s">
        <v>69</v>
      </c>
      <c r="D6880" s="6" t="s">
        <v>387</v>
      </c>
      <c r="E6880" s="6" t="s">
        <v>388</v>
      </c>
      <c r="F6880" s="6" t="str">
        <f>IF($M6880="PADD I","PADD 1",IF($M6880="PADD II","PADD 2",IF($M6880="PADD III","PADD 3",IF($M6880="PADD IV","PADD 4",IF($M6880="PADD V","PADD 5","")))))</f>
        <v>PADD 3</v>
      </c>
      <c r="G6880" s="6" t="str">
        <f>IF(AND($H6880="ATMOS DISTILLATION",ISNUMBER(SEARCH("VPS",$I6880))=FALSE,LEFT($I6880,6)&lt;&gt;"VACUUM"),"CDU",IF($H6880="FLUID CAT CRACKING","FCC",IF(OR($H6880="HYDROCRACKING",$H6880="RESID_HYDROCRACKING"),"Hydrocracker",IF($H6880="REFORMING","Reformer",""))))</f>
        <v>FCC</v>
      </c>
      <c r="H6880" s="6" t="s">
        <v>376</v>
      </c>
      <c r="I6880" s="6" t="s">
        <v>472</v>
      </c>
      <c r="J6880" s="6" t="s">
        <v>345</v>
      </c>
      <c r="K6880" s="10">
        <v>1.32</v>
      </c>
      <c r="L6880" s="10">
        <v>44</v>
      </c>
      <c r="M6880" s="6" t="s">
        <v>371</v>
      </c>
    </row>
    <row r="6881" spans="1:13">
      <c r="A6881" s="6">
        <v>2025</v>
      </c>
      <c r="B6881" s="6">
        <v>11</v>
      </c>
      <c r="C6881" s="6" t="s">
        <v>69</v>
      </c>
      <c r="D6881" s="6" t="s">
        <v>372</v>
      </c>
      <c r="E6881" s="6" t="s">
        <v>373</v>
      </c>
      <c r="F6881" s="6" t="str">
        <f>IF($M6881="PADD I","PADD 1",IF($M6881="PADD II","PADD 2",IF($M6881="PADD III","PADD 3",IF($M6881="PADD IV","PADD 4",IF($M6881="PADD V","PADD 5","")))))</f>
        <v>PADD 2</v>
      </c>
      <c r="G6881" s="6">
        <f>IF(AND($H6881="ATMOS DISTILLATION",ISNUMBER(SEARCH("VPS",$I6881))=FALSE,LEFT($I6881,6)&lt;&gt;"VACUUM"),"CDU",IF($H6881="FLUID CAT CRACKING","FCC",IF(OR($H6881="HYDROCRACKING",$H6881="RESID_HYDROCRACKING"),"Hydrocracker",IF($H6881="REFORMING","Reformer",""))))</f>
        <v/>
      </c>
      <c r="H6881" s="6" t="s">
        <v>435</v>
      </c>
      <c r="I6881" s="6" t="s">
        <v>584</v>
      </c>
      <c r="J6881" s="6" t="s">
        <v>345</v>
      </c>
      <c r="K6881" s="10">
        <v>1.275</v>
      </c>
      <c r="L6881" s="10">
        <v>7.5</v>
      </c>
      <c r="M6881" s="6" t="s">
        <v>375</v>
      </c>
    </row>
    <row r="6882" spans="1:13">
      <c r="A6882" s="6">
        <v>2025</v>
      </c>
      <c r="B6882" s="6">
        <v>11</v>
      </c>
      <c r="C6882" s="6" t="s">
        <v>69</v>
      </c>
      <c r="D6882" s="6" t="s">
        <v>51</v>
      </c>
      <c r="E6882" s="6" t="s">
        <v>391</v>
      </c>
      <c r="F6882" s="6" t="str">
        <f>IF($M6882="PADD I","PADD 1",IF($M6882="PADD II","PADD 2",IF($M6882="PADD III","PADD 3",IF($M6882="PADD IV","PADD 4",IF($M6882="PADD V","PADD 5","")))))</f>
        <v>PADD 5</v>
      </c>
      <c r="G6882" s="6">
        <f>IF(AND($H6882="ATMOS DISTILLATION",ISNUMBER(SEARCH("VPS",$I6882))=FALSE,LEFT($I6882,6)&lt;&gt;"VACUUM"),"CDU",IF($H6882="FLUID CAT CRACKING","FCC",IF(OR($H6882="HYDROCRACKING",$H6882="RESID_HYDROCRACKING"),"Hydrocracker",IF($H6882="REFORMING","Reformer",""))))</f>
        <v/>
      </c>
      <c r="H6882" s="6" t="s">
        <v>43</v>
      </c>
      <c r="I6882" s="6" t="s">
        <v>1337</v>
      </c>
      <c r="J6882" s="6" t="s">
        <v>345</v>
      </c>
      <c r="K6882" s="10">
        <v>1.2495</v>
      </c>
      <c r="L6882" s="10">
        <v>7.35</v>
      </c>
      <c r="M6882" s="6" t="s">
        <v>386</v>
      </c>
    </row>
    <row r="6883" spans="1:13">
      <c r="A6883" s="6">
        <v>2025</v>
      </c>
      <c r="B6883" s="6">
        <v>11</v>
      </c>
      <c r="C6883" s="6" t="s">
        <v>69</v>
      </c>
      <c r="D6883" s="6" t="s">
        <v>51</v>
      </c>
      <c r="E6883" s="6" t="s">
        <v>391</v>
      </c>
      <c r="F6883" s="6" t="str">
        <f>IF($M6883="PADD I","PADD 1",IF($M6883="PADD II","PADD 2",IF($M6883="PADD III","PADD 3",IF($M6883="PADD IV","PADD 4",IF($M6883="PADD V","PADD 5","")))))</f>
        <v>PADD 5</v>
      </c>
      <c r="G6883" s="6">
        <f>IF(AND($H6883="ATMOS DISTILLATION",ISNUMBER(SEARCH("VPS",$I6883))=FALSE,LEFT($I6883,6)&lt;&gt;"VACUUM"),"CDU",IF($H6883="FLUID CAT CRACKING","FCC",IF(OR($H6883="HYDROCRACKING",$H6883="RESID_HYDROCRACKING"),"Hydrocracker",IF($H6883="REFORMING","Reformer",""))))</f>
        <v/>
      </c>
      <c r="H6883" s="6" t="s">
        <v>43</v>
      </c>
      <c r="I6883" s="6" t="s">
        <v>1338</v>
      </c>
      <c r="J6883" s="6" t="s">
        <v>345</v>
      </c>
      <c r="K6883" s="10">
        <v>1.19</v>
      </c>
      <c r="L6883" s="10">
        <v>7</v>
      </c>
      <c r="M6883" s="6" t="s">
        <v>386</v>
      </c>
    </row>
    <row r="6884" spans="1:13">
      <c r="A6884" s="6">
        <v>2025</v>
      </c>
      <c r="B6884" s="6">
        <v>11</v>
      </c>
      <c r="C6884" s="6" t="s">
        <v>69</v>
      </c>
      <c r="D6884" s="6" t="s">
        <v>563</v>
      </c>
      <c r="E6884" s="6" t="s">
        <v>396</v>
      </c>
      <c r="F6884" s="6" t="str">
        <f>IF($M6884="PADD I","PADD 1",IF($M6884="PADD II","PADD 2",IF($M6884="PADD III","PADD 3",IF($M6884="PADD IV","PADD 4",IF($M6884="PADD V","PADD 5","")))))</f>
        <v>PADD 3</v>
      </c>
      <c r="G6884" s="6">
        <f>IF(AND($H6884="ATMOS DISTILLATION",ISNUMBER(SEARCH("VPS",$I6884))=FALSE,LEFT($I6884,6)&lt;&gt;"VACUUM"),"CDU",IF($H6884="FLUID CAT CRACKING","FCC",IF(OR($H6884="HYDROCRACKING",$H6884="RESID_HYDROCRACKING"),"Hydrocracker",IF($H6884="REFORMING","Reformer",""))))</f>
        <v/>
      </c>
      <c r="H6884" s="6" t="s">
        <v>43</v>
      </c>
      <c r="I6884" s="6" t="s">
        <v>449</v>
      </c>
      <c r="J6884" s="6" t="s">
        <v>345</v>
      </c>
      <c r="K6884" s="10">
        <v>1.155</v>
      </c>
      <c r="L6884" s="10">
        <v>38.5</v>
      </c>
      <c r="M6884" s="6" t="s">
        <v>371</v>
      </c>
    </row>
    <row r="6885" spans="1:13">
      <c r="A6885" s="6">
        <v>2025</v>
      </c>
      <c r="B6885" s="6">
        <v>11</v>
      </c>
      <c r="C6885" s="6" t="s">
        <v>69</v>
      </c>
      <c r="D6885" s="6" t="s">
        <v>851</v>
      </c>
      <c r="E6885" s="6" t="s">
        <v>852</v>
      </c>
      <c r="F6885" s="6" t="str">
        <f>IF($M6885="PADD I","PADD 1",IF($M6885="PADD II","PADD 2",IF($M6885="PADD III","PADD 3",IF($M6885="PADD IV","PADD 4",IF($M6885="PADD V","PADD 5","")))))</f>
        <v>PADD 3</v>
      </c>
      <c r="G6885" s="6">
        <f>IF(AND($H6885="ATMOS DISTILLATION",ISNUMBER(SEARCH("VPS",$I6885))=FALSE,LEFT($I6885,6)&lt;&gt;"VACUUM"),"CDU",IF($H6885="FLUID CAT CRACKING","FCC",IF(OR($H6885="HYDROCRACKING",$H6885="RESID_HYDROCRACKING"),"Hydrocracker",IF($H6885="REFORMING","Reformer",""))))</f>
        <v/>
      </c>
      <c r="H6885" s="6" t="s">
        <v>378</v>
      </c>
      <c r="I6885" s="6" t="s">
        <v>860</v>
      </c>
      <c r="J6885" s="6" t="s">
        <v>345</v>
      </c>
      <c r="K6885" s="10">
        <v>1.08</v>
      </c>
      <c r="L6885" s="10">
        <v>36</v>
      </c>
      <c r="M6885" s="6" t="s">
        <v>371</v>
      </c>
    </row>
    <row r="6886" spans="1:13">
      <c r="A6886" s="6">
        <v>2025</v>
      </c>
      <c r="B6886" s="6">
        <v>11</v>
      </c>
      <c r="C6886" s="6" t="s">
        <v>69</v>
      </c>
      <c r="D6886" s="6" t="s">
        <v>756</v>
      </c>
      <c r="E6886" s="6" t="s">
        <v>757</v>
      </c>
      <c r="F6886" s="6" t="str">
        <f>IF($M6886="PADD I","PADD 1",IF($M6886="PADD II","PADD 2",IF($M6886="PADD III","PADD 3",IF($M6886="PADD IV","PADD 4",IF($M6886="PADD V","PADD 5","")))))</f>
        <v>PADD 3</v>
      </c>
      <c r="G6886" s="6" t="str">
        <f>IF(AND($H6886="ATMOS DISTILLATION",ISNUMBER(SEARCH("VPS",$I6886))=FALSE,LEFT($I6886,6)&lt;&gt;"VACUUM"),"CDU",IF($H6886="FLUID CAT CRACKING","FCC",IF(OR($H6886="HYDROCRACKING",$H6886="RESID_HYDROCRACKING"),"Hydrocracker",IF($H6886="REFORMING","Reformer",""))))</f>
        <v>CDU</v>
      </c>
      <c r="H6886" s="6" t="s">
        <v>38</v>
      </c>
      <c r="I6886" s="6" t="s">
        <v>81</v>
      </c>
      <c r="J6886" s="6" t="s">
        <v>345</v>
      </c>
      <c r="K6886" s="10">
        <v>1.05</v>
      </c>
      <c r="L6886" s="10">
        <v>15</v>
      </c>
      <c r="M6886" s="6" t="s">
        <v>371</v>
      </c>
    </row>
    <row r="6887" spans="1:13">
      <c r="A6887" s="6">
        <v>2025</v>
      </c>
      <c r="B6887" s="6">
        <v>11</v>
      </c>
      <c r="C6887" s="6" t="s">
        <v>69</v>
      </c>
      <c r="D6887" s="6" t="s">
        <v>878</v>
      </c>
      <c r="E6887" s="6" t="s">
        <v>452</v>
      </c>
      <c r="F6887" s="6" t="str">
        <f>IF($M6887="PADD I","PADD 1",IF($M6887="PADD II","PADD 2",IF($M6887="PADD III","PADD 3",IF($M6887="PADD IV","PADD 4",IF($M6887="PADD V","PADD 5","")))))</f>
        <v>PADD 2</v>
      </c>
      <c r="G6887" s="6">
        <f>IF(AND($H6887="ATMOS DISTILLATION",ISNUMBER(SEARCH("VPS",$I6887))=FALSE,LEFT($I6887,6)&lt;&gt;"VACUUM"),"CDU",IF($H6887="FLUID CAT CRACKING","FCC",IF(OR($H6887="HYDROCRACKING",$H6887="RESID_HYDROCRACKING"),"Hydrocracker",IF($H6887="REFORMING","Reformer",""))))</f>
        <v/>
      </c>
      <c r="H6887" s="6" t="s">
        <v>378</v>
      </c>
      <c r="I6887" s="6" t="s">
        <v>536</v>
      </c>
      <c r="J6887" s="6" t="s">
        <v>345</v>
      </c>
      <c r="K6887" s="10">
        <v>0.9</v>
      </c>
      <c r="L6887" s="10">
        <v>30</v>
      </c>
      <c r="M6887" s="6" t="s">
        <v>375</v>
      </c>
    </row>
    <row r="6888" spans="1:13">
      <c r="A6888" s="6">
        <v>2025</v>
      </c>
      <c r="B6888" s="6">
        <v>11</v>
      </c>
      <c r="C6888" s="6" t="s">
        <v>69</v>
      </c>
      <c r="D6888" s="6" t="s">
        <v>395</v>
      </c>
      <c r="E6888" s="6" t="s">
        <v>396</v>
      </c>
      <c r="F6888" s="6" t="str">
        <f>IF($M6888="PADD I","PADD 1",IF($M6888="PADD II","PADD 2",IF($M6888="PADD III","PADD 3",IF($M6888="PADD IV","PADD 4",IF($M6888="PADD V","PADD 5","")))))</f>
        <v>PADD 3</v>
      </c>
      <c r="G6888" s="6" t="str">
        <f>IF(AND($H6888="ATMOS DISTILLATION",ISNUMBER(SEARCH("VPS",$I6888))=FALSE,LEFT($I6888,6)&lt;&gt;"VACUUM"),"CDU",IF($H6888="FLUID CAT CRACKING","FCC",IF(OR($H6888="HYDROCRACKING",$H6888="RESID_HYDROCRACKING"),"Hydrocracker",IF($H6888="REFORMING","Reformer",""))))</f>
        <v>Reformer</v>
      </c>
      <c r="H6888" s="6" t="s">
        <v>421</v>
      </c>
      <c r="I6888" s="6" t="s">
        <v>540</v>
      </c>
      <c r="J6888" s="6" t="s">
        <v>345</v>
      </c>
      <c r="K6888" s="10">
        <v>0.9</v>
      </c>
      <c r="L6888" s="10">
        <v>30</v>
      </c>
      <c r="M6888" s="6" t="s">
        <v>371</v>
      </c>
    </row>
    <row r="6889" spans="1:13">
      <c r="A6889" s="6">
        <v>2025</v>
      </c>
      <c r="B6889" s="6">
        <v>11</v>
      </c>
      <c r="C6889" s="6" t="s">
        <v>69</v>
      </c>
      <c r="D6889" s="6" t="s">
        <v>51</v>
      </c>
      <c r="E6889" s="6" t="s">
        <v>391</v>
      </c>
      <c r="F6889" s="6" t="str">
        <f>IF($M6889="PADD I","PADD 1",IF($M6889="PADD II","PADD 2",IF($M6889="PADD III","PADD 3",IF($M6889="PADD IV","PADD 4",IF($M6889="PADD V","PADD 5","")))))</f>
        <v>PADD 5</v>
      </c>
      <c r="G6889" s="6">
        <f>IF(AND($H6889="ATMOS DISTILLATION",ISNUMBER(SEARCH("VPS",$I6889))=FALSE,LEFT($I6889,6)&lt;&gt;"VACUUM"),"CDU",IF($H6889="FLUID CAT CRACKING","FCC",IF(OR($H6889="HYDROCRACKING",$H6889="RESID_HYDROCRACKING"),"Hydrocracker",IF($H6889="REFORMING","Reformer",""))))</f>
        <v/>
      </c>
      <c r="H6889" s="6" t="s">
        <v>43</v>
      </c>
      <c r="I6889" s="6" t="s">
        <v>1207</v>
      </c>
      <c r="J6889" s="6" t="s">
        <v>345</v>
      </c>
      <c r="K6889" s="10">
        <v>0.714</v>
      </c>
      <c r="L6889" s="10">
        <v>4.2</v>
      </c>
      <c r="M6889" s="6" t="s">
        <v>386</v>
      </c>
    </row>
    <row r="6890" spans="1:13">
      <c r="A6890" s="6">
        <v>2025</v>
      </c>
      <c r="B6890" s="6">
        <v>11</v>
      </c>
      <c r="C6890" s="6" t="s">
        <v>69</v>
      </c>
      <c r="D6890" s="6" t="s">
        <v>722</v>
      </c>
      <c r="E6890" s="6" t="s">
        <v>452</v>
      </c>
      <c r="F6890" s="6" t="str">
        <f>IF($M6890="PADD I","PADD 1",IF($M6890="PADD II","PADD 2",IF($M6890="PADD III","PADD 3",IF($M6890="PADD IV","PADD 4",IF($M6890="PADD V","PADD 5","")))))</f>
        <v>PADD 4</v>
      </c>
      <c r="G6890" s="6" t="str">
        <f>IF(AND($H6890="ATMOS DISTILLATION",ISNUMBER(SEARCH("VPS",$I6890))=FALSE,LEFT($I6890,6)&lt;&gt;"VACUUM"),"CDU",IF($H6890="FLUID CAT CRACKING","FCC",IF(OR($H6890="HYDROCRACKING",$H6890="RESID_HYDROCRACKING"),"Hydrocracker",IF($H6890="REFORMING","Reformer",""))))</f>
        <v>FCC</v>
      </c>
      <c r="H6890" s="6" t="s">
        <v>376</v>
      </c>
      <c r="I6890" s="6" t="s">
        <v>1106</v>
      </c>
      <c r="J6890" s="6" t="s">
        <v>349</v>
      </c>
      <c r="K6890" s="10">
        <v>0.63</v>
      </c>
      <c r="L6890" s="10">
        <v>9</v>
      </c>
      <c r="M6890" s="6" t="s">
        <v>430</v>
      </c>
    </row>
    <row r="6891" spans="1:13">
      <c r="A6891" s="6">
        <v>2025</v>
      </c>
      <c r="B6891" s="6">
        <v>11</v>
      </c>
      <c r="C6891" s="6" t="s">
        <v>69</v>
      </c>
      <c r="D6891" s="6" t="s">
        <v>326</v>
      </c>
      <c r="E6891" s="6" t="s">
        <v>385</v>
      </c>
      <c r="F6891" s="6" t="str">
        <f>IF($M6891="PADD I","PADD 1",IF($M6891="PADD II","PADD 2",IF($M6891="PADD III","PADD 3",IF($M6891="PADD IV","PADD 4",IF($M6891="PADD V","PADD 5","")))))</f>
        <v>PADD 5</v>
      </c>
      <c r="G6891" s="6">
        <f>IF(AND($H6891="ATMOS DISTILLATION",ISNUMBER(SEARCH("VPS",$I6891))=FALSE,LEFT($I6891,6)&lt;&gt;"VACUUM"),"CDU",IF($H6891="FLUID CAT CRACKING","FCC",IF(OR($H6891="HYDROCRACKING",$H6891="RESID_HYDROCRACKING"),"Hydrocracker",IF($H6891="REFORMING","Reformer",""))))</f>
        <v/>
      </c>
      <c r="H6891" s="6" t="s">
        <v>568</v>
      </c>
      <c r="I6891" s="6" t="s">
        <v>604</v>
      </c>
      <c r="J6891" s="6" t="s">
        <v>345</v>
      </c>
      <c r="K6891" s="10">
        <v>0.53</v>
      </c>
      <c r="L6891" s="10">
        <v>0.53</v>
      </c>
      <c r="M6891" s="6" t="s">
        <v>386</v>
      </c>
    </row>
    <row r="6892" spans="1:13">
      <c r="A6892" s="6">
        <v>2025</v>
      </c>
      <c r="B6892" s="6">
        <v>11</v>
      </c>
      <c r="C6892" s="6" t="s">
        <v>69</v>
      </c>
      <c r="D6892" s="6" t="s">
        <v>756</v>
      </c>
      <c r="E6892" s="6" t="s">
        <v>757</v>
      </c>
      <c r="F6892" s="6" t="str">
        <f>IF($M6892="PADD I","PADD 1",IF($M6892="PADD II","PADD 2",IF($M6892="PADD III","PADD 3",IF($M6892="PADD IV","PADD 4",IF($M6892="PADD V","PADD 5","")))))</f>
        <v>PADD 3</v>
      </c>
      <c r="G6892" s="6" t="str">
        <f>IF(AND($H6892="ATMOS DISTILLATION",ISNUMBER(SEARCH("VPS",$I6892))=FALSE,LEFT($I6892,6)&lt;&gt;"VACUUM"),"CDU",IF($H6892="FLUID CAT CRACKING","FCC",IF(OR($H6892="HYDROCRACKING",$H6892="RESID_HYDROCRACKING"),"Hydrocracker",IF($H6892="REFORMING","Reformer",""))))</f>
        <v>CDU</v>
      </c>
      <c r="H6892" s="6" t="s">
        <v>38</v>
      </c>
      <c r="I6892" s="6" t="s">
        <v>81</v>
      </c>
      <c r="J6892" s="6" t="s">
        <v>345</v>
      </c>
      <c r="K6892" s="10">
        <v>0.45</v>
      </c>
      <c r="L6892" s="10">
        <v>15</v>
      </c>
      <c r="M6892" s="6" t="s">
        <v>371</v>
      </c>
    </row>
    <row r="6893" spans="1:13">
      <c r="A6893" s="6">
        <v>2025</v>
      </c>
      <c r="B6893" s="6">
        <v>11</v>
      </c>
      <c r="C6893" s="6" t="s">
        <v>69</v>
      </c>
      <c r="D6893" s="6" t="s">
        <v>670</v>
      </c>
      <c r="E6893" s="6" t="s">
        <v>405</v>
      </c>
      <c r="F6893" s="6" t="str">
        <f>IF($M6893="PADD I","PADD 1",IF($M6893="PADD II","PADD 2",IF($M6893="PADD III","PADD 3",IF($M6893="PADD IV","PADD 4",IF($M6893="PADD V","PADD 5","")))))</f>
        <v>PADD 2</v>
      </c>
      <c r="G6893" s="6">
        <f>IF(AND($H6893="ATMOS DISTILLATION",ISNUMBER(SEARCH("VPS",$I6893))=FALSE,LEFT($I6893,6)&lt;&gt;"VACUUM"),"CDU",IF($H6893="FLUID CAT CRACKING","FCC",IF(OR($H6893="HYDROCRACKING",$H6893="RESID_HYDROCRACKING"),"Hydrocracker",IF($H6893="REFORMING","Reformer",""))))</f>
        <v/>
      </c>
      <c r="H6893" s="6" t="s">
        <v>460</v>
      </c>
      <c r="I6893" s="6" t="s">
        <v>616</v>
      </c>
      <c r="J6893" s="6" t="s">
        <v>349</v>
      </c>
      <c r="K6893" s="10">
        <v>0.36</v>
      </c>
      <c r="L6893" s="10">
        <v>12</v>
      </c>
      <c r="M6893" s="6" t="s">
        <v>375</v>
      </c>
    </row>
    <row r="6894" spans="1:13">
      <c r="A6894" s="6">
        <v>2025</v>
      </c>
      <c r="B6894" s="6">
        <v>11</v>
      </c>
      <c r="C6894" s="6" t="s">
        <v>69</v>
      </c>
      <c r="D6894" s="6" t="s">
        <v>48</v>
      </c>
      <c r="E6894" s="6" t="s">
        <v>388</v>
      </c>
      <c r="F6894" s="6" t="str">
        <f>IF($M6894="PADD I","PADD 1",IF($M6894="PADD II","PADD 2",IF($M6894="PADD III","PADD 3",IF($M6894="PADD IV","PADD 4",IF($M6894="PADD V","PADD 5","")))))</f>
        <v>PADD 2</v>
      </c>
      <c r="G6894" s="6">
        <f>IF(AND($H6894="ATMOS DISTILLATION",ISNUMBER(SEARCH("VPS",$I6894))=FALSE,LEFT($I6894,6)&lt;&gt;"VACUUM"),"CDU",IF($H6894="FLUID CAT CRACKING","FCC",IF(OR($H6894="HYDROCRACKING",$H6894="RESID_HYDROCRACKING"),"Hydrocracker",IF($H6894="REFORMING","Reformer",""))))</f>
        <v/>
      </c>
      <c r="H6894" s="6" t="s">
        <v>435</v>
      </c>
      <c r="I6894" s="6" t="s">
        <v>631</v>
      </c>
      <c r="J6894" s="6" t="s">
        <v>345</v>
      </c>
      <c r="K6894" s="10">
        <v>0.36</v>
      </c>
      <c r="L6894" s="10">
        <v>12</v>
      </c>
      <c r="M6894" s="6" t="s">
        <v>375</v>
      </c>
    </row>
    <row r="6895" spans="1:13">
      <c r="A6895" s="6">
        <v>2025</v>
      </c>
      <c r="B6895" s="6">
        <v>12</v>
      </c>
      <c r="C6895" s="6" t="s">
        <v>70</v>
      </c>
      <c r="D6895" s="6" t="s">
        <v>51</v>
      </c>
      <c r="E6895" s="6" t="s">
        <v>391</v>
      </c>
      <c r="F6895" s="6" t="str">
        <f>IF($M6895="PADD I","PADD 1",IF($M6895="PADD II","PADD 2",IF($M6895="PADD III","PADD 3",IF($M6895="PADD IV","PADD 4",IF($M6895="PADD V","PADD 5","")))))</f>
        <v>PADD 5</v>
      </c>
      <c r="G6895" s="6" t="str">
        <f>IF(AND($H6895="ATMOS DISTILLATION",ISNUMBER(SEARCH("VPS",$I6895))=FALSE,LEFT($I6895,6)&lt;&gt;"VACUUM"),"CDU",IF($H6895="FLUID CAT CRACKING","FCC",IF(OR($H6895="HYDROCRACKING",$H6895="RESID_HYDROCRACKING"),"Hydrocracker",IF($H6895="REFORMING","Reformer",""))))</f>
        <v>CDU</v>
      </c>
      <c r="H6895" s="6" t="s">
        <v>38</v>
      </c>
      <c r="I6895" s="6" t="s">
        <v>135</v>
      </c>
      <c r="J6895" s="6" t="s">
        <v>345</v>
      </c>
      <c r="K6895" s="10">
        <v>90</v>
      </c>
      <c r="L6895" s="10">
        <v>90</v>
      </c>
      <c r="M6895" s="6" t="s">
        <v>386</v>
      </c>
    </row>
    <row r="6896" spans="1:13">
      <c r="A6896" s="6">
        <v>2025</v>
      </c>
      <c r="B6896" s="6">
        <v>12</v>
      </c>
      <c r="C6896" s="6" t="s">
        <v>70</v>
      </c>
      <c r="D6896" s="6" t="s">
        <v>326</v>
      </c>
      <c r="E6896" s="6" t="s">
        <v>385</v>
      </c>
      <c r="F6896" s="6" t="str">
        <f>IF($M6896="PADD I","PADD 1",IF($M6896="PADD II","PADD 2",IF($M6896="PADD III","PADD 3",IF($M6896="PADD IV","PADD 4",IF($M6896="PADD V","PADD 5","")))))</f>
        <v>PADD 5</v>
      </c>
      <c r="G6896" s="6">
        <f>IF(AND($H6896="ATMOS DISTILLATION",ISNUMBER(SEARCH("VPS",$I6896))=FALSE,LEFT($I6896,6)&lt;&gt;"VACUUM"),"CDU",IF($H6896="FLUID CAT CRACKING","FCC",IF(OR($H6896="HYDROCRACKING",$H6896="RESID_HYDROCRACKING"),"Hydrocracker",IF($H6896="REFORMING","Reformer",""))))</f>
        <v/>
      </c>
      <c r="H6896" s="6" t="s">
        <v>43</v>
      </c>
      <c r="I6896" s="6" t="s">
        <v>1285</v>
      </c>
      <c r="J6896" s="6" t="s">
        <v>345</v>
      </c>
      <c r="K6896" s="10">
        <v>77.5</v>
      </c>
      <c r="L6896" s="10">
        <v>77.5</v>
      </c>
      <c r="M6896" s="6" t="s">
        <v>386</v>
      </c>
    </row>
    <row r="6897" spans="1:13">
      <c r="A6897" s="6">
        <v>2025</v>
      </c>
      <c r="B6897" s="6">
        <v>12</v>
      </c>
      <c r="C6897" s="6" t="s">
        <v>70</v>
      </c>
      <c r="D6897" s="6" t="s">
        <v>326</v>
      </c>
      <c r="E6897" s="6" t="s">
        <v>385</v>
      </c>
      <c r="F6897" s="6" t="str">
        <f>IF($M6897="PADD I","PADD 1",IF($M6897="PADD II","PADD 2",IF($M6897="PADD III","PADD 3",IF($M6897="PADD IV","PADD 4",IF($M6897="PADD V","PADD 5","")))))</f>
        <v>PADD 5</v>
      </c>
      <c r="G6897" s="6" t="str">
        <f>IF(AND($H6897="ATMOS DISTILLATION",ISNUMBER(SEARCH("VPS",$I6897))=FALSE,LEFT($I6897,6)&lt;&gt;"VACUUM"),"CDU",IF($H6897="FLUID CAT CRACKING","FCC",IF(OR($H6897="HYDROCRACKING",$H6897="RESID_HYDROCRACKING"),"Hydrocracker",IF($H6897="REFORMING","Reformer",""))))</f>
        <v>FCC</v>
      </c>
      <c r="H6897" s="6" t="s">
        <v>376</v>
      </c>
      <c r="I6897" s="6" t="s">
        <v>504</v>
      </c>
      <c r="J6897" s="6" t="s">
        <v>345</v>
      </c>
      <c r="K6897" s="10">
        <v>70</v>
      </c>
      <c r="L6897" s="10">
        <v>70</v>
      </c>
      <c r="M6897" s="6" t="s">
        <v>386</v>
      </c>
    </row>
    <row r="6898" spans="1:13">
      <c r="A6898" s="6">
        <v>2025</v>
      </c>
      <c r="B6898" s="6">
        <v>12</v>
      </c>
      <c r="C6898" s="6" t="s">
        <v>70</v>
      </c>
      <c r="D6898" s="6" t="s">
        <v>51</v>
      </c>
      <c r="E6898" s="6" t="s">
        <v>391</v>
      </c>
      <c r="F6898" s="6" t="str">
        <f>IF($M6898="PADD I","PADD 1",IF($M6898="PADD II","PADD 2",IF($M6898="PADD III","PADD 3",IF($M6898="PADD IV","PADD 4",IF($M6898="PADD V","PADD 5","")))))</f>
        <v>PADD 5</v>
      </c>
      <c r="G6898" s="6">
        <f>IF(AND($H6898="ATMOS DISTILLATION",ISNUMBER(SEARCH("VPS",$I6898))=FALSE,LEFT($I6898,6)&lt;&gt;"VACUUM"),"CDU",IF($H6898="FLUID CAT CRACKING","FCC",IF(OR($H6898="HYDROCRACKING",$H6898="RESID_HYDROCRACKING"),"Hydrocracker",IF($H6898="REFORMING","Reformer",""))))</f>
        <v/>
      </c>
      <c r="H6898" s="6" t="s">
        <v>378</v>
      </c>
      <c r="I6898" s="6" t="s">
        <v>1035</v>
      </c>
      <c r="J6898" s="6" t="s">
        <v>345</v>
      </c>
      <c r="K6898" s="10">
        <v>56.35</v>
      </c>
      <c r="L6898" s="10">
        <v>56.35</v>
      </c>
      <c r="M6898" s="6" t="s">
        <v>386</v>
      </c>
    </row>
    <row r="6899" spans="1:13">
      <c r="A6899" s="6">
        <v>2025</v>
      </c>
      <c r="B6899" s="6">
        <v>12</v>
      </c>
      <c r="C6899" s="6" t="s">
        <v>70</v>
      </c>
      <c r="D6899" s="6" t="s">
        <v>326</v>
      </c>
      <c r="E6899" s="6" t="s">
        <v>385</v>
      </c>
      <c r="F6899" s="6" t="str">
        <f>IF($M6899="PADD I","PADD 1",IF($M6899="PADD II","PADD 2",IF($M6899="PADD III","PADD 3",IF($M6899="PADD IV","PADD 4",IF($M6899="PADD V","PADD 5","")))))</f>
        <v>PADD 5</v>
      </c>
      <c r="G6899" s="6" t="str">
        <f>IF(AND($H6899="ATMOS DISTILLATION",ISNUMBER(SEARCH("VPS",$I6899))=FALSE,LEFT($I6899,6)&lt;&gt;"VACUUM"),"CDU",IF($H6899="FLUID CAT CRACKING","FCC",IF(OR($H6899="HYDROCRACKING",$H6899="RESID_HYDROCRACKING"),"Hydrocracker",IF($H6899="REFORMING","Reformer",""))))</f>
        <v>CDU</v>
      </c>
      <c r="H6899" s="6" t="s">
        <v>38</v>
      </c>
      <c r="I6899" s="6" t="s">
        <v>93</v>
      </c>
      <c r="J6899" s="6" t="s">
        <v>345</v>
      </c>
      <c r="K6899" s="10">
        <v>54.25</v>
      </c>
      <c r="L6899" s="10">
        <v>54.25</v>
      </c>
      <c r="M6899" s="6" t="s">
        <v>386</v>
      </c>
    </row>
    <row r="6900" spans="1:13">
      <c r="A6900" s="6">
        <v>2025</v>
      </c>
      <c r="B6900" s="6">
        <v>12</v>
      </c>
      <c r="C6900" s="6" t="s">
        <v>70</v>
      </c>
      <c r="D6900" s="6" t="s">
        <v>329</v>
      </c>
      <c r="E6900" s="6" t="s">
        <v>427</v>
      </c>
      <c r="F6900" s="6" t="str">
        <f>IF($M6900="PADD I","PADD 1",IF($M6900="PADD II","PADD 2",IF($M6900="PADD III","PADD 3",IF($M6900="PADD IV","PADD 4",IF($M6900="PADD V","PADD 5","")))))</f>
        <v>PADD 3</v>
      </c>
      <c r="G6900" s="6" t="str">
        <f>IF(AND($H6900="ATMOS DISTILLATION",ISNUMBER(SEARCH("VPS",$I6900))=FALSE,LEFT($I6900,6)&lt;&gt;"VACUUM"),"CDU",IF($H6900="FLUID CAT CRACKING","FCC",IF(OR($H6900="HYDROCRACKING",$H6900="RESID_HYDROCRACKING"),"Hydrocracker",IF($H6900="REFORMING","Reformer",""))))</f>
        <v>CDU</v>
      </c>
      <c r="H6900" s="6" t="s">
        <v>38</v>
      </c>
      <c r="I6900" s="6" t="s">
        <v>330</v>
      </c>
      <c r="J6900" s="6" t="s">
        <v>349</v>
      </c>
      <c r="K6900" s="10">
        <v>46.08</v>
      </c>
      <c r="L6900" s="10">
        <v>96</v>
      </c>
      <c r="M6900" s="6" t="s">
        <v>371</v>
      </c>
    </row>
    <row r="6901" spans="1:13">
      <c r="A6901" s="6">
        <v>2025</v>
      </c>
      <c r="B6901" s="6">
        <v>12</v>
      </c>
      <c r="C6901" s="6" t="s">
        <v>70</v>
      </c>
      <c r="D6901" s="6" t="s">
        <v>326</v>
      </c>
      <c r="E6901" s="6" t="s">
        <v>385</v>
      </c>
      <c r="F6901" s="6" t="str">
        <f>IF($M6901="PADD I","PADD 1",IF($M6901="PADD II","PADD 2",IF($M6901="PADD III","PADD 3",IF($M6901="PADD IV","PADD 4",IF($M6901="PADD V","PADD 5","")))))</f>
        <v>PADD 5</v>
      </c>
      <c r="G6901" s="6" t="str">
        <f>IF(AND($H6901="ATMOS DISTILLATION",ISNUMBER(SEARCH("VPS",$I6901))=FALSE,LEFT($I6901,6)&lt;&gt;"VACUUM"),"CDU",IF($H6901="FLUID CAT CRACKING","FCC",IF(OR($H6901="HYDROCRACKING",$H6901="RESID_HYDROCRACKING"),"Hydrocracker",IF($H6901="REFORMING","Reformer",""))))</f>
        <v>Hydrocracker</v>
      </c>
      <c r="H6901" s="6" t="s">
        <v>444</v>
      </c>
      <c r="I6901" s="6" t="s">
        <v>498</v>
      </c>
      <c r="J6901" s="6" t="s">
        <v>345</v>
      </c>
      <c r="K6901" s="10">
        <v>42</v>
      </c>
      <c r="L6901" s="10">
        <v>42</v>
      </c>
      <c r="M6901" s="6" t="s">
        <v>386</v>
      </c>
    </row>
    <row r="6902" spans="1:13">
      <c r="A6902" s="6">
        <v>2025</v>
      </c>
      <c r="B6902" s="6">
        <v>12</v>
      </c>
      <c r="C6902" s="6" t="s">
        <v>70</v>
      </c>
      <c r="D6902" s="6" t="s">
        <v>1063</v>
      </c>
      <c r="E6902" s="6" t="s">
        <v>388</v>
      </c>
      <c r="F6902" s="6" t="str">
        <f>IF($M6902="PADD I","PADD 1",IF($M6902="PADD II","PADD 2",IF($M6902="PADD III","PADD 3",IF($M6902="PADD IV","PADD 4",IF($M6902="PADD V","PADD 5","")))))</f>
        <v>PADD 2</v>
      </c>
      <c r="G6902" s="6">
        <f>IF(AND($H6902="ATMOS DISTILLATION",ISNUMBER(SEARCH("VPS",$I6902))=FALSE,LEFT($I6902,6)&lt;&gt;"VACUUM"),"CDU",IF($H6902="FLUID CAT CRACKING","FCC",IF(OR($H6902="HYDROCRACKING",$H6902="RESID_HYDROCRACKING"),"Hydrocracker",IF($H6902="REFORMING","Reformer",""))))</f>
        <v/>
      </c>
      <c r="H6902" s="6" t="s">
        <v>43</v>
      </c>
      <c r="I6902" s="6" t="s">
        <v>493</v>
      </c>
      <c r="J6902" s="6" t="s">
        <v>345</v>
      </c>
      <c r="K6902" s="10">
        <v>34</v>
      </c>
      <c r="L6902" s="10">
        <v>34</v>
      </c>
      <c r="M6902" s="6" t="s">
        <v>375</v>
      </c>
    </row>
    <row r="6903" spans="1:13">
      <c r="A6903" s="6">
        <v>2025</v>
      </c>
      <c r="B6903" s="6">
        <v>12</v>
      </c>
      <c r="C6903" s="6" t="s">
        <v>70</v>
      </c>
      <c r="D6903" s="6" t="s">
        <v>51</v>
      </c>
      <c r="E6903" s="6" t="s">
        <v>391</v>
      </c>
      <c r="F6903" s="6" t="str">
        <f>IF($M6903="PADD I","PADD 1",IF($M6903="PADD II","PADD 2",IF($M6903="PADD III","PADD 3",IF($M6903="PADD IV","PADD 4",IF($M6903="PADD V","PADD 5","")))))</f>
        <v>PADD 5</v>
      </c>
      <c r="G6903" s="6" t="str">
        <f>IF(AND($H6903="ATMOS DISTILLATION",ISNUMBER(SEARCH("VPS",$I6903))=FALSE,LEFT($I6903,6)&lt;&gt;"VACUUM"),"CDU",IF($H6903="FLUID CAT CRACKING","FCC",IF(OR($H6903="HYDROCRACKING",$H6903="RESID_HYDROCRACKING"),"Hydrocracker",IF($H6903="REFORMING","Reformer",""))))</f>
        <v>CDU</v>
      </c>
      <c r="H6903" s="6" t="s">
        <v>38</v>
      </c>
      <c r="I6903" s="6" t="s">
        <v>135</v>
      </c>
      <c r="J6903" s="6" t="s">
        <v>345</v>
      </c>
      <c r="K6903" s="10">
        <v>31.5</v>
      </c>
      <c r="L6903" s="10">
        <v>31.5</v>
      </c>
      <c r="M6903" s="6" t="s">
        <v>386</v>
      </c>
    </row>
    <row r="6904" spans="1:13">
      <c r="A6904" s="6">
        <v>2025</v>
      </c>
      <c r="B6904" s="6">
        <v>12</v>
      </c>
      <c r="C6904" s="6" t="s">
        <v>70</v>
      </c>
      <c r="D6904" s="6" t="s">
        <v>326</v>
      </c>
      <c r="E6904" s="6" t="s">
        <v>385</v>
      </c>
      <c r="F6904" s="6" t="str">
        <f>IF($M6904="PADD I","PADD 1",IF($M6904="PADD II","PADD 2",IF($M6904="PADD III","PADD 3",IF($M6904="PADD IV","PADD 4",IF($M6904="PADD V","PADD 5","")))))</f>
        <v>PADD 5</v>
      </c>
      <c r="G6904" s="6">
        <f>IF(AND($H6904="ATMOS DISTILLATION",ISNUMBER(SEARCH("VPS",$I6904))=FALSE,LEFT($I6904,6)&lt;&gt;"VACUUM"),"CDU",IF($H6904="FLUID CAT CRACKING","FCC",IF(OR($H6904="HYDROCRACKING",$H6904="RESID_HYDROCRACKING"),"Hydrocracker",IF($H6904="REFORMING","Reformer",""))))</f>
        <v/>
      </c>
      <c r="H6904" s="6" t="s">
        <v>378</v>
      </c>
      <c r="I6904" s="6" t="s">
        <v>431</v>
      </c>
      <c r="J6904" s="6" t="s">
        <v>345</v>
      </c>
      <c r="K6904" s="10">
        <v>31.5</v>
      </c>
      <c r="L6904" s="10">
        <v>31.5</v>
      </c>
      <c r="M6904" s="6" t="s">
        <v>386</v>
      </c>
    </row>
    <row r="6905" spans="1:13">
      <c r="A6905" s="6">
        <v>2025</v>
      </c>
      <c r="B6905" s="6">
        <v>12</v>
      </c>
      <c r="C6905" s="6" t="s">
        <v>70</v>
      </c>
      <c r="D6905" s="6" t="s">
        <v>51</v>
      </c>
      <c r="E6905" s="6" t="s">
        <v>391</v>
      </c>
      <c r="F6905" s="6" t="str">
        <f>IF($M6905="PADD I","PADD 1",IF($M6905="PADD II","PADD 2",IF($M6905="PADD III","PADD 3",IF($M6905="PADD IV","PADD 4",IF($M6905="PADD V","PADD 5","")))))</f>
        <v>PADD 5</v>
      </c>
      <c r="G6905" s="6">
        <f>IF(AND($H6905="ATMOS DISTILLATION",ISNUMBER(SEARCH("VPS",$I6905))=FALSE,LEFT($I6905,6)&lt;&gt;"VACUUM"),"CDU",IF($H6905="FLUID CAT CRACKING","FCC",IF(OR($H6905="HYDROCRACKING",$H6905="RESID_HYDROCRACKING"),"Hydrocracker",IF($H6905="REFORMING","Reformer",""))))</f>
        <v/>
      </c>
      <c r="H6905" s="6" t="s">
        <v>43</v>
      </c>
      <c r="I6905" s="6" t="s">
        <v>1167</v>
      </c>
      <c r="J6905" s="6" t="s">
        <v>345</v>
      </c>
      <c r="K6905" s="10">
        <v>24.5</v>
      </c>
      <c r="L6905" s="10">
        <v>24.5</v>
      </c>
      <c r="M6905" s="6" t="s">
        <v>386</v>
      </c>
    </row>
    <row r="6906" spans="1:13">
      <c r="A6906" s="6">
        <v>2025</v>
      </c>
      <c r="B6906" s="6">
        <v>12</v>
      </c>
      <c r="C6906" s="6" t="s">
        <v>70</v>
      </c>
      <c r="D6906" s="6" t="s">
        <v>51</v>
      </c>
      <c r="E6906" s="6" t="s">
        <v>391</v>
      </c>
      <c r="F6906" s="6" t="str">
        <f>IF($M6906="PADD I","PADD 1",IF($M6906="PADD II","PADD 2",IF($M6906="PADD III","PADD 3",IF($M6906="PADD IV","PADD 4",IF($M6906="PADD V","PADD 5","")))))</f>
        <v>PADD 5</v>
      </c>
      <c r="G6906" s="6">
        <f>IF(AND($H6906="ATMOS DISTILLATION",ISNUMBER(SEARCH("VPS",$I6906))=FALSE,LEFT($I6906,6)&lt;&gt;"VACUUM"),"CDU",IF($H6906="FLUID CAT CRACKING","FCC",IF(OR($H6906="HYDROCRACKING",$H6906="RESID_HYDROCRACKING"),"Hydrocracker",IF($H6906="REFORMING","Reformer",""))))</f>
        <v/>
      </c>
      <c r="H6906" s="6" t="s">
        <v>43</v>
      </c>
      <c r="I6906" s="6" t="s">
        <v>1230</v>
      </c>
      <c r="J6906" s="6" t="s">
        <v>345</v>
      </c>
      <c r="K6906" s="10">
        <v>23.8</v>
      </c>
      <c r="L6906" s="10">
        <v>23.8</v>
      </c>
      <c r="M6906" s="6" t="s">
        <v>386</v>
      </c>
    </row>
    <row r="6907" spans="1:13">
      <c r="A6907" s="6">
        <v>2025</v>
      </c>
      <c r="B6907" s="6">
        <v>12</v>
      </c>
      <c r="C6907" s="6" t="s">
        <v>70</v>
      </c>
      <c r="D6907" s="6" t="s">
        <v>526</v>
      </c>
      <c r="E6907" s="6" t="s">
        <v>405</v>
      </c>
      <c r="F6907" s="6" t="str">
        <f>IF($M6907="PADD I","PADD 1",IF($M6907="PADD II","PADD 2",IF($M6907="PADD III","PADD 3",IF($M6907="PADD IV","PADD 4",IF($M6907="PADD V","PADD 5","")))))</f>
        <v>PADD 3</v>
      </c>
      <c r="G6907" s="6" t="str">
        <f>IF(AND($H6907="ATMOS DISTILLATION",ISNUMBER(SEARCH("VPS",$I6907))=FALSE,LEFT($I6907,6)&lt;&gt;"VACUUM"),"CDU",IF($H6907="FLUID CAT CRACKING","FCC",IF(OR($H6907="HYDROCRACKING",$H6907="RESID_HYDROCRACKING"),"Hydrocracker",IF($H6907="REFORMING","Reformer",""))))</f>
        <v>Hydrocracker</v>
      </c>
      <c r="H6907" s="6" t="s">
        <v>444</v>
      </c>
      <c r="I6907" s="6" t="s">
        <v>351</v>
      </c>
      <c r="J6907" s="6" t="s">
        <v>345</v>
      </c>
      <c r="K6907" s="10">
        <v>22.23</v>
      </c>
      <c r="L6907" s="10">
        <v>57</v>
      </c>
      <c r="M6907" s="6" t="s">
        <v>371</v>
      </c>
    </row>
    <row r="6908" spans="1:13">
      <c r="A6908" s="6">
        <v>2025</v>
      </c>
      <c r="B6908" s="6">
        <v>12</v>
      </c>
      <c r="C6908" s="6" t="s">
        <v>70</v>
      </c>
      <c r="D6908" s="6" t="s">
        <v>326</v>
      </c>
      <c r="E6908" s="6" t="s">
        <v>385</v>
      </c>
      <c r="F6908" s="6" t="str">
        <f>IF($M6908="PADD I","PADD 1",IF($M6908="PADD II","PADD 2",IF($M6908="PADD III","PADD 3",IF($M6908="PADD IV","PADD 4",IF($M6908="PADD V","PADD 5","")))))</f>
        <v>PADD 5</v>
      </c>
      <c r="G6908" s="6">
        <f>IF(AND($H6908="ATMOS DISTILLATION",ISNUMBER(SEARCH("VPS",$I6908))=FALSE,LEFT($I6908,6)&lt;&gt;"VACUUM"),"CDU",IF($H6908="FLUID CAT CRACKING","FCC",IF(OR($H6908="HYDROCRACKING",$H6908="RESID_HYDROCRACKING"),"Hydrocracker",IF($H6908="REFORMING","Reformer",""))))</f>
        <v/>
      </c>
      <c r="H6908" s="6" t="s">
        <v>43</v>
      </c>
      <c r="I6908" s="6" t="s">
        <v>1174</v>
      </c>
      <c r="J6908" s="6" t="s">
        <v>345</v>
      </c>
      <c r="K6908" s="10">
        <v>17.57</v>
      </c>
      <c r="L6908" s="10">
        <v>17.57</v>
      </c>
      <c r="M6908" s="6" t="s">
        <v>386</v>
      </c>
    </row>
    <row r="6909" spans="1:13">
      <c r="A6909" s="6">
        <v>2025</v>
      </c>
      <c r="B6909" s="6">
        <v>12</v>
      </c>
      <c r="C6909" s="6" t="s">
        <v>70</v>
      </c>
      <c r="D6909" s="6" t="s">
        <v>612</v>
      </c>
      <c r="E6909" s="6" t="s">
        <v>416</v>
      </c>
      <c r="F6909" s="6" t="str">
        <f>IF($M6909="PADD I","PADD 1",IF($M6909="PADD II","PADD 2",IF($M6909="PADD III","PADD 3",IF($M6909="PADD IV","PADD 4",IF($M6909="PADD V","PADD 5","")))))</f>
        <v>PADD 3</v>
      </c>
      <c r="G6909" s="6" t="str">
        <f>IF(AND($H6909="ATMOS DISTILLATION",ISNUMBER(SEARCH("VPS",$I6909))=FALSE,LEFT($I6909,6)&lt;&gt;"VACUUM"),"CDU",IF($H6909="FLUID CAT CRACKING","FCC",IF(OR($H6909="HYDROCRACKING",$H6909="RESID_HYDROCRACKING"),"Hydrocracker",IF($H6909="REFORMING","Reformer",""))))</f>
        <v>CDU</v>
      </c>
      <c r="H6909" s="6" t="s">
        <v>38</v>
      </c>
      <c r="I6909" s="6" t="s">
        <v>81</v>
      </c>
      <c r="J6909" s="6" t="s">
        <v>345</v>
      </c>
      <c r="K6909" s="10">
        <v>17.4</v>
      </c>
      <c r="L6909" s="10">
        <v>174</v>
      </c>
      <c r="M6909" s="6" t="s">
        <v>371</v>
      </c>
    </row>
    <row r="6910" spans="1:13">
      <c r="A6910" s="6">
        <v>2025</v>
      </c>
      <c r="B6910" s="6">
        <v>12</v>
      </c>
      <c r="C6910" s="6" t="s">
        <v>70</v>
      </c>
      <c r="D6910" s="6" t="s">
        <v>612</v>
      </c>
      <c r="E6910" s="6" t="s">
        <v>416</v>
      </c>
      <c r="F6910" s="6" t="str">
        <f>IF($M6910="PADD I","PADD 1",IF($M6910="PADD II","PADD 2",IF($M6910="PADD III","PADD 3",IF($M6910="PADD IV","PADD 4",IF($M6910="PADD V","PADD 5","")))))</f>
        <v>PADD 3</v>
      </c>
      <c r="G6910" s="6" t="str">
        <f>IF(AND($H6910="ATMOS DISTILLATION",ISNUMBER(SEARCH("VPS",$I6910))=FALSE,LEFT($I6910,6)&lt;&gt;"VACUUM"),"CDU",IF($H6910="FLUID CAT CRACKING","FCC",IF(OR($H6910="HYDROCRACKING",$H6910="RESID_HYDROCRACKING"),"Hydrocracker",IF($H6910="REFORMING","Reformer",""))))</f>
        <v>CDU</v>
      </c>
      <c r="H6910" s="6" t="s">
        <v>38</v>
      </c>
      <c r="I6910" s="6" t="s">
        <v>81</v>
      </c>
      <c r="J6910" s="6" t="s">
        <v>349</v>
      </c>
      <c r="K6910" s="10">
        <v>16.5</v>
      </c>
      <c r="L6910" s="10">
        <v>165</v>
      </c>
      <c r="M6910" s="6" t="s">
        <v>371</v>
      </c>
    </row>
    <row r="6911" spans="1:13">
      <c r="A6911" s="6">
        <v>2025</v>
      </c>
      <c r="B6911" s="6">
        <v>12</v>
      </c>
      <c r="C6911" s="6" t="s">
        <v>70</v>
      </c>
      <c r="D6911" s="6" t="s">
        <v>48</v>
      </c>
      <c r="E6911" s="6" t="s">
        <v>388</v>
      </c>
      <c r="F6911" s="6" t="str">
        <f>IF($M6911="PADD I","PADD 1",IF($M6911="PADD II","PADD 2",IF($M6911="PADD III","PADD 3",IF($M6911="PADD IV","PADD 4",IF($M6911="PADD V","PADD 5","")))))</f>
        <v>PADD 2</v>
      </c>
      <c r="G6911" s="6" t="str">
        <f>IF(AND($H6911="ATMOS DISTILLATION",ISNUMBER(SEARCH("VPS",$I6911))=FALSE,LEFT($I6911,6)&lt;&gt;"VACUUM"),"CDU",IF($H6911="FLUID CAT CRACKING","FCC",IF(OR($H6911="HYDROCRACKING",$H6911="RESID_HYDROCRACKING"),"Hydrocracker",IF($H6911="REFORMING","Reformer",""))))</f>
        <v>CDU</v>
      </c>
      <c r="H6911" s="6" t="s">
        <v>38</v>
      </c>
      <c r="I6911" s="6" t="s">
        <v>720</v>
      </c>
      <c r="J6911" s="6" t="s">
        <v>345</v>
      </c>
      <c r="K6911" s="10">
        <v>15.96</v>
      </c>
      <c r="L6911" s="10">
        <v>266</v>
      </c>
      <c r="M6911" s="6" t="s">
        <v>375</v>
      </c>
    </row>
    <row r="6912" spans="1:13">
      <c r="A6912" s="6">
        <v>2025</v>
      </c>
      <c r="B6912" s="6">
        <v>12</v>
      </c>
      <c r="C6912" s="6" t="s">
        <v>70</v>
      </c>
      <c r="D6912" s="6" t="s">
        <v>48</v>
      </c>
      <c r="E6912" s="6" t="s">
        <v>388</v>
      </c>
      <c r="F6912" s="6" t="str">
        <f>IF($M6912="PADD I","PADD 1",IF($M6912="PADD II","PADD 2",IF($M6912="PADD III","PADD 3",IF($M6912="PADD IV","PADD 4",IF($M6912="PADD V","PADD 5","")))))</f>
        <v>PADD 2</v>
      </c>
      <c r="G6912" s="6" t="str">
        <f>IF(AND($H6912="ATMOS DISTILLATION",ISNUMBER(SEARCH("VPS",$I6912))=FALSE,LEFT($I6912,6)&lt;&gt;"VACUUM"),"CDU",IF($H6912="FLUID CAT CRACKING","FCC",IF(OR($H6912="HYDROCRACKING",$H6912="RESID_HYDROCRACKING"),"Hydrocracker",IF($H6912="REFORMING","Reformer",""))))</f>
        <v>CDU</v>
      </c>
      <c r="H6912" s="6" t="s">
        <v>38</v>
      </c>
      <c r="I6912" s="6" t="s">
        <v>720</v>
      </c>
      <c r="J6912" s="6" t="s">
        <v>345</v>
      </c>
      <c r="K6912" s="10">
        <v>15.96</v>
      </c>
      <c r="L6912" s="10">
        <v>266</v>
      </c>
      <c r="M6912" s="6" t="s">
        <v>375</v>
      </c>
    </row>
    <row r="6913" spans="1:13">
      <c r="A6913" s="6">
        <v>2025</v>
      </c>
      <c r="B6913" s="6">
        <v>12</v>
      </c>
      <c r="C6913" s="6" t="s">
        <v>70</v>
      </c>
      <c r="D6913" s="6" t="s">
        <v>51</v>
      </c>
      <c r="E6913" s="6" t="s">
        <v>391</v>
      </c>
      <c r="F6913" s="6" t="str">
        <f>IF($M6913="PADD I","PADD 1",IF($M6913="PADD II","PADD 2",IF($M6913="PADD III","PADD 3",IF($M6913="PADD IV","PADD 4",IF($M6913="PADD V","PADD 5","")))))</f>
        <v>PADD 5</v>
      </c>
      <c r="G6913" s="6">
        <f>IF(AND($H6913="ATMOS DISTILLATION",ISNUMBER(SEARCH("VPS",$I6913))=FALSE,LEFT($I6913,6)&lt;&gt;"VACUUM"),"CDU",IF($H6913="FLUID CAT CRACKING","FCC",IF(OR($H6913="HYDROCRACKING",$H6913="RESID_HYDROCRACKING"),"Hydrocracker",IF($H6913="REFORMING","Reformer",""))))</f>
        <v/>
      </c>
      <c r="H6913" s="6" t="s">
        <v>43</v>
      </c>
      <c r="I6913" s="6" t="s">
        <v>859</v>
      </c>
      <c r="J6913" s="6" t="s">
        <v>345</v>
      </c>
      <c r="K6913" s="10">
        <v>14</v>
      </c>
      <c r="L6913" s="10">
        <v>14</v>
      </c>
      <c r="M6913" s="6" t="s">
        <v>386</v>
      </c>
    </row>
    <row r="6914" spans="1:13">
      <c r="A6914" s="6">
        <v>2025</v>
      </c>
      <c r="B6914" s="6">
        <v>12</v>
      </c>
      <c r="C6914" s="6" t="s">
        <v>70</v>
      </c>
      <c r="D6914" s="6" t="s">
        <v>770</v>
      </c>
      <c r="E6914" s="6" t="s">
        <v>660</v>
      </c>
      <c r="F6914" s="6" t="str">
        <f>IF($M6914="PADD I","PADD 1",IF($M6914="PADD II","PADD 2",IF($M6914="PADD III","PADD 3",IF($M6914="PADD IV","PADD 4",IF($M6914="PADD V","PADD 5","")))))</f>
        <v>PADD 3</v>
      </c>
      <c r="G6914" s="6">
        <f>IF(AND($H6914="ATMOS DISTILLATION",ISNUMBER(SEARCH("VPS",$I6914))=FALSE,LEFT($I6914,6)&lt;&gt;"VACUUM"),"CDU",IF($H6914="FLUID CAT CRACKING","FCC",IF(OR($H6914="HYDROCRACKING",$H6914="RESID_HYDROCRACKING"),"Hydrocracker",IF($H6914="REFORMING","Reformer",""))))</f>
        <v/>
      </c>
      <c r="H6914" s="6" t="s">
        <v>435</v>
      </c>
      <c r="I6914" s="6" t="s">
        <v>441</v>
      </c>
      <c r="J6914" s="6" t="s">
        <v>345</v>
      </c>
      <c r="K6914" s="10">
        <v>13.44</v>
      </c>
      <c r="L6914" s="10">
        <v>32</v>
      </c>
      <c r="M6914" s="6" t="s">
        <v>371</v>
      </c>
    </row>
    <row r="6915" spans="1:13">
      <c r="A6915" s="6">
        <v>2025</v>
      </c>
      <c r="B6915" s="6">
        <v>12</v>
      </c>
      <c r="C6915" s="6" t="s">
        <v>70</v>
      </c>
      <c r="D6915" s="6" t="s">
        <v>531</v>
      </c>
      <c r="E6915" s="6" t="s">
        <v>532</v>
      </c>
      <c r="F6915" s="6" t="str">
        <f>IF($M6915="PADD I","PADD 1",IF($M6915="PADD II","PADD 2",IF($M6915="PADD III","PADD 3",IF($M6915="PADD IV","PADD 4",IF($M6915="PADD V","PADD 5","")))))</f>
        <v>PADD 5</v>
      </c>
      <c r="G6915" s="6">
        <f>IF(AND($H6915="ATMOS DISTILLATION",ISNUMBER(SEARCH("VPS",$I6915))=FALSE,LEFT($I6915,6)&lt;&gt;"VACUUM"),"CDU",IF($H6915="FLUID CAT CRACKING","FCC",IF(OR($H6915="HYDROCRACKING",$H6915="RESID_HYDROCRACKING"),"Hydrocracker",IF($H6915="REFORMING","Reformer",""))))</f>
        <v/>
      </c>
      <c r="H6915" s="6" t="s">
        <v>435</v>
      </c>
      <c r="I6915" s="6" t="s">
        <v>614</v>
      </c>
      <c r="J6915" s="6" t="s">
        <v>345</v>
      </c>
      <c r="K6915" s="10">
        <v>12.15</v>
      </c>
      <c r="L6915" s="10">
        <v>27</v>
      </c>
      <c r="M6915" s="6" t="s">
        <v>386</v>
      </c>
    </row>
    <row r="6916" spans="1:13">
      <c r="A6916" s="6">
        <v>2025</v>
      </c>
      <c r="B6916" s="6">
        <v>12</v>
      </c>
      <c r="C6916" s="6" t="s">
        <v>70</v>
      </c>
      <c r="D6916" s="6" t="s">
        <v>326</v>
      </c>
      <c r="E6916" s="6" t="s">
        <v>385</v>
      </c>
      <c r="F6916" s="6" t="str">
        <f>IF($M6916="PADD I","PADD 1",IF($M6916="PADD II","PADD 2",IF($M6916="PADD III","PADD 3",IF($M6916="PADD IV","PADD 4",IF($M6916="PADD V","PADD 5","")))))</f>
        <v>PADD 5</v>
      </c>
      <c r="G6916" s="6" t="str">
        <f>IF(AND($H6916="ATMOS DISTILLATION",ISNUMBER(SEARCH("VPS",$I6916))=FALSE,LEFT($I6916,6)&lt;&gt;"VACUUM"),"CDU",IF($H6916="FLUID CAT CRACKING","FCC",IF(OR($H6916="HYDROCRACKING",$H6916="RESID_HYDROCRACKING"),"Hydrocracker",IF($H6916="REFORMING","Reformer",""))))</f>
        <v>Reformer</v>
      </c>
      <c r="H6916" s="6" t="s">
        <v>421</v>
      </c>
      <c r="I6916" s="6" t="s">
        <v>15</v>
      </c>
      <c r="J6916" s="6" t="s">
        <v>345</v>
      </c>
      <c r="K6916" s="10">
        <v>10.33</v>
      </c>
      <c r="L6916" s="10">
        <v>10.33</v>
      </c>
      <c r="M6916" s="6" t="s">
        <v>386</v>
      </c>
    </row>
    <row r="6917" spans="1:13">
      <c r="A6917" s="6">
        <v>2025</v>
      </c>
      <c r="B6917" s="6">
        <v>12</v>
      </c>
      <c r="C6917" s="6" t="s">
        <v>70</v>
      </c>
      <c r="D6917" s="6" t="s">
        <v>326</v>
      </c>
      <c r="E6917" s="6" t="s">
        <v>385</v>
      </c>
      <c r="F6917" s="6" t="str">
        <f>IF($M6917="PADD I","PADD 1",IF($M6917="PADD II","PADD 2",IF($M6917="PADD III","PADD 3",IF($M6917="PADD IV","PADD 4",IF($M6917="PADD V","PADD 5","")))))</f>
        <v>PADD 5</v>
      </c>
      <c r="G6917" s="6">
        <f>IF(AND($H6917="ATMOS DISTILLATION",ISNUMBER(SEARCH("VPS",$I6917))=FALSE,LEFT($I6917,6)&lt;&gt;"VACUUM"),"CDU",IF($H6917="FLUID CAT CRACKING","FCC",IF(OR($H6917="HYDROCRACKING",$H6917="RESID_HYDROCRACKING"),"Hydrocracker",IF($H6917="REFORMING","Reformer",""))))</f>
        <v/>
      </c>
      <c r="H6917" s="6" t="s">
        <v>43</v>
      </c>
      <c r="I6917" s="6" t="s">
        <v>501</v>
      </c>
      <c r="J6917" s="6" t="s">
        <v>345</v>
      </c>
      <c r="K6917" s="10">
        <v>9.800000000000001</v>
      </c>
      <c r="L6917" s="10">
        <v>9.800000000000001</v>
      </c>
      <c r="M6917" s="6" t="s">
        <v>386</v>
      </c>
    </row>
    <row r="6918" spans="1:13">
      <c r="A6918" s="6">
        <v>2025</v>
      </c>
      <c r="B6918" s="6">
        <v>12</v>
      </c>
      <c r="C6918" s="6" t="s">
        <v>70</v>
      </c>
      <c r="D6918" s="6" t="s">
        <v>326</v>
      </c>
      <c r="E6918" s="6" t="s">
        <v>385</v>
      </c>
      <c r="F6918" s="6" t="str">
        <f>IF($M6918="PADD I","PADD 1",IF($M6918="PADD II","PADD 2",IF($M6918="PADD III","PADD 3",IF($M6918="PADD IV","PADD 4",IF($M6918="PADD V","PADD 5","")))))</f>
        <v>PADD 5</v>
      </c>
      <c r="G6918" s="6">
        <f>IF(AND($H6918="ATMOS DISTILLATION",ISNUMBER(SEARCH("VPS",$I6918))=FALSE,LEFT($I6918,6)&lt;&gt;"VACUUM"),"CDU",IF($H6918="FLUID CAT CRACKING","FCC",IF(OR($H6918="HYDROCRACKING",$H6918="RESID_HYDROCRACKING"),"Hydrocracker",IF($H6918="REFORMING","Reformer",""))))</f>
        <v/>
      </c>
      <c r="H6918" s="6" t="s">
        <v>43</v>
      </c>
      <c r="I6918" s="6" t="s">
        <v>1183</v>
      </c>
      <c r="J6918" s="6" t="s">
        <v>345</v>
      </c>
      <c r="K6918" s="10">
        <v>9.1</v>
      </c>
      <c r="L6918" s="10">
        <v>9.1</v>
      </c>
      <c r="M6918" s="6" t="s">
        <v>386</v>
      </c>
    </row>
    <row r="6919" spans="1:13">
      <c r="A6919" s="6">
        <v>2025</v>
      </c>
      <c r="B6919" s="6">
        <v>12</v>
      </c>
      <c r="C6919" s="6" t="s">
        <v>70</v>
      </c>
      <c r="D6919" s="6" t="s">
        <v>321</v>
      </c>
      <c r="E6919" s="6" t="s">
        <v>381</v>
      </c>
      <c r="F6919" s="6" t="str">
        <f>IF($M6919="PADD I","PADD 1",IF($M6919="PADD II","PADD 2",IF($M6919="PADD III","PADD 3",IF($M6919="PADD IV","PADD 4",IF($M6919="PADD V","PADD 5","")))))</f>
        <v>PADD 2</v>
      </c>
      <c r="G6919" s="6" t="str">
        <f>IF(AND($H6919="ATMOS DISTILLATION",ISNUMBER(SEARCH("VPS",$I6919))=FALSE,LEFT($I6919,6)&lt;&gt;"VACUUM"),"CDU",IF($H6919="FLUID CAT CRACKING","FCC",IF(OR($H6919="HYDROCRACKING",$H6919="RESID_HYDROCRACKING"),"Hydrocracker",IF($H6919="REFORMING","Reformer",""))))</f>
        <v>CDU</v>
      </c>
      <c r="H6919" s="6" t="s">
        <v>38</v>
      </c>
      <c r="I6919" s="6" t="s">
        <v>81</v>
      </c>
      <c r="J6919" s="6" t="s">
        <v>345</v>
      </c>
      <c r="K6919" s="10">
        <v>8.699999999999999</v>
      </c>
      <c r="L6919" s="10">
        <v>30</v>
      </c>
      <c r="M6919" s="6" t="s">
        <v>375</v>
      </c>
    </row>
    <row r="6920" spans="1:13">
      <c r="A6920" s="6">
        <v>2025</v>
      </c>
      <c r="B6920" s="6">
        <v>12</v>
      </c>
      <c r="C6920" s="6" t="s">
        <v>70</v>
      </c>
      <c r="D6920" s="6" t="s">
        <v>612</v>
      </c>
      <c r="E6920" s="6" t="s">
        <v>416</v>
      </c>
      <c r="F6920" s="6" t="str">
        <f>IF($M6920="PADD I","PADD 1",IF($M6920="PADD II","PADD 2",IF($M6920="PADD III","PADD 3",IF($M6920="PADD IV","PADD 4",IF($M6920="PADD V","PADD 5","")))))</f>
        <v>PADD 3</v>
      </c>
      <c r="G6920" s="6">
        <f>IF(AND($H6920="ATMOS DISTILLATION",ISNUMBER(SEARCH("VPS",$I6920))=FALSE,LEFT($I6920,6)&lt;&gt;"VACUUM"),"CDU",IF($H6920="FLUID CAT CRACKING","FCC",IF(OR($H6920="HYDROCRACKING",$H6920="RESID_HYDROCRACKING"),"Hydrocracker",IF($H6920="REFORMING","Reformer",""))))</f>
        <v/>
      </c>
      <c r="H6920" s="6" t="s">
        <v>378</v>
      </c>
      <c r="I6920" s="6" t="s">
        <v>431</v>
      </c>
      <c r="J6920" s="6" t="s">
        <v>345</v>
      </c>
      <c r="K6920" s="10">
        <v>8.529999999999999</v>
      </c>
      <c r="L6920" s="10">
        <v>85.3</v>
      </c>
      <c r="M6920" s="6" t="s">
        <v>371</v>
      </c>
    </row>
    <row r="6921" spans="1:13">
      <c r="A6921" s="6">
        <v>2025</v>
      </c>
      <c r="B6921" s="6">
        <v>12</v>
      </c>
      <c r="C6921" s="6" t="s">
        <v>70</v>
      </c>
      <c r="D6921" s="6" t="s">
        <v>612</v>
      </c>
      <c r="E6921" s="6" t="s">
        <v>416</v>
      </c>
      <c r="F6921" s="6" t="str">
        <f>IF($M6921="PADD I","PADD 1",IF($M6921="PADD II","PADD 2",IF($M6921="PADD III","PADD 3",IF($M6921="PADD IV","PADD 4",IF($M6921="PADD V","PADD 5","")))))</f>
        <v>PADD 3</v>
      </c>
      <c r="G6921" s="6">
        <f>IF(AND($H6921="ATMOS DISTILLATION",ISNUMBER(SEARCH("VPS",$I6921))=FALSE,LEFT($I6921,6)&lt;&gt;"VACUUM"),"CDU",IF($H6921="FLUID CAT CRACKING","FCC",IF(OR($H6921="HYDROCRACKING",$H6921="RESID_HYDROCRACKING"),"Hydrocracker",IF($H6921="REFORMING","Reformer",""))))</f>
        <v/>
      </c>
      <c r="H6921" s="6" t="s">
        <v>378</v>
      </c>
      <c r="I6921" s="6" t="s">
        <v>431</v>
      </c>
      <c r="J6921" s="6" t="s">
        <v>349</v>
      </c>
      <c r="K6921" s="10">
        <v>8</v>
      </c>
      <c r="L6921" s="10">
        <v>80</v>
      </c>
      <c r="M6921" s="6" t="s">
        <v>371</v>
      </c>
    </row>
    <row r="6922" spans="1:13">
      <c r="A6922" s="6">
        <v>2025</v>
      </c>
      <c r="B6922" s="6">
        <v>12</v>
      </c>
      <c r="C6922" s="6" t="s">
        <v>70</v>
      </c>
      <c r="D6922" s="6" t="s">
        <v>756</v>
      </c>
      <c r="E6922" s="6" t="s">
        <v>757</v>
      </c>
      <c r="F6922" s="6" t="str">
        <f>IF($M6922="PADD I","PADD 1",IF($M6922="PADD II","PADD 2",IF($M6922="PADD III","PADD 3",IF($M6922="PADD IV","PADD 4",IF($M6922="PADD V","PADD 5","")))))</f>
        <v>PADD 3</v>
      </c>
      <c r="G6922" s="6" t="str">
        <f>IF(AND($H6922="ATMOS DISTILLATION",ISNUMBER(SEARCH("VPS",$I6922))=FALSE,LEFT($I6922,6)&lt;&gt;"VACUUM"),"CDU",IF($H6922="FLUID CAT CRACKING","FCC",IF(OR($H6922="HYDROCRACKING",$H6922="RESID_HYDROCRACKING"),"Hydrocracker",IF($H6922="REFORMING","Reformer",""))))</f>
        <v>CDU</v>
      </c>
      <c r="H6922" s="6" t="s">
        <v>38</v>
      </c>
      <c r="I6922" s="6" t="s">
        <v>81</v>
      </c>
      <c r="J6922" s="6" t="s">
        <v>345</v>
      </c>
      <c r="K6922" s="10">
        <v>7.8</v>
      </c>
      <c r="L6922" s="10">
        <v>15</v>
      </c>
      <c r="M6922" s="6" t="s">
        <v>371</v>
      </c>
    </row>
    <row r="6923" spans="1:13">
      <c r="A6923" s="6">
        <v>2025</v>
      </c>
      <c r="B6923" s="6">
        <v>12</v>
      </c>
      <c r="C6923" s="6" t="s">
        <v>70</v>
      </c>
      <c r="D6923" s="6" t="s">
        <v>326</v>
      </c>
      <c r="E6923" s="6" t="s">
        <v>385</v>
      </c>
      <c r="F6923" s="6" t="str">
        <f>IF($M6923="PADD I","PADD 1",IF($M6923="PADD II","PADD 2",IF($M6923="PADD III","PADD 3",IF($M6923="PADD IV","PADD 4",IF($M6923="PADD V","PADD 5","")))))</f>
        <v>PADD 5</v>
      </c>
      <c r="G6923" s="6">
        <f>IF(AND($H6923="ATMOS DISTILLATION",ISNUMBER(SEARCH("VPS",$I6923))=FALSE,LEFT($I6923,6)&lt;&gt;"VACUUM"),"CDU",IF($H6923="FLUID CAT CRACKING","FCC",IF(OR($H6923="HYDROCRACKING",$H6923="RESID_HYDROCRACKING"),"Hydrocracker",IF($H6923="REFORMING","Reformer",""))))</f>
        <v/>
      </c>
      <c r="H6923" s="6" t="s">
        <v>435</v>
      </c>
      <c r="I6923" s="6" t="s">
        <v>441</v>
      </c>
      <c r="J6923" s="6" t="s">
        <v>345</v>
      </c>
      <c r="K6923" s="10">
        <v>7.7</v>
      </c>
      <c r="L6923" s="10">
        <v>7.7</v>
      </c>
      <c r="M6923" s="6" t="s">
        <v>386</v>
      </c>
    </row>
    <row r="6924" spans="1:13">
      <c r="A6924" s="6">
        <v>2025</v>
      </c>
      <c r="B6924" s="6">
        <v>12</v>
      </c>
      <c r="C6924" s="6" t="s">
        <v>70</v>
      </c>
      <c r="D6924" s="6" t="s">
        <v>51</v>
      </c>
      <c r="E6924" s="6" t="s">
        <v>391</v>
      </c>
      <c r="F6924" s="6" t="str">
        <f>IF($M6924="PADD I","PADD 1",IF($M6924="PADD II","PADD 2",IF($M6924="PADD III","PADD 3",IF($M6924="PADD IV","PADD 4",IF($M6924="PADD V","PADD 5","")))))</f>
        <v>PADD 5</v>
      </c>
      <c r="G6924" s="6">
        <f>IF(AND($H6924="ATMOS DISTILLATION",ISNUMBER(SEARCH("VPS",$I6924))=FALSE,LEFT($I6924,6)&lt;&gt;"VACUUM"),"CDU",IF($H6924="FLUID CAT CRACKING","FCC",IF(OR($H6924="HYDROCRACKING",$H6924="RESID_HYDROCRACKING"),"Hydrocracker",IF($H6924="REFORMING","Reformer",""))))</f>
        <v/>
      </c>
      <c r="H6924" s="6" t="s">
        <v>43</v>
      </c>
      <c r="I6924" s="6" t="s">
        <v>1337</v>
      </c>
      <c r="J6924" s="6" t="s">
        <v>345</v>
      </c>
      <c r="K6924" s="10">
        <v>7.35</v>
      </c>
      <c r="L6924" s="10">
        <v>7.35</v>
      </c>
      <c r="M6924" s="6" t="s">
        <v>386</v>
      </c>
    </row>
    <row r="6925" spans="1:13">
      <c r="A6925" s="6">
        <v>2025</v>
      </c>
      <c r="B6925" s="6">
        <v>12</v>
      </c>
      <c r="C6925" s="6" t="s">
        <v>70</v>
      </c>
      <c r="D6925" s="6" t="s">
        <v>326</v>
      </c>
      <c r="E6925" s="6" t="s">
        <v>385</v>
      </c>
      <c r="F6925" s="6" t="str">
        <f>IF($M6925="PADD I","PADD 1",IF($M6925="PADD II","PADD 2",IF($M6925="PADD III","PADD 3",IF($M6925="PADD IV","PADD 4",IF($M6925="PADD V","PADD 5","")))))</f>
        <v>PADD 5</v>
      </c>
      <c r="G6925" s="6">
        <f>IF(AND($H6925="ATMOS DISTILLATION",ISNUMBER(SEARCH("VPS",$I6925))=FALSE,LEFT($I6925,6)&lt;&gt;"VACUUM"),"CDU",IF($H6925="FLUID CAT CRACKING","FCC",IF(OR($H6925="HYDROCRACKING",$H6925="RESID_HYDROCRACKING"),"Hydrocracker",IF($H6925="REFORMING","Reformer",""))))</f>
        <v/>
      </c>
      <c r="H6925" s="6" t="s">
        <v>435</v>
      </c>
      <c r="I6925" s="6" t="s">
        <v>813</v>
      </c>
      <c r="J6925" s="6" t="s">
        <v>345</v>
      </c>
      <c r="K6925" s="10">
        <v>7.32</v>
      </c>
      <c r="L6925" s="10">
        <v>7.32</v>
      </c>
      <c r="M6925" s="6" t="s">
        <v>386</v>
      </c>
    </row>
    <row r="6926" spans="1:13">
      <c r="A6926" s="6">
        <v>2025</v>
      </c>
      <c r="B6926" s="6">
        <v>12</v>
      </c>
      <c r="C6926" s="6" t="s">
        <v>70</v>
      </c>
      <c r="D6926" s="6" t="s">
        <v>329</v>
      </c>
      <c r="E6926" s="6" t="s">
        <v>427</v>
      </c>
      <c r="F6926" s="6" t="str">
        <f>IF($M6926="PADD I","PADD 1",IF($M6926="PADD II","PADD 2",IF($M6926="PADD III","PADD 3",IF($M6926="PADD IV","PADD 4",IF($M6926="PADD V","PADD 5","")))))</f>
        <v>PADD 3</v>
      </c>
      <c r="G6926" s="6">
        <f>IF(AND($H6926="ATMOS DISTILLATION",ISNUMBER(SEARCH("VPS",$I6926))=FALSE,LEFT($I6926,6)&lt;&gt;"VACUUM"),"CDU",IF($H6926="FLUID CAT CRACKING","FCC",IF(OR($H6926="HYDROCRACKING",$H6926="RESID_HYDROCRACKING"),"Hydrocracker",IF($H6926="REFORMING","Reformer",""))))</f>
        <v/>
      </c>
      <c r="H6926" s="6" t="s">
        <v>435</v>
      </c>
      <c r="I6926" s="6" t="s">
        <v>1248</v>
      </c>
      <c r="J6926" s="6" t="s">
        <v>349</v>
      </c>
      <c r="K6926" s="10">
        <v>7.2</v>
      </c>
      <c r="L6926" s="10">
        <v>15</v>
      </c>
      <c r="M6926" s="6" t="s">
        <v>371</v>
      </c>
    </row>
    <row r="6927" spans="1:13">
      <c r="A6927" s="6">
        <v>2025</v>
      </c>
      <c r="B6927" s="6">
        <v>12</v>
      </c>
      <c r="C6927" s="6" t="s">
        <v>70</v>
      </c>
      <c r="D6927" s="6" t="s">
        <v>51</v>
      </c>
      <c r="E6927" s="6" t="s">
        <v>391</v>
      </c>
      <c r="F6927" s="6" t="str">
        <f>IF($M6927="PADD I","PADD 1",IF($M6927="PADD II","PADD 2",IF($M6927="PADD III","PADD 3",IF($M6927="PADD IV","PADD 4",IF($M6927="PADD V","PADD 5","")))))</f>
        <v>PADD 5</v>
      </c>
      <c r="G6927" s="6">
        <f>IF(AND($H6927="ATMOS DISTILLATION",ISNUMBER(SEARCH("VPS",$I6927))=FALSE,LEFT($I6927,6)&lt;&gt;"VACUUM"),"CDU",IF($H6927="FLUID CAT CRACKING","FCC",IF(OR($H6927="HYDROCRACKING",$H6927="RESID_HYDROCRACKING"),"Hydrocracker",IF($H6927="REFORMING","Reformer",""))))</f>
        <v/>
      </c>
      <c r="H6927" s="6" t="s">
        <v>43</v>
      </c>
      <c r="I6927" s="6" t="s">
        <v>1338</v>
      </c>
      <c r="J6927" s="6" t="s">
        <v>345</v>
      </c>
      <c r="K6927" s="10">
        <v>7</v>
      </c>
      <c r="L6927" s="10">
        <v>7</v>
      </c>
      <c r="M6927" s="6" t="s">
        <v>386</v>
      </c>
    </row>
    <row r="6928" spans="1:13">
      <c r="A6928" s="6">
        <v>2025</v>
      </c>
      <c r="B6928" s="6">
        <v>12</v>
      </c>
      <c r="C6928" s="6" t="s">
        <v>70</v>
      </c>
      <c r="D6928" s="6" t="s">
        <v>346</v>
      </c>
      <c r="E6928" s="6" t="s">
        <v>383</v>
      </c>
      <c r="F6928" s="6" t="str">
        <f>IF($M6928="PADD I","PADD 1",IF($M6928="PADD II","PADD 2",IF($M6928="PADD III","PADD 3",IF($M6928="PADD IV","PADD 4",IF($M6928="PADD V","PADD 5","")))))</f>
        <v>PADD 2</v>
      </c>
      <c r="G6928" s="6" t="str">
        <f>IF(AND($H6928="ATMOS DISTILLATION",ISNUMBER(SEARCH("VPS",$I6928))=FALSE,LEFT($I6928,6)&lt;&gt;"VACUUM"),"CDU",IF($H6928="FLUID CAT CRACKING","FCC",IF(OR($H6928="HYDROCRACKING",$H6928="RESID_HYDROCRACKING"),"Hydrocracker",IF($H6928="REFORMING","Reformer",""))))</f>
        <v>Hydrocracker</v>
      </c>
      <c r="H6928" s="6" t="s">
        <v>444</v>
      </c>
      <c r="I6928" s="6" t="s">
        <v>463</v>
      </c>
      <c r="J6928" s="6" t="s">
        <v>345</v>
      </c>
      <c r="K6928" s="10">
        <v>6.76</v>
      </c>
      <c r="L6928" s="10">
        <v>52</v>
      </c>
      <c r="M6928" s="6" t="s">
        <v>375</v>
      </c>
    </row>
    <row r="6929" spans="1:13">
      <c r="A6929" s="6">
        <v>2025</v>
      </c>
      <c r="B6929" s="6">
        <v>12</v>
      </c>
      <c r="C6929" s="6" t="s">
        <v>70</v>
      </c>
      <c r="D6929" s="6" t="s">
        <v>612</v>
      </c>
      <c r="E6929" s="6" t="s">
        <v>416</v>
      </c>
      <c r="F6929" s="6" t="str">
        <f>IF($M6929="PADD I","PADD 1",IF($M6929="PADD II","PADD 2",IF($M6929="PADD III","PADD 3",IF($M6929="PADD IV","PADD 4",IF($M6929="PADD V","PADD 5","")))))</f>
        <v>PADD 3</v>
      </c>
      <c r="G6929" s="6">
        <f>IF(AND($H6929="ATMOS DISTILLATION",ISNUMBER(SEARCH("VPS",$I6929))=FALSE,LEFT($I6929,6)&lt;&gt;"VACUUM"),"CDU",IF($H6929="FLUID CAT CRACKING","FCC",IF(OR($H6929="HYDROCRACKING",$H6929="RESID_HYDROCRACKING"),"Hydrocracker",IF($H6929="REFORMING","Reformer",""))))</f>
        <v/>
      </c>
      <c r="H6929" s="6" t="s">
        <v>435</v>
      </c>
      <c r="I6929" s="6" t="s">
        <v>441</v>
      </c>
      <c r="J6929" s="6" t="s">
        <v>345</v>
      </c>
      <c r="K6929" s="10">
        <v>5.72</v>
      </c>
      <c r="L6929" s="10">
        <v>44</v>
      </c>
      <c r="M6929" s="6" t="s">
        <v>371</v>
      </c>
    </row>
    <row r="6930" spans="1:13">
      <c r="A6930" s="6">
        <v>2025</v>
      </c>
      <c r="B6930" s="6">
        <v>12</v>
      </c>
      <c r="C6930" s="6" t="s">
        <v>70</v>
      </c>
      <c r="D6930" s="6" t="s">
        <v>770</v>
      </c>
      <c r="E6930" s="6" t="s">
        <v>660</v>
      </c>
      <c r="F6930" s="6" t="str">
        <f>IF($M6930="PADD I","PADD 1",IF($M6930="PADD II","PADD 2",IF($M6930="PADD III","PADD 3",IF($M6930="PADD IV","PADD 4",IF($M6930="PADD V","PADD 5","")))))</f>
        <v>PADD 3</v>
      </c>
      <c r="G6930" s="6" t="str">
        <f>IF(AND($H6930="ATMOS DISTILLATION",ISNUMBER(SEARCH("VPS",$I6930))=FALSE,LEFT($I6930,6)&lt;&gt;"VACUUM"),"CDU",IF($H6930="FLUID CAT CRACKING","FCC",IF(OR($H6930="HYDROCRACKING",$H6930="RESID_HYDROCRACKING"),"Hydrocracker",IF($H6930="REFORMING","Reformer",""))))</f>
        <v>CDU</v>
      </c>
      <c r="H6930" s="6" t="s">
        <v>38</v>
      </c>
      <c r="I6930" s="6" t="s">
        <v>771</v>
      </c>
      <c r="J6930" s="6" t="s">
        <v>345</v>
      </c>
      <c r="K6930" s="10">
        <v>5.7</v>
      </c>
      <c r="L6930" s="10">
        <v>30</v>
      </c>
      <c r="M6930" s="6" t="s">
        <v>371</v>
      </c>
    </row>
    <row r="6931" spans="1:13">
      <c r="A6931" s="6">
        <v>2025</v>
      </c>
      <c r="B6931" s="6">
        <v>12</v>
      </c>
      <c r="C6931" s="6" t="s">
        <v>70</v>
      </c>
      <c r="D6931" s="6" t="s">
        <v>612</v>
      </c>
      <c r="E6931" s="6" t="s">
        <v>416</v>
      </c>
      <c r="F6931" s="6" t="str">
        <f>IF($M6931="PADD I","PADD 1",IF($M6931="PADD II","PADD 2",IF($M6931="PADD III","PADD 3",IF($M6931="PADD IV","PADD 4",IF($M6931="PADD V","PADD 5","")))))</f>
        <v>PADD 3</v>
      </c>
      <c r="G6931" s="6" t="str">
        <f>IF(AND($H6931="ATMOS DISTILLATION",ISNUMBER(SEARCH("VPS",$I6931))=FALSE,LEFT($I6931,6)&lt;&gt;"VACUUM"),"CDU",IF($H6931="FLUID CAT CRACKING","FCC",IF(OR($H6931="HYDROCRACKING",$H6931="RESID_HYDROCRACKING"),"Hydrocracker",IF($H6931="REFORMING","Reformer",""))))</f>
        <v>Reformer</v>
      </c>
      <c r="H6931" s="6" t="s">
        <v>421</v>
      </c>
      <c r="I6931" s="6" t="s">
        <v>755</v>
      </c>
      <c r="J6931" s="6" t="s">
        <v>345</v>
      </c>
      <c r="K6931" s="10">
        <v>5.7</v>
      </c>
      <c r="L6931" s="10">
        <v>30</v>
      </c>
      <c r="M6931" s="6" t="s">
        <v>371</v>
      </c>
    </row>
    <row r="6932" spans="1:13">
      <c r="A6932" s="6">
        <v>2025</v>
      </c>
      <c r="B6932" s="6">
        <v>12</v>
      </c>
      <c r="C6932" s="6" t="s">
        <v>70</v>
      </c>
      <c r="D6932" s="6" t="s">
        <v>457</v>
      </c>
      <c r="E6932" s="6" t="s">
        <v>388</v>
      </c>
      <c r="F6932" s="6" t="str">
        <f>IF($M6932="PADD I","PADD 1",IF($M6932="PADD II","PADD 2",IF($M6932="PADD III","PADD 3",IF($M6932="PADD IV","PADD 4",IF($M6932="PADD V","PADD 5","")))))</f>
        <v>PADD 5</v>
      </c>
      <c r="G6932" s="6" t="str">
        <f>IF(AND($H6932="ATMOS DISTILLATION",ISNUMBER(SEARCH("VPS",$I6932))=FALSE,LEFT($I6932,6)&lt;&gt;"VACUUM"),"CDU",IF($H6932="FLUID CAT CRACKING","FCC",IF(OR($H6932="HYDROCRACKING",$H6932="RESID_HYDROCRACKING"),"Hydrocracker",IF($H6932="REFORMING","Reformer",""))))</f>
        <v>Hydrocracker</v>
      </c>
      <c r="H6932" s="6" t="s">
        <v>444</v>
      </c>
      <c r="I6932" s="6" t="s">
        <v>14</v>
      </c>
      <c r="J6932" s="6" t="s">
        <v>345</v>
      </c>
      <c r="K6932" s="10">
        <v>5.5</v>
      </c>
      <c r="L6932" s="10">
        <v>55</v>
      </c>
      <c r="M6932" s="6" t="s">
        <v>386</v>
      </c>
    </row>
    <row r="6933" spans="1:13">
      <c r="A6933" s="6">
        <v>2025</v>
      </c>
      <c r="B6933" s="6">
        <v>12</v>
      </c>
      <c r="C6933" s="6" t="s">
        <v>70</v>
      </c>
      <c r="D6933" s="6" t="s">
        <v>799</v>
      </c>
      <c r="E6933" s="6" t="s">
        <v>391</v>
      </c>
      <c r="F6933" s="6" t="str">
        <f>IF($M6933="PADD I","PADD 1",IF($M6933="PADD II","PADD 2",IF($M6933="PADD III","PADD 3",IF($M6933="PADD IV","PADD 4",IF($M6933="PADD V","PADD 5","")))))</f>
        <v>PADD 4</v>
      </c>
      <c r="G6933" s="6">
        <f>IF(AND($H6933="ATMOS DISTILLATION",ISNUMBER(SEARCH("VPS",$I6933))=FALSE,LEFT($I6933,6)&lt;&gt;"VACUUM"),"CDU",IF($H6933="FLUID CAT CRACKING","FCC",IF(OR($H6933="HYDROCRACKING",$H6933="RESID_HYDROCRACKING"),"Hydrocracker",IF($H6933="REFORMING","Reformer",""))))</f>
        <v/>
      </c>
      <c r="H6933" s="6" t="s">
        <v>43</v>
      </c>
      <c r="I6933" s="6" t="s">
        <v>1064</v>
      </c>
      <c r="J6933" s="6" t="s">
        <v>345</v>
      </c>
      <c r="K6933" s="10">
        <v>5.187</v>
      </c>
      <c r="L6933" s="10">
        <v>13.3</v>
      </c>
      <c r="M6933" s="6" t="s">
        <v>430</v>
      </c>
    </row>
    <row r="6934" spans="1:13">
      <c r="A6934" s="6">
        <v>2025</v>
      </c>
      <c r="B6934" s="6">
        <v>12</v>
      </c>
      <c r="C6934" s="6" t="s">
        <v>70</v>
      </c>
      <c r="D6934" s="6" t="s">
        <v>48</v>
      </c>
      <c r="E6934" s="6" t="s">
        <v>388</v>
      </c>
      <c r="F6934" s="6" t="str">
        <f>IF($M6934="PADD I","PADD 1",IF($M6934="PADD II","PADD 2",IF($M6934="PADD III","PADD 3",IF($M6934="PADD IV","PADD 4",IF($M6934="PADD V","PADD 5","")))))</f>
        <v>PADD 2</v>
      </c>
      <c r="G6934" s="6">
        <f>IF(AND($H6934="ATMOS DISTILLATION",ISNUMBER(SEARCH("VPS",$I6934))=FALSE,LEFT($I6934,6)&lt;&gt;"VACUUM"),"CDU",IF($H6934="FLUID CAT CRACKING","FCC",IF(OR($H6934="HYDROCRACKING",$H6934="RESID_HYDROCRACKING"),"Hydrocracker",IF($H6934="REFORMING","Reformer",""))))</f>
        <v/>
      </c>
      <c r="H6934" s="6" t="s">
        <v>43</v>
      </c>
      <c r="I6934" s="6" t="s">
        <v>696</v>
      </c>
      <c r="J6934" s="6" t="s">
        <v>345</v>
      </c>
      <c r="K6934" s="10">
        <v>5.01</v>
      </c>
      <c r="L6934" s="10">
        <v>83.5</v>
      </c>
      <c r="M6934" s="6" t="s">
        <v>375</v>
      </c>
    </row>
    <row r="6935" spans="1:13">
      <c r="A6935" s="6">
        <v>2025</v>
      </c>
      <c r="B6935" s="6">
        <v>12</v>
      </c>
      <c r="C6935" s="6" t="s">
        <v>70</v>
      </c>
      <c r="D6935" s="6" t="s">
        <v>48</v>
      </c>
      <c r="E6935" s="6" t="s">
        <v>388</v>
      </c>
      <c r="F6935" s="6" t="str">
        <f>IF($M6935="PADD I","PADD 1",IF($M6935="PADD II","PADD 2",IF($M6935="PADD III","PADD 3",IF($M6935="PADD IV","PADD 4",IF($M6935="PADD V","PADD 5","")))))</f>
        <v>PADD 2</v>
      </c>
      <c r="G6935" s="6">
        <f>IF(AND($H6935="ATMOS DISTILLATION",ISNUMBER(SEARCH("VPS",$I6935))=FALSE,LEFT($I6935,6)&lt;&gt;"VACUUM"),"CDU",IF($H6935="FLUID CAT CRACKING","FCC",IF(OR($H6935="HYDROCRACKING",$H6935="RESID_HYDROCRACKING"),"Hydrocracker",IF($H6935="REFORMING","Reformer",""))))</f>
        <v/>
      </c>
      <c r="H6935" s="6" t="s">
        <v>378</v>
      </c>
      <c r="I6935" s="6" t="s">
        <v>431</v>
      </c>
      <c r="J6935" s="6" t="s">
        <v>345</v>
      </c>
      <c r="K6935" s="10">
        <v>4.56</v>
      </c>
      <c r="L6935" s="10">
        <v>76</v>
      </c>
      <c r="M6935" s="6" t="s">
        <v>375</v>
      </c>
    </row>
    <row r="6936" spans="1:13">
      <c r="A6936" s="6">
        <v>2025</v>
      </c>
      <c r="B6936" s="6">
        <v>12</v>
      </c>
      <c r="C6936" s="6" t="s">
        <v>70</v>
      </c>
      <c r="D6936" s="6" t="s">
        <v>48</v>
      </c>
      <c r="E6936" s="6" t="s">
        <v>388</v>
      </c>
      <c r="F6936" s="6" t="str">
        <f>IF($M6936="PADD I","PADD 1",IF($M6936="PADD II","PADD 2",IF($M6936="PADD III","PADD 3",IF($M6936="PADD IV","PADD 4",IF($M6936="PADD V","PADD 5","")))))</f>
        <v>PADD 2</v>
      </c>
      <c r="G6936" s="6">
        <f>IF(AND($H6936="ATMOS DISTILLATION",ISNUMBER(SEARCH("VPS",$I6936))=FALSE,LEFT($I6936,6)&lt;&gt;"VACUUM"),"CDU",IF($H6936="FLUID CAT CRACKING","FCC",IF(OR($H6936="HYDROCRACKING",$H6936="RESID_HYDROCRACKING"),"Hydrocracker",IF($H6936="REFORMING","Reformer",""))))</f>
        <v/>
      </c>
      <c r="H6936" s="6" t="s">
        <v>378</v>
      </c>
      <c r="I6936" s="6" t="s">
        <v>431</v>
      </c>
      <c r="J6936" s="6" t="s">
        <v>345</v>
      </c>
      <c r="K6936" s="10">
        <v>4.56</v>
      </c>
      <c r="L6936" s="10">
        <v>76</v>
      </c>
      <c r="M6936" s="6" t="s">
        <v>375</v>
      </c>
    </row>
    <row r="6937" spans="1:13">
      <c r="A6937" s="6">
        <v>2025</v>
      </c>
      <c r="B6937" s="6">
        <v>12</v>
      </c>
      <c r="C6937" s="6" t="s">
        <v>70</v>
      </c>
      <c r="D6937" s="6" t="s">
        <v>434</v>
      </c>
      <c r="E6937" s="6" t="s">
        <v>388</v>
      </c>
      <c r="F6937" s="6" t="str">
        <f>IF($M6937="PADD I","PADD 1",IF($M6937="PADD II","PADD 2",IF($M6937="PADD III","PADD 3",IF($M6937="PADD IV","PADD 4",IF($M6937="PADD V","PADD 5","")))))</f>
        <v>PADD 5</v>
      </c>
      <c r="G6937" s="6" t="str">
        <f>IF(AND($H6937="ATMOS DISTILLATION",ISNUMBER(SEARCH("VPS",$I6937))=FALSE,LEFT($I6937,6)&lt;&gt;"VACUUM"),"CDU",IF($H6937="FLUID CAT CRACKING","FCC",IF(OR($H6937="HYDROCRACKING",$H6937="RESID_HYDROCRACKING"),"Hydrocracker",IF($H6937="REFORMING","Reformer",""))))</f>
        <v>Reformer</v>
      </c>
      <c r="H6937" s="6" t="s">
        <v>421</v>
      </c>
      <c r="I6937" s="6" t="s">
        <v>671</v>
      </c>
      <c r="J6937" s="6" t="s">
        <v>345</v>
      </c>
      <c r="K6937" s="10">
        <v>4.35</v>
      </c>
      <c r="L6937" s="10">
        <v>15</v>
      </c>
      <c r="M6937" s="6" t="s">
        <v>386</v>
      </c>
    </row>
    <row r="6938" spans="1:13">
      <c r="A6938" s="6">
        <v>2025</v>
      </c>
      <c r="B6938" s="6">
        <v>12</v>
      </c>
      <c r="C6938" s="6" t="s">
        <v>70</v>
      </c>
      <c r="D6938" s="6" t="s">
        <v>326</v>
      </c>
      <c r="E6938" s="6" t="s">
        <v>385</v>
      </c>
      <c r="F6938" s="6" t="str">
        <f>IF($M6938="PADD I","PADD 1",IF($M6938="PADD II","PADD 2",IF($M6938="PADD III","PADD 3",IF($M6938="PADD IV","PADD 4",IF($M6938="PADD V","PADD 5","")))))</f>
        <v>PADD 5</v>
      </c>
      <c r="G6938" s="6">
        <f>IF(AND($H6938="ATMOS DISTILLATION",ISNUMBER(SEARCH("VPS",$I6938))=FALSE,LEFT($I6938,6)&lt;&gt;"VACUUM"),"CDU",IF($H6938="FLUID CAT CRACKING","FCC",IF(OR($H6938="HYDROCRACKING",$H6938="RESID_HYDROCRACKING"),"Hydrocracker",IF($H6938="REFORMING","Reformer",""))))</f>
        <v/>
      </c>
      <c r="H6938" s="6" t="s">
        <v>460</v>
      </c>
      <c r="I6938" s="6" t="s">
        <v>1288</v>
      </c>
      <c r="J6938" s="6" t="s">
        <v>345</v>
      </c>
      <c r="K6938" s="10">
        <v>4.2</v>
      </c>
      <c r="L6938" s="10">
        <v>4.2</v>
      </c>
      <c r="M6938" s="6" t="s">
        <v>386</v>
      </c>
    </row>
    <row r="6939" spans="1:13">
      <c r="A6939" s="6">
        <v>2025</v>
      </c>
      <c r="B6939" s="6">
        <v>12</v>
      </c>
      <c r="C6939" s="6" t="s">
        <v>70</v>
      </c>
      <c r="D6939" s="6" t="s">
        <v>51</v>
      </c>
      <c r="E6939" s="6" t="s">
        <v>391</v>
      </c>
      <c r="F6939" s="6" t="str">
        <f>IF($M6939="PADD I","PADD 1",IF($M6939="PADD II","PADD 2",IF($M6939="PADD III","PADD 3",IF($M6939="PADD IV","PADD 4",IF($M6939="PADD V","PADD 5","")))))</f>
        <v>PADD 5</v>
      </c>
      <c r="G6939" s="6">
        <f>IF(AND($H6939="ATMOS DISTILLATION",ISNUMBER(SEARCH("VPS",$I6939))=FALSE,LEFT($I6939,6)&lt;&gt;"VACUUM"),"CDU",IF($H6939="FLUID CAT CRACKING","FCC",IF(OR($H6939="HYDROCRACKING",$H6939="RESID_HYDROCRACKING"),"Hydrocracker",IF($H6939="REFORMING","Reformer",""))))</f>
        <v/>
      </c>
      <c r="H6939" s="6" t="s">
        <v>43</v>
      </c>
      <c r="I6939" s="6" t="s">
        <v>1207</v>
      </c>
      <c r="J6939" s="6" t="s">
        <v>345</v>
      </c>
      <c r="K6939" s="10">
        <v>4.2</v>
      </c>
      <c r="L6939" s="10">
        <v>4.2</v>
      </c>
      <c r="M6939" s="6" t="s">
        <v>386</v>
      </c>
    </row>
    <row r="6940" spans="1:13">
      <c r="A6940" s="6">
        <v>2025</v>
      </c>
      <c r="B6940" s="6">
        <v>12</v>
      </c>
      <c r="C6940" s="6" t="s">
        <v>70</v>
      </c>
      <c r="D6940" s="6" t="s">
        <v>434</v>
      </c>
      <c r="E6940" s="6" t="s">
        <v>388</v>
      </c>
      <c r="F6940" s="6" t="str">
        <f>IF($M6940="PADD I","PADD 1",IF($M6940="PADD II","PADD 2",IF($M6940="PADD III","PADD 3",IF($M6940="PADD IV","PADD 4",IF($M6940="PADD V","PADD 5","")))))</f>
        <v>PADD 5</v>
      </c>
      <c r="G6940" s="6">
        <f>IF(AND($H6940="ATMOS DISTILLATION",ISNUMBER(SEARCH("VPS",$I6940))=FALSE,LEFT($I6940,6)&lt;&gt;"VACUUM"),"CDU",IF($H6940="FLUID CAT CRACKING","FCC",IF(OR($H6940="HYDROCRACKING",$H6940="RESID_HYDROCRACKING"),"Hydrocracker",IF($H6940="REFORMING","Reformer",""))))</f>
        <v/>
      </c>
      <c r="H6940" s="6" t="s">
        <v>435</v>
      </c>
      <c r="I6940" s="6" t="s">
        <v>436</v>
      </c>
      <c r="J6940" s="6" t="s">
        <v>345</v>
      </c>
      <c r="K6940" s="10">
        <v>4.2</v>
      </c>
      <c r="L6940" s="10">
        <v>42</v>
      </c>
      <c r="M6940" s="6" t="s">
        <v>386</v>
      </c>
    </row>
    <row r="6941" spans="1:13">
      <c r="A6941" s="6">
        <v>2025</v>
      </c>
      <c r="B6941" s="6">
        <v>12</v>
      </c>
      <c r="C6941" s="6" t="s">
        <v>70</v>
      </c>
      <c r="D6941" s="6" t="s">
        <v>390</v>
      </c>
      <c r="E6941" s="6" t="s">
        <v>391</v>
      </c>
      <c r="F6941" s="6" t="str">
        <f>IF($M6941="PADD I","PADD 1",IF($M6941="PADD II","PADD 2",IF($M6941="PADD III","PADD 3",IF($M6941="PADD IV","PADD 4",IF($M6941="PADD V","PADD 5","")))))</f>
        <v>PADD 3</v>
      </c>
      <c r="G6941" s="6" t="str">
        <f>IF(AND($H6941="ATMOS DISTILLATION",ISNUMBER(SEARCH("VPS",$I6941))=FALSE,LEFT($I6941,6)&lt;&gt;"VACUUM"),"CDU",IF($H6941="FLUID CAT CRACKING","FCC",IF(OR($H6941="HYDROCRACKING",$H6941="RESID_HYDROCRACKING"),"Hydrocracker",IF($H6941="REFORMING","Reformer",""))))</f>
        <v>Hydrocracker</v>
      </c>
      <c r="H6941" s="6" t="s">
        <v>444</v>
      </c>
      <c r="I6941" s="6" t="s">
        <v>1299</v>
      </c>
      <c r="J6941" s="6" t="s">
        <v>349</v>
      </c>
      <c r="K6941" s="10">
        <v>3.84</v>
      </c>
      <c r="L6941" s="10">
        <v>24</v>
      </c>
      <c r="M6941" s="6" t="s">
        <v>371</v>
      </c>
    </row>
    <row r="6942" spans="1:13">
      <c r="A6942" s="6">
        <v>2025</v>
      </c>
      <c r="B6942" s="6">
        <v>12</v>
      </c>
      <c r="C6942" s="6" t="s">
        <v>70</v>
      </c>
      <c r="D6942" s="6" t="s">
        <v>48</v>
      </c>
      <c r="E6942" s="6" t="s">
        <v>388</v>
      </c>
      <c r="F6942" s="6" t="str">
        <f>IF($M6942="PADD I","PADD 1",IF($M6942="PADD II","PADD 2",IF($M6942="PADD III","PADD 3",IF($M6942="PADD IV","PADD 4",IF($M6942="PADD V","PADD 5","")))))</f>
        <v>PADD 2</v>
      </c>
      <c r="G6942" s="6">
        <f>IF(AND($H6942="ATMOS DISTILLATION",ISNUMBER(SEARCH("VPS",$I6942))=FALSE,LEFT($I6942,6)&lt;&gt;"VACUUM"),"CDU",IF($H6942="FLUID CAT CRACKING","FCC",IF(OR($H6942="HYDROCRACKING",$H6942="RESID_HYDROCRACKING"),"Hydrocracker",IF($H6942="REFORMING","Reformer",""))))</f>
        <v/>
      </c>
      <c r="H6942" s="6" t="s">
        <v>43</v>
      </c>
      <c r="I6942" s="6" t="s">
        <v>761</v>
      </c>
      <c r="J6942" s="6" t="s">
        <v>345</v>
      </c>
      <c r="K6942" s="10">
        <v>3.84</v>
      </c>
      <c r="L6942" s="10">
        <v>24</v>
      </c>
      <c r="M6942" s="6" t="s">
        <v>375</v>
      </c>
    </row>
    <row r="6943" spans="1:13">
      <c r="A6943" s="6">
        <v>2025</v>
      </c>
      <c r="B6943" s="6">
        <v>12</v>
      </c>
      <c r="C6943" s="6" t="s">
        <v>70</v>
      </c>
      <c r="D6943" s="6" t="s">
        <v>799</v>
      </c>
      <c r="E6943" s="6" t="s">
        <v>391</v>
      </c>
      <c r="F6943" s="6" t="str">
        <f>IF($M6943="PADD I","PADD 1",IF($M6943="PADD II","PADD 2",IF($M6943="PADD III","PADD 3",IF($M6943="PADD IV","PADD 4",IF($M6943="PADD V","PADD 5","")))))</f>
        <v>PADD 4</v>
      </c>
      <c r="G6943" s="6" t="str">
        <f>IF(AND($H6943="ATMOS DISTILLATION",ISNUMBER(SEARCH("VPS",$I6943))=FALSE,LEFT($I6943,6)&lt;&gt;"VACUUM"),"CDU",IF($H6943="FLUID CAT CRACKING","FCC",IF(OR($H6943="HYDROCRACKING",$H6943="RESID_HYDROCRACKING"),"Hydrocracker",IF($H6943="REFORMING","Reformer",""))))</f>
        <v>CDU</v>
      </c>
      <c r="H6943" s="6" t="s">
        <v>38</v>
      </c>
      <c r="I6943" s="6" t="s">
        <v>1104</v>
      </c>
      <c r="J6943" s="6" t="s">
        <v>345</v>
      </c>
      <c r="K6943" s="10">
        <v>3.456</v>
      </c>
      <c r="L6943" s="10">
        <v>57.6</v>
      </c>
      <c r="M6943" s="6" t="s">
        <v>430</v>
      </c>
    </row>
    <row r="6944" spans="1:13">
      <c r="A6944" s="6">
        <v>2025</v>
      </c>
      <c r="B6944" s="6">
        <v>12</v>
      </c>
      <c r="C6944" s="6" t="s">
        <v>70</v>
      </c>
      <c r="D6944" s="6" t="s">
        <v>48</v>
      </c>
      <c r="E6944" s="6" t="s">
        <v>388</v>
      </c>
      <c r="F6944" s="6" t="str">
        <f>IF($M6944="PADD I","PADD 1",IF($M6944="PADD II","PADD 2",IF($M6944="PADD III","PADD 3",IF($M6944="PADD IV","PADD 4",IF($M6944="PADD V","PADD 5","")))))</f>
        <v>PADD 2</v>
      </c>
      <c r="G6944" s="6" t="str">
        <f>IF(AND($H6944="ATMOS DISTILLATION",ISNUMBER(SEARCH("VPS",$I6944))=FALSE,LEFT($I6944,6)&lt;&gt;"VACUUM"),"CDU",IF($H6944="FLUID CAT CRACKING","FCC",IF(OR($H6944="HYDROCRACKING",$H6944="RESID_HYDROCRACKING"),"Hydrocracker",IF($H6944="REFORMING","Reformer",""))))</f>
        <v>FCC</v>
      </c>
      <c r="H6944" s="6" t="s">
        <v>376</v>
      </c>
      <c r="I6944" s="6" t="s">
        <v>105</v>
      </c>
      <c r="J6944" s="6" t="s">
        <v>345</v>
      </c>
      <c r="K6944" s="10">
        <v>3.27</v>
      </c>
      <c r="L6944" s="10">
        <v>54.5</v>
      </c>
      <c r="M6944" s="6" t="s">
        <v>375</v>
      </c>
    </row>
    <row r="6945" spans="1:13">
      <c r="A6945" s="6">
        <v>2025</v>
      </c>
      <c r="B6945" s="6">
        <v>12</v>
      </c>
      <c r="C6945" s="6" t="s">
        <v>70</v>
      </c>
      <c r="D6945" s="6" t="s">
        <v>48</v>
      </c>
      <c r="E6945" s="6" t="s">
        <v>388</v>
      </c>
      <c r="F6945" s="6" t="str">
        <f>IF($M6945="PADD I","PADD 1",IF($M6945="PADD II","PADD 2",IF($M6945="PADD III","PADD 3",IF($M6945="PADD IV","PADD 4",IF($M6945="PADD V","PADD 5","")))))</f>
        <v>PADD 2</v>
      </c>
      <c r="G6945" s="6">
        <f>IF(AND($H6945="ATMOS DISTILLATION",ISNUMBER(SEARCH("VPS",$I6945))=FALSE,LEFT($I6945,6)&lt;&gt;"VACUUM"),"CDU",IF($H6945="FLUID CAT CRACKING","FCC",IF(OR($H6945="HYDROCRACKING",$H6945="RESID_HYDROCRACKING"),"Hydrocracker",IF($H6945="REFORMING","Reformer",""))))</f>
        <v/>
      </c>
      <c r="H6945" s="6" t="s">
        <v>435</v>
      </c>
      <c r="I6945" s="6" t="s">
        <v>754</v>
      </c>
      <c r="J6945" s="6" t="s">
        <v>345</v>
      </c>
      <c r="K6945" s="10">
        <v>2.96</v>
      </c>
      <c r="L6945" s="10">
        <v>18.5</v>
      </c>
      <c r="M6945" s="6" t="s">
        <v>375</v>
      </c>
    </row>
    <row r="6946" spans="1:13">
      <c r="A6946" s="6">
        <v>2025</v>
      </c>
      <c r="B6946" s="6">
        <v>12</v>
      </c>
      <c r="C6946" s="6" t="s">
        <v>70</v>
      </c>
      <c r="D6946" s="6" t="s">
        <v>462</v>
      </c>
      <c r="E6946" s="6" t="s">
        <v>438</v>
      </c>
      <c r="F6946" s="6" t="str">
        <f>IF($M6946="PADD I","PADD 1",IF($M6946="PADD II","PADD 2",IF($M6946="PADD III","PADD 3",IF($M6946="PADD IV","PADD 4",IF($M6946="PADD V","PADD 5","")))))</f>
        <v>PADD 4</v>
      </c>
      <c r="G6946" s="6" t="str">
        <f>IF(AND($H6946="ATMOS DISTILLATION",ISNUMBER(SEARCH("VPS",$I6946))=FALSE,LEFT($I6946,6)&lt;&gt;"VACUUM"),"CDU",IF($H6946="FLUID CAT CRACKING","FCC",IF(OR($H6946="HYDROCRACKING",$H6946="RESID_HYDROCRACKING"),"Hydrocracker",IF($H6946="REFORMING","Reformer",""))))</f>
        <v>FCC</v>
      </c>
      <c r="H6946" s="6" t="s">
        <v>376</v>
      </c>
      <c r="I6946" s="6" t="s">
        <v>105</v>
      </c>
      <c r="J6946" s="6" t="s">
        <v>345</v>
      </c>
      <c r="K6946" s="10">
        <v>2.691</v>
      </c>
      <c r="L6946" s="10">
        <v>20.7</v>
      </c>
      <c r="M6946" s="6" t="s">
        <v>430</v>
      </c>
    </row>
    <row r="6947" spans="1:13">
      <c r="A6947" s="6">
        <v>2025</v>
      </c>
      <c r="B6947" s="6">
        <v>12</v>
      </c>
      <c r="C6947" s="6" t="s">
        <v>70</v>
      </c>
      <c r="D6947" s="6" t="s">
        <v>48</v>
      </c>
      <c r="E6947" s="6" t="s">
        <v>388</v>
      </c>
      <c r="F6947" s="6" t="str">
        <f>IF($M6947="PADD I","PADD 1",IF($M6947="PADD II","PADD 2",IF($M6947="PADD III","PADD 3",IF($M6947="PADD IV","PADD 4",IF($M6947="PADD V","PADD 5","")))))</f>
        <v>PADD 2</v>
      </c>
      <c r="G6947" s="6" t="str">
        <f>IF(AND($H6947="ATMOS DISTILLATION",ISNUMBER(SEARCH("VPS",$I6947))=FALSE,LEFT($I6947,6)&lt;&gt;"VACUUM"),"CDU",IF($H6947="FLUID CAT CRACKING","FCC",IF(OR($H6947="HYDROCRACKING",$H6947="RESID_HYDROCRACKING"),"Hydrocracker",IF($H6947="REFORMING","Reformer",""))))</f>
        <v>Hydrocracker</v>
      </c>
      <c r="H6947" s="6" t="s">
        <v>444</v>
      </c>
      <c r="I6947" s="6" t="s">
        <v>758</v>
      </c>
      <c r="J6947" s="6" t="s">
        <v>345</v>
      </c>
      <c r="K6947" s="10">
        <v>2.64</v>
      </c>
      <c r="L6947" s="10">
        <v>44</v>
      </c>
      <c r="M6947" s="6" t="s">
        <v>375</v>
      </c>
    </row>
    <row r="6948" spans="1:13">
      <c r="A6948" s="6">
        <v>2025</v>
      </c>
      <c r="B6948" s="6">
        <v>12</v>
      </c>
      <c r="C6948" s="6" t="s">
        <v>70</v>
      </c>
      <c r="D6948" s="6" t="s">
        <v>48</v>
      </c>
      <c r="E6948" s="6" t="s">
        <v>388</v>
      </c>
      <c r="F6948" s="6" t="str">
        <f>IF($M6948="PADD I","PADD 1",IF($M6948="PADD II","PADD 2",IF($M6948="PADD III","PADD 3",IF($M6948="PADD IV","PADD 4",IF($M6948="PADD V","PADD 5","")))))</f>
        <v>PADD 2</v>
      </c>
      <c r="G6948" s="6" t="str">
        <f>IF(AND($H6948="ATMOS DISTILLATION",ISNUMBER(SEARCH("VPS",$I6948))=FALSE,LEFT($I6948,6)&lt;&gt;"VACUUM"),"CDU",IF($H6948="FLUID CAT CRACKING","FCC",IF(OR($H6948="HYDROCRACKING",$H6948="RESID_HYDROCRACKING"),"Hydrocracker",IF($H6948="REFORMING","Reformer",""))))</f>
        <v>Reformer</v>
      </c>
      <c r="H6948" s="6" t="s">
        <v>421</v>
      </c>
      <c r="I6948" s="6" t="s">
        <v>721</v>
      </c>
      <c r="J6948" s="6" t="s">
        <v>345</v>
      </c>
      <c r="K6948" s="10">
        <v>2.58</v>
      </c>
      <c r="L6948" s="10">
        <v>43</v>
      </c>
      <c r="M6948" s="6" t="s">
        <v>375</v>
      </c>
    </row>
    <row r="6949" spans="1:13">
      <c r="A6949" s="6">
        <v>2025</v>
      </c>
      <c r="B6949" s="6">
        <v>12</v>
      </c>
      <c r="C6949" s="6" t="s">
        <v>70</v>
      </c>
      <c r="D6949" s="6" t="s">
        <v>48</v>
      </c>
      <c r="E6949" s="6" t="s">
        <v>388</v>
      </c>
      <c r="F6949" s="6" t="str">
        <f>IF($M6949="PADD I","PADD 1",IF($M6949="PADD II","PADD 2",IF($M6949="PADD III","PADD 3",IF($M6949="PADD IV","PADD 4",IF($M6949="PADD V","PADD 5","")))))</f>
        <v>PADD 2</v>
      </c>
      <c r="G6949" s="6">
        <f>IF(AND($H6949="ATMOS DISTILLATION",ISNUMBER(SEARCH("VPS",$I6949))=FALSE,LEFT($I6949,6)&lt;&gt;"VACUUM"),"CDU",IF($H6949="FLUID CAT CRACKING","FCC",IF(OR($H6949="HYDROCRACKING",$H6949="RESID_HYDROCRACKING"),"Hydrocracker",IF($H6949="REFORMING","Reformer",""))))</f>
        <v/>
      </c>
      <c r="H6949" s="6" t="s">
        <v>43</v>
      </c>
      <c r="I6949" s="6" t="s">
        <v>741</v>
      </c>
      <c r="J6949" s="6" t="s">
        <v>345</v>
      </c>
      <c r="K6949" s="10">
        <v>2.49</v>
      </c>
      <c r="L6949" s="10">
        <v>41.5</v>
      </c>
      <c r="M6949" s="6" t="s">
        <v>375</v>
      </c>
    </row>
    <row r="6950" spans="1:13">
      <c r="A6950" s="6">
        <v>2025</v>
      </c>
      <c r="B6950" s="6">
        <v>12</v>
      </c>
      <c r="C6950" s="6" t="s">
        <v>70</v>
      </c>
      <c r="D6950" s="6" t="s">
        <v>563</v>
      </c>
      <c r="E6950" s="6" t="s">
        <v>396</v>
      </c>
      <c r="F6950" s="6" t="str">
        <f>IF($M6950="PADD I","PADD 1",IF($M6950="PADD II","PADD 2",IF($M6950="PADD III","PADD 3",IF($M6950="PADD IV","PADD 4",IF($M6950="PADD V","PADD 5","")))))</f>
        <v>PADD 3</v>
      </c>
      <c r="G6950" s="6">
        <f>IF(AND($H6950="ATMOS DISTILLATION",ISNUMBER(SEARCH("VPS",$I6950))=FALSE,LEFT($I6950,6)&lt;&gt;"VACUUM"),"CDU",IF($H6950="FLUID CAT CRACKING","FCC",IF(OR($H6950="HYDROCRACKING",$H6950="RESID_HYDROCRACKING"),"Hydrocracker",IF($H6950="REFORMING","Reformer",""))))</f>
        <v/>
      </c>
      <c r="H6950" s="6" t="s">
        <v>43</v>
      </c>
      <c r="I6950" s="6" t="s">
        <v>564</v>
      </c>
      <c r="J6950" s="6" t="s">
        <v>345</v>
      </c>
      <c r="K6950" s="10">
        <v>2.454</v>
      </c>
      <c r="L6950" s="10">
        <v>40.9</v>
      </c>
      <c r="M6950" s="6" t="s">
        <v>371</v>
      </c>
    </row>
    <row r="6951" spans="1:13">
      <c r="A6951" s="6">
        <v>2025</v>
      </c>
      <c r="B6951" s="6">
        <v>12</v>
      </c>
      <c r="C6951" s="6" t="s">
        <v>70</v>
      </c>
      <c r="D6951" s="6" t="s">
        <v>1063</v>
      </c>
      <c r="E6951" s="6" t="s">
        <v>388</v>
      </c>
      <c r="F6951" s="6" t="str">
        <f>IF($M6951="PADD I","PADD 1",IF($M6951="PADD II","PADD 2",IF($M6951="PADD III","PADD 3",IF($M6951="PADD IV","PADD 4",IF($M6951="PADD V","PADD 5","")))))</f>
        <v>PADD 2</v>
      </c>
      <c r="G6951" s="6">
        <f>IF(AND($H6951="ATMOS DISTILLATION",ISNUMBER(SEARCH("VPS",$I6951))=FALSE,LEFT($I6951,6)&lt;&gt;"VACUUM"),"CDU",IF($H6951="FLUID CAT CRACKING","FCC",IF(OR($H6951="HYDROCRACKING",$H6951="RESID_HYDROCRACKING"),"Hydrocracker",IF($H6951="REFORMING","Reformer",""))))</f>
        <v/>
      </c>
      <c r="H6951" s="6" t="s">
        <v>43</v>
      </c>
      <c r="I6951" s="6" t="s">
        <v>689</v>
      </c>
      <c r="J6951" s="6" t="s">
        <v>345</v>
      </c>
      <c r="K6951" s="10">
        <v>2.45</v>
      </c>
      <c r="L6951" s="10">
        <v>7</v>
      </c>
      <c r="M6951" s="6" t="s">
        <v>375</v>
      </c>
    </row>
    <row r="6952" spans="1:13">
      <c r="A6952" s="6">
        <v>2025</v>
      </c>
      <c r="B6952" s="6">
        <v>12</v>
      </c>
      <c r="C6952" s="6" t="s">
        <v>70</v>
      </c>
      <c r="D6952" s="6" t="s">
        <v>801</v>
      </c>
      <c r="E6952" s="6" t="s">
        <v>779</v>
      </c>
      <c r="F6952" s="6" t="str">
        <f>IF($M6952="PADD I","PADD 1",IF($M6952="PADD II","PADD 2",IF($M6952="PADD III","PADD 3",IF($M6952="PADD IV","PADD 4",IF($M6952="PADD V","PADD 5","")))))</f>
        <v>PADD 2</v>
      </c>
      <c r="G6952" s="6">
        <f>IF(AND($H6952="ATMOS DISTILLATION",ISNUMBER(SEARCH("VPS",$I6952))=FALSE,LEFT($I6952,6)&lt;&gt;"VACUUM"),"CDU",IF($H6952="FLUID CAT CRACKING","FCC",IF(OR($H6952="HYDROCRACKING",$H6952="RESID_HYDROCRACKING"),"Hydrocracker",IF($H6952="REFORMING","Reformer",""))))</f>
        <v/>
      </c>
      <c r="H6952" s="6" t="s">
        <v>435</v>
      </c>
      <c r="I6952" s="6" t="s">
        <v>1179</v>
      </c>
      <c r="J6952" s="6" t="s">
        <v>345</v>
      </c>
      <c r="K6952" s="10">
        <v>2.4</v>
      </c>
      <c r="L6952" s="10">
        <v>24</v>
      </c>
      <c r="M6952" s="6" t="s">
        <v>375</v>
      </c>
    </row>
    <row r="6953" spans="1:13">
      <c r="A6953" s="6">
        <v>2025</v>
      </c>
      <c r="B6953" s="6">
        <v>12</v>
      </c>
      <c r="C6953" s="6" t="s">
        <v>70</v>
      </c>
      <c r="D6953" s="6" t="s">
        <v>500</v>
      </c>
      <c r="E6953" s="6" t="s">
        <v>388</v>
      </c>
      <c r="F6953" s="6" t="str">
        <f>IF($M6953="PADD I","PADD 1",IF($M6953="PADD II","PADD 2",IF($M6953="PADD III","PADD 3",IF($M6953="PADD IV","PADD 4",IF($M6953="PADD V","PADD 5","")))))</f>
        <v>PADD 2</v>
      </c>
      <c r="G6953" s="6">
        <f>IF(AND($H6953="ATMOS DISTILLATION",ISNUMBER(SEARCH("VPS",$I6953))=FALSE,LEFT($I6953,6)&lt;&gt;"VACUUM"),"CDU",IF($H6953="FLUID CAT CRACKING","FCC",IF(OR($H6953="HYDROCRACKING",$H6953="RESID_HYDROCRACKING"),"Hydrocracker",IF($H6953="REFORMING","Reformer",""))))</f>
        <v/>
      </c>
      <c r="H6953" s="6" t="s">
        <v>43</v>
      </c>
      <c r="I6953" s="6" t="s">
        <v>501</v>
      </c>
      <c r="J6953" s="6" t="s">
        <v>345</v>
      </c>
      <c r="K6953" s="10">
        <v>1.83</v>
      </c>
      <c r="L6953" s="10">
        <v>30.5</v>
      </c>
      <c r="M6953" s="6" t="s">
        <v>375</v>
      </c>
    </row>
    <row r="6954" spans="1:13">
      <c r="A6954" s="6">
        <v>2025</v>
      </c>
      <c r="B6954" s="6">
        <v>12</v>
      </c>
      <c r="C6954" s="6" t="s">
        <v>70</v>
      </c>
      <c r="D6954" s="6" t="s">
        <v>646</v>
      </c>
      <c r="E6954" s="6" t="s">
        <v>405</v>
      </c>
      <c r="F6954" s="6" t="str">
        <f>IF($M6954="PADD I","PADD 1",IF($M6954="PADD II","PADD 2",IF($M6954="PADD III","PADD 3",IF($M6954="PADD IV","PADD 4",IF($M6954="PADD V","PADD 5","")))))</f>
        <v>PADD 3</v>
      </c>
      <c r="G6954" s="6">
        <f>IF(AND($H6954="ATMOS DISTILLATION",ISNUMBER(SEARCH("VPS",$I6954))=FALSE,LEFT($I6954,6)&lt;&gt;"VACUUM"),"CDU",IF($H6954="FLUID CAT CRACKING","FCC",IF(OR($H6954="HYDROCRACKING",$H6954="RESID_HYDROCRACKING"),"Hydrocracker",IF($H6954="REFORMING","Reformer",""))))</f>
        <v/>
      </c>
      <c r="H6954" s="6" t="s">
        <v>43</v>
      </c>
      <c r="I6954" s="6" t="s">
        <v>843</v>
      </c>
      <c r="J6954" s="6" t="s">
        <v>345</v>
      </c>
      <c r="K6954" s="10">
        <v>1.8</v>
      </c>
      <c r="L6954" s="10">
        <v>30</v>
      </c>
      <c r="M6954" s="6" t="s">
        <v>371</v>
      </c>
    </row>
    <row r="6955" spans="1:13">
      <c r="A6955" s="6">
        <v>2025</v>
      </c>
      <c r="B6955" s="6">
        <v>12</v>
      </c>
      <c r="C6955" s="6" t="s">
        <v>70</v>
      </c>
      <c r="D6955" s="6" t="s">
        <v>799</v>
      </c>
      <c r="E6955" s="6" t="s">
        <v>391</v>
      </c>
      <c r="F6955" s="6" t="str">
        <f>IF($M6955="PADD I","PADD 1",IF($M6955="PADD II","PADD 2",IF($M6955="PADD III","PADD 3",IF($M6955="PADD IV","PADD 4",IF($M6955="PADD V","PADD 5","")))))</f>
        <v>PADD 4</v>
      </c>
      <c r="G6955" s="6">
        <f>IF(AND($H6955="ATMOS DISTILLATION",ISNUMBER(SEARCH("VPS",$I6955))=FALSE,LEFT($I6955,6)&lt;&gt;"VACUUM"),"CDU",IF($H6955="FLUID CAT CRACKING","FCC",IF(OR($H6955="HYDROCRACKING",$H6955="RESID_HYDROCRACKING"),"Hydrocracker",IF($H6955="REFORMING","Reformer",""))))</f>
        <v/>
      </c>
      <c r="H6955" s="6" t="s">
        <v>378</v>
      </c>
      <c r="I6955" s="6" t="s">
        <v>379</v>
      </c>
      <c r="J6955" s="6" t="s">
        <v>345</v>
      </c>
      <c r="K6955" s="10">
        <v>1.65</v>
      </c>
      <c r="L6955" s="10">
        <v>27.5</v>
      </c>
      <c r="M6955" s="6" t="s">
        <v>430</v>
      </c>
    </row>
    <row r="6956" spans="1:13">
      <c r="A6956" s="6">
        <v>2025</v>
      </c>
      <c r="B6956" s="6">
        <v>12</v>
      </c>
      <c r="C6956" s="6" t="s">
        <v>70</v>
      </c>
      <c r="D6956" s="6" t="s">
        <v>48</v>
      </c>
      <c r="E6956" s="6" t="s">
        <v>388</v>
      </c>
      <c r="F6956" s="6" t="str">
        <f>IF($M6956="PADD I","PADD 1",IF($M6956="PADD II","PADD 2",IF($M6956="PADD III","PADD 3",IF($M6956="PADD IV","PADD 4",IF($M6956="PADD V","PADD 5","")))))</f>
        <v>PADD 2</v>
      </c>
      <c r="G6956" s="6">
        <f>IF(AND($H6956="ATMOS DISTILLATION",ISNUMBER(SEARCH("VPS",$I6956))=FALSE,LEFT($I6956,6)&lt;&gt;"VACUUM"),"CDU",IF($H6956="FLUID CAT CRACKING","FCC",IF(OR($H6956="HYDROCRACKING",$H6956="RESID_HYDROCRACKING"),"Hydrocracker",IF($H6956="REFORMING","Reformer",""))))</f>
        <v/>
      </c>
      <c r="H6956" s="6" t="s">
        <v>43</v>
      </c>
      <c r="I6956" s="6" t="s">
        <v>761</v>
      </c>
      <c r="J6956" s="6" t="s">
        <v>345</v>
      </c>
      <c r="K6956" s="10">
        <v>1.44</v>
      </c>
      <c r="L6956" s="10">
        <v>24</v>
      </c>
      <c r="M6956" s="6" t="s">
        <v>375</v>
      </c>
    </row>
    <row r="6957" spans="1:13">
      <c r="A6957" s="6">
        <v>2025</v>
      </c>
      <c r="B6957" s="6">
        <v>12</v>
      </c>
      <c r="C6957" s="6" t="s">
        <v>70</v>
      </c>
      <c r="D6957" s="6" t="s">
        <v>48</v>
      </c>
      <c r="E6957" s="6" t="s">
        <v>388</v>
      </c>
      <c r="F6957" s="6" t="str">
        <f>IF($M6957="PADD I","PADD 1",IF($M6957="PADD II","PADD 2",IF($M6957="PADD III","PADD 3",IF($M6957="PADD IV","PADD 4",IF($M6957="PADD V","PADD 5","")))))</f>
        <v>PADD 2</v>
      </c>
      <c r="G6957" s="6" t="str">
        <f>IF(AND($H6957="ATMOS DISTILLATION",ISNUMBER(SEARCH("VPS",$I6957))=FALSE,LEFT($I6957,6)&lt;&gt;"VACUUM"),"CDU",IF($H6957="FLUID CAT CRACKING","FCC",IF(OR($H6957="HYDROCRACKING",$H6957="RESID_HYDROCRACKING"),"Hydrocracker",IF($H6957="REFORMING","Reformer",""))))</f>
        <v>Hydrocracker</v>
      </c>
      <c r="H6957" s="6" t="s">
        <v>444</v>
      </c>
      <c r="I6957" s="6" t="s">
        <v>758</v>
      </c>
      <c r="J6957" s="6" t="s">
        <v>345</v>
      </c>
      <c r="K6957" s="10">
        <v>1.32</v>
      </c>
      <c r="L6957" s="10">
        <v>44</v>
      </c>
      <c r="M6957" s="6" t="s">
        <v>375</v>
      </c>
    </row>
    <row r="6958" spans="1:13">
      <c r="A6958" s="6">
        <v>2025</v>
      </c>
      <c r="B6958" s="6">
        <v>12</v>
      </c>
      <c r="C6958" s="6" t="s">
        <v>70</v>
      </c>
      <c r="D6958" s="6" t="s">
        <v>48</v>
      </c>
      <c r="E6958" s="6" t="s">
        <v>388</v>
      </c>
      <c r="F6958" s="6" t="str">
        <f>IF($M6958="PADD I","PADD 1",IF($M6958="PADD II","PADD 2",IF($M6958="PADD III","PADD 3",IF($M6958="PADD IV","PADD 4",IF($M6958="PADD V","PADD 5","")))))</f>
        <v>PADD 2</v>
      </c>
      <c r="G6958" s="6">
        <f>IF(AND($H6958="ATMOS DISTILLATION",ISNUMBER(SEARCH("VPS",$I6958))=FALSE,LEFT($I6958,6)&lt;&gt;"VACUUM"),"CDU",IF($H6958="FLUID CAT CRACKING","FCC",IF(OR($H6958="HYDROCRACKING",$H6958="RESID_HYDROCRACKING"),"Hydrocracker",IF($H6958="REFORMING","Reformer",""))))</f>
        <v/>
      </c>
      <c r="H6958" s="6" t="s">
        <v>43</v>
      </c>
      <c r="I6958" s="6" t="s">
        <v>741</v>
      </c>
      <c r="J6958" s="6" t="s">
        <v>345</v>
      </c>
      <c r="K6958" s="10">
        <v>1.245</v>
      </c>
      <c r="L6958" s="10">
        <v>41.5</v>
      </c>
      <c r="M6958" s="6" t="s">
        <v>375</v>
      </c>
    </row>
    <row r="6959" spans="1:13">
      <c r="A6959" s="6">
        <v>2025</v>
      </c>
      <c r="B6959" s="6">
        <v>12</v>
      </c>
      <c r="C6959" s="6" t="s">
        <v>70</v>
      </c>
      <c r="D6959" s="6" t="s">
        <v>48</v>
      </c>
      <c r="E6959" s="6" t="s">
        <v>388</v>
      </c>
      <c r="F6959" s="6" t="str">
        <f>IF($M6959="PADD I","PADD 1",IF($M6959="PADD II","PADD 2",IF($M6959="PADD III","PADD 3",IF($M6959="PADD IV","PADD 4",IF($M6959="PADD V","PADD 5","")))))</f>
        <v>PADD 2</v>
      </c>
      <c r="G6959" s="6" t="str">
        <f>IF(AND($H6959="ATMOS DISTILLATION",ISNUMBER(SEARCH("VPS",$I6959))=FALSE,LEFT($I6959,6)&lt;&gt;"VACUUM"),"CDU",IF($H6959="FLUID CAT CRACKING","FCC",IF(OR($H6959="HYDROCRACKING",$H6959="RESID_HYDROCRACKING"),"Hydrocracker",IF($H6959="REFORMING","Reformer",""))))</f>
        <v>Reformer</v>
      </c>
      <c r="H6959" s="6" t="s">
        <v>421</v>
      </c>
      <c r="I6959" s="6" t="s">
        <v>721</v>
      </c>
      <c r="J6959" s="6" t="s">
        <v>345</v>
      </c>
      <c r="K6959" s="10">
        <v>1.17</v>
      </c>
      <c r="L6959" s="10">
        <v>39</v>
      </c>
      <c r="M6959" s="6" t="s">
        <v>375</v>
      </c>
    </row>
    <row r="6960" spans="1:13">
      <c r="A6960" s="6">
        <v>2025</v>
      </c>
      <c r="B6960" s="6">
        <v>12</v>
      </c>
      <c r="C6960" s="6" t="s">
        <v>70</v>
      </c>
      <c r="D6960" s="6" t="s">
        <v>632</v>
      </c>
      <c r="E6960" s="6" t="s">
        <v>633</v>
      </c>
      <c r="F6960" s="6" t="str">
        <f>IF($M6960="PADD I","PADD 1",IF($M6960="PADD II","PADD 2",IF($M6960="PADD III","PADD 3",IF($M6960="PADD IV","PADD 4",IF($M6960="PADD V","PADD 5","")))))</f>
        <v>PADD 4</v>
      </c>
      <c r="G6960" s="6" t="str">
        <f>IF(AND($H6960="ATMOS DISTILLATION",ISNUMBER(SEARCH("VPS",$I6960))=FALSE,LEFT($I6960,6)&lt;&gt;"VACUUM"),"CDU",IF($H6960="FLUID CAT CRACKING","FCC",IF(OR($H6960="HYDROCRACKING",$H6960="RESID_HYDROCRACKING"),"Hydrocracker",IF($H6960="REFORMING","Reformer",""))))</f>
        <v>Reformer</v>
      </c>
      <c r="H6960" s="6" t="s">
        <v>421</v>
      </c>
      <c r="I6960" s="6" t="s">
        <v>1070</v>
      </c>
      <c r="J6960" s="6" t="s">
        <v>345</v>
      </c>
      <c r="K6960" s="10">
        <v>1.105</v>
      </c>
      <c r="L6960" s="10">
        <v>8.5</v>
      </c>
      <c r="M6960" s="6" t="s">
        <v>430</v>
      </c>
    </row>
    <row r="6961" spans="1:13">
      <c r="A6961" s="6">
        <v>2025</v>
      </c>
      <c r="B6961" s="6">
        <v>12</v>
      </c>
      <c r="C6961" s="6" t="s">
        <v>70</v>
      </c>
      <c r="D6961" s="6" t="s">
        <v>48</v>
      </c>
      <c r="E6961" s="6" t="s">
        <v>388</v>
      </c>
      <c r="F6961" s="6" t="str">
        <f>IF($M6961="PADD I","PADD 1",IF($M6961="PADD II","PADD 2",IF($M6961="PADD III","PADD 3",IF($M6961="PADD IV","PADD 4",IF($M6961="PADD V","PADD 5","")))))</f>
        <v>PADD 2</v>
      </c>
      <c r="G6961" s="6">
        <f>IF(AND($H6961="ATMOS DISTILLATION",ISNUMBER(SEARCH("VPS",$I6961))=FALSE,LEFT($I6961,6)&lt;&gt;"VACUUM"),"CDU",IF($H6961="FLUID CAT CRACKING","FCC",IF(OR($H6961="HYDROCRACKING",$H6961="RESID_HYDROCRACKING"),"Hydrocracker",IF($H6961="REFORMING","Reformer",""))))</f>
        <v/>
      </c>
      <c r="H6961" s="6" t="s">
        <v>637</v>
      </c>
      <c r="I6961" s="6" t="s">
        <v>604</v>
      </c>
      <c r="J6961" s="6" t="s">
        <v>345</v>
      </c>
      <c r="K6961" s="10">
        <v>0.96</v>
      </c>
      <c r="L6961" s="10">
        <v>16</v>
      </c>
      <c r="M6961" s="6" t="s">
        <v>375</v>
      </c>
    </row>
    <row r="6962" spans="1:13">
      <c r="A6962" s="6">
        <v>2025</v>
      </c>
      <c r="B6962" s="6">
        <v>12</v>
      </c>
      <c r="C6962" s="6" t="s">
        <v>70</v>
      </c>
      <c r="D6962" s="6" t="s">
        <v>48</v>
      </c>
      <c r="E6962" s="6" t="s">
        <v>388</v>
      </c>
      <c r="F6962" s="6" t="str">
        <f>IF($M6962="PADD I","PADD 1",IF($M6962="PADD II","PADD 2",IF($M6962="PADD III","PADD 3",IF($M6962="PADD IV","PADD 4",IF($M6962="PADD V","PADD 5","")))))</f>
        <v>PADD 2</v>
      </c>
      <c r="G6962" s="6">
        <f>IF(AND($H6962="ATMOS DISTILLATION",ISNUMBER(SEARCH("VPS",$I6962))=FALSE,LEFT($I6962,6)&lt;&gt;"VACUUM"),"CDU",IF($H6962="FLUID CAT CRACKING","FCC",IF(OR($H6962="HYDROCRACKING",$H6962="RESID_HYDROCRACKING"),"Hydrocracker",IF($H6962="REFORMING","Reformer",""))))</f>
        <v/>
      </c>
      <c r="H6962" s="6" t="s">
        <v>460</v>
      </c>
      <c r="I6962" s="6" t="s">
        <v>616</v>
      </c>
      <c r="J6962" s="6" t="s">
        <v>345</v>
      </c>
      <c r="K6962" s="10">
        <v>0.75</v>
      </c>
      <c r="L6962" s="10">
        <v>12.5</v>
      </c>
      <c r="M6962" s="6" t="s">
        <v>375</v>
      </c>
    </row>
    <row r="6963" spans="1:13">
      <c r="A6963" s="6">
        <v>2025</v>
      </c>
      <c r="B6963" s="6">
        <v>12</v>
      </c>
      <c r="C6963" s="6" t="s">
        <v>70</v>
      </c>
      <c r="D6963" s="6" t="s">
        <v>48</v>
      </c>
      <c r="E6963" s="6" t="s">
        <v>388</v>
      </c>
      <c r="F6963" s="6" t="str">
        <f>IF($M6963="PADD I","PADD 1",IF($M6963="PADD II","PADD 2",IF($M6963="PADD III","PADD 3",IF($M6963="PADD IV","PADD 4",IF($M6963="PADD V","PADD 5","")))))</f>
        <v>PADD 2</v>
      </c>
      <c r="G6963" s="6">
        <f>IF(AND($H6963="ATMOS DISTILLATION",ISNUMBER(SEARCH("VPS",$I6963))=FALSE,LEFT($I6963,6)&lt;&gt;"VACUUM"),"CDU",IF($H6963="FLUID CAT CRACKING","FCC",IF(OR($H6963="HYDROCRACKING",$H6963="RESID_HYDROCRACKING"),"Hydrocracker",IF($H6963="REFORMING","Reformer",""))))</f>
        <v/>
      </c>
      <c r="H6963" s="6" t="s">
        <v>435</v>
      </c>
      <c r="I6963" s="6" t="s">
        <v>631</v>
      </c>
      <c r="J6963" s="6" t="s">
        <v>345</v>
      </c>
      <c r="K6963" s="10">
        <v>0.72</v>
      </c>
      <c r="L6963" s="10">
        <v>12</v>
      </c>
      <c r="M6963" s="6" t="s">
        <v>375</v>
      </c>
    </row>
    <row r="6964" spans="1:13">
      <c r="A6964" s="6">
        <v>2025</v>
      </c>
      <c r="B6964" s="6">
        <v>12</v>
      </c>
      <c r="C6964" s="6" t="s">
        <v>70</v>
      </c>
      <c r="D6964" s="6" t="s">
        <v>48</v>
      </c>
      <c r="E6964" s="6" t="s">
        <v>388</v>
      </c>
      <c r="F6964" s="6" t="str">
        <f>IF($M6964="PADD I","PADD 1",IF($M6964="PADD II","PADD 2",IF($M6964="PADD III","PADD 3",IF($M6964="PADD IV","PADD 4",IF($M6964="PADD V","PADD 5","")))))</f>
        <v>PADD 2</v>
      </c>
      <c r="G6964" s="6">
        <f>IF(AND($H6964="ATMOS DISTILLATION",ISNUMBER(SEARCH("VPS",$I6964))=FALSE,LEFT($I6964,6)&lt;&gt;"VACUUM"),"CDU",IF($H6964="FLUID CAT CRACKING","FCC",IF(OR($H6964="HYDROCRACKING",$H6964="RESID_HYDROCRACKING"),"Hydrocracker",IF($H6964="REFORMING","Reformer",""))))</f>
        <v/>
      </c>
      <c r="H6964" s="6" t="s">
        <v>43</v>
      </c>
      <c r="I6964" s="6" t="s">
        <v>761</v>
      </c>
      <c r="J6964" s="6" t="s">
        <v>345</v>
      </c>
      <c r="K6964" s="10">
        <v>0.72</v>
      </c>
      <c r="L6964" s="10">
        <v>24</v>
      </c>
      <c r="M6964" s="6" t="s">
        <v>375</v>
      </c>
    </row>
    <row r="6965" spans="1:13">
      <c r="A6965" s="6">
        <v>2025</v>
      </c>
      <c r="B6965" s="6">
        <v>12</v>
      </c>
      <c r="C6965" s="6" t="s">
        <v>70</v>
      </c>
      <c r="D6965" s="6" t="s">
        <v>500</v>
      </c>
      <c r="E6965" s="6" t="s">
        <v>388</v>
      </c>
      <c r="F6965" s="6" t="str">
        <f>IF($M6965="PADD I","PADD 1",IF($M6965="PADD II","PADD 2",IF($M6965="PADD III","PADD 3",IF($M6965="PADD IV","PADD 4",IF($M6965="PADD V","PADD 5","")))))</f>
        <v>PADD 2</v>
      </c>
      <c r="G6965" s="6">
        <f>IF(AND($H6965="ATMOS DISTILLATION",ISNUMBER(SEARCH("VPS",$I6965))=FALSE,LEFT($I6965,6)&lt;&gt;"VACUUM"),"CDU",IF($H6965="FLUID CAT CRACKING","FCC",IF(OR($H6965="HYDROCRACKING",$H6965="RESID_HYDROCRACKING"),"Hydrocracker",IF($H6965="REFORMING","Reformer",""))))</f>
        <v/>
      </c>
      <c r="H6965" s="6" t="s">
        <v>43</v>
      </c>
      <c r="I6965" s="6" t="s">
        <v>520</v>
      </c>
      <c r="J6965" s="6" t="s">
        <v>345</v>
      </c>
      <c r="K6965" s="10">
        <v>0.705</v>
      </c>
      <c r="L6965" s="10">
        <v>23.5</v>
      </c>
      <c r="M6965" s="6" t="s">
        <v>375</v>
      </c>
    </row>
    <row r="6966" spans="1:13">
      <c r="A6966" s="6">
        <v>2025</v>
      </c>
      <c r="B6966" s="6">
        <v>12</v>
      </c>
      <c r="C6966" s="6" t="s">
        <v>70</v>
      </c>
      <c r="D6966" s="6" t="s">
        <v>326</v>
      </c>
      <c r="E6966" s="6" t="s">
        <v>385</v>
      </c>
      <c r="F6966" s="6" t="str">
        <f>IF($M6966="PADD I","PADD 1",IF($M6966="PADD II","PADD 2",IF($M6966="PADD III","PADD 3",IF($M6966="PADD IV","PADD 4",IF($M6966="PADD V","PADD 5","")))))</f>
        <v>PADD 5</v>
      </c>
      <c r="G6966" s="6">
        <f>IF(AND($H6966="ATMOS DISTILLATION",ISNUMBER(SEARCH("VPS",$I6966))=FALSE,LEFT($I6966,6)&lt;&gt;"VACUUM"),"CDU",IF($H6966="FLUID CAT CRACKING","FCC",IF(OR($H6966="HYDROCRACKING",$H6966="RESID_HYDROCRACKING"),"Hydrocracker",IF($H6966="REFORMING","Reformer",""))))</f>
        <v/>
      </c>
      <c r="H6966" s="6" t="s">
        <v>568</v>
      </c>
      <c r="I6966" s="6" t="s">
        <v>604</v>
      </c>
      <c r="J6966" s="6" t="s">
        <v>345</v>
      </c>
      <c r="K6966" s="10">
        <v>0.53</v>
      </c>
      <c r="L6966" s="10">
        <v>0.53</v>
      </c>
      <c r="M6966" s="6" t="s">
        <v>386</v>
      </c>
    </row>
    <row r="6967" spans="1:13">
      <c r="A6967" s="6">
        <v>2025</v>
      </c>
      <c r="B6967" s="6">
        <v>12</v>
      </c>
      <c r="C6967" s="6" t="s">
        <v>70</v>
      </c>
      <c r="D6967" s="6" t="s">
        <v>878</v>
      </c>
      <c r="E6967" s="6" t="s">
        <v>452</v>
      </c>
      <c r="F6967" s="6" t="str">
        <f>IF($M6967="PADD I","PADD 1",IF($M6967="PADD II","PADD 2",IF($M6967="PADD III","PADD 3",IF($M6967="PADD IV","PADD 4",IF($M6967="PADD V","PADD 5","")))))</f>
        <v>PADD 2</v>
      </c>
      <c r="G6967" s="6">
        <f>IF(AND($H6967="ATMOS DISTILLATION",ISNUMBER(SEARCH("VPS",$I6967))=FALSE,LEFT($I6967,6)&lt;&gt;"VACUUM"),"CDU",IF($H6967="FLUID CAT CRACKING","FCC",IF(OR($H6967="HYDROCRACKING",$H6967="RESID_HYDROCRACKING"),"Hydrocracker",IF($H6967="REFORMING","Reformer",""))))</f>
        <v/>
      </c>
      <c r="H6967" s="6" t="s">
        <v>435</v>
      </c>
      <c r="I6967" s="6" t="s">
        <v>441</v>
      </c>
      <c r="J6967" s="6" t="s">
        <v>345</v>
      </c>
      <c r="K6967" s="10">
        <v>0.51</v>
      </c>
      <c r="L6967" s="10">
        <v>8.5</v>
      </c>
      <c r="M6967" s="6" t="s">
        <v>375</v>
      </c>
    </row>
    <row r="6968" spans="1:13">
      <c r="A6968" s="6">
        <v>2025</v>
      </c>
      <c r="B6968" s="6">
        <v>12</v>
      </c>
      <c r="C6968" s="6" t="s">
        <v>70</v>
      </c>
      <c r="D6968" s="6" t="s">
        <v>48</v>
      </c>
      <c r="E6968" s="6" t="s">
        <v>388</v>
      </c>
      <c r="F6968" s="6" t="str">
        <f>IF($M6968="PADD I","PADD 1",IF($M6968="PADD II","PADD 2",IF($M6968="PADD III","PADD 3",IF($M6968="PADD IV","PADD 4",IF($M6968="PADD V","PADD 5","")))))</f>
        <v>PADD 2</v>
      </c>
      <c r="G6968" s="6">
        <f>IF(AND($H6968="ATMOS DISTILLATION",ISNUMBER(SEARCH("VPS",$I6968))=FALSE,LEFT($I6968,6)&lt;&gt;"VACUUM"),"CDU",IF($H6968="FLUID CAT CRACKING","FCC",IF(OR($H6968="HYDROCRACKING",$H6968="RESID_HYDROCRACKING"),"Hydrocracker",IF($H6968="REFORMING","Reformer",""))))</f>
        <v/>
      </c>
      <c r="H6968" s="6" t="s">
        <v>435</v>
      </c>
      <c r="I6968" s="6" t="s">
        <v>631</v>
      </c>
      <c r="J6968" s="6" t="s">
        <v>345</v>
      </c>
      <c r="K6968" s="10">
        <v>0.36</v>
      </c>
      <c r="L6968" s="10">
        <v>12</v>
      </c>
      <c r="M6968" s="6" t="s">
        <v>375</v>
      </c>
    </row>
    <row r="6969" spans="1:13">
      <c r="A6969" s="6">
        <v>2025</v>
      </c>
      <c r="B6969" s="6">
        <v>12</v>
      </c>
      <c r="C6969" s="6" t="s">
        <v>70</v>
      </c>
      <c r="D6969" s="6" t="s">
        <v>662</v>
      </c>
      <c r="E6969" s="6" t="s">
        <v>552</v>
      </c>
      <c r="F6969" s="6" t="str">
        <f>IF($M6969="PADD I","PADD 1",IF($M6969="PADD II","PADD 2",IF($M6969="PADD III","PADD 3",IF($M6969="PADD IV","PADD 4",IF($M6969="PADD V","PADD 5","")))))</f>
        <v>PADD 3</v>
      </c>
      <c r="G6969" s="6">
        <f>IF(AND($H6969="ATMOS DISTILLATION",ISNUMBER(SEARCH("VPS",$I6969))=FALSE,LEFT($I6969,6)&lt;&gt;"VACUUM"),"CDU",IF($H6969="FLUID CAT CRACKING","FCC",IF(OR($H6969="HYDROCRACKING",$H6969="RESID_HYDROCRACKING"),"Hydrocracker",IF($H6969="REFORMING","Reformer",""))))</f>
        <v/>
      </c>
      <c r="H6969" s="6" t="s">
        <v>460</v>
      </c>
      <c r="I6969" s="6" t="s">
        <v>616</v>
      </c>
      <c r="J6969" s="6" t="s">
        <v>345</v>
      </c>
      <c r="K6969" s="10">
        <v>0.3</v>
      </c>
      <c r="L6969" s="10">
        <v>5</v>
      </c>
      <c r="M6969" s="6" t="s">
        <v>371</v>
      </c>
    </row>
    <row r="6970" spans="1:13">
      <c r="A6970" s="6">
        <v>2026</v>
      </c>
      <c r="B6970" s="6">
        <v>1</v>
      </c>
      <c r="C6970" s="6" t="s">
        <v>59</v>
      </c>
      <c r="D6970" s="6" t="s">
        <v>387</v>
      </c>
      <c r="E6970" s="6" t="s">
        <v>388</v>
      </c>
      <c r="F6970" s="6" t="str">
        <f>IF($M6970="PADD I","PADD 1",IF($M6970="PADD II","PADD 2",IF($M6970="PADD III","PADD 3",IF($M6970="PADD IV","PADD 4",IF($M6970="PADD V","PADD 5","")))))</f>
        <v>PADD 3</v>
      </c>
      <c r="G6970" s="6" t="str">
        <f>IF(AND($H6970="ATMOS DISTILLATION",ISNUMBER(SEARCH("VPS",$I6970))=FALSE,LEFT($I6970,6)&lt;&gt;"VACUUM"),"CDU",IF($H6970="FLUID CAT CRACKING","FCC",IF(OR($H6970="HYDROCRACKING",$H6970="RESID_HYDROCRACKING"),"Hydrocracker",IF($H6970="REFORMING","Reformer",""))))</f>
        <v>FCC</v>
      </c>
      <c r="H6970" s="6" t="s">
        <v>376</v>
      </c>
      <c r="I6970" s="6" t="s">
        <v>472</v>
      </c>
      <c r="J6970" s="6" t="s">
        <v>349</v>
      </c>
      <c r="K6970" s="10">
        <v>95.2</v>
      </c>
      <c r="L6970" s="10">
        <v>140</v>
      </c>
      <c r="M6970" s="6" t="s">
        <v>371</v>
      </c>
    </row>
    <row r="6971" spans="1:13">
      <c r="A6971" s="6">
        <v>2026</v>
      </c>
      <c r="B6971" s="6">
        <v>1</v>
      </c>
      <c r="C6971" s="6" t="s">
        <v>59</v>
      </c>
      <c r="D6971" s="6" t="s">
        <v>326</v>
      </c>
      <c r="E6971" s="6" t="s">
        <v>385</v>
      </c>
      <c r="F6971" s="6" t="str">
        <f>IF($M6971="PADD I","PADD 1",IF($M6971="PADD II","PADD 2",IF($M6971="PADD III","PADD 3",IF($M6971="PADD IV","PADD 4",IF($M6971="PADD V","PADD 5","")))))</f>
        <v>PADD 5</v>
      </c>
      <c r="G6971" s="6" t="str">
        <f>IF(AND($H6971="ATMOS DISTILLATION",ISNUMBER(SEARCH("VPS",$I6971))=FALSE,LEFT($I6971,6)&lt;&gt;"VACUUM"),"CDU",IF($H6971="FLUID CAT CRACKING","FCC",IF(OR($H6971="HYDROCRACKING",$H6971="RESID_HYDROCRACKING"),"Hydrocracker",IF($H6971="REFORMING","Reformer",""))))</f>
        <v>FCC</v>
      </c>
      <c r="H6971" s="6" t="s">
        <v>376</v>
      </c>
      <c r="I6971" s="6" t="s">
        <v>504</v>
      </c>
      <c r="J6971" s="6" t="s">
        <v>345</v>
      </c>
      <c r="K6971" s="10">
        <v>70</v>
      </c>
      <c r="L6971" s="10">
        <v>70</v>
      </c>
      <c r="M6971" s="6" t="s">
        <v>386</v>
      </c>
    </row>
    <row r="6972" spans="1:13">
      <c r="A6972" s="6">
        <v>2026</v>
      </c>
      <c r="B6972" s="6">
        <v>1</v>
      </c>
      <c r="C6972" s="6" t="s">
        <v>59</v>
      </c>
      <c r="D6972" s="6" t="s">
        <v>547</v>
      </c>
      <c r="E6972" s="6" t="s">
        <v>391</v>
      </c>
      <c r="F6972" s="6" t="str">
        <f>IF($M6972="PADD I","PADD 1",IF($M6972="PADD II","PADD 2",IF($M6972="PADD III","PADD 3",IF($M6972="PADD IV","PADD 4",IF($M6972="PADD V","PADD 5","")))))</f>
        <v>PADD 5</v>
      </c>
      <c r="G6972" s="6">
        <f>IF(AND($H6972="ATMOS DISTILLATION",ISNUMBER(SEARCH("VPS",$I6972))=FALSE,LEFT($I6972,6)&lt;&gt;"VACUUM"),"CDU",IF($H6972="FLUID CAT CRACKING","FCC",IF(OR($H6972="HYDROCRACKING",$H6972="RESID_HYDROCRACKING"),"Hydrocracker",IF($H6972="REFORMING","Reformer",""))))</f>
        <v/>
      </c>
      <c r="H6972" s="6" t="s">
        <v>43</v>
      </c>
      <c r="I6972" s="6" t="s">
        <v>930</v>
      </c>
      <c r="J6972" s="6" t="s">
        <v>349</v>
      </c>
      <c r="K6972" s="10">
        <v>62.4</v>
      </c>
      <c r="L6972" s="10">
        <v>96</v>
      </c>
      <c r="M6972" s="6" t="s">
        <v>386</v>
      </c>
    </row>
    <row r="6973" spans="1:13">
      <c r="A6973" s="6">
        <v>2026</v>
      </c>
      <c r="B6973" s="6">
        <v>1</v>
      </c>
      <c r="C6973" s="6" t="s">
        <v>59</v>
      </c>
      <c r="D6973" s="6" t="s">
        <v>326</v>
      </c>
      <c r="E6973" s="6" t="s">
        <v>385</v>
      </c>
      <c r="F6973" s="6" t="str">
        <f>IF($M6973="PADD I","PADD 1",IF($M6973="PADD II","PADD 2",IF($M6973="PADD III","PADD 3",IF($M6973="PADD IV","PADD 4",IF($M6973="PADD V","PADD 5","")))))</f>
        <v>PADD 5</v>
      </c>
      <c r="G6973" s="6" t="str">
        <f>IF(AND($H6973="ATMOS DISTILLATION",ISNUMBER(SEARCH("VPS",$I6973))=FALSE,LEFT($I6973,6)&lt;&gt;"VACUUM"),"CDU",IF($H6973="FLUID CAT CRACKING","FCC",IF(OR($H6973="HYDROCRACKING",$H6973="RESID_HYDROCRACKING"),"Hydrocracker",IF($H6973="REFORMING","Reformer",""))))</f>
        <v>CDU</v>
      </c>
      <c r="H6973" s="6" t="s">
        <v>38</v>
      </c>
      <c r="I6973" s="6" t="s">
        <v>93</v>
      </c>
      <c r="J6973" s="6" t="s">
        <v>345</v>
      </c>
      <c r="K6973" s="10">
        <v>60</v>
      </c>
      <c r="L6973" s="10">
        <v>60</v>
      </c>
      <c r="M6973" s="6" t="s">
        <v>386</v>
      </c>
    </row>
    <row r="6974" spans="1:13">
      <c r="A6974" s="6">
        <v>2026</v>
      </c>
      <c r="B6974" s="6">
        <v>1</v>
      </c>
      <c r="C6974" s="6" t="s">
        <v>59</v>
      </c>
      <c r="D6974" s="6" t="s">
        <v>51</v>
      </c>
      <c r="E6974" s="6" t="s">
        <v>391</v>
      </c>
      <c r="F6974" s="6" t="str">
        <f>IF($M6974="PADD I","PADD 1",IF($M6974="PADD II","PADD 2",IF($M6974="PADD III","PADD 3",IF($M6974="PADD IV","PADD 4",IF($M6974="PADD V","PADD 5","")))))</f>
        <v>PADD 5</v>
      </c>
      <c r="G6974" s="6">
        <f>IF(AND($H6974="ATMOS DISTILLATION",ISNUMBER(SEARCH("VPS",$I6974))=FALSE,LEFT($I6974,6)&lt;&gt;"VACUUM"),"CDU",IF($H6974="FLUID CAT CRACKING","FCC",IF(OR($H6974="HYDROCRACKING",$H6974="RESID_HYDROCRACKING"),"Hydrocracker",IF($H6974="REFORMING","Reformer",""))))</f>
        <v/>
      </c>
      <c r="H6974" s="6" t="s">
        <v>378</v>
      </c>
      <c r="I6974" s="6" t="s">
        <v>1035</v>
      </c>
      <c r="J6974" s="6" t="s">
        <v>345</v>
      </c>
      <c r="K6974" s="10">
        <v>56.35</v>
      </c>
      <c r="L6974" s="10">
        <v>56.35</v>
      </c>
      <c r="M6974" s="6" t="s">
        <v>386</v>
      </c>
    </row>
    <row r="6975" spans="1:13">
      <c r="A6975" s="6">
        <v>2026</v>
      </c>
      <c r="B6975" s="6">
        <v>1</v>
      </c>
      <c r="C6975" s="6" t="s">
        <v>59</v>
      </c>
      <c r="D6975" s="6" t="s">
        <v>324</v>
      </c>
      <c r="E6975" s="6" t="s">
        <v>388</v>
      </c>
      <c r="F6975" s="6" t="str">
        <f>IF($M6975="PADD I","PADD 1",IF($M6975="PADD II","PADD 2",IF($M6975="PADD III","PADD 3",IF($M6975="PADD IV","PADD 4",IF($M6975="PADD V","PADD 5","")))))</f>
        <v>PADD 3</v>
      </c>
      <c r="G6975" s="6" t="str">
        <f>IF(AND($H6975="ATMOS DISTILLATION",ISNUMBER(SEARCH("VPS",$I6975))=FALSE,LEFT($I6975,6)&lt;&gt;"VACUUM"),"CDU",IF($H6975="FLUID CAT CRACKING","FCC",IF(OR($H6975="HYDROCRACKING",$H6975="RESID_HYDROCRACKING"),"Hydrocracker",IF($H6975="REFORMING","Reformer",""))))</f>
        <v>CDU</v>
      </c>
      <c r="H6975" s="6" t="s">
        <v>38</v>
      </c>
      <c r="I6975" s="6" t="s">
        <v>99</v>
      </c>
      <c r="J6975" s="6" t="s">
        <v>349</v>
      </c>
      <c r="K6975" s="10">
        <v>55</v>
      </c>
      <c r="L6975" s="10">
        <v>100</v>
      </c>
      <c r="M6975" s="6" t="s">
        <v>371</v>
      </c>
    </row>
    <row r="6976" spans="1:13">
      <c r="A6976" s="6">
        <v>2026</v>
      </c>
      <c r="B6976" s="6">
        <v>1</v>
      </c>
      <c r="C6976" s="6" t="s">
        <v>59</v>
      </c>
      <c r="D6976" s="6" t="s">
        <v>468</v>
      </c>
      <c r="E6976" s="6" t="s">
        <v>369</v>
      </c>
      <c r="F6976" s="6" t="str">
        <f>IF($M6976="PADD I","PADD 1",IF($M6976="PADD II","PADD 2",IF($M6976="PADD III","PADD 3",IF($M6976="PADD IV","PADD 4",IF($M6976="PADD V","PADD 5","")))))</f>
        <v>PADD 3</v>
      </c>
      <c r="G6976" s="6">
        <f>IF(AND($H6976="ATMOS DISTILLATION",ISNUMBER(SEARCH("VPS",$I6976))=FALSE,LEFT($I6976,6)&lt;&gt;"VACUUM"),"CDU",IF($H6976="FLUID CAT CRACKING","FCC",IF(OR($H6976="HYDROCRACKING",$H6976="RESID_HYDROCRACKING"),"Hydrocracker",IF($H6976="REFORMING","Reformer",""))))</f>
        <v/>
      </c>
      <c r="H6976" s="6" t="s">
        <v>43</v>
      </c>
      <c r="I6976" s="6" t="s">
        <v>849</v>
      </c>
      <c r="J6976" s="6" t="s">
        <v>349</v>
      </c>
      <c r="K6976" s="10">
        <v>49.64</v>
      </c>
      <c r="L6976" s="10">
        <v>73</v>
      </c>
      <c r="M6976" s="6" t="s">
        <v>371</v>
      </c>
    </row>
    <row r="6977" spans="1:13">
      <c r="A6977" s="6">
        <v>2026</v>
      </c>
      <c r="B6977" s="6">
        <v>1</v>
      </c>
      <c r="C6977" s="6" t="s">
        <v>59</v>
      </c>
      <c r="D6977" s="6" t="s">
        <v>324</v>
      </c>
      <c r="E6977" s="6" t="s">
        <v>388</v>
      </c>
      <c r="F6977" s="6" t="str">
        <f>IF($M6977="PADD I","PADD 1",IF($M6977="PADD II","PADD 2",IF($M6977="PADD III","PADD 3",IF($M6977="PADD IV","PADD 4",IF($M6977="PADD V","PADD 5","")))))</f>
        <v>PADD 3</v>
      </c>
      <c r="G6977" s="6">
        <f>IF(AND($H6977="ATMOS DISTILLATION",ISNUMBER(SEARCH("VPS",$I6977))=FALSE,LEFT($I6977,6)&lt;&gt;"VACUUM"),"CDU",IF($H6977="FLUID CAT CRACKING","FCC",IF(OR($H6977="HYDROCRACKING",$H6977="RESID_HYDROCRACKING"),"Hydrocracker",IF($H6977="REFORMING","Reformer",""))))</f>
        <v/>
      </c>
      <c r="H6977" s="6" t="s">
        <v>378</v>
      </c>
      <c r="I6977" s="6" t="s">
        <v>1092</v>
      </c>
      <c r="J6977" s="6" t="s">
        <v>349</v>
      </c>
      <c r="K6977" s="10">
        <v>48.125</v>
      </c>
      <c r="L6977" s="10">
        <v>137.5</v>
      </c>
      <c r="M6977" s="6" t="s">
        <v>371</v>
      </c>
    </row>
    <row r="6978" spans="1:13">
      <c r="A6978" s="6">
        <v>2026</v>
      </c>
      <c r="B6978" s="6">
        <v>1</v>
      </c>
      <c r="C6978" s="6" t="s">
        <v>59</v>
      </c>
      <c r="D6978" s="6" t="s">
        <v>547</v>
      </c>
      <c r="E6978" s="6" t="s">
        <v>391</v>
      </c>
      <c r="F6978" s="6" t="str">
        <f>IF($M6978="PADD I","PADD 1",IF($M6978="PADD II","PADD 2",IF($M6978="PADD III","PADD 3",IF($M6978="PADD IV","PADD 4",IF($M6978="PADD V","PADD 5","")))))</f>
        <v>PADD 5</v>
      </c>
      <c r="G6978" s="6">
        <f>IF(AND($H6978="ATMOS DISTILLATION",ISNUMBER(SEARCH("VPS",$I6978))=FALSE,LEFT($I6978,6)&lt;&gt;"VACUUM"),"CDU",IF($H6978="FLUID CAT CRACKING","FCC",IF(OR($H6978="HYDROCRACKING",$H6978="RESID_HYDROCRACKING"),"Hydrocracker",IF($H6978="REFORMING","Reformer",""))))</f>
        <v/>
      </c>
      <c r="H6978" s="6" t="s">
        <v>43</v>
      </c>
      <c r="I6978" s="6" t="s">
        <v>929</v>
      </c>
      <c r="J6978" s="6" t="s">
        <v>349</v>
      </c>
      <c r="K6978" s="10">
        <v>46.008</v>
      </c>
      <c r="L6978" s="10">
        <v>64.8</v>
      </c>
      <c r="M6978" s="6" t="s">
        <v>386</v>
      </c>
    </row>
    <row r="6979" spans="1:13">
      <c r="A6979" s="6">
        <v>2026</v>
      </c>
      <c r="B6979" s="6">
        <v>1</v>
      </c>
      <c r="C6979" s="6" t="s">
        <v>59</v>
      </c>
      <c r="D6979" s="6" t="s">
        <v>748</v>
      </c>
      <c r="E6979" s="6" t="s">
        <v>388</v>
      </c>
      <c r="F6979" s="6" t="str">
        <f>IF($M6979="PADD I","PADD 1",IF($M6979="PADD II","PADD 2",IF($M6979="PADD III","PADD 3",IF($M6979="PADD IV","PADD 4",IF($M6979="PADD V","PADD 5","")))))</f>
        <v>PADD 3</v>
      </c>
      <c r="G6979" s="6" t="str">
        <f>IF(AND($H6979="ATMOS DISTILLATION",ISNUMBER(SEARCH("VPS",$I6979))=FALSE,LEFT($I6979,6)&lt;&gt;"VACUUM"),"CDU",IF($H6979="FLUID CAT CRACKING","FCC",IF(OR($H6979="HYDROCRACKING",$H6979="RESID_HYDROCRACKING"),"Hydrocracker",IF($H6979="REFORMING","Reformer",""))))</f>
        <v>CDU</v>
      </c>
      <c r="H6979" s="6" t="s">
        <v>38</v>
      </c>
      <c r="I6979" s="6" t="s">
        <v>749</v>
      </c>
      <c r="J6979" s="6" t="s">
        <v>349</v>
      </c>
      <c r="K6979" s="10">
        <v>43.12</v>
      </c>
      <c r="L6979" s="10">
        <v>56</v>
      </c>
      <c r="M6979" s="6" t="s">
        <v>371</v>
      </c>
    </row>
    <row r="6980" spans="1:13">
      <c r="A6980" s="6">
        <v>2026</v>
      </c>
      <c r="B6980" s="6">
        <v>1</v>
      </c>
      <c r="C6980" s="6" t="s">
        <v>59</v>
      </c>
      <c r="D6980" s="6" t="s">
        <v>772</v>
      </c>
      <c r="E6980" s="6" t="s">
        <v>405</v>
      </c>
      <c r="F6980" s="6" t="str">
        <f>IF($M6980="PADD I","PADD 1",IF($M6980="PADD II","PADD 2",IF($M6980="PADD III","PADD 3",IF($M6980="PADD IV","PADD 4",IF($M6980="PADD V","PADD 5","")))))</f>
        <v>PADD 3</v>
      </c>
      <c r="G6980" s="6" t="str">
        <f>IF(AND($H6980="ATMOS DISTILLATION",ISNUMBER(SEARCH("VPS",$I6980))=FALSE,LEFT($I6980,6)&lt;&gt;"VACUUM"),"CDU",IF($H6980="FLUID CAT CRACKING","FCC",IF(OR($H6980="HYDROCRACKING",$H6980="RESID_HYDROCRACKING"),"Hydrocracker",IF($H6980="REFORMING","Reformer",""))))</f>
        <v>CDU</v>
      </c>
      <c r="H6980" s="6" t="s">
        <v>38</v>
      </c>
      <c r="I6980" s="6" t="s">
        <v>1310</v>
      </c>
      <c r="J6980" s="6" t="s">
        <v>349</v>
      </c>
      <c r="K6980" s="10">
        <v>43.05</v>
      </c>
      <c r="L6980" s="10">
        <v>102.5</v>
      </c>
      <c r="M6980" s="6" t="s">
        <v>371</v>
      </c>
    </row>
    <row r="6981" spans="1:13">
      <c r="A6981" s="6">
        <v>2026</v>
      </c>
      <c r="B6981" s="6">
        <v>1</v>
      </c>
      <c r="C6981" s="6" t="s">
        <v>59</v>
      </c>
      <c r="D6981" s="6" t="s">
        <v>511</v>
      </c>
      <c r="E6981" s="6" t="s">
        <v>405</v>
      </c>
      <c r="F6981" s="6" t="str">
        <f>IF($M6981="PADD I","PADD 1",IF($M6981="PADD II","PADD 2",IF($M6981="PADD III","PADD 3",IF($M6981="PADD IV","PADD 4",IF($M6981="PADD V","PADD 5","")))))</f>
        <v>PADD 3</v>
      </c>
      <c r="G6981" s="6" t="str">
        <f>IF(AND($H6981="ATMOS DISTILLATION",ISNUMBER(SEARCH("VPS",$I6981))=FALSE,LEFT($I6981,6)&lt;&gt;"VACUUM"),"CDU",IF($H6981="FLUID CAT CRACKING","FCC",IF(OR($H6981="HYDROCRACKING",$H6981="RESID_HYDROCRACKING"),"Hydrocracker",IF($H6981="REFORMING","Reformer",""))))</f>
        <v>FCC</v>
      </c>
      <c r="H6981" s="6" t="s">
        <v>376</v>
      </c>
      <c r="I6981" s="6" t="s">
        <v>105</v>
      </c>
      <c r="J6981" s="6" t="s">
        <v>349</v>
      </c>
      <c r="K6981" s="10">
        <v>39.65</v>
      </c>
      <c r="L6981" s="10">
        <v>65</v>
      </c>
      <c r="M6981" s="6" t="s">
        <v>371</v>
      </c>
    </row>
    <row r="6982" spans="1:13">
      <c r="A6982" s="6">
        <v>2026</v>
      </c>
      <c r="B6982" s="6">
        <v>1</v>
      </c>
      <c r="C6982" s="6" t="s">
        <v>59</v>
      </c>
      <c r="D6982" s="6" t="s">
        <v>42</v>
      </c>
      <c r="E6982" s="6" t="s">
        <v>405</v>
      </c>
      <c r="F6982" s="6" t="str">
        <f>IF($M6982="PADD I","PADD 1",IF($M6982="PADD II","PADD 2",IF($M6982="PADD III","PADD 3",IF($M6982="PADD IV","PADD 4",IF($M6982="PADD V","PADD 5","")))))</f>
        <v>PADD 3</v>
      </c>
      <c r="G6982" s="6" t="str">
        <f>IF(AND($H6982="ATMOS DISTILLATION",ISNUMBER(SEARCH("VPS",$I6982))=FALSE,LEFT($I6982,6)&lt;&gt;"VACUUM"),"CDU",IF($H6982="FLUID CAT CRACKING","FCC",IF(OR($H6982="HYDROCRACKING",$H6982="RESID_HYDROCRACKING"),"Hydrocracker",IF($H6982="REFORMING","Reformer",""))))</f>
        <v>CDU</v>
      </c>
      <c r="H6982" s="6" t="s">
        <v>38</v>
      </c>
      <c r="I6982" s="6" t="s">
        <v>1341</v>
      </c>
      <c r="J6982" s="6" t="s">
        <v>349</v>
      </c>
      <c r="K6982" s="10">
        <v>37.44</v>
      </c>
      <c r="L6982" s="10">
        <v>72</v>
      </c>
      <c r="M6982" s="6" t="s">
        <v>371</v>
      </c>
    </row>
    <row r="6983" spans="1:13">
      <c r="A6983" s="6">
        <v>2026</v>
      </c>
      <c r="B6983" s="6">
        <v>1</v>
      </c>
      <c r="C6983" s="6" t="s">
        <v>59</v>
      </c>
      <c r="D6983" s="6" t="s">
        <v>42</v>
      </c>
      <c r="E6983" s="6" t="s">
        <v>405</v>
      </c>
      <c r="F6983" s="6" t="str">
        <f>IF($M6983="PADD I","PADD 1",IF($M6983="PADD II","PADD 2",IF($M6983="PADD III","PADD 3",IF($M6983="PADD IV","PADD 4",IF($M6983="PADD V","PADD 5","")))))</f>
        <v>PADD 3</v>
      </c>
      <c r="G6983" s="6">
        <f>IF(AND($H6983="ATMOS DISTILLATION",ISNUMBER(SEARCH("VPS",$I6983))=FALSE,LEFT($I6983,6)&lt;&gt;"VACUUM"),"CDU",IF($H6983="FLUID CAT CRACKING","FCC",IF(OR($H6983="HYDROCRACKING",$H6983="RESID_HYDROCRACKING"),"Hydrocracker",IF($H6983="REFORMING","Reformer",""))))</f>
        <v/>
      </c>
      <c r="H6983" s="6" t="s">
        <v>378</v>
      </c>
      <c r="I6983" s="6" t="s">
        <v>1342</v>
      </c>
      <c r="J6983" s="6" t="s">
        <v>349</v>
      </c>
      <c r="K6983" s="10">
        <v>36.4</v>
      </c>
      <c r="L6983" s="10">
        <v>70</v>
      </c>
      <c r="M6983" s="6" t="s">
        <v>371</v>
      </c>
    </row>
    <row r="6984" spans="1:13">
      <c r="A6984" s="6">
        <v>2026</v>
      </c>
      <c r="B6984" s="6">
        <v>1</v>
      </c>
      <c r="C6984" s="6" t="s">
        <v>59</v>
      </c>
      <c r="D6984" s="6" t="s">
        <v>788</v>
      </c>
      <c r="E6984" s="6" t="s">
        <v>405</v>
      </c>
      <c r="F6984" s="6" t="str">
        <f>IF($M6984="PADD I","PADD 1",IF($M6984="PADD II","PADD 2",IF($M6984="PADD III","PADD 3",IF($M6984="PADD IV","PADD 4",IF($M6984="PADD V","PADD 5","")))))</f>
        <v>PADD 3</v>
      </c>
      <c r="G6984" s="6">
        <f>IF(AND($H6984="ATMOS DISTILLATION",ISNUMBER(SEARCH("VPS",$I6984))=FALSE,LEFT($I6984,6)&lt;&gt;"VACUUM"),"CDU",IF($H6984="FLUID CAT CRACKING","FCC",IF(OR($H6984="HYDROCRACKING",$H6984="RESID_HYDROCRACKING"),"Hydrocracker",IF($H6984="REFORMING","Reformer",""))))</f>
        <v/>
      </c>
      <c r="H6984" s="6" t="s">
        <v>378</v>
      </c>
      <c r="I6984" s="6" t="s">
        <v>812</v>
      </c>
      <c r="J6984" s="6" t="s">
        <v>345</v>
      </c>
      <c r="K6984" s="10">
        <v>35.5</v>
      </c>
      <c r="L6984" s="10">
        <v>50</v>
      </c>
      <c r="M6984" s="6" t="s">
        <v>371</v>
      </c>
    </row>
    <row r="6985" spans="1:13">
      <c r="A6985" s="6">
        <v>2026</v>
      </c>
      <c r="B6985" s="6">
        <v>1</v>
      </c>
      <c r="C6985" s="6" t="s">
        <v>59</v>
      </c>
      <c r="D6985" s="6" t="s">
        <v>468</v>
      </c>
      <c r="E6985" s="6" t="s">
        <v>369</v>
      </c>
      <c r="F6985" s="6" t="str">
        <f>IF($M6985="PADD I","PADD 1",IF($M6985="PADD II","PADD 2",IF($M6985="PADD III","PADD 3",IF($M6985="PADD IV","PADD 4",IF($M6985="PADD V","PADD 5","")))))</f>
        <v>PADD 3</v>
      </c>
      <c r="G6985" s="6">
        <f>IF(AND($H6985="ATMOS DISTILLATION",ISNUMBER(SEARCH("VPS",$I6985))=FALSE,LEFT($I6985,6)&lt;&gt;"VACUUM"),"CDU",IF($H6985="FLUID CAT CRACKING","FCC",IF(OR($H6985="HYDROCRACKING",$H6985="RESID_HYDROCRACKING"),"Hydrocracker",IF($H6985="REFORMING","Reformer",""))))</f>
        <v/>
      </c>
      <c r="H6985" s="6" t="s">
        <v>43</v>
      </c>
      <c r="I6985" s="6" t="s">
        <v>482</v>
      </c>
      <c r="J6985" s="6" t="s">
        <v>349</v>
      </c>
      <c r="K6985" s="10">
        <v>34</v>
      </c>
      <c r="L6985" s="10">
        <v>50</v>
      </c>
      <c r="M6985" s="6" t="s">
        <v>371</v>
      </c>
    </row>
    <row r="6986" spans="1:13">
      <c r="A6986" s="6">
        <v>2026</v>
      </c>
      <c r="B6986" s="6">
        <v>1</v>
      </c>
      <c r="C6986" s="6" t="s">
        <v>59</v>
      </c>
      <c r="D6986" s="6" t="s">
        <v>1063</v>
      </c>
      <c r="E6986" s="6" t="s">
        <v>388</v>
      </c>
      <c r="F6986" s="6" t="str">
        <f>IF($M6986="PADD I","PADD 1",IF($M6986="PADD II","PADD 2",IF($M6986="PADD III","PADD 3",IF($M6986="PADD IV","PADD 4",IF($M6986="PADD V","PADD 5","")))))</f>
        <v>PADD 2</v>
      </c>
      <c r="G6986" s="6">
        <f>IF(AND($H6986="ATMOS DISTILLATION",ISNUMBER(SEARCH("VPS",$I6986))=FALSE,LEFT($I6986,6)&lt;&gt;"VACUUM"),"CDU",IF($H6986="FLUID CAT CRACKING","FCC",IF(OR($H6986="HYDROCRACKING",$H6986="RESID_HYDROCRACKING"),"Hydrocracker",IF($H6986="REFORMING","Reformer",""))))</f>
        <v/>
      </c>
      <c r="H6986" s="6" t="s">
        <v>43</v>
      </c>
      <c r="I6986" s="6" t="s">
        <v>493</v>
      </c>
      <c r="J6986" s="6" t="s">
        <v>345</v>
      </c>
      <c r="K6986" s="10">
        <v>34</v>
      </c>
      <c r="L6986" s="10">
        <v>34</v>
      </c>
      <c r="M6986" s="6" t="s">
        <v>375</v>
      </c>
    </row>
    <row r="6987" spans="1:13">
      <c r="A6987" s="6">
        <v>2026</v>
      </c>
      <c r="B6987" s="6">
        <v>1</v>
      </c>
      <c r="C6987" s="6" t="s">
        <v>59</v>
      </c>
      <c r="D6987" s="6" t="s">
        <v>788</v>
      </c>
      <c r="E6987" s="6" t="s">
        <v>405</v>
      </c>
      <c r="F6987" s="6" t="str">
        <f>IF($M6987="PADD I","PADD 1",IF($M6987="PADD II","PADD 2",IF($M6987="PADD III","PADD 3",IF($M6987="PADD IV","PADD 4",IF($M6987="PADD V","PADD 5","")))))</f>
        <v>PADD 3</v>
      </c>
      <c r="G6987" s="6" t="str">
        <f>IF(AND($H6987="ATMOS DISTILLATION",ISNUMBER(SEARCH("VPS",$I6987))=FALSE,LEFT($I6987,6)&lt;&gt;"VACUUM"),"CDU",IF($H6987="FLUID CAT CRACKING","FCC",IF(OR($H6987="HYDROCRACKING",$H6987="RESID_HYDROCRACKING"),"Hydrocracker",IF($H6987="REFORMING","Reformer",""))))</f>
        <v>Hydrocracker</v>
      </c>
      <c r="H6987" s="6" t="s">
        <v>444</v>
      </c>
      <c r="I6987" s="6" t="s">
        <v>831</v>
      </c>
      <c r="J6987" s="6" t="s">
        <v>349</v>
      </c>
      <c r="K6987" s="10">
        <v>33.55</v>
      </c>
      <c r="L6987" s="10">
        <v>55</v>
      </c>
      <c r="M6987" s="6" t="s">
        <v>371</v>
      </c>
    </row>
    <row r="6988" spans="1:13">
      <c r="A6988" s="6">
        <v>2026</v>
      </c>
      <c r="B6988" s="6">
        <v>1</v>
      </c>
      <c r="C6988" s="6" t="s">
        <v>59</v>
      </c>
      <c r="D6988" s="6" t="s">
        <v>778</v>
      </c>
      <c r="E6988" s="6" t="s">
        <v>779</v>
      </c>
      <c r="F6988" s="6" t="str">
        <f>IF($M6988="PADD I","PADD 1",IF($M6988="PADD II","PADD 2",IF($M6988="PADD III","PADD 3",IF($M6988="PADD IV","PADD 4",IF($M6988="PADD V","PADD 5","")))))</f>
        <v>PADD 3</v>
      </c>
      <c r="G6988" s="6" t="str">
        <f>IF(AND($H6988="ATMOS DISTILLATION",ISNUMBER(SEARCH("VPS",$I6988))=FALSE,LEFT($I6988,6)&lt;&gt;"VACUUM"),"CDU",IF($H6988="FLUID CAT CRACKING","FCC",IF(OR($H6988="HYDROCRACKING",$H6988="RESID_HYDROCRACKING"),"Hydrocracker",IF($H6988="REFORMING","Reformer",""))))</f>
        <v>FCC</v>
      </c>
      <c r="H6988" s="6" t="s">
        <v>376</v>
      </c>
      <c r="I6988" s="6" t="s">
        <v>806</v>
      </c>
      <c r="J6988" s="6" t="s">
        <v>349</v>
      </c>
      <c r="K6988" s="10">
        <v>31.9</v>
      </c>
      <c r="L6988" s="10">
        <v>55</v>
      </c>
      <c r="M6988" s="6" t="s">
        <v>371</v>
      </c>
    </row>
    <row r="6989" spans="1:13">
      <c r="A6989" s="6">
        <v>2026</v>
      </c>
      <c r="B6989" s="6">
        <v>1</v>
      </c>
      <c r="C6989" s="6" t="s">
        <v>59</v>
      </c>
      <c r="D6989" s="6" t="s">
        <v>326</v>
      </c>
      <c r="E6989" s="6" t="s">
        <v>385</v>
      </c>
      <c r="F6989" s="6" t="str">
        <f>IF($M6989="PADD I","PADD 1",IF($M6989="PADD II","PADD 2",IF($M6989="PADD III","PADD 3",IF($M6989="PADD IV","PADD 4",IF($M6989="PADD V","PADD 5","")))))</f>
        <v>PADD 5</v>
      </c>
      <c r="G6989" s="6">
        <f>IF(AND($H6989="ATMOS DISTILLATION",ISNUMBER(SEARCH("VPS",$I6989))=FALSE,LEFT($I6989,6)&lt;&gt;"VACUUM"),"CDU",IF($H6989="FLUID CAT CRACKING","FCC",IF(OR($H6989="HYDROCRACKING",$H6989="RESID_HYDROCRACKING"),"Hydrocracker",IF($H6989="REFORMING","Reformer",""))))</f>
        <v/>
      </c>
      <c r="H6989" s="6" t="s">
        <v>378</v>
      </c>
      <c r="I6989" s="6" t="s">
        <v>431</v>
      </c>
      <c r="J6989" s="6" t="s">
        <v>345</v>
      </c>
      <c r="K6989" s="10">
        <v>31.5</v>
      </c>
      <c r="L6989" s="10">
        <v>31.5</v>
      </c>
      <c r="M6989" s="6" t="s">
        <v>386</v>
      </c>
    </row>
    <row r="6990" spans="1:13">
      <c r="A6990" s="6">
        <v>2026</v>
      </c>
      <c r="B6990" s="6">
        <v>1</v>
      </c>
      <c r="C6990" s="6" t="s">
        <v>59</v>
      </c>
      <c r="D6990" s="6" t="s">
        <v>778</v>
      </c>
      <c r="E6990" s="6" t="s">
        <v>779</v>
      </c>
      <c r="F6990" s="6" t="str">
        <f>IF($M6990="PADD I","PADD 1",IF($M6990="PADD II","PADD 2",IF($M6990="PADD III","PADD 3",IF($M6990="PADD IV","PADD 4",IF($M6990="PADD V","PADD 5","")))))</f>
        <v>PADD 3</v>
      </c>
      <c r="G6990" s="6" t="str">
        <f>IF(AND($H6990="ATMOS DISTILLATION",ISNUMBER(SEARCH("VPS",$I6990))=FALSE,LEFT($I6990,6)&lt;&gt;"VACUUM"),"CDU",IF($H6990="FLUID CAT CRACKING","FCC",IF(OR($H6990="HYDROCRACKING",$H6990="RESID_HYDROCRACKING"),"Hydrocracker",IF($H6990="REFORMING","Reformer",""))))</f>
        <v>CDU</v>
      </c>
      <c r="H6990" s="6" t="s">
        <v>38</v>
      </c>
      <c r="I6990" s="6" t="s">
        <v>805</v>
      </c>
      <c r="J6990" s="6" t="s">
        <v>349</v>
      </c>
      <c r="K6990" s="10">
        <v>30.16</v>
      </c>
      <c r="L6990" s="10">
        <v>58</v>
      </c>
      <c r="M6990" s="6" t="s">
        <v>371</v>
      </c>
    </row>
    <row r="6991" spans="1:13">
      <c r="A6991" s="6">
        <v>2026</v>
      </c>
      <c r="B6991" s="6">
        <v>1</v>
      </c>
      <c r="C6991" s="6" t="s">
        <v>59</v>
      </c>
      <c r="D6991" s="6" t="s">
        <v>42</v>
      </c>
      <c r="E6991" s="6" t="s">
        <v>405</v>
      </c>
      <c r="F6991" s="6" t="str">
        <f>IF($M6991="PADD I","PADD 1",IF($M6991="PADD II","PADD 2",IF($M6991="PADD III","PADD 3",IF($M6991="PADD IV","PADD 4",IF($M6991="PADD V","PADD 5","")))))</f>
        <v>PADD 3</v>
      </c>
      <c r="G6991" s="6" t="str">
        <f>IF(AND($H6991="ATMOS DISTILLATION",ISNUMBER(SEARCH("VPS",$I6991))=FALSE,LEFT($I6991,6)&lt;&gt;"VACUUM"),"CDU",IF($H6991="FLUID CAT CRACKING","FCC",IF(OR($H6991="HYDROCRACKING",$H6991="RESID_HYDROCRACKING"),"Hydrocracker",IF($H6991="REFORMING","Reformer",""))))</f>
        <v>CDU</v>
      </c>
      <c r="H6991" s="6" t="s">
        <v>38</v>
      </c>
      <c r="I6991" s="6" t="s">
        <v>1343</v>
      </c>
      <c r="J6991" s="6" t="s">
        <v>349</v>
      </c>
      <c r="K6991" s="10">
        <v>27.56</v>
      </c>
      <c r="L6991" s="10">
        <v>53</v>
      </c>
      <c r="M6991" s="6" t="s">
        <v>371</v>
      </c>
    </row>
    <row r="6992" spans="1:13">
      <c r="A6992" s="6">
        <v>2026</v>
      </c>
      <c r="B6992" s="6">
        <v>1</v>
      </c>
      <c r="C6992" s="6" t="s">
        <v>59</v>
      </c>
      <c r="D6992" s="6" t="s">
        <v>51</v>
      </c>
      <c r="E6992" s="6" t="s">
        <v>391</v>
      </c>
      <c r="F6992" s="6" t="str">
        <f>IF($M6992="PADD I","PADD 1",IF($M6992="PADD II","PADD 2",IF($M6992="PADD III","PADD 3",IF($M6992="PADD IV","PADD 4",IF($M6992="PADD V","PADD 5","")))))</f>
        <v>PADD 5</v>
      </c>
      <c r="G6992" s="6">
        <f>IF(AND($H6992="ATMOS DISTILLATION",ISNUMBER(SEARCH("VPS",$I6992))=FALSE,LEFT($I6992,6)&lt;&gt;"VACUUM"),"CDU",IF($H6992="FLUID CAT CRACKING","FCC",IF(OR($H6992="HYDROCRACKING",$H6992="RESID_HYDROCRACKING"),"Hydrocracker",IF($H6992="REFORMING","Reformer",""))))</f>
        <v/>
      </c>
      <c r="H6992" s="6" t="s">
        <v>43</v>
      </c>
      <c r="I6992" s="6" t="s">
        <v>1167</v>
      </c>
      <c r="J6992" s="6" t="s">
        <v>345</v>
      </c>
      <c r="K6992" s="10">
        <v>24.5</v>
      </c>
      <c r="L6992" s="10">
        <v>24.5</v>
      </c>
      <c r="M6992" s="6" t="s">
        <v>386</v>
      </c>
    </row>
    <row r="6993" spans="1:13">
      <c r="A6993" s="6">
        <v>2026</v>
      </c>
      <c r="B6993" s="6">
        <v>1</v>
      </c>
      <c r="C6993" s="6" t="s">
        <v>59</v>
      </c>
      <c r="D6993" s="6" t="s">
        <v>51</v>
      </c>
      <c r="E6993" s="6" t="s">
        <v>391</v>
      </c>
      <c r="F6993" s="6" t="str">
        <f>IF($M6993="PADD I","PADD 1",IF($M6993="PADD II","PADD 2",IF($M6993="PADD III","PADD 3",IF($M6993="PADD IV","PADD 4",IF($M6993="PADD V","PADD 5","")))))</f>
        <v>PADD 5</v>
      </c>
      <c r="G6993" s="6">
        <f>IF(AND($H6993="ATMOS DISTILLATION",ISNUMBER(SEARCH("VPS",$I6993))=FALSE,LEFT($I6993,6)&lt;&gt;"VACUUM"),"CDU",IF($H6993="FLUID CAT CRACKING","FCC",IF(OR($H6993="HYDROCRACKING",$H6993="RESID_HYDROCRACKING"),"Hydrocracker",IF($H6993="REFORMING","Reformer",""))))</f>
        <v/>
      </c>
      <c r="H6993" s="6" t="s">
        <v>43</v>
      </c>
      <c r="I6993" s="6" t="s">
        <v>1230</v>
      </c>
      <c r="J6993" s="6" t="s">
        <v>345</v>
      </c>
      <c r="K6993" s="10">
        <v>23.8</v>
      </c>
      <c r="L6993" s="10">
        <v>23.8</v>
      </c>
      <c r="M6993" s="6" t="s">
        <v>386</v>
      </c>
    </row>
    <row r="6994" spans="1:13">
      <c r="A6994" s="6">
        <v>2026</v>
      </c>
      <c r="B6994" s="6">
        <v>1</v>
      </c>
      <c r="C6994" s="6" t="s">
        <v>59</v>
      </c>
      <c r="D6994" s="6" t="s">
        <v>42</v>
      </c>
      <c r="E6994" s="6" t="s">
        <v>405</v>
      </c>
      <c r="F6994" s="6" t="str">
        <f>IF($M6994="PADD I","PADD 1",IF($M6994="PADD II","PADD 2",IF($M6994="PADD III","PADD 3",IF($M6994="PADD IV","PADD 4",IF($M6994="PADD V","PADD 5","")))))</f>
        <v>PADD 3</v>
      </c>
      <c r="G6994" s="6">
        <f>IF(AND($H6994="ATMOS DISTILLATION",ISNUMBER(SEARCH("VPS",$I6994))=FALSE,LEFT($I6994,6)&lt;&gt;"VACUUM"),"CDU",IF($H6994="FLUID CAT CRACKING","FCC",IF(OR($H6994="HYDROCRACKING",$H6994="RESID_HYDROCRACKING"),"Hydrocracker",IF($H6994="REFORMING","Reformer",""))))</f>
        <v/>
      </c>
      <c r="H6994" s="6" t="s">
        <v>378</v>
      </c>
      <c r="I6994" s="6" t="s">
        <v>1344</v>
      </c>
      <c r="J6994" s="6" t="s">
        <v>349</v>
      </c>
      <c r="K6994" s="10">
        <v>23.4</v>
      </c>
      <c r="L6994" s="10">
        <v>45</v>
      </c>
      <c r="M6994" s="6" t="s">
        <v>371</v>
      </c>
    </row>
    <row r="6995" spans="1:13">
      <c r="A6995" s="6">
        <v>2026</v>
      </c>
      <c r="B6995" s="6">
        <v>1</v>
      </c>
      <c r="C6995" s="6" t="s">
        <v>59</v>
      </c>
      <c r="D6995" s="6" t="s">
        <v>387</v>
      </c>
      <c r="E6995" s="6" t="s">
        <v>388</v>
      </c>
      <c r="F6995" s="6" t="str">
        <f>IF($M6995="PADD I","PADD 1",IF($M6995="PADD II","PADD 2",IF($M6995="PADD III","PADD 3",IF($M6995="PADD IV","PADD 4",IF($M6995="PADD V","PADD 5","")))))</f>
        <v>PADD 3</v>
      </c>
      <c r="G6995" s="6">
        <f>IF(AND($H6995="ATMOS DISTILLATION",ISNUMBER(SEARCH("VPS",$I6995))=FALSE,LEFT($I6995,6)&lt;&gt;"VACUUM"),"CDU",IF($H6995="FLUID CAT CRACKING","FCC",IF(OR($H6995="HYDROCRACKING",$H6995="RESID_HYDROCRACKING"),"Hydrocracker",IF($H6995="REFORMING","Reformer",""))))</f>
        <v/>
      </c>
      <c r="H6995" s="6" t="s">
        <v>460</v>
      </c>
      <c r="I6995" s="6" t="s">
        <v>1345</v>
      </c>
      <c r="J6995" s="6" t="s">
        <v>349</v>
      </c>
      <c r="K6995" s="10">
        <v>23.31</v>
      </c>
      <c r="L6995" s="10">
        <v>31.5</v>
      </c>
      <c r="M6995" s="6" t="s">
        <v>371</v>
      </c>
    </row>
    <row r="6996" spans="1:13">
      <c r="A6996" s="6">
        <v>2026</v>
      </c>
      <c r="B6996" s="6">
        <v>1</v>
      </c>
      <c r="C6996" s="6" t="s">
        <v>59</v>
      </c>
      <c r="D6996" s="6" t="s">
        <v>468</v>
      </c>
      <c r="E6996" s="6" t="s">
        <v>369</v>
      </c>
      <c r="F6996" s="6" t="str">
        <f>IF($M6996="PADD I","PADD 1",IF($M6996="PADD II","PADD 2",IF($M6996="PADD III","PADD 3",IF($M6996="PADD IV","PADD 4",IF($M6996="PADD V","PADD 5","")))))</f>
        <v>PADD 3</v>
      </c>
      <c r="G6996" s="6">
        <f>IF(AND($H6996="ATMOS DISTILLATION",ISNUMBER(SEARCH("VPS",$I6996))=FALSE,LEFT($I6996,6)&lt;&gt;"VACUUM"),"CDU",IF($H6996="FLUID CAT CRACKING","FCC",IF(OR($H6996="HYDROCRACKING",$H6996="RESID_HYDROCRACKING"),"Hydrocracker",IF($H6996="REFORMING","Reformer",""))))</f>
        <v/>
      </c>
      <c r="H6996" s="6" t="s">
        <v>43</v>
      </c>
      <c r="I6996" s="6" t="s">
        <v>1028</v>
      </c>
      <c r="J6996" s="6" t="s">
        <v>349</v>
      </c>
      <c r="K6996" s="10">
        <v>23.12</v>
      </c>
      <c r="L6996" s="10">
        <v>34</v>
      </c>
      <c r="M6996" s="6" t="s">
        <v>371</v>
      </c>
    </row>
    <row r="6997" spans="1:13">
      <c r="A6997" s="6">
        <v>2026</v>
      </c>
      <c r="B6997" s="6">
        <v>1</v>
      </c>
      <c r="C6997" s="6" t="s">
        <v>59</v>
      </c>
      <c r="D6997" s="6" t="s">
        <v>770</v>
      </c>
      <c r="E6997" s="6" t="s">
        <v>660</v>
      </c>
      <c r="F6997" s="6" t="str">
        <f>IF($M6997="PADD I","PADD 1",IF($M6997="PADD II","PADD 2",IF($M6997="PADD III","PADD 3",IF($M6997="PADD IV","PADD 4",IF($M6997="PADD V","PADD 5","")))))</f>
        <v>PADD 3</v>
      </c>
      <c r="G6997" s="6" t="str">
        <f>IF(AND($H6997="ATMOS DISTILLATION",ISNUMBER(SEARCH("VPS",$I6997))=FALSE,LEFT($I6997,6)&lt;&gt;"VACUUM"),"CDU",IF($H6997="FLUID CAT CRACKING","FCC",IF(OR($H6997="HYDROCRACKING",$H6997="RESID_HYDROCRACKING"),"Hydrocracker",IF($H6997="REFORMING","Reformer",""))))</f>
        <v>CDU</v>
      </c>
      <c r="H6997" s="6" t="s">
        <v>38</v>
      </c>
      <c r="I6997" s="6" t="s">
        <v>771</v>
      </c>
      <c r="J6997" s="6" t="s">
        <v>345</v>
      </c>
      <c r="K6997" s="10">
        <v>22.05</v>
      </c>
      <c r="L6997" s="10">
        <v>63</v>
      </c>
      <c r="M6997" s="6" t="s">
        <v>371</v>
      </c>
    </row>
    <row r="6998" spans="1:13">
      <c r="A6998" s="6">
        <v>2026</v>
      </c>
      <c r="B6998" s="6">
        <v>1</v>
      </c>
      <c r="C6998" s="6" t="s">
        <v>59</v>
      </c>
      <c r="D6998" s="6" t="s">
        <v>1063</v>
      </c>
      <c r="E6998" s="6" t="s">
        <v>388</v>
      </c>
      <c r="F6998" s="6" t="str">
        <f>IF($M6998="PADD I","PADD 1",IF($M6998="PADD II","PADD 2",IF($M6998="PADD III","PADD 3",IF($M6998="PADD IV","PADD 4",IF($M6998="PADD V","PADD 5","")))))</f>
        <v>PADD 2</v>
      </c>
      <c r="G6998" s="6" t="str">
        <f>IF(AND($H6998="ATMOS DISTILLATION",ISNUMBER(SEARCH("VPS",$I6998))=FALSE,LEFT($I6998,6)&lt;&gt;"VACUUM"),"CDU",IF($H6998="FLUID CAT CRACKING","FCC",IF(OR($H6998="HYDROCRACKING",$H6998="RESID_HYDROCRACKING"),"Hydrocracker",IF($H6998="REFORMING","Reformer",""))))</f>
        <v>CDU</v>
      </c>
      <c r="H6998" s="6" t="s">
        <v>38</v>
      </c>
      <c r="I6998" s="6" t="s">
        <v>81</v>
      </c>
      <c r="J6998" s="6" t="s">
        <v>345</v>
      </c>
      <c r="K6998" s="10">
        <v>21.6</v>
      </c>
      <c r="L6998" s="10">
        <v>135</v>
      </c>
      <c r="M6998" s="6" t="s">
        <v>375</v>
      </c>
    </row>
    <row r="6999" spans="1:13">
      <c r="A6999" s="6">
        <v>2026</v>
      </c>
      <c r="B6999" s="6">
        <v>1</v>
      </c>
      <c r="C6999" s="6" t="s">
        <v>59</v>
      </c>
      <c r="D6999" s="6" t="s">
        <v>934</v>
      </c>
      <c r="E6999" s="6" t="s">
        <v>388</v>
      </c>
      <c r="F6999" s="6" t="str">
        <f>IF($M6999="PADD I","PADD 1",IF($M6999="PADD II","PADD 2",IF($M6999="PADD III","PADD 3",IF($M6999="PADD IV","PADD 4",IF($M6999="PADD V","PADD 5","")))))</f>
        <v>PADD 3</v>
      </c>
      <c r="G6999" s="6">
        <f>IF(AND($H6999="ATMOS DISTILLATION",ISNUMBER(SEARCH("VPS",$I6999))=FALSE,LEFT($I6999,6)&lt;&gt;"VACUUM"),"CDU",IF($H6999="FLUID CAT CRACKING","FCC",IF(OR($H6999="HYDROCRACKING",$H6999="RESID_HYDROCRACKING"),"Hydrocracker",IF($H6999="REFORMING","Reformer",""))))</f>
        <v/>
      </c>
      <c r="H6999" s="6" t="s">
        <v>43</v>
      </c>
      <c r="I6999" s="6" t="s">
        <v>458</v>
      </c>
      <c r="J6999" s="6" t="s">
        <v>349</v>
      </c>
      <c r="K6999" s="10">
        <v>21</v>
      </c>
      <c r="L6999" s="10">
        <v>25</v>
      </c>
      <c r="M6999" s="6" t="s">
        <v>371</v>
      </c>
    </row>
    <row r="7000" spans="1:13">
      <c r="A7000" s="6">
        <v>2026</v>
      </c>
      <c r="B7000" s="6">
        <v>1</v>
      </c>
      <c r="C7000" s="6" t="s">
        <v>59</v>
      </c>
      <c r="D7000" s="6" t="s">
        <v>387</v>
      </c>
      <c r="E7000" s="6" t="s">
        <v>388</v>
      </c>
      <c r="F7000" s="6" t="str">
        <f>IF($M7000="PADD I","PADD 1",IF($M7000="PADD II","PADD 2",IF($M7000="PADD III","PADD 3",IF($M7000="PADD IV","PADD 4",IF($M7000="PADD V","PADD 5","")))))</f>
        <v>PADD 3</v>
      </c>
      <c r="G7000" s="6" t="str">
        <f>IF(AND($H7000="ATMOS DISTILLATION",ISNUMBER(SEARCH("VPS",$I7000))=FALSE,LEFT($I7000,6)&lt;&gt;"VACUUM"),"CDU",IF($H7000="FLUID CAT CRACKING","FCC",IF(OR($H7000="HYDROCRACKING",$H7000="RESID_HYDROCRACKING"),"Hydrocracker",IF($H7000="REFORMING","Reformer",""))))</f>
        <v>CDU</v>
      </c>
      <c r="H7000" s="6" t="s">
        <v>38</v>
      </c>
      <c r="I7000" s="6" t="s">
        <v>389</v>
      </c>
      <c r="J7000" s="6" t="s">
        <v>349</v>
      </c>
      <c r="K7000" s="10">
        <v>20.4</v>
      </c>
      <c r="L7000" s="10">
        <v>30</v>
      </c>
      <c r="M7000" s="6" t="s">
        <v>371</v>
      </c>
    </row>
    <row r="7001" spans="1:13">
      <c r="A7001" s="6">
        <v>2026</v>
      </c>
      <c r="B7001" s="6">
        <v>1</v>
      </c>
      <c r="C7001" s="6" t="s">
        <v>59</v>
      </c>
      <c r="D7001" s="6" t="s">
        <v>526</v>
      </c>
      <c r="E7001" s="6" t="s">
        <v>405</v>
      </c>
      <c r="F7001" s="6" t="str">
        <f>IF($M7001="PADD I","PADD 1",IF($M7001="PADD II","PADD 2",IF($M7001="PADD III","PADD 3",IF($M7001="PADD IV","PADD 4",IF($M7001="PADD V","PADD 5","")))))</f>
        <v>PADD 3</v>
      </c>
      <c r="G7001" s="6">
        <f>IF(AND($H7001="ATMOS DISTILLATION",ISNUMBER(SEARCH("VPS",$I7001))=FALSE,LEFT($I7001,6)&lt;&gt;"VACUUM"),"CDU",IF($H7001="FLUID CAT CRACKING","FCC",IF(OR($H7001="HYDROCRACKING",$H7001="RESID_HYDROCRACKING"),"Hydrocracker",IF($H7001="REFORMING","Reformer",""))))</f>
        <v/>
      </c>
      <c r="H7001" s="6" t="s">
        <v>43</v>
      </c>
      <c r="I7001" s="6" t="s">
        <v>1076</v>
      </c>
      <c r="J7001" s="6" t="s">
        <v>349</v>
      </c>
      <c r="K7001" s="10">
        <v>19.74</v>
      </c>
      <c r="L7001" s="10">
        <v>47</v>
      </c>
      <c r="M7001" s="6" t="s">
        <v>371</v>
      </c>
    </row>
    <row r="7002" spans="1:13">
      <c r="A7002" s="6">
        <v>2026</v>
      </c>
      <c r="B7002" s="6">
        <v>1</v>
      </c>
      <c r="C7002" s="6" t="s">
        <v>59</v>
      </c>
      <c r="D7002" s="6" t="s">
        <v>531</v>
      </c>
      <c r="E7002" s="6" t="s">
        <v>532</v>
      </c>
      <c r="F7002" s="6" t="str">
        <f>IF($M7002="PADD I","PADD 1",IF($M7002="PADD II","PADD 2",IF($M7002="PADD III","PADD 3",IF($M7002="PADD IV","PADD 4",IF($M7002="PADD V","PADD 5","")))))</f>
        <v>PADD 5</v>
      </c>
      <c r="G7002" s="6">
        <f>IF(AND($H7002="ATMOS DISTILLATION",ISNUMBER(SEARCH("VPS",$I7002))=FALSE,LEFT($I7002,6)&lt;&gt;"VACUUM"),"CDU",IF($H7002="FLUID CAT CRACKING","FCC",IF(OR($H7002="HYDROCRACKING",$H7002="RESID_HYDROCRACKING"),"Hydrocracker",IF($H7002="REFORMING","Reformer",""))))</f>
        <v/>
      </c>
      <c r="H7002" s="6" t="s">
        <v>435</v>
      </c>
      <c r="I7002" s="6" t="s">
        <v>614</v>
      </c>
      <c r="J7002" s="6" t="s">
        <v>349</v>
      </c>
      <c r="K7002" s="10">
        <v>19.17</v>
      </c>
      <c r="L7002" s="10">
        <v>27</v>
      </c>
      <c r="M7002" s="6" t="s">
        <v>386</v>
      </c>
    </row>
    <row r="7003" spans="1:13">
      <c r="A7003" s="6">
        <v>2026</v>
      </c>
      <c r="B7003" s="6">
        <v>1</v>
      </c>
      <c r="C7003" s="6" t="s">
        <v>59</v>
      </c>
      <c r="D7003" s="6" t="s">
        <v>676</v>
      </c>
      <c r="E7003" s="6" t="s">
        <v>677</v>
      </c>
      <c r="F7003" s="6" t="str">
        <f>IF($M7003="PADD I","PADD 1",IF($M7003="PADD II","PADD 2",IF($M7003="PADD III","PADD 3",IF($M7003="PADD IV","PADD 4",IF($M7003="PADD V","PADD 5","")))))</f>
        <v>PADD 1</v>
      </c>
      <c r="G7003" s="6" t="str">
        <f>IF(AND($H7003="ATMOS DISTILLATION",ISNUMBER(SEARCH("VPS",$I7003))=FALSE,LEFT($I7003,6)&lt;&gt;"VACUUM"),"CDU",IF($H7003="FLUID CAT CRACKING","FCC",IF(OR($H7003="HYDROCRACKING",$H7003="RESID_HYDROCRACKING"),"Hydrocracker",IF($H7003="REFORMING","Reformer",""))))</f>
        <v>CDU</v>
      </c>
      <c r="H7003" s="6" t="s">
        <v>38</v>
      </c>
      <c r="I7003" s="6" t="s">
        <v>678</v>
      </c>
      <c r="J7003" s="6" t="s">
        <v>345</v>
      </c>
      <c r="K7003" s="10">
        <v>17.6</v>
      </c>
      <c r="L7003" s="10">
        <v>110</v>
      </c>
      <c r="M7003" s="6" t="s">
        <v>413</v>
      </c>
    </row>
    <row r="7004" spans="1:13">
      <c r="A7004" s="6">
        <v>2026</v>
      </c>
      <c r="B7004" s="6">
        <v>1</v>
      </c>
      <c r="C7004" s="6" t="s">
        <v>59</v>
      </c>
      <c r="D7004" s="6" t="s">
        <v>457</v>
      </c>
      <c r="E7004" s="6" t="s">
        <v>388</v>
      </c>
      <c r="F7004" s="6" t="str">
        <f>IF($M7004="PADD I","PADD 1",IF($M7004="PADD II","PADD 2",IF($M7004="PADD III","PADD 3",IF($M7004="PADD IV","PADD 4",IF($M7004="PADD V","PADD 5","")))))</f>
        <v>PADD 5</v>
      </c>
      <c r="G7004" s="6" t="str">
        <f>IF(AND($H7004="ATMOS DISTILLATION",ISNUMBER(SEARCH("VPS",$I7004))=FALSE,LEFT($I7004,6)&lt;&gt;"VACUUM"),"CDU",IF($H7004="FLUID CAT CRACKING","FCC",IF(OR($H7004="HYDROCRACKING",$H7004="RESID_HYDROCRACKING"),"Hydrocracker",IF($H7004="REFORMING","Reformer",""))))</f>
        <v>Reformer</v>
      </c>
      <c r="H7004" s="6" t="s">
        <v>421</v>
      </c>
      <c r="I7004" s="6" t="s">
        <v>557</v>
      </c>
      <c r="J7004" s="6" t="s">
        <v>349</v>
      </c>
      <c r="K7004" s="10">
        <v>17.4</v>
      </c>
      <c r="L7004" s="10">
        <v>20</v>
      </c>
      <c r="M7004" s="6" t="s">
        <v>386</v>
      </c>
    </row>
    <row r="7005" spans="1:13">
      <c r="A7005" s="6">
        <v>2026</v>
      </c>
      <c r="B7005" s="6">
        <v>1</v>
      </c>
      <c r="C7005" s="6" t="s">
        <v>59</v>
      </c>
      <c r="D7005" s="6" t="s">
        <v>542</v>
      </c>
      <c r="E7005" s="6" t="s">
        <v>543</v>
      </c>
      <c r="F7005" s="6" t="str">
        <f>IF($M7005="PADD I","PADD 1",IF($M7005="PADD II","PADD 2",IF($M7005="PADD III","PADD 3",IF($M7005="PADD IV","PADD 4",IF($M7005="PADD V","PADD 5","")))))</f>
        <v>PADD 2</v>
      </c>
      <c r="G7005" s="6" t="str">
        <f>IF(AND($H7005="ATMOS DISTILLATION",ISNUMBER(SEARCH("VPS",$I7005))=FALSE,LEFT($I7005,6)&lt;&gt;"VACUUM"),"CDU",IF($H7005="FLUID CAT CRACKING","FCC",IF(OR($H7005="HYDROCRACKING",$H7005="RESID_HYDROCRACKING"),"Hydrocracker",IF($H7005="REFORMING","Reformer",""))))</f>
        <v>CDU</v>
      </c>
      <c r="H7005" s="6" t="s">
        <v>38</v>
      </c>
      <c r="I7005" s="6" t="s">
        <v>1115</v>
      </c>
      <c r="J7005" s="6" t="s">
        <v>345</v>
      </c>
      <c r="K7005" s="10">
        <v>17.1</v>
      </c>
      <c r="L7005" s="10">
        <v>90</v>
      </c>
      <c r="M7005" s="6" t="s">
        <v>375</v>
      </c>
    </row>
    <row r="7006" spans="1:13">
      <c r="A7006" s="6">
        <v>2026</v>
      </c>
      <c r="B7006" s="6">
        <v>1</v>
      </c>
      <c r="C7006" s="6" t="s">
        <v>59</v>
      </c>
      <c r="D7006" s="6" t="s">
        <v>511</v>
      </c>
      <c r="E7006" s="6" t="s">
        <v>405</v>
      </c>
      <c r="F7006" s="6" t="str">
        <f>IF($M7006="PADD I","PADD 1",IF($M7006="PADD II","PADD 2",IF($M7006="PADD III","PADD 3",IF($M7006="PADD IV","PADD 4",IF($M7006="PADD V","PADD 5","")))))</f>
        <v>PADD 3</v>
      </c>
      <c r="G7006" s="6">
        <f>IF(AND($H7006="ATMOS DISTILLATION",ISNUMBER(SEARCH("VPS",$I7006))=FALSE,LEFT($I7006,6)&lt;&gt;"VACUUM"),"CDU",IF($H7006="FLUID CAT CRACKING","FCC",IF(OR($H7006="HYDROCRACKING",$H7006="RESID_HYDROCRACKING"),"Hydrocracker",IF($H7006="REFORMING","Reformer",""))))</f>
        <v/>
      </c>
      <c r="H7006" s="6" t="s">
        <v>43</v>
      </c>
      <c r="I7006" s="6" t="s">
        <v>1346</v>
      </c>
      <c r="J7006" s="6" t="s">
        <v>349</v>
      </c>
      <c r="K7006" s="10">
        <v>16.25</v>
      </c>
      <c r="L7006" s="10">
        <v>25</v>
      </c>
      <c r="M7006" s="6" t="s">
        <v>371</v>
      </c>
    </row>
    <row r="7007" spans="1:13">
      <c r="A7007" s="6">
        <v>2026</v>
      </c>
      <c r="B7007" s="6">
        <v>1</v>
      </c>
      <c r="C7007" s="6" t="s">
        <v>59</v>
      </c>
      <c r="D7007" s="6" t="s">
        <v>1004</v>
      </c>
      <c r="E7007" s="6" t="s">
        <v>381</v>
      </c>
      <c r="F7007" s="6" t="str">
        <f>IF($M7007="PADD I","PADD 1",IF($M7007="PADD II","PADD 2",IF($M7007="PADD III","PADD 3",IF($M7007="PADD IV","PADD 4",IF($M7007="PADD V","PADD 5","")))))</f>
        <v>PADD 3</v>
      </c>
      <c r="G7007" s="6">
        <f>IF(AND($H7007="ATMOS DISTILLATION",ISNUMBER(SEARCH("VPS",$I7007))=FALSE,LEFT($I7007,6)&lt;&gt;"VACUUM"),"CDU",IF($H7007="FLUID CAT CRACKING","FCC",IF(OR($H7007="HYDROCRACKING",$H7007="RESID_HYDROCRACKING"),"Hydrocracker",IF($H7007="REFORMING","Reformer",""))))</f>
        <v/>
      </c>
      <c r="H7007" s="6" t="s">
        <v>378</v>
      </c>
      <c r="I7007" s="6" t="s">
        <v>786</v>
      </c>
      <c r="J7007" s="6" t="s">
        <v>345</v>
      </c>
      <c r="K7007" s="10">
        <v>16.1</v>
      </c>
      <c r="L7007" s="10">
        <v>161</v>
      </c>
      <c r="M7007" s="6" t="s">
        <v>371</v>
      </c>
    </row>
    <row r="7008" spans="1:13">
      <c r="A7008" s="6">
        <v>2026</v>
      </c>
      <c r="B7008" s="6">
        <v>1</v>
      </c>
      <c r="C7008" s="6" t="s">
        <v>59</v>
      </c>
      <c r="D7008" s="6" t="s">
        <v>468</v>
      </c>
      <c r="E7008" s="6" t="s">
        <v>369</v>
      </c>
      <c r="F7008" s="6" t="str">
        <f>IF($M7008="PADD I","PADD 1",IF($M7008="PADD II","PADD 2",IF($M7008="PADD III","PADD 3",IF($M7008="PADD IV","PADD 4",IF($M7008="PADD V","PADD 5","")))))</f>
        <v>PADD 3</v>
      </c>
      <c r="G7008" s="6" t="str">
        <f>IF(AND($H7008="ATMOS DISTILLATION",ISNUMBER(SEARCH("VPS",$I7008))=FALSE,LEFT($I7008,6)&lt;&gt;"VACUUM"),"CDU",IF($H7008="FLUID CAT CRACKING","FCC",IF(OR($H7008="HYDROCRACKING",$H7008="RESID_HYDROCRACKING"),"Hydrocracker",IF($H7008="REFORMING","Reformer",""))))</f>
        <v>Reformer</v>
      </c>
      <c r="H7008" s="6" t="s">
        <v>421</v>
      </c>
      <c r="I7008" s="6" t="s">
        <v>858</v>
      </c>
      <c r="J7008" s="6" t="s">
        <v>349</v>
      </c>
      <c r="K7008" s="10">
        <v>15.4</v>
      </c>
      <c r="L7008" s="10">
        <v>20</v>
      </c>
      <c r="M7008" s="6" t="s">
        <v>371</v>
      </c>
    </row>
    <row r="7009" spans="1:13">
      <c r="A7009" s="6">
        <v>2026</v>
      </c>
      <c r="B7009" s="6">
        <v>1</v>
      </c>
      <c r="C7009" s="6" t="s">
        <v>59</v>
      </c>
      <c r="D7009" s="6" t="s">
        <v>531</v>
      </c>
      <c r="E7009" s="6" t="s">
        <v>532</v>
      </c>
      <c r="F7009" s="6" t="str">
        <f>IF($M7009="PADD I","PADD 1",IF($M7009="PADD II","PADD 2",IF($M7009="PADD III","PADD 3",IF($M7009="PADD IV","PADD 4",IF($M7009="PADD V","PADD 5","")))))</f>
        <v>PADD 5</v>
      </c>
      <c r="G7009" s="6">
        <f>IF(AND($H7009="ATMOS DISTILLATION",ISNUMBER(SEARCH("VPS",$I7009))=FALSE,LEFT($I7009,6)&lt;&gt;"VACUUM"),"CDU",IF($H7009="FLUID CAT CRACKING","FCC",IF(OR($H7009="HYDROCRACKING",$H7009="RESID_HYDROCRACKING"),"Hydrocracker",IF($H7009="REFORMING","Reformer",""))))</f>
        <v/>
      </c>
      <c r="H7009" s="6" t="s">
        <v>460</v>
      </c>
      <c r="I7009" s="6" t="s">
        <v>616</v>
      </c>
      <c r="J7009" s="6" t="s">
        <v>349</v>
      </c>
      <c r="K7009" s="10">
        <v>14.79</v>
      </c>
      <c r="L7009" s="10">
        <v>25.5</v>
      </c>
      <c r="M7009" s="6" t="s">
        <v>386</v>
      </c>
    </row>
    <row r="7010" spans="1:13">
      <c r="A7010" s="6">
        <v>2026</v>
      </c>
      <c r="B7010" s="6">
        <v>1</v>
      </c>
      <c r="C7010" s="6" t="s">
        <v>59</v>
      </c>
      <c r="D7010" s="6" t="s">
        <v>468</v>
      </c>
      <c r="E7010" s="6" t="s">
        <v>369</v>
      </c>
      <c r="F7010" s="6" t="str">
        <f>IF($M7010="PADD I","PADD 1",IF($M7010="PADD II","PADD 2",IF($M7010="PADD III","PADD 3",IF($M7010="PADD IV","PADD 4",IF($M7010="PADD V","PADD 5","")))))</f>
        <v>PADD 3</v>
      </c>
      <c r="G7010" s="6" t="str">
        <f>IF(AND($H7010="ATMOS DISTILLATION",ISNUMBER(SEARCH("VPS",$I7010))=FALSE,LEFT($I7010,6)&lt;&gt;"VACUUM"),"CDU",IF($H7010="FLUID CAT CRACKING","FCC",IF(OR($H7010="HYDROCRACKING",$H7010="RESID_HYDROCRACKING"),"Hydrocracker",IF($H7010="REFORMING","Reformer",""))))</f>
        <v>FCC</v>
      </c>
      <c r="H7010" s="6" t="s">
        <v>376</v>
      </c>
      <c r="I7010" s="6" t="s">
        <v>469</v>
      </c>
      <c r="J7010" s="6" t="s">
        <v>345</v>
      </c>
      <c r="K7010" s="10">
        <v>14.4</v>
      </c>
      <c r="L7010" s="10">
        <v>30</v>
      </c>
      <c r="M7010" s="6" t="s">
        <v>371</v>
      </c>
    </row>
    <row r="7011" spans="1:13">
      <c r="A7011" s="6">
        <v>2026</v>
      </c>
      <c r="B7011" s="6">
        <v>1</v>
      </c>
      <c r="C7011" s="6" t="s">
        <v>59</v>
      </c>
      <c r="D7011" s="6" t="s">
        <v>934</v>
      </c>
      <c r="E7011" s="6" t="s">
        <v>388</v>
      </c>
      <c r="F7011" s="6" t="str">
        <f>IF($M7011="PADD I","PADD 1",IF($M7011="PADD II","PADD 2",IF($M7011="PADD III","PADD 3",IF($M7011="PADD IV","PADD 4",IF($M7011="PADD V","PADD 5","")))))</f>
        <v>PADD 3</v>
      </c>
      <c r="G7011" s="6">
        <f>IF(AND($H7011="ATMOS DISTILLATION",ISNUMBER(SEARCH("VPS",$I7011))=FALSE,LEFT($I7011,6)&lt;&gt;"VACUUM"),"CDU",IF($H7011="FLUID CAT CRACKING","FCC",IF(OR($H7011="HYDROCRACKING",$H7011="RESID_HYDROCRACKING"),"Hydrocracker",IF($H7011="REFORMING","Reformer",""))))</f>
        <v/>
      </c>
      <c r="H7011" s="6" t="s">
        <v>378</v>
      </c>
      <c r="I7011" s="6" t="s">
        <v>964</v>
      </c>
      <c r="J7011" s="6" t="s">
        <v>349</v>
      </c>
      <c r="K7011" s="10">
        <v>14.28</v>
      </c>
      <c r="L7011" s="10">
        <v>17</v>
      </c>
      <c r="M7011" s="6" t="s">
        <v>371</v>
      </c>
    </row>
    <row r="7012" spans="1:13">
      <c r="A7012" s="6">
        <v>2026</v>
      </c>
      <c r="B7012" s="6">
        <v>1</v>
      </c>
      <c r="C7012" s="6" t="s">
        <v>59</v>
      </c>
      <c r="D7012" s="6" t="s">
        <v>511</v>
      </c>
      <c r="E7012" s="6" t="s">
        <v>405</v>
      </c>
      <c r="F7012" s="6" t="str">
        <f>IF($M7012="PADD I","PADD 1",IF($M7012="PADD II","PADD 2",IF($M7012="PADD III","PADD 3",IF($M7012="PADD IV","PADD 4",IF($M7012="PADD V","PADD 5","")))))</f>
        <v>PADD 3</v>
      </c>
      <c r="G7012" s="6">
        <f>IF(AND($H7012="ATMOS DISTILLATION",ISNUMBER(SEARCH("VPS",$I7012))=FALSE,LEFT($I7012,6)&lt;&gt;"VACUUM"),"CDU",IF($H7012="FLUID CAT CRACKING","FCC",IF(OR($H7012="HYDROCRACKING",$H7012="RESID_HYDROCRACKING"),"Hydrocracker",IF($H7012="REFORMING","Reformer",""))))</f>
        <v/>
      </c>
      <c r="H7012" s="6" t="s">
        <v>460</v>
      </c>
      <c r="I7012" s="6" t="s">
        <v>461</v>
      </c>
      <c r="J7012" s="6" t="s">
        <v>349</v>
      </c>
      <c r="K7012" s="10">
        <v>14.2564</v>
      </c>
      <c r="L7012" s="10">
        <v>24.58</v>
      </c>
      <c r="M7012" s="6" t="s">
        <v>371</v>
      </c>
    </row>
    <row r="7013" spans="1:13">
      <c r="A7013" s="6">
        <v>2026</v>
      </c>
      <c r="B7013" s="6">
        <v>1</v>
      </c>
      <c r="C7013" s="6" t="s">
        <v>59</v>
      </c>
      <c r="D7013" s="6" t="s">
        <v>51</v>
      </c>
      <c r="E7013" s="6" t="s">
        <v>391</v>
      </c>
      <c r="F7013" s="6" t="str">
        <f>IF($M7013="PADD I","PADD 1",IF($M7013="PADD II","PADD 2",IF($M7013="PADD III","PADD 3",IF($M7013="PADD IV","PADD 4",IF($M7013="PADD V","PADD 5","")))))</f>
        <v>PADD 5</v>
      </c>
      <c r="G7013" s="6">
        <f>IF(AND($H7013="ATMOS DISTILLATION",ISNUMBER(SEARCH("VPS",$I7013))=FALSE,LEFT($I7013,6)&lt;&gt;"VACUUM"),"CDU",IF($H7013="FLUID CAT CRACKING","FCC",IF(OR($H7013="HYDROCRACKING",$H7013="RESID_HYDROCRACKING"),"Hydrocracker",IF($H7013="REFORMING","Reformer",""))))</f>
        <v/>
      </c>
      <c r="H7013" s="6" t="s">
        <v>43</v>
      </c>
      <c r="I7013" s="6" t="s">
        <v>859</v>
      </c>
      <c r="J7013" s="6" t="s">
        <v>345</v>
      </c>
      <c r="K7013" s="10">
        <v>14</v>
      </c>
      <c r="L7013" s="10">
        <v>14</v>
      </c>
      <c r="M7013" s="6" t="s">
        <v>386</v>
      </c>
    </row>
    <row r="7014" spans="1:13">
      <c r="A7014" s="6">
        <v>2026</v>
      </c>
      <c r="B7014" s="6">
        <v>1</v>
      </c>
      <c r="C7014" s="6" t="s">
        <v>59</v>
      </c>
      <c r="D7014" s="6" t="s">
        <v>346</v>
      </c>
      <c r="E7014" s="6" t="s">
        <v>383</v>
      </c>
      <c r="F7014" s="6" t="str">
        <f>IF($M7014="PADD I","PADD 1",IF($M7014="PADD II","PADD 2",IF($M7014="PADD III","PADD 3",IF($M7014="PADD IV","PADD 4",IF($M7014="PADD V","PADD 5","")))))</f>
        <v>PADD 2</v>
      </c>
      <c r="G7014" s="6" t="str">
        <f>IF(AND($H7014="ATMOS DISTILLATION",ISNUMBER(SEARCH("VPS",$I7014))=FALSE,LEFT($I7014,6)&lt;&gt;"VACUUM"),"CDU",IF($H7014="FLUID CAT CRACKING","FCC",IF(OR($H7014="HYDROCRACKING",$H7014="RESID_HYDROCRACKING"),"Hydrocracker",IF($H7014="REFORMING","Reformer",""))))</f>
        <v>Reformer</v>
      </c>
      <c r="H7014" s="6" t="s">
        <v>421</v>
      </c>
      <c r="I7014" s="6" t="s">
        <v>471</v>
      </c>
      <c r="J7014" s="6" t="s">
        <v>345</v>
      </c>
      <c r="K7014" s="10">
        <v>13.5</v>
      </c>
      <c r="L7014" s="10">
        <v>30</v>
      </c>
      <c r="M7014" s="6" t="s">
        <v>375</v>
      </c>
    </row>
    <row r="7015" spans="1:13">
      <c r="A7015" s="6">
        <v>2026</v>
      </c>
      <c r="B7015" s="6">
        <v>1</v>
      </c>
      <c r="C7015" s="6" t="s">
        <v>59</v>
      </c>
      <c r="D7015" s="6" t="s">
        <v>778</v>
      </c>
      <c r="E7015" s="6" t="s">
        <v>779</v>
      </c>
      <c r="F7015" s="6" t="str">
        <f>IF($M7015="PADD I","PADD 1",IF($M7015="PADD II","PADD 2",IF($M7015="PADD III","PADD 3",IF($M7015="PADD IV","PADD 4",IF($M7015="PADD V","PADD 5","")))))</f>
        <v>PADD 3</v>
      </c>
      <c r="G7015" s="6">
        <f>IF(AND($H7015="ATMOS DISTILLATION",ISNUMBER(SEARCH("VPS",$I7015))=FALSE,LEFT($I7015,6)&lt;&gt;"VACUUM"),"CDU",IF($H7015="FLUID CAT CRACKING","FCC",IF(OR($H7015="HYDROCRACKING",$H7015="RESID_HYDROCRACKING"),"Hydrocracker",IF($H7015="REFORMING","Reformer",""))))</f>
        <v/>
      </c>
      <c r="H7015" s="6" t="s">
        <v>378</v>
      </c>
      <c r="I7015" s="6" t="s">
        <v>797</v>
      </c>
      <c r="J7015" s="6" t="s">
        <v>345</v>
      </c>
      <c r="K7015" s="10">
        <v>11.96</v>
      </c>
      <c r="L7015" s="10">
        <v>23</v>
      </c>
      <c r="M7015" s="6" t="s">
        <v>371</v>
      </c>
    </row>
    <row r="7016" spans="1:13">
      <c r="A7016" s="6">
        <v>2026</v>
      </c>
      <c r="B7016" s="6">
        <v>1</v>
      </c>
      <c r="C7016" s="6" t="s">
        <v>59</v>
      </c>
      <c r="D7016" s="6" t="s">
        <v>675</v>
      </c>
      <c r="E7016" s="6" t="s">
        <v>452</v>
      </c>
      <c r="F7016" s="6" t="str">
        <f>IF($M7016="PADD I","PADD 1",IF($M7016="PADD II","PADD 2",IF($M7016="PADD III","PADD 3",IF($M7016="PADD IV","PADD 4",IF($M7016="PADD V","PADD 5","")))))</f>
        <v>PADD 2</v>
      </c>
      <c r="G7016" s="6">
        <f>IF(AND($H7016="ATMOS DISTILLATION",ISNUMBER(SEARCH("VPS",$I7016))=FALSE,LEFT($I7016,6)&lt;&gt;"VACUUM"),"CDU",IF($H7016="FLUID CAT CRACKING","FCC",IF(OR($H7016="HYDROCRACKING",$H7016="RESID_HYDROCRACKING"),"Hydrocracker",IF($H7016="REFORMING","Reformer",""))))</f>
        <v/>
      </c>
      <c r="H7016" s="6" t="s">
        <v>43</v>
      </c>
      <c r="I7016" s="6" t="s">
        <v>1142</v>
      </c>
      <c r="J7016" s="6" t="s">
        <v>345</v>
      </c>
      <c r="K7016" s="10">
        <v>11.7</v>
      </c>
      <c r="L7016" s="10">
        <v>45</v>
      </c>
      <c r="M7016" s="6" t="s">
        <v>375</v>
      </c>
    </row>
    <row r="7017" spans="1:13">
      <c r="A7017" s="6">
        <v>2026</v>
      </c>
      <c r="B7017" s="6">
        <v>1</v>
      </c>
      <c r="C7017" s="6" t="s">
        <v>59</v>
      </c>
      <c r="D7017" s="6" t="s">
        <v>547</v>
      </c>
      <c r="E7017" s="6" t="s">
        <v>391</v>
      </c>
      <c r="F7017" s="6" t="str">
        <f>IF($M7017="PADD I","PADD 1",IF($M7017="PADD II","PADD 2",IF($M7017="PADD III","PADD 3",IF($M7017="PADD IV","PADD 4",IF($M7017="PADD V","PADD 5","")))))</f>
        <v>PADD 5</v>
      </c>
      <c r="G7017" s="6" t="str">
        <f>IF(AND($H7017="ATMOS DISTILLATION",ISNUMBER(SEARCH("VPS",$I7017))=FALSE,LEFT($I7017,6)&lt;&gt;"VACUUM"),"CDU",IF($H7017="FLUID CAT CRACKING","FCC",IF(OR($H7017="HYDROCRACKING",$H7017="RESID_HYDROCRACKING"),"Hydrocracker",IF($H7017="REFORMING","Reformer",""))))</f>
        <v>Reformer</v>
      </c>
      <c r="H7017" s="6" t="s">
        <v>421</v>
      </c>
      <c r="I7017" s="6" t="s">
        <v>1049</v>
      </c>
      <c r="J7017" s="6" t="s">
        <v>345</v>
      </c>
      <c r="K7017" s="10">
        <v>11.6</v>
      </c>
      <c r="L7017" s="10">
        <v>40</v>
      </c>
      <c r="M7017" s="6" t="s">
        <v>386</v>
      </c>
    </row>
    <row r="7018" spans="1:13">
      <c r="A7018" s="6">
        <v>2026</v>
      </c>
      <c r="B7018" s="6">
        <v>1</v>
      </c>
      <c r="C7018" s="6" t="s">
        <v>59</v>
      </c>
      <c r="D7018" s="6" t="s">
        <v>680</v>
      </c>
      <c r="E7018" s="6" t="s">
        <v>681</v>
      </c>
      <c r="F7018" s="6" t="str">
        <f>IF($M7018="PADD I","PADD 1",IF($M7018="PADD II","PADD 2",IF($M7018="PADD III","PADD 3",IF($M7018="PADD IV","PADD 4",IF($M7018="PADD V","PADD 5","")))))</f>
        <v>PADD 3</v>
      </c>
      <c r="G7018" s="6" t="str">
        <f>IF(AND($H7018="ATMOS DISTILLATION",ISNUMBER(SEARCH("VPS",$I7018))=FALSE,LEFT($I7018,6)&lt;&gt;"VACUUM"),"CDU",IF($H7018="FLUID CAT CRACKING","FCC",IF(OR($H7018="HYDROCRACKING",$H7018="RESID_HYDROCRACKING"),"Hydrocracker",IF($H7018="REFORMING","Reformer",""))))</f>
        <v>CDU</v>
      </c>
      <c r="H7018" s="6" t="s">
        <v>38</v>
      </c>
      <c r="I7018" s="6" t="s">
        <v>81</v>
      </c>
      <c r="J7018" s="6" t="s">
        <v>345</v>
      </c>
      <c r="K7018" s="10">
        <v>11.5</v>
      </c>
      <c r="L7018" s="10">
        <v>50</v>
      </c>
      <c r="M7018" s="6" t="s">
        <v>371</v>
      </c>
    </row>
    <row r="7019" spans="1:13">
      <c r="A7019" s="6">
        <v>2026</v>
      </c>
      <c r="B7019" s="6">
        <v>1</v>
      </c>
      <c r="C7019" s="6" t="s">
        <v>59</v>
      </c>
      <c r="D7019" s="6" t="s">
        <v>50</v>
      </c>
      <c r="E7019" s="6" t="s">
        <v>381</v>
      </c>
      <c r="F7019" s="6" t="str">
        <f>IF($M7019="PADD I","PADD 1",IF($M7019="PADD II","PADD 2",IF($M7019="PADD III","PADD 3",IF($M7019="PADD IV","PADD 4",IF($M7019="PADD V","PADD 5","")))))</f>
        <v>PADD 3</v>
      </c>
      <c r="G7019" s="6" t="str">
        <f>IF(AND($H7019="ATMOS DISTILLATION",ISNUMBER(SEARCH("VPS",$I7019))=FALSE,LEFT($I7019,6)&lt;&gt;"VACUUM"),"CDU",IF($H7019="FLUID CAT CRACKING","FCC",IF(OR($H7019="HYDROCRACKING",$H7019="RESID_HYDROCRACKING"),"Hydrocracker",IF($H7019="REFORMING","Reformer",""))))</f>
        <v>CDU</v>
      </c>
      <c r="H7019" s="6" t="s">
        <v>38</v>
      </c>
      <c r="I7019" s="6" t="s">
        <v>341</v>
      </c>
      <c r="J7019" s="6" t="s">
        <v>345</v>
      </c>
      <c r="K7019" s="10">
        <v>11.5</v>
      </c>
      <c r="L7019" s="10">
        <v>115</v>
      </c>
      <c r="M7019" s="6" t="s">
        <v>371</v>
      </c>
    </row>
    <row r="7020" spans="1:13">
      <c r="A7020" s="6">
        <v>2026</v>
      </c>
      <c r="B7020" s="6">
        <v>1</v>
      </c>
      <c r="C7020" s="6" t="s">
        <v>59</v>
      </c>
      <c r="D7020" s="6" t="s">
        <v>628</v>
      </c>
      <c r="E7020" s="6" t="s">
        <v>388</v>
      </c>
      <c r="F7020" s="6" t="str">
        <f>IF($M7020="PADD I","PADD 1",IF($M7020="PADD II","PADD 2",IF($M7020="PADD III","PADD 3",IF($M7020="PADD IV","PADD 4",IF($M7020="PADD V","PADD 5","")))))</f>
        <v>PADD 3</v>
      </c>
      <c r="G7020" s="6" t="str">
        <f>IF(AND($H7020="ATMOS DISTILLATION",ISNUMBER(SEARCH("VPS",$I7020))=FALSE,LEFT($I7020,6)&lt;&gt;"VACUUM"),"CDU",IF($H7020="FLUID CAT CRACKING","FCC",IF(OR($H7020="HYDROCRACKING",$H7020="RESID_HYDROCRACKING"),"Hydrocracker",IF($H7020="REFORMING","Reformer",""))))</f>
        <v>FCC</v>
      </c>
      <c r="H7020" s="6" t="s">
        <v>376</v>
      </c>
      <c r="I7020" s="6" t="s">
        <v>105</v>
      </c>
      <c r="J7020" s="6" t="s">
        <v>345</v>
      </c>
      <c r="K7020" s="10">
        <v>11.4</v>
      </c>
      <c r="L7020" s="10">
        <v>60</v>
      </c>
      <c r="M7020" s="6" t="s">
        <v>371</v>
      </c>
    </row>
    <row r="7021" spans="1:13">
      <c r="A7021" s="6">
        <v>2026</v>
      </c>
      <c r="B7021" s="6">
        <v>1</v>
      </c>
      <c r="C7021" s="6" t="s">
        <v>59</v>
      </c>
      <c r="D7021" s="6" t="s">
        <v>531</v>
      </c>
      <c r="E7021" s="6" t="s">
        <v>532</v>
      </c>
      <c r="F7021" s="6" t="str">
        <f>IF($M7021="PADD I","PADD 1",IF($M7021="PADD II","PADD 2",IF($M7021="PADD III","PADD 3",IF($M7021="PADD IV","PADD 4",IF($M7021="PADD V","PADD 5","")))))</f>
        <v>PADD 5</v>
      </c>
      <c r="G7021" s="6">
        <f>IF(AND($H7021="ATMOS DISTILLATION",ISNUMBER(SEARCH("VPS",$I7021))=FALSE,LEFT($I7021,6)&lt;&gt;"VACUUM"),"CDU",IF($H7021="FLUID CAT CRACKING","FCC",IF(OR($H7021="HYDROCRACKING",$H7021="RESID_HYDROCRACKING"),"Hydrocracker",IF($H7021="REFORMING","Reformer",""))))</f>
        <v/>
      </c>
      <c r="H7021" s="6" t="s">
        <v>43</v>
      </c>
      <c r="I7021" s="6" t="s">
        <v>618</v>
      </c>
      <c r="J7021" s="6" t="s">
        <v>349</v>
      </c>
      <c r="K7021" s="10">
        <v>11</v>
      </c>
      <c r="L7021" s="10">
        <v>20</v>
      </c>
      <c r="M7021" s="6" t="s">
        <v>386</v>
      </c>
    </row>
    <row r="7022" spans="1:13">
      <c r="A7022" s="6">
        <v>2026</v>
      </c>
      <c r="B7022" s="6">
        <v>1</v>
      </c>
      <c r="C7022" s="6" t="s">
        <v>59</v>
      </c>
      <c r="D7022" s="6" t="s">
        <v>526</v>
      </c>
      <c r="E7022" s="6" t="s">
        <v>405</v>
      </c>
      <c r="F7022" s="6" t="str">
        <f>IF($M7022="PADD I","PADD 1",IF($M7022="PADD II","PADD 2",IF($M7022="PADD III","PADD 3",IF($M7022="PADD IV","PADD 4",IF($M7022="PADD V","PADD 5","")))))</f>
        <v>PADD 3</v>
      </c>
      <c r="G7022" s="6" t="str">
        <f>IF(AND($H7022="ATMOS DISTILLATION",ISNUMBER(SEARCH("VPS",$I7022))=FALSE,LEFT($I7022,6)&lt;&gt;"VACUUM"),"CDU",IF($H7022="FLUID CAT CRACKING","FCC",IF(OR($H7022="HYDROCRACKING",$H7022="RESID_HYDROCRACKING"),"Hydrocracker",IF($H7022="REFORMING","Reformer",""))))</f>
        <v>Hydrocracker</v>
      </c>
      <c r="H7022" s="6" t="s">
        <v>444</v>
      </c>
      <c r="I7022" s="6" t="s">
        <v>351</v>
      </c>
      <c r="J7022" s="6" t="s">
        <v>349</v>
      </c>
      <c r="K7022" s="10">
        <v>10.83</v>
      </c>
      <c r="L7022" s="10">
        <v>57</v>
      </c>
      <c r="M7022" s="6" t="s">
        <v>371</v>
      </c>
    </row>
    <row r="7023" spans="1:13">
      <c r="A7023" s="6">
        <v>2026</v>
      </c>
      <c r="B7023" s="6">
        <v>1</v>
      </c>
      <c r="C7023" s="6" t="s">
        <v>59</v>
      </c>
      <c r="D7023" s="6" t="s">
        <v>484</v>
      </c>
      <c r="E7023" s="6" t="s">
        <v>409</v>
      </c>
      <c r="F7023" s="6" t="str">
        <f>IF($M7023="PADD I","PADD 1",IF($M7023="PADD II","PADD 2",IF($M7023="PADD III","PADD 3",IF($M7023="PADD IV","PADD 4",IF($M7023="PADD V","PADD 5","")))))</f>
        <v>PADD 3</v>
      </c>
      <c r="G7023" s="6">
        <f>IF(AND($H7023="ATMOS DISTILLATION",ISNUMBER(SEARCH("VPS",$I7023))=FALSE,LEFT($I7023,6)&lt;&gt;"VACUUM"),"CDU",IF($H7023="FLUID CAT CRACKING","FCC",IF(OR($H7023="HYDROCRACKING",$H7023="RESID_HYDROCRACKING"),"Hydrocracker",IF($H7023="REFORMING","Reformer",""))))</f>
        <v/>
      </c>
      <c r="H7023" s="6" t="s">
        <v>43</v>
      </c>
      <c r="I7023" s="6" t="s">
        <v>485</v>
      </c>
      <c r="J7023" s="6" t="s">
        <v>345</v>
      </c>
      <c r="K7023" s="10">
        <v>10.56</v>
      </c>
      <c r="L7023" s="10">
        <v>66</v>
      </c>
      <c r="M7023" s="6" t="s">
        <v>371</v>
      </c>
    </row>
    <row r="7024" spans="1:13">
      <c r="A7024" s="6">
        <v>2026</v>
      </c>
      <c r="B7024" s="6">
        <v>1</v>
      </c>
      <c r="C7024" s="6" t="s">
        <v>59</v>
      </c>
      <c r="D7024" s="6" t="s">
        <v>331</v>
      </c>
      <c r="E7024" s="6" t="s">
        <v>373</v>
      </c>
      <c r="F7024" s="6" t="str">
        <f>IF($M7024="PADD I","PADD 1",IF($M7024="PADD II","PADD 2",IF($M7024="PADD III","PADD 3",IF($M7024="PADD IV","PADD 4",IF($M7024="PADD V","PADD 5","")))))</f>
        <v>PADD 2</v>
      </c>
      <c r="G7024" s="6" t="str">
        <f>IF(AND($H7024="ATMOS DISTILLATION",ISNUMBER(SEARCH("VPS",$I7024))=FALSE,LEFT($I7024,6)&lt;&gt;"VACUUM"),"CDU",IF($H7024="FLUID CAT CRACKING","FCC",IF(OR($H7024="HYDROCRACKING",$H7024="RESID_HYDROCRACKING"),"Hydrocracker",IF($H7024="REFORMING","Reformer",""))))</f>
        <v>CDU</v>
      </c>
      <c r="H7024" s="6" t="s">
        <v>38</v>
      </c>
      <c r="I7024" s="6" t="s">
        <v>332</v>
      </c>
      <c r="J7024" s="6" t="s">
        <v>345</v>
      </c>
      <c r="K7024" s="10">
        <v>10.32</v>
      </c>
      <c r="L7024" s="10">
        <v>172</v>
      </c>
      <c r="M7024" s="6" t="s">
        <v>375</v>
      </c>
    </row>
    <row r="7025" spans="1:13">
      <c r="A7025" s="6">
        <v>2026</v>
      </c>
      <c r="B7025" s="6">
        <v>1</v>
      </c>
      <c r="C7025" s="6" t="s">
        <v>59</v>
      </c>
      <c r="D7025" s="6" t="s">
        <v>748</v>
      </c>
      <c r="E7025" s="6" t="s">
        <v>388</v>
      </c>
      <c r="F7025" s="6" t="str">
        <f>IF($M7025="PADD I","PADD 1",IF($M7025="PADD II","PADD 2",IF($M7025="PADD III","PADD 3",IF($M7025="PADD IV","PADD 4",IF($M7025="PADD V","PADD 5","")))))</f>
        <v>PADD 3</v>
      </c>
      <c r="G7025" s="6" t="str">
        <f>IF(AND($H7025="ATMOS DISTILLATION",ISNUMBER(SEARCH("VPS",$I7025))=FALSE,LEFT($I7025,6)&lt;&gt;"VACUUM"),"CDU",IF($H7025="FLUID CAT CRACKING","FCC",IF(OR($H7025="HYDROCRACKING",$H7025="RESID_HYDROCRACKING"),"Hydrocracker",IF($H7025="REFORMING","Reformer",""))))</f>
        <v>Reformer</v>
      </c>
      <c r="H7025" s="6" t="s">
        <v>421</v>
      </c>
      <c r="I7025" s="6" t="s">
        <v>764</v>
      </c>
      <c r="J7025" s="6" t="s">
        <v>349</v>
      </c>
      <c r="K7025" s="10">
        <v>10.2</v>
      </c>
      <c r="L7025" s="10">
        <v>15</v>
      </c>
      <c r="M7025" s="6" t="s">
        <v>371</v>
      </c>
    </row>
    <row r="7026" spans="1:13">
      <c r="A7026" s="6">
        <v>2026</v>
      </c>
      <c r="B7026" s="6">
        <v>1</v>
      </c>
      <c r="C7026" s="6" t="s">
        <v>59</v>
      </c>
      <c r="D7026" s="6" t="s">
        <v>50</v>
      </c>
      <c r="E7026" s="6" t="s">
        <v>381</v>
      </c>
      <c r="F7026" s="6" t="str">
        <f>IF($M7026="PADD I","PADD 1",IF($M7026="PADD II","PADD 2",IF($M7026="PADD III","PADD 3",IF($M7026="PADD IV","PADD 4",IF($M7026="PADD V","PADD 5","")))))</f>
        <v>PADD 3</v>
      </c>
      <c r="G7026" s="6" t="str">
        <f>IF(AND($H7026="ATMOS DISTILLATION",ISNUMBER(SEARCH("VPS",$I7026))=FALSE,LEFT($I7026,6)&lt;&gt;"VACUUM"),"CDU",IF($H7026="FLUID CAT CRACKING","FCC",IF(OR($H7026="HYDROCRACKING",$H7026="RESID_HYDROCRACKING"),"Hydrocracker",IF($H7026="REFORMING","Reformer",""))))</f>
        <v>CDU</v>
      </c>
      <c r="H7026" s="6" t="s">
        <v>38</v>
      </c>
      <c r="I7026" s="6" t="s">
        <v>341</v>
      </c>
      <c r="J7026" s="6" t="s">
        <v>349</v>
      </c>
      <c r="K7026" s="10">
        <v>9.5</v>
      </c>
      <c r="L7026" s="10">
        <v>95</v>
      </c>
      <c r="M7026" s="6" t="s">
        <v>371</v>
      </c>
    </row>
    <row r="7027" spans="1:13">
      <c r="A7027" s="6">
        <v>2026</v>
      </c>
      <c r="B7027" s="6">
        <v>1</v>
      </c>
      <c r="C7027" s="6" t="s">
        <v>59</v>
      </c>
      <c r="D7027" s="6" t="s">
        <v>526</v>
      </c>
      <c r="E7027" s="6" t="s">
        <v>405</v>
      </c>
      <c r="F7027" s="6" t="str">
        <f>IF($M7027="PADD I","PADD 1",IF($M7027="PADD II","PADD 2",IF($M7027="PADD III","PADD 3",IF($M7027="PADD IV","PADD 4",IF($M7027="PADD V","PADD 5","")))))</f>
        <v>PADD 3</v>
      </c>
      <c r="G7027" s="6" t="str">
        <f>IF(AND($H7027="ATMOS DISTILLATION",ISNUMBER(SEARCH("VPS",$I7027))=FALSE,LEFT($I7027,6)&lt;&gt;"VACUUM"),"CDU",IF($H7027="FLUID CAT CRACKING","FCC",IF(OR($H7027="HYDROCRACKING",$H7027="RESID_HYDROCRACKING"),"Hydrocracker",IF($H7027="REFORMING","Reformer",""))))</f>
        <v>CDU</v>
      </c>
      <c r="H7027" s="6" t="s">
        <v>38</v>
      </c>
      <c r="I7027" s="6" t="s">
        <v>350</v>
      </c>
      <c r="J7027" s="6" t="s">
        <v>349</v>
      </c>
      <c r="K7027" s="10">
        <v>9.5</v>
      </c>
      <c r="L7027" s="10">
        <v>50</v>
      </c>
      <c r="M7027" s="6" t="s">
        <v>371</v>
      </c>
    </row>
    <row r="7028" spans="1:13">
      <c r="A7028" s="6">
        <v>2026</v>
      </c>
      <c r="B7028" s="6">
        <v>1</v>
      </c>
      <c r="C7028" s="6" t="s">
        <v>59</v>
      </c>
      <c r="D7028" s="6" t="s">
        <v>1275</v>
      </c>
      <c r="E7028" s="6" t="s">
        <v>1276</v>
      </c>
      <c r="F7028" s="6" t="str">
        <f>IF($M7028="PADD I","PADD 1",IF($M7028="PADD II","PADD 2",IF($M7028="PADD III","PADD 3",IF($M7028="PADD IV","PADD 4",IF($M7028="PADD V","PADD 5","")))))</f>
        <v>PADD 3</v>
      </c>
      <c r="G7028" s="6" t="str">
        <f>IF(AND($H7028="ATMOS DISTILLATION",ISNUMBER(SEARCH("VPS",$I7028))=FALSE,LEFT($I7028,6)&lt;&gt;"VACUUM"),"CDU",IF($H7028="FLUID CAT CRACKING","FCC",IF(OR($H7028="HYDROCRACKING",$H7028="RESID_HYDROCRACKING"),"Hydrocracker",IF($H7028="REFORMING","Reformer",""))))</f>
        <v>CDU</v>
      </c>
      <c r="H7028" s="6" t="s">
        <v>38</v>
      </c>
      <c r="I7028" s="6" t="s">
        <v>81</v>
      </c>
      <c r="J7028" s="6" t="s">
        <v>349</v>
      </c>
      <c r="K7028" s="10">
        <v>9</v>
      </c>
      <c r="L7028" s="10">
        <v>20</v>
      </c>
      <c r="M7028" s="6" t="s">
        <v>371</v>
      </c>
    </row>
    <row r="7029" spans="1:13">
      <c r="A7029" s="6">
        <v>2026</v>
      </c>
      <c r="B7029" s="6">
        <v>1</v>
      </c>
      <c r="C7029" s="6" t="s">
        <v>59</v>
      </c>
      <c r="D7029" s="6" t="s">
        <v>40</v>
      </c>
      <c r="E7029" s="6" t="s">
        <v>736</v>
      </c>
      <c r="F7029" s="6" t="str">
        <f>IF($M7029="PADD I","PADD 1",IF($M7029="PADD II","PADD 2",IF($M7029="PADD III","PADD 3",IF($M7029="PADD IV","PADD 4",IF($M7029="PADD V","PADD 5","")))))</f>
        <v>PADD 1</v>
      </c>
      <c r="G7029" s="6" t="str">
        <f>IF(AND($H7029="ATMOS DISTILLATION",ISNUMBER(SEARCH("VPS",$I7029))=FALSE,LEFT($I7029,6)&lt;&gt;"VACUUM"),"CDU",IF($H7029="FLUID CAT CRACKING","FCC",IF(OR($H7029="HYDROCRACKING",$H7029="RESID_HYDROCRACKING"),"Hydrocracker",IF($H7029="REFORMING","Reformer",""))))</f>
        <v>FCC</v>
      </c>
      <c r="H7029" s="6" t="s">
        <v>376</v>
      </c>
      <c r="I7029" s="6" t="s">
        <v>737</v>
      </c>
      <c r="J7029" s="6" t="s">
        <v>345</v>
      </c>
      <c r="K7029" s="10">
        <v>8.84</v>
      </c>
      <c r="L7029" s="10">
        <v>68</v>
      </c>
      <c r="M7029" s="6" t="s">
        <v>413</v>
      </c>
    </row>
    <row r="7030" spans="1:13">
      <c r="A7030" s="6">
        <v>2026</v>
      </c>
      <c r="B7030" s="6">
        <v>1</v>
      </c>
      <c r="C7030" s="6" t="s">
        <v>59</v>
      </c>
      <c r="D7030" s="6" t="s">
        <v>50</v>
      </c>
      <c r="E7030" s="6" t="s">
        <v>381</v>
      </c>
      <c r="F7030" s="6" t="str">
        <f>IF($M7030="PADD I","PADD 1",IF($M7030="PADD II","PADD 2",IF($M7030="PADD III","PADD 3",IF($M7030="PADD IV","PADD 4",IF($M7030="PADD V","PADD 5","")))))</f>
        <v>PADD 3</v>
      </c>
      <c r="G7030" s="6">
        <f>IF(AND($H7030="ATMOS DISTILLATION",ISNUMBER(SEARCH("VPS",$I7030))=FALSE,LEFT($I7030,6)&lt;&gt;"VACUUM"),"CDU",IF($H7030="FLUID CAT CRACKING","FCC",IF(OR($H7030="HYDROCRACKING",$H7030="RESID_HYDROCRACKING"),"Hydrocracker",IF($H7030="REFORMING","Reformer",""))))</f>
        <v/>
      </c>
      <c r="H7030" s="6" t="s">
        <v>43</v>
      </c>
      <c r="I7030" s="6" t="s">
        <v>1329</v>
      </c>
      <c r="J7030" s="6" t="s">
        <v>349</v>
      </c>
      <c r="K7030" s="10">
        <v>8.800000000000001</v>
      </c>
      <c r="L7030" s="10">
        <v>55</v>
      </c>
      <c r="M7030" s="6" t="s">
        <v>371</v>
      </c>
    </row>
    <row r="7031" spans="1:13">
      <c r="A7031" s="6">
        <v>2026</v>
      </c>
      <c r="B7031" s="6">
        <v>1</v>
      </c>
      <c r="C7031" s="6" t="s">
        <v>59</v>
      </c>
      <c r="D7031" s="6" t="s">
        <v>934</v>
      </c>
      <c r="E7031" s="6" t="s">
        <v>388</v>
      </c>
      <c r="F7031" s="6" t="str">
        <f>IF($M7031="PADD I","PADD 1",IF($M7031="PADD II","PADD 2",IF($M7031="PADD III","PADD 3",IF($M7031="PADD IV","PADD 4",IF($M7031="PADD V","PADD 5","")))))</f>
        <v>PADD 3</v>
      </c>
      <c r="G7031" s="6">
        <f>IF(AND($H7031="ATMOS DISTILLATION",ISNUMBER(SEARCH("VPS",$I7031))=FALSE,LEFT($I7031,6)&lt;&gt;"VACUUM"),"CDU",IF($H7031="FLUID CAT CRACKING","FCC",IF(OR($H7031="HYDROCRACKING",$H7031="RESID_HYDROCRACKING"),"Hydrocracker",IF($H7031="REFORMING","Reformer",""))))</f>
        <v/>
      </c>
      <c r="H7031" s="6" t="s">
        <v>460</v>
      </c>
      <c r="I7031" s="6" t="s">
        <v>461</v>
      </c>
      <c r="J7031" s="6" t="s">
        <v>349</v>
      </c>
      <c r="K7031" s="10">
        <v>8.4</v>
      </c>
      <c r="L7031" s="10">
        <v>10</v>
      </c>
      <c r="M7031" s="6" t="s">
        <v>371</v>
      </c>
    </row>
    <row r="7032" spans="1:13">
      <c r="A7032" s="6">
        <v>2026</v>
      </c>
      <c r="B7032" s="6">
        <v>1</v>
      </c>
      <c r="C7032" s="6" t="s">
        <v>59</v>
      </c>
      <c r="D7032" s="6" t="s">
        <v>415</v>
      </c>
      <c r="E7032" s="6" t="s">
        <v>416</v>
      </c>
      <c r="F7032" s="6" t="str">
        <f>IF($M7032="PADD I","PADD 1",IF($M7032="PADD II","PADD 2",IF($M7032="PADD III","PADD 3",IF($M7032="PADD IV","PADD 4",IF($M7032="PADD V","PADD 5","")))))</f>
        <v>PADD 3</v>
      </c>
      <c r="G7032" s="6" t="str">
        <f>IF(AND($H7032="ATMOS DISTILLATION",ISNUMBER(SEARCH("VPS",$I7032))=FALSE,LEFT($I7032,6)&lt;&gt;"VACUUM"),"CDU",IF($H7032="FLUID CAT CRACKING","FCC",IF(OR($H7032="HYDROCRACKING",$H7032="RESID_HYDROCRACKING"),"Hydrocracker",IF($H7032="REFORMING","Reformer",""))))</f>
        <v>Reformer</v>
      </c>
      <c r="H7032" s="6" t="s">
        <v>421</v>
      </c>
      <c r="I7032" s="6" t="s">
        <v>454</v>
      </c>
      <c r="J7032" s="6" t="s">
        <v>345</v>
      </c>
      <c r="K7032" s="10">
        <v>8.32</v>
      </c>
      <c r="L7032" s="10">
        <v>52</v>
      </c>
      <c r="M7032" s="6" t="s">
        <v>371</v>
      </c>
    </row>
    <row r="7033" spans="1:13">
      <c r="A7033" s="6">
        <v>2026</v>
      </c>
      <c r="B7033" s="6">
        <v>1</v>
      </c>
      <c r="C7033" s="6" t="s">
        <v>59</v>
      </c>
      <c r="D7033" s="6" t="s">
        <v>490</v>
      </c>
      <c r="E7033" s="6" t="s">
        <v>491</v>
      </c>
      <c r="F7033" s="6" t="str">
        <f>IF($M7033="PADD I","PADD 1",IF($M7033="PADD II","PADD 2",IF($M7033="PADD III","PADD 3",IF($M7033="PADD IV","PADD 4",IF($M7033="PADD V","PADD 5","")))))</f>
        <v>PADD 3</v>
      </c>
      <c r="G7033" s="6">
        <f>IF(AND($H7033="ATMOS DISTILLATION",ISNUMBER(SEARCH("VPS",$I7033))=FALSE,LEFT($I7033,6)&lt;&gt;"VACUUM"),"CDU",IF($H7033="FLUID CAT CRACKING","FCC",IF(OR($H7033="HYDROCRACKING",$H7033="RESID_HYDROCRACKING"),"Hydrocracker",IF($H7033="REFORMING","Reformer",""))))</f>
        <v/>
      </c>
      <c r="H7033" s="6" t="s">
        <v>38</v>
      </c>
      <c r="I7033" s="6" t="s">
        <v>1080</v>
      </c>
      <c r="J7033" s="6" t="s">
        <v>345</v>
      </c>
      <c r="K7033" s="10">
        <v>7.8</v>
      </c>
      <c r="L7033" s="10">
        <v>60</v>
      </c>
      <c r="M7033" s="6" t="s">
        <v>371</v>
      </c>
    </row>
    <row r="7034" spans="1:13">
      <c r="A7034" s="6">
        <v>2026</v>
      </c>
      <c r="B7034" s="6">
        <v>1</v>
      </c>
      <c r="C7034" s="6" t="s">
        <v>59</v>
      </c>
      <c r="D7034" s="6" t="s">
        <v>387</v>
      </c>
      <c r="E7034" s="6" t="s">
        <v>388</v>
      </c>
      <c r="F7034" s="6" t="str">
        <f>IF($M7034="PADD I","PADD 1",IF($M7034="PADD II","PADD 2",IF($M7034="PADD III","PADD 3",IF($M7034="PADD IV","PADD 4",IF($M7034="PADD V","PADD 5","")))))</f>
        <v>PADD 3</v>
      </c>
      <c r="G7034" s="6" t="str">
        <f>IF(AND($H7034="ATMOS DISTILLATION",ISNUMBER(SEARCH("VPS",$I7034))=FALSE,LEFT($I7034,6)&lt;&gt;"VACUUM"),"CDU",IF($H7034="FLUID CAT CRACKING","FCC",IF(OR($H7034="HYDROCRACKING",$H7034="RESID_HYDROCRACKING"),"Hydrocracker",IF($H7034="REFORMING","Reformer",""))))</f>
        <v>Reformer</v>
      </c>
      <c r="H7034" s="6" t="s">
        <v>421</v>
      </c>
      <c r="I7034" s="6" t="s">
        <v>443</v>
      </c>
      <c r="J7034" s="6" t="s">
        <v>345</v>
      </c>
      <c r="K7034" s="10">
        <v>7.75</v>
      </c>
      <c r="L7034" s="10">
        <v>77.5</v>
      </c>
      <c r="M7034" s="6" t="s">
        <v>371</v>
      </c>
    </row>
    <row r="7035" spans="1:13">
      <c r="A7035" s="6">
        <v>2026</v>
      </c>
      <c r="B7035" s="6">
        <v>1</v>
      </c>
      <c r="C7035" s="6" t="s">
        <v>59</v>
      </c>
      <c r="D7035" s="6" t="s">
        <v>714</v>
      </c>
      <c r="E7035" s="6" t="s">
        <v>405</v>
      </c>
      <c r="F7035" s="6" t="str">
        <f>IF($M7035="PADD I","PADD 1",IF($M7035="PADD II","PADD 2",IF($M7035="PADD III","PADD 3",IF($M7035="PADD IV","PADD 4",IF($M7035="PADD V","PADD 5","")))))</f>
        <v>PADD 3</v>
      </c>
      <c r="G7035" s="6" t="str">
        <f>IF(AND($H7035="ATMOS DISTILLATION",ISNUMBER(SEARCH("VPS",$I7035))=FALSE,LEFT($I7035,6)&lt;&gt;"VACUUM"),"CDU",IF($H7035="FLUID CAT CRACKING","FCC",IF(OR($H7035="HYDROCRACKING",$H7035="RESID_HYDROCRACKING"),"Hydrocracker",IF($H7035="REFORMING","Reformer",""))))</f>
        <v>FCC</v>
      </c>
      <c r="H7035" s="6" t="s">
        <v>376</v>
      </c>
      <c r="I7035" s="6" t="s">
        <v>105</v>
      </c>
      <c r="J7035" s="6" t="s">
        <v>345</v>
      </c>
      <c r="K7035" s="10">
        <v>7.6</v>
      </c>
      <c r="L7035" s="10">
        <v>76</v>
      </c>
      <c r="M7035" s="6" t="s">
        <v>371</v>
      </c>
    </row>
    <row r="7036" spans="1:13">
      <c r="A7036" s="6">
        <v>2026</v>
      </c>
      <c r="B7036" s="6">
        <v>1</v>
      </c>
      <c r="C7036" s="6" t="s">
        <v>59</v>
      </c>
      <c r="D7036" s="6" t="s">
        <v>526</v>
      </c>
      <c r="E7036" s="6" t="s">
        <v>405</v>
      </c>
      <c r="F7036" s="6" t="str">
        <f>IF($M7036="PADD I","PADD 1",IF($M7036="PADD II","PADD 2",IF($M7036="PADD III","PADD 3",IF($M7036="PADD IV","PADD 4",IF($M7036="PADD V","PADD 5","")))))</f>
        <v>PADD 3</v>
      </c>
      <c r="G7036" s="6" t="str">
        <f>IF(AND($H7036="ATMOS DISTILLATION",ISNUMBER(SEARCH("VPS",$I7036))=FALSE,LEFT($I7036,6)&lt;&gt;"VACUUM"),"CDU",IF($H7036="FLUID CAT CRACKING","FCC",IF(OR($H7036="HYDROCRACKING",$H7036="RESID_HYDROCRACKING"),"Hydrocracker",IF($H7036="REFORMING","Reformer",""))))</f>
        <v>FCC</v>
      </c>
      <c r="H7036" s="6" t="s">
        <v>376</v>
      </c>
      <c r="I7036" s="6" t="s">
        <v>344</v>
      </c>
      <c r="J7036" s="6" t="s">
        <v>345</v>
      </c>
      <c r="K7036" s="10">
        <v>7.5</v>
      </c>
      <c r="L7036" s="10">
        <v>75</v>
      </c>
      <c r="M7036" s="6" t="s">
        <v>371</v>
      </c>
    </row>
    <row r="7037" spans="1:13">
      <c r="A7037" s="6">
        <v>2026</v>
      </c>
      <c r="B7037" s="6">
        <v>1</v>
      </c>
      <c r="C7037" s="6" t="s">
        <v>59</v>
      </c>
      <c r="D7037" s="6" t="s">
        <v>51</v>
      </c>
      <c r="E7037" s="6" t="s">
        <v>391</v>
      </c>
      <c r="F7037" s="6" t="str">
        <f>IF($M7037="PADD I","PADD 1",IF($M7037="PADD II","PADD 2",IF($M7037="PADD III","PADD 3",IF($M7037="PADD IV","PADD 4",IF($M7037="PADD V","PADD 5","")))))</f>
        <v>PADD 5</v>
      </c>
      <c r="G7037" s="6">
        <f>IF(AND($H7037="ATMOS DISTILLATION",ISNUMBER(SEARCH("VPS",$I7037))=FALSE,LEFT($I7037,6)&lt;&gt;"VACUUM"),"CDU",IF($H7037="FLUID CAT CRACKING","FCC",IF(OR($H7037="HYDROCRACKING",$H7037="RESID_HYDROCRACKING"),"Hydrocracker",IF($H7037="REFORMING","Reformer",""))))</f>
        <v/>
      </c>
      <c r="H7037" s="6" t="s">
        <v>43</v>
      </c>
      <c r="I7037" s="6" t="s">
        <v>1337</v>
      </c>
      <c r="J7037" s="6" t="s">
        <v>345</v>
      </c>
      <c r="K7037" s="10">
        <v>7.35</v>
      </c>
      <c r="L7037" s="10">
        <v>7.35</v>
      </c>
      <c r="M7037" s="6" t="s">
        <v>386</v>
      </c>
    </row>
    <row r="7038" spans="1:13">
      <c r="A7038" s="6">
        <v>2026</v>
      </c>
      <c r="B7038" s="6">
        <v>1</v>
      </c>
      <c r="C7038" s="6" t="s">
        <v>59</v>
      </c>
      <c r="D7038" s="6" t="s">
        <v>51</v>
      </c>
      <c r="E7038" s="6" t="s">
        <v>391</v>
      </c>
      <c r="F7038" s="6" t="str">
        <f>IF($M7038="PADD I","PADD 1",IF($M7038="PADD II","PADD 2",IF($M7038="PADD III","PADD 3",IF($M7038="PADD IV","PADD 4",IF($M7038="PADD V","PADD 5","")))))</f>
        <v>PADD 5</v>
      </c>
      <c r="G7038" s="6">
        <f>IF(AND($H7038="ATMOS DISTILLATION",ISNUMBER(SEARCH("VPS",$I7038))=FALSE,LEFT($I7038,6)&lt;&gt;"VACUUM"),"CDU",IF($H7038="FLUID CAT CRACKING","FCC",IF(OR($H7038="HYDROCRACKING",$H7038="RESID_HYDROCRACKING"),"Hydrocracker",IF($H7038="REFORMING","Reformer",""))))</f>
        <v/>
      </c>
      <c r="H7038" s="6" t="s">
        <v>43</v>
      </c>
      <c r="I7038" s="6" t="s">
        <v>1338</v>
      </c>
      <c r="J7038" s="6" t="s">
        <v>345</v>
      </c>
      <c r="K7038" s="10">
        <v>7</v>
      </c>
      <c r="L7038" s="10">
        <v>7</v>
      </c>
      <c r="M7038" s="6" t="s">
        <v>386</v>
      </c>
    </row>
    <row r="7039" spans="1:13">
      <c r="A7039" s="6">
        <v>2026</v>
      </c>
      <c r="B7039" s="6">
        <v>1</v>
      </c>
      <c r="C7039" s="6" t="s">
        <v>59</v>
      </c>
      <c r="D7039" s="6" t="s">
        <v>457</v>
      </c>
      <c r="E7039" s="6" t="s">
        <v>388</v>
      </c>
      <c r="F7039" s="6" t="str">
        <f>IF($M7039="PADD I","PADD 1",IF($M7039="PADD II","PADD 2",IF($M7039="PADD III","PADD 3",IF($M7039="PADD IV","PADD 4",IF($M7039="PADD V","PADD 5","")))))</f>
        <v>PADD 5</v>
      </c>
      <c r="G7039" s="6" t="str">
        <f>IF(AND($H7039="ATMOS DISTILLATION",ISNUMBER(SEARCH("VPS",$I7039))=FALSE,LEFT($I7039,6)&lt;&gt;"VACUUM"),"CDU",IF($H7039="FLUID CAT CRACKING","FCC",IF(OR($H7039="HYDROCRACKING",$H7039="RESID_HYDROCRACKING"),"Hydrocracker",IF($H7039="REFORMING","Reformer",""))))</f>
        <v>FCC</v>
      </c>
      <c r="H7039" s="6" t="s">
        <v>376</v>
      </c>
      <c r="I7039" s="6" t="s">
        <v>105</v>
      </c>
      <c r="J7039" s="6" t="s">
        <v>345</v>
      </c>
      <c r="K7039" s="10">
        <v>6.24</v>
      </c>
      <c r="L7039" s="10">
        <v>104</v>
      </c>
      <c r="M7039" s="6" t="s">
        <v>386</v>
      </c>
    </row>
    <row r="7040" spans="1:13">
      <c r="A7040" s="6">
        <v>2026</v>
      </c>
      <c r="B7040" s="6">
        <v>1</v>
      </c>
      <c r="C7040" s="6" t="s">
        <v>59</v>
      </c>
      <c r="D7040" s="6" t="s">
        <v>1063</v>
      </c>
      <c r="E7040" s="6" t="s">
        <v>388</v>
      </c>
      <c r="F7040" s="6" t="str">
        <f>IF($M7040="PADD I","PADD 1",IF($M7040="PADD II","PADD 2",IF($M7040="PADD III","PADD 3",IF($M7040="PADD IV","PADD 4",IF($M7040="PADD V","PADD 5","")))))</f>
        <v>PADD 2</v>
      </c>
      <c r="G7040" s="6">
        <f>IF(AND($H7040="ATMOS DISTILLATION",ISNUMBER(SEARCH("VPS",$I7040))=FALSE,LEFT($I7040,6)&lt;&gt;"VACUUM"),"CDU",IF($H7040="FLUID CAT CRACKING","FCC",IF(OR($H7040="HYDROCRACKING",$H7040="RESID_HYDROCRACKING"),"Hydrocracker",IF($H7040="REFORMING","Reformer",""))))</f>
        <v/>
      </c>
      <c r="H7040" s="6" t="s">
        <v>378</v>
      </c>
      <c r="I7040" s="6" t="s">
        <v>431</v>
      </c>
      <c r="J7040" s="6" t="s">
        <v>345</v>
      </c>
      <c r="K7040" s="10">
        <v>6.08</v>
      </c>
      <c r="L7040" s="10">
        <v>38</v>
      </c>
      <c r="M7040" s="6" t="s">
        <v>375</v>
      </c>
    </row>
    <row r="7041" spans="1:13">
      <c r="A7041" s="6">
        <v>2026</v>
      </c>
      <c r="B7041" s="6">
        <v>1</v>
      </c>
      <c r="C7041" s="6" t="s">
        <v>59</v>
      </c>
      <c r="D7041" s="6" t="s">
        <v>526</v>
      </c>
      <c r="E7041" s="6" t="s">
        <v>405</v>
      </c>
      <c r="F7041" s="6" t="str">
        <f>IF($M7041="PADD I","PADD 1",IF($M7041="PADD II","PADD 2",IF($M7041="PADD III","PADD 3",IF($M7041="PADD IV","PADD 4",IF($M7041="PADD V","PADD 5","")))))</f>
        <v>PADD 3</v>
      </c>
      <c r="G7041" s="6" t="str">
        <f>IF(AND($H7041="ATMOS DISTILLATION",ISNUMBER(SEARCH("VPS",$I7041))=FALSE,LEFT($I7041,6)&lt;&gt;"VACUUM"),"CDU",IF($H7041="FLUID CAT CRACKING","FCC",IF(OR($H7041="HYDROCRACKING",$H7041="RESID_HYDROCRACKING"),"Hydrocracker",IF($H7041="REFORMING","Reformer",""))))</f>
        <v>CDU</v>
      </c>
      <c r="H7041" s="6" t="s">
        <v>38</v>
      </c>
      <c r="I7041" s="6" t="s">
        <v>641</v>
      </c>
      <c r="J7041" s="6" t="s">
        <v>345</v>
      </c>
      <c r="K7041" s="10">
        <v>5.46</v>
      </c>
      <c r="L7041" s="10">
        <v>42</v>
      </c>
      <c r="M7041" s="6" t="s">
        <v>371</v>
      </c>
    </row>
    <row r="7042" spans="1:13">
      <c r="A7042" s="6">
        <v>2026</v>
      </c>
      <c r="B7042" s="6">
        <v>1</v>
      </c>
      <c r="C7042" s="6" t="s">
        <v>59</v>
      </c>
      <c r="D7042" s="6" t="s">
        <v>960</v>
      </c>
      <c r="E7042" s="6" t="s">
        <v>881</v>
      </c>
      <c r="F7042" s="6" t="str">
        <f>IF($M7042="PADD I","PADD 1",IF($M7042="PADD II","PADD 2",IF($M7042="PADD III","PADD 3",IF($M7042="PADD IV","PADD 4",IF($M7042="PADD V","PADD 5","")))))</f>
        <v>PADD 3</v>
      </c>
      <c r="G7042" s="6" t="str">
        <f>IF(AND($H7042="ATMOS DISTILLATION",ISNUMBER(SEARCH("VPS",$I7042))=FALSE,LEFT($I7042,6)&lt;&gt;"VACUUM"),"CDU",IF($H7042="FLUID CAT CRACKING","FCC",IF(OR($H7042="HYDROCRACKING",$H7042="RESID_HYDROCRACKING"),"Hydrocracker",IF($H7042="REFORMING","Reformer",""))))</f>
        <v>CDU</v>
      </c>
      <c r="H7042" s="6" t="s">
        <v>38</v>
      </c>
      <c r="I7042" s="6" t="s">
        <v>1047</v>
      </c>
      <c r="J7042" s="6" t="s">
        <v>345</v>
      </c>
      <c r="K7042" s="10">
        <v>5.28</v>
      </c>
      <c r="L7042" s="10">
        <v>33</v>
      </c>
      <c r="M7042" s="6" t="s">
        <v>371</v>
      </c>
    </row>
    <row r="7043" spans="1:13">
      <c r="A7043" s="6">
        <v>2026</v>
      </c>
      <c r="B7043" s="6">
        <v>1</v>
      </c>
      <c r="C7043" s="6" t="s">
        <v>59</v>
      </c>
      <c r="D7043" s="6" t="s">
        <v>333</v>
      </c>
      <c r="E7043" s="6" t="s">
        <v>381</v>
      </c>
      <c r="F7043" s="6" t="str">
        <f>IF($M7043="PADD I","PADD 1",IF($M7043="PADD II","PADD 2",IF($M7043="PADD III","PADD 3",IF($M7043="PADD IV","PADD 4",IF($M7043="PADD V","PADD 5","")))))</f>
        <v>PADD 3</v>
      </c>
      <c r="G7043" s="6" t="str">
        <f>IF(AND($H7043="ATMOS DISTILLATION",ISNUMBER(SEARCH("VPS",$I7043))=FALSE,LEFT($I7043,6)&lt;&gt;"VACUUM"),"CDU",IF($H7043="FLUID CAT CRACKING","FCC",IF(OR($H7043="HYDROCRACKING",$H7043="RESID_HYDROCRACKING"),"Hydrocracker",IF($H7043="REFORMING","Reformer",""))))</f>
        <v>CDU</v>
      </c>
      <c r="H7043" s="6" t="s">
        <v>38</v>
      </c>
      <c r="I7043" s="6" t="s">
        <v>537</v>
      </c>
      <c r="J7043" s="6" t="s">
        <v>345</v>
      </c>
      <c r="K7043" s="10">
        <v>5.2</v>
      </c>
      <c r="L7043" s="10">
        <v>40</v>
      </c>
      <c r="M7043" s="6" t="s">
        <v>371</v>
      </c>
    </row>
    <row r="7044" spans="1:13">
      <c r="A7044" s="6">
        <v>2026</v>
      </c>
      <c r="B7044" s="6">
        <v>1</v>
      </c>
      <c r="C7044" s="6" t="s">
        <v>59</v>
      </c>
      <c r="D7044" s="6" t="s">
        <v>646</v>
      </c>
      <c r="E7044" s="6" t="s">
        <v>405</v>
      </c>
      <c r="F7044" s="6" t="str">
        <f>IF($M7044="PADD I","PADD 1",IF($M7044="PADD II","PADD 2",IF($M7044="PADD III","PADD 3",IF($M7044="PADD IV","PADD 4",IF($M7044="PADD V","PADD 5","")))))</f>
        <v>PADD 3</v>
      </c>
      <c r="G7044" s="6" t="str">
        <f>IF(AND($H7044="ATMOS DISTILLATION",ISNUMBER(SEARCH("VPS",$I7044))=FALSE,LEFT($I7044,6)&lt;&gt;"VACUUM"),"CDU",IF($H7044="FLUID CAT CRACKING","FCC",IF(OR($H7044="HYDROCRACKING",$H7044="RESID_HYDROCRACKING"),"Hydrocracker",IF($H7044="REFORMING","Reformer",""))))</f>
        <v>CDU</v>
      </c>
      <c r="H7044" s="6" t="s">
        <v>38</v>
      </c>
      <c r="I7044" s="6" t="s">
        <v>126</v>
      </c>
      <c r="J7044" s="6" t="s">
        <v>345</v>
      </c>
      <c r="K7044" s="10">
        <v>5.2</v>
      </c>
      <c r="L7044" s="10">
        <v>40</v>
      </c>
      <c r="M7044" s="6" t="s">
        <v>371</v>
      </c>
    </row>
    <row r="7045" spans="1:13">
      <c r="A7045" s="6">
        <v>2026</v>
      </c>
      <c r="B7045" s="6">
        <v>1</v>
      </c>
      <c r="C7045" s="6" t="s">
        <v>59</v>
      </c>
      <c r="D7045" s="6" t="s">
        <v>468</v>
      </c>
      <c r="E7045" s="6" t="s">
        <v>369</v>
      </c>
      <c r="F7045" s="6" t="str">
        <f>IF($M7045="PADD I","PADD 1",IF($M7045="PADD II","PADD 2",IF($M7045="PADD III","PADD 3",IF($M7045="PADD IV","PADD 4",IF($M7045="PADD V","PADD 5","")))))</f>
        <v>PADD 3</v>
      </c>
      <c r="G7045" s="6" t="str">
        <f>IF(AND($H7045="ATMOS DISTILLATION",ISNUMBER(SEARCH("VPS",$I7045))=FALSE,LEFT($I7045,6)&lt;&gt;"VACUUM"),"CDU",IF($H7045="FLUID CAT CRACKING","FCC",IF(OR($H7045="HYDROCRACKING",$H7045="RESID_HYDROCRACKING"),"Hydrocracker",IF($H7045="REFORMING","Reformer",""))))</f>
        <v>CDU</v>
      </c>
      <c r="H7045" s="6" t="s">
        <v>38</v>
      </c>
      <c r="I7045" s="6" t="s">
        <v>561</v>
      </c>
      <c r="J7045" s="6" t="s">
        <v>345</v>
      </c>
      <c r="K7045" s="10">
        <v>5.2</v>
      </c>
      <c r="L7045" s="10">
        <v>40</v>
      </c>
      <c r="M7045" s="6" t="s">
        <v>371</v>
      </c>
    </row>
    <row r="7046" spans="1:13">
      <c r="A7046" s="6">
        <v>2026</v>
      </c>
      <c r="B7046" s="6">
        <v>1</v>
      </c>
      <c r="C7046" s="6" t="s">
        <v>59</v>
      </c>
      <c r="D7046" s="6" t="s">
        <v>50</v>
      </c>
      <c r="E7046" s="6" t="s">
        <v>381</v>
      </c>
      <c r="F7046" s="6" t="str">
        <f>IF($M7046="PADD I","PADD 1",IF($M7046="PADD II","PADD 2",IF($M7046="PADD III","PADD 3",IF($M7046="PADD IV","PADD 4",IF($M7046="PADD V","PADD 5","")))))</f>
        <v>PADD 3</v>
      </c>
      <c r="G7046" s="6">
        <f>IF(AND($H7046="ATMOS DISTILLATION",ISNUMBER(SEARCH("VPS",$I7046))=FALSE,LEFT($I7046,6)&lt;&gt;"VACUUM"),"CDU",IF($H7046="FLUID CAT CRACKING","FCC",IF(OR($H7046="HYDROCRACKING",$H7046="RESID_HYDROCRACKING"),"Hydrocracker",IF($H7046="REFORMING","Reformer",""))))</f>
        <v/>
      </c>
      <c r="H7046" s="6" t="s">
        <v>435</v>
      </c>
      <c r="I7046" s="6" t="s">
        <v>1272</v>
      </c>
      <c r="J7046" s="6" t="s">
        <v>349</v>
      </c>
      <c r="K7046" s="10">
        <v>5.15</v>
      </c>
      <c r="L7046" s="10">
        <v>51.5</v>
      </c>
      <c r="M7046" s="6" t="s">
        <v>371</v>
      </c>
    </row>
    <row r="7047" spans="1:13">
      <c r="A7047" s="6">
        <v>2026</v>
      </c>
      <c r="B7047" s="6">
        <v>1</v>
      </c>
      <c r="C7047" s="6" t="s">
        <v>59</v>
      </c>
      <c r="D7047" s="6" t="s">
        <v>576</v>
      </c>
      <c r="E7047" s="6" t="s">
        <v>369</v>
      </c>
      <c r="F7047" s="6" t="str">
        <f>IF($M7047="PADD I","PADD 1",IF($M7047="PADD II","PADD 2",IF($M7047="PADD III","PADD 3",IF($M7047="PADD IV","PADD 4",IF($M7047="PADD V","PADD 5","")))))</f>
        <v>PADD 3</v>
      </c>
      <c r="G7047" s="6">
        <f>IF(AND($H7047="ATMOS DISTILLATION",ISNUMBER(SEARCH("VPS",$I7047))=FALSE,LEFT($I7047,6)&lt;&gt;"VACUUM"),"CDU",IF($H7047="FLUID CAT CRACKING","FCC",IF(OR($H7047="HYDROCRACKING",$H7047="RESID_HYDROCRACKING"),"Hydrocracker",IF($H7047="REFORMING","Reformer",""))))</f>
        <v/>
      </c>
      <c r="H7047" s="6" t="s">
        <v>568</v>
      </c>
      <c r="I7047" s="6" t="s">
        <v>604</v>
      </c>
      <c r="J7047" s="6" t="s">
        <v>345</v>
      </c>
      <c r="K7047" s="10">
        <v>4.75</v>
      </c>
      <c r="L7047" s="10">
        <v>25</v>
      </c>
      <c r="M7047" s="6" t="s">
        <v>371</v>
      </c>
    </row>
    <row r="7048" spans="1:13">
      <c r="A7048" s="6">
        <v>2026</v>
      </c>
      <c r="B7048" s="6">
        <v>1</v>
      </c>
      <c r="C7048" s="6" t="s">
        <v>59</v>
      </c>
      <c r="D7048" s="6" t="s">
        <v>662</v>
      </c>
      <c r="E7048" s="6" t="s">
        <v>552</v>
      </c>
      <c r="F7048" s="6" t="str">
        <f>IF($M7048="PADD I","PADD 1",IF($M7048="PADD II","PADD 2",IF($M7048="PADD III","PADD 3",IF($M7048="PADD IV","PADD 4",IF($M7048="PADD V","PADD 5","")))))</f>
        <v>PADD 3</v>
      </c>
      <c r="G7048" s="6">
        <f>IF(AND($H7048="ATMOS DISTILLATION",ISNUMBER(SEARCH("VPS",$I7048))=FALSE,LEFT($I7048,6)&lt;&gt;"VACUUM"),"CDU",IF($H7048="FLUID CAT CRACKING","FCC",IF(OR($H7048="HYDROCRACKING",$H7048="RESID_HYDROCRACKING"),"Hydrocracker",IF($H7048="REFORMING","Reformer",""))))</f>
        <v/>
      </c>
      <c r="H7048" s="6" t="s">
        <v>460</v>
      </c>
      <c r="I7048" s="6" t="s">
        <v>616</v>
      </c>
      <c r="J7048" s="6" t="s">
        <v>345</v>
      </c>
      <c r="K7048" s="10">
        <v>4.7</v>
      </c>
      <c r="L7048" s="10">
        <v>5</v>
      </c>
      <c r="M7048" s="6" t="s">
        <v>371</v>
      </c>
    </row>
    <row r="7049" spans="1:13">
      <c r="A7049" s="6">
        <v>2026</v>
      </c>
      <c r="B7049" s="6">
        <v>1</v>
      </c>
      <c r="C7049" s="6" t="s">
        <v>59</v>
      </c>
      <c r="D7049" s="6" t="s">
        <v>395</v>
      </c>
      <c r="E7049" s="6" t="s">
        <v>396</v>
      </c>
      <c r="F7049" s="6" t="str">
        <f>IF($M7049="PADD I","PADD 1",IF($M7049="PADD II","PADD 2",IF($M7049="PADD III","PADD 3",IF($M7049="PADD IV","PADD 4",IF($M7049="PADD V","PADD 5","")))))</f>
        <v>PADD 3</v>
      </c>
      <c r="G7049" s="6" t="str">
        <f>IF(AND($H7049="ATMOS DISTILLATION",ISNUMBER(SEARCH("VPS",$I7049))=FALSE,LEFT($I7049,6)&lt;&gt;"VACUUM"),"CDU",IF($H7049="FLUID CAT CRACKING","FCC",IF(OR($H7049="HYDROCRACKING",$H7049="RESID_HYDROCRACKING"),"Hydrocracker",IF($H7049="REFORMING","Reformer",""))))</f>
        <v>CDU</v>
      </c>
      <c r="H7049" s="6" t="s">
        <v>38</v>
      </c>
      <c r="I7049" s="6" t="s">
        <v>510</v>
      </c>
      <c r="J7049" s="6" t="s">
        <v>345</v>
      </c>
      <c r="K7049" s="10">
        <v>4.42</v>
      </c>
      <c r="L7049" s="10">
        <v>34</v>
      </c>
      <c r="M7049" s="6" t="s">
        <v>371</v>
      </c>
    </row>
    <row r="7050" spans="1:13">
      <c r="A7050" s="6">
        <v>2026</v>
      </c>
      <c r="B7050" s="6">
        <v>1</v>
      </c>
      <c r="C7050" s="6" t="s">
        <v>59</v>
      </c>
      <c r="D7050" s="6" t="s">
        <v>960</v>
      </c>
      <c r="E7050" s="6" t="s">
        <v>881</v>
      </c>
      <c r="F7050" s="6" t="str">
        <f>IF($M7050="PADD I","PADD 1",IF($M7050="PADD II","PADD 2",IF($M7050="PADD III","PADD 3",IF($M7050="PADD IV","PADD 4",IF($M7050="PADD V","PADD 5","")))))</f>
        <v>PADD 3</v>
      </c>
      <c r="G7050" s="6" t="str">
        <f>IF(AND($H7050="ATMOS DISTILLATION",ISNUMBER(SEARCH("VPS",$I7050))=FALSE,LEFT($I7050,6)&lt;&gt;"VACUUM"),"CDU",IF($H7050="FLUID CAT CRACKING","FCC",IF(OR($H7050="HYDROCRACKING",$H7050="RESID_HYDROCRACKING"),"Hydrocracker",IF($H7050="REFORMING","Reformer",""))))</f>
        <v>CDU</v>
      </c>
      <c r="H7050" s="6" t="s">
        <v>38</v>
      </c>
      <c r="I7050" s="6" t="s">
        <v>374</v>
      </c>
      <c r="J7050" s="6" t="s">
        <v>345</v>
      </c>
      <c r="K7050" s="10">
        <v>4.32</v>
      </c>
      <c r="L7050" s="10">
        <v>27</v>
      </c>
      <c r="M7050" s="6" t="s">
        <v>371</v>
      </c>
    </row>
    <row r="7051" spans="1:13">
      <c r="A7051" s="6">
        <v>2026</v>
      </c>
      <c r="B7051" s="6">
        <v>1</v>
      </c>
      <c r="C7051" s="6" t="s">
        <v>59</v>
      </c>
      <c r="D7051" s="6" t="s">
        <v>51</v>
      </c>
      <c r="E7051" s="6" t="s">
        <v>391</v>
      </c>
      <c r="F7051" s="6" t="str">
        <f>IF($M7051="PADD I","PADD 1",IF($M7051="PADD II","PADD 2",IF($M7051="PADD III","PADD 3",IF($M7051="PADD IV","PADD 4",IF($M7051="PADD V","PADD 5","")))))</f>
        <v>PADD 5</v>
      </c>
      <c r="G7051" s="6">
        <f>IF(AND($H7051="ATMOS DISTILLATION",ISNUMBER(SEARCH("VPS",$I7051))=FALSE,LEFT($I7051,6)&lt;&gt;"VACUUM"),"CDU",IF($H7051="FLUID CAT CRACKING","FCC",IF(OR($H7051="HYDROCRACKING",$H7051="RESID_HYDROCRACKING"),"Hydrocracker",IF($H7051="REFORMING","Reformer",""))))</f>
        <v/>
      </c>
      <c r="H7051" s="6" t="s">
        <v>43</v>
      </c>
      <c r="I7051" s="6" t="s">
        <v>1207</v>
      </c>
      <c r="J7051" s="6" t="s">
        <v>345</v>
      </c>
      <c r="K7051" s="10">
        <v>4.2</v>
      </c>
      <c r="L7051" s="10">
        <v>4.2</v>
      </c>
      <c r="M7051" s="6" t="s">
        <v>386</v>
      </c>
    </row>
    <row r="7052" spans="1:13">
      <c r="A7052" s="6">
        <v>2026</v>
      </c>
      <c r="B7052" s="6">
        <v>1</v>
      </c>
      <c r="C7052" s="6" t="s">
        <v>59</v>
      </c>
      <c r="D7052" s="6" t="s">
        <v>331</v>
      </c>
      <c r="E7052" s="6" t="s">
        <v>373</v>
      </c>
      <c r="F7052" s="6" t="str">
        <f>IF($M7052="PADD I","PADD 1",IF($M7052="PADD II","PADD 2",IF($M7052="PADD III","PADD 3",IF($M7052="PADD IV","PADD 4",IF($M7052="PADD V","PADD 5","")))))</f>
        <v>PADD 2</v>
      </c>
      <c r="G7052" s="6">
        <f>IF(AND($H7052="ATMOS DISTILLATION",ISNUMBER(SEARCH("VPS",$I7052))=FALSE,LEFT($I7052,6)&lt;&gt;"VACUUM"),"CDU",IF($H7052="FLUID CAT CRACKING","FCC",IF(OR($H7052="HYDROCRACKING",$H7052="RESID_HYDROCRACKING"),"Hydrocracker",IF($H7052="REFORMING","Reformer",""))))</f>
        <v/>
      </c>
      <c r="H7052" s="6" t="s">
        <v>43</v>
      </c>
      <c r="I7052" s="6" t="s">
        <v>910</v>
      </c>
      <c r="J7052" s="6" t="s">
        <v>345</v>
      </c>
      <c r="K7052" s="10">
        <v>3.78</v>
      </c>
      <c r="L7052" s="10">
        <v>63</v>
      </c>
      <c r="M7052" s="6" t="s">
        <v>375</v>
      </c>
    </row>
    <row r="7053" spans="1:13">
      <c r="A7053" s="6">
        <v>2026</v>
      </c>
      <c r="B7053" s="6">
        <v>1</v>
      </c>
      <c r="C7053" s="6" t="s">
        <v>59</v>
      </c>
      <c r="D7053" s="6" t="s">
        <v>1060</v>
      </c>
      <c r="E7053" s="6" t="s">
        <v>1039</v>
      </c>
      <c r="F7053" s="6" t="str">
        <f>IF($M7053="PADD I","PADD 1",IF($M7053="PADD II","PADD 2",IF($M7053="PADD III","PADD 3",IF($M7053="PADD IV","PADD 4",IF($M7053="PADD V","PADD 5","")))))</f>
        <v>PADD 2</v>
      </c>
      <c r="G7053" s="6" t="str">
        <f>IF(AND($H7053="ATMOS DISTILLATION",ISNUMBER(SEARCH("VPS",$I7053))=FALSE,LEFT($I7053,6)&lt;&gt;"VACUUM"),"CDU",IF($H7053="FLUID CAT CRACKING","FCC",IF(OR($H7053="HYDROCRACKING",$H7053="RESID_HYDROCRACKING"),"Hydrocracker",IF($H7053="REFORMING","Reformer",""))))</f>
        <v>CDU</v>
      </c>
      <c r="H7053" s="6" t="s">
        <v>38</v>
      </c>
      <c r="I7053" s="6" t="s">
        <v>406</v>
      </c>
      <c r="J7053" s="6" t="s">
        <v>345</v>
      </c>
      <c r="K7053" s="10">
        <v>3.7</v>
      </c>
      <c r="L7053" s="10">
        <v>37</v>
      </c>
      <c r="M7053" s="6" t="s">
        <v>375</v>
      </c>
    </row>
    <row r="7054" spans="1:13">
      <c r="A7054" s="6">
        <v>2026</v>
      </c>
      <c r="B7054" s="6">
        <v>1</v>
      </c>
      <c r="C7054" s="6" t="s">
        <v>59</v>
      </c>
      <c r="D7054" s="6" t="s">
        <v>415</v>
      </c>
      <c r="E7054" s="6" t="s">
        <v>416</v>
      </c>
      <c r="F7054" s="6" t="str">
        <f>IF($M7054="PADD I","PADD 1",IF($M7054="PADD II","PADD 2",IF($M7054="PADD III","PADD 3",IF($M7054="PADD IV","PADD 4",IF($M7054="PADD V","PADD 5","")))))</f>
        <v>PADD 3</v>
      </c>
      <c r="G7054" s="6" t="str">
        <f>IF(AND($H7054="ATMOS DISTILLATION",ISNUMBER(SEARCH("VPS",$I7054))=FALSE,LEFT($I7054,6)&lt;&gt;"VACUUM"),"CDU",IF($H7054="FLUID CAT CRACKING","FCC",IF(OR($H7054="HYDROCRACKING",$H7054="RESID_HYDROCRACKING"),"Hydrocracker",IF($H7054="REFORMING","Reformer",""))))</f>
        <v>CDU</v>
      </c>
      <c r="H7054" s="6" t="s">
        <v>38</v>
      </c>
      <c r="I7054" s="6" t="s">
        <v>133</v>
      </c>
      <c r="J7054" s="6" t="s">
        <v>345</v>
      </c>
      <c r="K7054" s="10">
        <v>3.64</v>
      </c>
      <c r="L7054" s="10">
        <v>28</v>
      </c>
      <c r="M7054" s="6" t="s">
        <v>371</v>
      </c>
    </row>
    <row r="7055" spans="1:13">
      <c r="A7055" s="6">
        <v>2026</v>
      </c>
      <c r="B7055" s="6">
        <v>1</v>
      </c>
      <c r="C7055" s="6" t="s">
        <v>59</v>
      </c>
      <c r="D7055" s="6" t="s">
        <v>322</v>
      </c>
      <c r="E7055" s="6" t="s">
        <v>369</v>
      </c>
      <c r="F7055" s="6" t="str">
        <f>IF($M7055="PADD I","PADD 1",IF($M7055="PADD II","PADD 2",IF($M7055="PADD III","PADD 3",IF($M7055="PADD IV","PADD 4",IF($M7055="PADD V","PADD 5","")))))</f>
        <v>PADD 2</v>
      </c>
      <c r="G7055" s="6" t="str">
        <f>IF(AND($H7055="ATMOS DISTILLATION",ISNUMBER(SEARCH("VPS",$I7055))=FALSE,LEFT($I7055,6)&lt;&gt;"VACUUM"),"CDU",IF($H7055="FLUID CAT CRACKING","FCC",IF(OR($H7055="HYDROCRACKING",$H7055="RESID_HYDROCRACKING"),"Hydrocracker",IF($H7055="REFORMING","Reformer",""))))</f>
        <v>CDU</v>
      </c>
      <c r="H7055" s="6" t="s">
        <v>38</v>
      </c>
      <c r="I7055" s="6" t="s">
        <v>521</v>
      </c>
      <c r="J7055" s="6" t="s">
        <v>345</v>
      </c>
      <c r="K7055" s="10">
        <v>3.51</v>
      </c>
      <c r="L7055" s="10">
        <v>27</v>
      </c>
      <c r="M7055" s="6" t="s">
        <v>375</v>
      </c>
    </row>
    <row r="7056" spans="1:13">
      <c r="A7056" s="6">
        <v>2026</v>
      </c>
      <c r="B7056" s="6">
        <v>1</v>
      </c>
      <c r="C7056" s="6" t="s">
        <v>59</v>
      </c>
      <c r="D7056" s="6" t="s">
        <v>714</v>
      </c>
      <c r="E7056" s="6" t="s">
        <v>405</v>
      </c>
      <c r="F7056" s="6" t="str">
        <f>IF($M7056="PADD I","PADD 1",IF($M7056="PADD II","PADD 2",IF($M7056="PADD III","PADD 3",IF($M7056="PADD IV","PADD 4",IF($M7056="PADD V","PADD 5","")))))</f>
        <v>PADD 3</v>
      </c>
      <c r="G7056" s="6">
        <f>IF(AND($H7056="ATMOS DISTILLATION",ISNUMBER(SEARCH("VPS",$I7056))=FALSE,LEFT($I7056,6)&lt;&gt;"VACUUM"),"CDU",IF($H7056="FLUID CAT CRACKING","FCC",IF(OR($H7056="HYDROCRACKING",$H7056="RESID_HYDROCRACKING"),"Hydrocracker",IF($H7056="REFORMING","Reformer",""))))</f>
        <v/>
      </c>
      <c r="H7056" s="6" t="s">
        <v>43</v>
      </c>
      <c r="I7056" s="6" t="s">
        <v>458</v>
      </c>
      <c r="J7056" s="6" t="s">
        <v>345</v>
      </c>
      <c r="K7056" s="10">
        <v>3.4</v>
      </c>
      <c r="L7056" s="10">
        <v>34</v>
      </c>
      <c r="M7056" s="6" t="s">
        <v>371</v>
      </c>
    </row>
    <row r="7057" spans="1:13">
      <c r="A7057" s="6">
        <v>2026</v>
      </c>
      <c r="B7057" s="6">
        <v>1</v>
      </c>
      <c r="C7057" s="6" t="s">
        <v>59</v>
      </c>
      <c r="D7057" s="6" t="s">
        <v>408</v>
      </c>
      <c r="E7057" s="6" t="s">
        <v>409</v>
      </c>
      <c r="F7057" s="6" t="str">
        <f>IF($M7057="PADD I","PADD 1",IF($M7057="PADD II","PADD 2",IF($M7057="PADD III","PADD 3",IF($M7057="PADD IV","PADD 4",IF($M7057="PADD V","PADD 5","")))))</f>
        <v>PADD 3</v>
      </c>
      <c r="G7057" s="6" t="str">
        <f>IF(AND($H7057="ATMOS DISTILLATION",ISNUMBER(SEARCH("VPS",$I7057))=FALSE,LEFT($I7057,6)&lt;&gt;"VACUUM"),"CDU",IF($H7057="FLUID CAT CRACKING","FCC",IF(OR($H7057="HYDROCRACKING",$H7057="RESID_HYDROCRACKING"),"Hydrocracker",IF($H7057="REFORMING","Reformer",""))))</f>
        <v>CDU</v>
      </c>
      <c r="H7057" s="6" t="s">
        <v>38</v>
      </c>
      <c r="I7057" s="6" t="s">
        <v>410</v>
      </c>
      <c r="J7057" s="6" t="s">
        <v>345</v>
      </c>
      <c r="K7057" s="10">
        <v>3.25</v>
      </c>
      <c r="L7057" s="10">
        <v>25</v>
      </c>
      <c r="M7057" s="6" t="s">
        <v>371</v>
      </c>
    </row>
    <row r="7058" spans="1:13">
      <c r="A7058" s="6">
        <v>2026</v>
      </c>
      <c r="B7058" s="6">
        <v>1</v>
      </c>
      <c r="C7058" s="6" t="s">
        <v>59</v>
      </c>
      <c r="D7058" s="6" t="s">
        <v>380</v>
      </c>
      <c r="E7058" s="6" t="s">
        <v>381</v>
      </c>
      <c r="F7058" s="6" t="str">
        <f>IF($M7058="PADD I","PADD 1",IF($M7058="PADD II","PADD 2",IF($M7058="PADD III","PADD 3",IF($M7058="PADD IV","PADD 4",IF($M7058="PADD V","PADD 5","")))))</f>
        <v>PADD 3</v>
      </c>
      <c r="G7058" s="6" t="str">
        <f>IF(AND($H7058="ATMOS DISTILLATION",ISNUMBER(SEARCH("VPS",$I7058))=FALSE,LEFT($I7058,6)&lt;&gt;"VACUUM"),"CDU",IF($H7058="FLUID CAT CRACKING","FCC",IF(OR($H7058="HYDROCRACKING",$H7058="RESID_HYDROCRACKING"),"Hydrocracker",IF($H7058="REFORMING","Reformer",""))))</f>
        <v>CDU</v>
      </c>
      <c r="H7058" s="6" t="s">
        <v>38</v>
      </c>
      <c r="I7058" s="6" t="s">
        <v>382</v>
      </c>
      <c r="J7058" s="6" t="s">
        <v>345</v>
      </c>
      <c r="K7058" s="10">
        <v>3.25</v>
      </c>
      <c r="L7058" s="10">
        <v>25</v>
      </c>
      <c r="M7058" s="6" t="s">
        <v>371</v>
      </c>
    </row>
    <row r="7059" spans="1:13">
      <c r="A7059" s="6">
        <v>2026</v>
      </c>
      <c r="B7059" s="6">
        <v>1</v>
      </c>
      <c r="C7059" s="6" t="s">
        <v>59</v>
      </c>
      <c r="D7059" s="6" t="s">
        <v>324</v>
      </c>
      <c r="E7059" s="6" t="s">
        <v>388</v>
      </c>
      <c r="F7059" s="6" t="str">
        <f>IF($M7059="PADD I","PADD 1",IF($M7059="PADD II","PADD 2",IF($M7059="PADD III","PADD 3",IF($M7059="PADD IV","PADD 4",IF($M7059="PADD V","PADD 5","")))))</f>
        <v>PADD 3</v>
      </c>
      <c r="G7059" s="6" t="str">
        <f>IF(AND($H7059="ATMOS DISTILLATION",ISNUMBER(SEARCH("VPS",$I7059))=FALSE,LEFT($I7059,6)&lt;&gt;"VACUUM"),"CDU",IF($H7059="FLUID CAT CRACKING","FCC",IF(OR($H7059="HYDROCRACKING",$H7059="RESID_HYDROCRACKING"),"Hydrocracker",IF($H7059="REFORMING","Reformer",""))))</f>
        <v>CDU</v>
      </c>
      <c r="H7059" s="6" t="s">
        <v>38</v>
      </c>
      <c r="I7059" s="6" t="s">
        <v>96</v>
      </c>
      <c r="J7059" s="6" t="s">
        <v>345</v>
      </c>
      <c r="K7059" s="10">
        <v>3.25</v>
      </c>
      <c r="L7059" s="10">
        <v>25</v>
      </c>
      <c r="M7059" s="6" t="s">
        <v>371</v>
      </c>
    </row>
    <row r="7060" spans="1:13">
      <c r="A7060" s="6">
        <v>2026</v>
      </c>
      <c r="B7060" s="6">
        <v>1</v>
      </c>
      <c r="C7060" s="6" t="s">
        <v>59</v>
      </c>
      <c r="D7060" s="6" t="s">
        <v>774</v>
      </c>
      <c r="E7060" s="6" t="s">
        <v>775</v>
      </c>
      <c r="F7060" s="6" t="str">
        <f>IF($M7060="PADD I","PADD 1",IF($M7060="PADD II","PADD 2",IF($M7060="PADD III","PADD 3",IF($M7060="PADD IV","PADD 4",IF($M7060="PADD V","PADD 5","")))))</f>
        <v>PADD 1</v>
      </c>
      <c r="G7060" s="6">
        <f>IF(AND($H7060="ATMOS DISTILLATION",ISNUMBER(SEARCH("VPS",$I7060))=FALSE,LEFT($I7060,6)&lt;&gt;"VACUUM"),"CDU",IF($H7060="FLUID CAT CRACKING","FCC",IF(OR($H7060="HYDROCRACKING",$H7060="RESID_HYDROCRACKING"),"Hydrocracker",IF($H7060="REFORMING","Reformer",""))))</f>
        <v/>
      </c>
      <c r="H7060" s="6" t="s">
        <v>43</v>
      </c>
      <c r="I7060" s="6" t="s">
        <v>1153</v>
      </c>
      <c r="J7060" s="6" t="s">
        <v>349</v>
      </c>
      <c r="K7060" s="10">
        <v>3.22</v>
      </c>
      <c r="L7060" s="10">
        <v>14</v>
      </c>
      <c r="M7060" s="6" t="s">
        <v>413</v>
      </c>
    </row>
    <row r="7061" spans="1:13">
      <c r="A7061" s="6">
        <v>2026</v>
      </c>
      <c r="B7061" s="6">
        <v>1</v>
      </c>
      <c r="C7061" s="6" t="s">
        <v>59</v>
      </c>
      <c r="D7061" s="6" t="s">
        <v>331</v>
      </c>
      <c r="E7061" s="6" t="s">
        <v>373</v>
      </c>
      <c r="F7061" s="6" t="str">
        <f>IF($M7061="PADD I","PADD 1",IF($M7061="PADD II","PADD 2",IF($M7061="PADD III","PADD 3",IF($M7061="PADD IV","PADD 4",IF($M7061="PADD V","PADD 5","")))))</f>
        <v>PADD 2</v>
      </c>
      <c r="G7061" s="6">
        <f>IF(AND($H7061="ATMOS DISTILLATION",ISNUMBER(SEARCH("VPS",$I7061))=FALSE,LEFT($I7061,6)&lt;&gt;"VACUUM"),"CDU",IF($H7061="FLUID CAT CRACKING","FCC",IF(OR($H7061="HYDROCRACKING",$H7061="RESID_HYDROCRACKING"),"Hydrocracker",IF($H7061="REFORMING","Reformer",""))))</f>
        <v/>
      </c>
      <c r="H7061" s="6" t="s">
        <v>378</v>
      </c>
      <c r="I7061" s="6" t="s">
        <v>431</v>
      </c>
      <c r="J7061" s="6" t="s">
        <v>345</v>
      </c>
      <c r="K7061" s="10">
        <v>3.12</v>
      </c>
      <c r="L7061" s="10">
        <v>52</v>
      </c>
      <c r="M7061" s="6" t="s">
        <v>375</v>
      </c>
    </row>
    <row r="7062" spans="1:13">
      <c r="A7062" s="6">
        <v>2026</v>
      </c>
      <c r="B7062" s="6">
        <v>1</v>
      </c>
      <c r="C7062" s="6" t="s">
        <v>59</v>
      </c>
      <c r="D7062" s="6" t="s">
        <v>511</v>
      </c>
      <c r="E7062" s="6" t="s">
        <v>405</v>
      </c>
      <c r="F7062" s="6" t="str">
        <f>IF($M7062="PADD I","PADD 1",IF($M7062="PADD II","PADD 2",IF($M7062="PADD III","PADD 3",IF($M7062="PADD IV","PADD 4",IF($M7062="PADD V","PADD 5","")))))</f>
        <v>PADD 3</v>
      </c>
      <c r="G7062" s="6" t="str">
        <f>IF(AND($H7062="ATMOS DISTILLATION",ISNUMBER(SEARCH("VPS",$I7062))=FALSE,LEFT($I7062,6)&lt;&gt;"VACUUM"),"CDU",IF($H7062="FLUID CAT CRACKING","FCC",IF(OR($H7062="HYDROCRACKING",$H7062="RESID_HYDROCRACKING"),"Hydrocracker",IF($H7062="REFORMING","Reformer",""))))</f>
        <v>Hydrocracker</v>
      </c>
      <c r="H7062" s="6" t="s">
        <v>444</v>
      </c>
      <c r="I7062" s="6" t="s">
        <v>14</v>
      </c>
      <c r="J7062" s="6" t="s">
        <v>345</v>
      </c>
      <c r="K7062" s="10">
        <v>3</v>
      </c>
      <c r="L7062" s="10">
        <v>50</v>
      </c>
      <c r="M7062" s="6" t="s">
        <v>371</v>
      </c>
    </row>
    <row r="7063" spans="1:13">
      <c r="A7063" s="6">
        <v>2026</v>
      </c>
      <c r="B7063" s="6">
        <v>1</v>
      </c>
      <c r="C7063" s="6" t="s">
        <v>59</v>
      </c>
      <c r="D7063" s="6" t="s">
        <v>615</v>
      </c>
      <c r="E7063" s="6" t="s">
        <v>405</v>
      </c>
      <c r="F7063" s="6" t="str">
        <f>IF($M7063="PADD I","PADD 1",IF($M7063="PADD II","PADD 2",IF($M7063="PADD III","PADD 3",IF($M7063="PADD IV","PADD 4",IF($M7063="PADD V","PADD 5","")))))</f>
        <v>PADD 5</v>
      </c>
      <c r="G7063" s="6">
        <f>IF(AND($H7063="ATMOS DISTILLATION",ISNUMBER(SEARCH("VPS",$I7063))=FALSE,LEFT($I7063,6)&lt;&gt;"VACUUM"),"CDU",IF($H7063="FLUID CAT CRACKING","FCC",IF(OR($H7063="HYDROCRACKING",$H7063="RESID_HYDROCRACKING"),"Hydrocracker",IF($H7063="REFORMING","Reformer",""))))</f>
        <v/>
      </c>
      <c r="H7063" s="6" t="s">
        <v>378</v>
      </c>
      <c r="I7063" s="6" t="s">
        <v>431</v>
      </c>
      <c r="J7063" s="6" t="s">
        <v>349</v>
      </c>
      <c r="K7063" s="10">
        <v>2.7885</v>
      </c>
      <c r="L7063" s="10">
        <v>21.45</v>
      </c>
      <c r="M7063" s="6" t="s">
        <v>386</v>
      </c>
    </row>
    <row r="7064" spans="1:13">
      <c r="A7064" s="6">
        <v>2026</v>
      </c>
      <c r="B7064" s="6">
        <v>1</v>
      </c>
      <c r="C7064" s="6" t="s">
        <v>59</v>
      </c>
      <c r="D7064" s="6" t="s">
        <v>40</v>
      </c>
      <c r="E7064" s="6" t="s">
        <v>736</v>
      </c>
      <c r="F7064" s="6" t="str">
        <f>IF($M7064="PADD I","PADD 1",IF($M7064="PADD II","PADD 2",IF($M7064="PADD III","PADD 3",IF($M7064="PADD IV","PADD 4",IF($M7064="PADD V","PADD 5","")))))</f>
        <v>PADD 1</v>
      </c>
      <c r="G7064" s="6">
        <f>IF(AND($H7064="ATMOS DISTILLATION",ISNUMBER(SEARCH("VPS",$I7064))=FALSE,LEFT($I7064,6)&lt;&gt;"VACUUM"),"CDU",IF($H7064="FLUID CAT CRACKING","FCC",IF(OR($H7064="HYDROCRACKING",$H7064="RESID_HYDROCRACKING"),"Hydrocracker",IF($H7064="REFORMING","Reformer",""))))</f>
        <v/>
      </c>
      <c r="H7064" s="6" t="s">
        <v>378</v>
      </c>
      <c r="I7064" s="6" t="s">
        <v>1009</v>
      </c>
      <c r="J7064" s="6" t="s">
        <v>345</v>
      </c>
      <c r="K7064" s="10">
        <v>2.6</v>
      </c>
      <c r="L7064" s="10">
        <v>26</v>
      </c>
      <c r="M7064" s="6" t="s">
        <v>413</v>
      </c>
    </row>
    <row r="7065" spans="1:13">
      <c r="A7065" s="6">
        <v>2026</v>
      </c>
      <c r="B7065" s="6">
        <v>1</v>
      </c>
      <c r="C7065" s="6" t="s">
        <v>59</v>
      </c>
      <c r="D7065" s="6" t="s">
        <v>960</v>
      </c>
      <c r="E7065" s="6" t="s">
        <v>881</v>
      </c>
      <c r="F7065" s="6" t="str">
        <f>IF($M7065="PADD I","PADD 1",IF($M7065="PADD II","PADD 2",IF($M7065="PADD III","PADD 3",IF($M7065="PADD IV","PADD 4",IF($M7065="PADD V","PADD 5","")))))</f>
        <v>PADD 3</v>
      </c>
      <c r="G7065" s="6">
        <f>IF(AND($H7065="ATMOS DISTILLATION",ISNUMBER(SEARCH("VPS",$I7065))=FALSE,LEFT($I7065,6)&lt;&gt;"VACUUM"),"CDU",IF($H7065="FLUID CAT CRACKING","FCC",IF(OR($H7065="HYDROCRACKING",$H7065="RESID_HYDROCRACKING"),"Hydrocracker",IF($H7065="REFORMING","Reformer",""))))</f>
        <v/>
      </c>
      <c r="H7065" s="6" t="s">
        <v>43</v>
      </c>
      <c r="I7065" s="6" t="s">
        <v>1055</v>
      </c>
      <c r="J7065" s="6" t="s">
        <v>345</v>
      </c>
      <c r="K7065" s="10">
        <v>2.56</v>
      </c>
      <c r="L7065" s="10">
        <v>16</v>
      </c>
      <c r="M7065" s="6" t="s">
        <v>371</v>
      </c>
    </row>
    <row r="7066" spans="1:13">
      <c r="A7066" s="6">
        <v>2026</v>
      </c>
      <c r="B7066" s="6">
        <v>1</v>
      </c>
      <c r="C7066" s="6" t="s">
        <v>59</v>
      </c>
      <c r="D7066" s="6" t="s">
        <v>675</v>
      </c>
      <c r="E7066" s="6" t="s">
        <v>452</v>
      </c>
      <c r="F7066" s="6" t="str">
        <f>IF($M7066="PADD I","PADD 1",IF($M7066="PADD II","PADD 2",IF($M7066="PADD III","PADD 3",IF($M7066="PADD IV","PADD 4",IF($M7066="PADD V","PADD 5","")))))</f>
        <v>PADD 2</v>
      </c>
      <c r="G7066" s="6" t="str">
        <f>IF(AND($H7066="ATMOS DISTILLATION",ISNUMBER(SEARCH("VPS",$I7066))=FALSE,LEFT($I7066,6)&lt;&gt;"VACUUM"),"CDU",IF($H7066="FLUID CAT CRACKING","FCC",IF(OR($H7066="HYDROCRACKING",$H7066="RESID_HYDROCRACKING"),"Hydrocracker",IF($H7066="REFORMING","Reformer",""))))</f>
        <v>CDU</v>
      </c>
      <c r="H7066" s="6" t="s">
        <v>38</v>
      </c>
      <c r="I7066" s="6" t="s">
        <v>81</v>
      </c>
      <c r="J7066" s="6" t="s">
        <v>345</v>
      </c>
      <c r="K7066" s="10">
        <v>2.56</v>
      </c>
      <c r="L7066" s="10">
        <v>16</v>
      </c>
      <c r="M7066" s="6" t="s">
        <v>375</v>
      </c>
    </row>
    <row r="7067" spans="1:13">
      <c r="A7067" s="6">
        <v>2026</v>
      </c>
      <c r="B7067" s="6">
        <v>1</v>
      </c>
      <c r="C7067" s="6" t="s">
        <v>59</v>
      </c>
      <c r="D7067" s="6" t="s">
        <v>331</v>
      </c>
      <c r="E7067" s="6" t="s">
        <v>373</v>
      </c>
      <c r="F7067" s="6" t="str">
        <f>IF($M7067="PADD I","PADD 1",IF($M7067="PADD II","PADD 2",IF($M7067="PADD III","PADD 3",IF($M7067="PADD IV","PADD 4",IF($M7067="PADD V","PADD 5","")))))</f>
        <v>PADD 2</v>
      </c>
      <c r="G7067" s="6" t="str">
        <f>IF(AND($H7067="ATMOS DISTILLATION",ISNUMBER(SEARCH("VPS",$I7067))=FALSE,LEFT($I7067,6)&lt;&gt;"VACUUM"),"CDU",IF($H7067="FLUID CAT CRACKING","FCC",IF(OR($H7067="HYDROCRACKING",$H7067="RESID_HYDROCRACKING"),"Hydrocracker",IF($H7067="REFORMING","Reformer",""))))</f>
        <v>FCC</v>
      </c>
      <c r="H7067" s="6" t="s">
        <v>376</v>
      </c>
      <c r="I7067" s="6" t="s">
        <v>105</v>
      </c>
      <c r="J7067" s="6" t="s">
        <v>345</v>
      </c>
      <c r="K7067" s="10">
        <v>2.4</v>
      </c>
      <c r="L7067" s="10">
        <v>40</v>
      </c>
      <c r="M7067" s="6" t="s">
        <v>375</v>
      </c>
    </row>
    <row r="7068" spans="1:13">
      <c r="A7068" s="6">
        <v>2026</v>
      </c>
      <c r="B7068" s="6">
        <v>1</v>
      </c>
      <c r="C7068" s="6" t="s">
        <v>59</v>
      </c>
      <c r="D7068" s="6" t="s">
        <v>331</v>
      </c>
      <c r="E7068" s="6" t="s">
        <v>373</v>
      </c>
      <c r="F7068" s="6" t="str">
        <f>IF($M7068="PADD I","PADD 1",IF($M7068="PADD II","PADD 2",IF($M7068="PADD III","PADD 3",IF($M7068="PADD IV","PADD 4",IF($M7068="PADD V","PADD 5","")))))</f>
        <v>PADD 2</v>
      </c>
      <c r="G7068" s="6" t="str">
        <f>IF(AND($H7068="ATMOS DISTILLATION",ISNUMBER(SEARCH("VPS",$I7068))=FALSE,LEFT($I7068,6)&lt;&gt;"VACUUM"),"CDU",IF($H7068="FLUID CAT CRACKING","FCC",IF(OR($H7068="HYDROCRACKING",$H7068="RESID_HYDROCRACKING"),"Hydrocracker",IF($H7068="REFORMING","Reformer",""))))</f>
        <v>Reformer</v>
      </c>
      <c r="H7068" s="6" t="s">
        <v>421</v>
      </c>
      <c r="I7068" s="6" t="s">
        <v>916</v>
      </c>
      <c r="J7068" s="6" t="s">
        <v>345</v>
      </c>
      <c r="K7068" s="10">
        <v>2.4</v>
      </c>
      <c r="L7068" s="10">
        <v>40</v>
      </c>
      <c r="M7068" s="6" t="s">
        <v>375</v>
      </c>
    </row>
    <row r="7069" spans="1:13">
      <c r="A7069" s="6">
        <v>2026</v>
      </c>
      <c r="B7069" s="6">
        <v>1</v>
      </c>
      <c r="C7069" s="6" t="s">
        <v>59</v>
      </c>
      <c r="D7069" s="6" t="s">
        <v>335</v>
      </c>
      <c r="E7069" s="6" t="s">
        <v>369</v>
      </c>
      <c r="F7069" s="6" t="str">
        <f>IF($M7069="PADD I","PADD 1",IF($M7069="PADD II","PADD 2",IF($M7069="PADD III","PADD 3",IF($M7069="PADD IV","PADD 4",IF($M7069="PADD V","PADD 5","")))))</f>
        <v>PADD 3</v>
      </c>
      <c r="G7069" s="6" t="str">
        <f>IF(AND($H7069="ATMOS DISTILLATION",ISNUMBER(SEARCH("VPS",$I7069))=FALSE,LEFT($I7069,6)&lt;&gt;"VACUUM"),"CDU",IF($H7069="FLUID CAT CRACKING","FCC",IF(OR($H7069="HYDROCRACKING",$H7069="RESID_HYDROCRACKING"),"Hydrocracker",IF($H7069="REFORMING","Reformer",""))))</f>
        <v>CDU</v>
      </c>
      <c r="H7069" s="6" t="s">
        <v>38</v>
      </c>
      <c r="I7069" s="6" t="s">
        <v>729</v>
      </c>
      <c r="J7069" s="6" t="s">
        <v>345</v>
      </c>
      <c r="K7069" s="10">
        <v>2.4</v>
      </c>
      <c r="L7069" s="10">
        <v>24</v>
      </c>
      <c r="M7069" s="6" t="s">
        <v>371</v>
      </c>
    </row>
    <row r="7070" spans="1:13">
      <c r="A7070" s="6">
        <v>2026</v>
      </c>
      <c r="B7070" s="6">
        <v>1</v>
      </c>
      <c r="C7070" s="6" t="s">
        <v>59</v>
      </c>
      <c r="D7070" s="6" t="s">
        <v>547</v>
      </c>
      <c r="E7070" s="6" t="s">
        <v>391</v>
      </c>
      <c r="F7070" s="6" t="str">
        <f>IF($M7070="PADD I","PADD 1",IF($M7070="PADD II","PADD 2",IF($M7070="PADD III","PADD 3",IF($M7070="PADD IV","PADD 4",IF($M7070="PADD V","PADD 5","")))))</f>
        <v>PADD 5</v>
      </c>
      <c r="G7070" s="6" t="str">
        <f>IF(AND($H7070="ATMOS DISTILLATION",ISNUMBER(SEARCH("VPS",$I7070))=FALSE,LEFT($I7070,6)&lt;&gt;"VACUUM"),"CDU",IF($H7070="FLUID CAT CRACKING","FCC",IF(OR($H7070="HYDROCRACKING",$H7070="RESID_HYDROCRACKING"),"Hydrocracker",IF($H7070="REFORMING","Reformer",""))))</f>
        <v>Reformer</v>
      </c>
      <c r="H7070" s="6" t="s">
        <v>421</v>
      </c>
      <c r="I7070" s="6" t="s">
        <v>1049</v>
      </c>
      <c r="J7070" s="6" t="s">
        <v>345</v>
      </c>
      <c r="K7070" s="10">
        <v>2.4</v>
      </c>
      <c r="L7070" s="10">
        <v>40</v>
      </c>
      <c r="M7070" s="6" t="s">
        <v>386</v>
      </c>
    </row>
    <row r="7071" spans="1:13">
      <c r="A7071" s="6">
        <v>2026</v>
      </c>
      <c r="B7071" s="6">
        <v>1</v>
      </c>
      <c r="C7071" s="6" t="s">
        <v>59</v>
      </c>
      <c r="D7071" s="6" t="s">
        <v>1275</v>
      </c>
      <c r="E7071" s="6" t="s">
        <v>1276</v>
      </c>
      <c r="F7071" s="6" t="str">
        <f>IF($M7071="PADD I","PADD 1",IF($M7071="PADD II","PADD 2",IF($M7071="PADD III","PADD 3",IF($M7071="PADD IV","PADD 4",IF($M7071="PADD V","PADD 5","")))))</f>
        <v>PADD 3</v>
      </c>
      <c r="G7071" s="6">
        <f>IF(AND($H7071="ATMOS DISTILLATION",ISNUMBER(SEARCH("VPS",$I7071))=FALSE,LEFT($I7071,6)&lt;&gt;"VACUUM"),"CDU",IF($H7071="FLUID CAT CRACKING","FCC",IF(OR($H7071="HYDROCRACKING",$H7071="RESID_HYDROCRACKING"),"Hydrocracker",IF($H7071="REFORMING","Reformer",""))))</f>
        <v/>
      </c>
      <c r="H7071" s="6" t="s">
        <v>43</v>
      </c>
      <c r="I7071" s="6" t="s">
        <v>784</v>
      </c>
      <c r="J7071" s="6" t="s">
        <v>349</v>
      </c>
      <c r="K7071" s="10">
        <v>2.25</v>
      </c>
      <c r="L7071" s="10">
        <v>5</v>
      </c>
      <c r="M7071" s="6" t="s">
        <v>371</v>
      </c>
    </row>
    <row r="7072" spans="1:13">
      <c r="A7072" s="6">
        <v>2026</v>
      </c>
      <c r="B7072" s="6">
        <v>1</v>
      </c>
      <c r="C7072" s="6" t="s">
        <v>59</v>
      </c>
      <c r="D7072" s="6" t="s">
        <v>1275</v>
      </c>
      <c r="E7072" s="6" t="s">
        <v>1276</v>
      </c>
      <c r="F7072" s="6" t="str">
        <f>IF($M7072="PADD I","PADD 1",IF($M7072="PADD II","PADD 2",IF($M7072="PADD III","PADD 3",IF($M7072="PADD IV","PADD 4",IF($M7072="PADD V","PADD 5","")))))</f>
        <v>PADD 3</v>
      </c>
      <c r="G7072" s="6">
        <f>IF(AND($H7072="ATMOS DISTILLATION",ISNUMBER(SEARCH("VPS",$I7072))=FALSE,LEFT($I7072,6)&lt;&gt;"VACUUM"),"CDU",IF($H7072="FLUID CAT CRACKING","FCC",IF(OR($H7072="HYDROCRACKING",$H7072="RESID_HYDROCRACKING"),"Hydrocracker",IF($H7072="REFORMING","Reformer",""))))</f>
        <v/>
      </c>
      <c r="H7072" s="6" t="s">
        <v>568</v>
      </c>
      <c r="I7072" s="6" t="s">
        <v>713</v>
      </c>
      <c r="J7072" s="6" t="s">
        <v>349</v>
      </c>
      <c r="K7072" s="10">
        <v>2.25</v>
      </c>
      <c r="L7072" s="10">
        <v>5</v>
      </c>
      <c r="M7072" s="6" t="s">
        <v>371</v>
      </c>
    </row>
    <row r="7073" spans="1:13">
      <c r="A7073" s="6">
        <v>2026</v>
      </c>
      <c r="B7073" s="6">
        <v>1</v>
      </c>
      <c r="C7073" s="6" t="s">
        <v>59</v>
      </c>
      <c r="D7073" s="6" t="s">
        <v>960</v>
      </c>
      <c r="E7073" s="6" t="s">
        <v>881</v>
      </c>
      <c r="F7073" s="6" t="str">
        <f>IF($M7073="PADD I","PADD 1",IF($M7073="PADD II","PADD 2",IF($M7073="PADD III","PADD 3",IF($M7073="PADD IV","PADD 4",IF($M7073="PADD V","PADD 5","")))))</f>
        <v>PADD 3</v>
      </c>
      <c r="G7073" s="6">
        <f>IF(AND($H7073="ATMOS DISTILLATION",ISNUMBER(SEARCH("VPS",$I7073))=FALSE,LEFT($I7073,6)&lt;&gt;"VACUUM"),"CDU",IF($H7073="FLUID CAT CRACKING","FCC",IF(OR($H7073="HYDROCRACKING",$H7073="RESID_HYDROCRACKING"),"Hydrocracker",IF($H7073="REFORMING","Reformer",""))))</f>
        <v/>
      </c>
      <c r="H7073" s="6" t="s">
        <v>43</v>
      </c>
      <c r="I7073" s="6" t="s">
        <v>784</v>
      </c>
      <c r="J7073" s="6" t="s">
        <v>345</v>
      </c>
      <c r="K7073" s="10">
        <v>2.24</v>
      </c>
      <c r="L7073" s="10">
        <v>14</v>
      </c>
      <c r="M7073" s="6" t="s">
        <v>371</v>
      </c>
    </row>
    <row r="7074" spans="1:13">
      <c r="A7074" s="6">
        <v>2026</v>
      </c>
      <c r="B7074" s="6">
        <v>1</v>
      </c>
      <c r="C7074" s="6" t="s">
        <v>59</v>
      </c>
      <c r="D7074" s="6" t="s">
        <v>762</v>
      </c>
      <c r="E7074" s="6" t="s">
        <v>763</v>
      </c>
      <c r="F7074" s="6" t="str">
        <f>IF($M7074="PADD I","PADD 1",IF($M7074="PADD II","PADD 2",IF($M7074="PADD III","PADD 3",IF($M7074="PADD IV","PADD 4",IF($M7074="PADD V","PADD 5","")))))</f>
        <v>PADD 2</v>
      </c>
      <c r="G7074" s="6" t="str">
        <f>IF(AND($H7074="ATMOS DISTILLATION",ISNUMBER(SEARCH("VPS",$I7074))=FALSE,LEFT($I7074,6)&lt;&gt;"VACUUM"),"CDU",IF($H7074="FLUID CAT CRACKING","FCC",IF(OR($H7074="HYDROCRACKING",$H7074="RESID_HYDROCRACKING"),"Hydrocracker",IF($H7074="REFORMING","Reformer",""))))</f>
        <v>CDU</v>
      </c>
      <c r="H7074" s="6" t="s">
        <v>38</v>
      </c>
      <c r="I7074" s="6" t="s">
        <v>330</v>
      </c>
      <c r="J7074" s="6" t="s">
        <v>345</v>
      </c>
      <c r="K7074" s="10">
        <v>2.24</v>
      </c>
      <c r="L7074" s="10">
        <v>14</v>
      </c>
      <c r="M7074" s="6" t="s">
        <v>375</v>
      </c>
    </row>
    <row r="7075" spans="1:13">
      <c r="A7075" s="6">
        <v>2026</v>
      </c>
      <c r="B7075" s="6">
        <v>1</v>
      </c>
      <c r="C7075" s="6" t="s">
        <v>59</v>
      </c>
      <c r="D7075" s="6" t="s">
        <v>934</v>
      </c>
      <c r="E7075" s="6" t="s">
        <v>388</v>
      </c>
      <c r="F7075" s="6" t="str">
        <f>IF($M7075="PADD I","PADD 1",IF($M7075="PADD II","PADD 2",IF($M7075="PADD III","PADD 3",IF($M7075="PADD IV","PADD 4",IF($M7075="PADD V","PADD 5","")))))</f>
        <v>PADD 3</v>
      </c>
      <c r="G7075" s="6">
        <f>IF(AND($H7075="ATMOS DISTILLATION",ISNUMBER(SEARCH("VPS",$I7075))=FALSE,LEFT($I7075,6)&lt;&gt;"VACUUM"),"CDU",IF($H7075="FLUID CAT CRACKING","FCC",IF(OR($H7075="HYDROCRACKING",$H7075="RESID_HYDROCRACKING"),"Hydrocracker",IF($H7075="REFORMING","Reformer",""))))</f>
        <v/>
      </c>
      <c r="H7075" s="6" t="s">
        <v>568</v>
      </c>
      <c r="I7075" s="6" t="s">
        <v>976</v>
      </c>
      <c r="J7075" s="6" t="s">
        <v>349</v>
      </c>
      <c r="K7075" s="10">
        <v>2.1</v>
      </c>
      <c r="L7075" s="10">
        <v>2.5</v>
      </c>
      <c r="M7075" s="6" t="s">
        <v>371</v>
      </c>
    </row>
    <row r="7076" spans="1:13">
      <c r="A7076" s="6">
        <v>2026</v>
      </c>
      <c r="B7076" s="6">
        <v>1</v>
      </c>
      <c r="C7076" s="6" t="s">
        <v>59</v>
      </c>
      <c r="D7076" s="6" t="s">
        <v>331</v>
      </c>
      <c r="E7076" s="6" t="s">
        <v>373</v>
      </c>
      <c r="F7076" s="6" t="str">
        <f>IF($M7076="PADD I","PADD 1",IF($M7076="PADD II","PADD 2",IF($M7076="PADD III","PADD 3",IF($M7076="PADD IV","PADD 4",IF($M7076="PADD V","PADD 5","")))))</f>
        <v>PADD 2</v>
      </c>
      <c r="G7076" s="6">
        <f>IF(AND($H7076="ATMOS DISTILLATION",ISNUMBER(SEARCH("VPS",$I7076))=FALSE,LEFT($I7076,6)&lt;&gt;"VACUUM"),"CDU",IF($H7076="FLUID CAT CRACKING","FCC",IF(OR($H7076="HYDROCRACKING",$H7076="RESID_HYDROCRACKING"),"Hydrocracker",IF($H7076="REFORMING","Reformer",""))))</f>
        <v/>
      </c>
      <c r="H7076" s="6" t="s">
        <v>43</v>
      </c>
      <c r="I7076" s="6" t="s">
        <v>458</v>
      </c>
      <c r="J7076" s="6" t="s">
        <v>345</v>
      </c>
      <c r="K7076" s="10">
        <v>2.1</v>
      </c>
      <c r="L7076" s="10">
        <v>35</v>
      </c>
      <c r="M7076" s="6" t="s">
        <v>375</v>
      </c>
    </row>
    <row r="7077" spans="1:13">
      <c r="A7077" s="6">
        <v>2026</v>
      </c>
      <c r="B7077" s="6">
        <v>1</v>
      </c>
      <c r="C7077" s="6" t="s">
        <v>59</v>
      </c>
      <c r="D7077" s="6" t="s">
        <v>610</v>
      </c>
      <c r="E7077" s="6" t="s">
        <v>611</v>
      </c>
      <c r="F7077" s="6" t="str">
        <f>IF($M7077="PADD I","PADD 1",IF($M7077="PADD II","PADD 2",IF($M7077="PADD III","PADD 3",IF($M7077="PADD IV","PADD 4",IF($M7077="PADD V","PADD 5","")))))</f>
        <v>PADD 2</v>
      </c>
      <c r="G7077" s="6" t="str">
        <f>IF(AND($H7077="ATMOS DISTILLATION",ISNUMBER(SEARCH("VPS",$I7077))=FALSE,LEFT($I7077,6)&lt;&gt;"VACUUM"),"CDU",IF($H7077="FLUID CAT CRACKING","FCC",IF(OR($H7077="HYDROCRACKING",$H7077="RESID_HYDROCRACKING"),"Hydrocracker",IF($H7077="REFORMING","Reformer",""))))</f>
        <v>CDU</v>
      </c>
      <c r="H7077" s="6" t="s">
        <v>38</v>
      </c>
      <c r="I7077" s="6" t="s">
        <v>332</v>
      </c>
      <c r="J7077" s="6" t="s">
        <v>345</v>
      </c>
      <c r="K7077" s="10">
        <v>2.08</v>
      </c>
      <c r="L7077" s="10">
        <v>13</v>
      </c>
      <c r="M7077" s="6" t="s">
        <v>375</v>
      </c>
    </row>
    <row r="7078" spans="1:13">
      <c r="A7078" s="6">
        <v>2026</v>
      </c>
      <c r="B7078" s="6">
        <v>1</v>
      </c>
      <c r="C7078" s="6" t="s">
        <v>59</v>
      </c>
      <c r="D7078" s="6" t="s">
        <v>762</v>
      </c>
      <c r="E7078" s="6" t="s">
        <v>763</v>
      </c>
      <c r="F7078" s="6" t="str">
        <f>IF($M7078="PADD I","PADD 1",IF($M7078="PADD II","PADD 2",IF($M7078="PADD III","PADD 3",IF($M7078="PADD IV","PADD 4",IF($M7078="PADD V","PADD 5","")))))</f>
        <v>PADD 2</v>
      </c>
      <c r="G7078" s="6" t="str">
        <f>IF(AND($H7078="ATMOS DISTILLATION",ISNUMBER(SEARCH("VPS",$I7078))=FALSE,LEFT($I7078,6)&lt;&gt;"VACUUM"),"CDU",IF($H7078="FLUID CAT CRACKING","FCC",IF(OR($H7078="HYDROCRACKING",$H7078="RESID_HYDROCRACKING"),"Hydrocracker",IF($H7078="REFORMING","Reformer",""))))</f>
        <v>FCC</v>
      </c>
      <c r="H7078" s="6" t="s">
        <v>376</v>
      </c>
      <c r="I7078" s="6" t="s">
        <v>105</v>
      </c>
      <c r="J7078" s="6" t="s">
        <v>345</v>
      </c>
      <c r="K7078" s="10">
        <v>2.05</v>
      </c>
      <c r="L7078" s="10">
        <v>20.5</v>
      </c>
      <c r="M7078" s="6" t="s">
        <v>375</v>
      </c>
    </row>
    <row r="7079" spans="1:13">
      <c r="A7079" s="6">
        <v>2026</v>
      </c>
      <c r="B7079" s="6">
        <v>1</v>
      </c>
      <c r="C7079" s="6" t="s">
        <v>59</v>
      </c>
      <c r="D7079" s="6" t="s">
        <v>1275</v>
      </c>
      <c r="E7079" s="6" t="s">
        <v>1276</v>
      </c>
      <c r="F7079" s="6" t="str">
        <f>IF($M7079="PADD I","PADD 1",IF($M7079="PADD II","PADD 2",IF($M7079="PADD III","PADD 3",IF($M7079="PADD IV","PADD 4",IF($M7079="PADD V","PADD 5","")))))</f>
        <v>PADD 3</v>
      </c>
      <c r="G7079" s="6">
        <f>IF(AND($H7079="ATMOS DISTILLATION",ISNUMBER(SEARCH("VPS",$I7079))=FALSE,LEFT($I7079,6)&lt;&gt;"VACUUM"),"CDU",IF($H7079="FLUID CAT CRACKING","FCC",IF(OR($H7079="HYDROCRACKING",$H7079="RESID_HYDROCRACKING"),"Hydrocracker",IF($H7079="REFORMING","Reformer",""))))</f>
        <v/>
      </c>
      <c r="H7079" s="6" t="s">
        <v>43</v>
      </c>
      <c r="I7079" s="6" t="s">
        <v>493</v>
      </c>
      <c r="J7079" s="6" t="s">
        <v>349</v>
      </c>
      <c r="K7079" s="10">
        <v>2.025</v>
      </c>
      <c r="L7079" s="10">
        <v>4.5</v>
      </c>
      <c r="M7079" s="6" t="s">
        <v>371</v>
      </c>
    </row>
    <row r="7080" spans="1:13">
      <c r="A7080" s="6">
        <v>2026</v>
      </c>
      <c r="B7080" s="6">
        <v>1</v>
      </c>
      <c r="C7080" s="6" t="s">
        <v>59</v>
      </c>
      <c r="D7080" s="6" t="s">
        <v>387</v>
      </c>
      <c r="E7080" s="6" t="s">
        <v>388</v>
      </c>
      <c r="F7080" s="6" t="str">
        <f>IF($M7080="PADD I","PADD 1",IF($M7080="PADD II","PADD 2",IF($M7080="PADD III","PADD 3",IF($M7080="PADD IV","PADD 4",IF($M7080="PADD V","PADD 5","")))))</f>
        <v>PADD 3</v>
      </c>
      <c r="G7080" s="6" t="str">
        <f>IF(AND($H7080="ATMOS DISTILLATION",ISNUMBER(SEARCH("VPS",$I7080))=FALSE,LEFT($I7080,6)&lt;&gt;"VACUUM"),"CDU",IF($H7080="FLUID CAT CRACKING","FCC",IF(OR($H7080="HYDROCRACKING",$H7080="RESID_HYDROCRACKING"),"Hydrocracker",IF($H7080="REFORMING","Reformer",""))))</f>
        <v>Reformer</v>
      </c>
      <c r="H7080" s="6" t="s">
        <v>421</v>
      </c>
      <c r="I7080" s="6" t="s">
        <v>583</v>
      </c>
      <c r="J7080" s="6" t="s">
        <v>345</v>
      </c>
      <c r="K7080" s="10">
        <v>1.95</v>
      </c>
      <c r="L7080" s="10">
        <v>65</v>
      </c>
      <c r="M7080" s="6" t="s">
        <v>371</v>
      </c>
    </row>
    <row r="7081" spans="1:13">
      <c r="A7081" s="6">
        <v>2026</v>
      </c>
      <c r="B7081" s="6">
        <v>1</v>
      </c>
      <c r="C7081" s="6" t="s">
        <v>59</v>
      </c>
      <c r="D7081" s="6" t="s">
        <v>756</v>
      </c>
      <c r="E7081" s="6" t="s">
        <v>757</v>
      </c>
      <c r="F7081" s="6" t="str">
        <f>IF($M7081="PADD I","PADD 1",IF($M7081="PADD II","PADD 2",IF($M7081="PADD III","PADD 3",IF($M7081="PADD IV","PADD 4",IF($M7081="PADD V","PADD 5","")))))</f>
        <v>PADD 3</v>
      </c>
      <c r="G7081" s="6" t="str">
        <f>IF(AND($H7081="ATMOS DISTILLATION",ISNUMBER(SEARCH("VPS",$I7081))=FALSE,LEFT($I7081,6)&lt;&gt;"VACUUM"),"CDU",IF($H7081="FLUID CAT CRACKING","FCC",IF(OR($H7081="HYDROCRACKING",$H7081="RESID_HYDROCRACKING"),"Hydrocracker",IF($H7081="REFORMING","Reformer",""))))</f>
        <v>CDU</v>
      </c>
      <c r="H7081" s="6" t="s">
        <v>38</v>
      </c>
      <c r="I7081" s="6" t="s">
        <v>81</v>
      </c>
      <c r="J7081" s="6" t="s">
        <v>345</v>
      </c>
      <c r="K7081" s="10">
        <v>1.95</v>
      </c>
      <c r="L7081" s="10">
        <v>15</v>
      </c>
      <c r="M7081" s="6" t="s">
        <v>371</v>
      </c>
    </row>
    <row r="7082" spans="1:13">
      <c r="A7082" s="6">
        <v>2026</v>
      </c>
      <c r="B7082" s="6">
        <v>1</v>
      </c>
      <c r="C7082" s="6" t="s">
        <v>59</v>
      </c>
      <c r="D7082" s="6" t="s">
        <v>615</v>
      </c>
      <c r="E7082" s="6" t="s">
        <v>405</v>
      </c>
      <c r="F7082" s="6" t="str">
        <f>IF($M7082="PADD I","PADD 1",IF($M7082="PADD II","PADD 2",IF($M7082="PADD III","PADD 3",IF($M7082="PADD IV","PADD 4",IF($M7082="PADD V","PADD 5","")))))</f>
        <v>PADD 5</v>
      </c>
      <c r="G7082" s="6">
        <f>IF(AND($H7082="ATMOS DISTILLATION",ISNUMBER(SEARCH("VPS",$I7082))=FALSE,LEFT($I7082,6)&lt;&gt;"VACUUM"),"CDU",IF($H7082="FLUID CAT CRACKING","FCC",IF(OR($H7082="HYDROCRACKING",$H7082="RESID_HYDROCRACKING"),"Hydrocracker",IF($H7082="REFORMING","Reformer",""))))</f>
        <v/>
      </c>
      <c r="H7082" s="6" t="s">
        <v>43</v>
      </c>
      <c r="I7082" s="6" t="s">
        <v>1308</v>
      </c>
      <c r="J7082" s="6" t="s">
        <v>349</v>
      </c>
      <c r="K7082" s="10">
        <v>1.9305</v>
      </c>
      <c r="L7082" s="10">
        <v>14.85</v>
      </c>
      <c r="M7082" s="6" t="s">
        <v>386</v>
      </c>
    </row>
    <row r="7083" spans="1:13">
      <c r="A7083" s="6">
        <v>2026</v>
      </c>
      <c r="B7083" s="6">
        <v>1</v>
      </c>
      <c r="C7083" s="6" t="s">
        <v>59</v>
      </c>
      <c r="D7083" s="6" t="s">
        <v>331</v>
      </c>
      <c r="E7083" s="6" t="s">
        <v>373</v>
      </c>
      <c r="F7083" s="6" t="str">
        <f>IF($M7083="PADD I","PADD 1",IF($M7083="PADD II","PADD 2",IF($M7083="PADD III","PADD 3",IF($M7083="PADD IV","PADD 4",IF($M7083="PADD V","PADD 5","")))))</f>
        <v>PADD 2</v>
      </c>
      <c r="G7083" s="6">
        <f>IF(AND($H7083="ATMOS DISTILLATION",ISNUMBER(SEARCH("VPS",$I7083))=FALSE,LEFT($I7083,6)&lt;&gt;"VACUUM"),"CDU",IF($H7083="FLUID CAT CRACKING","FCC",IF(OR($H7083="HYDROCRACKING",$H7083="RESID_HYDROCRACKING"),"Hydrocracker",IF($H7083="REFORMING","Reformer",""))))</f>
        <v/>
      </c>
      <c r="H7083" s="6" t="s">
        <v>435</v>
      </c>
      <c r="I7083" s="6" t="s">
        <v>441</v>
      </c>
      <c r="J7083" s="6" t="s">
        <v>345</v>
      </c>
      <c r="K7083" s="10">
        <v>1.878</v>
      </c>
      <c r="L7083" s="10">
        <v>31.3</v>
      </c>
      <c r="M7083" s="6" t="s">
        <v>375</v>
      </c>
    </row>
    <row r="7084" spans="1:13">
      <c r="A7084" s="6">
        <v>2026</v>
      </c>
      <c r="B7084" s="6">
        <v>1</v>
      </c>
      <c r="C7084" s="6" t="s">
        <v>59</v>
      </c>
      <c r="D7084" s="6" t="s">
        <v>331</v>
      </c>
      <c r="E7084" s="6" t="s">
        <v>373</v>
      </c>
      <c r="F7084" s="6" t="str">
        <f>IF($M7084="PADD I","PADD 1",IF($M7084="PADD II","PADD 2",IF($M7084="PADD III","PADD 3",IF($M7084="PADD IV","PADD 4",IF($M7084="PADD V","PADD 5","")))))</f>
        <v>PADD 2</v>
      </c>
      <c r="G7084" s="6">
        <f>IF(AND($H7084="ATMOS DISTILLATION",ISNUMBER(SEARCH("VPS",$I7084))=FALSE,LEFT($I7084,6)&lt;&gt;"VACUUM"),"CDU",IF($H7084="FLUID CAT CRACKING","FCC",IF(OR($H7084="HYDROCRACKING",$H7084="RESID_HYDROCRACKING"),"Hydrocracker",IF($H7084="REFORMING","Reformer",""))))</f>
        <v/>
      </c>
      <c r="H7084" s="6" t="s">
        <v>43</v>
      </c>
      <c r="I7084" s="6" t="s">
        <v>920</v>
      </c>
      <c r="J7084" s="6" t="s">
        <v>345</v>
      </c>
      <c r="K7084" s="10">
        <v>1.8</v>
      </c>
      <c r="L7084" s="10">
        <v>30</v>
      </c>
      <c r="M7084" s="6" t="s">
        <v>375</v>
      </c>
    </row>
    <row r="7085" spans="1:13">
      <c r="A7085" s="6">
        <v>2026</v>
      </c>
      <c r="B7085" s="6">
        <v>1</v>
      </c>
      <c r="C7085" s="6" t="s">
        <v>59</v>
      </c>
      <c r="D7085" s="6" t="s">
        <v>615</v>
      </c>
      <c r="E7085" s="6" t="s">
        <v>405</v>
      </c>
      <c r="F7085" s="6" t="str">
        <f>IF($M7085="PADD I","PADD 1",IF($M7085="PADD II","PADD 2",IF($M7085="PADD III","PADD 3",IF($M7085="PADD IV","PADD 4",IF($M7085="PADD V","PADD 5","")))))</f>
        <v>PADD 5</v>
      </c>
      <c r="G7085" s="6">
        <f>IF(AND($H7085="ATMOS DISTILLATION",ISNUMBER(SEARCH("VPS",$I7085))=FALSE,LEFT($I7085,6)&lt;&gt;"VACUUM"),"CDU",IF($H7085="FLUID CAT CRACKING","FCC",IF(OR($H7085="HYDROCRACKING",$H7085="RESID_HYDROCRACKING"),"Hydrocracker",IF($H7085="REFORMING","Reformer",""))))</f>
        <v/>
      </c>
      <c r="H7085" s="6" t="s">
        <v>43</v>
      </c>
      <c r="I7085" s="6" t="s">
        <v>1238</v>
      </c>
      <c r="J7085" s="6" t="s">
        <v>349</v>
      </c>
      <c r="K7085" s="10">
        <v>1.7589</v>
      </c>
      <c r="L7085" s="10">
        <v>13.53</v>
      </c>
      <c r="M7085" s="6" t="s">
        <v>386</v>
      </c>
    </row>
    <row r="7086" spans="1:13">
      <c r="A7086" s="6">
        <v>2026</v>
      </c>
      <c r="B7086" s="6">
        <v>1</v>
      </c>
      <c r="C7086" s="6" t="s">
        <v>59</v>
      </c>
      <c r="D7086" s="6" t="s">
        <v>762</v>
      </c>
      <c r="E7086" s="6" t="s">
        <v>763</v>
      </c>
      <c r="F7086" s="6" t="str">
        <f>IF($M7086="PADD I","PADD 1",IF($M7086="PADD II","PADD 2",IF($M7086="PADD III","PADD 3",IF($M7086="PADD IV","PADD 4",IF($M7086="PADD V","PADD 5","")))))</f>
        <v>PADD 2</v>
      </c>
      <c r="G7086" s="6">
        <f>IF(AND($H7086="ATMOS DISTILLATION",ISNUMBER(SEARCH("VPS",$I7086))=FALSE,LEFT($I7086,6)&lt;&gt;"VACUUM"),"CDU",IF($H7086="FLUID CAT CRACKING","FCC",IF(OR($H7086="HYDROCRACKING",$H7086="RESID_HYDROCRACKING"),"Hydrocracker",IF($H7086="REFORMING","Reformer",""))))</f>
        <v/>
      </c>
      <c r="H7086" s="6" t="s">
        <v>43</v>
      </c>
      <c r="I7086" s="6" t="s">
        <v>458</v>
      </c>
      <c r="J7086" s="6" t="s">
        <v>345</v>
      </c>
      <c r="K7086" s="10">
        <v>1.69</v>
      </c>
      <c r="L7086" s="10">
        <v>13</v>
      </c>
      <c r="M7086" s="6" t="s">
        <v>375</v>
      </c>
    </row>
    <row r="7087" spans="1:13">
      <c r="A7087" s="6">
        <v>2026</v>
      </c>
      <c r="B7087" s="6">
        <v>1</v>
      </c>
      <c r="C7087" s="6" t="s">
        <v>59</v>
      </c>
      <c r="D7087" s="6" t="s">
        <v>878</v>
      </c>
      <c r="E7087" s="6" t="s">
        <v>452</v>
      </c>
      <c r="F7087" s="6" t="str">
        <f>IF($M7087="PADD I","PADD 1",IF($M7087="PADD II","PADD 2",IF($M7087="PADD III","PADD 3",IF($M7087="PADD IV","PADD 4",IF($M7087="PADD V","PADD 5","")))))</f>
        <v>PADD 2</v>
      </c>
      <c r="G7087" s="6">
        <f>IF(AND($H7087="ATMOS DISTILLATION",ISNUMBER(SEARCH("VPS",$I7087))=FALSE,LEFT($I7087,6)&lt;&gt;"VACUUM"),"CDU",IF($H7087="FLUID CAT CRACKING","FCC",IF(OR($H7087="HYDROCRACKING",$H7087="RESID_HYDROCRACKING"),"Hydrocracker",IF($H7087="REFORMING","Reformer",""))))</f>
        <v/>
      </c>
      <c r="H7087" s="6" t="s">
        <v>435</v>
      </c>
      <c r="I7087" s="6" t="s">
        <v>441</v>
      </c>
      <c r="J7087" s="6" t="s">
        <v>345</v>
      </c>
      <c r="K7087" s="10">
        <v>1.615</v>
      </c>
      <c r="L7087" s="10">
        <v>8.5</v>
      </c>
      <c r="M7087" s="6" t="s">
        <v>375</v>
      </c>
    </row>
    <row r="7088" spans="1:13">
      <c r="A7088" s="6">
        <v>2026</v>
      </c>
      <c r="B7088" s="6">
        <v>1</v>
      </c>
      <c r="C7088" s="6" t="s">
        <v>59</v>
      </c>
      <c r="D7088" s="6" t="s">
        <v>1063</v>
      </c>
      <c r="E7088" s="6" t="s">
        <v>388</v>
      </c>
      <c r="F7088" s="6" t="str">
        <f>IF($M7088="PADD I","PADD 1",IF($M7088="PADD II","PADD 2",IF($M7088="PADD III","PADD 3",IF($M7088="PADD IV","PADD 4",IF($M7088="PADD V","PADD 5","")))))</f>
        <v>PADD 2</v>
      </c>
      <c r="G7088" s="6">
        <f>IF(AND($H7088="ATMOS DISTILLATION",ISNUMBER(SEARCH("VPS",$I7088))=FALSE,LEFT($I7088,6)&lt;&gt;"VACUUM"),"CDU",IF($H7088="FLUID CAT CRACKING","FCC",IF(OR($H7088="HYDROCRACKING",$H7088="RESID_HYDROCRACKING"),"Hydrocracker",IF($H7088="REFORMING","Reformer",""))))</f>
        <v/>
      </c>
      <c r="H7088" s="6" t="s">
        <v>43</v>
      </c>
      <c r="I7088" s="6" t="s">
        <v>1072</v>
      </c>
      <c r="J7088" s="6" t="s">
        <v>345</v>
      </c>
      <c r="K7088" s="10">
        <v>1.61</v>
      </c>
      <c r="L7088" s="10">
        <v>7</v>
      </c>
      <c r="M7088" s="6" t="s">
        <v>375</v>
      </c>
    </row>
    <row r="7089" spans="1:13">
      <c r="A7089" s="6">
        <v>2026</v>
      </c>
      <c r="B7089" s="6">
        <v>1</v>
      </c>
      <c r="C7089" s="6" t="s">
        <v>59</v>
      </c>
      <c r="D7089" s="6" t="s">
        <v>484</v>
      </c>
      <c r="E7089" s="6" t="s">
        <v>409</v>
      </c>
      <c r="F7089" s="6" t="str">
        <f>IF($M7089="PADD I","PADD 1",IF($M7089="PADD II","PADD 2",IF($M7089="PADD III","PADD 3",IF($M7089="PADD IV","PADD 4",IF($M7089="PADD V","PADD 5","")))))</f>
        <v>PADD 3</v>
      </c>
      <c r="G7089" s="6">
        <f>IF(AND($H7089="ATMOS DISTILLATION",ISNUMBER(SEARCH("VPS",$I7089))=FALSE,LEFT($I7089,6)&lt;&gt;"VACUUM"),"CDU",IF($H7089="FLUID CAT CRACKING","FCC",IF(OR($H7089="HYDROCRACKING",$H7089="RESID_HYDROCRACKING"),"Hydrocracker",IF($H7089="REFORMING","Reformer",""))))</f>
        <v/>
      </c>
      <c r="H7089" s="6" t="s">
        <v>43</v>
      </c>
      <c r="I7089" s="6" t="s">
        <v>493</v>
      </c>
      <c r="J7089" s="6" t="s">
        <v>345</v>
      </c>
      <c r="K7089" s="10">
        <v>1.6</v>
      </c>
      <c r="L7089" s="10">
        <v>10</v>
      </c>
      <c r="M7089" s="6" t="s">
        <v>371</v>
      </c>
    </row>
    <row r="7090" spans="1:13">
      <c r="A7090" s="6">
        <v>2026</v>
      </c>
      <c r="B7090" s="6">
        <v>1</v>
      </c>
      <c r="C7090" s="6" t="s">
        <v>59</v>
      </c>
      <c r="D7090" s="6" t="s">
        <v>331</v>
      </c>
      <c r="E7090" s="6" t="s">
        <v>373</v>
      </c>
      <c r="F7090" s="6" t="str">
        <f>IF($M7090="PADD I","PADD 1",IF($M7090="PADD II","PADD 2",IF($M7090="PADD III","PADD 3",IF($M7090="PADD IV","PADD 4",IF($M7090="PADD V","PADD 5","")))))</f>
        <v>PADD 2</v>
      </c>
      <c r="G7090" s="6" t="str">
        <f>IF(AND($H7090="ATMOS DISTILLATION",ISNUMBER(SEARCH("VPS",$I7090))=FALSE,LEFT($I7090,6)&lt;&gt;"VACUUM"),"CDU",IF($H7090="FLUID CAT CRACKING","FCC",IF(OR($H7090="HYDROCRACKING",$H7090="RESID_HYDROCRACKING"),"Hydrocracker",IF($H7090="REFORMING","Reformer",""))))</f>
        <v>Hydrocracker</v>
      </c>
      <c r="H7090" s="6" t="s">
        <v>444</v>
      </c>
      <c r="I7090" s="6" t="s">
        <v>445</v>
      </c>
      <c r="J7090" s="6" t="s">
        <v>345</v>
      </c>
      <c r="K7090" s="10">
        <v>1.56</v>
      </c>
      <c r="L7090" s="10">
        <v>26</v>
      </c>
      <c r="M7090" s="6" t="s">
        <v>375</v>
      </c>
    </row>
    <row r="7091" spans="1:13">
      <c r="A7091" s="6">
        <v>2026</v>
      </c>
      <c r="B7091" s="6">
        <v>1</v>
      </c>
      <c r="C7091" s="6" t="s">
        <v>59</v>
      </c>
      <c r="D7091" s="6" t="s">
        <v>662</v>
      </c>
      <c r="E7091" s="6" t="s">
        <v>552</v>
      </c>
      <c r="F7091" s="6" t="str">
        <f>IF($M7091="PADD I","PADD 1",IF($M7091="PADD II","PADD 2",IF($M7091="PADD III","PADD 3",IF($M7091="PADD IV","PADD 4",IF($M7091="PADD V","PADD 5","")))))</f>
        <v>PADD 3</v>
      </c>
      <c r="G7091" s="6" t="str">
        <f>IF(AND($H7091="ATMOS DISTILLATION",ISNUMBER(SEARCH("VPS",$I7091))=FALSE,LEFT($I7091,6)&lt;&gt;"VACUUM"),"CDU",IF($H7091="FLUID CAT CRACKING","FCC",IF(OR($H7091="HYDROCRACKING",$H7091="RESID_HYDROCRACKING"),"Hydrocracker",IF($H7091="REFORMING","Reformer",""))))</f>
        <v>FCC</v>
      </c>
      <c r="H7091" s="6" t="s">
        <v>376</v>
      </c>
      <c r="I7091" s="6" t="s">
        <v>105</v>
      </c>
      <c r="J7091" s="6" t="s">
        <v>349</v>
      </c>
      <c r="K7091" s="10">
        <v>1.5</v>
      </c>
      <c r="L7091" s="10">
        <v>25</v>
      </c>
      <c r="M7091" s="6" t="s">
        <v>371</v>
      </c>
    </row>
    <row r="7092" spans="1:13">
      <c r="A7092" s="6">
        <v>2026</v>
      </c>
      <c r="B7092" s="6">
        <v>1</v>
      </c>
      <c r="C7092" s="6" t="s">
        <v>59</v>
      </c>
      <c r="D7092" s="6" t="s">
        <v>628</v>
      </c>
      <c r="E7092" s="6" t="s">
        <v>388</v>
      </c>
      <c r="F7092" s="6" t="str">
        <f>IF($M7092="PADD I","PADD 1",IF($M7092="PADD II","PADD 2",IF($M7092="PADD III","PADD 3",IF($M7092="PADD IV","PADD 4",IF($M7092="PADD V","PADD 5","")))))</f>
        <v>PADD 3</v>
      </c>
      <c r="G7092" s="6" t="str">
        <f>IF(AND($H7092="ATMOS DISTILLATION",ISNUMBER(SEARCH("VPS",$I7092))=FALSE,LEFT($I7092,6)&lt;&gt;"VACUUM"),"CDU",IF($H7092="FLUID CAT CRACKING","FCC",IF(OR($H7092="HYDROCRACKING",$H7092="RESID_HYDROCRACKING"),"Hydrocracker",IF($H7092="REFORMING","Reformer",""))))</f>
        <v>CDU</v>
      </c>
      <c r="H7092" s="6" t="s">
        <v>38</v>
      </c>
      <c r="I7092" s="6" t="s">
        <v>1048</v>
      </c>
      <c r="J7092" s="6" t="s">
        <v>345</v>
      </c>
      <c r="K7092" s="10">
        <v>1.44</v>
      </c>
      <c r="L7092" s="10">
        <v>9</v>
      </c>
      <c r="M7092" s="6" t="s">
        <v>371</v>
      </c>
    </row>
    <row r="7093" spans="1:13">
      <c r="A7093" s="6">
        <v>2026</v>
      </c>
      <c r="B7093" s="6">
        <v>1</v>
      </c>
      <c r="C7093" s="6" t="s">
        <v>59</v>
      </c>
      <c r="D7093" s="6" t="s">
        <v>531</v>
      </c>
      <c r="E7093" s="6" t="s">
        <v>532</v>
      </c>
      <c r="F7093" s="6" t="str">
        <f>IF($M7093="PADD I","PADD 1",IF($M7093="PADD II","PADD 2",IF($M7093="PADD III","PADD 3",IF($M7093="PADD IV","PADD 4",IF($M7093="PADD V","PADD 5","")))))</f>
        <v>PADD 5</v>
      </c>
      <c r="G7093" s="6" t="str">
        <f>IF(AND($H7093="ATMOS DISTILLATION",ISNUMBER(SEARCH("VPS",$I7093))=FALSE,LEFT($I7093,6)&lt;&gt;"VACUUM"),"CDU",IF($H7093="FLUID CAT CRACKING","FCC",IF(OR($H7093="HYDROCRACKING",$H7093="RESID_HYDROCRACKING"),"Hydrocracker",IF($H7093="REFORMING","Reformer",""))))</f>
        <v>Hydrocracker</v>
      </c>
      <c r="H7093" s="6" t="s">
        <v>444</v>
      </c>
      <c r="I7093" s="6" t="s">
        <v>14</v>
      </c>
      <c r="J7093" s="6" t="s">
        <v>345</v>
      </c>
      <c r="K7093" s="10">
        <v>1.44</v>
      </c>
      <c r="L7093" s="10">
        <v>24</v>
      </c>
      <c r="M7093" s="6" t="s">
        <v>386</v>
      </c>
    </row>
    <row r="7094" spans="1:13">
      <c r="A7094" s="6">
        <v>2026</v>
      </c>
      <c r="B7094" s="6">
        <v>1</v>
      </c>
      <c r="C7094" s="6" t="s">
        <v>59</v>
      </c>
      <c r="D7094" s="6" t="s">
        <v>788</v>
      </c>
      <c r="E7094" s="6" t="s">
        <v>405</v>
      </c>
      <c r="F7094" s="6" t="str">
        <f>IF($M7094="PADD I","PADD 1",IF($M7094="PADD II","PADD 2",IF($M7094="PADD III","PADD 3",IF($M7094="PADD IV","PADD 4",IF($M7094="PADD V","PADD 5","")))))</f>
        <v>PADD 3</v>
      </c>
      <c r="G7094" s="6" t="str">
        <f>IF(AND($H7094="ATMOS DISTILLATION",ISNUMBER(SEARCH("VPS",$I7094))=FALSE,LEFT($I7094,6)&lt;&gt;"VACUUM"),"CDU",IF($H7094="FLUID CAT CRACKING","FCC",IF(OR($H7094="HYDROCRACKING",$H7094="RESID_HYDROCRACKING"),"Hydrocracker",IF($H7094="REFORMING","Reformer",""))))</f>
        <v>CDU</v>
      </c>
      <c r="H7094" s="6" t="s">
        <v>38</v>
      </c>
      <c r="I7094" s="6" t="s">
        <v>135</v>
      </c>
      <c r="J7094" s="6" t="s">
        <v>345</v>
      </c>
      <c r="K7094" s="10">
        <v>1.4</v>
      </c>
      <c r="L7094" s="10">
        <v>14</v>
      </c>
      <c r="M7094" s="6" t="s">
        <v>371</v>
      </c>
    </row>
    <row r="7095" spans="1:13">
      <c r="A7095" s="6">
        <v>2026</v>
      </c>
      <c r="B7095" s="6">
        <v>1</v>
      </c>
      <c r="C7095" s="6" t="s">
        <v>59</v>
      </c>
      <c r="D7095" s="6" t="s">
        <v>960</v>
      </c>
      <c r="E7095" s="6" t="s">
        <v>881</v>
      </c>
      <c r="F7095" s="6" t="str">
        <f>IF($M7095="PADD I","PADD 1",IF($M7095="PADD II","PADD 2",IF($M7095="PADD III","PADD 3",IF($M7095="PADD IV","PADD 4",IF($M7095="PADD V","PADD 5","")))))</f>
        <v>PADD 3</v>
      </c>
      <c r="G7095" s="6">
        <f>IF(AND($H7095="ATMOS DISTILLATION",ISNUMBER(SEARCH("VPS",$I7095))=FALSE,LEFT($I7095,6)&lt;&gt;"VACUUM"),"CDU",IF($H7095="FLUID CAT CRACKING","FCC",IF(OR($H7095="HYDROCRACKING",$H7095="RESID_HYDROCRACKING"),"Hydrocracker",IF($H7095="REFORMING","Reformer",""))))</f>
        <v/>
      </c>
      <c r="H7095" s="6" t="s">
        <v>637</v>
      </c>
      <c r="I7095" s="6" t="s">
        <v>1347</v>
      </c>
      <c r="J7095" s="6" t="s">
        <v>345</v>
      </c>
      <c r="K7095" s="10">
        <v>1.376</v>
      </c>
      <c r="L7095" s="10">
        <v>8.6</v>
      </c>
      <c r="M7095" s="6" t="s">
        <v>371</v>
      </c>
    </row>
    <row r="7096" spans="1:13">
      <c r="A7096" s="6">
        <v>2026</v>
      </c>
      <c r="B7096" s="6">
        <v>1</v>
      </c>
      <c r="C7096" s="6" t="s">
        <v>59</v>
      </c>
      <c r="D7096" s="6" t="s">
        <v>50</v>
      </c>
      <c r="E7096" s="6" t="s">
        <v>381</v>
      </c>
      <c r="F7096" s="6" t="str">
        <f>IF($M7096="PADD I","PADD 1",IF($M7096="PADD II","PADD 2",IF($M7096="PADD III","PADD 3",IF($M7096="PADD IV","PADD 4",IF($M7096="PADD V","PADD 5","")))))</f>
        <v>PADD 3</v>
      </c>
      <c r="G7096" s="6" t="str">
        <f>IF(AND($H7096="ATMOS DISTILLATION",ISNUMBER(SEARCH("VPS",$I7096))=FALSE,LEFT($I7096,6)&lt;&gt;"VACUUM"),"CDU",IF($H7096="FLUID CAT CRACKING","FCC",IF(OR($H7096="HYDROCRACKING",$H7096="RESID_HYDROCRACKING"),"Hydrocracker",IF($H7096="REFORMING","Reformer",""))))</f>
        <v>FCC</v>
      </c>
      <c r="H7096" s="6" t="s">
        <v>376</v>
      </c>
      <c r="I7096" s="6" t="s">
        <v>102</v>
      </c>
      <c r="J7096" s="6" t="s">
        <v>345</v>
      </c>
      <c r="K7096" s="10">
        <v>1.3</v>
      </c>
      <c r="L7096" s="10">
        <v>13</v>
      </c>
      <c r="M7096" s="6" t="s">
        <v>371</v>
      </c>
    </row>
    <row r="7097" spans="1:13">
      <c r="A7097" s="6">
        <v>2026</v>
      </c>
      <c r="B7097" s="6">
        <v>1</v>
      </c>
      <c r="C7097" s="6" t="s">
        <v>59</v>
      </c>
      <c r="D7097" s="6" t="s">
        <v>380</v>
      </c>
      <c r="E7097" s="6" t="s">
        <v>381</v>
      </c>
      <c r="F7097" s="6" t="str">
        <f>IF($M7097="PADD I","PADD 1",IF($M7097="PADD II","PADD 2",IF($M7097="PADD III","PADD 3",IF($M7097="PADD IV","PADD 4",IF($M7097="PADD V","PADD 5","")))))</f>
        <v>PADD 3</v>
      </c>
      <c r="G7097" s="6">
        <f>IF(AND($H7097="ATMOS DISTILLATION",ISNUMBER(SEARCH("VPS",$I7097))=FALSE,LEFT($I7097,6)&lt;&gt;"VACUUM"),"CDU",IF($H7097="FLUID CAT CRACKING","FCC",IF(OR($H7097="HYDROCRACKING",$H7097="RESID_HYDROCRACKING"),"Hydrocracker",IF($H7097="REFORMING","Reformer",""))))</f>
        <v/>
      </c>
      <c r="H7097" s="6" t="s">
        <v>435</v>
      </c>
      <c r="I7097" s="6" t="s">
        <v>477</v>
      </c>
      <c r="J7097" s="6" t="s">
        <v>345</v>
      </c>
      <c r="K7097" s="10">
        <v>1.3</v>
      </c>
      <c r="L7097" s="10">
        <v>10</v>
      </c>
      <c r="M7097" s="6" t="s">
        <v>371</v>
      </c>
    </row>
    <row r="7098" spans="1:13">
      <c r="A7098" s="6">
        <v>2026</v>
      </c>
      <c r="B7098" s="6">
        <v>1</v>
      </c>
      <c r="C7098" s="6" t="s">
        <v>59</v>
      </c>
      <c r="D7098" s="6" t="s">
        <v>960</v>
      </c>
      <c r="E7098" s="6" t="s">
        <v>881</v>
      </c>
      <c r="F7098" s="6" t="str">
        <f>IF($M7098="PADD I","PADD 1",IF($M7098="PADD II","PADD 2",IF($M7098="PADD III","PADD 3",IF($M7098="PADD IV","PADD 4",IF($M7098="PADD V","PADD 5","")))))</f>
        <v>PADD 3</v>
      </c>
      <c r="G7098" s="6">
        <f>IF(AND($H7098="ATMOS DISTILLATION",ISNUMBER(SEARCH("VPS",$I7098))=FALSE,LEFT($I7098,6)&lt;&gt;"VACUUM"),"CDU",IF($H7098="FLUID CAT CRACKING","FCC",IF(OR($H7098="HYDROCRACKING",$H7098="RESID_HYDROCRACKING"),"Hydrocracker",IF($H7098="REFORMING","Reformer",""))))</f>
        <v/>
      </c>
      <c r="H7098" s="6" t="s">
        <v>43</v>
      </c>
      <c r="I7098" s="6" t="s">
        <v>961</v>
      </c>
      <c r="J7098" s="6" t="s">
        <v>345</v>
      </c>
      <c r="K7098" s="10">
        <v>1.28</v>
      </c>
      <c r="L7098" s="10">
        <v>8</v>
      </c>
      <c r="M7098" s="6" t="s">
        <v>371</v>
      </c>
    </row>
    <row r="7099" spans="1:13">
      <c r="A7099" s="6">
        <v>2026</v>
      </c>
      <c r="B7099" s="6">
        <v>1</v>
      </c>
      <c r="C7099" s="6" t="s">
        <v>59</v>
      </c>
      <c r="D7099" s="6" t="s">
        <v>739</v>
      </c>
      <c r="E7099" s="6" t="s">
        <v>405</v>
      </c>
      <c r="F7099" s="6" t="str">
        <f>IF($M7099="PADD I","PADD 1",IF($M7099="PADD II","PADD 2",IF($M7099="PADD III","PADD 3",IF($M7099="PADD IV","PADD 4",IF($M7099="PADD V","PADD 5","")))))</f>
        <v>PADD 2</v>
      </c>
      <c r="G7099" s="6" t="str">
        <f>IF(AND($H7099="ATMOS DISTILLATION",ISNUMBER(SEARCH("VPS",$I7099))=FALSE,LEFT($I7099,6)&lt;&gt;"VACUUM"),"CDU",IF($H7099="FLUID CAT CRACKING","FCC",IF(OR($H7099="HYDROCRACKING",$H7099="RESID_HYDROCRACKING"),"Hydrocracker",IF($H7099="REFORMING","Reformer",""))))</f>
        <v>CDU</v>
      </c>
      <c r="H7099" s="6" t="s">
        <v>38</v>
      </c>
      <c r="I7099" s="6" t="s">
        <v>133</v>
      </c>
      <c r="J7099" s="6" t="s">
        <v>345</v>
      </c>
      <c r="K7099" s="10">
        <v>1.28</v>
      </c>
      <c r="L7099" s="10">
        <v>8</v>
      </c>
      <c r="M7099" s="6" t="s">
        <v>375</v>
      </c>
    </row>
    <row r="7100" spans="1:13">
      <c r="A7100" s="6">
        <v>2026</v>
      </c>
      <c r="B7100" s="6">
        <v>1</v>
      </c>
      <c r="C7100" s="6" t="s">
        <v>59</v>
      </c>
      <c r="D7100" s="6" t="s">
        <v>615</v>
      </c>
      <c r="E7100" s="6" t="s">
        <v>405</v>
      </c>
      <c r="F7100" s="6" t="str">
        <f>IF($M7100="PADD I","PADD 1",IF($M7100="PADD II","PADD 2",IF($M7100="PADD III","PADD 3",IF($M7100="PADD IV","PADD 4",IF($M7100="PADD V","PADD 5","")))))</f>
        <v>PADD 5</v>
      </c>
      <c r="G7100" s="6">
        <f>IF(AND($H7100="ATMOS DISTILLATION",ISNUMBER(SEARCH("VPS",$I7100))=FALSE,LEFT($I7100,6)&lt;&gt;"VACUUM"),"CDU",IF($H7100="FLUID CAT CRACKING","FCC",IF(OR($H7100="HYDROCRACKING",$H7100="RESID_HYDROCRACKING"),"Hydrocracker",IF($H7100="REFORMING","Reformer",""))))</f>
        <v/>
      </c>
      <c r="H7100" s="6" t="s">
        <v>43</v>
      </c>
      <c r="I7100" s="6" t="s">
        <v>1309</v>
      </c>
      <c r="J7100" s="6" t="s">
        <v>349</v>
      </c>
      <c r="K7100" s="10">
        <v>1.2441</v>
      </c>
      <c r="L7100" s="10">
        <v>9.57</v>
      </c>
      <c r="M7100" s="6" t="s">
        <v>386</v>
      </c>
    </row>
    <row r="7101" spans="1:13">
      <c r="A7101" s="6">
        <v>2026</v>
      </c>
      <c r="B7101" s="6">
        <v>1</v>
      </c>
      <c r="C7101" s="6" t="s">
        <v>59</v>
      </c>
      <c r="D7101" s="6" t="s">
        <v>331</v>
      </c>
      <c r="E7101" s="6" t="s">
        <v>373</v>
      </c>
      <c r="F7101" s="6" t="str">
        <f>IF($M7101="PADD I","PADD 1",IF($M7101="PADD II","PADD 2",IF($M7101="PADD III","PADD 3",IF($M7101="PADD IV","PADD 4",IF($M7101="PADD V","PADD 5","")))))</f>
        <v>PADD 2</v>
      </c>
      <c r="G7101" s="6">
        <f>IF(AND($H7101="ATMOS DISTILLATION",ISNUMBER(SEARCH("VPS",$I7101))=FALSE,LEFT($I7101,6)&lt;&gt;"VACUUM"),"CDU",IF($H7101="FLUID CAT CRACKING","FCC",IF(OR($H7101="HYDROCRACKING",$H7101="RESID_HYDROCRACKING"),"Hydrocracker",IF($H7101="REFORMING","Reformer",""))))</f>
        <v/>
      </c>
      <c r="H7101" s="6" t="s">
        <v>43</v>
      </c>
      <c r="I7101" s="6" t="s">
        <v>925</v>
      </c>
      <c r="J7101" s="6" t="s">
        <v>345</v>
      </c>
      <c r="K7101" s="10">
        <v>1.2</v>
      </c>
      <c r="L7101" s="10">
        <v>20</v>
      </c>
      <c r="M7101" s="6" t="s">
        <v>375</v>
      </c>
    </row>
    <row r="7102" spans="1:13">
      <c r="A7102" s="6">
        <v>2026</v>
      </c>
      <c r="B7102" s="6">
        <v>1</v>
      </c>
      <c r="C7102" s="6" t="s">
        <v>59</v>
      </c>
      <c r="D7102" s="6" t="s">
        <v>1275</v>
      </c>
      <c r="E7102" s="6" t="s">
        <v>1276</v>
      </c>
      <c r="F7102" s="6" t="str">
        <f>IF($M7102="PADD I","PADD 1",IF($M7102="PADD II","PADD 2",IF($M7102="PADD III","PADD 3",IF($M7102="PADD IV","PADD 4",IF($M7102="PADD V","PADD 5","")))))</f>
        <v>PADD 3</v>
      </c>
      <c r="G7102" s="6" t="str">
        <f>IF(AND($H7102="ATMOS DISTILLATION",ISNUMBER(SEARCH("VPS",$I7102))=FALSE,LEFT($I7102,6)&lt;&gt;"VACUUM"),"CDU",IF($H7102="FLUID CAT CRACKING","FCC",IF(OR($H7102="HYDROCRACKING",$H7102="RESID_HYDROCRACKING"),"Hydrocracker",IF($H7102="REFORMING","Reformer",""))))</f>
        <v>Reformer</v>
      </c>
      <c r="H7102" s="6" t="s">
        <v>421</v>
      </c>
      <c r="I7102" s="6" t="s">
        <v>1282</v>
      </c>
      <c r="J7102" s="6" t="s">
        <v>349</v>
      </c>
      <c r="K7102" s="10">
        <v>1.125</v>
      </c>
      <c r="L7102" s="10">
        <v>2.5</v>
      </c>
      <c r="M7102" s="6" t="s">
        <v>371</v>
      </c>
    </row>
    <row r="7103" spans="1:13">
      <c r="A7103" s="6">
        <v>2026</v>
      </c>
      <c r="B7103" s="6">
        <v>1</v>
      </c>
      <c r="C7103" s="6" t="s">
        <v>59</v>
      </c>
      <c r="D7103" s="6" t="s">
        <v>319</v>
      </c>
      <c r="E7103" s="6" t="s">
        <v>665</v>
      </c>
      <c r="F7103" s="6" t="str">
        <f>IF($M7103="PADD I","PADD 1",IF($M7103="PADD II","PADD 2",IF($M7103="PADD III","PADD 3",IF($M7103="PADD IV","PADD 4",IF($M7103="PADD V","PADD 5","")))))</f>
        <v>PADD 3</v>
      </c>
      <c r="G7103" s="6" t="str">
        <f>IF(AND($H7103="ATMOS DISTILLATION",ISNUMBER(SEARCH("VPS",$I7103))=FALSE,LEFT($I7103,6)&lt;&gt;"VACUUM"),"CDU",IF($H7103="FLUID CAT CRACKING","FCC",IF(OR($H7103="HYDROCRACKING",$H7103="RESID_HYDROCRACKING"),"Hydrocracker",IF($H7103="REFORMING","Reformer",""))))</f>
        <v>CDU</v>
      </c>
      <c r="H7103" s="6" t="s">
        <v>38</v>
      </c>
      <c r="I7103" s="6" t="s">
        <v>86</v>
      </c>
      <c r="J7103" s="6" t="s">
        <v>345</v>
      </c>
      <c r="K7103" s="10">
        <v>1.12</v>
      </c>
      <c r="L7103" s="10">
        <v>7</v>
      </c>
      <c r="M7103" s="6" t="s">
        <v>371</v>
      </c>
    </row>
    <row r="7104" spans="1:13">
      <c r="A7104" s="6">
        <v>2026</v>
      </c>
      <c r="B7104" s="6">
        <v>1</v>
      </c>
      <c r="C7104" s="6" t="s">
        <v>59</v>
      </c>
      <c r="D7104" s="6" t="s">
        <v>1223</v>
      </c>
      <c r="E7104" s="6" t="s">
        <v>1039</v>
      </c>
      <c r="F7104" s="6" t="str">
        <f>IF($M7104="PADD I","PADD 1",IF($M7104="PADD II","PADD 2",IF($M7104="PADD III","PADD 3",IF($M7104="PADD IV","PADD 4",IF($M7104="PADD V","PADD 5","")))))</f>
        <v>PADD 2</v>
      </c>
      <c r="G7104" s="6" t="str">
        <f>IF(AND($H7104="ATMOS DISTILLATION",ISNUMBER(SEARCH("VPS",$I7104))=FALSE,LEFT($I7104,6)&lt;&gt;"VACUUM"),"CDU",IF($H7104="FLUID CAT CRACKING","FCC",IF(OR($H7104="HYDROCRACKING",$H7104="RESID_HYDROCRACKING"),"Hydrocracker",IF($H7104="REFORMING","Reformer",""))))</f>
        <v>Reformer</v>
      </c>
      <c r="H7104" s="6" t="s">
        <v>421</v>
      </c>
      <c r="I7104" s="6" t="s">
        <v>15</v>
      </c>
      <c r="J7104" s="6" t="s">
        <v>345</v>
      </c>
      <c r="K7104" s="10">
        <v>1.0725</v>
      </c>
      <c r="L7104" s="10">
        <v>8.25</v>
      </c>
      <c r="M7104" s="6" t="s">
        <v>375</v>
      </c>
    </row>
    <row r="7105" spans="1:13">
      <c r="A7105" s="6">
        <v>2026</v>
      </c>
      <c r="B7105" s="6">
        <v>1</v>
      </c>
      <c r="C7105" s="6" t="s">
        <v>59</v>
      </c>
      <c r="D7105" s="6" t="s">
        <v>372</v>
      </c>
      <c r="E7105" s="6" t="s">
        <v>373</v>
      </c>
      <c r="F7105" s="6" t="str">
        <f>IF($M7105="PADD I","PADD 1",IF($M7105="PADD II","PADD 2",IF($M7105="PADD III","PADD 3",IF($M7105="PADD IV","PADD 4",IF($M7105="PADD V","PADD 5","")))))</f>
        <v>PADD 2</v>
      </c>
      <c r="G7105" s="6">
        <f>IF(AND($H7105="ATMOS DISTILLATION",ISNUMBER(SEARCH("VPS",$I7105))=FALSE,LEFT($I7105,6)&lt;&gt;"VACUUM"),"CDU",IF($H7105="FLUID CAT CRACKING","FCC",IF(OR($H7105="HYDROCRACKING",$H7105="RESID_HYDROCRACKING"),"Hydrocracker",IF($H7105="REFORMING","Reformer",""))))</f>
        <v/>
      </c>
      <c r="H7105" s="6" t="s">
        <v>435</v>
      </c>
      <c r="I7105" s="6" t="s">
        <v>584</v>
      </c>
      <c r="J7105" s="6" t="s">
        <v>345</v>
      </c>
      <c r="K7105" s="10">
        <v>0.975</v>
      </c>
      <c r="L7105" s="10">
        <v>7.5</v>
      </c>
      <c r="M7105" s="6" t="s">
        <v>375</v>
      </c>
    </row>
    <row r="7106" spans="1:13">
      <c r="A7106" s="6">
        <v>2026</v>
      </c>
      <c r="B7106" s="6">
        <v>1</v>
      </c>
      <c r="C7106" s="6" t="s">
        <v>59</v>
      </c>
      <c r="D7106" s="6" t="s">
        <v>714</v>
      </c>
      <c r="E7106" s="6" t="s">
        <v>405</v>
      </c>
      <c r="F7106" s="6" t="str">
        <f>IF($M7106="PADD I","PADD 1",IF($M7106="PADD II","PADD 2",IF($M7106="PADD III","PADD 3",IF($M7106="PADD IV","PADD 4",IF($M7106="PADD V","PADD 5","")))))</f>
        <v>PADD 3</v>
      </c>
      <c r="G7106" s="6">
        <f>IF(AND($H7106="ATMOS DISTILLATION",ISNUMBER(SEARCH("VPS",$I7106))=FALSE,LEFT($I7106,6)&lt;&gt;"VACUUM"),"CDU",IF($H7106="FLUID CAT CRACKING","FCC",IF(OR($H7106="HYDROCRACKING",$H7106="RESID_HYDROCRACKING"),"Hydrocracker",IF($H7106="REFORMING","Reformer",""))))</f>
        <v/>
      </c>
      <c r="H7106" s="6" t="s">
        <v>460</v>
      </c>
      <c r="I7106" s="6" t="s">
        <v>461</v>
      </c>
      <c r="J7106" s="6" t="s">
        <v>345</v>
      </c>
      <c r="K7106" s="10">
        <v>0.95</v>
      </c>
      <c r="L7106" s="10">
        <v>9.5</v>
      </c>
      <c r="M7106" s="6" t="s">
        <v>371</v>
      </c>
    </row>
    <row r="7107" spans="1:13">
      <c r="A7107" s="6">
        <v>2026</v>
      </c>
      <c r="B7107" s="6">
        <v>1</v>
      </c>
      <c r="C7107" s="6" t="s">
        <v>59</v>
      </c>
      <c r="D7107" s="6" t="s">
        <v>662</v>
      </c>
      <c r="E7107" s="6" t="s">
        <v>552</v>
      </c>
      <c r="F7107" s="6" t="str">
        <f>IF($M7107="PADD I","PADD 1",IF($M7107="PADD II","PADD 2",IF($M7107="PADD III","PADD 3",IF($M7107="PADD IV","PADD 4",IF($M7107="PADD V","PADD 5","")))))</f>
        <v>PADD 3</v>
      </c>
      <c r="G7107" s="6" t="str">
        <f>IF(AND($H7107="ATMOS DISTILLATION",ISNUMBER(SEARCH("VPS",$I7107))=FALSE,LEFT($I7107,6)&lt;&gt;"VACUUM"),"CDU",IF($H7107="FLUID CAT CRACKING","FCC",IF(OR($H7107="HYDROCRACKING",$H7107="RESID_HYDROCRACKING"),"Hydrocracker",IF($H7107="REFORMING","Reformer",""))))</f>
        <v>CDU</v>
      </c>
      <c r="H7107" s="6" t="s">
        <v>38</v>
      </c>
      <c r="I7107" s="6" t="s">
        <v>663</v>
      </c>
      <c r="J7107" s="6" t="s">
        <v>345</v>
      </c>
      <c r="K7107" s="10">
        <v>0.91</v>
      </c>
      <c r="L7107" s="10">
        <v>7</v>
      </c>
      <c r="M7107" s="6" t="s">
        <v>371</v>
      </c>
    </row>
    <row r="7108" spans="1:13">
      <c r="A7108" s="6">
        <v>2026</v>
      </c>
      <c r="B7108" s="6">
        <v>1</v>
      </c>
      <c r="C7108" s="6" t="s">
        <v>59</v>
      </c>
      <c r="D7108" s="6" t="s">
        <v>1063</v>
      </c>
      <c r="E7108" s="6" t="s">
        <v>388</v>
      </c>
      <c r="F7108" s="6" t="str">
        <f>IF($M7108="PADD I","PADD 1",IF($M7108="PADD II","PADD 2",IF($M7108="PADD III","PADD 3",IF($M7108="PADD IV","PADD 4",IF($M7108="PADD V","PADD 5","")))))</f>
        <v>PADD 2</v>
      </c>
      <c r="G7108" s="6">
        <f>IF(AND($H7108="ATMOS DISTILLATION",ISNUMBER(SEARCH("VPS",$I7108))=FALSE,LEFT($I7108,6)&lt;&gt;"VACUUM"),"CDU",IF($H7108="FLUID CAT CRACKING","FCC",IF(OR($H7108="HYDROCRACKING",$H7108="RESID_HYDROCRACKING"),"Hydrocracker",IF($H7108="REFORMING","Reformer",""))))</f>
        <v/>
      </c>
      <c r="H7108" s="6" t="s">
        <v>43</v>
      </c>
      <c r="I7108" s="6" t="s">
        <v>689</v>
      </c>
      <c r="J7108" s="6" t="s">
        <v>345</v>
      </c>
      <c r="K7108" s="10">
        <v>0.91</v>
      </c>
      <c r="L7108" s="10">
        <v>7</v>
      </c>
      <c r="M7108" s="6" t="s">
        <v>375</v>
      </c>
    </row>
    <row r="7109" spans="1:13">
      <c r="A7109" s="6">
        <v>2026</v>
      </c>
      <c r="B7109" s="6">
        <v>1</v>
      </c>
      <c r="C7109" s="6" t="s">
        <v>59</v>
      </c>
      <c r="D7109" s="6" t="s">
        <v>960</v>
      </c>
      <c r="E7109" s="6" t="s">
        <v>881</v>
      </c>
      <c r="F7109" s="6" t="str">
        <f>IF($M7109="PADD I","PADD 1",IF($M7109="PADD II","PADD 2",IF($M7109="PADD III","PADD 3",IF($M7109="PADD IV","PADD 4",IF($M7109="PADD V","PADD 5","")))))</f>
        <v>PADD 3</v>
      </c>
      <c r="G7109" s="6" t="str">
        <f>IF(AND($H7109="ATMOS DISTILLATION",ISNUMBER(SEARCH("VPS",$I7109))=FALSE,LEFT($I7109,6)&lt;&gt;"VACUUM"),"CDU",IF($H7109="FLUID CAT CRACKING","FCC",IF(OR($H7109="HYDROCRACKING",$H7109="RESID_HYDROCRACKING"),"Hydrocracker",IF($H7109="REFORMING","Reformer",""))))</f>
        <v>Reformer</v>
      </c>
      <c r="H7109" s="6" t="s">
        <v>421</v>
      </c>
      <c r="I7109" s="6" t="s">
        <v>810</v>
      </c>
      <c r="J7109" s="6" t="s">
        <v>345</v>
      </c>
      <c r="K7109" s="10">
        <v>0.88</v>
      </c>
      <c r="L7109" s="10">
        <v>5.5</v>
      </c>
      <c r="M7109" s="6" t="s">
        <v>371</v>
      </c>
    </row>
    <row r="7110" spans="1:13">
      <c r="A7110" s="6">
        <v>2026</v>
      </c>
      <c r="B7110" s="6">
        <v>1</v>
      </c>
      <c r="C7110" s="6" t="s">
        <v>59</v>
      </c>
      <c r="D7110" s="6" t="s">
        <v>960</v>
      </c>
      <c r="E7110" s="6" t="s">
        <v>881</v>
      </c>
      <c r="F7110" s="6" t="str">
        <f>IF($M7110="PADD I","PADD 1",IF($M7110="PADD II","PADD 2",IF($M7110="PADD III","PADD 3",IF($M7110="PADD IV","PADD 4",IF($M7110="PADD V","PADD 5","")))))</f>
        <v>PADD 3</v>
      </c>
      <c r="G7110" s="6" t="str">
        <f>IF(AND($H7110="ATMOS DISTILLATION",ISNUMBER(SEARCH("VPS",$I7110))=FALSE,LEFT($I7110,6)&lt;&gt;"VACUUM"),"CDU",IF($H7110="FLUID CAT CRACKING","FCC",IF(OR($H7110="HYDROCRACKING",$H7110="RESID_HYDROCRACKING"),"Hydrocracker",IF($H7110="REFORMING","Reformer",""))))</f>
        <v>Reformer</v>
      </c>
      <c r="H7110" s="6" t="s">
        <v>421</v>
      </c>
      <c r="I7110" s="6" t="s">
        <v>1061</v>
      </c>
      <c r="J7110" s="6" t="s">
        <v>345</v>
      </c>
      <c r="K7110" s="10">
        <v>0.88</v>
      </c>
      <c r="L7110" s="10">
        <v>5.5</v>
      </c>
      <c r="M7110" s="6" t="s">
        <v>371</v>
      </c>
    </row>
    <row r="7111" spans="1:13">
      <c r="A7111" s="6">
        <v>2026</v>
      </c>
      <c r="B7111" s="6">
        <v>1</v>
      </c>
      <c r="C7111" s="6" t="s">
        <v>59</v>
      </c>
      <c r="D7111" s="6" t="s">
        <v>511</v>
      </c>
      <c r="E7111" s="6" t="s">
        <v>405</v>
      </c>
      <c r="F7111" s="6" t="str">
        <f>IF($M7111="PADD I","PADD 1",IF($M7111="PADD II","PADD 2",IF($M7111="PADD III","PADD 3",IF($M7111="PADD IV","PADD 4",IF($M7111="PADD V","PADD 5","")))))</f>
        <v>PADD 3</v>
      </c>
      <c r="G7111" s="6">
        <f>IF(AND($H7111="ATMOS DISTILLATION",ISNUMBER(SEARCH("VPS",$I7111))=FALSE,LEFT($I7111,6)&lt;&gt;"VACUUM"),"CDU",IF($H7111="FLUID CAT CRACKING","FCC",IF(OR($H7111="HYDROCRACKING",$H7111="RESID_HYDROCRACKING"),"Hydrocracker",IF($H7111="REFORMING","Reformer",""))))</f>
        <v/>
      </c>
      <c r="H7111" s="6" t="s">
        <v>43</v>
      </c>
      <c r="I7111" s="6" t="s">
        <v>655</v>
      </c>
      <c r="J7111" s="6" t="s">
        <v>345</v>
      </c>
      <c r="K7111" s="10">
        <v>0.84</v>
      </c>
      <c r="L7111" s="10">
        <v>14</v>
      </c>
      <c r="M7111" s="6" t="s">
        <v>371</v>
      </c>
    </row>
    <row r="7112" spans="1:13">
      <c r="A7112" s="6">
        <v>2026</v>
      </c>
      <c r="B7112" s="6">
        <v>1</v>
      </c>
      <c r="C7112" s="6" t="s">
        <v>59</v>
      </c>
      <c r="D7112" s="6" t="s">
        <v>321</v>
      </c>
      <c r="E7112" s="6" t="s">
        <v>381</v>
      </c>
      <c r="F7112" s="6" t="str">
        <f>IF($M7112="PADD I","PADD 1",IF($M7112="PADD II","PADD 2",IF($M7112="PADD III","PADD 3",IF($M7112="PADD IV","PADD 4",IF($M7112="PADD V","PADD 5","")))))</f>
        <v>PADD 2</v>
      </c>
      <c r="G7112" s="6" t="str">
        <f>IF(AND($H7112="ATMOS DISTILLATION",ISNUMBER(SEARCH("VPS",$I7112))=FALSE,LEFT($I7112,6)&lt;&gt;"VACUUM"),"CDU",IF($H7112="FLUID CAT CRACKING","FCC",IF(OR($H7112="HYDROCRACKING",$H7112="RESID_HYDROCRACKING"),"Hydrocracker",IF($H7112="REFORMING","Reformer",""))))</f>
        <v>CDU</v>
      </c>
      <c r="H7112" s="6" t="s">
        <v>38</v>
      </c>
      <c r="I7112" s="6" t="s">
        <v>81</v>
      </c>
      <c r="J7112" s="6" t="s">
        <v>345</v>
      </c>
      <c r="K7112" s="10">
        <v>0.8</v>
      </c>
      <c r="L7112" s="10">
        <v>5</v>
      </c>
      <c r="M7112" s="6" t="s">
        <v>375</v>
      </c>
    </row>
    <row r="7113" spans="1:13">
      <c r="A7113" s="6">
        <v>2026</v>
      </c>
      <c r="B7113" s="6">
        <v>1</v>
      </c>
      <c r="C7113" s="6" t="s">
        <v>59</v>
      </c>
      <c r="D7113" s="6" t="s">
        <v>48</v>
      </c>
      <c r="E7113" s="6" t="s">
        <v>388</v>
      </c>
      <c r="F7113" s="6" t="str">
        <f>IF($M7113="PADD I","PADD 1",IF($M7113="PADD II","PADD 2",IF($M7113="PADD III","PADD 3",IF($M7113="PADD IV","PADD 4",IF($M7113="PADD V","PADD 5","")))))</f>
        <v>PADD 2</v>
      </c>
      <c r="G7113" s="6">
        <f>IF(AND($H7113="ATMOS DISTILLATION",ISNUMBER(SEARCH("VPS",$I7113))=FALSE,LEFT($I7113,6)&lt;&gt;"VACUUM"),"CDU",IF($H7113="FLUID CAT CRACKING","FCC",IF(OR($H7113="HYDROCRACKING",$H7113="RESID_HYDROCRACKING"),"Hydrocracker",IF($H7113="REFORMING","Reformer",""))))</f>
        <v/>
      </c>
      <c r="H7113" s="6" t="s">
        <v>435</v>
      </c>
      <c r="I7113" s="6" t="s">
        <v>631</v>
      </c>
      <c r="J7113" s="6" t="s">
        <v>345</v>
      </c>
      <c r="K7113" s="10">
        <v>0.72</v>
      </c>
      <c r="L7113" s="10">
        <v>12</v>
      </c>
      <c r="M7113" s="6" t="s">
        <v>375</v>
      </c>
    </row>
    <row r="7114" spans="1:13">
      <c r="A7114" s="6">
        <v>2026</v>
      </c>
      <c r="B7114" s="6">
        <v>1</v>
      </c>
      <c r="C7114" s="6" t="s">
        <v>59</v>
      </c>
      <c r="D7114" s="6" t="s">
        <v>887</v>
      </c>
      <c r="E7114" s="6" t="s">
        <v>405</v>
      </c>
      <c r="F7114" s="6" t="str">
        <f>IF($M7114="PADD I","PADD 1",IF($M7114="PADD II","PADD 2",IF($M7114="PADD III","PADD 3",IF($M7114="PADD IV","PADD 4",IF($M7114="PADD V","PADD 5","")))))</f>
        <v>PADD 3</v>
      </c>
      <c r="G7114" s="6" t="str">
        <f>IF(AND($H7114="ATMOS DISTILLATION",ISNUMBER(SEARCH("VPS",$I7114))=FALSE,LEFT($I7114,6)&lt;&gt;"VACUUM"),"CDU",IF($H7114="FLUID CAT CRACKING","FCC",IF(OR($H7114="HYDROCRACKING",$H7114="RESID_HYDROCRACKING"),"Hydrocracker",IF($H7114="REFORMING","Reformer",""))))</f>
        <v>CDU</v>
      </c>
      <c r="H7114" s="6" t="s">
        <v>38</v>
      </c>
      <c r="I7114" s="6" t="s">
        <v>131</v>
      </c>
      <c r="J7114" s="6" t="s">
        <v>345</v>
      </c>
      <c r="K7114" s="10">
        <v>0.65</v>
      </c>
      <c r="L7114" s="10">
        <v>5</v>
      </c>
      <c r="M7114" s="6" t="s">
        <v>371</v>
      </c>
    </row>
    <row r="7115" spans="1:13">
      <c r="A7115" s="6">
        <v>2026</v>
      </c>
      <c r="B7115" s="6">
        <v>1</v>
      </c>
      <c r="C7115" s="6" t="s">
        <v>59</v>
      </c>
      <c r="D7115" s="6" t="s">
        <v>615</v>
      </c>
      <c r="E7115" s="6" t="s">
        <v>405</v>
      </c>
      <c r="F7115" s="6" t="str">
        <f>IF($M7115="PADD I","PADD 1",IF($M7115="PADD II","PADD 2",IF($M7115="PADD III","PADD 3",IF($M7115="PADD IV","PADD 4",IF($M7115="PADD V","PADD 5","")))))</f>
        <v>PADD 5</v>
      </c>
      <c r="G7115" s="6">
        <f>IF(AND($H7115="ATMOS DISTILLATION",ISNUMBER(SEARCH("VPS",$I7115))=FALSE,LEFT($I7115,6)&lt;&gt;"VACUUM"),"CDU",IF($H7115="FLUID CAT CRACKING","FCC",IF(OR($H7115="HYDROCRACKING",$H7115="RESID_HYDROCRACKING"),"Hydrocracker",IF($H7115="REFORMING","Reformer",""))))</f>
        <v/>
      </c>
      <c r="H7115" s="6" t="s">
        <v>43</v>
      </c>
      <c r="I7115" s="6" t="s">
        <v>1311</v>
      </c>
      <c r="J7115" s="6" t="s">
        <v>349</v>
      </c>
      <c r="K7115" s="10">
        <v>0.5798</v>
      </c>
      <c r="L7115" s="10">
        <v>4.46</v>
      </c>
      <c r="M7115" s="6" t="s">
        <v>386</v>
      </c>
    </row>
    <row r="7116" spans="1:13">
      <c r="A7116" s="6">
        <v>2026</v>
      </c>
      <c r="B7116" s="6">
        <v>1</v>
      </c>
      <c r="C7116" s="6" t="s">
        <v>59</v>
      </c>
      <c r="D7116" s="6" t="s">
        <v>1275</v>
      </c>
      <c r="E7116" s="6" t="s">
        <v>1276</v>
      </c>
      <c r="F7116" s="6" t="str">
        <f>IF($M7116="PADD I","PADD 1",IF($M7116="PADD II","PADD 2",IF($M7116="PADD III","PADD 3",IF($M7116="PADD IV","PADD 4",IF($M7116="PADD V","PADD 5","")))))</f>
        <v>PADD 3</v>
      </c>
      <c r="G7116" s="6" t="str">
        <f>IF(AND($H7116="ATMOS DISTILLATION",ISNUMBER(SEARCH("VPS",$I7116))=FALSE,LEFT($I7116,6)&lt;&gt;"VACUUM"),"CDU",IF($H7116="FLUID CAT CRACKING","FCC",IF(OR($H7116="HYDROCRACKING",$H7116="RESID_HYDROCRACKING"),"Hydrocracker",IF($H7116="REFORMING","Reformer",""))))</f>
        <v>Reformer</v>
      </c>
      <c r="H7116" s="6" t="s">
        <v>421</v>
      </c>
      <c r="I7116" s="6" t="s">
        <v>1283</v>
      </c>
      <c r="J7116" s="6" t="s">
        <v>349</v>
      </c>
      <c r="K7116" s="10">
        <v>0.54</v>
      </c>
      <c r="L7116" s="10">
        <v>1.2</v>
      </c>
      <c r="M7116" s="6" t="s">
        <v>371</v>
      </c>
    </row>
    <row r="7117" spans="1:13">
      <c r="A7117" s="6">
        <v>2026</v>
      </c>
      <c r="B7117" s="6">
        <v>1</v>
      </c>
      <c r="C7117" s="6" t="s">
        <v>59</v>
      </c>
      <c r="D7117" s="6" t="s">
        <v>774</v>
      </c>
      <c r="E7117" s="6" t="s">
        <v>775</v>
      </c>
      <c r="F7117" s="6" t="str">
        <f>IF($M7117="PADD I","PADD 1",IF($M7117="PADD II","PADD 2",IF($M7117="PADD III","PADD 3",IF($M7117="PADD IV","PADD 4",IF($M7117="PADD V","PADD 5","")))))</f>
        <v>PADD 1</v>
      </c>
      <c r="G7117" s="6" t="str">
        <f>IF(AND($H7117="ATMOS DISTILLATION",ISNUMBER(SEARCH("VPS",$I7117))=FALSE,LEFT($I7117,6)&lt;&gt;"VACUUM"),"CDU",IF($H7117="FLUID CAT CRACKING","FCC",IF(OR($H7117="HYDROCRACKING",$H7117="RESID_HYDROCRACKING"),"Hydrocracker",IF($H7117="REFORMING","Reformer",""))))</f>
        <v>Hydrocracker</v>
      </c>
      <c r="H7117" s="6" t="s">
        <v>444</v>
      </c>
      <c r="I7117" s="6" t="s">
        <v>14</v>
      </c>
      <c r="J7117" s="6" t="s">
        <v>345</v>
      </c>
      <c r="K7117" s="10">
        <v>0.54</v>
      </c>
      <c r="L7117" s="10">
        <v>18</v>
      </c>
      <c r="M7117" s="6" t="s">
        <v>413</v>
      </c>
    </row>
    <row r="7118" spans="1:13">
      <c r="A7118" s="6">
        <v>2026</v>
      </c>
      <c r="B7118" s="6">
        <v>1</v>
      </c>
      <c r="C7118" s="6" t="s">
        <v>59</v>
      </c>
      <c r="D7118" s="6" t="s">
        <v>615</v>
      </c>
      <c r="E7118" s="6" t="s">
        <v>405</v>
      </c>
      <c r="F7118" s="6" t="str">
        <f>IF($M7118="PADD I","PADD 1",IF($M7118="PADD II","PADD 2",IF($M7118="PADD III","PADD 3",IF($M7118="PADD IV","PADD 4",IF($M7118="PADD V","PADD 5","")))))</f>
        <v>PADD 5</v>
      </c>
      <c r="G7118" s="6">
        <f>IF(AND($H7118="ATMOS DISTILLATION",ISNUMBER(SEARCH("VPS",$I7118))=FALSE,LEFT($I7118,6)&lt;&gt;"VACUUM"),"CDU",IF($H7118="FLUID CAT CRACKING","FCC",IF(OR($H7118="HYDROCRACKING",$H7118="RESID_HYDROCRACKING"),"Hydrocracker",IF($H7118="REFORMING","Reformer",""))))</f>
        <v/>
      </c>
      <c r="H7118" s="6" t="s">
        <v>43</v>
      </c>
      <c r="I7118" s="6" t="s">
        <v>1185</v>
      </c>
      <c r="J7118" s="6" t="s">
        <v>349</v>
      </c>
      <c r="K7118" s="10">
        <v>0.5148</v>
      </c>
      <c r="L7118" s="10">
        <v>3.96</v>
      </c>
      <c r="M7118" s="6" t="s">
        <v>386</v>
      </c>
    </row>
    <row r="7119" spans="1:13">
      <c r="A7119" s="6">
        <v>2026</v>
      </c>
      <c r="B7119" s="6">
        <v>1</v>
      </c>
      <c r="C7119" s="6" t="s">
        <v>59</v>
      </c>
      <c r="D7119" s="6" t="s">
        <v>662</v>
      </c>
      <c r="E7119" s="6" t="s">
        <v>552</v>
      </c>
      <c r="F7119" s="6" t="str">
        <f>IF($M7119="PADD I","PADD 1",IF($M7119="PADD II","PADD 2",IF($M7119="PADD III","PADD 3",IF($M7119="PADD IV","PADD 4",IF($M7119="PADD V","PADD 5","")))))</f>
        <v>PADD 3</v>
      </c>
      <c r="G7119" s="6">
        <f>IF(AND($H7119="ATMOS DISTILLATION",ISNUMBER(SEARCH("VPS",$I7119))=FALSE,LEFT($I7119,6)&lt;&gt;"VACUUM"),"CDU",IF($H7119="FLUID CAT CRACKING","FCC",IF(OR($H7119="HYDROCRACKING",$H7119="RESID_HYDROCRACKING"),"Hydrocracker",IF($H7119="REFORMING","Reformer",""))))</f>
        <v/>
      </c>
      <c r="H7119" s="6" t="s">
        <v>523</v>
      </c>
      <c r="I7119" s="6" t="s">
        <v>524</v>
      </c>
      <c r="J7119" s="6" t="s">
        <v>349</v>
      </c>
      <c r="K7119" s="10">
        <v>0.456</v>
      </c>
      <c r="L7119" s="10">
        <v>7.6</v>
      </c>
      <c r="M7119" s="6" t="s">
        <v>371</v>
      </c>
    </row>
    <row r="7120" spans="1:13">
      <c r="A7120" s="6">
        <v>2026</v>
      </c>
      <c r="B7120" s="6">
        <v>1</v>
      </c>
      <c r="C7120" s="6" t="s">
        <v>59</v>
      </c>
      <c r="D7120" s="6" t="s">
        <v>714</v>
      </c>
      <c r="E7120" s="6" t="s">
        <v>405</v>
      </c>
      <c r="F7120" s="6" t="str">
        <f>IF($M7120="PADD I","PADD 1",IF($M7120="PADD II","PADD 2",IF($M7120="PADD III","PADD 3",IF($M7120="PADD IV","PADD 4",IF($M7120="PADD V","PADD 5","")))))</f>
        <v>PADD 3</v>
      </c>
      <c r="G7120" s="6" t="str">
        <f>IF(AND($H7120="ATMOS DISTILLATION",ISNUMBER(SEARCH("VPS",$I7120))=FALSE,LEFT($I7120,6)&lt;&gt;"VACUUM"),"CDU",IF($H7120="FLUID CAT CRACKING","FCC",IF(OR($H7120="HYDROCRACKING",$H7120="RESID_HYDROCRACKING"),"Hydrocracker",IF($H7120="REFORMING","Reformer",""))))</f>
        <v>CDU</v>
      </c>
      <c r="H7120" s="6" t="s">
        <v>38</v>
      </c>
      <c r="I7120" s="6" t="s">
        <v>131</v>
      </c>
      <c r="J7120" s="6" t="s">
        <v>345</v>
      </c>
      <c r="K7120" s="10">
        <v>0.39</v>
      </c>
      <c r="L7120" s="10">
        <v>3</v>
      </c>
      <c r="M7120" s="6" t="s">
        <v>371</v>
      </c>
    </row>
    <row r="7121" spans="1:13">
      <c r="A7121" s="6">
        <v>2026</v>
      </c>
      <c r="B7121" s="6">
        <v>1</v>
      </c>
      <c r="C7121" s="6" t="s">
        <v>59</v>
      </c>
      <c r="D7121" s="6" t="s">
        <v>1348</v>
      </c>
      <c r="E7121" s="6" t="s">
        <v>405</v>
      </c>
      <c r="F7121" s="6" t="str">
        <f>IF($M7121="PADD I","PADD 1",IF($M7121="PADD II","PADD 2",IF($M7121="PADD III","PADD 3",IF($M7121="PADD IV","PADD 4",IF($M7121="PADD V","PADD 5","")))))</f>
        <v>PADD 5</v>
      </c>
      <c r="G7121" s="6">
        <f>IF(AND($H7121="ATMOS DISTILLATION",ISNUMBER(SEARCH("VPS",$I7121))=FALSE,LEFT($I7121,6)&lt;&gt;"VACUUM"),"CDU",IF($H7121="FLUID CAT CRACKING","FCC",IF(OR($H7121="HYDROCRACKING",$H7121="RESID_HYDROCRACKING"),"Hydrocracker",IF($H7121="REFORMING","Reformer",""))))</f>
        <v/>
      </c>
      <c r="H7121" s="6" t="s">
        <v>378</v>
      </c>
      <c r="I7121" s="6" t="s">
        <v>431</v>
      </c>
      <c r="J7121" s="6" t="s">
        <v>349</v>
      </c>
      <c r="K7121" s="10">
        <v>0.3003</v>
      </c>
      <c r="L7121" s="10">
        <v>2.31</v>
      </c>
      <c r="M7121" s="6" t="s">
        <v>386</v>
      </c>
    </row>
    <row r="7122" spans="1:13">
      <c r="A7122" s="6">
        <v>2026</v>
      </c>
      <c r="B7122" s="6">
        <v>2</v>
      </c>
      <c r="C7122" s="6" t="s">
        <v>60</v>
      </c>
      <c r="D7122" s="6" t="s">
        <v>1004</v>
      </c>
      <c r="E7122" s="6" t="s">
        <v>381</v>
      </c>
      <c r="F7122" s="6" t="str">
        <f>IF($M7122="PADD I","PADD 1",IF($M7122="PADD II","PADD 2",IF($M7122="PADD III","PADD 3",IF($M7122="PADD IV","PADD 4",IF($M7122="PADD V","PADD 5","")))))</f>
        <v>PADD 3</v>
      </c>
      <c r="G7122" s="6">
        <f>IF(AND($H7122="ATMOS DISTILLATION",ISNUMBER(SEARCH("VPS",$I7122))=FALSE,LEFT($I7122,6)&lt;&gt;"VACUUM"),"CDU",IF($H7122="FLUID CAT CRACKING","FCC",IF(OR($H7122="HYDROCRACKING",$H7122="RESID_HYDROCRACKING"),"Hydrocracker",IF($H7122="REFORMING","Reformer",""))))</f>
        <v/>
      </c>
      <c r="H7122" s="6" t="s">
        <v>378</v>
      </c>
      <c r="I7122" s="6" t="s">
        <v>786</v>
      </c>
      <c r="J7122" s="6" t="s">
        <v>345</v>
      </c>
      <c r="K7122" s="10">
        <v>154.56</v>
      </c>
      <c r="L7122" s="10">
        <v>161</v>
      </c>
      <c r="M7122" s="6" t="s">
        <v>371</v>
      </c>
    </row>
    <row r="7123" spans="1:13">
      <c r="A7123" s="6">
        <v>2026</v>
      </c>
      <c r="B7123" s="6">
        <v>2</v>
      </c>
      <c r="C7123" s="6" t="s">
        <v>60</v>
      </c>
      <c r="D7123" s="6" t="s">
        <v>387</v>
      </c>
      <c r="E7123" s="6" t="s">
        <v>388</v>
      </c>
      <c r="F7123" s="6" t="str">
        <f>IF($M7123="PADD I","PADD 1",IF($M7123="PADD II","PADD 2",IF($M7123="PADD III","PADD 3",IF($M7123="PADD IV","PADD 4",IF($M7123="PADD V","PADD 5","")))))</f>
        <v>PADD 3</v>
      </c>
      <c r="G7123" s="6" t="str">
        <f>IF(AND($H7123="ATMOS DISTILLATION",ISNUMBER(SEARCH("VPS",$I7123))=FALSE,LEFT($I7123,6)&lt;&gt;"VACUUM"),"CDU",IF($H7123="FLUID CAT CRACKING","FCC",IF(OR($H7123="HYDROCRACKING",$H7123="RESID_HYDROCRACKING"),"Hydrocracker",IF($H7123="REFORMING","Reformer",""))))</f>
        <v>FCC</v>
      </c>
      <c r="H7123" s="6" t="s">
        <v>376</v>
      </c>
      <c r="I7123" s="6" t="s">
        <v>472</v>
      </c>
      <c r="J7123" s="6" t="s">
        <v>349</v>
      </c>
      <c r="K7123" s="10">
        <v>140</v>
      </c>
      <c r="L7123" s="10">
        <v>140</v>
      </c>
      <c r="M7123" s="6" t="s">
        <v>371</v>
      </c>
    </row>
    <row r="7124" spans="1:13">
      <c r="A7124" s="6">
        <v>2026</v>
      </c>
      <c r="B7124" s="6">
        <v>2</v>
      </c>
      <c r="C7124" s="6" t="s">
        <v>60</v>
      </c>
      <c r="D7124" s="6" t="s">
        <v>50</v>
      </c>
      <c r="E7124" s="6" t="s">
        <v>381</v>
      </c>
      <c r="F7124" s="6" t="str">
        <f>IF($M7124="PADD I","PADD 1",IF($M7124="PADD II","PADD 2",IF($M7124="PADD III","PADD 3",IF($M7124="PADD IV","PADD 4",IF($M7124="PADD V","PADD 5","")))))</f>
        <v>PADD 3</v>
      </c>
      <c r="G7124" s="6" t="str">
        <f>IF(AND($H7124="ATMOS DISTILLATION",ISNUMBER(SEARCH("VPS",$I7124))=FALSE,LEFT($I7124,6)&lt;&gt;"VACUUM"),"CDU",IF($H7124="FLUID CAT CRACKING","FCC",IF(OR($H7124="HYDROCRACKING",$H7124="RESID_HYDROCRACKING"),"Hydrocracker",IF($H7124="REFORMING","Reformer",""))))</f>
        <v>CDU</v>
      </c>
      <c r="H7124" s="6" t="s">
        <v>38</v>
      </c>
      <c r="I7124" s="6" t="s">
        <v>341</v>
      </c>
      <c r="J7124" s="6" t="s">
        <v>345</v>
      </c>
      <c r="K7124" s="10">
        <v>110.4</v>
      </c>
      <c r="L7124" s="10">
        <v>115</v>
      </c>
      <c r="M7124" s="6" t="s">
        <v>371</v>
      </c>
    </row>
    <row r="7125" spans="1:13">
      <c r="A7125" s="6">
        <v>2026</v>
      </c>
      <c r="B7125" s="6">
        <v>2</v>
      </c>
      <c r="C7125" s="6" t="s">
        <v>60</v>
      </c>
      <c r="D7125" s="6" t="s">
        <v>50</v>
      </c>
      <c r="E7125" s="6" t="s">
        <v>381</v>
      </c>
      <c r="F7125" s="6" t="str">
        <f>IF($M7125="PADD I","PADD 1",IF($M7125="PADD II","PADD 2",IF($M7125="PADD III","PADD 3",IF($M7125="PADD IV","PADD 4",IF($M7125="PADD V","PADD 5","")))))</f>
        <v>PADD 3</v>
      </c>
      <c r="G7125" s="6" t="str">
        <f>IF(AND($H7125="ATMOS DISTILLATION",ISNUMBER(SEARCH("VPS",$I7125))=FALSE,LEFT($I7125,6)&lt;&gt;"VACUUM"),"CDU",IF($H7125="FLUID CAT CRACKING","FCC",IF(OR($H7125="HYDROCRACKING",$H7125="RESID_HYDROCRACKING"),"Hydrocracker",IF($H7125="REFORMING","Reformer",""))))</f>
        <v>CDU</v>
      </c>
      <c r="H7125" s="6" t="s">
        <v>38</v>
      </c>
      <c r="I7125" s="6" t="s">
        <v>341</v>
      </c>
      <c r="J7125" s="6" t="s">
        <v>349</v>
      </c>
      <c r="K7125" s="10">
        <v>81.7</v>
      </c>
      <c r="L7125" s="10">
        <v>95</v>
      </c>
      <c r="M7125" s="6" t="s">
        <v>371</v>
      </c>
    </row>
    <row r="7126" spans="1:13">
      <c r="A7126" s="6">
        <v>2026</v>
      </c>
      <c r="B7126" s="6">
        <v>2</v>
      </c>
      <c r="C7126" s="6" t="s">
        <v>60</v>
      </c>
      <c r="D7126" s="6" t="s">
        <v>333</v>
      </c>
      <c r="E7126" s="6" t="s">
        <v>381</v>
      </c>
      <c r="F7126" s="6" t="str">
        <f>IF($M7126="PADD I","PADD 1",IF($M7126="PADD II","PADD 2",IF($M7126="PADD III","PADD 3",IF($M7126="PADD IV","PADD 4",IF($M7126="PADD V","PADD 5","")))))</f>
        <v>PADD 3</v>
      </c>
      <c r="G7126" s="6" t="str">
        <f>IF(AND($H7126="ATMOS DISTILLATION",ISNUMBER(SEARCH("VPS",$I7126))=FALSE,LEFT($I7126,6)&lt;&gt;"VACUUM"),"CDU",IF($H7126="FLUID CAT CRACKING","FCC",IF(OR($H7126="HYDROCRACKING",$H7126="RESID_HYDROCRACKING"),"Hydrocracker",IF($H7126="REFORMING","Reformer",""))))</f>
        <v>CDU</v>
      </c>
      <c r="H7126" s="6" t="s">
        <v>38</v>
      </c>
      <c r="I7126" s="6" t="s">
        <v>537</v>
      </c>
      <c r="J7126" s="6" t="s">
        <v>349</v>
      </c>
      <c r="K7126" s="10">
        <v>75.90000000000001</v>
      </c>
      <c r="L7126" s="10">
        <v>165</v>
      </c>
      <c r="M7126" s="6" t="s">
        <v>371</v>
      </c>
    </row>
    <row r="7127" spans="1:13">
      <c r="A7127" s="6">
        <v>2026</v>
      </c>
      <c r="B7127" s="6">
        <v>2</v>
      </c>
      <c r="C7127" s="6" t="s">
        <v>60</v>
      </c>
      <c r="D7127" s="6" t="s">
        <v>42</v>
      </c>
      <c r="E7127" s="6" t="s">
        <v>405</v>
      </c>
      <c r="F7127" s="6" t="str">
        <f>IF($M7127="PADD I","PADD 1",IF($M7127="PADD II","PADD 2",IF($M7127="PADD III","PADD 3",IF($M7127="PADD IV","PADD 4",IF($M7127="PADD V","PADD 5","")))))</f>
        <v>PADD 3</v>
      </c>
      <c r="G7127" s="6" t="str">
        <f>IF(AND($H7127="ATMOS DISTILLATION",ISNUMBER(SEARCH("VPS",$I7127))=FALSE,LEFT($I7127,6)&lt;&gt;"VACUUM"),"CDU",IF($H7127="FLUID CAT CRACKING","FCC",IF(OR($H7127="HYDROCRACKING",$H7127="RESID_HYDROCRACKING"),"Hydrocracker",IF($H7127="REFORMING","Reformer",""))))</f>
        <v>CDU</v>
      </c>
      <c r="H7127" s="6" t="s">
        <v>38</v>
      </c>
      <c r="I7127" s="6" t="s">
        <v>1341</v>
      </c>
      <c r="J7127" s="6" t="s">
        <v>349</v>
      </c>
      <c r="K7127" s="10">
        <v>72</v>
      </c>
      <c r="L7127" s="10">
        <v>72</v>
      </c>
      <c r="M7127" s="6" t="s">
        <v>371</v>
      </c>
    </row>
    <row r="7128" spans="1:13">
      <c r="A7128" s="6">
        <v>2026</v>
      </c>
      <c r="B7128" s="6">
        <v>2</v>
      </c>
      <c r="C7128" s="6" t="s">
        <v>60</v>
      </c>
      <c r="D7128" s="6" t="s">
        <v>324</v>
      </c>
      <c r="E7128" s="6" t="s">
        <v>388</v>
      </c>
      <c r="F7128" s="6" t="str">
        <f>IF($M7128="PADD I","PADD 1",IF($M7128="PADD II","PADD 2",IF($M7128="PADD III","PADD 3",IF($M7128="PADD IV","PADD 4",IF($M7128="PADD V","PADD 5","")))))</f>
        <v>PADD 3</v>
      </c>
      <c r="G7128" s="6" t="str">
        <f>IF(AND($H7128="ATMOS DISTILLATION",ISNUMBER(SEARCH("VPS",$I7128))=FALSE,LEFT($I7128,6)&lt;&gt;"VACUUM"),"CDU",IF($H7128="FLUID CAT CRACKING","FCC",IF(OR($H7128="HYDROCRACKING",$H7128="RESID_HYDROCRACKING"),"Hydrocracker",IF($H7128="REFORMING","Reformer",""))))</f>
        <v>CDU</v>
      </c>
      <c r="H7128" s="6" t="s">
        <v>38</v>
      </c>
      <c r="I7128" s="6" t="s">
        <v>99</v>
      </c>
      <c r="J7128" s="6" t="s">
        <v>349</v>
      </c>
      <c r="K7128" s="10">
        <v>71</v>
      </c>
      <c r="L7128" s="10">
        <v>100</v>
      </c>
      <c r="M7128" s="6" t="s">
        <v>371</v>
      </c>
    </row>
    <row r="7129" spans="1:13">
      <c r="A7129" s="6">
        <v>2026</v>
      </c>
      <c r="B7129" s="6">
        <v>2</v>
      </c>
      <c r="C7129" s="6" t="s">
        <v>60</v>
      </c>
      <c r="D7129" s="6" t="s">
        <v>42</v>
      </c>
      <c r="E7129" s="6" t="s">
        <v>405</v>
      </c>
      <c r="F7129" s="6" t="str">
        <f>IF($M7129="PADD I","PADD 1",IF($M7129="PADD II","PADD 2",IF($M7129="PADD III","PADD 3",IF($M7129="PADD IV","PADD 4",IF($M7129="PADD V","PADD 5","")))))</f>
        <v>PADD 3</v>
      </c>
      <c r="G7129" s="6">
        <f>IF(AND($H7129="ATMOS DISTILLATION",ISNUMBER(SEARCH("VPS",$I7129))=FALSE,LEFT($I7129,6)&lt;&gt;"VACUUM"),"CDU",IF($H7129="FLUID CAT CRACKING","FCC",IF(OR($H7129="HYDROCRACKING",$H7129="RESID_HYDROCRACKING"),"Hydrocracker",IF($H7129="REFORMING","Reformer",""))))</f>
        <v/>
      </c>
      <c r="H7129" s="6" t="s">
        <v>378</v>
      </c>
      <c r="I7129" s="6" t="s">
        <v>1342</v>
      </c>
      <c r="J7129" s="6" t="s">
        <v>349</v>
      </c>
      <c r="K7129" s="10">
        <v>70</v>
      </c>
      <c r="L7129" s="10">
        <v>70</v>
      </c>
      <c r="M7129" s="6" t="s">
        <v>371</v>
      </c>
    </row>
    <row r="7130" spans="1:13">
      <c r="A7130" s="6">
        <v>2026</v>
      </c>
      <c r="B7130" s="6">
        <v>2</v>
      </c>
      <c r="C7130" s="6" t="s">
        <v>60</v>
      </c>
      <c r="D7130" s="6" t="s">
        <v>326</v>
      </c>
      <c r="E7130" s="6" t="s">
        <v>385</v>
      </c>
      <c r="F7130" s="6" t="str">
        <f>IF($M7130="PADD I","PADD 1",IF($M7130="PADD II","PADD 2",IF($M7130="PADD III","PADD 3",IF($M7130="PADD IV","PADD 4",IF($M7130="PADD V","PADD 5","")))))</f>
        <v>PADD 5</v>
      </c>
      <c r="G7130" s="6" t="str">
        <f>IF(AND($H7130="ATMOS DISTILLATION",ISNUMBER(SEARCH("VPS",$I7130))=FALSE,LEFT($I7130,6)&lt;&gt;"VACUUM"),"CDU",IF($H7130="FLUID CAT CRACKING","FCC",IF(OR($H7130="HYDROCRACKING",$H7130="RESID_HYDROCRACKING"),"Hydrocracker",IF($H7130="REFORMING","Reformer",""))))</f>
        <v>FCC</v>
      </c>
      <c r="H7130" s="6" t="s">
        <v>376</v>
      </c>
      <c r="I7130" s="6" t="s">
        <v>504</v>
      </c>
      <c r="J7130" s="6" t="s">
        <v>345</v>
      </c>
      <c r="K7130" s="10">
        <v>70</v>
      </c>
      <c r="L7130" s="10">
        <v>70</v>
      </c>
      <c r="M7130" s="6" t="s">
        <v>386</v>
      </c>
    </row>
    <row r="7131" spans="1:13">
      <c r="A7131" s="6">
        <v>2026</v>
      </c>
      <c r="B7131" s="6">
        <v>2</v>
      </c>
      <c r="C7131" s="6" t="s">
        <v>60</v>
      </c>
      <c r="D7131" s="6" t="s">
        <v>511</v>
      </c>
      <c r="E7131" s="6" t="s">
        <v>405</v>
      </c>
      <c r="F7131" s="6" t="str">
        <f>IF($M7131="PADD I","PADD 1",IF($M7131="PADD II","PADD 2",IF($M7131="PADD III","PADD 3",IF($M7131="PADD IV","PADD 4",IF($M7131="PADD V","PADD 5","")))))</f>
        <v>PADD 3</v>
      </c>
      <c r="G7131" s="6" t="str">
        <f>IF(AND($H7131="ATMOS DISTILLATION",ISNUMBER(SEARCH("VPS",$I7131))=FALSE,LEFT($I7131,6)&lt;&gt;"VACUUM"),"CDU",IF($H7131="FLUID CAT CRACKING","FCC",IF(OR($H7131="HYDROCRACKING",$H7131="RESID_HYDROCRACKING"),"Hydrocracker",IF($H7131="REFORMING","Reformer",""))))</f>
        <v>FCC</v>
      </c>
      <c r="H7131" s="6" t="s">
        <v>376</v>
      </c>
      <c r="I7131" s="6" t="s">
        <v>105</v>
      </c>
      <c r="J7131" s="6" t="s">
        <v>349</v>
      </c>
      <c r="K7131" s="10">
        <v>65</v>
      </c>
      <c r="L7131" s="10">
        <v>65</v>
      </c>
      <c r="M7131" s="6" t="s">
        <v>371</v>
      </c>
    </row>
    <row r="7132" spans="1:13">
      <c r="A7132" s="6">
        <v>2026</v>
      </c>
      <c r="B7132" s="6">
        <v>2</v>
      </c>
      <c r="C7132" s="6" t="s">
        <v>60</v>
      </c>
      <c r="D7132" s="6" t="s">
        <v>326</v>
      </c>
      <c r="E7132" s="6" t="s">
        <v>385</v>
      </c>
      <c r="F7132" s="6" t="str">
        <f>IF($M7132="PADD I","PADD 1",IF($M7132="PADD II","PADD 2",IF($M7132="PADD III","PADD 3",IF($M7132="PADD IV","PADD 4",IF($M7132="PADD V","PADD 5","")))))</f>
        <v>PADD 5</v>
      </c>
      <c r="G7132" s="6" t="str">
        <f>IF(AND($H7132="ATMOS DISTILLATION",ISNUMBER(SEARCH("VPS",$I7132))=FALSE,LEFT($I7132,6)&lt;&gt;"VACUUM"),"CDU",IF($H7132="FLUID CAT CRACKING","FCC",IF(OR($H7132="HYDROCRACKING",$H7132="RESID_HYDROCRACKING"),"Hydrocracker",IF($H7132="REFORMING","Reformer",""))))</f>
        <v>CDU</v>
      </c>
      <c r="H7132" s="6" t="s">
        <v>38</v>
      </c>
      <c r="I7132" s="6" t="s">
        <v>93</v>
      </c>
      <c r="J7132" s="6" t="s">
        <v>345</v>
      </c>
      <c r="K7132" s="10">
        <v>60</v>
      </c>
      <c r="L7132" s="10">
        <v>60</v>
      </c>
      <c r="M7132" s="6" t="s">
        <v>386</v>
      </c>
    </row>
    <row r="7133" spans="1:13">
      <c r="A7133" s="6">
        <v>2026</v>
      </c>
      <c r="B7133" s="6">
        <v>2</v>
      </c>
      <c r="C7133" s="6" t="s">
        <v>60</v>
      </c>
      <c r="D7133" s="6" t="s">
        <v>662</v>
      </c>
      <c r="E7133" s="6" t="s">
        <v>552</v>
      </c>
      <c r="F7133" s="6" t="str">
        <f>IF($M7133="PADD I","PADD 1",IF($M7133="PADD II","PADD 2",IF($M7133="PADD III","PADD 3",IF($M7133="PADD IV","PADD 4",IF($M7133="PADD V","PADD 5","")))))</f>
        <v>PADD 3</v>
      </c>
      <c r="G7133" s="6" t="str">
        <f>IF(AND($H7133="ATMOS DISTILLATION",ISNUMBER(SEARCH("VPS",$I7133))=FALSE,LEFT($I7133,6)&lt;&gt;"VACUUM"),"CDU",IF($H7133="FLUID CAT CRACKING","FCC",IF(OR($H7133="HYDROCRACKING",$H7133="RESID_HYDROCRACKING"),"Hydrocracker",IF($H7133="REFORMING","Reformer",""))))</f>
        <v>CDU</v>
      </c>
      <c r="H7133" s="6" t="s">
        <v>38</v>
      </c>
      <c r="I7133" s="6" t="s">
        <v>663</v>
      </c>
      <c r="J7133" s="6" t="s">
        <v>349</v>
      </c>
      <c r="K7133" s="10">
        <v>59.86</v>
      </c>
      <c r="L7133" s="10">
        <v>73</v>
      </c>
      <c r="M7133" s="6" t="s">
        <v>371</v>
      </c>
    </row>
    <row r="7134" spans="1:13">
      <c r="A7134" s="6">
        <v>2026</v>
      </c>
      <c r="B7134" s="6">
        <v>2</v>
      </c>
      <c r="C7134" s="6" t="s">
        <v>60</v>
      </c>
      <c r="D7134" s="6" t="s">
        <v>778</v>
      </c>
      <c r="E7134" s="6" t="s">
        <v>779</v>
      </c>
      <c r="F7134" s="6" t="str">
        <f>IF($M7134="PADD I","PADD 1",IF($M7134="PADD II","PADD 2",IF($M7134="PADD III","PADD 3",IF($M7134="PADD IV","PADD 4",IF($M7134="PADD V","PADD 5","")))))</f>
        <v>PADD 3</v>
      </c>
      <c r="G7134" s="6" t="str">
        <f>IF(AND($H7134="ATMOS DISTILLATION",ISNUMBER(SEARCH("VPS",$I7134))=FALSE,LEFT($I7134,6)&lt;&gt;"VACUUM"),"CDU",IF($H7134="FLUID CAT CRACKING","FCC",IF(OR($H7134="HYDROCRACKING",$H7134="RESID_HYDROCRACKING"),"Hydrocracker",IF($H7134="REFORMING","Reformer",""))))</f>
        <v>CDU</v>
      </c>
      <c r="H7134" s="6" t="s">
        <v>38</v>
      </c>
      <c r="I7134" s="6" t="s">
        <v>805</v>
      </c>
      <c r="J7134" s="6" t="s">
        <v>349</v>
      </c>
      <c r="K7134" s="10">
        <v>58</v>
      </c>
      <c r="L7134" s="10">
        <v>58</v>
      </c>
      <c r="M7134" s="6" t="s">
        <v>371</v>
      </c>
    </row>
    <row r="7135" spans="1:13">
      <c r="A7135" s="6">
        <v>2026</v>
      </c>
      <c r="B7135" s="6">
        <v>2</v>
      </c>
      <c r="C7135" s="6" t="s">
        <v>60</v>
      </c>
      <c r="D7135" s="6" t="s">
        <v>387</v>
      </c>
      <c r="E7135" s="6" t="s">
        <v>388</v>
      </c>
      <c r="F7135" s="6" t="str">
        <f>IF($M7135="PADD I","PADD 1",IF($M7135="PADD II","PADD 2",IF($M7135="PADD III","PADD 3",IF($M7135="PADD IV","PADD 4",IF($M7135="PADD V","PADD 5","")))))</f>
        <v>PADD 3</v>
      </c>
      <c r="G7135" s="6">
        <f>IF(AND($H7135="ATMOS DISTILLATION",ISNUMBER(SEARCH("VPS",$I7135))=FALSE,LEFT($I7135,6)&lt;&gt;"VACUUM"),"CDU",IF($H7135="FLUID CAT CRACKING","FCC",IF(OR($H7135="HYDROCRACKING",$H7135="RESID_HYDROCRACKING"),"Hydrocracker",IF($H7135="REFORMING","Reformer",""))))</f>
        <v/>
      </c>
      <c r="H7135" s="6" t="s">
        <v>43</v>
      </c>
      <c r="I7135" s="6" t="s">
        <v>1349</v>
      </c>
      <c r="J7135" s="6" t="s">
        <v>349</v>
      </c>
      <c r="K7135" s="10">
        <v>57.85</v>
      </c>
      <c r="L7135" s="10">
        <v>65</v>
      </c>
      <c r="M7135" s="6" t="s">
        <v>371</v>
      </c>
    </row>
    <row r="7136" spans="1:13">
      <c r="A7136" s="6">
        <v>2026</v>
      </c>
      <c r="B7136" s="6">
        <v>2</v>
      </c>
      <c r="C7136" s="6" t="s">
        <v>60</v>
      </c>
      <c r="D7136" s="6" t="s">
        <v>321</v>
      </c>
      <c r="E7136" s="6" t="s">
        <v>381</v>
      </c>
      <c r="F7136" s="6" t="str">
        <f>IF($M7136="PADD I","PADD 1",IF($M7136="PADD II","PADD 2",IF($M7136="PADD III","PADD 3",IF($M7136="PADD IV","PADD 4",IF($M7136="PADD V","PADD 5","")))))</f>
        <v>PADD 2</v>
      </c>
      <c r="G7136" s="6" t="str">
        <f>IF(AND($H7136="ATMOS DISTILLATION",ISNUMBER(SEARCH("VPS",$I7136))=FALSE,LEFT($I7136,6)&lt;&gt;"VACUUM"),"CDU",IF($H7136="FLUID CAT CRACKING","FCC",IF(OR($H7136="HYDROCRACKING",$H7136="RESID_HYDROCRACKING"),"Hydrocracker",IF($H7136="REFORMING","Reformer",""))))</f>
        <v>CDU</v>
      </c>
      <c r="H7136" s="6" t="s">
        <v>38</v>
      </c>
      <c r="I7136" s="6" t="s">
        <v>81</v>
      </c>
      <c r="J7136" s="6" t="s">
        <v>345</v>
      </c>
      <c r="K7136" s="10">
        <v>57.5</v>
      </c>
      <c r="L7136" s="10">
        <v>115</v>
      </c>
      <c r="M7136" s="6" t="s">
        <v>375</v>
      </c>
    </row>
    <row r="7137" spans="1:13">
      <c r="A7137" s="6">
        <v>2026</v>
      </c>
      <c r="B7137" s="6">
        <v>2</v>
      </c>
      <c r="C7137" s="6" t="s">
        <v>60</v>
      </c>
      <c r="D7137" s="6" t="s">
        <v>51</v>
      </c>
      <c r="E7137" s="6" t="s">
        <v>391</v>
      </c>
      <c r="F7137" s="6" t="str">
        <f>IF($M7137="PADD I","PADD 1",IF($M7137="PADD II","PADD 2",IF($M7137="PADD III","PADD 3",IF($M7137="PADD IV","PADD 4",IF($M7137="PADD V","PADD 5","")))))</f>
        <v>PADD 5</v>
      </c>
      <c r="G7137" s="6">
        <f>IF(AND($H7137="ATMOS DISTILLATION",ISNUMBER(SEARCH("VPS",$I7137))=FALSE,LEFT($I7137,6)&lt;&gt;"VACUUM"),"CDU",IF($H7137="FLUID CAT CRACKING","FCC",IF(OR($H7137="HYDROCRACKING",$H7137="RESID_HYDROCRACKING"),"Hydrocracker",IF($H7137="REFORMING","Reformer",""))))</f>
        <v/>
      </c>
      <c r="H7137" s="6" t="s">
        <v>378</v>
      </c>
      <c r="I7137" s="6" t="s">
        <v>1035</v>
      </c>
      <c r="J7137" s="6" t="s">
        <v>345</v>
      </c>
      <c r="K7137" s="10">
        <v>56.35</v>
      </c>
      <c r="L7137" s="10">
        <v>56.35</v>
      </c>
      <c r="M7137" s="6" t="s">
        <v>386</v>
      </c>
    </row>
    <row r="7138" spans="1:13">
      <c r="A7138" s="6">
        <v>2026</v>
      </c>
      <c r="B7138" s="6">
        <v>2</v>
      </c>
      <c r="C7138" s="6" t="s">
        <v>60</v>
      </c>
      <c r="D7138" s="6" t="s">
        <v>50</v>
      </c>
      <c r="E7138" s="6" t="s">
        <v>381</v>
      </c>
      <c r="F7138" s="6" t="str">
        <f>IF($M7138="PADD I","PADD 1",IF($M7138="PADD II","PADD 2",IF($M7138="PADD III","PADD 3",IF($M7138="PADD IV","PADD 4",IF($M7138="PADD V","PADD 5","")))))</f>
        <v>PADD 3</v>
      </c>
      <c r="G7138" s="6">
        <f>IF(AND($H7138="ATMOS DISTILLATION",ISNUMBER(SEARCH("VPS",$I7138))=FALSE,LEFT($I7138,6)&lt;&gt;"VACUUM"),"CDU",IF($H7138="FLUID CAT CRACKING","FCC",IF(OR($H7138="HYDROCRACKING",$H7138="RESID_HYDROCRACKING"),"Hydrocracker",IF($H7138="REFORMING","Reformer",""))))</f>
        <v/>
      </c>
      <c r="H7138" s="6" t="s">
        <v>43</v>
      </c>
      <c r="I7138" s="6" t="s">
        <v>1329</v>
      </c>
      <c r="J7138" s="6" t="s">
        <v>349</v>
      </c>
      <c r="K7138" s="10">
        <v>55</v>
      </c>
      <c r="L7138" s="10">
        <v>55</v>
      </c>
      <c r="M7138" s="6" t="s">
        <v>371</v>
      </c>
    </row>
    <row r="7139" spans="1:13">
      <c r="A7139" s="6">
        <v>2026</v>
      </c>
      <c r="B7139" s="6">
        <v>2</v>
      </c>
      <c r="C7139" s="6" t="s">
        <v>60</v>
      </c>
      <c r="D7139" s="6" t="s">
        <v>42</v>
      </c>
      <c r="E7139" s="6" t="s">
        <v>405</v>
      </c>
      <c r="F7139" s="6" t="str">
        <f>IF($M7139="PADD I","PADD 1",IF($M7139="PADD II","PADD 2",IF($M7139="PADD III","PADD 3",IF($M7139="PADD IV","PADD 4",IF($M7139="PADD V","PADD 5","")))))</f>
        <v>PADD 3</v>
      </c>
      <c r="G7139" s="6" t="str">
        <f>IF(AND($H7139="ATMOS DISTILLATION",ISNUMBER(SEARCH("VPS",$I7139))=FALSE,LEFT($I7139,6)&lt;&gt;"VACUUM"),"CDU",IF($H7139="FLUID CAT CRACKING","FCC",IF(OR($H7139="HYDROCRACKING",$H7139="RESID_HYDROCRACKING"),"Hydrocracker",IF($H7139="REFORMING","Reformer",""))))</f>
        <v>CDU</v>
      </c>
      <c r="H7139" s="6" t="s">
        <v>38</v>
      </c>
      <c r="I7139" s="6" t="s">
        <v>1343</v>
      </c>
      <c r="J7139" s="6" t="s">
        <v>349</v>
      </c>
      <c r="K7139" s="10">
        <v>53</v>
      </c>
      <c r="L7139" s="10">
        <v>53</v>
      </c>
      <c r="M7139" s="6" t="s">
        <v>371</v>
      </c>
    </row>
    <row r="7140" spans="1:13">
      <c r="A7140" s="6">
        <v>2026</v>
      </c>
      <c r="B7140" s="6">
        <v>2</v>
      </c>
      <c r="C7140" s="6" t="s">
        <v>60</v>
      </c>
      <c r="D7140" s="6" t="s">
        <v>1060</v>
      </c>
      <c r="E7140" s="6" t="s">
        <v>1039</v>
      </c>
      <c r="F7140" s="6" t="str">
        <f>IF($M7140="PADD I","PADD 1",IF($M7140="PADD II","PADD 2",IF($M7140="PADD III","PADD 3",IF($M7140="PADD IV","PADD 4",IF($M7140="PADD V","PADD 5","")))))</f>
        <v>PADD 2</v>
      </c>
      <c r="G7140" s="6" t="str">
        <f>IF(AND($H7140="ATMOS DISTILLATION",ISNUMBER(SEARCH("VPS",$I7140))=FALSE,LEFT($I7140,6)&lt;&gt;"VACUUM"),"CDU",IF($H7140="FLUID CAT CRACKING","FCC",IF(OR($H7140="HYDROCRACKING",$H7140="RESID_HYDROCRACKING"),"Hydrocracker",IF($H7140="REFORMING","Reformer",""))))</f>
        <v>FCC</v>
      </c>
      <c r="H7140" s="6" t="s">
        <v>376</v>
      </c>
      <c r="I7140" s="6" t="s">
        <v>105</v>
      </c>
      <c r="J7140" s="6" t="s">
        <v>345</v>
      </c>
      <c r="K7140" s="10">
        <v>52.92</v>
      </c>
      <c r="L7140" s="10">
        <v>98</v>
      </c>
      <c r="M7140" s="6" t="s">
        <v>375</v>
      </c>
    </row>
    <row r="7141" spans="1:13">
      <c r="A7141" s="6">
        <v>2026</v>
      </c>
      <c r="B7141" s="6">
        <v>2</v>
      </c>
      <c r="C7141" s="6" t="s">
        <v>60</v>
      </c>
      <c r="D7141" s="6" t="s">
        <v>415</v>
      </c>
      <c r="E7141" s="6" t="s">
        <v>416</v>
      </c>
      <c r="F7141" s="6" t="str">
        <f>IF($M7141="PADD I","PADD 1",IF($M7141="PADD II","PADD 2",IF($M7141="PADD III","PADD 3",IF($M7141="PADD IV","PADD 4",IF($M7141="PADD V","PADD 5","")))))</f>
        <v>PADD 3</v>
      </c>
      <c r="G7141" s="6" t="str">
        <f>IF(AND($H7141="ATMOS DISTILLATION",ISNUMBER(SEARCH("VPS",$I7141))=FALSE,LEFT($I7141,6)&lt;&gt;"VACUUM"),"CDU",IF($H7141="FLUID CAT CRACKING","FCC",IF(OR($H7141="HYDROCRACKING",$H7141="RESID_HYDROCRACKING"),"Hydrocracker",IF($H7141="REFORMING","Reformer",""))))</f>
        <v>Reformer</v>
      </c>
      <c r="H7141" s="6" t="s">
        <v>421</v>
      </c>
      <c r="I7141" s="6" t="s">
        <v>454</v>
      </c>
      <c r="J7141" s="6" t="s">
        <v>345</v>
      </c>
      <c r="K7141" s="10">
        <v>52</v>
      </c>
      <c r="L7141" s="10">
        <v>52</v>
      </c>
      <c r="M7141" s="6" t="s">
        <v>371</v>
      </c>
    </row>
    <row r="7142" spans="1:13">
      <c r="A7142" s="6">
        <v>2026</v>
      </c>
      <c r="B7142" s="6">
        <v>2</v>
      </c>
      <c r="C7142" s="6" t="s">
        <v>60</v>
      </c>
      <c r="D7142" s="6" t="s">
        <v>50</v>
      </c>
      <c r="E7142" s="6" t="s">
        <v>381</v>
      </c>
      <c r="F7142" s="6" t="str">
        <f>IF($M7142="PADD I","PADD 1",IF($M7142="PADD II","PADD 2",IF($M7142="PADD III","PADD 3",IF($M7142="PADD IV","PADD 4",IF($M7142="PADD V","PADD 5","")))))</f>
        <v>PADD 3</v>
      </c>
      <c r="G7142" s="6">
        <f>IF(AND($H7142="ATMOS DISTILLATION",ISNUMBER(SEARCH("VPS",$I7142))=FALSE,LEFT($I7142,6)&lt;&gt;"VACUUM"),"CDU",IF($H7142="FLUID CAT CRACKING","FCC",IF(OR($H7142="HYDROCRACKING",$H7142="RESID_HYDROCRACKING"),"Hydrocracker",IF($H7142="REFORMING","Reformer",""))))</f>
        <v/>
      </c>
      <c r="H7142" s="6" t="s">
        <v>435</v>
      </c>
      <c r="I7142" s="6" t="s">
        <v>1272</v>
      </c>
      <c r="J7142" s="6" t="s">
        <v>349</v>
      </c>
      <c r="K7142" s="10">
        <v>51.5</v>
      </c>
      <c r="L7142" s="10">
        <v>51.5</v>
      </c>
      <c r="M7142" s="6" t="s">
        <v>371</v>
      </c>
    </row>
    <row r="7143" spans="1:13">
      <c r="A7143" s="6">
        <v>2026</v>
      </c>
      <c r="B7143" s="6">
        <v>2</v>
      </c>
      <c r="C7143" s="6" t="s">
        <v>60</v>
      </c>
      <c r="D7143" s="6" t="s">
        <v>1060</v>
      </c>
      <c r="E7143" s="6" t="s">
        <v>1039</v>
      </c>
      <c r="F7143" s="6" t="str">
        <f>IF($M7143="PADD I","PADD 1",IF($M7143="PADD II","PADD 2",IF($M7143="PADD III","PADD 3",IF($M7143="PADD IV","PADD 4",IF($M7143="PADD V","PADD 5","")))))</f>
        <v>PADD 2</v>
      </c>
      <c r="G7143" s="6">
        <f>IF(AND($H7143="ATMOS DISTILLATION",ISNUMBER(SEARCH("VPS",$I7143))=FALSE,LEFT($I7143,6)&lt;&gt;"VACUUM"),"CDU",IF($H7143="FLUID CAT CRACKING","FCC",IF(OR($H7143="HYDROCRACKING",$H7143="RESID_HYDROCRACKING"),"Hydrocracker",IF($H7143="REFORMING","Reformer",""))))</f>
        <v/>
      </c>
      <c r="H7143" s="6" t="s">
        <v>378</v>
      </c>
      <c r="I7143" s="6" t="s">
        <v>431</v>
      </c>
      <c r="J7143" s="6" t="s">
        <v>345</v>
      </c>
      <c r="K7143" s="10">
        <v>51.3</v>
      </c>
      <c r="L7143" s="10">
        <v>95</v>
      </c>
      <c r="M7143" s="6" t="s">
        <v>375</v>
      </c>
    </row>
    <row r="7144" spans="1:13">
      <c r="A7144" s="6">
        <v>2026</v>
      </c>
      <c r="B7144" s="6">
        <v>2</v>
      </c>
      <c r="C7144" s="6" t="s">
        <v>60</v>
      </c>
      <c r="D7144" s="6" t="s">
        <v>390</v>
      </c>
      <c r="E7144" s="6" t="s">
        <v>391</v>
      </c>
      <c r="F7144" s="6" t="str">
        <f>IF($M7144="PADD I","PADD 1",IF($M7144="PADD II","PADD 2",IF($M7144="PADD III","PADD 3",IF($M7144="PADD IV","PADD 4",IF($M7144="PADD V","PADD 5","")))))</f>
        <v>PADD 3</v>
      </c>
      <c r="G7144" s="6" t="str">
        <f>IF(AND($H7144="ATMOS DISTILLATION",ISNUMBER(SEARCH("VPS",$I7144))=FALSE,LEFT($I7144,6)&lt;&gt;"VACUUM"),"CDU",IF($H7144="FLUID CAT CRACKING","FCC",IF(OR($H7144="HYDROCRACKING",$H7144="RESID_HYDROCRACKING"),"Hydrocracker",IF($H7144="REFORMING","Reformer",""))))</f>
        <v>CDU</v>
      </c>
      <c r="H7144" s="6" t="s">
        <v>38</v>
      </c>
      <c r="I7144" s="6" t="s">
        <v>392</v>
      </c>
      <c r="J7144" s="6" t="s">
        <v>345</v>
      </c>
      <c r="K7144" s="10">
        <v>50.4</v>
      </c>
      <c r="L7144" s="10">
        <v>240</v>
      </c>
      <c r="M7144" s="6" t="s">
        <v>371</v>
      </c>
    </row>
    <row r="7145" spans="1:13">
      <c r="A7145" s="6">
        <v>2026</v>
      </c>
      <c r="B7145" s="6">
        <v>2</v>
      </c>
      <c r="C7145" s="6" t="s">
        <v>60</v>
      </c>
      <c r="D7145" s="6" t="s">
        <v>739</v>
      </c>
      <c r="E7145" s="6" t="s">
        <v>405</v>
      </c>
      <c r="F7145" s="6" t="str">
        <f>IF($M7145="PADD I","PADD 1",IF($M7145="PADD II","PADD 2",IF($M7145="PADD III","PADD 3",IF($M7145="PADD IV","PADD 4",IF($M7145="PADD V","PADD 5","")))))</f>
        <v>PADD 2</v>
      </c>
      <c r="G7145" s="6" t="str">
        <f>IF(AND($H7145="ATMOS DISTILLATION",ISNUMBER(SEARCH("VPS",$I7145))=FALSE,LEFT($I7145,6)&lt;&gt;"VACUUM"),"CDU",IF($H7145="FLUID CAT CRACKING","FCC",IF(OR($H7145="HYDROCRACKING",$H7145="RESID_HYDROCRACKING"),"Hydrocracker",IF($H7145="REFORMING","Reformer",""))))</f>
        <v>CDU</v>
      </c>
      <c r="H7145" s="6" t="s">
        <v>38</v>
      </c>
      <c r="I7145" s="6" t="s">
        <v>133</v>
      </c>
      <c r="J7145" s="6" t="s">
        <v>345</v>
      </c>
      <c r="K7145" s="10">
        <v>49.41</v>
      </c>
      <c r="L7145" s="10">
        <v>91.5</v>
      </c>
      <c r="M7145" s="6" t="s">
        <v>375</v>
      </c>
    </row>
    <row r="7146" spans="1:13">
      <c r="A7146" s="6">
        <v>2026</v>
      </c>
      <c r="B7146" s="6">
        <v>2</v>
      </c>
      <c r="C7146" s="6" t="s">
        <v>60</v>
      </c>
      <c r="D7146" s="6" t="s">
        <v>1060</v>
      </c>
      <c r="E7146" s="6" t="s">
        <v>1039</v>
      </c>
      <c r="F7146" s="6" t="str">
        <f>IF($M7146="PADD I","PADD 1",IF($M7146="PADD II","PADD 2",IF($M7146="PADD III","PADD 3",IF($M7146="PADD IV","PADD 4",IF($M7146="PADD V","PADD 5","")))))</f>
        <v>PADD 2</v>
      </c>
      <c r="G7146" s="6" t="str">
        <f>IF(AND($H7146="ATMOS DISTILLATION",ISNUMBER(SEARCH("VPS",$I7146))=FALSE,LEFT($I7146,6)&lt;&gt;"VACUUM"),"CDU",IF($H7146="FLUID CAT CRACKING","FCC",IF(OR($H7146="HYDROCRACKING",$H7146="RESID_HYDROCRACKING"),"Hydrocracker",IF($H7146="REFORMING","Reformer",""))))</f>
        <v>CDU</v>
      </c>
      <c r="H7146" s="6" t="s">
        <v>38</v>
      </c>
      <c r="I7146" s="6" t="s">
        <v>406</v>
      </c>
      <c r="J7146" s="6" t="s">
        <v>349</v>
      </c>
      <c r="K7146" s="10">
        <v>46.4</v>
      </c>
      <c r="L7146" s="10">
        <v>160</v>
      </c>
      <c r="M7146" s="6" t="s">
        <v>375</v>
      </c>
    </row>
    <row r="7147" spans="1:13">
      <c r="A7147" s="6">
        <v>2026</v>
      </c>
      <c r="B7147" s="6">
        <v>2</v>
      </c>
      <c r="C7147" s="6" t="s">
        <v>60</v>
      </c>
      <c r="D7147" s="6" t="s">
        <v>778</v>
      </c>
      <c r="E7147" s="6" t="s">
        <v>779</v>
      </c>
      <c r="F7147" s="6" t="str">
        <f>IF($M7147="PADD I","PADD 1",IF($M7147="PADD II","PADD 2",IF($M7147="PADD III","PADD 3",IF($M7147="PADD IV","PADD 4",IF($M7147="PADD V","PADD 5","")))))</f>
        <v>PADD 3</v>
      </c>
      <c r="G7147" s="6" t="str">
        <f>IF(AND($H7147="ATMOS DISTILLATION",ISNUMBER(SEARCH("VPS",$I7147))=FALSE,LEFT($I7147,6)&lt;&gt;"VACUUM"),"CDU",IF($H7147="FLUID CAT CRACKING","FCC",IF(OR($H7147="HYDROCRACKING",$H7147="RESID_HYDROCRACKING"),"Hydrocracker",IF($H7147="REFORMING","Reformer",""))))</f>
        <v>FCC</v>
      </c>
      <c r="H7147" s="6" t="s">
        <v>376</v>
      </c>
      <c r="I7147" s="6" t="s">
        <v>806</v>
      </c>
      <c r="J7147" s="6" t="s">
        <v>349</v>
      </c>
      <c r="K7147" s="10">
        <v>45.1</v>
      </c>
      <c r="L7147" s="10">
        <v>55</v>
      </c>
      <c r="M7147" s="6" t="s">
        <v>371</v>
      </c>
    </row>
    <row r="7148" spans="1:13">
      <c r="A7148" s="6">
        <v>2026</v>
      </c>
      <c r="B7148" s="6">
        <v>2</v>
      </c>
      <c r="C7148" s="6" t="s">
        <v>60</v>
      </c>
      <c r="D7148" s="6" t="s">
        <v>42</v>
      </c>
      <c r="E7148" s="6" t="s">
        <v>405</v>
      </c>
      <c r="F7148" s="6" t="str">
        <f>IF($M7148="PADD I","PADD 1",IF($M7148="PADD II","PADD 2",IF($M7148="PADD III","PADD 3",IF($M7148="PADD IV","PADD 4",IF($M7148="PADD V","PADD 5","")))))</f>
        <v>PADD 3</v>
      </c>
      <c r="G7148" s="6">
        <f>IF(AND($H7148="ATMOS DISTILLATION",ISNUMBER(SEARCH("VPS",$I7148))=FALSE,LEFT($I7148,6)&lt;&gt;"VACUUM"),"CDU",IF($H7148="FLUID CAT CRACKING","FCC",IF(OR($H7148="HYDROCRACKING",$H7148="RESID_HYDROCRACKING"),"Hydrocracker",IF($H7148="REFORMING","Reformer",""))))</f>
        <v/>
      </c>
      <c r="H7148" s="6" t="s">
        <v>378</v>
      </c>
      <c r="I7148" s="6" t="s">
        <v>1344</v>
      </c>
      <c r="J7148" s="6" t="s">
        <v>349</v>
      </c>
      <c r="K7148" s="10">
        <v>45</v>
      </c>
      <c r="L7148" s="10">
        <v>45</v>
      </c>
      <c r="M7148" s="6" t="s">
        <v>371</v>
      </c>
    </row>
    <row r="7149" spans="1:13">
      <c r="A7149" s="6">
        <v>2026</v>
      </c>
      <c r="B7149" s="6">
        <v>2</v>
      </c>
      <c r="C7149" s="6" t="s">
        <v>60</v>
      </c>
      <c r="D7149" s="6" t="s">
        <v>770</v>
      </c>
      <c r="E7149" s="6" t="s">
        <v>660</v>
      </c>
      <c r="F7149" s="6" t="str">
        <f>IF($M7149="PADD I","PADD 1",IF($M7149="PADD II","PADD 2",IF($M7149="PADD III","PADD 3",IF($M7149="PADD IV","PADD 4",IF($M7149="PADD V","PADD 5","")))))</f>
        <v>PADD 3</v>
      </c>
      <c r="G7149" s="6" t="str">
        <f>IF(AND($H7149="ATMOS DISTILLATION",ISNUMBER(SEARCH("VPS",$I7149))=FALSE,LEFT($I7149,6)&lt;&gt;"VACUUM"),"CDU",IF($H7149="FLUID CAT CRACKING","FCC",IF(OR($H7149="HYDROCRACKING",$H7149="RESID_HYDROCRACKING"),"Hydrocracker",IF($H7149="REFORMING","Reformer",""))))</f>
        <v>CDU</v>
      </c>
      <c r="H7149" s="6" t="s">
        <v>38</v>
      </c>
      <c r="I7149" s="6" t="s">
        <v>771</v>
      </c>
      <c r="J7149" s="6" t="s">
        <v>345</v>
      </c>
      <c r="K7149" s="10">
        <v>44.73</v>
      </c>
      <c r="L7149" s="10">
        <v>63</v>
      </c>
      <c r="M7149" s="6" t="s">
        <v>371</v>
      </c>
    </row>
    <row r="7150" spans="1:13">
      <c r="A7150" s="6">
        <v>2026</v>
      </c>
      <c r="B7150" s="6">
        <v>2</v>
      </c>
      <c r="C7150" s="6" t="s">
        <v>60</v>
      </c>
      <c r="D7150" s="6" t="s">
        <v>324</v>
      </c>
      <c r="E7150" s="6" t="s">
        <v>388</v>
      </c>
      <c r="F7150" s="6" t="str">
        <f>IF($M7150="PADD I","PADD 1",IF($M7150="PADD II","PADD 2",IF($M7150="PADD III","PADD 3",IF($M7150="PADD IV","PADD 4",IF($M7150="PADD V","PADD 5","")))))</f>
        <v>PADD 3</v>
      </c>
      <c r="G7150" s="6">
        <f>IF(AND($H7150="ATMOS DISTILLATION",ISNUMBER(SEARCH("VPS",$I7150))=FALSE,LEFT($I7150,6)&lt;&gt;"VACUUM"),"CDU",IF($H7150="FLUID CAT CRACKING","FCC",IF(OR($H7150="HYDROCRACKING",$H7150="RESID_HYDROCRACKING"),"Hydrocracker",IF($H7150="REFORMING","Reformer",""))))</f>
        <v/>
      </c>
      <c r="H7150" s="6" t="s">
        <v>378</v>
      </c>
      <c r="I7150" s="6" t="s">
        <v>1092</v>
      </c>
      <c r="J7150" s="6" t="s">
        <v>349</v>
      </c>
      <c r="K7150" s="10">
        <v>44</v>
      </c>
      <c r="L7150" s="10">
        <v>137.5</v>
      </c>
      <c r="M7150" s="6" t="s">
        <v>371</v>
      </c>
    </row>
    <row r="7151" spans="1:13">
      <c r="A7151" s="6">
        <v>2026</v>
      </c>
      <c r="B7151" s="6">
        <v>2</v>
      </c>
      <c r="C7151" s="6" t="s">
        <v>60</v>
      </c>
      <c r="D7151" s="6" t="s">
        <v>321</v>
      </c>
      <c r="E7151" s="6" t="s">
        <v>381</v>
      </c>
      <c r="F7151" s="6" t="str">
        <f>IF($M7151="PADD I","PADD 1",IF($M7151="PADD II","PADD 2",IF($M7151="PADD III","PADD 3",IF($M7151="PADD IV","PADD 4",IF($M7151="PADD V","PADD 5","")))))</f>
        <v>PADD 2</v>
      </c>
      <c r="G7151" s="6">
        <f>IF(AND($H7151="ATMOS DISTILLATION",ISNUMBER(SEARCH("VPS",$I7151))=FALSE,LEFT($I7151,6)&lt;&gt;"VACUUM"),"CDU",IF($H7151="FLUID CAT CRACKING","FCC",IF(OR($H7151="HYDROCRACKING",$H7151="RESID_HYDROCRACKING"),"Hydrocracker",IF($H7151="REFORMING","Reformer",""))))</f>
        <v/>
      </c>
      <c r="H7151" s="6" t="s">
        <v>43</v>
      </c>
      <c r="I7151" s="6" t="s">
        <v>1165</v>
      </c>
      <c r="J7151" s="6" t="s">
        <v>345</v>
      </c>
      <c r="K7151" s="10">
        <v>40</v>
      </c>
      <c r="L7151" s="10">
        <v>80</v>
      </c>
      <c r="M7151" s="6" t="s">
        <v>375</v>
      </c>
    </row>
    <row r="7152" spans="1:13">
      <c r="A7152" s="6">
        <v>2026</v>
      </c>
      <c r="B7152" s="6">
        <v>2</v>
      </c>
      <c r="C7152" s="6" t="s">
        <v>60</v>
      </c>
      <c r="D7152" s="6" t="s">
        <v>380</v>
      </c>
      <c r="E7152" s="6" t="s">
        <v>381</v>
      </c>
      <c r="F7152" s="6" t="str">
        <f>IF($M7152="PADD I","PADD 1",IF($M7152="PADD II","PADD 2",IF($M7152="PADD III","PADD 3",IF($M7152="PADD IV","PADD 4",IF($M7152="PADD V","PADD 5","")))))</f>
        <v>PADD 3</v>
      </c>
      <c r="G7152" s="6" t="str">
        <f>IF(AND($H7152="ATMOS DISTILLATION",ISNUMBER(SEARCH("VPS",$I7152))=FALSE,LEFT($I7152,6)&lt;&gt;"VACUUM"),"CDU",IF($H7152="FLUID CAT CRACKING","FCC",IF(OR($H7152="HYDROCRACKING",$H7152="RESID_HYDROCRACKING"),"Hydrocracker",IF($H7152="REFORMING","Reformer",""))))</f>
        <v>CDU</v>
      </c>
      <c r="H7152" s="6" t="s">
        <v>38</v>
      </c>
      <c r="I7152" s="6" t="s">
        <v>846</v>
      </c>
      <c r="J7152" s="6" t="s">
        <v>349</v>
      </c>
      <c r="K7152" s="10">
        <v>39.1</v>
      </c>
      <c r="L7152" s="10">
        <v>85</v>
      </c>
      <c r="M7152" s="6" t="s">
        <v>371</v>
      </c>
    </row>
    <row r="7153" spans="1:13">
      <c r="A7153" s="6">
        <v>2026</v>
      </c>
      <c r="B7153" s="6">
        <v>2</v>
      </c>
      <c r="C7153" s="6" t="s">
        <v>60</v>
      </c>
      <c r="D7153" s="6" t="s">
        <v>526</v>
      </c>
      <c r="E7153" s="6" t="s">
        <v>405</v>
      </c>
      <c r="F7153" s="6" t="str">
        <f>IF($M7153="PADD I","PADD 1",IF($M7153="PADD II","PADD 2",IF($M7153="PADD III","PADD 3",IF($M7153="PADD IV","PADD 4",IF($M7153="PADD V","PADD 5","")))))</f>
        <v>PADD 3</v>
      </c>
      <c r="G7153" s="6" t="str">
        <f>IF(AND($H7153="ATMOS DISTILLATION",ISNUMBER(SEARCH("VPS",$I7153))=FALSE,LEFT($I7153,6)&lt;&gt;"VACUUM"),"CDU",IF($H7153="FLUID CAT CRACKING","FCC",IF(OR($H7153="HYDROCRACKING",$H7153="RESID_HYDROCRACKING"),"Hydrocracker",IF($H7153="REFORMING","Reformer",""))))</f>
        <v>CDU</v>
      </c>
      <c r="H7153" s="6" t="s">
        <v>38</v>
      </c>
      <c r="I7153" s="6" t="s">
        <v>350</v>
      </c>
      <c r="J7153" s="6" t="s">
        <v>345</v>
      </c>
      <c r="K7153" s="10">
        <v>39</v>
      </c>
      <c r="L7153" s="10">
        <v>100</v>
      </c>
      <c r="M7153" s="6" t="s">
        <v>371</v>
      </c>
    </row>
    <row r="7154" spans="1:13">
      <c r="A7154" s="6">
        <v>2026</v>
      </c>
      <c r="B7154" s="6">
        <v>2</v>
      </c>
      <c r="C7154" s="6" t="s">
        <v>60</v>
      </c>
      <c r="D7154" s="6" t="s">
        <v>547</v>
      </c>
      <c r="E7154" s="6" t="s">
        <v>391</v>
      </c>
      <c r="F7154" s="6" t="str">
        <f>IF($M7154="PADD I","PADD 1",IF($M7154="PADD II","PADD 2",IF($M7154="PADD III","PADD 3",IF($M7154="PADD IV","PADD 4",IF($M7154="PADD V","PADD 5","")))))</f>
        <v>PADD 5</v>
      </c>
      <c r="G7154" s="6" t="str">
        <f>IF(AND($H7154="ATMOS DISTILLATION",ISNUMBER(SEARCH("VPS",$I7154))=FALSE,LEFT($I7154,6)&lt;&gt;"VACUUM"),"CDU",IF($H7154="FLUID CAT CRACKING","FCC",IF(OR($H7154="HYDROCRACKING",$H7154="RESID_HYDROCRACKING"),"Hydrocracker",IF($H7154="REFORMING","Reformer",""))))</f>
        <v>Reformer</v>
      </c>
      <c r="H7154" s="6" t="s">
        <v>421</v>
      </c>
      <c r="I7154" s="6" t="s">
        <v>1049</v>
      </c>
      <c r="J7154" s="6" t="s">
        <v>345</v>
      </c>
      <c r="K7154" s="10">
        <v>38.4</v>
      </c>
      <c r="L7154" s="10">
        <v>40</v>
      </c>
      <c r="M7154" s="6" t="s">
        <v>386</v>
      </c>
    </row>
    <row r="7155" spans="1:13">
      <c r="A7155" s="6">
        <v>2026</v>
      </c>
      <c r="B7155" s="6">
        <v>2</v>
      </c>
      <c r="C7155" s="6" t="s">
        <v>60</v>
      </c>
      <c r="D7155" s="6" t="s">
        <v>446</v>
      </c>
      <c r="E7155" s="6" t="s">
        <v>391</v>
      </c>
      <c r="F7155" s="6" t="str">
        <f>IF($M7155="PADD I","PADD 1",IF($M7155="PADD II","PADD 2",IF($M7155="PADD III","PADD 3",IF($M7155="PADD IV","PADD 4",IF($M7155="PADD V","PADD 5","")))))</f>
        <v>PADD 3</v>
      </c>
      <c r="G7155" s="6">
        <f>IF(AND($H7155="ATMOS DISTILLATION",ISNUMBER(SEARCH("VPS",$I7155))=FALSE,LEFT($I7155,6)&lt;&gt;"VACUUM"),"CDU",IF($H7155="FLUID CAT CRACKING","FCC",IF(OR($H7155="HYDROCRACKING",$H7155="RESID_HYDROCRACKING"),"Hydrocracker",IF($H7155="REFORMING","Reformer",""))))</f>
        <v/>
      </c>
      <c r="H7155" s="6" t="s">
        <v>378</v>
      </c>
      <c r="I7155" s="6" t="s">
        <v>1041</v>
      </c>
      <c r="J7155" s="6" t="s">
        <v>345</v>
      </c>
      <c r="K7155" s="10">
        <v>35.26</v>
      </c>
      <c r="L7155" s="10">
        <v>41</v>
      </c>
      <c r="M7155" s="6" t="s">
        <v>371</v>
      </c>
    </row>
    <row r="7156" spans="1:13">
      <c r="A7156" s="6">
        <v>2026</v>
      </c>
      <c r="B7156" s="6">
        <v>2</v>
      </c>
      <c r="C7156" s="6" t="s">
        <v>60</v>
      </c>
      <c r="D7156" s="6" t="s">
        <v>542</v>
      </c>
      <c r="E7156" s="6" t="s">
        <v>543</v>
      </c>
      <c r="F7156" s="6" t="str">
        <f>IF($M7156="PADD I","PADD 1",IF($M7156="PADD II","PADD 2",IF($M7156="PADD III","PADD 3",IF($M7156="PADD IV","PADD 4",IF($M7156="PADD V","PADD 5","")))))</f>
        <v>PADD 2</v>
      </c>
      <c r="G7156" s="6" t="str">
        <f>IF(AND($H7156="ATMOS DISTILLATION",ISNUMBER(SEARCH("VPS",$I7156))=FALSE,LEFT($I7156,6)&lt;&gt;"VACUUM"),"CDU",IF($H7156="FLUID CAT CRACKING","FCC",IF(OR($H7156="HYDROCRACKING",$H7156="RESID_HYDROCRACKING"),"Hydrocracker",IF($H7156="REFORMING","Reformer",""))))</f>
        <v>CDU</v>
      </c>
      <c r="H7156" s="6" t="s">
        <v>38</v>
      </c>
      <c r="I7156" s="6" t="s">
        <v>1115</v>
      </c>
      <c r="J7156" s="6" t="s">
        <v>345</v>
      </c>
      <c r="K7156" s="10">
        <v>35.1</v>
      </c>
      <c r="L7156" s="10">
        <v>90</v>
      </c>
      <c r="M7156" s="6" t="s">
        <v>375</v>
      </c>
    </row>
    <row r="7157" spans="1:13">
      <c r="A7157" s="6">
        <v>2026</v>
      </c>
      <c r="B7157" s="6">
        <v>2</v>
      </c>
      <c r="C7157" s="6" t="s">
        <v>60</v>
      </c>
      <c r="D7157" s="6" t="s">
        <v>1063</v>
      </c>
      <c r="E7157" s="6" t="s">
        <v>388</v>
      </c>
      <c r="F7157" s="6" t="str">
        <f>IF($M7157="PADD I","PADD 1",IF($M7157="PADD II","PADD 2",IF($M7157="PADD III","PADD 3",IF($M7157="PADD IV","PADD 4",IF($M7157="PADD V","PADD 5","")))))</f>
        <v>PADD 2</v>
      </c>
      <c r="G7157" s="6">
        <f>IF(AND($H7157="ATMOS DISTILLATION",ISNUMBER(SEARCH("VPS",$I7157))=FALSE,LEFT($I7157,6)&lt;&gt;"VACUUM"),"CDU",IF($H7157="FLUID CAT CRACKING","FCC",IF(OR($H7157="HYDROCRACKING",$H7157="RESID_HYDROCRACKING"),"Hydrocracker",IF($H7157="REFORMING","Reformer",""))))</f>
        <v/>
      </c>
      <c r="H7157" s="6" t="s">
        <v>43</v>
      </c>
      <c r="I7157" s="6" t="s">
        <v>493</v>
      </c>
      <c r="J7157" s="6" t="s">
        <v>345</v>
      </c>
      <c r="K7157" s="10">
        <v>34</v>
      </c>
      <c r="L7157" s="10">
        <v>34</v>
      </c>
      <c r="M7157" s="6" t="s">
        <v>375</v>
      </c>
    </row>
    <row r="7158" spans="1:13">
      <c r="A7158" s="6">
        <v>2026</v>
      </c>
      <c r="B7158" s="6">
        <v>2</v>
      </c>
      <c r="C7158" s="6" t="s">
        <v>60</v>
      </c>
      <c r="D7158" s="6" t="s">
        <v>526</v>
      </c>
      <c r="E7158" s="6" t="s">
        <v>405</v>
      </c>
      <c r="F7158" s="6" t="str">
        <f>IF($M7158="PADD I","PADD 1",IF($M7158="PADD II","PADD 2",IF($M7158="PADD III","PADD 3",IF($M7158="PADD IV","PADD 4",IF($M7158="PADD V","PADD 5","")))))</f>
        <v>PADD 3</v>
      </c>
      <c r="G7158" s="6" t="str">
        <f>IF(AND($H7158="ATMOS DISTILLATION",ISNUMBER(SEARCH("VPS",$I7158))=FALSE,LEFT($I7158,6)&lt;&gt;"VACUUM"),"CDU",IF($H7158="FLUID CAT CRACKING","FCC",IF(OR($H7158="HYDROCRACKING",$H7158="RESID_HYDROCRACKING"),"Hydrocracker",IF($H7158="REFORMING","Reformer",""))))</f>
        <v>CDU</v>
      </c>
      <c r="H7158" s="6" t="s">
        <v>38</v>
      </c>
      <c r="I7158" s="6" t="s">
        <v>350</v>
      </c>
      <c r="J7158" s="6" t="s">
        <v>349</v>
      </c>
      <c r="K7158" s="10">
        <v>32</v>
      </c>
      <c r="L7158" s="10">
        <v>50</v>
      </c>
      <c r="M7158" s="6" t="s">
        <v>371</v>
      </c>
    </row>
    <row r="7159" spans="1:13">
      <c r="A7159" s="6">
        <v>2026</v>
      </c>
      <c r="B7159" s="6">
        <v>2</v>
      </c>
      <c r="C7159" s="6" t="s">
        <v>60</v>
      </c>
      <c r="D7159" s="6" t="s">
        <v>387</v>
      </c>
      <c r="E7159" s="6" t="s">
        <v>388</v>
      </c>
      <c r="F7159" s="6" t="str">
        <f>IF($M7159="PADD I","PADD 1",IF($M7159="PADD II","PADD 2",IF($M7159="PADD III","PADD 3",IF($M7159="PADD IV","PADD 4",IF($M7159="PADD V","PADD 5","")))))</f>
        <v>PADD 3</v>
      </c>
      <c r="G7159" s="6">
        <f>IF(AND($H7159="ATMOS DISTILLATION",ISNUMBER(SEARCH("VPS",$I7159))=FALSE,LEFT($I7159,6)&lt;&gt;"VACUUM"),"CDU",IF($H7159="FLUID CAT CRACKING","FCC",IF(OR($H7159="HYDROCRACKING",$H7159="RESID_HYDROCRACKING"),"Hydrocracker",IF($H7159="REFORMING","Reformer",""))))</f>
        <v/>
      </c>
      <c r="H7159" s="6" t="s">
        <v>460</v>
      </c>
      <c r="I7159" s="6" t="s">
        <v>1345</v>
      </c>
      <c r="J7159" s="6" t="s">
        <v>349</v>
      </c>
      <c r="K7159" s="10">
        <v>31.5</v>
      </c>
      <c r="L7159" s="10">
        <v>31.5</v>
      </c>
      <c r="M7159" s="6" t="s">
        <v>371</v>
      </c>
    </row>
    <row r="7160" spans="1:13">
      <c r="A7160" s="6">
        <v>2026</v>
      </c>
      <c r="B7160" s="6">
        <v>2</v>
      </c>
      <c r="C7160" s="6" t="s">
        <v>60</v>
      </c>
      <c r="D7160" s="6" t="s">
        <v>326</v>
      </c>
      <c r="E7160" s="6" t="s">
        <v>385</v>
      </c>
      <c r="F7160" s="6" t="str">
        <f>IF($M7160="PADD I","PADD 1",IF($M7160="PADD II","PADD 2",IF($M7160="PADD III","PADD 3",IF($M7160="PADD IV","PADD 4",IF($M7160="PADD V","PADD 5","")))))</f>
        <v>PADD 5</v>
      </c>
      <c r="G7160" s="6">
        <f>IF(AND($H7160="ATMOS DISTILLATION",ISNUMBER(SEARCH("VPS",$I7160))=FALSE,LEFT($I7160,6)&lt;&gt;"VACUUM"),"CDU",IF($H7160="FLUID CAT CRACKING","FCC",IF(OR($H7160="HYDROCRACKING",$H7160="RESID_HYDROCRACKING"),"Hydrocracker",IF($H7160="REFORMING","Reformer",""))))</f>
        <v/>
      </c>
      <c r="H7160" s="6" t="s">
        <v>378</v>
      </c>
      <c r="I7160" s="6" t="s">
        <v>431</v>
      </c>
      <c r="J7160" s="6" t="s">
        <v>345</v>
      </c>
      <c r="K7160" s="10">
        <v>31.5</v>
      </c>
      <c r="L7160" s="10">
        <v>31.5</v>
      </c>
      <c r="M7160" s="6" t="s">
        <v>386</v>
      </c>
    </row>
    <row r="7161" spans="1:13">
      <c r="A7161" s="6">
        <v>2026</v>
      </c>
      <c r="B7161" s="6">
        <v>2</v>
      </c>
      <c r="C7161" s="6" t="s">
        <v>60</v>
      </c>
      <c r="D7161" s="6" t="s">
        <v>547</v>
      </c>
      <c r="E7161" s="6" t="s">
        <v>391</v>
      </c>
      <c r="F7161" s="6" t="str">
        <f>IF($M7161="PADD I","PADD 1",IF($M7161="PADD II","PADD 2",IF($M7161="PADD III","PADD 3",IF($M7161="PADD IV","PADD 4",IF($M7161="PADD V","PADD 5","")))))</f>
        <v>PADD 5</v>
      </c>
      <c r="G7161" s="6">
        <f>IF(AND($H7161="ATMOS DISTILLATION",ISNUMBER(SEARCH("VPS",$I7161))=FALSE,LEFT($I7161,6)&lt;&gt;"VACUUM"),"CDU",IF($H7161="FLUID CAT CRACKING","FCC",IF(OR($H7161="HYDROCRACKING",$H7161="RESID_HYDROCRACKING"),"Hydrocracker",IF($H7161="REFORMING","Reformer",""))))</f>
        <v/>
      </c>
      <c r="H7161" s="6" t="s">
        <v>43</v>
      </c>
      <c r="I7161" s="6" t="s">
        <v>930</v>
      </c>
      <c r="J7161" s="6" t="s">
        <v>349</v>
      </c>
      <c r="K7161" s="10">
        <v>30.72</v>
      </c>
      <c r="L7161" s="10">
        <v>96</v>
      </c>
      <c r="M7161" s="6" t="s">
        <v>386</v>
      </c>
    </row>
    <row r="7162" spans="1:13">
      <c r="A7162" s="6">
        <v>2026</v>
      </c>
      <c r="B7162" s="6">
        <v>2</v>
      </c>
      <c r="C7162" s="6" t="s">
        <v>60</v>
      </c>
      <c r="D7162" s="6" t="s">
        <v>387</v>
      </c>
      <c r="E7162" s="6" t="s">
        <v>388</v>
      </c>
      <c r="F7162" s="6" t="str">
        <f>IF($M7162="PADD I","PADD 1",IF($M7162="PADD II","PADD 2",IF($M7162="PADD III","PADD 3",IF($M7162="PADD IV","PADD 4",IF($M7162="PADD V","PADD 5","")))))</f>
        <v>PADD 3</v>
      </c>
      <c r="G7162" s="6" t="str">
        <f>IF(AND($H7162="ATMOS DISTILLATION",ISNUMBER(SEARCH("VPS",$I7162))=FALSE,LEFT($I7162,6)&lt;&gt;"VACUUM"),"CDU",IF($H7162="FLUID CAT CRACKING","FCC",IF(OR($H7162="HYDROCRACKING",$H7162="RESID_HYDROCRACKING"),"Hydrocracker",IF($H7162="REFORMING","Reformer",""))))</f>
        <v>CDU</v>
      </c>
      <c r="H7162" s="6" t="s">
        <v>38</v>
      </c>
      <c r="I7162" s="6" t="s">
        <v>389</v>
      </c>
      <c r="J7162" s="6" t="s">
        <v>349</v>
      </c>
      <c r="K7162" s="10">
        <v>30</v>
      </c>
      <c r="L7162" s="10">
        <v>30</v>
      </c>
      <c r="M7162" s="6" t="s">
        <v>371</v>
      </c>
    </row>
    <row r="7163" spans="1:13">
      <c r="A7163" s="6">
        <v>2026</v>
      </c>
      <c r="B7163" s="6">
        <v>2</v>
      </c>
      <c r="C7163" s="6" t="s">
        <v>60</v>
      </c>
      <c r="D7163" s="6" t="s">
        <v>772</v>
      </c>
      <c r="E7163" s="6" t="s">
        <v>405</v>
      </c>
      <c r="F7163" s="6" t="str">
        <f>IF($M7163="PADD I","PADD 1",IF($M7163="PADD II","PADD 2",IF($M7163="PADD III","PADD 3",IF($M7163="PADD IV","PADD 4",IF($M7163="PADD V","PADD 5","")))))</f>
        <v>PADD 3</v>
      </c>
      <c r="G7163" s="6" t="str">
        <f>IF(AND($H7163="ATMOS DISTILLATION",ISNUMBER(SEARCH("VPS",$I7163))=FALSE,LEFT($I7163,6)&lt;&gt;"VACUUM"),"CDU",IF($H7163="FLUID CAT CRACKING","FCC",IF(OR($H7163="HYDROCRACKING",$H7163="RESID_HYDROCRACKING"),"Hydrocracker",IF($H7163="REFORMING","Reformer",""))))</f>
        <v>CDU</v>
      </c>
      <c r="H7163" s="6" t="s">
        <v>38</v>
      </c>
      <c r="I7163" s="6" t="s">
        <v>1310</v>
      </c>
      <c r="J7163" s="6" t="s">
        <v>349</v>
      </c>
      <c r="K7163" s="10">
        <v>29.725</v>
      </c>
      <c r="L7163" s="10">
        <v>102.5</v>
      </c>
      <c r="M7163" s="6" t="s">
        <v>371</v>
      </c>
    </row>
    <row r="7164" spans="1:13">
      <c r="A7164" s="6">
        <v>2026</v>
      </c>
      <c r="B7164" s="6">
        <v>2</v>
      </c>
      <c r="C7164" s="6" t="s">
        <v>60</v>
      </c>
      <c r="D7164" s="6" t="s">
        <v>526</v>
      </c>
      <c r="E7164" s="6" t="s">
        <v>405</v>
      </c>
      <c r="F7164" s="6" t="str">
        <f>IF($M7164="PADD I","PADD 1",IF($M7164="PADD II","PADD 2",IF($M7164="PADD III","PADD 3",IF($M7164="PADD IV","PADD 4",IF($M7164="PADD V","PADD 5","")))))</f>
        <v>PADD 3</v>
      </c>
      <c r="G7164" s="6" t="str">
        <f>IF(AND($H7164="ATMOS DISTILLATION",ISNUMBER(SEARCH("VPS",$I7164))=FALSE,LEFT($I7164,6)&lt;&gt;"VACUUM"),"CDU",IF($H7164="FLUID CAT CRACKING","FCC",IF(OR($H7164="HYDROCRACKING",$H7164="RESID_HYDROCRACKING"),"Hydrocracker",IF($H7164="REFORMING","Reformer",""))))</f>
        <v>Hydrocracker</v>
      </c>
      <c r="H7164" s="6" t="s">
        <v>444</v>
      </c>
      <c r="I7164" s="6" t="s">
        <v>351</v>
      </c>
      <c r="J7164" s="6" t="s">
        <v>349</v>
      </c>
      <c r="K7164" s="10">
        <v>28.8</v>
      </c>
      <c r="L7164" s="10">
        <v>45</v>
      </c>
      <c r="M7164" s="6" t="s">
        <v>371</v>
      </c>
    </row>
    <row r="7165" spans="1:13">
      <c r="A7165" s="6">
        <v>2026</v>
      </c>
      <c r="B7165" s="6">
        <v>2</v>
      </c>
      <c r="C7165" s="6" t="s">
        <v>60</v>
      </c>
      <c r="D7165" s="6" t="s">
        <v>1060</v>
      </c>
      <c r="E7165" s="6" t="s">
        <v>1039</v>
      </c>
      <c r="F7165" s="6" t="str">
        <f>IF($M7165="PADD I","PADD 1",IF($M7165="PADD II","PADD 2",IF($M7165="PADD III","PADD 3",IF($M7165="PADD IV","PADD 4",IF($M7165="PADD V","PADD 5","")))))</f>
        <v>PADD 2</v>
      </c>
      <c r="G7165" s="6" t="str">
        <f>IF(AND($H7165="ATMOS DISTILLATION",ISNUMBER(SEARCH("VPS",$I7165))=FALSE,LEFT($I7165,6)&lt;&gt;"VACUUM"),"CDU",IF($H7165="FLUID CAT CRACKING","FCC",IF(OR($H7165="HYDROCRACKING",$H7165="RESID_HYDROCRACKING"),"Hydrocracker",IF($H7165="REFORMING","Reformer",""))))</f>
        <v>FCC</v>
      </c>
      <c r="H7165" s="6" t="s">
        <v>376</v>
      </c>
      <c r="I7165" s="6" t="s">
        <v>105</v>
      </c>
      <c r="J7165" s="6" t="s">
        <v>349</v>
      </c>
      <c r="K7165" s="10">
        <v>28.42</v>
      </c>
      <c r="L7165" s="10">
        <v>98</v>
      </c>
      <c r="M7165" s="6" t="s">
        <v>375</v>
      </c>
    </row>
    <row r="7166" spans="1:13">
      <c r="A7166" s="6">
        <v>2026</v>
      </c>
      <c r="B7166" s="6">
        <v>2</v>
      </c>
      <c r="C7166" s="6" t="s">
        <v>60</v>
      </c>
      <c r="D7166" s="6" t="s">
        <v>1158</v>
      </c>
      <c r="E7166" s="6" t="s">
        <v>724</v>
      </c>
      <c r="F7166" s="6" t="str">
        <f>IF($M7166="PADD I","PADD 1",IF($M7166="PADD II","PADD 2",IF($M7166="PADD III","PADD 3",IF($M7166="PADD IV","PADD 4",IF($M7166="PADD V","PADD 5","")))))</f>
        <v>PADD 5</v>
      </c>
      <c r="G7166" s="6" t="str">
        <f>IF(AND($H7166="ATMOS DISTILLATION",ISNUMBER(SEARCH("VPS",$I7166))=FALSE,LEFT($I7166,6)&lt;&gt;"VACUUM"),"CDU",IF($H7166="FLUID CAT CRACKING","FCC",IF(OR($H7166="HYDROCRACKING",$H7166="RESID_HYDROCRACKING"),"Hydrocracker",IF($H7166="REFORMING","Reformer",""))))</f>
        <v>CDU</v>
      </c>
      <c r="H7166" s="6" t="s">
        <v>38</v>
      </c>
      <c r="I7166" s="6" t="s">
        <v>81</v>
      </c>
      <c r="J7166" s="6" t="s">
        <v>349</v>
      </c>
      <c r="K7166" s="10">
        <v>26.88</v>
      </c>
      <c r="L7166" s="10">
        <v>42</v>
      </c>
      <c r="M7166" s="6" t="s">
        <v>386</v>
      </c>
    </row>
    <row r="7167" spans="1:13">
      <c r="A7167" s="6">
        <v>2026</v>
      </c>
      <c r="B7167" s="6">
        <v>2</v>
      </c>
      <c r="C7167" s="6" t="s">
        <v>60</v>
      </c>
      <c r="D7167" s="6" t="s">
        <v>662</v>
      </c>
      <c r="E7167" s="6" t="s">
        <v>552</v>
      </c>
      <c r="F7167" s="6" t="str">
        <f>IF($M7167="PADD I","PADD 1",IF($M7167="PADD II","PADD 2",IF($M7167="PADD III","PADD 3",IF($M7167="PADD IV","PADD 4",IF($M7167="PADD V","PADD 5","")))))</f>
        <v>PADD 3</v>
      </c>
      <c r="G7167" s="6" t="str">
        <f>IF(AND($H7167="ATMOS DISTILLATION",ISNUMBER(SEARCH("VPS",$I7167))=FALSE,LEFT($I7167,6)&lt;&gt;"VACUUM"),"CDU",IF($H7167="FLUID CAT CRACKING","FCC",IF(OR($H7167="HYDROCRACKING",$H7167="RESID_HYDROCRACKING"),"Hydrocracker",IF($H7167="REFORMING","Reformer",""))))</f>
        <v>FCC</v>
      </c>
      <c r="H7167" s="6" t="s">
        <v>376</v>
      </c>
      <c r="I7167" s="6" t="s">
        <v>105</v>
      </c>
      <c r="J7167" s="6" t="s">
        <v>349</v>
      </c>
      <c r="K7167" s="10">
        <v>25</v>
      </c>
      <c r="L7167" s="10">
        <v>25</v>
      </c>
      <c r="M7167" s="6" t="s">
        <v>371</v>
      </c>
    </row>
    <row r="7168" spans="1:13">
      <c r="A7168" s="6">
        <v>2026</v>
      </c>
      <c r="B7168" s="6">
        <v>2</v>
      </c>
      <c r="C7168" s="6" t="s">
        <v>60</v>
      </c>
      <c r="D7168" s="6" t="s">
        <v>42</v>
      </c>
      <c r="E7168" s="6" t="s">
        <v>405</v>
      </c>
      <c r="F7168" s="6" t="str">
        <f>IF($M7168="PADD I","PADD 1",IF($M7168="PADD II","PADD 2",IF($M7168="PADD III","PADD 3",IF($M7168="PADD IV","PADD 4",IF($M7168="PADD V","PADD 5","")))))</f>
        <v>PADD 3</v>
      </c>
      <c r="G7168" s="6">
        <f>IF(AND($H7168="ATMOS DISTILLATION",ISNUMBER(SEARCH("VPS",$I7168))=FALSE,LEFT($I7168,6)&lt;&gt;"VACUUM"),"CDU",IF($H7168="FLUID CAT CRACKING","FCC",IF(OR($H7168="HYDROCRACKING",$H7168="RESID_HYDROCRACKING"),"Hydrocracker",IF($H7168="REFORMING","Reformer",""))))</f>
        <v/>
      </c>
      <c r="H7168" s="6" t="s">
        <v>43</v>
      </c>
      <c r="I7168" s="6" t="s">
        <v>1232</v>
      </c>
      <c r="J7168" s="6" t="s">
        <v>349</v>
      </c>
      <c r="K7168" s="10">
        <v>25</v>
      </c>
      <c r="L7168" s="10">
        <v>25</v>
      </c>
      <c r="M7168" s="6" t="s">
        <v>371</v>
      </c>
    </row>
    <row r="7169" spans="1:13">
      <c r="A7169" s="6">
        <v>2026</v>
      </c>
      <c r="B7169" s="6">
        <v>2</v>
      </c>
      <c r="C7169" s="6" t="s">
        <v>60</v>
      </c>
      <c r="D7169" s="6" t="s">
        <v>511</v>
      </c>
      <c r="E7169" s="6" t="s">
        <v>405</v>
      </c>
      <c r="F7169" s="6" t="str">
        <f>IF($M7169="PADD I","PADD 1",IF($M7169="PADD II","PADD 2",IF($M7169="PADD III","PADD 3",IF($M7169="PADD IV","PADD 4",IF($M7169="PADD V","PADD 5","")))))</f>
        <v>PADD 3</v>
      </c>
      <c r="G7169" s="6">
        <f>IF(AND($H7169="ATMOS DISTILLATION",ISNUMBER(SEARCH("VPS",$I7169))=FALSE,LEFT($I7169,6)&lt;&gt;"VACUUM"),"CDU",IF($H7169="FLUID CAT CRACKING","FCC",IF(OR($H7169="HYDROCRACKING",$H7169="RESID_HYDROCRACKING"),"Hydrocracker",IF($H7169="REFORMING","Reformer",""))))</f>
        <v/>
      </c>
      <c r="H7169" s="6" t="s">
        <v>460</v>
      </c>
      <c r="I7169" s="6" t="s">
        <v>461</v>
      </c>
      <c r="J7169" s="6" t="s">
        <v>349</v>
      </c>
      <c r="K7169" s="10">
        <v>24.58</v>
      </c>
      <c r="L7169" s="10">
        <v>24.58</v>
      </c>
      <c r="M7169" s="6" t="s">
        <v>371</v>
      </c>
    </row>
    <row r="7170" spans="1:13">
      <c r="A7170" s="6">
        <v>2026</v>
      </c>
      <c r="B7170" s="6">
        <v>2</v>
      </c>
      <c r="C7170" s="6" t="s">
        <v>60</v>
      </c>
      <c r="D7170" s="6" t="s">
        <v>51</v>
      </c>
      <c r="E7170" s="6" t="s">
        <v>391</v>
      </c>
      <c r="F7170" s="6" t="str">
        <f>IF($M7170="PADD I","PADD 1",IF($M7170="PADD II","PADD 2",IF($M7170="PADD III","PADD 3",IF($M7170="PADD IV","PADD 4",IF($M7170="PADD V","PADD 5","")))))</f>
        <v>PADD 5</v>
      </c>
      <c r="G7170" s="6">
        <f>IF(AND($H7170="ATMOS DISTILLATION",ISNUMBER(SEARCH("VPS",$I7170))=FALSE,LEFT($I7170,6)&lt;&gt;"VACUUM"),"CDU",IF($H7170="FLUID CAT CRACKING","FCC",IF(OR($H7170="HYDROCRACKING",$H7170="RESID_HYDROCRACKING"),"Hydrocracker",IF($H7170="REFORMING","Reformer",""))))</f>
        <v/>
      </c>
      <c r="H7170" s="6" t="s">
        <v>43</v>
      </c>
      <c r="I7170" s="6" t="s">
        <v>1167</v>
      </c>
      <c r="J7170" s="6" t="s">
        <v>345</v>
      </c>
      <c r="K7170" s="10">
        <v>24.5</v>
      </c>
      <c r="L7170" s="10">
        <v>24.5</v>
      </c>
      <c r="M7170" s="6" t="s">
        <v>386</v>
      </c>
    </row>
    <row r="7171" spans="1:13">
      <c r="A7171" s="6">
        <v>2026</v>
      </c>
      <c r="B7171" s="6">
        <v>2</v>
      </c>
      <c r="C7171" s="6" t="s">
        <v>60</v>
      </c>
      <c r="D7171" s="6" t="s">
        <v>48</v>
      </c>
      <c r="E7171" s="6" t="s">
        <v>388</v>
      </c>
      <c r="F7171" s="6" t="str">
        <f>IF($M7171="PADD I","PADD 1",IF($M7171="PADD II","PADD 2",IF($M7171="PADD III","PADD 3",IF($M7171="PADD IV","PADD 4",IF($M7171="PADD V","PADD 5","")))))</f>
        <v>PADD 2</v>
      </c>
      <c r="G7171" s="6">
        <f>IF(AND($H7171="ATMOS DISTILLATION",ISNUMBER(SEARCH("VPS",$I7171))=FALSE,LEFT($I7171,6)&lt;&gt;"VACUUM"),"CDU",IF($H7171="FLUID CAT CRACKING","FCC",IF(OR($H7171="HYDROCRACKING",$H7171="RESID_HYDROCRACKING"),"Hydrocracker",IF($H7171="REFORMING","Reformer",""))))</f>
        <v/>
      </c>
      <c r="H7171" s="6" t="s">
        <v>43</v>
      </c>
      <c r="I7171" s="6" t="s">
        <v>696</v>
      </c>
      <c r="J7171" s="6" t="s">
        <v>345</v>
      </c>
      <c r="K7171" s="10">
        <v>24.215</v>
      </c>
      <c r="L7171" s="10">
        <v>83.5</v>
      </c>
      <c r="M7171" s="6" t="s">
        <v>375</v>
      </c>
    </row>
    <row r="7172" spans="1:13">
      <c r="A7172" s="6">
        <v>2026</v>
      </c>
      <c r="B7172" s="6">
        <v>2</v>
      </c>
      <c r="C7172" s="6" t="s">
        <v>60</v>
      </c>
      <c r="D7172" s="6" t="s">
        <v>511</v>
      </c>
      <c r="E7172" s="6" t="s">
        <v>405</v>
      </c>
      <c r="F7172" s="6" t="str">
        <f>IF($M7172="PADD I","PADD 1",IF($M7172="PADD II","PADD 2",IF($M7172="PADD III","PADD 3",IF($M7172="PADD IV","PADD 4",IF($M7172="PADD V","PADD 5","")))))</f>
        <v>PADD 3</v>
      </c>
      <c r="G7172" s="6">
        <f>IF(AND($H7172="ATMOS DISTILLATION",ISNUMBER(SEARCH("VPS",$I7172))=FALSE,LEFT($I7172,6)&lt;&gt;"VACUUM"),"CDU",IF($H7172="FLUID CAT CRACKING","FCC",IF(OR($H7172="HYDROCRACKING",$H7172="RESID_HYDROCRACKING"),"Hydrocracker",IF($H7172="REFORMING","Reformer",""))))</f>
        <v/>
      </c>
      <c r="H7172" s="6" t="s">
        <v>43</v>
      </c>
      <c r="I7172" s="6" t="s">
        <v>1346</v>
      </c>
      <c r="J7172" s="6" t="s">
        <v>349</v>
      </c>
      <c r="K7172" s="10">
        <v>24</v>
      </c>
      <c r="L7172" s="10">
        <v>25</v>
      </c>
      <c r="M7172" s="6" t="s">
        <v>371</v>
      </c>
    </row>
    <row r="7173" spans="1:13">
      <c r="A7173" s="6">
        <v>2026</v>
      </c>
      <c r="B7173" s="6">
        <v>2</v>
      </c>
      <c r="C7173" s="6" t="s">
        <v>60</v>
      </c>
      <c r="D7173" s="6" t="s">
        <v>51</v>
      </c>
      <c r="E7173" s="6" t="s">
        <v>391</v>
      </c>
      <c r="F7173" s="6" t="str">
        <f>IF($M7173="PADD I","PADD 1",IF($M7173="PADD II","PADD 2",IF($M7173="PADD III","PADD 3",IF($M7173="PADD IV","PADD 4",IF($M7173="PADD V","PADD 5","")))))</f>
        <v>PADD 5</v>
      </c>
      <c r="G7173" s="6">
        <f>IF(AND($H7173="ATMOS DISTILLATION",ISNUMBER(SEARCH("VPS",$I7173))=FALSE,LEFT($I7173,6)&lt;&gt;"VACUUM"),"CDU",IF($H7173="FLUID CAT CRACKING","FCC",IF(OR($H7173="HYDROCRACKING",$H7173="RESID_HYDROCRACKING"),"Hydrocracker",IF($H7173="REFORMING","Reformer",""))))</f>
        <v/>
      </c>
      <c r="H7173" s="6" t="s">
        <v>43</v>
      </c>
      <c r="I7173" s="6" t="s">
        <v>1230</v>
      </c>
      <c r="J7173" s="6" t="s">
        <v>345</v>
      </c>
      <c r="K7173" s="10">
        <v>23.8</v>
      </c>
      <c r="L7173" s="10">
        <v>23.8</v>
      </c>
      <c r="M7173" s="6" t="s">
        <v>386</v>
      </c>
    </row>
    <row r="7174" spans="1:13">
      <c r="A7174" s="6">
        <v>2026</v>
      </c>
      <c r="B7174" s="6">
        <v>2</v>
      </c>
      <c r="C7174" s="6" t="s">
        <v>60</v>
      </c>
      <c r="D7174" s="6" t="s">
        <v>778</v>
      </c>
      <c r="E7174" s="6" t="s">
        <v>779</v>
      </c>
      <c r="F7174" s="6" t="str">
        <f>IF($M7174="PADD I","PADD 1",IF($M7174="PADD II","PADD 2",IF($M7174="PADD III","PADD 3",IF($M7174="PADD IV","PADD 4",IF($M7174="PADD V","PADD 5","")))))</f>
        <v>PADD 3</v>
      </c>
      <c r="G7174" s="6">
        <f>IF(AND($H7174="ATMOS DISTILLATION",ISNUMBER(SEARCH("VPS",$I7174))=FALSE,LEFT($I7174,6)&lt;&gt;"VACUUM"),"CDU",IF($H7174="FLUID CAT CRACKING","FCC",IF(OR($H7174="HYDROCRACKING",$H7174="RESID_HYDROCRACKING"),"Hydrocracker",IF($H7174="REFORMING","Reformer",""))))</f>
        <v/>
      </c>
      <c r="H7174" s="6" t="s">
        <v>378</v>
      </c>
      <c r="I7174" s="6" t="s">
        <v>797</v>
      </c>
      <c r="J7174" s="6" t="s">
        <v>345</v>
      </c>
      <c r="K7174" s="10">
        <v>23</v>
      </c>
      <c r="L7174" s="10">
        <v>23</v>
      </c>
      <c r="M7174" s="6" t="s">
        <v>371</v>
      </c>
    </row>
    <row r="7175" spans="1:13">
      <c r="A7175" s="6">
        <v>2026</v>
      </c>
      <c r="B7175" s="6">
        <v>2</v>
      </c>
      <c r="C7175" s="6" t="s">
        <v>60</v>
      </c>
      <c r="D7175" s="6" t="s">
        <v>612</v>
      </c>
      <c r="E7175" s="6" t="s">
        <v>416</v>
      </c>
      <c r="F7175" s="6" t="str">
        <f>IF($M7175="PADD I","PADD 1",IF($M7175="PADD II","PADD 2",IF($M7175="PADD III","PADD 3",IF($M7175="PADD IV","PADD 4",IF($M7175="PADD V","PADD 5","")))))</f>
        <v>PADD 3</v>
      </c>
      <c r="G7175" s="6" t="str">
        <f>IF(AND($H7175="ATMOS DISTILLATION",ISNUMBER(SEARCH("VPS",$I7175))=FALSE,LEFT($I7175,6)&lt;&gt;"VACUUM"),"CDU",IF($H7175="FLUID CAT CRACKING","FCC",IF(OR($H7175="HYDROCRACKING",$H7175="RESID_HYDROCRACKING"),"Hydrocracker",IF($H7175="REFORMING","Reformer",""))))</f>
        <v>FCC</v>
      </c>
      <c r="H7175" s="6" t="s">
        <v>376</v>
      </c>
      <c r="I7175" s="6" t="s">
        <v>428</v>
      </c>
      <c r="J7175" s="6" t="s">
        <v>345</v>
      </c>
      <c r="K7175" s="10">
        <v>22.08</v>
      </c>
      <c r="L7175" s="10">
        <v>69</v>
      </c>
      <c r="M7175" s="6" t="s">
        <v>371</v>
      </c>
    </row>
    <row r="7176" spans="1:13">
      <c r="A7176" s="6">
        <v>2026</v>
      </c>
      <c r="B7176" s="6">
        <v>2</v>
      </c>
      <c r="C7176" s="6" t="s">
        <v>60</v>
      </c>
      <c r="D7176" s="6" t="s">
        <v>547</v>
      </c>
      <c r="E7176" s="6" t="s">
        <v>391</v>
      </c>
      <c r="F7176" s="6" t="str">
        <f>IF($M7176="PADD I","PADD 1",IF($M7176="PADD II","PADD 2",IF($M7176="PADD III","PADD 3",IF($M7176="PADD IV","PADD 4",IF($M7176="PADD V","PADD 5","")))))</f>
        <v>PADD 5</v>
      </c>
      <c r="G7176" s="6">
        <f>IF(AND($H7176="ATMOS DISTILLATION",ISNUMBER(SEARCH("VPS",$I7176))=FALSE,LEFT($I7176,6)&lt;&gt;"VACUUM"),"CDU",IF($H7176="FLUID CAT CRACKING","FCC",IF(OR($H7176="HYDROCRACKING",$H7176="RESID_HYDROCRACKING"),"Hydrocracker",IF($H7176="REFORMING","Reformer",""))))</f>
        <v/>
      </c>
      <c r="H7176" s="6" t="s">
        <v>43</v>
      </c>
      <c r="I7176" s="6" t="s">
        <v>929</v>
      </c>
      <c r="J7176" s="6" t="s">
        <v>349</v>
      </c>
      <c r="K7176" s="10">
        <v>20.736</v>
      </c>
      <c r="L7176" s="10">
        <v>64.8</v>
      </c>
      <c r="M7176" s="6" t="s">
        <v>386</v>
      </c>
    </row>
    <row r="7177" spans="1:13">
      <c r="A7177" s="6">
        <v>2026</v>
      </c>
      <c r="B7177" s="6">
        <v>2</v>
      </c>
      <c r="C7177" s="6" t="s">
        <v>60</v>
      </c>
      <c r="D7177" s="6" t="s">
        <v>526</v>
      </c>
      <c r="E7177" s="6" t="s">
        <v>405</v>
      </c>
      <c r="F7177" s="6" t="str">
        <f>IF($M7177="PADD I","PADD 1",IF($M7177="PADD II","PADD 2",IF($M7177="PADD III","PADD 3",IF($M7177="PADD IV","PADD 4",IF($M7177="PADD V","PADD 5","")))))</f>
        <v>PADD 3</v>
      </c>
      <c r="G7177" s="6" t="str">
        <f>IF(AND($H7177="ATMOS DISTILLATION",ISNUMBER(SEARCH("VPS",$I7177))=FALSE,LEFT($I7177,6)&lt;&gt;"VACUUM"),"CDU",IF($H7177="FLUID CAT CRACKING","FCC",IF(OR($H7177="HYDROCRACKING",$H7177="RESID_HYDROCRACKING"),"Hydrocracker",IF($H7177="REFORMING","Reformer",""))))</f>
        <v>Hydrocracker</v>
      </c>
      <c r="H7177" s="6" t="s">
        <v>444</v>
      </c>
      <c r="I7177" s="6" t="s">
        <v>351</v>
      </c>
      <c r="J7177" s="6" t="s">
        <v>349</v>
      </c>
      <c r="K7177" s="10">
        <v>20.52</v>
      </c>
      <c r="L7177" s="10">
        <v>57</v>
      </c>
      <c r="M7177" s="6" t="s">
        <v>371</v>
      </c>
    </row>
    <row r="7178" spans="1:13">
      <c r="A7178" s="6">
        <v>2026</v>
      </c>
      <c r="B7178" s="6">
        <v>2</v>
      </c>
      <c r="C7178" s="6" t="s">
        <v>60</v>
      </c>
      <c r="D7178" s="6" t="s">
        <v>329</v>
      </c>
      <c r="E7178" s="6" t="s">
        <v>427</v>
      </c>
      <c r="F7178" s="6" t="str">
        <f>IF($M7178="PADD I","PADD 1",IF($M7178="PADD II","PADD 2",IF($M7178="PADD III","PADD 3",IF($M7178="PADD IV","PADD 4",IF($M7178="PADD V","PADD 5","")))))</f>
        <v>PADD 3</v>
      </c>
      <c r="G7178" s="6" t="str">
        <f>IF(AND($H7178="ATMOS DISTILLATION",ISNUMBER(SEARCH("VPS",$I7178))=FALSE,LEFT($I7178,6)&lt;&gt;"VACUUM"),"CDU",IF($H7178="FLUID CAT CRACKING","FCC",IF(OR($H7178="HYDROCRACKING",$H7178="RESID_HYDROCRACKING"),"Hydrocracker",IF($H7178="REFORMING","Reformer",""))))</f>
        <v>CDU</v>
      </c>
      <c r="H7178" s="6" t="s">
        <v>38</v>
      </c>
      <c r="I7178" s="6" t="s">
        <v>330</v>
      </c>
      <c r="J7178" s="6" t="s">
        <v>345</v>
      </c>
      <c r="K7178" s="10">
        <v>20.16</v>
      </c>
      <c r="L7178" s="10">
        <v>96</v>
      </c>
      <c r="M7178" s="6" t="s">
        <v>371</v>
      </c>
    </row>
    <row r="7179" spans="1:13">
      <c r="A7179" s="6">
        <v>2026</v>
      </c>
      <c r="B7179" s="6">
        <v>2</v>
      </c>
      <c r="C7179" s="6" t="s">
        <v>60</v>
      </c>
      <c r="D7179" s="6" t="s">
        <v>531</v>
      </c>
      <c r="E7179" s="6" t="s">
        <v>532</v>
      </c>
      <c r="F7179" s="6" t="str">
        <f>IF($M7179="PADD I","PADD 1",IF($M7179="PADD II","PADD 2",IF($M7179="PADD III","PADD 3",IF($M7179="PADD IV","PADD 4",IF($M7179="PADD V","PADD 5","")))))</f>
        <v>PADD 5</v>
      </c>
      <c r="G7179" s="6">
        <f>IF(AND($H7179="ATMOS DISTILLATION",ISNUMBER(SEARCH("VPS",$I7179))=FALSE,LEFT($I7179,6)&lt;&gt;"VACUUM"),"CDU",IF($H7179="FLUID CAT CRACKING","FCC",IF(OR($H7179="HYDROCRACKING",$H7179="RESID_HYDROCRACKING"),"Hydrocracker",IF($H7179="REFORMING","Reformer",""))))</f>
        <v/>
      </c>
      <c r="H7179" s="6" t="s">
        <v>460</v>
      </c>
      <c r="I7179" s="6" t="s">
        <v>616</v>
      </c>
      <c r="J7179" s="6" t="s">
        <v>349</v>
      </c>
      <c r="K7179" s="10">
        <v>20.145</v>
      </c>
      <c r="L7179" s="10">
        <v>25.5</v>
      </c>
      <c r="M7179" s="6" t="s">
        <v>386</v>
      </c>
    </row>
    <row r="7180" spans="1:13">
      <c r="A7180" s="6">
        <v>2026</v>
      </c>
      <c r="B7180" s="6">
        <v>2</v>
      </c>
      <c r="C7180" s="6" t="s">
        <v>60</v>
      </c>
      <c r="D7180" s="6" t="s">
        <v>662</v>
      </c>
      <c r="E7180" s="6" t="s">
        <v>552</v>
      </c>
      <c r="F7180" s="6" t="str">
        <f>IF($M7180="PADD I","PADD 1",IF($M7180="PADD II","PADD 2",IF($M7180="PADD III","PADD 3",IF($M7180="PADD IV","PADD 4",IF($M7180="PADD V","PADD 5","")))))</f>
        <v>PADD 3</v>
      </c>
      <c r="G7180" s="6">
        <f>IF(AND($H7180="ATMOS DISTILLATION",ISNUMBER(SEARCH("VPS",$I7180))=FALSE,LEFT($I7180,6)&lt;&gt;"VACUUM"),"CDU",IF($H7180="FLUID CAT CRACKING","FCC",IF(OR($H7180="HYDROCRACKING",$H7180="RESID_HYDROCRACKING"),"Hydrocracker",IF($H7180="REFORMING","Reformer",""))))</f>
        <v/>
      </c>
      <c r="H7180" s="6" t="s">
        <v>378</v>
      </c>
      <c r="I7180" s="6" t="s">
        <v>431</v>
      </c>
      <c r="J7180" s="6" t="s">
        <v>349</v>
      </c>
      <c r="K7180" s="10">
        <v>19.68</v>
      </c>
      <c r="L7180" s="10">
        <v>24</v>
      </c>
      <c r="M7180" s="6" t="s">
        <v>371</v>
      </c>
    </row>
    <row r="7181" spans="1:13">
      <c r="A7181" s="6">
        <v>2026</v>
      </c>
      <c r="B7181" s="6">
        <v>2</v>
      </c>
      <c r="C7181" s="6" t="s">
        <v>60</v>
      </c>
      <c r="D7181" s="6" t="s">
        <v>322</v>
      </c>
      <c r="E7181" s="6" t="s">
        <v>369</v>
      </c>
      <c r="F7181" s="6" t="str">
        <f>IF($M7181="PADD I","PADD 1",IF($M7181="PADD II","PADD 2",IF($M7181="PADD III","PADD 3",IF($M7181="PADD IV","PADD 4",IF($M7181="PADD V","PADD 5","")))))</f>
        <v>PADD 2</v>
      </c>
      <c r="G7181" s="6">
        <f>IF(AND($H7181="ATMOS DISTILLATION",ISNUMBER(SEARCH("VPS",$I7181))=FALSE,LEFT($I7181,6)&lt;&gt;"VACUUM"),"CDU",IF($H7181="FLUID CAT CRACKING","FCC",IF(OR($H7181="HYDROCRACKING",$H7181="RESID_HYDROCRACKING"),"Hydrocracker",IF($H7181="REFORMING","Reformer",""))))</f>
        <v/>
      </c>
      <c r="H7181" s="6" t="s">
        <v>435</v>
      </c>
      <c r="I7181" s="6" t="s">
        <v>441</v>
      </c>
      <c r="J7181" s="6" t="s">
        <v>349</v>
      </c>
      <c r="K7181" s="10">
        <v>18.85</v>
      </c>
      <c r="L7181" s="10">
        <v>65</v>
      </c>
      <c r="M7181" s="6" t="s">
        <v>375</v>
      </c>
    </row>
    <row r="7182" spans="1:13">
      <c r="A7182" s="6">
        <v>2026</v>
      </c>
      <c r="B7182" s="6">
        <v>2</v>
      </c>
      <c r="C7182" s="6" t="s">
        <v>60</v>
      </c>
      <c r="D7182" s="6" t="s">
        <v>662</v>
      </c>
      <c r="E7182" s="6" t="s">
        <v>552</v>
      </c>
      <c r="F7182" s="6" t="str">
        <f>IF($M7182="PADD I","PADD 1",IF($M7182="PADD II","PADD 2",IF($M7182="PADD III","PADD 3",IF($M7182="PADD IV","PADD 4",IF($M7182="PADD V","PADD 5","")))))</f>
        <v>PADD 3</v>
      </c>
      <c r="G7182" s="6">
        <f>IF(AND($H7182="ATMOS DISTILLATION",ISNUMBER(SEARCH("VPS",$I7182))=FALSE,LEFT($I7182,6)&lt;&gt;"VACUUM"),"CDU",IF($H7182="FLUID CAT CRACKING","FCC",IF(OR($H7182="HYDROCRACKING",$H7182="RESID_HYDROCRACKING"),"Hydrocracker",IF($H7182="REFORMING","Reformer",""))))</f>
        <v/>
      </c>
      <c r="H7182" s="6" t="s">
        <v>43</v>
      </c>
      <c r="I7182" s="6" t="s">
        <v>927</v>
      </c>
      <c r="J7182" s="6" t="s">
        <v>349</v>
      </c>
      <c r="K7182" s="10">
        <v>18.105</v>
      </c>
      <c r="L7182" s="10">
        <v>25.5</v>
      </c>
      <c r="M7182" s="6" t="s">
        <v>371</v>
      </c>
    </row>
    <row r="7183" spans="1:13">
      <c r="A7183" s="6">
        <v>2026</v>
      </c>
      <c r="B7183" s="6">
        <v>2</v>
      </c>
      <c r="C7183" s="6" t="s">
        <v>60</v>
      </c>
      <c r="D7183" s="6" t="s">
        <v>662</v>
      </c>
      <c r="E7183" s="6" t="s">
        <v>552</v>
      </c>
      <c r="F7183" s="6" t="str">
        <f>IF($M7183="PADD I","PADD 1",IF($M7183="PADD II","PADD 2",IF($M7183="PADD III","PADD 3",IF($M7183="PADD IV","PADD 4",IF($M7183="PADD V","PADD 5","")))))</f>
        <v>PADD 3</v>
      </c>
      <c r="G7183" s="6">
        <f>IF(AND($H7183="ATMOS DISTILLATION",ISNUMBER(SEARCH("VPS",$I7183))=FALSE,LEFT($I7183,6)&lt;&gt;"VACUUM"),"CDU",IF($H7183="FLUID CAT CRACKING","FCC",IF(OR($H7183="HYDROCRACKING",$H7183="RESID_HYDROCRACKING"),"Hydrocracker",IF($H7183="REFORMING","Reformer",""))))</f>
        <v/>
      </c>
      <c r="H7183" s="6" t="s">
        <v>43</v>
      </c>
      <c r="I7183" s="6" t="s">
        <v>735</v>
      </c>
      <c r="J7183" s="6" t="s">
        <v>349</v>
      </c>
      <c r="K7183" s="10">
        <v>17.9725</v>
      </c>
      <c r="L7183" s="10">
        <v>22.75</v>
      </c>
      <c r="M7183" s="6" t="s">
        <v>371</v>
      </c>
    </row>
    <row r="7184" spans="1:13">
      <c r="A7184" s="6">
        <v>2026</v>
      </c>
      <c r="B7184" s="6">
        <v>2</v>
      </c>
      <c r="C7184" s="6" t="s">
        <v>60</v>
      </c>
      <c r="D7184" s="6" t="s">
        <v>321</v>
      </c>
      <c r="E7184" s="6" t="s">
        <v>381</v>
      </c>
      <c r="F7184" s="6" t="str">
        <f>IF($M7184="PADD I","PADD 1",IF($M7184="PADD II","PADD 2",IF($M7184="PADD III","PADD 3",IF($M7184="PADD IV","PADD 4",IF($M7184="PADD V","PADD 5","")))))</f>
        <v>PADD 2</v>
      </c>
      <c r="G7184" s="6" t="str">
        <f>IF(AND($H7184="ATMOS DISTILLATION",ISNUMBER(SEARCH("VPS",$I7184))=FALSE,LEFT($I7184,6)&lt;&gt;"VACUUM"),"CDU",IF($H7184="FLUID CAT CRACKING","FCC",IF(OR($H7184="HYDROCRACKING",$H7184="RESID_HYDROCRACKING"),"Hydrocracker",IF($H7184="REFORMING","Reformer",""))))</f>
        <v>FCC</v>
      </c>
      <c r="H7184" s="6" t="s">
        <v>376</v>
      </c>
      <c r="I7184" s="6" t="s">
        <v>105</v>
      </c>
      <c r="J7184" s="6" t="s">
        <v>345</v>
      </c>
      <c r="K7184" s="10">
        <v>17.5</v>
      </c>
      <c r="L7184" s="10">
        <v>35</v>
      </c>
      <c r="M7184" s="6" t="s">
        <v>375</v>
      </c>
    </row>
    <row r="7185" spans="1:13">
      <c r="A7185" s="6">
        <v>2026</v>
      </c>
      <c r="B7185" s="6">
        <v>2</v>
      </c>
      <c r="C7185" s="6" t="s">
        <v>60</v>
      </c>
      <c r="D7185" s="6" t="s">
        <v>739</v>
      </c>
      <c r="E7185" s="6" t="s">
        <v>405</v>
      </c>
      <c r="F7185" s="6" t="str">
        <f>IF($M7185="PADD I","PADD 1",IF($M7185="PADD II","PADD 2",IF($M7185="PADD III","PADD 3",IF($M7185="PADD IV","PADD 4",IF($M7185="PADD V","PADD 5","")))))</f>
        <v>PADD 2</v>
      </c>
      <c r="G7185" s="6">
        <f>IF(AND($H7185="ATMOS DISTILLATION",ISNUMBER(SEARCH("VPS",$I7185))=FALSE,LEFT($I7185,6)&lt;&gt;"VACUUM"),"CDU",IF($H7185="FLUID CAT CRACKING","FCC",IF(OR($H7185="HYDROCRACKING",$H7185="RESID_HYDROCRACKING"),"Hydrocracker",IF($H7185="REFORMING","Reformer",""))))</f>
        <v/>
      </c>
      <c r="H7185" s="6" t="s">
        <v>43</v>
      </c>
      <c r="I7185" s="6" t="s">
        <v>689</v>
      </c>
      <c r="J7185" s="6" t="s">
        <v>345</v>
      </c>
      <c r="K7185" s="10">
        <v>17.28</v>
      </c>
      <c r="L7185" s="10">
        <v>32</v>
      </c>
      <c r="M7185" s="6" t="s">
        <v>375</v>
      </c>
    </row>
    <row r="7186" spans="1:13">
      <c r="A7186" s="6">
        <v>2026</v>
      </c>
      <c r="B7186" s="6">
        <v>2</v>
      </c>
      <c r="C7186" s="6" t="s">
        <v>60</v>
      </c>
      <c r="D7186" s="6" t="s">
        <v>739</v>
      </c>
      <c r="E7186" s="6" t="s">
        <v>405</v>
      </c>
      <c r="F7186" s="6" t="str">
        <f>IF($M7186="PADD I","PADD 1",IF($M7186="PADD II","PADD 2",IF($M7186="PADD III","PADD 3",IF($M7186="PADD IV","PADD 4",IF($M7186="PADD V","PADD 5","")))))</f>
        <v>PADD 2</v>
      </c>
      <c r="G7186" s="6">
        <f>IF(AND($H7186="ATMOS DISTILLATION",ISNUMBER(SEARCH("VPS",$I7186))=FALSE,LEFT($I7186,6)&lt;&gt;"VACUUM"),"CDU",IF($H7186="FLUID CAT CRACKING","FCC",IF(OR($H7186="HYDROCRACKING",$H7186="RESID_HYDROCRACKING"),"Hydrocracker",IF($H7186="REFORMING","Reformer",""))))</f>
        <v/>
      </c>
      <c r="H7186" s="6" t="s">
        <v>378</v>
      </c>
      <c r="I7186" s="6" t="s">
        <v>431</v>
      </c>
      <c r="J7186" s="6" t="s">
        <v>345</v>
      </c>
      <c r="K7186" s="10">
        <v>17.28</v>
      </c>
      <c r="L7186" s="10">
        <v>32</v>
      </c>
      <c r="M7186" s="6" t="s">
        <v>375</v>
      </c>
    </row>
    <row r="7187" spans="1:13">
      <c r="A7187" s="6">
        <v>2026</v>
      </c>
      <c r="B7187" s="6">
        <v>2</v>
      </c>
      <c r="C7187" s="6" t="s">
        <v>60</v>
      </c>
      <c r="D7187" s="6" t="s">
        <v>380</v>
      </c>
      <c r="E7187" s="6" t="s">
        <v>381</v>
      </c>
      <c r="F7187" s="6" t="str">
        <f>IF($M7187="PADD I","PADD 1",IF($M7187="PADD II","PADD 2",IF($M7187="PADD III","PADD 3",IF($M7187="PADD IV","PADD 4",IF($M7187="PADD V","PADD 5","")))))</f>
        <v>PADD 3</v>
      </c>
      <c r="G7187" s="6">
        <f>IF(AND($H7187="ATMOS DISTILLATION",ISNUMBER(SEARCH("VPS",$I7187))=FALSE,LEFT($I7187,6)&lt;&gt;"VACUUM"),"CDU",IF($H7187="FLUID CAT CRACKING","FCC",IF(OR($H7187="HYDROCRACKING",$H7187="RESID_HYDROCRACKING"),"Hydrocracker",IF($H7187="REFORMING","Reformer",""))))</f>
        <v/>
      </c>
      <c r="H7187" s="6" t="s">
        <v>378</v>
      </c>
      <c r="I7187" s="6" t="s">
        <v>850</v>
      </c>
      <c r="J7187" s="6" t="s">
        <v>345</v>
      </c>
      <c r="K7187" s="10">
        <v>17.16</v>
      </c>
      <c r="L7187" s="10">
        <v>44</v>
      </c>
      <c r="M7187" s="6" t="s">
        <v>371</v>
      </c>
    </row>
    <row r="7188" spans="1:13">
      <c r="A7188" s="6">
        <v>2026</v>
      </c>
      <c r="B7188" s="6">
        <v>2</v>
      </c>
      <c r="C7188" s="6" t="s">
        <v>60</v>
      </c>
      <c r="D7188" s="6" t="s">
        <v>1060</v>
      </c>
      <c r="E7188" s="6" t="s">
        <v>1039</v>
      </c>
      <c r="F7188" s="6" t="str">
        <f>IF($M7188="PADD I","PADD 1",IF($M7188="PADD II","PADD 2",IF($M7188="PADD III","PADD 3",IF($M7188="PADD IV","PADD 4",IF($M7188="PADD V","PADD 5","")))))</f>
        <v>PADD 2</v>
      </c>
      <c r="G7188" s="6">
        <f>IF(AND($H7188="ATMOS DISTILLATION",ISNUMBER(SEARCH("VPS",$I7188))=FALSE,LEFT($I7188,6)&lt;&gt;"VACUUM"),"CDU",IF($H7188="FLUID CAT CRACKING","FCC",IF(OR($H7188="HYDROCRACKING",$H7188="RESID_HYDROCRACKING"),"Hydrocracker",IF($H7188="REFORMING","Reformer",""))))</f>
        <v/>
      </c>
      <c r="H7188" s="6" t="s">
        <v>378</v>
      </c>
      <c r="I7188" s="6" t="s">
        <v>431</v>
      </c>
      <c r="J7188" s="6" t="s">
        <v>349</v>
      </c>
      <c r="K7188" s="10">
        <v>17.1</v>
      </c>
      <c r="L7188" s="10">
        <v>95</v>
      </c>
      <c r="M7188" s="6" t="s">
        <v>375</v>
      </c>
    </row>
    <row r="7189" spans="1:13">
      <c r="A7189" s="6">
        <v>2026</v>
      </c>
      <c r="B7189" s="6">
        <v>2</v>
      </c>
      <c r="C7189" s="6" t="s">
        <v>60</v>
      </c>
      <c r="D7189" s="6" t="s">
        <v>329</v>
      </c>
      <c r="E7189" s="6" t="s">
        <v>427</v>
      </c>
      <c r="F7189" s="6" t="str">
        <f>IF($M7189="PADD I","PADD 1",IF($M7189="PADD II","PADD 2",IF($M7189="PADD III","PADD 3",IF($M7189="PADD IV","PADD 4",IF($M7189="PADD V","PADD 5","")))))</f>
        <v>PADD 3</v>
      </c>
      <c r="G7189" s="6" t="str">
        <f>IF(AND($H7189="ATMOS DISTILLATION",ISNUMBER(SEARCH("VPS",$I7189))=FALSE,LEFT($I7189,6)&lt;&gt;"VACUUM"),"CDU",IF($H7189="FLUID CAT CRACKING","FCC",IF(OR($H7189="HYDROCRACKING",$H7189="RESID_HYDROCRACKING"),"Hydrocracker",IF($H7189="REFORMING","Reformer",""))))</f>
        <v>FCC</v>
      </c>
      <c r="H7189" s="6" t="s">
        <v>376</v>
      </c>
      <c r="I7189" s="6" t="s">
        <v>428</v>
      </c>
      <c r="J7189" s="6" t="s">
        <v>345</v>
      </c>
      <c r="K7189" s="10">
        <v>17</v>
      </c>
      <c r="L7189" s="10">
        <v>68</v>
      </c>
      <c r="M7189" s="6" t="s">
        <v>371</v>
      </c>
    </row>
    <row r="7190" spans="1:13">
      <c r="A7190" s="6">
        <v>2026</v>
      </c>
      <c r="B7190" s="6">
        <v>2</v>
      </c>
      <c r="C7190" s="6" t="s">
        <v>60</v>
      </c>
      <c r="D7190" s="6" t="s">
        <v>662</v>
      </c>
      <c r="E7190" s="6" t="s">
        <v>552</v>
      </c>
      <c r="F7190" s="6" t="str">
        <f>IF($M7190="PADD I","PADD 1",IF($M7190="PADD II","PADD 2",IF($M7190="PADD III","PADD 3",IF($M7190="PADD IV","PADD 4",IF($M7190="PADD V","PADD 5","")))))</f>
        <v>PADD 3</v>
      </c>
      <c r="G7190" s="6" t="str">
        <f>IF(AND($H7190="ATMOS DISTILLATION",ISNUMBER(SEARCH("VPS",$I7190))=FALSE,LEFT($I7190,6)&lt;&gt;"VACUUM"),"CDU",IF($H7190="FLUID CAT CRACKING","FCC",IF(OR($H7190="HYDROCRACKING",$H7190="RESID_HYDROCRACKING"),"Hydrocracker",IF($H7190="REFORMING","Reformer",""))))</f>
        <v>Reformer</v>
      </c>
      <c r="H7190" s="6" t="s">
        <v>421</v>
      </c>
      <c r="I7190" s="6" t="s">
        <v>1050</v>
      </c>
      <c r="J7190" s="6" t="s">
        <v>349</v>
      </c>
      <c r="K7190" s="10">
        <v>16.59</v>
      </c>
      <c r="L7190" s="10">
        <v>21</v>
      </c>
      <c r="M7190" s="6" t="s">
        <v>371</v>
      </c>
    </row>
    <row r="7191" spans="1:13">
      <c r="A7191" s="6">
        <v>2026</v>
      </c>
      <c r="B7191" s="6">
        <v>2</v>
      </c>
      <c r="C7191" s="6" t="s">
        <v>60</v>
      </c>
      <c r="D7191" s="6" t="s">
        <v>390</v>
      </c>
      <c r="E7191" s="6" t="s">
        <v>391</v>
      </c>
      <c r="F7191" s="6" t="str">
        <f>IF($M7191="PADD I","PADD 1",IF($M7191="PADD II","PADD 2",IF($M7191="PADD III","PADD 3",IF($M7191="PADD IV","PADD 4",IF($M7191="PADD V","PADD 5","")))))</f>
        <v>PADD 3</v>
      </c>
      <c r="G7191" s="6" t="str">
        <f>IF(AND($H7191="ATMOS DISTILLATION",ISNUMBER(SEARCH("VPS",$I7191))=FALSE,LEFT($I7191,6)&lt;&gt;"VACUUM"),"CDU",IF($H7191="FLUID CAT CRACKING","FCC",IF(OR($H7191="HYDROCRACKING",$H7191="RESID_HYDROCRACKING"),"Hydrocracker",IF($H7191="REFORMING","Reformer",""))))</f>
        <v>FCC</v>
      </c>
      <c r="H7191" s="6" t="s">
        <v>376</v>
      </c>
      <c r="I7191" s="6" t="s">
        <v>140</v>
      </c>
      <c r="J7191" s="6" t="s">
        <v>345</v>
      </c>
      <c r="K7191" s="10">
        <v>16.5375</v>
      </c>
      <c r="L7191" s="10">
        <v>78.75</v>
      </c>
      <c r="M7191" s="6" t="s">
        <v>371</v>
      </c>
    </row>
    <row r="7192" spans="1:13">
      <c r="A7192" s="6">
        <v>2026</v>
      </c>
      <c r="B7192" s="6">
        <v>2</v>
      </c>
      <c r="C7192" s="6" t="s">
        <v>60</v>
      </c>
      <c r="D7192" s="6" t="s">
        <v>329</v>
      </c>
      <c r="E7192" s="6" t="s">
        <v>427</v>
      </c>
      <c r="F7192" s="6" t="str">
        <f>IF($M7192="PADD I","PADD 1",IF($M7192="PADD II","PADD 2",IF($M7192="PADD III","PADD 3",IF($M7192="PADD IV","PADD 4",IF($M7192="PADD V","PADD 5","")))))</f>
        <v>PADD 3</v>
      </c>
      <c r="G7192" s="6">
        <f>IF(AND($H7192="ATMOS DISTILLATION",ISNUMBER(SEARCH("VPS",$I7192))=FALSE,LEFT($I7192,6)&lt;&gt;"VACUUM"),"CDU",IF($H7192="FLUID CAT CRACKING","FCC",IF(OR($H7192="HYDROCRACKING",$H7192="RESID_HYDROCRACKING"),"Hydrocracker",IF($H7192="REFORMING","Reformer",""))))</f>
        <v/>
      </c>
      <c r="H7192" s="6" t="s">
        <v>43</v>
      </c>
      <c r="I7192" s="6" t="s">
        <v>1350</v>
      </c>
      <c r="J7192" s="6" t="s">
        <v>345</v>
      </c>
      <c r="K7192" s="10">
        <v>16.4</v>
      </c>
      <c r="L7192" s="10">
        <v>20</v>
      </c>
      <c r="M7192" s="6" t="s">
        <v>371</v>
      </c>
    </row>
    <row r="7193" spans="1:13">
      <c r="A7193" s="6">
        <v>2026</v>
      </c>
      <c r="B7193" s="6">
        <v>2</v>
      </c>
      <c r="C7193" s="6" t="s">
        <v>60</v>
      </c>
      <c r="D7193" s="6" t="s">
        <v>329</v>
      </c>
      <c r="E7193" s="6" t="s">
        <v>427</v>
      </c>
      <c r="F7193" s="6" t="str">
        <f>IF($M7193="PADD I","PADD 1",IF($M7193="PADD II","PADD 2",IF($M7193="PADD III","PADD 3",IF($M7193="PADD IV","PADD 4",IF($M7193="PADD V","PADD 5","")))))</f>
        <v>PADD 3</v>
      </c>
      <c r="G7193" s="6">
        <f>IF(AND($H7193="ATMOS DISTILLATION",ISNUMBER(SEARCH("VPS",$I7193))=FALSE,LEFT($I7193,6)&lt;&gt;"VACUUM"),"CDU",IF($H7193="FLUID CAT CRACKING","FCC",IF(OR($H7193="HYDROCRACKING",$H7193="RESID_HYDROCRACKING"),"Hydrocracker",IF($H7193="REFORMING","Reformer",""))))</f>
        <v/>
      </c>
      <c r="H7193" s="6" t="s">
        <v>43</v>
      </c>
      <c r="I7193" s="6" t="s">
        <v>1351</v>
      </c>
      <c r="J7193" s="6" t="s">
        <v>345</v>
      </c>
      <c r="K7193" s="10">
        <v>16.4</v>
      </c>
      <c r="L7193" s="10">
        <v>20</v>
      </c>
      <c r="M7193" s="6" t="s">
        <v>371</v>
      </c>
    </row>
    <row r="7194" spans="1:13">
      <c r="A7194" s="6">
        <v>2026</v>
      </c>
      <c r="B7194" s="6">
        <v>2</v>
      </c>
      <c r="C7194" s="6" t="s">
        <v>60</v>
      </c>
      <c r="D7194" s="6" t="s">
        <v>739</v>
      </c>
      <c r="E7194" s="6" t="s">
        <v>405</v>
      </c>
      <c r="F7194" s="6" t="str">
        <f>IF($M7194="PADD I","PADD 1",IF($M7194="PADD II","PADD 2",IF($M7194="PADD III","PADD 3",IF($M7194="PADD IV","PADD 4",IF($M7194="PADD V","PADD 5","")))))</f>
        <v>PADD 2</v>
      </c>
      <c r="G7194" s="6" t="str">
        <f>IF(AND($H7194="ATMOS DISTILLATION",ISNUMBER(SEARCH("VPS",$I7194))=FALSE,LEFT($I7194,6)&lt;&gt;"VACUUM"),"CDU",IF($H7194="FLUID CAT CRACKING","FCC",IF(OR($H7194="HYDROCRACKING",$H7194="RESID_HYDROCRACKING"),"Hydrocracker",IF($H7194="REFORMING","Reformer",""))))</f>
        <v>FCC</v>
      </c>
      <c r="H7194" s="6" t="s">
        <v>376</v>
      </c>
      <c r="I7194" s="6" t="s">
        <v>105</v>
      </c>
      <c r="J7194" s="6" t="s">
        <v>345</v>
      </c>
      <c r="K7194" s="10">
        <v>16.2</v>
      </c>
      <c r="L7194" s="10">
        <v>30</v>
      </c>
      <c r="M7194" s="6" t="s">
        <v>375</v>
      </c>
    </row>
    <row r="7195" spans="1:13">
      <c r="A7195" s="6">
        <v>2026</v>
      </c>
      <c r="B7195" s="6">
        <v>2</v>
      </c>
      <c r="C7195" s="6" t="s">
        <v>60</v>
      </c>
      <c r="D7195" s="6" t="s">
        <v>739</v>
      </c>
      <c r="E7195" s="6" t="s">
        <v>405</v>
      </c>
      <c r="F7195" s="6" t="str">
        <f>IF($M7195="PADD I","PADD 1",IF($M7195="PADD II","PADD 2",IF($M7195="PADD III","PADD 3",IF($M7195="PADD IV","PADD 4",IF($M7195="PADD V","PADD 5","")))))</f>
        <v>PADD 2</v>
      </c>
      <c r="G7195" s="6" t="str">
        <f>IF(AND($H7195="ATMOS DISTILLATION",ISNUMBER(SEARCH("VPS",$I7195))=FALSE,LEFT($I7195,6)&lt;&gt;"VACUUM"),"CDU",IF($H7195="FLUID CAT CRACKING","FCC",IF(OR($H7195="HYDROCRACKING",$H7195="RESID_HYDROCRACKING"),"Hydrocracker",IF($H7195="REFORMING","Reformer",""))))</f>
        <v>Reformer</v>
      </c>
      <c r="H7195" s="6" t="s">
        <v>421</v>
      </c>
      <c r="I7195" s="6" t="s">
        <v>782</v>
      </c>
      <c r="J7195" s="6" t="s">
        <v>345</v>
      </c>
      <c r="K7195" s="10">
        <v>16.2</v>
      </c>
      <c r="L7195" s="10">
        <v>30</v>
      </c>
      <c r="M7195" s="6" t="s">
        <v>375</v>
      </c>
    </row>
    <row r="7196" spans="1:13">
      <c r="A7196" s="6">
        <v>2026</v>
      </c>
      <c r="B7196" s="6">
        <v>2</v>
      </c>
      <c r="C7196" s="6" t="s">
        <v>60</v>
      </c>
      <c r="D7196" s="6" t="s">
        <v>333</v>
      </c>
      <c r="E7196" s="6" t="s">
        <v>381</v>
      </c>
      <c r="F7196" s="6" t="str">
        <f>IF($M7196="PADD I","PADD 1",IF($M7196="PADD II","PADD 2",IF($M7196="PADD III","PADD 3",IF($M7196="PADD IV","PADD 4",IF($M7196="PADD V","PADD 5","")))))</f>
        <v>PADD 3</v>
      </c>
      <c r="G7196" s="6">
        <f>IF(AND($H7196="ATMOS DISTILLATION",ISNUMBER(SEARCH("VPS",$I7196))=FALSE,LEFT($I7196,6)&lt;&gt;"VACUUM"),"CDU",IF($H7196="FLUID CAT CRACKING","FCC",IF(OR($H7196="HYDROCRACKING",$H7196="RESID_HYDROCRACKING"),"Hydrocracker",IF($H7196="REFORMING","Reformer",""))))</f>
        <v/>
      </c>
      <c r="H7196" s="6" t="s">
        <v>378</v>
      </c>
      <c r="I7196" s="6" t="s">
        <v>596</v>
      </c>
      <c r="J7196" s="6" t="s">
        <v>349</v>
      </c>
      <c r="K7196" s="10">
        <v>16.1</v>
      </c>
      <c r="L7196" s="10">
        <v>35</v>
      </c>
      <c r="M7196" s="6" t="s">
        <v>371</v>
      </c>
    </row>
    <row r="7197" spans="1:13">
      <c r="A7197" s="6">
        <v>2026</v>
      </c>
      <c r="B7197" s="6">
        <v>2</v>
      </c>
      <c r="C7197" s="6" t="s">
        <v>60</v>
      </c>
      <c r="D7197" s="6" t="s">
        <v>531</v>
      </c>
      <c r="E7197" s="6" t="s">
        <v>532</v>
      </c>
      <c r="F7197" s="6" t="str">
        <f>IF($M7197="PADD I","PADD 1",IF($M7197="PADD II","PADD 2",IF($M7197="PADD III","PADD 3",IF($M7197="PADD IV","PADD 4",IF($M7197="PADD V","PADD 5","")))))</f>
        <v>PADD 5</v>
      </c>
      <c r="G7197" s="6">
        <f>IF(AND($H7197="ATMOS DISTILLATION",ISNUMBER(SEARCH("VPS",$I7197))=FALSE,LEFT($I7197,6)&lt;&gt;"VACUUM"),"CDU",IF($H7197="FLUID CAT CRACKING","FCC",IF(OR($H7197="HYDROCRACKING",$H7197="RESID_HYDROCRACKING"),"Hydrocracker",IF($H7197="REFORMING","Reformer",""))))</f>
        <v/>
      </c>
      <c r="H7197" s="6" t="s">
        <v>43</v>
      </c>
      <c r="I7197" s="6" t="s">
        <v>618</v>
      </c>
      <c r="J7197" s="6" t="s">
        <v>349</v>
      </c>
      <c r="K7197" s="10">
        <v>15.8</v>
      </c>
      <c r="L7197" s="10">
        <v>20</v>
      </c>
      <c r="M7197" s="6" t="s">
        <v>386</v>
      </c>
    </row>
    <row r="7198" spans="1:13">
      <c r="A7198" s="6">
        <v>2026</v>
      </c>
      <c r="B7198" s="6">
        <v>2</v>
      </c>
      <c r="C7198" s="6" t="s">
        <v>60</v>
      </c>
      <c r="D7198" s="6" t="s">
        <v>615</v>
      </c>
      <c r="E7198" s="6" t="s">
        <v>405</v>
      </c>
      <c r="F7198" s="6" t="str">
        <f>IF($M7198="PADD I","PADD 1",IF($M7198="PADD II","PADD 2",IF($M7198="PADD III","PADD 3",IF($M7198="PADD IV","PADD 4",IF($M7198="PADD V","PADD 5","")))))</f>
        <v>PADD 5</v>
      </c>
      <c r="G7198" s="6">
        <f>IF(AND($H7198="ATMOS DISTILLATION",ISNUMBER(SEARCH("VPS",$I7198))=FALSE,LEFT($I7198,6)&lt;&gt;"VACUUM"),"CDU",IF($H7198="FLUID CAT CRACKING","FCC",IF(OR($H7198="HYDROCRACKING",$H7198="RESID_HYDROCRACKING"),"Hydrocracker",IF($H7198="REFORMING","Reformer",""))))</f>
        <v/>
      </c>
      <c r="H7198" s="6" t="s">
        <v>378</v>
      </c>
      <c r="I7198" s="6" t="s">
        <v>431</v>
      </c>
      <c r="J7198" s="6" t="s">
        <v>349</v>
      </c>
      <c r="K7198" s="10">
        <v>15.444</v>
      </c>
      <c r="L7198" s="10">
        <v>42.9</v>
      </c>
      <c r="M7198" s="6" t="s">
        <v>386</v>
      </c>
    </row>
    <row r="7199" spans="1:13">
      <c r="A7199" s="6">
        <v>2026</v>
      </c>
      <c r="B7199" s="6">
        <v>2</v>
      </c>
      <c r="C7199" s="6" t="s">
        <v>60</v>
      </c>
      <c r="D7199" s="6" t="s">
        <v>639</v>
      </c>
      <c r="E7199" s="6" t="s">
        <v>452</v>
      </c>
      <c r="F7199" s="6" t="str">
        <f>IF($M7199="PADD I","PADD 1",IF($M7199="PADD II","PADD 2",IF($M7199="PADD III","PADD 3",IF($M7199="PADD IV","PADD 4",IF($M7199="PADD V","PADD 5","")))))</f>
        <v>PADD 5</v>
      </c>
      <c r="G7199" s="6">
        <f>IF(AND($H7199="ATMOS DISTILLATION",ISNUMBER(SEARCH("VPS",$I7199))=FALSE,LEFT($I7199,6)&lt;&gt;"VACUUM"),"CDU",IF($H7199="FLUID CAT CRACKING","FCC",IF(OR($H7199="HYDROCRACKING",$H7199="RESID_HYDROCRACKING"),"Hydrocracker",IF($H7199="REFORMING","Reformer",""))))</f>
        <v/>
      </c>
      <c r="H7199" s="6" t="s">
        <v>38</v>
      </c>
      <c r="I7199" s="6" t="s">
        <v>640</v>
      </c>
      <c r="J7199" s="6" t="s">
        <v>349</v>
      </c>
      <c r="K7199" s="10">
        <v>14.5</v>
      </c>
      <c r="L7199" s="10">
        <v>29</v>
      </c>
      <c r="M7199" s="6" t="s">
        <v>386</v>
      </c>
    </row>
    <row r="7200" spans="1:13">
      <c r="A7200" s="6">
        <v>2026</v>
      </c>
      <c r="B7200" s="6">
        <v>2</v>
      </c>
      <c r="C7200" s="6" t="s">
        <v>60</v>
      </c>
      <c r="D7200" s="6" t="s">
        <v>468</v>
      </c>
      <c r="E7200" s="6" t="s">
        <v>369</v>
      </c>
      <c r="F7200" s="6" t="str">
        <f>IF($M7200="PADD I","PADD 1",IF($M7200="PADD II","PADD 2",IF($M7200="PADD III","PADD 3",IF($M7200="PADD IV","PADD 4",IF($M7200="PADD V","PADD 5","")))))</f>
        <v>PADD 3</v>
      </c>
      <c r="G7200" s="6" t="str">
        <f>IF(AND($H7200="ATMOS DISTILLATION",ISNUMBER(SEARCH("VPS",$I7200))=FALSE,LEFT($I7200,6)&lt;&gt;"VACUUM"),"CDU",IF($H7200="FLUID CAT CRACKING","FCC",IF(OR($H7200="HYDROCRACKING",$H7200="RESID_HYDROCRACKING"),"Hydrocracker",IF($H7200="REFORMING","Reformer",""))))</f>
        <v>CDU</v>
      </c>
      <c r="H7200" s="6" t="s">
        <v>38</v>
      </c>
      <c r="I7200" s="6" t="s">
        <v>561</v>
      </c>
      <c r="J7200" s="6" t="s">
        <v>345</v>
      </c>
      <c r="K7200" s="10">
        <v>14.4</v>
      </c>
      <c r="L7200" s="10">
        <v>40</v>
      </c>
      <c r="M7200" s="6" t="s">
        <v>371</v>
      </c>
    </row>
    <row r="7201" spans="1:13">
      <c r="A7201" s="6">
        <v>2026</v>
      </c>
      <c r="B7201" s="6">
        <v>2</v>
      </c>
      <c r="C7201" s="6" t="s">
        <v>60</v>
      </c>
      <c r="D7201" s="6" t="s">
        <v>739</v>
      </c>
      <c r="E7201" s="6" t="s">
        <v>405</v>
      </c>
      <c r="F7201" s="6" t="str">
        <f>IF($M7201="PADD I","PADD 1",IF($M7201="PADD II","PADD 2",IF($M7201="PADD III","PADD 3",IF($M7201="PADD IV","PADD 4",IF($M7201="PADD V","PADD 5","")))))</f>
        <v>PADD 2</v>
      </c>
      <c r="G7201" s="6">
        <f>IF(AND($H7201="ATMOS DISTILLATION",ISNUMBER(SEARCH("VPS",$I7201))=FALSE,LEFT($I7201,6)&lt;&gt;"VACUUM"),"CDU",IF($H7201="FLUID CAT CRACKING","FCC",IF(OR($H7201="HYDROCRACKING",$H7201="RESID_HYDROCRACKING"),"Hydrocracker",IF($H7201="REFORMING","Reformer",""))))</f>
        <v/>
      </c>
      <c r="H7201" s="6" t="s">
        <v>43</v>
      </c>
      <c r="I7201" s="6" t="s">
        <v>493</v>
      </c>
      <c r="J7201" s="6" t="s">
        <v>345</v>
      </c>
      <c r="K7201" s="10">
        <v>14.31</v>
      </c>
      <c r="L7201" s="10">
        <v>26.5</v>
      </c>
      <c r="M7201" s="6" t="s">
        <v>375</v>
      </c>
    </row>
    <row r="7202" spans="1:13">
      <c r="A7202" s="6">
        <v>2026</v>
      </c>
      <c r="B7202" s="6">
        <v>2</v>
      </c>
      <c r="C7202" s="6" t="s">
        <v>60</v>
      </c>
      <c r="D7202" s="6" t="s">
        <v>51</v>
      </c>
      <c r="E7202" s="6" t="s">
        <v>391</v>
      </c>
      <c r="F7202" s="6" t="str">
        <f>IF($M7202="PADD I","PADD 1",IF($M7202="PADD II","PADD 2",IF($M7202="PADD III","PADD 3",IF($M7202="PADD IV","PADD 4",IF($M7202="PADD V","PADD 5","")))))</f>
        <v>PADD 5</v>
      </c>
      <c r="G7202" s="6">
        <f>IF(AND($H7202="ATMOS DISTILLATION",ISNUMBER(SEARCH("VPS",$I7202))=FALSE,LEFT($I7202,6)&lt;&gt;"VACUUM"),"CDU",IF($H7202="FLUID CAT CRACKING","FCC",IF(OR($H7202="HYDROCRACKING",$H7202="RESID_HYDROCRACKING"),"Hydrocracker",IF($H7202="REFORMING","Reformer",""))))</f>
        <v/>
      </c>
      <c r="H7202" s="6" t="s">
        <v>43</v>
      </c>
      <c r="I7202" s="6" t="s">
        <v>859</v>
      </c>
      <c r="J7202" s="6" t="s">
        <v>345</v>
      </c>
      <c r="K7202" s="10">
        <v>14</v>
      </c>
      <c r="L7202" s="10">
        <v>14</v>
      </c>
      <c r="M7202" s="6" t="s">
        <v>386</v>
      </c>
    </row>
    <row r="7203" spans="1:13">
      <c r="A7203" s="6">
        <v>2026</v>
      </c>
      <c r="B7203" s="6">
        <v>2</v>
      </c>
      <c r="C7203" s="6" t="s">
        <v>60</v>
      </c>
      <c r="D7203" s="6" t="s">
        <v>739</v>
      </c>
      <c r="E7203" s="6" t="s">
        <v>405</v>
      </c>
      <c r="F7203" s="6" t="str">
        <f>IF($M7203="PADD I","PADD 1",IF($M7203="PADD II","PADD 2",IF($M7203="PADD III","PADD 3",IF($M7203="PADD IV","PADD 4",IF($M7203="PADD V","PADD 5","")))))</f>
        <v>PADD 2</v>
      </c>
      <c r="G7203" s="6">
        <f>IF(AND($H7203="ATMOS DISTILLATION",ISNUMBER(SEARCH("VPS",$I7203))=FALSE,LEFT($I7203,6)&lt;&gt;"VACUUM"),"CDU",IF($H7203="FLUID CAT CRACKING","FCC",IF(OR($H7203="HYDROCRACKING",$H7203="RESID_HYDROCRACKING"),"Hydrocracker",IF($H7203="REFORMING","Reformer",""))))</f>
        <v/>
      </c>
      <c r="H7203" s="6" t="s">
        <v>43</v>
      </c>
      <c r="I7203" s="6" t="s">
        <v>740</v>
      </c>
      <c r="J7203" s="6" t="s">
        <v>345</v>
      </c>
      <c r="K7203" s="10">
        <v>13.76</v>
      </c>
      <c r="L7203" s="10">
        <v>32</v>
      </c>
      <c r="M7203" s="6" t="s">
        <v>375</v>
      </c>
    </row>
    <row r="7204" spans="1:13">
      <c r="A7204" s="6">
        <v>2026</v>
      </c>
      <c r="B7204" s="6">
        <v>2</v>
      </c>
      <c r="C7204" s="6" t="s">
        <v>60</v>
      </c>
      <c r="D7204" s="6" t="s">
        <v>1038</v>
      </c>
      <c r="E7204" s="6" t="s">
        <v>1039</v>
      </c>
      <c r="F7204" s="6" t="str">
        <f>IF($M7204="PADD I","PADD 1",IF($M7204="PADD II","PADD 2",IF($M7204="PADD III","PADD 3",IF($M7204="PADD IV","PADD 4",IF($M7204="PADD V","PADD 5","")))))</f>
        <v>PADD 2</v>
      </c>
      <c r="G7204" s="6" t="str">
        <f>IF(AND($H7204="ATMOS DISTILLATION",ISNUMBER(SEARCH("VPS",$I7204))=FALSE,LEFT($I7204,6)&lt;&gt;"VACUUM"),"CDU",IF($H7204="FLUID CAT CRACKING","FCC",IF(OR($H7204="HYDROCRACKING",$H7204="RESID_HYDROCRACKING"),"Hydrocracker",IF($H7204="REFORMING","Reformer",""))))</f>
        <v>CDU</v>
      </c>
      <c r="H7204" s="6" t="s">
        <v>38</v>
      </c>
      <c r="I7204" s="6" t="s">
        <v>1040</v>
      </c>
      <c r="J7204" s="6" t="s">
        <v>345</v>
      </c>
      <c r="K7204" s="10">
        <v>13.3</v>
      </c>
      <c r="L7204" s="10">
        <v>95</v>
      </c>
      <c r="M7204" s="6" t="s">
        <v>375</v>
      </c>
    </row>
    <row r="7205" spans="1:13">
      <c r="A7205" s="6">
        <v>2026</v>
      </c>
      <c r="B7205" s="6">
        <v>2</v>
      </c>
      <c r="C7205" s="6" t="s">
        <v>60</v>
      </c>
      <c r="D7205" s="6" t="s">
        <v>322</v>
      </c>
      <c r="E7205" s="6" t="s">
        <v>369</v>
      </c>
      <c r="F7205" s="6" t="str">
        <f>IF($M7205="PADD I","PADD 1",IF($M7205="PADD II","PADD 2",IF($M7205="PADD III","PADD 3",IF($M7205="PADD IV","PADD 4",IF($M7205="PADD V","PADD 5","")))))</f>
        <v>PADD 2</v>
      </c>
      <c r="G7205" s="6" t="str">
        <f>IF(AND($H7205="ATMOS DISTILLATION",ISNUMBER(SEARCH("VPS",$I7205))=FALSE,LEFT($I7205,6)&lt;&gt;"VACUUM"),"CDU",IF($H7205="FLUID CAT CRACKING","FCC",IF(OR($H7205="HYDROCRACKING",$H7205="RESID_HYDROCRACKING"),"Hydrocracker",IF($H7205="REFORMING","Reformer",""))))</f>
        <v>CDU</v>
      </c>
      <c r="H7205" s="6" t="s">
        <v>38</v>
      </c>
      <c r="I7205" s="6" t="s">
        <v>521</v>
      </c>
      <c r="J7205" s="6" t="s">
        <v>349</v>
      </c>
      <c r="K7205" s="10">
        <v>13.2</v>
      </c>
      <c r="L7205" s="10">
        <v>120</v>
      </c>
      <c r="M7205" s="6" t="s">
        <v>375</v>
      </c>
    </row>
    <row r="7206" spans="1:13">
      <c r="A7206" s="6">
        <v>2026</v>
      </c>
      <c r="B7206" s="6">
        <v>2</v>
      </c>
      <c r="C7206" s="6" t="s">
        <v>60</v>
      </c>
      <c r="D7206" s="6" t="s">
        <v>1158</v>
      </c>
      <c r="E7206" s="6" t="s">
        <v>724</v>
      </c>
      <c r="F7206" s="6" t="str">
        <f>IF($M7206="PADD I","PADD 1",IF($M7206="PADD II","PADD 2",IF($M7206="PADD III","PADD 3",IF($M7206="PADD IV","PADD 4",IF($M7206="PADD V","PADD 5","")))))</f>
        <v>PADD 5</v>
      </c>
      <c r="G7206" s="6">
        <f>IF(AND($H7206="ATMOS DISTILLATION",ISNUMBER(SEARCH("VPS",$I7206))=FALSE,LEFT($I7206,6)&lt;&gt;"VACUUM"),"CDU",IF($H7206="FLUID CAT CRACKING","FCC",IF(OR($H7206="HYDROCRACKING",$H7206="RESID_HYDROCRACKING"),"Hydrocracker",IF($H7206="REFORMING","Reformer",""))))</f>
        <v/>
      </c>
      <c r="H7206" s="6" t="s">
        <v>378</v>
      </c>
      <c r="I7206" s="6" t="s">
        <v>431</v>
      </c>
      <c r="J7206" s="6" t="s">
        <v>349</v>
      </c>
      <c r="K7206" s="10">
        <v>12.48</v>
      </c>
      <c r="L7206" s="10">
        <v>19.5</v>
      </c>
      <c r="M7206" s="6" t="s">
        <v>386</v>
      </c>
    </row>
    <row r="7207" spans="1:13">
      <c r="A7207" s="6">
        <v>2026</v>
      </c>
      <c r="B7207" s="6">
        <v>2</v>
      </c>
      <c r="C7207" s="6" t="s">
        <v>60</v>
      </c>
      <c r="D7207" s="6" t="s">
        <v>676</v>
      </c>
      <c r="E7207" s="6" t="s">
        <v>677</v>
      </c>
      <c r="F7207" s="6" t="str">
        <f>IF($M7207="PADD I","PADD 1",IF($M7207="PADD II","PADD 2",IF($M7207="PADD III","PADD 3",IF($M7207="PADD IV","PADD 4",IF($M7207="PADD V","PADD 5","")))))</f>
        <v>PADD 1</v>
      </c>
      <c r="G7207" s="6" t="str">
        <f>IF(AND($H7207="ATMOS DISTILLATION",ISNUMBER(SEARCH("VPS",$I7207))=FALSE,LEFT($I7207,6)&lt;&gt;"VACUUM"),"CDU",IF($H7207="FLUID CAT CRACKING","FCC",IF(OR($H7207="HYDROCRACKING",$H7207="RESID_HYDROCRACKING"),"Hydrocracker",IF($H7207="REFORMING","Reformer",""))))</f>
        <v>CDU</v>
      </c>
      <c r="H7207" s="6" t="s">
        <v>38</v>
      </c>
      <c r="I7207" s="6" t="s">
        <v>678</v>
      </c>
      <c r="J7207" s="6" t="s">
        <v>345</v>
      </c>
      <c r="K7207" s="10">
        <v>12.1</v>
      </c>
      <c r="L7207" s="10">
        <v>110</v>
      </c>
      <c r="M7207" s="6" t="s">
        <v>413</v>
      </c>
    </row>
    <row r="7208" spans="1:13">
      <c r="A7208" s="6">
        <v>2026</v>
      </c>
      <c r="B7208" s="6">
        <v>2</v>
      </c>
      <c r="C7208" s="6" t="s">
        <v>60</v>
      </c>
      <c r="D7208" s="6" t="s">
        <v>774</v>
      </c>
      <c r="E7208" s="6" t="s">
        <v>775</v>
      </c>
      <c r="F7208" s="6" t="str">
        <f>IF($M7208="PADD I","PADD 1",IF($M7208="PADD II","PADD 2",IF($M7208="PADD III","PADD 3",IF($M7208="PADD IV","PADD 4",IF($M7208="PADD V","PADD 5","")))))</f>
        <v>PADD 1</v>
      </c>
      <c r="G7208" s="6">
        <f>IF(AND($H7208="ATMOS DISTILLATION",ISNUMBER(SEARCH("VPS",$I7208))=FALSE,LEFT($I7208,6)&lt;&gt;"VACUUM"),"CDU",IF($H7208="FLUID CAT CRACKING","FCC",IF(OR($H7208="HYDROCRACKING",$H7208="RESID_HYDROCRACKING"),"Hydrocracker",IF($H7208="REFORMING","Reformer",""))))</f>
        <v/>
      </c>
      <c r="H7208" s="6" t="s">
        <v>43</v>
      </c>
      <c r="I7208" s="6" t="s">
        <v>1153</v>
      </c>
      <c r="J7208" s="6" t="s">
        <v>349</v>
      </c>
      <c r="K7208" s="10">
        <v>12.04</v>
      </c>
      <c r="L7208" s="10">
        <v>14</v>
      </c>
      <c r="M7208" s="6" t="s">
        <v>413</v>
      </c>
    </row>
    <row r="7209" spans="1:13">
      <c r="A7209" s="6">
        <v>2026</v>
      </c>
      <c r="B7209" s="6">
        <v>2</v>
      </c>
      <c r="C7209" s="6" t="s">
        <v>60</v>
      </c>
      <c r="D7209" s="6" t="s">
        <v>526</v>
      </c>
      <c r="E7209" s="6" t="s">
        <v>405</v>
      </c>
      <c r="F7209" s="6" t="str">
        <f>IF($M7209="PADD I","PADD 1",IF($M7209="PADD II","PADD 2",IF($M7209="PADD III","PADD 3",IF($M7209="PADD IV","PADD 4",IF($M7209="PADD V","PADD 5","")))))</f>
        <v>PADD 3</v>
      </c>
      <c r="G7209" s="6">
        <f>IF(AND($H7209="ATMOS DISTILLATION",ISNUMBER(SEARCH("VPS",$I7209))=FALSE,LEFT($I7209,6)&lt;&gt;"VACUUM"),"CDU",IF($H7209="FLUID CAT CRACKING","FCC",IF(OR($H7209="HYDROCRACKING",$H7209="RESID_HYDROCRACKING"),"Hydrocracker",IF($H7209="REFORMING","Reformer",""))))</f>
        <v/>
      </c>
      <c r="H7209" s="6" t="s">
        <v>378</v>
      </c>
      <c r="I7209" s="6" t="s">
        <v>649</v>
      </c>
      <c r="J7209" s="6" t="s">
        <v>345</v>
      </c>
      <c r="K7209" s="10">
        <v>12.04</v>
      </c>
      <c r="L7209" s="10">
        <v>172</v>
      </c>
      <c r="M7209" s="6" t="s">
        <v>371</v>
      </c>
    </row>
    <row r="7210" spans="1:13">
      <c r="A7210" s="6">
        <v>2026</v>
      </c>
      <c r="B7210" s="6">
        <v>2</v>
      </c>
      <c r="C7210" s="6" t="s">
        <v>60</v>
      </c>
      <c r="D7210" s="6" t="s">
        <v>639</v>
      </c>
      <c r="E7210" s="6" t="s">
        <v>452</v>
      </c>
      <c r="F7210" s="6" t="str">
        <f>IF($M7210="PADD I","PADD 1",IF($M7210="PADD II","PADD 2",IF($M7210="PADD III","PADD 3",IF($M7210="PADD IV","PADD 4",IF($M7210="PADD V","PADD 5","")))))</f>
        <v>PADD 5</v>
      </c>
      <c r="G7210" s="6">
        <f>IF(AND($H7210="ATMOS DISTILLATION",ISNUMBER(SEARCH("VPS",$I7210))=FALSE,LEFT($I7210,6)&lt;&gt;"VACUUM"),"CDU",IF($H7210="FLUID CAT CRACKING","FCC",IF(OR($H7210="HYDROCRACKING",$H7210="RESID_HYDROCRACKING"),"Hydrocracker",IF($H7210="REFORMING","Reformer",""))))</f>
        <v/>
      </c>
      <c r="H7210" s="6" t="s">
        <v>435</v>
      </c>
      <c r="I7210" s="6" t="s">
        <v>1096</v>
      </c>
      <c r="J7210" s="6" t="s">
        <v>349</v>
      </c>
      <c r="K7210" s="10">
        <v>12</v>
      </c>
      <c r="L7210" s="10">
        <v>24</v>
      </c>
      <c r="M7210" s="6" t="s">
        <v>386</v>
      </c>
    </row>
    <row r="7211" spans="1:13">
      <c r="A7211" s="6">
        <v>2026</v>
      </c>
      <c r="B7211" s="6">
        <v>2</v>
      </c>
      <c r="C7211" s="6" t="s">
        <v>60</v>
      </c>
      <c r="D7211" s="6" t="s">
        <v>390</v>
      </c>
      <c r="E7211" s="6" t="s">
        <v>391</v>
      </c>
      <c r="F7211" s="6" t="str">
        <f>IF($M7211="PADD I","PADD 1",IF($M7211="PADD II","PADD 2",IF($M7211="PADD III","PADD 3",IF($M7211="PADD IV","PADD 4",IF($M7211="PADD V","PADD 5","")))))</f>
        <v>PADD 3</v>
      </c>
      <c r="G7211" s="6" t="str">
        <f>IF(AND($H7211="ATMOS DISTILLATION",ISNUMBER(SEARCH("VPS",$I7211))=FALSE,LEFT($I7211,6)&lt;&gt;"VACUUM"),"CDU",IF($H7211="FLUID CAT CRACKING","FCC",IF(OR($H7211="HYDROCRACKING",$H7211="RESID_HYDROCRACKING"),"Hydrocracker",IF($H7211="REFORMING","Reformer",""))))</f>
        <v>Reformer</v>
      </c>
      <c r="H7211" s="6" t="s">
        <v>421</v>
      </c>
      <c r="I7211" s="6" t="s">
        <v>1117</v>
      </c>
      <c r="J7211" s="6" t="s">
        <v>349</v>
      </c>
      <c r="K7211" s="10">
        <v>11.55</v>
      </c>
      <c r="L7211" s="10">
        <v>55</v>
      </c>
      <c r="M7211" s="6" t="s">
        <v>371</v>
      </c>
    </row>
    <row r="7212" spans="1:13">
      <c r="A7212" s="6">
        <v>2026</v>
      </c>
      <c r="B7212" s="6">
        <v>2</v>
      </c>
      <c r="C7212" s="6" t="s">
        <v>60</v>
      </c>
      <c r="D7212" s="6" t="s">
        <v>321</v>
      </c>
      <c r="E7212" s="6" t="s">
        <v>381</v>
      </c>
      <c r="F7212" s="6" t="str">
        <f>IF($M7212="PADD I","PADD 1",IF($M7212="PADD II","PADD 2",IF($M7212="PADD III","PADD 3",IF($M7212="PADD IV","PADD 4",IF($M7212="PADD V","PADD 5","")))))</f>
        <v>PADD 2</v>
      </c>
      <c r="G7212" s="6">
        <f>IF(AND($H7212="ATMOS DISTILLATION",ISNUMBER(SEARCH("VPS",$I7212))=FALSE,LEFT($I7212,6)&lt;&gt;"VACUUM"),"CDU",IF($H7212="FLUID CAT CRACKING","FCC",IF(OR($H7212="HYDROCRACKING",$H7212="RESID_HYDROCRACKING"),"Hydrocracker",IF($H7212="REFORMING","Reformer",""))))</f>
        <v/>
      </c>
      <c r="H7212" s="6" t="s">
        <v>435</v>
      </c>
      <c r="I7212" s="6" t="s">
        <v>441</v>
      </c>
      <c r="J7212" s="6" t="s">
        <v>345</v>
      </c>
      <c r="K7212" s="10">
        <v>11.5</v>
      </c>
      <c r="L7212" s="10">
        <v>23</v>
      </c>
      <c r="M7212" s="6" t="s">
        <v>375</v>
      </c>
    </row>
    <row r="7213" spans="1:13">
      <c r="A7213" s="6">
        <v>2026</v>
      </c>
      <c r="B7213" s="6">
        <v>2</v>
      </c>
      <c r="C7213" s="6" t="s">
        <v>60</v>
      </c>
      <c r="D7213" s="6" t="s">
        <v>326</v>
      </c>
      <c r="E7213" s="6" t="s">
        <v>385</v>
      </c>
      <c r="F7213" s="6" t="str">
        <f>IF($M7213="PADD I","PADD 1",IF($M7213="PADD II","PADD 2",IF($M7213="PADD III","PADD 3",IF($M7213="PADD IV","PADD 4",IF($M7213="PADD V","PADD 5","")))))</f>
        <v>PADD 5</v>
      </c>
      <c r="G7213" s="6">
        <f>IF(AND($H7213="ATMOS DISTILLATION",ISNUMBER(SEARCH("VPS",$I7213))=FALSE,LEFT($I7213,6)&lt;&gt;"VACUUM"),"CDU",IF($H7213="FLUID CAT CRACKING","FCC",IF(OR($H7213="HYDROCRACKING",$H7213="RESID_HYDROCRACKING"),"Hydrocracker",IF($H7213="REFORMING","Reformer",""))))</f>
        <v/>
      </c>
      <c r="H7213" s="6" t="s">
        <v>435</v>
      </c>
      <c r="I7213" s="6" t="s">
        <v>813</v>
      </c>
      <c r="J7213" s="6" t="s">
        <v>345</v>
      </c>
      <c r="K7213" s="10">
        <v>11.5</v>
      </c>
      <c r="L7213" s="10">
        <v>25</v>
      </c>
      <c r="M7213" s="6" t="s">
        <v>386</v>
      </c>
    </row>
    <row r="7214" spans="1:13">
      <c r="A7214" s="6">
        <v>2026</v>
      </c>
      <c r="B7214" s="6">
        <v>2</v>
      </c>
      <c r="C7214" s="6" t="s">
        <v>60</v>
      </c>
      <c r="D7214" s="6" t="s">
        <v>739</v>
      </c>
      <c r="E7214" s="6" t="s">
        <v>405</v>
      </c>
      <c r="F7214" s="6" t="str">
        <f>IF($M7214="PADD I","PADD 1",IF($M7214="PADD II","PADD 2",IF($M7214="PADD III","PADD 3",IF($M7214="PADD IV","PADD 4",IF($M7214="PADD V","PADD 5","")))))</f>
        <v>PADD 2</v>
      </c>
      <c r="G7214" s="6">
        <f>IF(AND($H7214="ATMOS DISTILLATION",ISNUMBER(SEARCH("VPS",$I7214))=FALSE,LEFT($I7214,6)&lt;&gt;"VACUUM"),"CDU",IF($H7214="FLUID CAT CRACKING","FCC",IF(OR($H7214="HYDROCRACKING",$H7214="RESID_HYDROCRACKING"),"Hydrocracker",IF($H7214="REFORMING","Reformer",""))))</f>
        <v/>
      </c>
      <c r="H7214" s="6" t="s">
        <v>43</v>
      </c>
      <c r="I7214" s="6" t="s">
        <v>1196</v>
      </c>
      <c r="J7214" s="6" t="s">
        <v>345</v>
      </c>
      <c r="K7214" s="10">
        <v>10.8</v>
      </c>
      <c r="L7214" s="10">
        <v>20</v>
      </c>
      <c r="M7214" s="6" t="s">
        <v>375</v>
      </c>
    </row>
    <row r="7215" spans="1:13">
      <c r="A7215" s="6">
        <v>2026</v>
      </c>
      <c r="B7215" s="6">
        <v>2</v>
      </c>
      <c r="C7215" s="6" t="s">
        <v>60</v>
      </c>
      <c r="D7215" s="6" t="s">
        <v>468</v>
      </c>
      <c r="E7215" s="6" t="s">
        <v>369</v>
      </c>
      <c r="F7215" s="6" t="str">
        <f>IF($M7215="PADD I","PADD 1",IF($M7215="PADD II","PADD 2",IF($M7215="PADD III","PADD 3",IF($M7215="PADD IV","PADD 4",IF($M7215="PADD V","PADD 5","")))))</f>
        <v>PADD 3</v>
      </c>
      <c r="G7215" s="6" t="str">
        <f>IF(AND($H7215="ATMOS DISTILLATION",ISNUMBER(SEARCH("VPS",$I7215))=FALSE,LEFT($I7215,6)&lt;&gt;"VACUUM"),"CDU",IF($H7215="FLUID CAT CRACKING","FCC",IF(OR($H7215="HYDROCRACKING",$H7215="RESID_HYDROCRACKING"),"Hydrocracker",IF($H7215="REFORMING","Reformer",""))))</f>
        <v>FCC</v>
      </c>
      <c r="H7215" s="6" t="s">
        <v>376</v>
      </c>
      <c r="I7215" s="6" t="s">
        <v>469</v>
      </c>
      <c r="J7215" s="6" t="s">
        <v>345</v>
      </c>
      <c r="K7215" s="10">
        <v>10.8</v>
      </c>
      <c r="L7215" s="10">
        <v>30</v>
      </c>
      <c r="M7215" s="6" t="s">
        <v>371</v>
      </c>
    </row>
    <row r="7216" spans="1:13">
      <c r="A7216" s="6">
        <v>2026</v>
      </c>
      <c r="B7216" s="6">
        <v>2</v>
      </c>
      <c r="C7216" s="6" t="s">
        <v>60</v>
      </c>
      <c r="D7216" s="6" t="s">
        <v>468</v>
      </c>
      <c r="E7216" s="6" t="s">
        <v>369</v>
      </c>
      <c r="F7216" s="6" t="str">
        <f>IF($M7216="PADD I","PADD 1",IF($M7216="PADD II","PADD 2",IF($M7216="PADD III","PADD 3",IF($M7216="PADD IV","PADD 4",IF($M7216="PADD V","PADD 5","")))))</f>
        <v>PADD 3</v>
      </c>
      <c r="G7216" s="6" t="str">
        <f>IF(AND($H7216="ATMOS DISTILLATION",ISNUMBER(SEARCH("VPS",$I7216))=FALSE,LEFT($I7216,6)&lt;&gt;"VACUUM"),"CDU",IF($H7216="FLUID CAT CRACKING","FCC",IF(OR($H7216="HYDROCRACKING",$H7216="RESID_HYDROCRACKING"),"Hydrocracker",IF($H7216="REFORMING","Reformer",""))))</f>
        <v>Reformer</v>
      </c>
      <c r="H7216" s="6" t="s">
        <v>421</v>
      </c>
      <c r="I7216" s="6" t="s">
        <v>858</v>
      </c>
      <c r="J7216" s="6" t="s">
        <v>349</v>
      </c>
      <c r="K7216" s="10">
        <v>10</v>
      </c>
      <c r="L7216" s="10">
        <v>20</v>
      </c>
      <c r="M7216" s="6" t="s">
        <v>371</v>
      </c>
    </row>
    <row r="7217" spans="1:13">
      <c r="A7217" s="6">
        <v>2026</v>
      </c>
      <c r="B7217" s="6">
        <v>2</v>
      </c>
      <c r="C7217" s="6" t="s">
        <v>60</v>
      </c>
      <c r="D7217" s="6" t="s">
        <v>1060</v>
      </c>
      <c r="E7217" s="6" t="s">
        <v>1039</v>
      </c>
      <c r="F7217" s="6" t="str">
        <f>IF($M7217="PADD I","PADD 1",IF($M7217="PADD II","PADD 2",IF($M7217="PADD III","PADD 3",IF($M7217="PADD IV","PADD 4",IF($M7217="PADD V","PADD 5","")))))</f>
        <v>PADD 2</v>
      </c>
      <c r="G7217" s="6">
        <f>IF(AND($H7217="ATMOS DISTILLATION",ISNUMBER(SEARCH("VPS",$I7217))=FALSE,LEFT($I7217,6)&lt;&gt;"VACUUM"),"CDU",IF($H7217="FLUID CAT CRACKING","FCC",IF(OR($H7217="HYDROCRACKING",$H7217="RESID_HYDROCRACKING"),"Hydrocracker",IF($H7217="REFORMING","Reformer",""))))</f>
        <v/>
      </c>
      <c r="H7217" s="6" t="s">
        <v>43</v>
      </c>
      <c r="I7217" s="6" t="s">
        <v>1180</v>
      </c>
      <c r="J7217" s="6" t="s">
        <v>345</v>
      </c>
      <c r="K7217" s="10">
        <v>9.94</v>
      </c>
      <c r="L7217" s="10">
        <v>71</v>
      </c>
      <c r="M7217" s="6" t="s">
        <v>375</v>
      </c>
    </row>
    <row r="7218" spans="1:13">
      <c r="A7218" s="6">
        <v>2026</v>
      </c>
      <c r="B7218" s="6">
        <v>2</v>
      </c>
      <c r="C7218" s="6" t="s">
        <v>60</v>
      </c>
      <c r="D7218" s="6" t="s">
        <v>1060</v>
      </c>
      <c r="E7218" s="6" t="s">
        <v>1039</v>
      </c>
      <c r="F7218" s="6" t="str">
        <f>IF($M7218="PADD I","PADD 1",IF($M7218="PADD II","PADD 2",IF($M7218="PADD III","PADD 3",IF($M7218="PADD IV","PADD 4",IF($M7218="PADD V","PADD 5","")))))</f>
        <v>PADD 2</v>
      </c>
      <c r="G7218" s="6">
        <f>IF(AND($H7218="ATMOS DISTILLATION",ISNUMBER(SEARCH("VPS",$I7218))=FALSE,LEFT($I7218,6)&lt;&gt;"VACUUM"),"CDU",IF($H7218="FLUID CAT CRACKING","FCC",IF(OR($H7218="HYDROCRACKING",$H7218="RESID_HYDROCRACKING"),"Hydrocracker",IF($H7218="REFORMING","Reformer",""))))</f>
        <v/>
      </c>
      <c r="H7218" s="6" t="s">
        <v>43</v>
      </c>
      <c r="I7218" s="6" t="s">
        <v>1180</v>
      </c>
      <c r="J7218" s="6" t="s">
        <v>349</v>
      </c>
      <c r="K7218" s="10">
        <v>9.94</v>
      </c>
      <c r="L7218" s="10">
        <v>71</v>
      </c>
      <c r="M7218" s="6" t="s">
        <v>375</v>
      </c>
    </row>
    <row r="7219" spans="1:13">
      <c r="A7219" s="6">
        <v>2026</v>
      </c>
      <c r="B7219" s="6">
        <v>2</v>
      </c>
      <c r="C7219" s="6" t="s">
        <v>60</v>
      </c>
      <c r="D7219" s="6" t="s">
        <v>662</v>
      </c>
      <c r="E7219" s="6" t="s">
        <v>552</v>
      </c>
      <c r="F7219" s="6" t="str">
        <f>IF($M7219="PADD I","PADD 1",IF($M7219="PADD II","PADD 2",IF($M7219="PADD III","PADD 3",IF($M7219="PADD IV","PADD 4",IF($M7219="PADD V","PADD 5","")))))</f>
        <v>PADD 3</v>
      </c>
      <c r="G7219" s="6">
        <f>IF(AND($H7219="ATMOS DISTILLATION",ISNUMBER(SEARCH("VPS",$I7219))=FALSE,LEFT($I7219,6)&lt;&gt;"VACUUM"),"CDU",IF($H7219="FLUID CAT CRACKING","FCC",IF(OR($H7219="HYDROCRACKING",$H7219="RESID_HYDROCRACKING"),"Hydrocracker",IF($H7219="REFORMING","Reformer",""))))</f>
        <v/>
      </c>
      <c r="H7219" s="6" t="s">
        <v>43</v>
      </c>
      <c r="I7219" s="6" t="s">
        <v>828</v>
      </c>
      <c r="J7219" s="6" t="s">
        <v>349</v>
      </c>
      <c r="K7219" s="10">
        <v>9.84</v>
      </c>
      <c r="L7219" s="10">
        <v>12</v>
      </c>
      <c r="M7219" s="6" t="s">
        <v>371</v>
      </c>
    </row>
    <row r="7220" spans="1:13">
      <c r="A7220" s="6">
        <v>2026</v>
      </c>
      <c r="B7220" s="6">
        <v>2</v>
      </c>
      <c r="C7220" s="6" t="s">
        <v>60</v>
      </c>
      <c r="D7220" s="6" t="s">
        <v>615</v>
      </c>
      <c r="E7220" s="6" t="s">
        <v>405</v>
      </c>
      <c r="F7220" s="6" t="str">
        <f>IF($M7220="PADD I","PADD 1",IF($M7220="PADD II","PADD 2",IF($M7220="PADD III","PADD 3",IF($M7220="PADD IV","PADD 4",IF($M7220="PADD V","PADD 5","")))))</f>
        <v>PADD 5</v>
      </c>
      <c r="G7220" s="6">
        <f>IF(AND($H7220="ATMOS DISTILLATION",ISNUMBER(SEARCH("VPS",$I7220))=FALSE,LEFT($I7220,6)&lt;&gt;"VACUUM"),"CDU",IF($H7220="FLUID CAT CRACKING","FCC",IF(OR($H7220="HYDROCRACKING",$H7220="RESID_HYDROCRACKING"),"Hydrocracker",IF($H7220="REFORMING","Reformer",""))))</f>
        <v/>
      </c>
      <c r="H7220" s="6" t="s">
        <v>43</v>
      </c>
      <c r="I7220" s="6" t="s">
        <v>1238</v>
      </c>
      <c r="J7220" s="6" t="s">
        <v>349</v>
      </c>
      <c r="K7220" s="10">
        <v>9.7416</v>
      </c>
      <c r="L7220" s="10">
        <v>27.06</v>
      </c>
      <c r="M7220" s="6" t="s">
        <v>386</v>
      </c>
    </row>
    <row r="7221" spans="1:13">
      <c r="A7221" s="6">
        <v>2026</v>
      </c>
      <c r="B7221" s="6">
        <v>2</v>
      </c>
      <c r="C7221" s="6" t="s">
        <v>60</v>
      </c>
      <c r="D7221" s="6" t="s">
        <v>468</v>
      </c>
      <c r="E7221" s="6" t="s">
        <v>369</v>
      </c>
      <c r="F7221" s="6" t="str">
        <f>IF($M7221="PADD I","PADD 1",IF($M7221="PADD II","PADD 2",IF($M7221="PADD III","PADD 3",IF($M7221="PADD IV","PADD 4",IF($M7221="PADD V","PADD 5","")))))</f>
        <v>PADD 3</v>
      </c>
      <c r="G7221" s="6" t="str">
        <f>IF(AND($H7221="ATMOS DISTILLATION",ISNUMBER(SEARCH("VPS",$I7221))=FALSE,LEFT($I7221,6)&lt;&gt;"VACUUM"),"CDU",IF($H7221="FLUID CAT CRACKING","FCC",IF(OR($H7221="HYDROCRACKING",$H7221="RESID_HYDROCRACKING"),"Hydrocracker",IF($H7221="REFORMING","Reformer",""))))</f>
        <v>FCC</v>
      </c>
      <c r="H7221" s="6" t="s">
        <v>376</v>
      </c>
      <c r="I7221" s="6" t="s">
        <v>473</v>
      </c>
      <c r="J7221" s="6" t="s">
        <v>345</v>
      </c>
      <c r="K7221" s="10">
        <v>9.6</v>
      </c>
      <c r="L7221" s="10">
        <v>30</v>
      </c>
      <c r="M7221" s="6" t="s">
        <v>371</v>
      </c>
    </row>
    <row r="7222" spans="1:13">
      <c r="A7222" s="6">
        <v>2026</v>
      </c>
      <c r="B7222" s="6">
        <v>2</v>
      </c>
      <c r="C7222" s="6" t="s">
        <v>60</v>
      </c>
      <c r="D7222" s="6" t="s">
        <v>632</v>
      </c>
      <c r="E7222" s="6" t="s">
        <v>633</v>
      </c>
      <c r="F7222" s="6" t="str">
        <f>IF($M7222="PADD I","PADD 1",IF($M7222="PADD II","PADD 2",IF($M7222="PADD III","PADD 3",IF($M7222="PADD IV","PADD 4",IF($M7222="PADD V","PADD 5","")))))</f>
        <v>PADD 4</v>
      </c>
      <c r="G7222" s="6" t="str">
        <f>IF(AND($H7222="ATMOS DISTILLATION",ISNUMBER(SEARCH("VPS",$I7222))=FALSE,LEFT($I7222,6)&lt;&gt;"VACUUM"),"CDU",IF($H7222="FLUID CAT CRACKING","FCC",IF(OR($H7222="HYDROCRACKING",$H7222="RESID_HYDROCRACKING"),"Hydrocracker",IF($H7222="REFORMING","Reformer",""))))</f>
        <v>FCC</v>
      </c>
      <c r="H7222" s="6" t="s">
        <v>376</v>
      </c>
      <c r="I7222" s="6" t="s">
        <v>634</v>
      </c>
      <c r="J7222" s="6" t="s">
        <v>345</v>
      </c>
      <c r="K7222" s="10">
        <v>9.085000000000001</v>
      </c>
      <c r="L7222" s="10">
        <v>11.5</v>
      </c>
      <c r="M7222" s="6" t="s">
        <v>430</v>
      </c>
    </row>
    <row r="7223" spans="1:13">
      <c r="A7223" s="6">
        <v>2026</v>
      </c>
      <c r="B7223" s="6">
        <v>2</v>
      </c>
      <c r="C7223" s="6" t="s">
        <v>60</v>
      </c>
      <c r="D7223" s="6" t="s">
        <v>1289</v>
      </c>
      <c r="E7223" s="6" t="s">
        <v>1290</v>
      </c>
      <c r="F7223" s="6" t="str">
        <f>IF($M7223="PADD I","PADD 1",IF($M7223="PADD II","PADD 2",IF($M7223="PADD III","PADD 3",IF($M7223="PADD IV","PADD 4",IF($M7223="PADD V","PADD 5","")))))</f>
        <v>PADD 5</v>
      </c>
      <c r="G7223" s="6" t="str">
        <f>IF(AND($H7223="ATMOS DISTILLATION",ISNUMBER(SEARCH("VPS",$I7223))=FALSE,LEFT($I7223,6)&lt;&gt;"VACUUM"),"CDU",IF($H7223="FLUID CAT CRACKING","FCC",IF(OR($H7223="HYDROCRACKING",$H7223="RESID_HYDROCRACKING"),"Hydrocracker",IF($H7223="REFORMING","Reformer",""))))</f>
        <v>CDU</v>
      </c>
      <c r="H7223" s="6" t="s">
        <v>38</v>
      </c>
      <c r="I7223" s="6" t="s">
        <v>133</v>
      </c>
      <c r="J7223" s="6" t="s">
        <v>349</v>
      </c>
      <c r="K7223" s="10">
        <v>8.747999999999999</v>
      </c>
      <c r="L7223" s="10">
        <v>24.3</v>
      </c>
      <c r="M7223" s="6" t="s">
        <v>386</v>
      </c>
    </row>
    <row r="7224" spans="1:13">
      <c r="A7224" s="6">
        <v>2026</v>
      </c>
      <c r="B7224" s="6">
        <v>2</v>
      </c>
      <c r="C7224" s="6" t="s">
        <v>60</v>
      </c>
      <c r="D7224" s="6" t="s">
        <v>531</v>
      </c>
      <c r="E7224" s="6" t="s">
        <v>532</v>
      </c>
      <c r="F7224" s="6" t="str">
        <f>IF($M7224="PADD I","PADD 1",IF($M7224="PADD II","PADD 2",IF($M7224="PADD III","PADD 3",IF($M7224="PADD IV","PADD 4",IF($M7224="PADD V","PADD 5","")))))</f>
        <v>PADD 5</v>
      </c>
      <c r="G7224" s="6">
        <f>IF(AND($H7224="ATMOS DISTILLATION",ISNUMBER(SEARCH("VPS",$I7224))=FALSE,LEFT($I7224,6)&lt;&gt;"VACUUM"),"CDU",IF($H7224="FLUID CAT CRACKING","FCC",IF(OR($H7224="HYDROCRACKING",$H7224="RESID_HYDROCRACKING"),"Hydrocracker",IF($H7224="REFORMING","Reformer",""))))</f>
        <v/>
      </c>
      <c r="H7224" s="6" t="s">
        <v>435</v>
      </c>
      <c r="I7224" s="6" t="s">
        <v>614</v>
      </c>
      <c r="J7224" s="6" t="s">
        <v>349</v>
      </c>
      <c r="K7224" s="10">
        <v>8.640000000000001</v>
      </c>
      <c r="L7224" s="10">
        <v>27</v>
      </c>
      <c r="M7224" s="6" t="s">
        <v>386</v>
      </c>
    </row>
    <row r="7225" spans="1:13">
      <c r="A7225" s="6">
        <v>2026</v>
      </c>
      <c r="B7225" s="6">
        <v>2</v>
      </c>
      <c r="C7225" s="6" t="s">
        <v>60</v>
      </c>
      <c r="D7225" s="6" t="s">
        <v>457</v>
      </c>
      <c r="E7225" s="6" t="s">
        <v>388</v>
      </c>
      <c r="F7225" s="6" t="str">
        <f>IF($M7225="PADD I","PADD 1",IF($M7225="PADD II","PADD 2",IF($M7225="PADD III","PADD 3",IF($M7225="PADD IV","PADD 4",IF($M7225="PADD V","PADD 5","")))))</f>
        <v>PADD 5</v>
      </c>
      <c r="G7225" s="6" t="str">
        <f>IF(AND($H7225="ATMOS DISTILLATION",ISNUMBER(SEARCH("VPS",$I7225))=FALSE,LEFT($I7225,6)&lt;&gt;"VACUUM"),"CDU",IF($H7225="FLUID CAT CRACKING","FCC",IF(OR($H7225="HYDROCRACKING",$H7225="RESID_HYDROCRACKING"),"Hydrocracker",IF($H7225="REFORMING","Reformer",""))))</f>
        <v>Reformer</v>
      </c>
      <c r="H7225" s="6" t="s">
        <v>421</v>
      </c>
      <c r="I7225" s="6" t="s">
        <v>557</v>
      </c>
      <c r="J7225" s="6" t="s">
        <v>349</v>
      </c>
      <c r="K7225" s="10">
        <v>8.6</v>
      </c>
      <c r="L7225" s="10">
        <v>20</v>
      </c>
      <c r="M7225" s="6" t="s">
        <v>386</v>
      </c>
    </row>
    <row r="7226" spans="1:13">
      <c r="A7226" s="6">
        <v>2026</v>
      </c>
      <c r="B7226" s="6">
        <v>2</v>
      </c>
      <c r="C7226" s="6" t="s">
        <v>60</v>
      </c>
      <c r="D7226" s="6" t="s">
        <v>387</v>
      </c>
      <c r="E7226" s="6" t="s">
        <v>388</v>
      </c>
      <c r="F7226" s="6" t="str">
        <f>IF($M7226="PADD I","PADD 1",IF($M7226="PADD II","PADD 2",IF($M7226="PADD III","PADD 3",IF($M7226="PADD IV","PADD 4",IF($M7226="PADD V","PADD 5","")))))</f>
        <v>PADD 3</v>
      </c>
      <c r="G7226" s="6" t="str">
        <f>IF(AND($H7226="ATMOS DISTILLATION",ISNUMBER(SEARCH("VPS",$I7226))=FALSE,LEFT($I7226,6)&lt;&gt;"VACUUM"),"CDU",IF($H7226="FLUID CAT CRACKING","FCC",IF(OR($H7226="HYDROCRACKING",$H7226="RESID_HYDROCRACKING"),"Hydrocracker",IF($H7226="REFORMING","Reformer",""))))</f>
        <v>Reformer</v>
      </c>
      <c r="H7226" s="6" t="s">
        <v>421</v>
      </c>
      <c r="I7226" s="6" t="s">
        <v>443</v>
      </c>
      <c r="J7226" s="6" t="s">
        <v>345</v>
      </c>
      <c r="K7226" s="10">
        <v>8.525</v>
      </c>
      <c r="L7226" s="10">
        <v>77.5</v>
      </c>
      <c r="M7226" s="6" t="s">
        <v>371</v>
      </c>
    </row>
    <row r="7227" spans="1:13">
      <c r="A7227" s="6">
        <v>2026</v>
      </c>
      <c r="B7227" s="6">
        <v>2</v>
      </c>
      <c r="C7227" s="6" t="s">
        <v>60</v>
      </c>
      <c r="D7227" s="6" t="s">
        <v>615</v>
      </c>
      <c r="E7227" s="6" t="s">
        <v>405</v>
      </c>
      <c r="F7227" s="6" t="str">
        <f>IF($M7227="PADD I","PADD 1",IF($M7227="PADD II","PADD 2",IF($M7227="PADD III","PADD 3",IF($M7227="PADD IV","PADD 4",IF($M7227="PADD V","PADD 5","")))))</f>
        <v>PADD 5</v>
      </c>
      <c r="G7227" s="6">
        <f>IF(AND($H7227="ATMOS DISTILLATION",ISNUMBER(SEARCH("VPS",$I7227))=FALSE,LEFT($I7227,6)&lt;&gt;"VACUUM"),"CDU",IF($H7227="FLUID CAT CRACKING","FCC",IF(OR($H7227="HYDROCRACKING",$H7227="RESID_HYDROCRACKING"),"Hydrocracker",IF($H7227="REFORMING","Reformer",""))))</f>
        <v/>
      </c>
      <c r="H7227" s="6" t="s">
        <v>43</v>
      </c>
      <c r="I7227" s="6" t="s">
        <v>1185</v>
      </c>
      <c r="J7227" s="6" t="s">
        <v>349</v>
      </c>
      <c r="K7227" s="10">
        <v>8.52</v>
      </c>
      <c r="L7227" s="10">
        <v>12</v>
      </c>
      <c r="M7227" s="6" t="s">
        <v>386</v>
      </c>
    </row>
    <row r="7228" spans="1:13">
      <c r="A7228" s="6">
        <v>2026</v>
      </c>
      <c r="B7228" s="6">
        <v>2</v>
      </c>
      <c r="C7228" s="6" t="s">
        <v>60</v>
      </c>
      <c r="D7228" s="6" t="s">
        <v>639</v>
      </c>
      <c r="E7228" s="6" t="s">
        <v>452</v>
      </c>
      <c r="F7228" s="6" t="str">
        <f>IF($M7228="PADD I","PADD 1",IF($M7228="PADD II","PADD 2",IF($M7228="PADD III","PADD 3",IF($M7228="PADD IV","PADD 4",IF($M7228="PADD V","PADD 5","")))))</f>
        <v>PADD 5</v>
      </c>
      <c r="G7228" s="6" t="str">
        <f>IF(AND($H7228="ATMOS DISTILLATION",ISNUMBER(SEARCH("VPS",$I7228))=FALSE,LEFT($I7228,6)&lt;&gt;"VACUUM"),"CDU",IF($H7228="FLUID CAT CRACKING","FCC",IF(OR($H7228="HYDROCRACKING",$H7228="RESID_HYDROCRACKING"),"Hydrocracker",IF($H7228="REFORMING","Reformer",""))))</f>
        <v>Reformer</v>
      </c>
      <c r="H7228" s="6" t="s">
        <v>421</v>
      </c>
      <c r="I7228" s="6" t="s">
        <v>906</v>
      </c>
      <c r="J7228" s="6" t="s">
        <v>349</v>
      </c>
      <c r="K7228" s="10">
        <v>8.5</v>
      </c>
      <c r="L7228" s="10">
        <v>17</v>
      </c>
      <c r="M7228" s="6" t="s">
        <v>386</v>
      </c>
    </row>
    <row r="7229" spans="1:13">
      <c r="A7229" s="6">
        <v>2026</v>
      </c>
      <c r="B7229" s="6">
        <v>2</v>
      </c>
      <c r="C7229" s="6" t="s">
        <v>60</v>
      </c>
      <c r="D7229" s="6" t="s">
        <v>329</v>
      </c>
      <c r="E7229" s="6" t="s">
        <v>427</v>
      </c>
      <c r="F7229" s="6" t="str">
        <f>IF($M7229="PADD I","PADD 1",IF($M7229="PADD II","PADD 2",IF($M7229="PADD III","PADD 3",IF($M7229="PADD IV","PADD 4",IF($M7229="PADD V","PADD 5","")))))</f>
        <v>PADD 3</v>
      </c>
      <c r="G7229" s="6">
        <f>IF(AND($H7229="ATMOS DISTILLATION",ISNUMBER(SEARCH("VPS",$I7229))=FALSE,LEFT($I7229,6)&lt;&gt;"VACUUM"),"CDU",IF($H7229="FLUID CAT CRACKING","FCC",IF(OR($H7229="HYDROCRACKING",$H7229="RESID_HYDROCRACKING"),"Hydrocracker",IF($H7229="REFORMING","Reformer",""))))</f>
        <v/>
      </c>
      <c r="H7229" s="6" t="s">
        <v>378</v>
      </c>
      <c r="I7229" s="6" t="s">
        <v>964</v>
      </c>
      <c r="J7229" s="6" t="s">
        <v>345</v>
      </c>
      <c r="K7229" s="10">
        <v>8.4</v>
      </c>
      <c r="L7229" s="10">
        <v>40</v>
      </c>
      <c r="M7229" s="6" t="s">
        <v>371</v>
      </c>
    </row>
    <row r="7230" spans="1:13">
      <c r="A7230" s="6">
        <v>2026</v>
      </c>
      <c r="B7230" s="6">
        <v>2</v>
      </c>
      <c r="C7230" s="6" t="s">
        <v>60</v>
      </c>
      <c r="D7230" s="6" t="s">
        <v>51</v>
      </c>
      <c r="E7230" s="6" t="s">
        <v>391</v>
      </c>
      <c r="F7230" s="6" t="str">
        <f>IF($M7230="PADD I","PADD 1",IF($M7230="PADD II","PADD 2",IF($M7230="PADD III","PADD 3",IF($M7230="PADD IV","PADD 4",IF($M7230="PADD V","PADD 5","")))))</f>
        <v>PADD 5</v>
      </c>
      <c r="G7230" s="6" t="str">
        <f>IF(AND($H7230="ATMOS DISTILLATION",ISNUMBER(SEARCH("VPS",$I7230))=FALSE,LEFT($I7230,6)&lt;&gt;"VACUUM"),"CDU",IF($H7230="FLUID CAT CRACKING","FCC",IF(OR($H7230="HYDROCRACKING",$H7230="RESID_HYDROCRACKING"),"Hydrocracker",IF($H7230="REFORMING","Reformer",""))))</f>
        <v>Reformer</v>
      </c>
      <c r="H7230" s="6" t="s">
        <v>421</v>
      </c>
      <c r="I7230" s="6" t="s">
        <v>539</v>
      </c>
      <c r="J7230" s="6" t="s">
        <v>345</v>
      </c>
      <c r="K7230" s="10">
        <v>8.4</v>
      </c>
      <c r="L7230" s="10">
        <v>60</v>
      </c>
      <c r="M7230" s="6" t="s">
        <v>386</v>
      </c>
    </row>
    <row r="7231" spans="1:13">
      <c r="A7231" s="6">
        <v>2026</v>
      </c>
      <c r="B7231" s="6">
        <v>2</v>
      </c>
      <c r="C7231" s="6" t="s">
        <v>60</v>
      </c>
      <c r="D7231" s="6" t="s">
        <v>714</v>
      </c>
      <c r="E7231" s="6" t="s">
        <v>405</v>
      </c>
      <c r="F7231" s="6" t="str">
        <f>IF($M7231="PADD I","PADD 1",IF($M7231="PADD II","PADD 2",IF($M7231="PADD III","PADD 3",IF($M7231="PADD IV","PADD 4",IF($M7231="PADD V","PADD 5","")))))</f>
        <v>PADD 3</v>
      </c>
      <c r="G7231" s="6" t="str">
        <f>IF(AND($H7231="ATMOS DISTILLATION",ISNUMBER(SEARCH("VPS",$I7231))=FALSE,LEFT($I7231,6)&lt;&gt;"VACUUM"),"CDU",IF($H7231="FLUID CAT CRACKING","FCC",IF(OR($H7231="HYDROCRACKING",$H7231="RESID_HYDROCRACKING"),"Hydrocracker",IF($H7231="REFORMING","Reformer",""))))</f>
        <v>FCC</v>
      </c>
      <c r="H7231" s="6" t="s">
        <v>376</v>
      </c>
      <c r="I7231" s="6" t="s">
        <v>105</v>
      </c>
      <c r="J7231" s="6" t="s">
        <v>345</v>
      </c>
      <c r="K7231" s="10">
        <v>8.359999999999999</v>
      </c>
      <c r="L7231" s="10">
        <v>76</v>
      </c>
      <c r="M7231" s="6" t="s">
        <v>371</v>
      </c>
    </row>
    <row r="7232" spans="1:13">
      <c r="A7232" s="6">
        <v>2026</v>
      </c>
      <c r="B7232" s="6">
        <v>2</v>
      </c>
      <c r="C7232" s="6" t="s">
        <v>60</v>
      </c>
      <c r="D7232" s="6" t="s">
        <v>40</v>
      </c>
      <c r="E7232" s="6" t="s">
        <v>736</v>
      </c>
      <c r="F7232" s="6" t="str">
        <f>IF($M7232="PADD I","PADD 1",IF($M7232="PADD II","PADD 2",IF($M7232="PADD III","PADD 3",IF($M7232="PADD IV","PADD 4",IF($M7232="PADD V","PADD 5","")))))</f>
        <v>PADD 1</v>
      </c>
      <c r="G7232" s="6">
        <f>IF(AND($H7232="ATMOS DISTILLATION",ISNUMBER(SEARCH("VPS",$I7232))=FALSE,LEFT($I7232,6)&lt;&gt;"VACUUM"),"CDU",IF($H7232="FLUID CAT CRACKING","FCC",IF(OR($H7232="HYDROCRACKING",$H7232="RESID_HYDROCRACKING"),"Hydrocracker",IF($H7232="REFORMING","Reformer",""))))</f>
        <v/>
      </c>
      <c r="H7232" s="6" t="s">
        <v>378</v>
      </c>
      <c r="I7232" s="6" t="s">
        <v>1009</v>
      </c>
      <c r="J7232" s="6" t="s">
        <v>345</v>
      </c>
      <c r="K7232" s="10">
        <v>8.32</v>
      </c>
      <c r="L7232" s="10">
        <v>26</v>
      </c>
      <c r="M7232" s="6" t="s">
        <v>413</v>
      </c>
    </row>
    <row r="7233" spans="1:13">
      <c r="A7233" s="6">
        <v>2026</v>
      </c>
      <c r="B7233" s="6">
        <v>2</v>
      </c>
      <c r="C7233" s="6" t="s">
        <v>60</v>
      </c>
      <c r="D7233" s="6" t="s">
        <v>815</v>
      </c>
      <c r="E7233" s="6" t="s">
        <v>452</v>
      </c>
      <c r="F7233" s="6" t="str">
        <f>IF($M7233="PADD I","PADD 1",IF($M7233="PADD II","PADD 2",IF($M7233="PADD III","PADD 3",IF($M7233="PADD IV","PADD 4",IF($M7233="PADD V","PADD 5","")))))</f>
        <v>PADD 4</v>
      </c>
      <c r="G7233" s="6" t="str">
        <f>IF(AND($H7233="ATMOS DISTILLATION",ISNUMBER(SEARCH("VPS",$I7233))=FALSE,LEFT($I7233,6)&lt;&gt;"VACUUM"),"CDU",IF($H7233="FLUID CAT CRACKING","FCC",IF(OR($H7233="HYDROCRACKING",$H7233="RESID_HYDROCRACKING"),"Hydrocracker",IF($H7233="REFORMING","Reformer",""))))</f>
        <v>CDU</v>
      </c>
      <c r="H7233" s="6" t="s">
        <v>38</v>
      </c>
      <c r="I7233" s="6" t="s">
        <v>1231</v>
      </c>
      <c r="J7233" s="6" t="s">
        <v>345</v>
      </c>
      <c r="K7233" s="10">
        <v>8.305</v>
      </c>
      <c r="L7233" s="10">
        <v>75.5</v>
      </c>
      <c r="M7233" s="6" t="s">
        <v>430</v>
      </c>
    </row>
    <row r="7234" spans="1:13">
      <c r="A7234" s="6">
        <v>2026</v>
      </c>
      <c r="B7234" s="6">
        <v>2</v>
      </c>
      <c r="C7234" s="6" t="s">
        <v>60</v>
      </c>
      <c r="D7234" s="6" t="s">
        <v>632</v>
      </c>
      <c r="E7234" s="6" t="s">
        <v>633</v>
      </c>
      <c r="F7234" s="6" t="str">
        <f>IF($M7234="PADD I","PADD 1",IF($M7234="PADD II","PADD 2",IF($M7234="PADD III","PADD 3",IF($M7234="PADD IV","PADD 4",IF($M7234="PADD V","PADD 5","")))))</f>
        <v>PADD 4</v>
      </c>
      <c r="G7234" s="6">
        <f>IF(AND($H7234="ATMOS DISTILLATION",ISNUMBER(SEARCH("VPS",$I7234))=FALSE,LEFT($I7234,6)&lt;&gt;"VACUUM"),"CDU",IF($H7234="FLUID CAT CRACKING","FCC",IF(OR($H7234="HYDROCRACKING",$H7234="RESID_HYDROCRACKING"),"Hydrocracker",IF($H7234="REFORMING","Reformer",""))))</f>
        <v/>
      </c>
      <c r="H7234" s="6" t="s">
        <v>43</v>
      </c>
      <c r="I7234" s="6" t="s">
        <v>674</v>
      </c>
      <c r="J7234" s="6" t="s">
        <v>349</v>
      </c>
      <c r="K7234" s="10">
        <v>7.79</v>
      </c>
      <c r="L7234" s="10">
        <v>9.5</v>
      </c>
      <c r="M7234" s="6" t="s">
        <v>430</v>
      </c>
    </row>
    <row r="7235" spans="1:13">
      <c r="A7235" s="6">
        <v>2026</v>
      </c>
      <c r="B7235" s="6">
        <v>2</v>
      </c>
      <c r="C7235" s="6" t="s">
        <v>60</v>
      </c>
      <c r="D7235" s="6" t="s">
        <v>511</v>
      </c>
      <c r="E7235" s="6" t="s">
        <v>405</v>
      </c>
      <c r="F7235" s="6" t="str">
        <f>IF($M7235="PADD I","PADD 1",IF($M7235="PADD II","PADD 2",IF($M7235="PADD III","PADD 3",IF($M7235="PADD IV","PADD 4",IF($M7235="PADD V","PADD 5","")))))</f>
        <v>PADD 3</v>
      </c>
      <c r="G7235" s="6" t="str">
        <f>IF(AND($H7235="ATMOS DISTILLATION",ISNUMBER(SEARCH("VPS",$I7235))=FALSE,LEFT($I7235,6)&lt;&gt;"VACUUM"),"CDU",IF($H7235="FLUID CAT CRACKING","FCC",IF(OR($H7235="HYDROCRACKING",$H7235="RESID_HYDROCRACKING"),"Hydrocracker",IF($H7235="REFORMING","Reformer",""))))</f>
        <v>CDU</v>
      </c>
      <c r="H7235" s="6" t="s">
        <v>38</v>
      </c>
      <c r="I7235" s="6" t="s">
        <v>112</v>
      </c>
      <c r="J7235" s="6" t="s">
        <v>345</v>
      </c>
      <c r="K7235" s="10">
        <v>7.7</v>
      </c>
      <c r="L7235" s="10">
        <v>110</v>
      </c>
      <c r="M7235" s="6" t="s">
        <v>371</v>
      </c>
    </row>
    <row r="7236" spans="1:13">
      <c r="A7236" s="6">
        <v>2026</v>
      </c>
      <c r="B7236" s="6">
        <v>2</v>
      </c>
      <c r="C7236" s="6" t="s">
        <v>60</v>
      </c>
      <c r="D7236" s="6" t="s">
        <v>662</v>
      </c>
      <c r="E7236" s="6" t="s">
        <v>552</v>
      </c>
      <c r="F7236" s="6" t="str">
        <f>IF($M7236="PADD I","PADD 1",IF($M7236="PADD II","PADD 2",IF($M7236="PADD III","PADD 3",IF($M7236="PADD IV","PADD 4",IF($M7236="PADD V","PADD 5","")))))</f>
        <v>PADD 3</v>
      </c>
      <c r="G7236" s="6">
        <f>IF(AND($H7236="ATMOS DISTILLATION",ISNUMBER(SEARCH("VPS",$I7236))=FALSE,LEFT($I7236,6)&lt;&gt;"VACUUM"),"CDU",IF($H7236="FLUID CAT CRACKING","FCC",IF(OR($H7236="HYDROCRACKING",$H7236="RESID_HYDROCRACKING"),"Hydrocracker",IF($H7236="REFORMING","Reformer",""))))</f>
        <v/>
      </c>
      <c r="H7236" s="6" t="s">
        <v>523</v>
      </c>
      <c r="I7236" s="6" t="s">
        <v>524</v>
      </c>
      <c r="J7236" s="6" t="s">
        <v>349</v>
      </c>
      <c r="K7236" s="10">
        <v>7.6</v>
      </c>
      <c r="L7236" s="10">
        <v>7.6</v>
      </c>
      <c r="M7236" s="6" t="s">
        <v>371</v>
      </c>
    </row>
    <row r="7237" spans="1:13">
      <c r="A7237" s="6">
        <v>2026</v>
      </c>
      <c r="B7237" s="6">
        <v>2</v>
      </c>
      <c r="C7237" s="6" t="s">
        <v>60</v>
      </c>
      <c r="D7237" s="6" t="s">
        <v>511</v>
      </c>
      <c r="E7237" s="6" t="s">
        <v>405</v>
      </c>
      <c r="F7237" s="6" t="str">
        <f>IF($M7237="PADD I","PADD 1",IF($M7237="PADD II","PADD 2",IF($M7237="PADD III","PADD 3",IF($M7237="PADD IV","PADD 4",IF($M7237="PADD V","PADD 5","")))))</f>
        <v>PADD 3</v>
      </c>
      <c r="G7237" s="6" t="str">
        <f>IF(AND($H7237="ATMOS DISTILLATION",ISNUMBER(SEARCH("VPS",$I7237))=FALSE,LEFT($I7237,6)&lt;&gt;"VACUUM"),"CDU",IF($H7237="FLUID CAT CRACKING","FCC",IF(OR($H7237="HYDROCRACKING",$H7237="RESID_HYDROCRACKING"),"Hydrocracker",IF($H7237="REFORMING","Reformer",""))))</f>
        <v>CDU</v>
      </c>
      <c r="H7237" s="6" t="s">
        <v>38</v>
      </c>
      <c r="I7237" s="6" t="s">
        <v>115</v>
      </c>
      <c r="J7237" s="6" t="s">
        <v>345</v>
      </c>
      <c r="K7237" s="10">
        <v>7.49</v>
      </c>
      <c r="L7237" s="10">
        <v>107</v>
      </c>
      <c r="M7237" s="6" t="s">
        <v>371</v>
      </c>
    </row>
    <row r="7238" spans="1:13">
      <c r="A7238" s="6">
        <v>2026</v>
      </c>
      <c r="B7238" s="6">
        <v>2</v>
      </c>
      <c r="C7238" s="6" t="s">
        <v>60</v>
      </c>
      <c r="D7238" s="6" t="s">
        <v>51</v>
      </c>
      <c r="E7238" s="6" t="s">
        <v>391</v>
      </c>
      <c r="F7238" s="6" t="str">
        <f>IF($M7238="PADD I","PADD 1",IF($M7238="PADD II","PADD 2",IF($M7238="PADD III","PADD 3",IF($M7238="PADD IV","PADD 4",IF($M7238="PADD V","PADD 5","")))))</f>
        <v>PADD 5</v>
      </c>
      <c r="G7238" s="6">
        <f>IF(AND($H7238="ATMOS DISTILLATION",ISNUMBER(SEARCH("VPS",$I7238))=FALSE,LEFT($I7238,6)&lt;&gt;"VACUUM"),"CDU",IF($H7238="FLUID CAT CRACKING","FCC",IF(OR($H7238="HYDROCRACKING",$H7238="RESID_HYDROCRACKING"),"Hydrocracker",IF($H7238="REFORMING","Reformer",""))))</f>
        <v/>
      </c>
      <c r="H7238" s="6" t="s">
        <v>43</v>
      </c>
      <c r="I7238" s="6" t="s">
        <v>1337</v>
      </c>
      <c r="J7238" s="6" t="s">
        <v>345</v>
      </c>
      <c r="K7238" s="10">
        <v>7.35</v>
      </c>
      <c r="L7238" s="10">
        <v>7.35</v>
      </c>
      <c r="M7238" s="6" t="s">
        <v>386</v>
      </c>
    </row>
    <row r="7239" spans="1:13">
      <c r="A7239" s="6">
        <v>2026</v>
      </c>
      <c r="B7239" s="6">
        <v>2</v>
      </c>
      <c r="C7239" s="6" t="s">
        <v>60</v>
      </c>
      <c r="D7239" s="6" t="s">
        <v>322</v>
      </c>
      <c r="E7239" s="6" t="s">
        <v>369</v>
      </c>
      <c r="F7239" s="6" t="str">
        <f>IF($M7239="PADD I","PADD 1",IF($M7239="PADD II","PADD 2",IF($M7239="PADD III","PADD 3",IF($M7239="PADD IV","PADD 4",IF($M7239="PADD V","PADD 5","")))))</f>
        <v>PADD 2</v>
      </c>
      <c r="G7239" s="6">
        <f>IF(AND($H7239="ATMOS DISTILLATION",ISNUMBER(SEARCH("VPS",$I7239))=FALSE,LEFT($I7239,6)&lt;&gt;"VACUUM"),"CDU",IF($H7239="FLUID CAT CRACKING","FCC",IF(OR($H7239="HYDROCRACKING",$H7239="RESID_HYDROCRACKING"),"Hydrocracker",IF($H7239="REFORMING","Reformer",""))))</f>
        <v/>
      </c>
      <c r="H7239" s="6" t="s">
        <v>378</v>
      </c>
      <c r="I7239" s="6" t="s">
        <v>419</v>
      </c>
      <c r="J7239" s="6" t="s">
        <v>349</v>
      </c>
      <c r="K7239" s="10">
        <v>7.35</v>
      </c>
      <c r="L7239" s="10">
        <v>105</v>
      </c>
      <c r="M7239" s="6" t="s">
        <v>375</v>
      </c>
    </row>
    <row r="7240" spans="1:13">
      <c r="A7240" s="6">
        <v>2026</v>
      </c>
      <c r="B7240" s="6">
        <v>2</v>
      </c>
      <c r="C7240" s="6" t="s">
        <v>60</v>
      </c>
      <c r="D7240" s="6" t="s">
        <v>51</v>
      </c>
      <c r="E7240" s="6" t="s">
        <v>391</v>
      </c>
      <c r="F7240" s="6" t="str">
        <f>IF($M7240="PADD I","PADD 1",IF($M7240="PADD II","PADD 2",IF($M7240="PADD III","PADD 3",IF($M7240="PADD IV","PADD 4",IF($M7240="PADD V","PADD 5","")))))</f>
        <v>PADD 5</v>
      </c>
      <c r="G7240" s="6">
        <f>IF(AND($H7240="ATMOS DISTILLATION",ISNUMBER(SEARCH("VPS",$I7240))=FALSE,LEFT($I7240,6)&lt;&gt;"VACUUM"),"CDU",IF($H7240="FLUID CAT CRACKING","FCC",IF(OR($H7240="HYDROCRACKING",$H7240="RESID_HYDROCRACKING"),"Hydrocracker",IF($H7240="REFORMING","Reformer",""))))</f>
        <v/>
      </c>
      <c r="H7240" s="6" t="s">
        <v>43</v>
      </c>
      <c r="I7240" s="6" t="s">
        <v>1338</v>
      </c>
      <c r="J7240" s="6" t="s">
        <v>345</v>
      </c>
      <c r="K7240" s="10">
        <v>7</v>
      </c>
      <c r="L7240" s="10">
        <v>7</v>
      </c>
      <c r="M7240" s="6" t="s">
        <v>386</v>
      </c>
    </row>
    <row r="7241" spans="1:13">
      <c r="A7241" s="6">
        <v>2026</v>
      </c>
      <c r="B7241" s="6">
        <v>2</v>
      </c>
      <c r="C7241" s="6" t="s">
        <v>60</v>
      </c>
      <c r="D7241" s="6" t="s">
        <v>329</v>
      </c>
      <c r="E7241" s="6" t="s">
        <v>427</v>
      </c>
      <c r="F7241" s="6" t="str">
        <f>IF($M7241="PADD I","PADD 1",IF($M7241="PADD II","PADD 2",IF($M7241="PADD III","PADD 3",IF($M7241="PADD IV","PADD 4",IF($M7241="PADD V","PADD 5","")))))</f>
        <v>PADD 3</v>
      </c>
      <c r="G7241" s="6">
        <f>IF(AND($H7241="ATMOS DISTILLATION",ISNUMBER(SEARCH("VPS",$I7241))=FALSE,LEFT($I7241,6)&lt;&gt;"VACUUM"),"CDU",IF($H7241="FLUID CAT CRACKING","FCC",IF(OR($H7241="HYDROCRACKING",$H7241="RESID_HYDROCRACKING"),"Hydrocracker",IF($H7241="REFORMING","Reformer",""))))</f>
        <v/>
      </c>
      <c r="H7241" s="6" t="s">
        <v>460</v>
      </c>
      <c r="I7241" s="6" t="s">
        <v>1075</v>
      </c>
      <c r="J7241" s="6" t="s">
        <v>345</v>
      </c>
      <c r="K7241" s="10">
        <v>6.96</v>
      </c>
      <c r="L7241" s="10">
        <v>24</v>
      </c>
      <c r="M7241" s="6" t="s">
        <v>371</v>
      </c>
    </row>
    <row r="7242" spans="1:13">
      <c r="A7242" s="6">
        <v>2026</v>
      </c>
      <c r="B7242" s="6">
        <v>2</v>
      </c>
      <c r="C7242" s="6" t="s">
        <v>60</v>
      </c>
      <c r="D7242" s="6" t="s">
        <v>615</v>
      </c>
      <c r="E7242" s="6" t="s">
        <v>405</v>
      </c>
      <c r="F7242" s="6" t="str">
        <f>IF($M7242="PADD I","PADD 1",IF($M7242="PADD II","PADD 2",IF($M7242="PADD III","PADD 3",IF($M7242="PADD IV","PADD 4",IF($M7242="PADD V","PADD 5","")))))</f>
        <v>PADD 5</v>
      </c>
      <c r="G7242" s="6">
        <f>IF(AND($H7242="ATMOS DISTILLATION",ISNUMBER(SEARCH("VPS",$I7242))=FALSE,LEFT($I7242,6)&lt;&gt;"VACUUM"),"CDU",IF($H7242="FLUID CAT CRACKING","FCC",IF(OR($H7242="HYDROCRACKING",$H7242="RESID_HYDROCRACKING"),"Hydrocracker",IF($H7242="REFORMING","Reformer",""))))</f>
        <v/>
      </c>
      <c r="H7242" s="6" t="s">
        <v>43</v>
      </c>
      <c r="I7242" s="6" t="s">
        <v>1309</v>
      </c>
      <c r="J7242" s="6" t="s">
        <v>349</v>
      </c>
      <c r="K7242" s="10">
        <v>6.8904</v>
      </c>
      <c r="L7242" s="10">
        <v>19.14</v>
      </c>
      <c r="M7242" s="6" t="s">
        <v>386</v>
      </c>
    </row>
    <row r="7243" spans="1:13">
      <c r="A7243" s="6">
        <v>2026</v>
      </c>
      <c r="B7243" s="6">
        <v>2</v>
      </c>
      <c r="C7243" s="6" t="s">
        <v>60</v>
      </c>
      <c r="D7243" s="6" t="s">
        <v>321</v>
      </c>
      <c r="E7243" s="6" t="s">
        <v>381</v>
      </c>
      <c r="F7243" s="6" t="str">
        <f>IF($M7243="PADD I","PADD 1",IF($M7243="PADD II","PADD 2",IF($M7243="PADD III","PADD 3",IF($M7243="PADD IV","PADD 4",IF($M7243="PADD V","PADD 5","")))))</f>
        <v>PADD 2</v>
      </c>
      <c r="G7243" s="6" t="str">
        <f>IF(AND($H7243="ATMOS DISTILLATION",ISNUMBER(SEARCH("VPS",$I7243))=FALSE,LEFT($I7243,6)&lt;&gt;"VACUUM"),"CDU",IF($H7243="FLUID CAT CRACKING","FCC",IF(OR($H7243="HYDROCRACKING",$H7243="RESID_HYDROCRACKING"),"Hydrocracker",IF($H7243="REFORMING","Reformer",""))))</f>
        <v>Reformer</v>
      </c>
      <c r="H7243" s="6" t="s">
        <v>421</v>
      </c>
      <c r="I7243" s="6" t="s">
        <v>228</v>
      </c>
      <c r="J7243" s="6" t="s">
        <v>345</v>
      </c>
      <c r="K7243" s="10">
        <v>6.5</v>
      </c>
      <c r="L7243" s="10">
        <v>13</v>
      </c>
      <c r="M7243" s="6" t="s">
        <v>375</v>
      </c>
    </row>
    <row r="7244" spans="1:13">
      <c r="A7244" s="6">
        <v>2026</v>
      </c>
      <c r="B7244" s="6">
        <v>2</v>
      </c>
      <c r="C7244" s="6" t="s">
        <v>60</v>
      </c>
      <c r="D7244" s="6" t="s">
        <v>329</v>
      </c>
      <c r="E7244" s="6" t="s">
        <v>427</v>
      </c>
      <c r="F7244" s="6" t="str">
        <f>IF($M7244="PADD I","PADD 1",IF($M7244="PADD II","PADD 2",IF($M7244="PADD III","PADD 3",IF($M7244="PADD IV","PADD 4",IF($M7244="PADD V","PADD 5","")))))</f>
        <v>PADD 3</v>
      </c>
      <c r="G7244" s="6">
        <f>IF(AND($H7244="ATMOS DISTILLATION",ISNUMBER(SEARCH("VPS",$I7244))=FALSE,LEFT($I7244,6)&lt;&gt;"VACUUM"),"CDU",IF($H7244="FLUID CAT CRACKING","FCC",IF(OR($H7244="HYDROCRACKING",$H7244="RESID_HYDROCRACKING"),"Hydrocracker",IF($H7244="REFORMING","Reformer",""))))</f>
        <v/>
      </c>
      <c r="H7244" s="6" t="s">
        <v>43</v>
      </c>
      <c r="I7244" s="6" t="s">
        <v>1208</v>
      </c>
      <c r="J7244" s="6" t="s">
        <v>345</v>
      </c>
      <c r="K7244" s="10">
        <v>6.3</v>
      </c>
      <c r="L7244" s="10">
        <v>45</v>
      </c>
      <c r="M7244" s="6" t="s">
        <v>371</v>
      </c>
    </row>
    <row r="7245" spans="1:13">
      <c r="A7245" s="6">
        <v>2026</v>
      </c>
      <c r="B7245" s="6">
        <v>2</v>
      </c>
      <c r="C7245" s="6" t="s">
        <v>60</v>
      </c>
      <c r="D7245" s="6" t="s">
        <v>887</v>
      </c>
      <c r="E7245" s="6" t="s">
        <v>405</v>
      </c>
      <c r="F7245" s="6" t="str">
        <f>IF($M7245="PADD I","PADD 1",IF($M7245="PADD II","PADD 2",IF($M7245="PADD III","PADD 3",IF($M7245="PADD IV","PADD 4",IF($M7245="PADD V","PADD 5","")))))</f>
        <v>PADD 3</v>
      </c>
      <c r="G7245" s="6" t="str">
        <f>IF(AND($H7245="ATMOS DISTILLATION",ISNUMBER(SEARCH("VPS",$I7245))=FALSE,LEFT($I7245,6)&lt;&gt;"VACUUM"),"CDU",IF($H7245="FLUID CAT CRACKING","FCC",IF(OR($H7245="HYDROCRACKING",$H7245="RESID_HYDROCRACKING"),"Hydrocracker",IF($H7245="REFORMING","Reformer",""))))</f>
        <v>Hydrocracker</v>
      </c>
      <c r="H7245" s="6" t="s">
        <v>444</v>
      </c>
      <c r="I7245" s="6" t="s">
        <v>1022</v>
      </c>
      <c r="J7245" s="6" t="s">
        <v>345</v>
      </c>
      <c r="K7245" s="10">
        <v>6.3</v>
      </c>
      <c r="L7245" s="10">
        <v>30</v>
      </c>
      <c r="M7245" s="6" t="s">
        <v>371</v>
      </c>
    </row>
    <row r="7246" spans="1:13">
      <c r="A7246" s="6">
        <v>2026</v>
      </c>
      <c r="B7246" s="6">
        <v>2</v>
      </c>
      <c r="C7246" s="6" t="s">
        <v>60</v>
      </c>
      <c r="D7246" s="6" t="s">
        <v>51</v>
      </c>
      <c r="E7246" s="6" t="s">
        <v>391</v>
      </c>
      <c r="F7246" s="6" t="str">
        <f>IF($M7246="PADD I","PADD 1",IF($M7246="PADD II","PADD 2",IF($M7246="PADD III","PADD 3",IF($M7246="PADD IV","PADD 4",IF($M7246="PADD V","PADD 5","")))))</f>
        <v>PADD 5</v>
      </c>
      <c r="G7246" s="6">
        <f>IF(AND($H7246="ATMOS DISTILLATION",ISNUMBER(SEARCH("VPS",$I7246))=FALSE,LEFT($I7246,6)&lt;&gt;"VACUUM"),"CDU",IF($H7246="FLUID CAT CRACKING","FCC",IF(OR($H7246="HYDROCRACKING",$H7246="RESID_HYDROCRACKING"),"Hydrocracker",IF($H7246="REFORMING","Reformer",""))))</f>
        <v/>
      </c>
      <c r="H7246" s="6" t="s">
        <v>43</v>
      </c>
      <c r="I7246" s="6" t="s">
        <v>859</v>
      </c>
      <c r="J7246" s="6" t="s">
        <v>345</v>
      </c>
      <c r="K7246" s="10">
        <v>6.3</v>
      </c>
      <c r="L7246" s="10">
        <v>35</v>
      </c>
      <c r="M7246" s="6" t="s">
        <v>386</v>
      </c>
    </row>
    <row r="7247" spans="1:13">
      <c r="A7247" s="6">
        <v>2026</v>
      </c>
      <c r="B7247" s="6">
        <v>2</v>
      </c>
      <c r="C7247" s="6" t="s">
        <v>60</v>
      </c>
      <c r="D7247" s="6" t="s">
        <v>490</v>
      </c>
      <c r="E7247" s="6" t="s">
        <v>491</v>
      </c>
      <c r="F7247" s="6" t="str">
        <f>IF($M7247="PADD I","PADD 1",IF($M7247="PADD II","PADD 2",IF($M7247="PADD III","PADD 3",IF($M7247="PADD IV","PADD 4",IF($M7247="PADD V","PADD 5","")))))</f>
        <v>PADD 3</v>
      </c>
      <c r="G7247" s="6" t="str">
        <f>IF(AND($H7247="ATMOS DISTILLATION",ISNUMBER(SEARCH("VPS",$I7247))=FALSE,LEFT($I7247,6)&lt;&gt;"VACUUM"),"CDU",IF($H7247="FLUID CAT CRACKING","FCC",IF(OR($H7247="HYDROCRACKING",$H7247="RESID_HYDROCRACKING"),"Hydrocracker",IF($H7247="REFORMING","Reformer",""))))</f>
        <v>FCC</v>
      </c>
      <c r="H7247" s="6" t="s">
        <v>376</v>
      </c>
      <c r="I7247" s="6" t="s">
        <v>472</v>
      </c>
      <c r="J7247" s="6" t="s">
        <v>345</v>
      </c>
      <c r="K7247" s="10">
        <v>6.16</v>
      </c>
      <c r="L7247" s="10">
        <v>88</v>
      </c>
      <c r="M7247" s="6" t="s">
        <v>371</v>
      </c>
    </row>
    <row r="7248" spans="1:13">
      <c r="A7248" s="6">
        <v>2026</v>
      </c>
      <c r="B7248" s="6">
        <v>2</v>
      </c>
      <c r="C7248" s="6" t="s">
        <v>60</v>
      </c>
      <c r="D7248" s="6" t="s">
        <v>1060</v>
      </c>
      <c r="E7248" s="6" t="s">
        <v>1039</v>
      </c>
      <c r="F7248" s="6" t="str">
        <f>IF($M7248="PADD I","PADD 1",IF($M7248="PADD II","PADD 2",IF($M7248="PADD III","PADD 3",IF($M7248="PADD IV","PADD 4",IF($M7248="PADD V","PADD 5","")))))</f>
        <v>PADD 2</v>
      </c>
      <c r="G7248" s="6">
        <f>IF(AND($H7248="ATMOS DISTILLATION",ISNUMBER(SEARCH("VPS",$I7248))=FALSE,LEFT($I7248,6)&lt;&gt;"VACUUM"),"CDU",IF($H7248="FLUID CAT CRACKING","FCC",IF(OR($H7248="HYDROCRACKING",$H7248="RESID_HYDROCRACKING"),"Hydrocracker",IF($H7248="REFORMING","Reformer",""))))</f>
        <v/>
      </c>
      <c r="H7248" s="6" t="s">
        <v>43</v>
      </c>
      <c r="I7248" s="6" t="s">
        <v>1186</v>
      </c>
      <c r="J7248" s="6" t="s">
        <v>345</v>
      </c>
      <c r="K7248" s="10">
        <v>5.88</v>
      </c>
      <c r="L7248" s="10">
        <v>42</v>
      </c>
      <c r="M7248" s="6" t="s">
        <v>375</v>
      </c>
    </row>
    <row r="7249" spans="1:13">
      <c r="A7249" s="6">
        <v>2026</v>
      </c>
      <c r="B7249" s="6">
        <v>2</v>
      </c>
      <c r="C7249" s="6" t="s">
        <v>60</v>
      </c>
      <c r="D7249" s="6" t="s">
        <v>739</v>
      </c>
      <c r="E7249" s="6" t="s">
        <v>405</v>
      </c>
      <c r="F7249" s="6" t="str">
        <f>IF($M7249="PADD I","PADD 1",IF($M7249="PADD II","PADD 2",IF($M7249="PADD III","PADD 3",IF($M7249="PADD IV","PADD 4",IF($M7249="PADD V","PADD 5","")))))</f>
        <v>PADD 2</v>
      </c>
      <c r="G7249" s="6" t="str">
        <f>IF(AND($H7249="ATMOS DISTILLATION",ISNUMBER(SEARCH("VPS",$I7249))=FALSE,LEFT($I7249,6)&lt;&gt;"VACUUM"),"CDU",IF($H7249="FLUID CAT CRACKING","FCC",IF(OR($H7249="HYDROCRACKING",$H7249="RESID_HYDROCRACKING"),"Hydrocracker",IF($H7249="REFORMING","Reformer",""))))</f>
        <v>Hydrocracker</v>
      </c>
      <c r="H7249" s="6" t="s">
        <v>444</v>
      </c>
      <c r="I7249" s="6" t="s">
        <v>795</v>
      </c>
      <c r="J7249" s="6" t="s">
        <v>345</v>
      </c>
      <c r="K7249" s="10">
        <v>5.52</v>
      </c>
      <c r="L7249" s="10">
        <v>12</v>
      </c>
      <c r="M7249" s="6" t="s">
        <v>375</v>
      </c>
    </row>
    <row r="7250" spans="1:13">
      <c r="A7250" s="6">
        <v>2026</v>
      </c>
      <c r="B7250" s="6">
        <v>2</v>
      </c>
      <c r="C7250" s="6" t="s">
        <v>60</v>
      </c>
      <c r="D7250" s="6" t="s">
        <v>511</v>
      </c>
      <c r="E7250" s="6" t="s">
        <v>405</v>
      </c>
      <c r="F7250" s="6" t="str">
        <f>IF($M7250="PADD I","PADD 1",IF($M7250="PADD II","PADD 2",IF($M7250="PADD III","PADD 3",IF($M7250="PADD IV","PADD 4",IF($M7250="PADD V","PADD 5","")))))</f>
        <v>PADD 3</v>
      </c>
      <c r="G7250" s="6">
        <f>IF(AND($H7250="ATMOS DISTILLATION",ISNUMBER(SEARCH("VPS",$I7250))=FALSE,LEFT($I7250,6)&lt;&gt;"VACUUM"),"CDU",IF($H7250="FLUID CAT CRACKING","FCC",IF(OR($H7250="HYDROCRACKING",$H7250="RESID_HYDROCRACKING"),"Hydrocracker",IF($H7250="REFORMING","Reformer",""))))</f>
        <v/>
      </c>
      <c r="H7250" s="6" t="s">
        <v>43</v>
      </c>
      <c r="I7250" s="6" t="s">
        <v>655</v>
      </c>
      <c r="J7250" s="6" t="s">
        <v>345</v>
      </c>
      <c r="K7250" s="10">
        <v>5.5</v>
      </c>
      <c r="L7250" s="10">
        <v>50</v>
      </c>
      <c r="M7250" s="6" t="s">
        <v>371</v>
      </c>
    </row>
    <row r="7251" spans="1:13">
      <c r="A7251" s="6">
        <v>2026</v>
      </c>
      <c r="B7251" s="6">
        <v>2</v>
      </c>
      <c r="C7251" s="6" t="s">
        <v>60</v>
      </c>
      <c r="D7251" s="6" t="s">
        <v>511</v>
      </c>
      <c r="E7251" s="6" t="s">
        <v>405</v>
      </c>
      <c r="F7251" s="6" t="str">
        <f>IF($M7251="PADD I","PADD 1",IF($M7251="PADD II","PADD 2",IF($M7251="PADD III","PADD 3",IF($M7251="PADD IV","PADD 4",IF($M7251="PADD V","PADD 5","")))))</f>
        <v>PADD 3</v>
      </c>
      <c r="G7251" s="6" t="str">
        <f>IF(AND($H7251="ATMOS DISTILLATION",ISNUMBER(SEARCH("VPS",$I7251))=FALSE,LEFT($I7251,6)&lt;&gt;"VACUUM"),"CDU",IF($H7251="FLUID CAT CRACKING","FCC",IF(OR($H7251="HYDROCRACKING",$H7251="RESID_HYDROCRACKING"),"Hydrocracker",IF($H7251="REFORMING","Reformer",""))))</f>
        <v>Hydrocracker</v>
      </c>
      <c r="H7251" s="6" t="s">
        <v>444</v>
      </c>
      <c r="I7251" s="6" t="s">
        <v>14</v>
      </c>
      <c r="J7251" s="6" t="s">
        <v>345</v>
      </c>
      <c r="K7251" s="10">
        <v>5.5</v>
      </c>
      <c r="L7251" s="10">
        <v>50</v>
      </c>
      <c r="M7251" s="6" t="s">
        <v>371</v>
      </c>
    </row>
    <row r="7252" spans="1:13">
      <c r="A7252" s="6">
        <v>2026</v>
      </c>
      <c r="B7252" s="6">
        <v>2</v>
      </c>
      <c r="C7252" s="6" t="s">
        <v>60</v>
      </c>
      <c r="D7252" s="6" t="s">
        <v>788</v>
      </c>
      <c r="E7252" s="6" t="s">
        <v>405</v>
      </c>
      <c r="F7252" s="6" t="str">
        <f>IF($M7252="PADD I","PADD 1",IF($M7252="PADD II","PADD 2",IF($M7252="PADD III","PADD 3",IF($M7252="PADD IV","PADD 4",IF($M7252="PADD V","PADD 5","")))))</f>
        <v>PADD 3</v>
      </c>
      <c r="G7252" s="6">
        <f>IF(AND($H7252="ATMOS DISTILLATION",ISNUMBER(SEARCH("VPS",$I7252))=FALSE,LEFT($I7252,6)&lt;&gt;"VACUUM"),"CDU",IF($H7252="FLUID CAT CRACKING","FCC",IF(OR($H7252="HYDROCRACKING",$H7252="RESID_HYDROCRACKING"),"Hydrocracker",IF($H7252="REFORMING","Reformer",""))))</f>
        <v/>
      </c>
      <c r="H7252" s="6" t="s">
        <v>378</v>
      </c>
      <c r="I7252" s="6" t="s">
        <v>812</v>
      </c>
      <c r="J7252" s="6" t="s">
        <v>345</v>
      </c>
      <c r="K7252" s="10">
        <v>5.5</v>
      </c>
      <c r="L7252" s="10">
        <v>50</v>
      </c>
      <c r="M7252" s="6" t="s">
        <v>371</v>
      </c>
    </row>
    <row r="7253" spans="1:13">
      <c r="A7253" s="6">
        <v>2026</v>
      </c>
      <c r="B7253" s="6">
        <v>2</v>
      </c>
      <c r="C7253" s="6" t="s">
        <v>60</v>
      </c>
      <c r="D7253" s="6" t="s">
        <v>1158</v>
      </c>
      <c r="E7253" s="6" t="s">
        <v>724</v>
      </c>
      <c r="F7253" s="6" t="str">
        <f>IF($M7253="PADD I","PADD 1",IF($M7253="PADD II","PADD 2",IF($M7253="PADD III","PADD 3",IF($M7253="PADD IV","PADD 4",IF($M7253="PADD V","PADD 5","")))))</f>
        <v>PADD 5</v>
      </c>
      <c r="G7253" s="6">
        <f>IF(AND($H7253="ATMOS DISTILLATION",ISNUMBER(SEARCH("VPS",$I7253))=FALSE,LEFT($I7253,6)&lt;&gt;"VACUUM"),"CDU",IF($H7253="FLUID CAT CRACKING","FCC",IF(OR($H7253="HYDROCRACKING",$H7253="RESID_HYDROCRACKING"),"Hydrocracker",IF($H7253="REFORMING","Reformer",""))))</f>
        <v/>
      </c>
      <c r="H7253" s="6" t="s">
        <v>43</v>
      </c>
      <c r="I7253" s="6" t="s">
        <v>1159</v>
      </c>
      <c r="J7253" s="6" t="s">
        <v>349</v>
      </c>
      <c r="K7253" s="10">
        <v>5.44</v>
      </c>
      <c r="L7253" s="10">
        <v>8.5</v>
      </c>
      <c r="M7253" s="6" t="s">
        <v>386</v>
      </c>
    </row>
    <row r="7254" spans="1:13">
      <c r="A7254" s="6">
        <v>2026</v>
      </c>
      <c r="B7254" s="6">
        <v>2</v>
      </c>
      <c r="C7254" s="6" t="s">
        <v>60</v>
      </c>
      <c r="D7254" s="6" t="s">
        <v>662</v>
      </c>
      <c r="E7254" s="6" t="s">
        <v>552</v>
      </c>
      <c r="F7254" s="6" t="str">
        <f>IF($M7254="PADD I","PADD 1",IF($M7254="PADD II","PADD 2",IF($M7254="PADD III","PADD 3",IF($M7254="PADD IV","PADD 4",IF($M7254="PADD V","PADD 5","")))))</f>
        <v>PADD 3</v>
      </c>
      <c r="G7254" s="6">
        <f>IF(AND($H7254="ATMOS DISTILLATION",ISNUMBER(SEARCH("VPS",$I7254))=FALSE,LEFT($I7254,6)&lt;&gt;"VACUUM"),"CDU",IF($H7254="FLUID CAT CRACKING","FCC",IF(OR($H7254="HYDROCRACKING",$H7254="RESID_HYDROCRACKING"),"Hydrocracker",IF($H7254="REFORMING","Reformer",""))))</f>
        <v/>
      </c>
      <c r="H7254" s="6" t="s">
        <v>43</v>
      </c>
      <c r="I7254" s="6" t="s">
        <v>844</v>
      </c>
      <c r="J7254" s="6" t="s">
        <v>349</v>
      </c>
      <c r="K7254" s="10">
        <v>5.34</v>
      </c>
      <c r="L7254" s="10">
        <v>6</v>
      </c>
      <c r="M7254" s="6" t="s">
        <v>371</v>
      </c>
    </row>
    <row r="7255" spans="1:13">
      <c r="A7255" s="6">
        <v>2026</v>
      </c>
      <c r="B7255" s="6">
        <v>2</v>
      </c>
      <c r="C7255" s="6" t="s">
        <v>60</v>
      </c>
      <c r="D7255" s="6" t="s">
        <v>1158</v>
      </c>
      <c r="E7255" s="6" t="s">
        <v>724</v>
      </c>
      <c r="F7255" s="6" t="str">
        <f>IF($M7255="PADD I","PADD 1",IF($M7255="PADD II","PADD 2",IF($M7255="PADD III","PADD 3",IF($M7255="PADD IV","PADD 4",IF($M7255="PADD V","PADD 5","")))))</f>
        <v>PADD 5</v>
      </c>
      <c r="G7255" s="6">
        <f>IF(AND($H7255="ATMOS DISTILLATION",ISNUMBER(SEARCH("VPS",$I7255))=FALSE,LEFT($I7255,6)&lt;&gt;"VACUUM"),"CDU",IF($H7255="FLUID CAT CRACKING","FCC",IF(OR($H7255="HYDROCRACKING",$H7255="RESID_HYDROCRACKING"),"Hydrocracker",IF($H7255="REFORMING","Reformer",""))))</f>
        <v/>
      </c>
      <c r="H7255" s="6" t="s">
        <v>523</v>
      </c>
      <c r="I7255" s="6" t="s">
        <v>524</v>
      </c>
      <c r="J7255" s="6" t="s">
        <v>349</v>
      </c>
      <c r="K7255" s="10">
        <v>5.12</v>
      </c>
      <c r="L7255" s="10">
        <v>8</v>
      </c>
      <c r="M7255" s="6" t="s">
        <v>386</v>
      </c>
    </row>
    <row r="7256" spans="1:13">
      <c r="A7256" s="6">
        <v>2026</v>
      </c>
      <c r="B7256" s="6">
        <v>2</v>
      </c>
      <c r="C7256" s="6" t="s">
        <v>60</v>
      </c>
      <c r="D7256" s="6" t="s">
        <v>851</v>
      </c>
      <c r="E7256" s="6" t="s">
        <v>852</v>
      </c>
      <c r="F7256" s="6" t="str">
        <f>IF($M7256="PADD I","PADD 1",IF($M7256="PADD II","PADD 2",IF($M7256="PADD III","PADD 3",IF($M7256="PADD IV","PADD 4",IF($M7256="PADD V","PADD 5","")))))</f>
        <v>PADD 3</v>
      </c>
      <c r="G7256" s="6" t="str">
        <f>IF(AND($H7256="ATMOS DISTILLATION",ISNUMBER(SEARCH("VPS",$I7256))=FALSE,LEFT($I7256,6)&lt;&gt;"VACUUM"),"CDU",IF($H7256="FLUID CAT CRACKING","FCC",IF(OR($H7256="HYDROCRACKING",$H7256="RESID_HYDROCRACKING"),"Hydrocracker",IF($H7256="REFORMING","Reformer",""))))</f>
        <v>CDU</v>
      </c>
      <c r="H7256" s="6" t="s">
        <v>38</v>
      </c>
      <c r="I7256" s="6" t="s">
        <v>854</v>
      </c>
      <c r="J7256" s="6" t="s">
        <v>345</v>
      </c>
      <c r="K7256" s="10">
        <v>5.11</v>
      </c>
      <c r="L7256" s="10">
        <v>73</v>
      </c>
      <c r="M7256" s="6" t="s">
        <v>371</v>
      </c>
    </row>
    <row r="7257" spans="1:13">
      <c r="A7257" s="6">
        <v>2026</v>
      </c>
      <c r="B7257" s="6">
        <v>2</v>
      </c>
      <c r="C7257" s="6" t="s">
        <v>60</v>
      </c>
      <c r="D7257" s="6" t="s">
        <v>468</v>
      </c>
      <c r="E7257" s="6" t="s">
        <v>369</v>
      </c>
      <c r="F7257" s="6" t="str">
        <f>IF($M7257="PADD I","PADD 1",IF($M7257="PADD II","PADD 2",IF($M7257="PADD III","PADD 3",IF($M7257="PADD IV","PADD 4",IF($M7257="PADD V","PADD 5","")))))</f>
        <v>PADD 3</v>
      </c>
      <c r="G7257" s="6">
        <f>IF(AND($H7257="ATMOS DISTILLATION",ISNUMBER(SEARCH("VPS",$I7257))=FALSE,LEFT($I7257,6)&lt;&gt;"VACUUM"),"CDU",IF($H7257="FLUID CAT CRACKING","FCC",IF(OR($H7257="HYDROCRACKING",$H7257="RESID_HYDROCRACKING"),"Hydrocracker",IF($H7257="REFORMING","Reformer",""))))</f>
        <v/>
      </c>
      <c r="H7257" s="6" t="s">
        <v>460</v>
      </c>
      <c r="I7257" s="6" t="s">
        <v>890</v>
      </c>
      <c r="J7257" s="6" t="s">
        <v>345</v>
      </c>
      <c r="K7257" s="10">
        <v>5.04</v>
      </c>
      <c r="L7257" s="10">
        <v>14</v>
      </c>
      <c r="M7257" s="6" t="s">
        <v>371</v>
      </c>
    </row>
    <row r="7258" spans="1:13">
      <c r="A7258" s="6">
        <v>2026</v>
      </c>
      <c r="B7258" s="6">
        <v>2</v>
      </c>
      <c r="C7258" s="6" t="s">
        <v>60</v>
      </c>
      <c r="D7258" s="6" t="s">
        <v>1289</v>
      </c>
      <c r="E7258" s="6" t="s">
        <v>1290</v>
      </c>
      <c r="F7258" s="6" t="str">
        <f>IF($M7258="PADD I","PADD 1",IF($M7258="PADD II","PADD 2",IF($M7258="PADD III","PADD 3",IF($M7258="PADD IV","PADD 4",IF($M7258="PADD V","PADD 5","")))))</f>
        <v>PADD 5</v>
      </c>
      <c r="G7258" s="6">
        <f>IF(AND($H7258="ATMOS DISTILLATION",ISNUMBER(SEARCH("VPS",$I7258))=FALSE,LEFT($I7258,6)&lt;&gt;"VACUUM"),"CDU",IF($H7258="FLUID CAT CRACKING","FCC",IF(OR($H7258="HYDROCRACKING",$H7258="RESID_HYDROCRACKING"),"Hydrocracker",IF($H7258="REFORMING","Reformer",""))))</f>
        <v/>
      </c>
      <c r="H7258" s="6" t="s">
        <v>378</v>
      </c>
      <c r="I7258" s="6" t="s">
        <v>431</v>
      </c>
      <c r="J7258" s="6" t="s">
        <v>349</v>
      </c>
      <c r="K7258" s="10">
        <v>5.04</v>
      </c>
      <c r="L7258" s="10">
        <v>14</v>
      </c>
      <c r="M7258" s="6" t="s">
        <v>386</v>
      </c>
    </row>
    <row r="7259" spans="1:13">
      <c r="A7259" s="6">
        <v>2026</v>
      </c>
      <c r="B7259" s="6">
        <v>2</v>
      </c>
      <c r="C7259" s="6" t="s">
        <v>60</v>
      </c>
      <c r="D7259" s="6" t="s">
        <v>1060</v>
      </c>
      <c r="E7259" s="6" t="s">
        <v>1039</v>
      </c>
      <c r="F7259" s="6" t="str">
        <f>IF($M7259="PADD I","PADD 1",IF($M7259="PADD II","PADD 2",IF($M7259="PADD III","PADD 3",IF($M7259="PADD IV","PADD 4",IF($M7259="PADD V","PADD 5","")))))</f>
        <v>PADD 2</v>
      </c>
      <c r="G7259" s="6">
        <f>IF(AND($H7259="ATMOS DISTILLATION",ISNUMBER(SEARCH("VPS",$I7259))=FALSE,LEFT($I7259,6)&lt;&gt;"VACUUM"),"CDU",IF($H7259="FLUID CAT CRACKING","FCC",IF(OR($H7259="HYDROCRACKING",$H7259="RESID_HYDROCRACKING"),"Hydrocracker",IF($H7259="REFORMING","Reformer",""))))</f>
        <v/>
      </c>
      <c r="H7259" s="6" t="s">
        <v>43</v>
      </c>
      <c r="I7259" s="6" t="s">
        <v>1187</v>
      </c>
      <c r="J7259" s="6" t="s">
        <v>345</v>
      </c>
      <c r="K7259" s="10">
        <v>4.9</v>
      </c>
      <c r="L7259" s="10">
        <v>35</v>
      </c>
      <c r="M7259" s="6" t="s">
        <v>375</v>
      </c>
    </row>
    <row r="7260" spans="1:13">
      <c r="A7260" s="6">
        <v>2026</v>
      </c>
      <c r="B7260" s="6">
        <v>2</v>
      </c>
      <c r="C7260" s="6" t="s">
        <v>60</v>
      </c>
      <c r="D7260" s="6" t="s">
        <v>1038</v>
      </c>
      <c r="E7260" s="6" t="s">
        <v>1039</v>
      </c>
      <c r="F7260" s="6" t="str">
        <f>IF($M7260="PADD I","PADD 1",IF($M7260="PADD II","PADD 2",IF($M7260="PADD III","PADD 3",IF($M7260="PADD IV","PADD 4",IF($M7260="PADD V","PADD 5","")))))</f>
        <v>PADD 2</v>
      </c>
      <c r="G7260" s="6" t="str">
        <f>IF(AND($H7260="ATMOS DISTILLATION",ISNUMBER(SEARCH("VPS",$I7260))=FALSE,LEFT($I7260,6)&lt;&gt;"VACUUM"),"CDU",IF($H7260="FLUID CAT CRACKING","FCC",IF(OR($H7260="HYDROCRACKING",$H7260="RESID_HYDROCRACKING"),"Hydrocracker",IF($H7260="REFORMING","Reformer",""))))</f>
        <v>CDU</v>
      </c>
      <c r="H7260" s="6" t="s">
        <v>38</v>
      </c>
      <c r="I7260" s="6" t="s">
        <v>917</v>
      </c>
      <c r="J7260" s="6" t="s">
        <v>345</v>
      </c>
      <c r="K7260" s="10">
        <v>4.9</v>
      </c>
      <c r="L7260" s="10">
        <v>35</v>
      </c>
      <c r="M7260" s="6" t="s">
        <v>375</v>
      </c>
    </row>
    <row r="7261" spans="1:13">
      <c r="A7261" s="6">
        <v>2026</v>
      </c>
      <c r="B7261" s="6">
        <v>2</v>
      </c>
      <c r="C7261" s="6" t="s">
        <v>60</v>
      </c>
      <c r="D7261" s="6" t="s">
        <v>1060</v>
      </c>
      <c r="E7261" s="6" t="s">
        <v>1039</v>
      </c>
      <c r="F7261" s="6" t="str">
        <f>IF($M7261="PADD I","PADD 1",IF($M7261="PADD II","PADD 2",IF($M7261="PADD III","PADD 3",IF($M7261="PADD IV","PADD 4",IF($M7261="PADD V","PADD 5","")))))</f>
        <v>PADD 2</v>
      </c>
      <c r="G7261" s="6">
        <f>IF(AND($H7261="ATMOS DISTILLATION",ISNUMBER(SEARCH("VPS",$I7261))=FALSE,LEFT($I7261,6)&lt;&gt;"VACUUM"),"CDU",IF($H7261="FLUID CAT CRACKING","FCC",IF(OR($H7261="HYDROCRACKING",$H7261="RESID_HYDROCRACKING"),"Hydrocracker",IF($H7261="REFORMING","Reformer",""))))</f>
        <v/>
      </c>
      <c r="H7261" s="6" t="s">
        <v>43</v>
      </c>
      <c r="I7261" s="6" t="s">
        <v>1187</v>
      </c>
      <c r="J7261" s="6" t="s">
        <v>349</v>
      </c>
      <c r="K7261" s="10">
        <v>4.9</v>
      </c>
      <c r="L7261" s="10">
        <v>35</v>
      </c>
      <c r="M7261" s="6" t="s">
        <v>375</v>
      </c>
    </row>
    <row r="7262" spans="1:13">
      <c r="A7262" s="6">
        <v>2026</v>
      </c>
      <c r="B7262" s="6">
        <v>2</v>
      </c>
      <c r="C7262" s="6" t="s">
        <v>60</v>
      </c>
      <c r="D7262" s="6" t="s">
        <v>40</v>
      </c>
      <c r="E7262" s="6" t="s">
        <v>736</v>
      </c>
      <c r="F7262" s="6" t="str">
        <f>IF($M7262="PADD I","PADD 1",IF($M7262="PADD II","PADD 2",IF($M7262="PADD III","PADD 3",IF($M7262="PADD IV","PADD 4",IF($M7262="PADD V","PADD 5","")))))</f>
        <v>PADD 1</v>
      </c>
      <c r="G7262" s="6">
        <f>IF(AND($H7262="ATMOS DISTILLATION",ISNUMBER(SEARCH("VPS",$I7262))=FALSE,LEFT($I7262,6)&lt;&gt;"VACUUM"),"CDU",IF($H7262="FLUID CAT CRACKING","FCC",IF(OR($H7262="HYDROCRACKING",$H7262="RESID_HYDROCRACKING"),"Hydrocracker",IF($H7262="REFORMING","Reformer",""))))</f>
        <v/>
      </c>
      <c r="H7262" s="6" t="s">
        <v>378</v>
      </c>
      <c r="I7262" s="6" t="s">
        <v>1009</v>
      </c>
      <c r="J7262" s="6" t="s">
        <v>345</v>
      </c>
      <c r="K7262" s="10">
        <v>4.68</v>
      </c>
      <c r="L7262" s="10">
        <v>26</v>
      </c>
      <c r="M7262" s="6" t="s">
        <v>413</v>
      </c>
    </row>
    <row r="7263" spans="1:13">
      <c r="A7263" s="6">
        <v>2026</v>
      </c>
      <c r="B7263" s="6">
        <v>2</v>
      </c>
      <c r="C7263" s="6" t="s">
        <v>60</v>
      </c>
      <c r="D7263" s="6" t="s">
        <v>615</v>
      </c>
      <c r="E7263" s="6" t="s">
        <v>405</v>
      </c>
      <c r="F7263" s="6" t="str">
        <f>IF($M7263="PADD I","PADD 1",IF($M7263="PADD II","PADD 2",IF($M7263="PADD III","PADD 3",IF($M7263="PADD IV","PADD 4",IF($M7263="PADD V","PADD 5","")))))</f>
        <v>PADD 5</v>
      </c>
      <c r="G7263" s="6">
        <f>IF(AND($H7263="ATMOS DISTILLATION",ISNUMBER(SEARCH("VPS",$I7263))=FALSE,LEFT($I7263,6)&lt;&gt;"VACUUM"),"CDU",IF($H7263="FLUID CAT CRACKING","FCC",IF(OR($H7263="HYDROCRACKING",$H7263="RESID_HYDROCRACKING"),"Hydrocracker",IF($H7263="REFORMING","Reformer",""))))</f>
        <v/>
      </c>
      <c r="H7263" s="6" t="s">
        <v>378</v>
      </c>
      <c r="I7263" s="6" t="s">
        <v>431</v>
      </c>
      <c r="J7263" s="6" t="s">
        <v>349</v>
      </c>
      <c r="K7263" s="10">
        <v>4.5045</v>
      </c>
      <c r="L7263" s="10">
        <v>21.45</v>
      </c>
      <c r="M7263" s="6" t="s">
        <v>386</v>
      </c>
    </row>
    <row r="7264" spans="1:13">
      <c r="A7264" s="6">
        <v>2026</v>
      </c>
      <c r="B7264" s="6">
        <v>2</v>
      </c>
      <c r="C7264" s="6" t="s">
        <v>60</v>
      </c>
      <c r="D7264" s="6" t="s">
        <v>329</v>
      </c>
      <c r="E7264" s="6" t="s">
        <v>427</v>
      </c>
      <c r="F7264" s="6" t="str">
        <f>IF($M7264="PADD I","PADD 1",IF($M7264="PADD II","PADD 2",IF($M7264="PADD III","PADD 3",IF($M7264="PADD IV","PADD 4",IF($M7264="PADD V","PADD 5","")))))</f>
        <v>PADD 3</v>
      </c>
      <c r="G7264" s="6" t="str">
        <f>IF(AND($H7264="ATMOS DISTILLATION",ISNUMBER(SEARCH("VPS",$I7264))=FALSE,LEFT($I7264,6)&lt;&gt;"VACUUM"),"CDU",IF($H7264="FLUID CAT CRACKING","FCC",IF(OR($H7264="HYDROCRACKING",$H7264="RESID_HYDROCRACKING"),"Hydrocracker",IF($H7264="REFORMING","Reformer",""))))</f>
        <v>Reformer</v>
      </c>
      <c r="H7264" s="6" t="s">
        <v>421</v>
      </c>
      <c r="I7264" s="6" t="s">
        <v>1352</v>
      </c>
      <c r="J7264" s="6" t="s">
        <v>345</v>
      </c>
      <c r="K7264" s="10">
        <v>4.48</v>
      </c>
      <c r="L7264" s="10">
        <v>32</v>
      </c>
      <c r="M7264" s="6" t="s">
        <v>371</v>
      </c>
    </row>
    <row r="7265" spans="1:13">
      <c r="A7265" s="6">
        <v>2026</v>
      </c>
      <c r="B7265" s="6">
        <v>2</v>
      </c>
      <c r="C7265" s="6" t="s">
        <v>60</v>
      </c>
      <c r="D7265" s="6" t="s">
        <v>1060</v>
      </c>
      <c r="E7265" s="6" t="s">
        <v>1039</v>
      </c>
      <c r="F7265" s="6" t="str">
        <f>IF($M7265="PADD I","PADD 1",IF($M7265="PADD II","PADD 2",IF($M7265="PADD III","PADD 3",IF($M7265="PADD IV","PADD 4",IF($M7265="PADD V","PADD 5","")))))</f>
        <v>PADD 2</v>
      </c>
      <c r="G7265" s="6">
        <f>IF(AND($H7265="ATMOS DISTILLATION",ISNUMBER(SEARCH("VPS",$I7265))=FALSE,LEFT($I7265,6)&lt;&gt;"VACUUM"),"CDU",IF($H7265="FLUID CAT CRACKING","FCC",IF(OR($H7265="HYDROCRACKING",$H7265="RESID_HYDROCRACKING"),"Hydrocracker",IF($H7265="REFORMING","Reformer",""))))</f>
        <v/>
      </c>
      <c r="H7265" s="6" t="s">
        <v>43</v>
      </c>
      <c r="I7265" s="6" t="s">
        <v>1189</v>
      </c>
      <c r="J7265" s="6" t="s">
        <v>345</v>
      </c>
      <c r="K7265" s="10">
        <v>4.48</v>
      </c>
      <c r="L7265" s="10">
        <v>32</v>
      </c>
      <c r="M7265" s="6" t="s">
        <v>375</v>
      </c>
    </row>
    <row r="7266" spans="1:13">
      <c r="A7266" s="6">
        <v>2026</v>
      </c>
      <c r="B7266" s="6">
        <v>2</v>
      </c>
      <c r="C7266" s="6" t="s">
        <v>60</v>
      </c>
      <c r="D7266" s="6" t="s">
        <v>1060</v>
      </c>
      <c r="E7266" s="6" t="s">
        <v>1039</v>
      </c>
      <c r="F7266" s="6" t="str">
        <f>IF($M7266="PADD I","PADD 1",IF($M7266="PADD II","PADD 2",IF($M7266="PADD III","PADD 3",IF($M7266="PADD IV","PADD 4",IF($M7266="PADD V","PADD 5","")))))</f>
        <v>PADD 2</v>
      </c>
      <c r="G7266" s="6" t="str">
        <f>IF(AND($H7266="ATMOS DISTILLATION",ISNUMBER(SEARCH("VPS",$I7266))=FALSE,LEFT($I7266,6)&lt;&gt;"VACUUM"),"CDU",IF($H7266="FLUID CAT CRACKING","FCC",IF(OR($H7266="HYDROCRACKING",$H7266="RESID_HYDROCRACKING"),"Hydrocracker",IF($H7266="REFORMING","Reformer",""))))</f>
        <v>Reformer</v>
      </c>
      <c r="H7266" s="6" t="s">
        <v>421</v>
      </c>
      <c r="I7266" s="6" t="s">
        <v>1190</v>
      </c>
      <c r="J7266" s="6" t="s">
        <v>345</v>
      </c>
      <c r="K7266" s="10">
        <v>4.34</v>
      </c>
      <c r="L7266" s="10">
        <v>31</v>
      </c>
      <c r="M7266" s="6" t="s">
        <v>375</v>
      </c>
    </row>
    <row r="7267" spans="1:13">
      <c r="A7267" s="6">
        <v>2026</v>
      </c>
      <c r="B7267" s="6">
        <v>2</v>
      </c>
      <c r="C7267" s="6" t="s">
        <v>60</v>
      </c>
      <c r="D7267" s="6" t="s">
        <v>511</v>
      </c>
      <c r="E7267" s="6" t="s">
        <v>405</v>
      </c>
      <c r="F7267" s="6" t="str">
        <f>IF($M7267="PADD I","PADD 1",IF($M7267="PADD II","PADD 2",IF($M7267="PADD III","PADD 3",IF($M7267="PADD IV","PADD 4",IF($M7267="PADD V","PADD 5","")))))</f>
        <v>PADD 3</v>
      </c>
      <c r="G7267" s="6">
        <f>IF(AND($H7267="ATMOS DISTILLATION",ISNUMBER(SEARCH("VPS",$I7267))=FALSE,LEFT($I7267,6)&lt;&gt;"VACUUM"),"CDU",IF($H7267="FLUID CAT CRACKING","FCC",IF(OR($H7267="HYDROCRACKING",$H7267="RESID_HYDROCRACKING"),"Hydrocracker",IF($H7267="REFORMING","Reformer",""))))</f>
        <v/>
      </c>
      <c r="H7267" s="6" t="s">
        <v>378</v>
      </c>
      <c r="I7267" s="6" t="s">
        <v>593</v>
      </c>
      <c r="J7267" s="6" t="s">
        <v>345</v>
      </c>
      <c r="K7267" s="10">
        <v>4.29</v>
      </c>
      <c r="L7267" s="10">
        <v>39</v>
      </c>
      <c r="M7267" s="6" t="s">
        <v>371</v>
      </c>
    </row>
    <row r="7268" spans="1:13">
      <c r="A7268" s="6">
        <v>2026</v>
      </c>
      <c r="B7268" s="6">
        <v>2</v>
      </c>
      <c r="C7268" s="6" t="s">
        <v>60</v>
      </c>
      <c r="D7268" s="6" t="s">
        <v>51</v>
      </c>
      <c r="E7268" s="6" t="s">
        <v>391</v>
      </c>
      <c r="F7268" s="6" t="str">
        <f>IF($M7268="PADD I","PADD 1",IF($M7268="PADD II","PADD 2",IF($M7268="PADD III","PADD 3",IF($M7268="PADD IV","PADD 4",IF($M7268="PADD V","PADD 5","")))))</f>
        <v>PADD 5</v>
      </c>
      <c r="G7268" s="6">
        <f>IF(AND($H7268="ATMOS DISTILLATION",ISNUMBER(SEARCH("VPS",$I7268))=FALSE,LEFT($I7268,6)&lt;&gt;"VACUUM"),"CDU",IF($H7268="FLUID CAT CRACKING","FCC",IF(OR($H7268="HYDROCRACKING",$H7268="RESID_HYDROCRACKING"),"Hydrocracker",IF($H7268="REFORMING","Reformer",""))))</f>
        <v/>
      </c>
      <c r="H7268" s="6" t="s">
        <v>43</v>
      </c>
      <c r="I7268" s="6" t="s">
        <v>1207</v>
      </c>
      <c r="J7268" s="6" t="s">
        <v>345</v>
      </c>
      <c r="K7268" s="10">
        <v>4.2</v>
      </c>
      <c r="L7268" s="10">
        <v>4.2</v>
      </c>
      <c r="M7268" s="6" t="s">
        <v>386</v>
      </c>
    </row>
    <row r="7269" spans="1:13">
      <c r="A7269" s="6">
        <v>2026</v>
      </c>
      <c r="B7269" s="6">
        <v>2</v>
      </c>
      <c r="C7269" s="6" t="s">
        <v>60</v>
      </c>
      <c r="D7269" s="6" t="s">
        <v>333</v>
      </c>
      <c r="E7269" s="6" t="s">
        <v>381</v>
      </c>
      <c r="F7269" s="6" t="str">
        <f>IF($M7269="PADD I","PADD 1",IF($M7269="PADD II","PADD 2",IF($M7269="PADD III","PADD 3",IF($M7269="PADD IV","PADD 4",IF($M7269="PADD V","PADD 5","")))))</f>
        <v>PADD 3</v>
      </c>
      <c r="G7269" s="6">
        <f>IF(AND($H7269="ATMOS DISTILLATION",ISNUMBER(SEARCH("VPS",$I7269))=FALSE,LEFT($I7269,6)&lt;&gt;"VACUUM"),"CDU",IF($H7269="FLUID CAT CRACKING","FCC",IF(OR($H7269="HYDROCRACKING",$H7269="RESID_HYDROCRACKING"),"Hydrocracker",IF($H7269="REFORMING","Reformer",""))))</f>
        <v/>
      </c>
      <c r="H7269" s="6" t="s">
        <v>637</v>
      </c>
      <c r="I7269" s="6" t="s">
        <v>1353</v>
      </c>
      <c r="J7269" s="6" t="s">
        <v>349</v>
      </c>
      <c r="K7269" s="10">
        <v>4.1</v>
      </c>
      <c r="L7269" s="10">
        <v>5</v>
      </c>
      <c r="M7269" s="6" t="s">
        <v>371</v>
      </c>
    </row>
    <row r="7270" spans="1:13">
      <c r="A7270" s="6">
        <v>2026</v>
      </c>
      <c r="B7270" s="6">
        <v>2</v>
      </c>
      <c r="C7270" s="6" t="s">
        <v>60</v>
      </c>
      <c r="D7270" s="6" t="s">
        <v>799</v>
      </c>
      <c r="E7270" s="6" t="s">
        <v>391</v>
      </c>
      <c r="F7270" s="6" t="str">
        <f>IF($M7270="PADD I","PADD 1",IF($M7270="PADD II","PADD 2",IF($M7270="PADD III","PADD 3",IF($M7270="PADD IV","PADD 4",IF($M7270="PADD V","PADD 5","")))))</f>
        <v>PADD 4</v>
      </c>
      <c r="G7270" s="6">
        <f>IF(AND($H7270="ATMOS DISTILLATION",ISNUMBER(SEARCH("VPS",$I7270))=FALSE,LEFT($I7270,6)&lt;&gt;"VACUUM"),"CDU",IF($H7270="FLUID CAT CRACKING","FCC",IF(OR($H7270="HYDROCRACKING",$H7270="RESID_HYDROCRACKING"),"Hydrocracker",IF($H7270="REFORMING","Reformer",""))))</f>
        <v/>
      </c>
      <c r="H7270" s="6" t="s">
        <v>43</v>
      </c>
      <c r="I7270" s="6" t="s">
        <v>800</v>
      </c>
      <c r="J7270" s="6" t="s">
        <v>345</v>
      </c>
      <c r="K7270" s="10">
        <v>3.906</v>
      </c>
      <c r="L7270" s="10">
        <v>27.9</v>
      </c>
      <c r="M7270" s="6" t="s">
        <v>430</v>
      </c>
    </row>
    <row r="7271" spans="1:13">
      <c r="A7271" s="6">
        <v>2026</v>
      </c>
      <c r="B7271" s="6">
        <v>2</v>
      </c>
      <c r="C7271" s="6" t="s">
        <v>60</v>
      </c>
      <c r="D7271" s="6" t="s">
        <v>1223</v>
      </c>
      <c r="E7271" s="6" t="s">
        <v>1039</v>
      </c>
      <c r="F7271" s="6" t="str">
        <f>IF($M7271="PADD I","PADD 1",IF($M7271="PADD II","PADD 2",IF($M7271="PADD III","PADD 3",IF($M7271="PADD IV","PADD 4",IF($M7271="PADD V","PADD 5","")))))</f>
        <v>PADD 2</v>
      </c>
      <c r="G7271" s="6" t="str">
        <f>IF(AND($H7271="ATMOS DISTILLATION",ISNUMBER(SEARCH("VPS",$I7271))=FALSE,LEFT($I7271,6)&lt;&gt;"VACUUM"),"CDU",IF($H7271="FLUID CAT CRACKING","FCC",IF(OR($H7271="HYDROCRACKING",$H7271="RESID_HYDROCRACKING"),"Hydrocracker",IF($H7271="REFORMING","Reformer",""))))</f>
        <v>Reformer</v>
      </c>
      <c r="H7271" s="6" t="s">
        <v>421</v>
      </c>
      <c r="I7271" s="6" t="s">
        <v>15</v>
      </c>
      <c r="J7271" s="6" t="s">
        <v>345</v>
      </c>
      <c r="K7271" s="10">
        <v>3.5475</v>
      </c>
      <c r="L7271" s="10">
        <v>8.25</v>
      </c>
      <c r="M7271" s="6" t="s">
        <v>375</v>
      </c>
    </row>
    <row r="7272" spans="1:13">
      <c r="A7272" s="6">
        <v>2026</v>
      </c>
      <c r="B7272" s="6">
        <v>2</v>
      </c>
      <c r="C7272" s="6" t="s">
        <v>60</v>
      </c>
      <c r="D7272" s="6" t="s">
        <v>1060</v>
      </c>
      <c r="E7272" s="6" t="s">
        <v>1039</v>
      </c>
      <c r="F7272" s="6" t="str">
        <f>IF($M7272="PADD I","PADD 1",IF($M7272="PADD II","PADD 2",IF($M7272="PADD III","PADD 3",IF($M7272="PADD IV","PADD 4",IF($M7272="PADD V","PADD 5","")))))</f>
        <v>PADD 2</v>
      </c>
      <c r="G7272" s="6">
        <f>IF(AND($H7272="ATMOS DISTILLATION",ISNUMBER(SEARCH("VPS",$I7272))=FALSE,LEFT($I7272,6)&lt;&gt;"VACUUM"),"CDU",IF($H7272="FLUID CAT CRACKING","FCC",IF(OR($H7272="HYDROCRACKING",$H7272="RESID_HYDROCRACKING"),"Hydrocracker",IF($H7272="REFORMING","Reformer",""))))</f>
        <v/>
      </c>
      <c r="H7272" s="6" t="s">
        <v>43</v>
      </c>
      <c r="I7272" s="6" t="s">
        <v>1194</v>
      </c>
      <c r="J7272" s="6" t="s">
        <v>345</v>
      </c>
      <c r="K7272" s="10">
        <v>3.5</v>
      </c>
      <c r="L7272" s="10">
        <v>25</v>
      </c>
      <c r="M7272" s="6" t="s">
        <v>375</v>
      </c>
    </row>
    <row r="7273" spans="1:13">
      <c r="A7273" s="6">
        <v>2026</v>
      </c>
      <c r="B7273" s="6">
        <v>2</v>
      </c>
      <c r="C7273" s="6" t="s">
        <v>60</v>
      </c>
      <c r="D7273" s="6" t="s">
        <v>1060</v>
      </c>
      <c r="E7273" s="6" t="s">
        <v>1039</v>
      </c>
      <c r="F7273" s="6" t="str">
        <f>IF($M7273="PADD I","PADD 1",IF($M7273="PADD II","PADD 2",IF($M7273="PADD III","PADD 3",IF($M7273="PADD IV","PADD 4",IF($M7273="PADD V","PADD 5","")))))</f>
        <v>PADD 2</v>
      </c>
      <c r="G7273" s="6">
        <f>IF(AND($H7273="ATMOS DISTILLATION",ISNUMBER(SEARCH("VPS",$I7273))=FALSE,LEFT($I7273,6)&lt;&gt;"VACUUM"),"CDU",IF($H7273="FLUID CAT CRACKING","FCC",IF(OR($H7273="HYDROCRACKING",$H7273="RESID_HYDROCRACKING"),"Hydrocracker",IF($H7273="REFORMING","Reformer",""))))</f>
        <v/>
      </c>
      <c r="H7273" s="6" t="s">
        <v>43</v>
      </c>
      <c r="I7273" s="6" t="s">
        <v>1194</v>
      </c>
      <c r="J7273" s="6" t="s">
        <v>349</v>
      </c>
      <c r="K7273" s="10">
        <v>3.5</v>
      </c>
      <c r="L7273" s="10">
        <v>25</v>
      </c>
      <c r="M7273" s="6" t="s">
        <v>375</v>
      </c>
    </row>
    <row r="7274" spans="1:13">
      <c r="A7274" s="6">
        <v>2026</v>
      </c>
      <c r="B7274" s="6">
        <v>2</v>
      </c>
      <c r="C7274" s="6" t="s">
        <v>60</v>
      </c>
      <c r="D7274" s="6" t="s">
        <v>680</v>
      </c>
      <c r="E7274" s="6" t="s">
        <v>681</v>
      </c>
      <c r="F7274" s="6" t="str">
        <f>IF($M7274="PADD I","PADD 1",IF($M7274="PADD II","PADD 2",IF($M7274="PADD III","PADD 3",IF($M7274="PADD IV","PADD 4",IF($M7274="PADD V","PADD 5","")))))</f>
        <v>PADD 3</v>
      </c>
      <c r="G7274" s="6" t="str">
        <f>IF(AND($H7274="ATMOS DISTILLATION",ISNUMBER(SEARCH("VPS",$I7274))=FALSE,LEFT($I7274,6)&lt;&gt;"VACUUM"),"CDU",IF($H7274="FLUID CAT CRACKING","FCC",IF(OR($H7274="HYDROCRACKING",$H7274="RESID_HYDROCRACKING"),"Hydrocracker",IF($H7274="REFORMING","Reformer",""))))</f>
        <v>CDU</v>
      </c>
      <c r="H7274" s="6" t="s">
        <v>38</v>
      </c>
      <c r="I7274" s="6" t="s">
        <v>81</v>
      </c>
      <c r="J7274" s="6" t="s">
        <v>345</v>
      </c>
      <c r="K7274" s="10">
        <v>3.5</v>
      </c>
      <c r="L7274" s="10">
        <v>50</v>
      </c>
      <c r="M7274" s="6" t="s">
        <v>371</v>
      </c>
    </row>
    <row r="7275" spans="1:13">
      <c r="A7275" s="6">
        <v>2026</v>
      </c>
      <c r="B7275" s="6">
        <v>2</v>
      </c>
      <c r="C7275" s="6" t="s">
        <v>60</v>
      </c>
      <c r="D7275" s="6" t="s">
        <v>739</v>
      </c>
      <c r="E7275" s="6" t="s">
        <v>405</v>
      </c>
      <c r="F7275" s="6" t="str">
        <f>IF($M7275="PADD I","PADD 1",IF($M7275="PADD II","PADD 2",IF($M7275="PADD III","PADD 3",IF($M7275="PADD IV","PADD 4",IF($M7275="PADD V","PADD 5","")))))</f>
        <v>PADD 2</v>
      </c>
      <c r="G7275" s="6">
        <f>IF(AND($H7275="ATMOS DISTILLATION",ISNUMBER(SEARCH("VPS",$I7275))=FALSE,LEFT($I7275,6)&lt;&gt;"VACUUM"),"CDU",IF($H7275="FLUID CAT CRACKING","FCC",IF(OR($H7275="HYDROCRACKING",$H7275="RESID_HYDROCRACKING"),"Hydrocracker",IF($H7275="REFORMING","Reformer",""))))</f>
        <v/>
      </c>
      <c r="H7275" s="6" t="s">
        <v>460</v>
      </c>
      <c r="I7275" s="6" t="s">
        <v>616</v>
      </c>
      <c r="J7275" s="6" t="s">
        <v>345</v>
      </c>
      <c r="K7275" s="10">
        <v>3.348</v>
      </c>
      <c r="L7275" s="10">
        <v>6.2</v>
      </c>
      <c r="M7275" s="6" t="s">
        <v>375</v>
      </c>
    </row>
    <row r="7276" spans="1:13">
      <c r="A7276" s="6">
        <v>2026</v>
      </c>
      <c r="B7276" s="6">
        <v>2</v>
      </c>
      <c r="C7276" s="6" t="s">
        <v>60</v>
      </c>
      <c r="D7276" s="6" t="s">
        <v>615</v>
      </c>
      <c r="E7276" s="6" t="s">
        <v>405</v>
      </c>
      <c r="F7276" s="6" t="str">
        <f>IF($M7276="PADD I","PADD 1",IF($M7276="PADD II","PADD 2",IF($M7276="PADD III","PADD 3",IF($M7276="PADD IV","PADD 4",IF($M7276="PADD V","PADD 5","")))))</f>
        <v>PADD 5</v>
      </c>
      <c r="G7276" s="6">
        <f>IF(AND($H7276="ATMOS DISTILLATION",ISNUMBER(SEARCH("VPS",$I7276))=FALSE,LEFT($I7276,6)&lt;&gt;"VACUUM"),"CDU",IF($H7276="FLUID CAT CRACKING","FCC",IF(OR($H7276="HYDROCRACKING",$H7276="RESID_HYDROCRACKING"),"Hydrocracker",IF($H7276="REFORMING","Reformer",""))))</f>
        <v/>
      </c>
      <c r="H7276" s="6" t="s">
        <v>43</v>
      </c>
      <c r="I7276" s="6" t="s">
        <v>1311</v>
      </c>
      <c r="J7276" s="6" t="s">
        <v>349</v>
      </c>
      <c r="K7276" s="10">
        <v>3.2076</v>
      </c>
      <c r="L7276" s="10">
        <v>8.91</v>
      </c>
      <c r="M7276" s="6" t="s">
        <v>386</v>
      </c>
    </row>
    <row r="7277" spans="1:13">
      <c r="A7277" s="6">
        <v>2026</v>
      </c>
      <c r="B7277" s="6">
        <v>2</v>
      </c>
      <c r="C7277" s="6" t="s">
        <v>60</v>
      </c>
      <c r="D7277" s="6" t="s">
        <v>615</v>
      </c>
      <c r="E7277" s="6" t="s">
        <v>405</v>
      </c>
      <c r="F7277" s="6" t="str">
        <f>IF($M7277="PADD I","PADD 1",IF($M7277="PADD II","PADD 2",IF($M7277="PADD III","PADD 3",IF($M7277="PADD IV","PADD 4",IF($M7277="PADD V","PADD 5","")))))</f>
        <v>PADD 5</v>
      </c>
      <c r="G7277" s="6">
        <f>IF(AND($H7277="ATMOS DISTILLATION",ISNUMBER(SEARCH("VPS",$I7277))=FALSE,LEFT($I7277,6)&lt;&gt;"VACUUM"),"CDU",IF($H7277="FLUID CAT CRACKING","FCC",IF(OR($H7277="HYDROCRACKING",$H7277="RESID_HYDROCRACKING"),"Hydrocracker",IF($H7277="REFORMING","Reformer",""))))</f>
        <v/>
      </c>
      <c r="H7277" s="6" t="s">
        <v>43</v>
      </c>
      <c r="I7277" s="6" t="s">
        <v>1308</v>
      </c>
      <c r="J7277" s="6" t="s">
        <v>349</v>
      </c>
      <c r="K7277" s="10">
        <v>3.1185</v>
      </c>
      <c r="L7277" s="10">
        <v>14.85</v>
      </c>
      <c r="M7277" s="6" t="s">
        <v>386</v>
      </c>
    </row>
    <row r="7278" spans="1:13">
      <c r="A7278" s="6">
        <v>2026</v>
      </c>
      <c r="B7278" s="6">
        <v>2</v>
      </c>
      <c r="C7278" s="6" t="s">
        <v>60</v>
      </c>
      <c r="D7278" s="6" t="s">
        <v>437</v>
      </c>
      <c r="E7278" s="6" t="s">
        <v>438</v>
      </c>
      <c r="F7278" s="6" t="str">
        <f>IF($M7278="PADD I","PADD 1",IF($M7278="PADD II","PADD 2",IF($M7278="PADD III","PADD 3",IF($M7278="PADD IV","PADD 4",IF($M7278="PADD V","PADD 5","")))))</f>
        <v>PADD 4</v>
      </c>
      <c r="G7278" s="6">
        <f>IF(AND($H7278="ATMOS DISTILLATION",ISNUMBER(SEARCH("VPS",$I7278))=FALSE,LEFT($I7278,6)&lt;&gt;"VACUUM"),"CDU",IF($H7278="FLUID CAT CRACKING","FCC",IF(OR($H7278="HYDROCRACKING",$H7278="RESID_HYDROCRACKING"),"Hydrocracker",IF($H7278="REFORMING","Reformer",""))))</f>
        <v/>
      </c>
      <c r="H7278" s="6" t="s">
        <v>43</v>
      </c>
      <c r="I7278" s="6" t="s">
        <v>493</v>
      </c>
      <c r="J7278" s="6" t="s">
        <v>345</v>
      </c>
      <c r="K7278" s="10">
        <v>2.94</v>
      </c>
      <c r="L7278" s="10">
        <v>21</v>
      </c>
      <c r="M7278" s="6" t="s">
        <v>430</v>
      </c>
    </row>
    <row r="7279" spans="1:13">
      <c r="A7279" s="6">
        <v>2026</v>
      </c>
      <c r="B7279" s="6">
        <v>2</v>
      </c>
      <c r="C7279" s="6" t="s">
        <v>60</v>
      </c>
      <c r="D7279" s="6" t="s">
        <v>615</v>
      </c>
      <c r="E7279" s="6" t="s">
        <v>405</v>
      </c>
      <c r="F7279" s="6" t="str">
        <f>IF($M7279="PADD I","PADD 1",IF($M7279="PADD II","PADD 2",IF($M7279="PADD III","PADD 3",IF($M7279="PADD IV","PADD 4",IF($M7279="PADD V","PADD 5","")))))</f>
        <v>PADD 5</v>
      </c>
      <c r="G7279" s="6">
        <f>IF(AND($H7279="ATMOS DISTILLATION",ISNUMBER(SEARCH("VPS",$I7279))=FALSE,LEFT($I7279,6)&lt;&gt;"VACUUM"),"CDU",IF($H7279="FLUID CAT CRACKING","FCC",IF(OR($H7279="HYDROCRACKING",$H7279="RESID_HYDROCRACKING"),"Hydrocracker",IF($H7279="REFORMING","Reformer",""))))</f>
        <v/>
      </c>
      <c r="H7279" s="6" t="s">
        <v>43</v>
      </c>
      <c r="I7279" s="6" t="s">
        <v>1238</v>
      </c>
      <c r="J7279" s="6" t="s">
        <v>349</v>
      </c>
      <c r="K7279" s="10">
        <v>2.8413</v>
      </c>
      <c r="L7279" s="10">
        <v>13.53</v>
      </c>
      <c r="M7279" s="6" t="s">
        <v>386</v>
      </c>
    </row>
    <row r="7280" spans="1:13">
      <c r="A7280" s="6">
        <v>2026</v>
      </c>
      <c r="B7280" s="6">
        <v>2</v>
      </c>
      <c r="C7280" s="6" t="s">
        <v>60</v>
      </c>
      <c r="D7280" s="6" t="s">
        <v>1158</v>
      </c>
      <c r="E7280" s="6" t="s">
        <v>724</v>
      </c>
      <c r="F7280" s="6" t="str">
        <f>IF($M7280="PADD I","PADD 1",IF($M7280="PADD II","PADD 2",IF($M7280="PADD III","PADD 3",IF($M7280="PADD IV","PADD 4",IF($M7280="PADD V","PADD 5","")))))</f>
        <v>PADD 5</v>
      </c>
      <c r="G7280" s="6" t="str">
        <f>IF(AND($H7280="ATMOS DISTILLATION",ISNUMBER(SEARCH("VPS",$I7280))=FALSE,LEFT($I7280,6)&lt;&gt;"VACUUM"),"CDU",IF($H7280="FLUID CAT CRACKING","FCC",IF(OR($H7280="HYDROCRACKING",$H7280="RESID_HYDROCRACKING"),"Hydrocracker",IF($H7280="REFORMING","Reformer",""))))</f>
        <v>Reformer</v>
      </c>
      <c r="H7280" s="6" t="s">
        <v>421</v>
      </c>
      <c r="I7280" s="6" t="s">
        <v>559</v>
      </c>
      <c r="J7280" s="6" t="s">
        <v>349</v>
      </c>
      <c r="K7280" s="10">
        <v>2.816</v>
      </c>
      <c r="L7280" s="10">
        <v>4.4</v>
      </c>
      <c r="M7280" s="6" t="s">
        <v>386</v>
      </c>
    </row>
    <row r="7281" spans="1:13">
      <c r="A7281" s="6">
        <v>2026</v>
      </c>
      <c r="B7281" s="6">
        <v>2</v>
      </c>
      <c r="C7281" s="6" t="s">
        <v>60</v>
      </c>
      <c r="D7281" s="6" t="s">
        <v>1038</v>
      </c>
      <c r="E7281" s="6" t="s">
        <v>1039</v>
      </c>
      <c r="F7281" s="6" t="str">
        <f>IF($M7281="PADD I","PADD 1",IF($M7281="PADD II","PADD 2",IF($M7281="PADD III","PADD 3",IF($M7281="PADD IV","PADD 4",IF($M7281="PADD V","PADD 5","")))))</f>
        <v>PADD 2</v>
      </c>
      <c r="G7281" s="6" t="str">
        <f>IF(AND($H7281="ATMOS DISTILLATION",ISNUMBER(SEARCH("VPS",$I7281))=FALSE,LEFT($I7281,6)&lt;&gt;"VACUUM"),"CDU",IF($H7281="FLUID CAT CRACKING","FCC",IF(OR($H7281="HYDROCRACKING",$H7281="RESID_HYDROCRACKING"),"Hydrocracker",IF($H7281="REFORMING","Reformer",""))))</f>
        <v>Reformer</v>
      </c>
      <c r="H7281" s="6" t="s">
        <v>421</v>
      </c>
      <c r="I7281" s="6" t="s">
        <v>1046</v>
      </c>
      <c r="J7281" s="6" t="s">
        <v>345</v>
      </c>
      <c r="K7281" s="10">
        <v>2.8</v>
      </c>
      <c r="L7281" s="10">
        <v>20</v>
      </c>
      <c r="M7281" s="6" t="s">
        <v>375</v>
      </c>
    </row>
    <row r="7282" spans="1:13">
      <c r="A7282" s="6">
        <v>2026</v>
      </c>
      <c r="B7282" s="6">
        <v>2</v>
      </c>
      <c r="C7282" s="6" t="s">
        <v>60</v>
      </c>
      <c r="D7282" s="6" t="s">
        <v>576</v>
      </c>
      <c r="E7282" s="6" t="s">
        <v>369</v>
      </c>
      <c r="F7282" s="6" t="str">
        <f>IF($M7282="PADD I","PADD 1",IF($M7282="PADD II","PADD 2",IF($M7282="PADD III","PADD 3",IF($M7282="PADD IV","PADD 4",IF($M7282="PADD V","PADD 5","")))))</f>
        <v>PADD 3</v>
      </c>
      <c r="G7282" s="6">
        <f>IF(AND($H7282="ATMOS DISTILLATION",ISNUMBER(SEARCH("VPS",$I7282))=FALSE,LEFT($I7282,6)&lt;&gt;"VACUUM"),"CDU",IF($H7282="FLUID CAT CRACKING","FCC",IF(OR($H7282="HYDROCRACKING",$H7282="RESID_HYDROCRACKING"),"Hydrocracker",IF($H7282="REFORMING","Reformer",""))))</f>
        <v/>
      </c>
      <c r="H7282" s="6" t="s">
        <v>568</v>
      </c>
      <c r="I7282" s="6" t="s">
        <v>604</v>
      </c>
      <c r="J7282" s="6" t="s">
        <v>345</v>
      </c>
      <c r="K7282" s="10">
        <v>2.75</v>
      </c>
      <c r="L7282" s="10">
        <v>25</v>
      </c>
      <c r="M7282" s="6" t="s">
        <v>371</v>
      </c>
    </row>
    <row r="7283" spans="1:13">
      <c r="A7283" s="6">
        <v>2026</v>
      </c>
      <c r="B7283" s="6">
        <v>2</v>
      </c>
      <c r="C7283" s="6" t="s">
        <v>60</v>
      </c>
      <c r="D7283" s="6" t="s">
        <v>739</v>
      </c>
      <c r="E7283" s="6" t="s">
        <v>405</v>
      </c>
      <c r="F7283" s="6" t="str">
        <f>IF($M7283="PADD I","PADD 1",IF($M7283="PADD II","PADD 2",IF($M7283="PADD III","PADD 3",IF($M7283="PADD IV","PADD 4",IF($M7283="PADD V","PADD 5","")))))</f>
        <v>PADD 2</v>
      </c>
      <c r="G7283" s="6">
        <f>IF(AND($H7283="ATMOS DISTILLATION",ISNUMBER(SEARCH("VPS",$I7283))=FALSE,LEFT($I7283,6)&lt;&gt;"VACUUM"),"CDU",IF($H7283="FLUID CAT CRACKING","FCC",IF(OR($H7283="HYDROCRACKING",$H7283="RESID_HYDROCRACKING"),"Hydrocracker",IF($H7283="REFORMING","Reformer",""))))</f>
        <v/>
      </c>
      <c r="H7283" s="6" t="s">
        <v>568</v>
      </c>
      <c r="I7283" s="6" t="s">
        <v>604</v>
      </c>
      <c r="J7283" s="6" t="s">
        <v>345</v>
      </c>
      <c r="K7283" s="10">
        <v>2.73</v>
      </c>
      <c r="L7283" s="10">
        <v>7</v>
      </c>
      <c r="M7283" s="6" t="s">
        <v>375</v>
      </c>
    </row>
    <row r="7284" spans="1:13">
      <c r="A7284" s="6">
        <v>2026</v>
      </c>
      <c r="B7284" s="6">
        <v>2</v>
      </c>
      <c r="C7284" s="6" t="s">
        <v>60</v>
      </c>
      <c r="D7284" s="6" t="s">
        <v>1060</v>
      </c>
      <c r="E7284" s="6" t="s">
        <v>1039</v>
      </c>
      <c r="F7284" s="6" t="str">
        <f>IF($M7284="PADD I","PADD 1",IF($M7284="PADD II","PADD 2",IF($M7284="PADD III","PADD 3",IF($M7284="PADD IV","PADD 4",IF($M7284="PADD V","PADD 5","")))))</f>
        <v>PADD 2</v>
      </c>
      <c r="G7284" s="6">
        <f>IF(AND($H7284="ATMOS DISTILLATION",ISNUMBER(SEARCH("VPS",$I7284))=FALSE,LEFT($I7284,6)&lt;&gt;"VACUUM"),"CDU",IF($H7284="FLUID CAT CRACKING","FCC",IF(OR($H7284="HYDROCRACKING",$H7284="RESID_HYDROCRACKING"),"Hydrocracker",IF($H7284="REFORMING","Reformer",""))))</f>
        <v/>
      </c>
      <c r="H7284" s="6" t="s">
        <v>460</v>
      </c>
      <c r="I7284" s="6" t="s">
        <v>616</v>
      </c>
      <c r="J7284" s="6" t="s">
        <v>345</v>
      </c>
      <c r="K7284" s="10">
        <v>2.66</v>
      </c>
      <c r="L7284" s="10">
        <v>19</v>
      </c>
      <c r="M7284" s="6" t="s">
        <v>375</v>
      </c>
    </row>
    <row r="7285" spans="1:13">
      <c r="A7285" s="6">
        <v>2026</v>
      </c>
      <c r="B7285" s="6">
        <v>2</v>
      </c>
      <c r="C7285" s="6" t="s">
        <v>60</v>
      </c>
      <c r="D7285" s="6" t="s">
        <v>1060</v>
      </c>
      <c r="E7285" s="6" t="s">
        <v>1039</v>
      </c>
      <c r="F7285" s="6" t="str">
        <f>IF($M7285="PADD I","PADD 1",IF($M7285="PADD II","PADD 2",IF($M7285="PADD III","PADD 3",IF($M7285="PADD IV","PADD 4",IF($M7285="PADD V","PADD 5","")))))</f>
        <v>PADD 2</v>
      </c>
      <c r="G7285" s="6">
        <f>IF(AND($H7285="ATMOS DISTILLATION",ISNUMBER(SEARCH("VPS",$I7285))=FALSE,LEFT($I7285,6)&lt;&gt;"VACUUM"),"CDU",IF($H7285="FLUID CAT CRACKING","FCC",IF(OR($H7285="HYDROCRACKING",$H7285="RESID_HYDROCRACKING"),"Hydrocracker",IF($H7285="REFORMING","Reformer",""))))</f>
        <v/>
      </c>
      <c r="H7285" s="6" t="s">
        <v>460</v>
      </c>
      <c r="I7285" s="6" t="s">
        <v>616</v>
      </c>
      <c r="J7285" s="6" t="s">
        <v>349</v>
      </c>
      <c r="K7285" s="10">
        <v>2.66</v>
      </c>
      <c r="L7285" s="10">
        <v>19</v>
      </c>
      <c r="M7285" s="6" t="s">
        <v>375</v>
      </c>
    </row>
    <row r="7286" spans="1:13">
      <c r="A7286" s="6">
        <v>2026</v>
      </c>
      <c r="B7286" s="6">
        <v>2</v>
      </c>
      <c r="C7286" s="6" t="s">
        <v>60</v>
      </c>
      <c r="D7286" s="6" t="s">
        <v>1158</v>
      </c>
      <c r="E7286" s="6" t="s">
        <v>724</v>
      </c>
      <c r="F7286" s="6" t="str">
        <f>IF($M7286="PADD I","PADD 1",IF($M7286="PADD II","PADD 2",IF($M7286="PADD III","PADD 3",IF($M7286="PADD IV","PADD 4",IF($M7286="PADD V","PADD 5","")))))</f>
        <v>PADD 5</v>
      </c>
      <c r="G7286" s="6" t="str">
        <f>IF(AND($H7286="ATMOS DISTILLATION",ISNUMBER(SEARCH("VPS",$I7286))=FALSE,LEFT($I7286,6)&lt;&gt;"VACUUM"),"CDU",IF($H7286="FLUID CAT CRACKING","FCC",IF(OR($H7286="HYDROCRACKING",$H7286="RESID_HYDROCRACKING"),"Hydrocracker",IF($H7286="REFORMING","Reformer",""))))</f>
        <v>Reformer</v>
      </c>
      <c r="H7286" s="6" t="s">
        <v>421</v>
      </c>
      <c r="I7286" s="6" t="s">
        <v>557</v>
      </c>
      <c r="J7286" s="6" t="s">
        <v>349</v>
      </c>
      <c r="K7286" s="10">
        <v>2.56</v>
      </c>
      <c r="L7286" s="10">
        <v>4</v>
      </c>
      <c r="M7286" s="6" t="s">
        <v>386</v>
      </c>
    </row>
    <row r="7287" spans="1:13">
      <c r="A7287" s="6">
        <v>2026</v>
      </c>
      <c r="B7287" s="6">
        <v>2</v>
      </c>
      <c r="C7287" s="6" t="s">
        <v>60</v>
      </c>
      <c r="D7287" s="6" t="s">
        <v>1158</v>
      </c>
      <c r="E7287" s="6" t="s">
        <v>724</v>
      </c>
      <c r="F7287" s="6" t="str">
        <f>IF($M7287="PADD I","PADD 1",IF($M7287="PADD II","PADD 2",IF($M7287="PADD III","PADD 3",IF($M7287="PADD IV","PADD 4",IF($M7287="PADD V","PADD 5","")))))</f>
        <v>PADD 5</v>
      </c>
      <c r="G7287" s="6">
        <f>IF(AND($H7287="ATMOS DISTILLATION",ISNUMBER(SEARCH("VPS",$I7287))=FALSE,LEFT($I7287,6)&lt;&gt;"VACUUM"),"CDU",IF($H7287="FLUID CAT CRACKING","FCC",IF(OR($H7287="HYDROCRACKING",$H7287="RESID_HYDROCRACKING"),"Hydrocracker",IF($H7287="REFORMING","Reformer",""))))</f>
        <v/>
      </c>
      <c r="H7287" s="6" t="s">
        <v>43</v>
      </c>
      <c r="I7287" s="6" t="s">
        <v>1354</v>
      </c>
      <c r="J7287" s="6" t="s">
        <v>349</v>
      </c>
      <c r="K7287" s="10">
        <v>2.56</v>
      </c>
      <c r="L7287" s="10">
        <v>4</v>
      </c>
      <c r="M7287" s="6" t="s">
        <v>386</v>
      </c>
    </row>
    <row r="7288" spans="1:13">
      <c r="A7288" s="6">
        <v>2026</v>
      </c>
      <c r="B7288" s="6">
        <v>2</v>
      </c>
      <c r="C7288" s="6" t="s">
        <v>60</v>
      </c>
      <c r="D7288" s="6" t="s">
        <v>851</v>
      </c>
      <c r="E7288" s="6" t="s">
        <v>852</v>
      </c>
      <c r="F7288" s="6" t="str">
        <f>IF($M7288="PADD I","PADD 1",IF($M7288="PADD II","PADD 2",IF($M7288="PADD III","PADD 3",IF($M7288="PADD IV","PADD 4",IF($M7288="PADD V","PADD 5","")))))</f>
        <v>PADD 3</v>
      </c>
      <c r="G7288" s="6" t="str">
        <f>IF(AND($H7288="ATMOS DISTILLATION",ISNUMBER(SEARCH("VPS",$I7288))=FALSE,LEFT($I7288,6)&lt;&gt;"VACUUM"),"CDU",IF($H7288="FLUID CAT CRACKING","FCC",IF(OR($H7288="HYDROCRACKING",$H7288="RESID_HYDROCRACKING"),"Hydrocracker",IF($H7288="REFORMING","Reformer",""))))</f>
        <v>CDU</v>
      </c>
      <c r="H7288" s="6" t="s">
        <v>38</v>
      </c>
      <c r="I7288" s="6" t="s">
        <v>853</v>
      </c>
      <c r="J7288" s="6" t="s">
        <v>345</v>
      </c>
      <c r="K7288" s="10">
        <v>2.56</v>
      </c>
      <c r="L7288" s="10">
        <v>64</v>
      </c>
      <c r="M7288" s="6" t="s">
        <v>371</v>
      </c>
    </row>
    <row r="7289" spans="1:13">
      <c r="A7289" s="6">
        <v>2026</v>
      </c>
      <c r="B7289" s="6">
        <v>2</v>
      </c>
      <c r="C7289" s="6" t="s">
        <v>60</v>
      </c>
      <c r="D7289" s="6" t="s">
        <v>1038</v>
      </c>
      <c r="E7289" s="6" t="s">
        <v>1039</v>
      </c>
      <c r="F7289" s="6" t="str">
        <f>IF($M7289="PADD I","PADD 1",IF($M7289="PADD II","PADD 2",IF($M7289="PADD III","PADD 3",IF($M7289="PADD IV","PADD 4",IF($M7289="PADD V","PADD 5","")))))</f>
        <v>PADD 2</v>
      </c>
      <c r="G7289" s="6">
        <f>IF(AND($H7289="ATMOS DISTILLATION",ISNUMBER(SEARCH("VPS",$I7289))=FALSE,LEFT($I7289,6)&lt;&gt;"VACUUM"),"CDU",IF($H7289="FLUID CAT CRACKING","FCC",IF(OR($H7289="HYDROCRACKING",$H7289="RESID_HYDROCRACKING"),"Hydrocracker",IF($H7289="REFORMING","Reformer",""))))</f>
        <v/>
      </c>
      <c r="H7289" s="6" t="s">
        <v>43</v>
      </c>
      <c r="I7289" s="6" t="s">
        <v>1197</v>
      </c>
      <c r="J7289" s="6" t="s">
        <v>345</v>
      </c>
      <c r="K7289" s="10">
        <v>2.52</v>
      </c>
      <c r="L7289" s="10">
        <v>18</v>
      </c>
      <c r="M7289" s="6" t="s">
        <v>375</v>
      </c>
    </row>
    <row r="7290" spans="1:13">
      <c r="A7290" s="6">
        <v>2026</v>
      </c>
      <c r="B7290" s="6">
        <v>2</v>
      </c>
      <c r="C7290" s="6" t="s">
        <v>60</v>
      </c>
      <c r="D7290" s="6" t="s">
        <v>329</v>
      </c>
      <c r="E7290" s="6" t="s">
        <v>427</v>
      </c>
      <c r="F7290" s="6" t="str">
        <f>IF($M7290="PADD I","PADD 1",IF($M7290="PADD II","PADD 2",IF($M7290="PADD III","PADD 3",IF($M7290="PADD IV","PADD 4",IF($M7290="PADD V","PADD 5","")))))</f>
        <v>PADD 3</v>
      </c>
      <c r="G7290" s="6" t="str">
        <f>IF(AND($H7290="ATMOS DISTILLATION",ISNUMBER(SEARCH("VPS",$I7290))=FALSE,LEFT($I7290,6)&lt;&gt;"VACUUM"),"CDU",IF($H7290="FLUID CAT CRACKING","FCC",IF(OR($H7290="HYDROCRACKING",$H7290="RESID_HYDROCRACKING"),"Hydrocracker",IF($H7290="REFORMING","Reformer",""))))</f>
        <v>Reformer</v>
      </c>
      <c r="H7290" s="6" t="s">
        <v>421</v>
      </c>
      <c r="I7290" s="6" t="s">
        <v>1162</v>
      </c>
      <c r="J7290" s="6" t="s">
        <v>345</v>
      </c>
      <c r="K7290" s="10">
        <v>2.45</v>
      </c>
      <c r="L7290" s="10">
        <v>17.5</v>
      </c>
      <c r="M7290" s="6" t="s">
        <v>371</v>
      </c>
    </row>
    <row r="7291" spans="1:13">
      <c r="A7291" s="6">
        <v>2026</v>
      </c>
      <c r="B7291" s="6">
        <v>2</v>
      </c>
      <c r="C7291" s="6" t="s">
        <v>60</v>
      </c>
      <c r="D7291" s="6" t="s">
        <v>887</v>
      </c>
      <c r="E7291" s="6" t="s">
        <v>405</v>
      </c>
      <c r="F7291" s="6" t="str">
        <f>IF($M7291="PADD I","PADD 1",IF($M7291="PADD II","PADD 2",IF($M7291="PADD III","PADD 3",IF($M7291="PADD IV","PADD 4",IF($M7291="PADD V","PADD 5","")))))</f>
        <v>PADD 3</v>
      </c>
      <c r="G7291" s="6" t="str">
        <f>IF(AND($H7291="ATMOS DISTILLATION",ISNUMBER(SEARCH("VPS",$I7291))=FALSE,LEFT($I7291,6)&lt;&gt;"VACUUM"),"CDU",IF($H7291="FLUID CAT CRACKING","FCC",IF(OR($H7291="HYDROCRACKING",$H7291="RESID_HYDROCRACKING"),"Hydrocracker",IF($H7291="REFORMING","Reformer",""))))</f>
        <v>Reformer</v>
      </c>
      <c r="H7291" s="6" t="s">
        <v>421</v>
      </c>
      <c r="I7291" s="6" t="s">
        <v>559</v>
      </c>
      <c r="J7291" s="6" t="s">
        <v>345</v>
      </c>
      <c r="K7291" s="10">
        <v>2.31</v>
      </c>
      <c r="L7291" s="10">
        <v>11</v>
      </c>
      <c r="M7291" s="6" t="s">
        <v>371</v>
      </c>
    </row>
    <row r="7292" spans="1:13">
      <c r="A7292" s="6">
        <v>2026</v>
      </c>
      <c r="B7292" s="6">
        <v>2</v>
      </c>
      <c r="C7292" s="6" t="s">
        <v>60</v>
      </c>
      <c r="D7292" s="6" t="s">
        <v>632</v>
      </c>
      <c r="E7292" s="6" t="s">
        <v>633</v>
      </c>
      <c r="F7292" s="6" t="str">
        <f>IF($M7292="PADD I","PADD 1",IF($M7292="PADD II","PADD 2",IF($M7292="PADD III","PADD 3",IF($M7292="PADD IV","PADD 4",IF($M7292="PADD V","PADD 5","")))))</f>
        <v>PADD 4</v>
      </c>
      <c r="G7292" s="6">
        <f>IF(AND($H7292="ATMOS DISTILLATION",ISNUMBER(SEARCH("VPS",$I7292))=FALSE,LEFT($I7292,6)&lt;&gt;"VACUUM"),"CDU",IF($H7292="FLUID CAT CRACKING","FCC",IF(OR($H7292="HYDROCRACKING",$H7292="RESID_HYDROCRACKING"),"Hydrocracker",IF($H7292="REFORMING","Reformer",""))))</f>
        <v/>
      </c>
      <c r="H7292" s="6" t="s">
        <v>460</v>
      </c>
      <c r="I7292" s="6" t="s">
        <v>616</v>
      </c>
      <c r="J7292" s="6" t="s">
        <v>345</v>
      </c>
      <c r="K7292" s="10">
        <v>2.1</v>
      </c>
      <c r="L7292" s="10">
        <v>2.8</v>
      </c>
      <c r="M7292" s="6" t="s">
        <v>430</v>
      </c>
    </row>
    <row r="7293" spans="1:13">
      <c r="A7293" s="6">
        <v>2026</v>
      </c>
      <c r="B7293" s="6">
        <v>2</v>
      </c>
      <c r="C7293" s="6" t="s">
        <v>60</v>
      </c>
      <c r="D7293" s="6" t="s">
        <v>615</v>
      </c>
      <c r="E7293" s="6" t="s">
        <v>405</v>
      </c>
      <c r="F7293" s="6" t="str">
        <f>IF($M7293="PADD I","PADD 1",IF($M7293="PADD II","PADD 2",IF($M7293="PADD III","PADD 3",IF($M7293="PADD IV","PADD 4",IF($M7293="PADD V","PADD 5","")))))</f>
        <v>PADD 5</v>
      </c>
      <c r="G7293" s="6">
        <f>IF(AND($H7293="ATMOS DISTILLATION",ISNUMBER(SEARCH("VPS",$I7293))=FALSE,LEFT($I7293,6)&lt;&gt;"VACUUM"),"CDU",IF($H7293="FLUID CAT CRACKING","FCC",IF(OR($H7293="HYDROCRACKING",$H7293="RESID_HYDROCRACKING"),"Hydrocracker",IF($H7293="REFORMING","Reformer",""))))</f>
        <v/>
      </c>
      <c r="H7293" s="6" t="s">
        <v>43</v>
      </c>
      <c r="I7293" s="6" t="s">
        <v>1309</v>
      </c>
      <c r="J7293" s="6" t="s">
        <v>349</v>
      </c>
      <c r="K7293" s="10">
        <v>2.0097</v>
      </c>
      <c r="L7293" s="10">
        <v>9.57</v>
      </c>
      <c r="M7293" s="6" t="s">
        <v>386</v>
      </c>
    </row>
    <row r="7294" spans="1:13">
      <c r="A7294" s="6">
        <v>2026</v>
      </c>
      <c r="B7294" s="6">
        <v>2</v>
      </c>
      <c r="C7294" s="6" t="s">
        <v>60</v>
      </c>
      <c r="D7294" s="6" t="s">
        <v>526</v>
      </c>
      <c r="E7294" s="6" t="s">
        <v>405</v>
      </c>
      <c r="F7294" s="6" t="str">
        <f>IF($M7294="PADD I","PADD 1",IF($M7294="PADD II","PADD 2",IF($M7294="PADD III","PADD 3",IF($M7294="PADD IV","PADD 4",IF($M7294="PADD V","PADD 5","")))))</f>
        <v>PADD 3</v>
      </c>
      <c r="G7294" s="6">
        <f>IF(AND($H7294="ATMOS DISTILLATION",ISNUMBER(SEARCH("VPS",$I7294))=FALSE,LEFT($I7294,6)&lt;&gt;"VACUUM"),"CDU",IF($H7294="FLUID CAT CRACKING","FCC",IF(OR($H7294="HYDROCRACKING",$H7294="RESID_HYDROCRACKING"),"Hydrocracker",IF($H7294="REFORMING","Reformer",""))))</f>
        <v/>
      </c>
      <c r="H7294" s="6" t="s">
        <v>43</v>
      </c>
      <c r="I7294" s="6" t="s">
        <v>1076</v>
      </c>
      <c r="J7294" s="6" t="s">
        <v>349</v>
      </c>
      <c r="K7294" s="10">
        <v>1.88</v>
      </c>
      <c r="L7294" s="10">
        <v>47</v>
      </c>
      <c r="M7294" s="6" t="s">
        <v>371</v>
      </c>
    </row>
    <row r="7295" spans="1:13">
      <c r="A7295" s="6">
        <v>2026</v>
      </c>
      <c r="B7295" s="6">
        <v>2</v>
      </c>
      <c r="C7295" s="6" t="s">
        <v>60</v>
      </c>
      <c r="D7295" s="6" t="s">
        <v>511</v>
      </c>
      <c r="E7295" s="6" t="s">
        <v>405</v>
      </c>
      <c r="F7295" s="6" t="str">
        <f>IF($M7295="PADD I","PADD 1",IF($M7295="PADD II","PADD 2",IF($M7295="PADD III","PADD 3",IF($M7295="PADD IV","PADD 4",IF($M7295="PADD V","PADD 5","")))))</f>
        <v>PADD 3</v>
      </c>
      <c r="G7295" s="6">
        <f>IF(AND($H7295="ATMOS DISTILLATION",ISNUMBER(SEARCH("VPS",$I7295))=FALSE,LEFT($I7295,6)&lt;&gt;"VACUUM"),"CDU",IF($H7295="FLUID CAT CRACKING","FCC",IF(OR($H7295="HYDROCRACKING",$H7295="RESID_HYDROCRACKING"),"Hydrocracker",IF($H7295="REFORMING","Reformer",""))))</f>
        <v/>
      </c>
      <c r="H7295" s="6" t="s">
        <v>43</v>
      </c>
      <c r="I7295" s="6" t="s">
        <v>605</v>
      </c>
      <c r="J7295" s="6" t="s">
        <v>345</v>
      </c>
      <c r="K7295" s="10">
        <v>1.75</v>
      </c>
      <c r="L7295" s="10">
        <v>25</v>
      </c>
      <c r="M7295" s="6" t="s">
        <v>371</v>
      </c>
    </row>
    <row r="7296" spans="1:13">
      <c r="A7296" s="6">
        <v>2026</v>
      </c>
      <c r="B7296" s="6">
        <v>2</v>
      </c>
      <c r="C7296" s="6" t="s">
        <v>60</v>
      </c>
      <c r="D7296" s="6" t="s">
        <v>511</v>
      </c>
      <c r="E7296" s="6" t="s">
        <v>405</v>
      </c>
      <c r="F7296" s="6" t="str">
        <f>IF($M7296="PADD I","PADD 1",IF($M7296="PADD II","PADD 2",IF($M7296="PADD III","PADD 3",IF($M7296="PADD IV","PADD 4",IF($M7296="PADD V","PADD 5","")))))</f>
        <v>PADD 3</v>
      </c>
      <c r="G7296" s="6">
        <f>IF(AND($H7296="ATMOS DISTILLATION",ISNUMBER(SEARCH("VPS",$I7296))=FALSE,LEFT($I7296,6)&lt;&gt;"VACUUM"),"CDU",IF($H7296="FLUID CAT CRACKING","FCC",IF(OR($H7296="HYDROCRACKING",$H7296="RESID_HYDROCRACKING"),"Hydrocracker",IF($H7296="REFORMING","Reformer",""))))</f>
        <v/>
      </c>
      <c r="H7296" s="6" t="s">
        <v>43</v>
      </c>
      <c r="I7296" s="6" t="s">
        <v>1355</v>
      </c>
      <c r="J7296" s="6" t="s">
        <v>345</v>
      </c>
      <c r="K7296" s="10">
        <v>1.75</v>
      </c>
      <c r="L7296" s="10">
        <v>25</v>
      </c>
      <c r="M7296" s="6" t="s">
        <v>371</v>
      </c>
    </row>
    <row r="7297" spans="1:13">
      <c r="A7297" s="6">
        <v>2026</v>
      </c>
      <c r="B7297" s="6">
        <v>2</v>
      </c>
      <c r="C7297" s="6" t="s">
        <v>60</v>
      </c>
      <c r="D7297" s="6" t="s">
        <v>511</v>
      </c>
      <c r="E7297" s="6" t="s">
        <v>405</v>
      </c>
      <c r="F7297" s="6" t="str">
        <f>IF($M7297="PADD I","PADD 1",IF($M7297="PADD II","PADD 2",IF($M7297="PADD III","PADD 3",IF($M7297="PADD IV","PADD 4",IF($M7297="PADD V","PADD 5","")))))</f>
        <v>PADD 3</v>
      </c>
      <c r="G7297" s="6">
        <f>IF(AND($H7297="ATMOS DISTILLATION",ISNUMBER(SEARCH("VPS",$I7297))=FALSE,LEFT($I7297,6)&lt;&gt;"VACUUM"),"CDU",IF($H7297="FLUID CAT CRACKING","FCC",IF(OR($H7297="HYDROCRACKING",$H7297="RESID_HYDROCRACKING"),"Hydrocracker",IF($H7297="REFORMING","Reformer",""))))</f>
        <v/>
      </c>
      <c r="H7297" s="6" t="s">
        <v>43</v>
      </c>
      <c r="I7297" s="6" t="s">
        <v>1356</v>
      </c>
      <c r="J7297" s="6" t="s">
        <v>345</v>
      </c>
      <c r="K7297" s="10">
        <v>1.75</v>
      </c>
      <c r="L7297" s="10">
        <v>25</v>
      </c>
      <c r="M7297" s="6" t="s">
        <v>371</v>
      </c>
    </row>
    <row r="7298" spans="1:13">
      <c r="A7298" s="6">
        <v>2026</v>
      </c>
      <c r="B7298" s="6">
        <v>2</v>
      </c>
      <c r="C7298" s="6" t="s">
        <v>60</v>
      </c>
      <c r="D7298" s="6" t="s">
        <v>531</v>
      </c>
      <c r="E7298" s="6" t="s">
        <v>532</v>
      </c>
      <c r="F7298" s="6" t="str">
        <f>IF($M7298="PADD I","PADD 1",IF($M7298="PADD II","PADD 2",IF($M7298="PADD III","PADD 3",IF($M7298="PADD IV","PADD 4",IF($M7298="PADD V","PADD 5","")))))</f>
        <v>PADD 5</v>
      </c>
      <c r="G7298" s="6">
        <f>IF(AND($H7298="ATMOS DISTILLATION",ISNUMBER(SEARCH("VPS",$I7298))=FALSE,LEFT($I7298,6)&lt;&gt;"VACUUM"),"CDU",IF($H7298="FLUID CAT CRACKING","FCC",IF(OR($H7298="HYDROCRACKING",$H7298="RESID_HYDROCRACKING"),"Hydrocracker",IF($H7298="REFORMING","Reformer",""))))</f>
        <v/>
      </c>
      <c r="H7298" s="6" t="s">
        <v>435</v>
      </c>
      <c r="I7298" s="6" t="s">
        <v>599</v>
      </c>
      <c r="J7298" s="6" t="s">
        <v>349</v>
      </c>
      <c r="K7298" s="10">
        <v>1.7325</v>
      </c>
      <c r="L7298" s="10">
        <v>8.25</v>
      </c>
      <c r="M7298" s="6" t="s">
        <v>386</v>
      </c>
    </row>
    <row r="7299" spans="1:13">
      <c r="A7299" s="6">
        <v>2026</v>
      </c>
      <c r="B7299" s="6">
        <v>2</v>
      </c>
      <c r="C7299" s="6" t="s">
        <v>60</v>
      </c>
      <c r="D7299" s="6" t="s">
        <v>1060</v>
      </c>
      <c r="E7299" s="6" t="s">
        <v>1039</v>
      </c>
      <c r="F7299" s="6" t="str">
        <f>IF($M7299="PADD I","PADD 1",IF($M7299="PADD II","PADD 2",IF($M7299="PADD III","PADD 3",IF($M7299="PADD IV","PADD 4",IF($M7299="PADD V","PADD 5","")))))</f>
        <v>PADD 2</v>
      </c>
      <c r="G7299" s="6">
        <f>IF(AND($H7299="ATMOS DISTILLATION",ISNUMBER(SEARCH("VPS",$I7299))=FALSE,LEFT($I7299,6)&lt;&gt;"VACUUM"),"CDU",IF($H7299="FLUID CAT CRACKING","FCC",IF(OR($H7299="HYDROCRACKING",$H7299="RESID_HYDROCRACKING"),"Hydrocracker",IF($H7299="REFORMING","Reformer",""))))</f>
        <v/>
      </c>
      <c r="H7299" s="6" t="s">
        <v>43</v>
      </c>
      <c r="I7299" s="6" t="s">
        <v>1198</v>
      </c>
      <c r="J7299" s="6" t="s">
        <v>345</v>
      </c>
      <c r="K7299" s="10">
        <v>1.68</v>
      </c>
      <c r="L7299" s="10">
        <v>12</v>
      </c>
      <c r="M7299" s="6" t="s">
        <v>375</v>
      </c>
    </row>
    <row r="7300" spans="1:13">
      <c r="A7300" s="6">
        <v>2026</v>
      </c>
      <c r="B7300" s="6">
        <v>2</v>
      </c>
      <c r="C7300" s="6" t="s">
        <v>60</v>
      </c>
      <c r="D7300" s="6" t="s">
        <v>1038</v>
      </c>
      <c r="E7300" s="6" t="s">
        <v>1039</v>
      </c>
      <c r="F7300" s="6" t="str">
        <f>IF($M7300="PADD I","PADD 1",IF($M7300="PADD II","PADD 2",IF($M7300="PADD III","PADD 3",IF($M7300="PADD IV","PADD 4",IF($M7300="PADD V","PADD 5","")))))</f>
        <v>PADD 2</v>
      </c>
      <c r="G7300" s="6">
        <f>IF(AND($H7300="ATMOS DISTILLATION",ISNUMBER(SEARCH("VPS",$I7300))=FALSE,LEFT($I7300,6)&lt;&gt;"VACUUM"),"CDU",IF($H7300="FLUID CAT CRACKING","FCC",IF(OR($H7300="HYDROCRACKING",$H7300="RESID_HYDROCRACKING"),"Hydrocracker",IF($H7300="REFORMING","Reformer",""))))</f>
        <v/>
      </c>
      <c r="H7300" s="6" t="s">
        <v>43</v>
      </c>
      <c r="I7300" s="6" t="s">
        <v>1199</v>
      </c>
      <c r="J7300" s="6" t="s">
        <v>345</v>
      </c>
      <c r="K7300" s="10">
        <v>1.68</v>
      </c>
      <c r="L7300" s="10">
        <v>12</v>
      </c>
      <c r="M7300" s="6" t="s">
        <v>375</v>
      </c>
    </row>
    <row r="7301" spans="1:13">
      <c r="A7301" s="6">
        <v>2026</v>
      </c>
      <c r="B7301" s="6">
        <v>2</v>
      </c>
      <c r="C7301" s="6" t="s">
        <v>60</v>
      </c>
      <c r="D7301" s="6" t="s">
        <v>531</v>
      </c>
      <c r="E7301" s="6" t="s">
        <v>532</v>
      </c>
      <c r="F7301" s="6" t="str">
        <f>IF($M7301="PADD I","PADD 1",IF($M7301="PADD II","PADD 2",IF($M7301="PADD III","PADD 3",IF($M7301="PADD IV","PADD 4",IF($M7301="PADD V","PADD 5","")))))</f>
        <v>PADD 5</v>
      </c>
      <c r="G7301" s="6" t="str">
        <f>IF(AND($H7301="ATMOS DISTILLATION",ISNUMBER(SEARCH("VPS",$I7301))=FALSE,LEFT($I7301,6)&lt;&gt;"VACUUM"),"CDU",IF($H7301="FLUID CAT CRACKING","FCC",IF(OR($H7301="HYDROCRACKING",$H7301="RESID_HYDROCRACKING"),"Hydrocracker",IF($H7301="REFORMING","Reformer",""))))</f>
        <v>Hydrocracker</v>
      </c>
      <c r="H7301" s="6" t="s">
        <v>444</v>
      </c>
      <c r="I7301" s="6" t="s">
        <v>14</v>
      </c>
      <c r="J7301" s="6" t="s">
        <v>345</v>
      </c>
      <c r="K7301" s="10">
        <v>1.68</v>
      </c>
      <c r="L7301" s="10">
        <v>24</v>
      </c>
      <c r="M7301" s="6" t="s">
        <v>386</v>
      </c>
    </row>
    <row r="7302" spans="1:13">
      <c r="A7302" s="6">
        <v>2026</v>
      </c>
      <c r="B7302" s="6">
        <v>2</v>
      </c>
      <c r="C7302" s="6" t="s">
        <v>60</v>
      </c>
      <c r="D7302" s="6" t="s">
        <v>1348</v>
      </c>
      <c r="E7302" s="6" t="s">
        <v>405</v>
      </c>
      <c r="F7302" s="6" t="str">
        <f>IF($M7302="PADD I","PADD 1",IF($M7302="PADD II","PADD 2",IF($M7302="PADD III","PADD 3",IF($M7302="PADD IV","PADD 4",IF($M7302="PADD V","PADD 5","")))))</f>
        <v>PADD 5</v>
      </c>
      <c r="G7302" s="6">
        <f>IF(AND($H7302="ATMOS DISTILLATION",ISNUMBER(SEARCH("VPS",$I7302))=FALSE,LEFT($I7302,6)&lt;&gt;"VACUUM"),"CDU",IF($H7302="FLUID CAT CRACKING","FCC",IF(OR($H7302="HYDROCRACKING",$H7302="RESID_HYDROCRACKING"),"Hydrocracker",IF($H7302="REFORMING","Reformer",""))))</f>
        <v/>
      </c>
      <c r="H7302" s="6" t="s">
        <v>378</v>
      </c>
      <c r="I7302" s="6" t="s">
        <v>431</v>
      </c>
      <c r="J7302" s="6" t="s">
        <v>349</v>
      </c>
      <c r="K7302" s="10">
        <v>1.6632</v>
      </c>
      <c r="L7302" s="10">
        <v>4.62</v>
      </c>
      <c r="M7302" s="6" t="s">
        <v>386</v>
      </c>
    </row>
    <row r="7303" spans="1:13">
      <c r="A7303" s="6">
        <v>2026</v>
      </c>
      <c r="B7303" s="6">
        <v>2</v>
      </c>
      <c r="C7303" s="6" t="s">
        <v>60</v>
      </c>
      <c r="D7303" s="6" t="s">
        <v>756</v>
      </c>
      <c r="E7303" s="6" t="s">
        <v>757</v>
      </c>
      <c r="F7303" s="6" t="str">
        <f>IF($M7303="PADD I","PADD 1",IF($M7303="PADD II","PADD 2",IF($M7303="PADD III","PADD 3",IF($M7303="PADD IV","PADD 4",IF($M7303="PADD V","PADD 5","")))))</f>
        <v>PADD 3</v>
      </c>
      <c r="G7303" s="6" t="str">
        <f>IF(AND($H7303="ATMOS DISTILLATION",ISNUMBER(SEARCH("VPS",$I7303))=FALSE,LEFT($I7303,6)&lt;&gt;"VACUUM"),"CDU",IF($H7303="FLUID CAT CRACKING","FCC",IF(OR($H7303="HYDROCRACKING",$H7303="RESID_HYDROCRACKING"),"Hydrocracker",IF($H7303="REFORMING","Reformer",""))))</f>
        <v>CDU</v>
      </c>
      <c r="H7303" s="6" t="s">
        <v>38</v>
      </c>
      <c r="I7303" s="6" t="s">
        <v>81</v>
      </c>
      <c r="J7303" s="6" t="s">
        <v>345</v>
      </c>
      <c r="K7303" s="10">
        <v>1.65</v>
      </c>
      <c r="L7303" s="10">
        <v>15</v>
      </c>
      <c r="M7303" s="6" t="s">
        <v>371</v>
      </c>
    </row>
    <row r="7304" spans="1:13">
      <c r="A7304" s="6">
        <v>2026</v>
      </c>
      <c r="B7304" s="6">
        <v>2</v>
      </c>
      <c r="C7304" s="6" t="s">
        <v>60</v>
      </c>
      <c r="D7304" s="6" t="s">
        <v>1148</v>
      </c>
      <c r="E7304" s="6" t="s">
        <v>1149</v>
      </c>
      <c r="F7304" s="6" t="str">
        <f>IF($M7304="PADD I","PADD 1",IF($M7304="PADD II","PADD 2",IF($M7304="PADD III","PADD 3",IF($M7304="PADD IV","PADD 4",IF($M7304="PADD V","PADD 5","")))))</f>
        <v>PADD 3</v>
      </c>
      <c r="G7304" s="6" t="str">
        <f>IF(AND($H7304="ATMOS DISTILLATION",ISNUMBER(SEARCH("VPS",$I7304))=FALSE,LEFT($I7304,6)&lt;&gt;"VACUUM"),"CDU",IF($H7304="FLUID CAT CRACKING","FCC",IF(OR($H7304="HYDROCRACKING",$H7304="RESID_HYDROCRACKING"),"Hydrocracker",IF($H7304="REFORMING","Reformer",""))))</f>
        <v>CDU</v>
      </c>
      <c r="H7304" s="6" t="s">
        <v>38</v>
      </c>
      <c r="I7304" s="6" t="s">
        <v>81</v>
      </c>
      <c r="J7304" s="6" t="s">
        <v>349</v>
      </c>
      <c r="K7304" s="10">
        <v>1.617</v>
      </c>
      <c r="L7304" s="10">
        <v>7.7</v>
      </c>
      <c r="M7304" s="6" t="s">
        <v>371</v>
      </c>
    </row>
    <row r="7305" spans="1:13">
      <c r="A7305" s="6">
        <v>2026</v>
      </c>
      <c r="B7305" s="6">
        <v>2</v>
      </c>
      <c r="C7305" s="6" t="s">
        <v>60</v>
      </c>
      <c r="D7305" s="6" t="s">
        <v>1038</v>
      </c>
      <c r="E7305" s="6" t="s">
        <v>1039</v>
      </c>
      <c r="F7305" s="6" t="str">
        <f>IF($M7305="PADD I","PADD 1",IF($M7305="PADD II","PADD 2",IF($M7305="PADD III","PADD 3",IF($M7305="PADD IV","PADD 4",IF($M7305="PADD V","PADD 5","")))))</f>
        <v>PADD 2</v>
      </c>
      <c r="G7305" s="6">
        <f>IF(AND($H7305="ATMOS DISTILLATION",ISNUMBER(SEARCH("VPS",$I7305))=FALSE,LEFT($I7305,6)&lt;&gt;"VACUUM"),"CDU",IF($H7305="FLUID CAT CRACKING","FCC",IF(OR($H7305="HYDROCRACKING",$H7305="RESID_HYDROCRACKING"),"Hydrocracker",IF($H7305="REFORMING","Reformer",""))))</f>
        <v/>
      </c>
      <c r="H7305" s="6" t="s">
        <v>637</v>
      </c>
      <c r="I7305" s="6" t="s">
        <v>1357</v>
      </c>
      <c r="J7305" s="6" t="s">
        <v>345</v>
      </c>
      <c r="K7305" s="10">
        <v>1.54</v>
      </c>
      <c r="L7305" s="10">
        <v>11</v>
      </c>
      <c r="M7305" s="6" t="s">
        <v>375</v>
      </c>
    </row>
    <row r="7306" spans="1:13">
      <c r="A7306" s="6">
        <v>2026</v>
      </c>
      <c r="B7306" s="6">
        <v>2</v>
      </c>
      <c r="C7306" s="6" t="s">
        <v>60</v>
      </c>
      <c r="D7306" s="6" t="s">
        <v>851</v>
      </c>
      <c r="E7306" s="6" t="s">
        <v>852</v>
      </c>
      <c r="F7306" s="6" t="str">
        <f>IF($M7306="PADD I","PADD 1",IF($M7306="PADD II","PADD 2",IF($M7306="PADD III","PADD 3",IF($M7306="PADD IV","PADD 4",IF($M7306="PADD V","PADD 5","")))))</f>
        <v>PADD 3</v>
      </c>
      <c r="G7306" s="6">
        <f>IF(AND($H7306="ATMOS DISTILLATION",ISNUMBER(SEARCH("VPS",$I7306))=FALSE,LEFT($I7306,6)&lt;&gt;"VACUUM"),"CDU",IF($H7306="FLUID CAT CRACKING","FCC",IF(OR($H7306="HYDROCRACKING",$H7306="RESID_HYDROCRACKING"),"Hydrocracker",IF($H7306="REFORMING","Reformer",""))))</f>
        <v/>
      </c>
      <c r="H7306" s="6" t="s">
        <v>378</v>
      </c>
      <c r="I7306" s="6" t="s">
        <v>860</v>
      </c>
      <c r="J7306" s="6" t="s">
        <v>345</v>
      </c>
      <c r="K7306" s="10">
        <v>1.44</v>
      </c>
      <c r="L7306" s="10">
        <v>36</v>
      </c>
      <c r="M7306" s="6" t="s">
        <v>371</v>
      </c>
    </row>
    <row r="7307" spans="1:13">
      <c r="A7307" s="6">
        <v>2026</v>
      </c>
      <c r="B7307" s="6">
        <v>2</v>
      </c>
      <c r="C7307" s="6" t="s">
        <v>60</v>
      </c>
      <c r="D7307" s="6" t="s">
        <v>1038</v>
      </c>
      <c r="E7307" s="6" t="s">
        <v>1039</v>
      </c>
      <c r="F7307" s="6" t="str">
        <f>IF($M7307="PADD I","PADD 1",IF($M7307="PADD II","PADD 2",IF($M7307="PADD III","PADD 3",IF($M7307="PADD IV","PADD 4",IF($M7307="PADD V","PADD 5","")))))</f>
        <v>PADD 2</v>
      </c>
      <c r="G7307" s="6">
        <f>IF(AND($H7307="ATMOS DISTILLATION",ISNUMBER(SEARCH("VPS",$I7307))=FALSE,LEFT($I7307,6)&lt;&gt;"VACUUM"),"CDU",IF($H7307="FLUID CAT CRACKING","FCC",IF(OR($H7307="HYDROCRACKING",$H7307="RESID_HYDROCRACKING"),"Hydrocracker",IF($H7307="REFORMING","Reformer",""))))</f>
        <v/>
      </c>
      <c r="H7307" s="6" t="s">
        <v>43</v>
      </c>
      <c r="I7307" s="6" t="s">
        <v>1200</v>
      </c>
      <c r="J7307" s="6" t="s">
        <v>345</v>
      </c>
      <c r="K7307" s="10">
        <v>1.358</v>
      </c>
      <c r="L7307" s="10">
        <v>9.699999999999999</v>
      </c>
      <c r="M7307" s="6" t="s">
        <v>375</v>
      </c>
    </row>
    <row r="7308" spans="1:13">
      <c r="A7308" s="6">
        <v>2026</v>
      </c>
      <c r="B7308" s="6">
        <v>2</v>
      </c>
      <c r="C7308" s="6" t="s">
        <v>60</v>
      </c>
      <c r="D7308" s="6" t="s">
        <v>799</v>
      </c>
      <c r="E7308" s="6" t="s">
        <v>391</v>
      </c>
      <c r="F7308" s="6" t="str">
        <f>IF($M7308="PADD I","PADD 1",IF($M7308="PADD II","PADD 2",IF($M7308="PADD III","PADD 3",IF($M7308="PADD IV","PADD 4",IF($M7308="PADD V","PADD 5","")))))</f>
        <v>PADD 4</v>
      </c>
      <c r="G7308" s="6">
        <f>IF(AND($H7308="ATMOS DISTILLATION",ISNUMBER(SEARCH("VPS",$I7308))=FALSE,LEFT($I7308,6)&lt;&gt;"VACUUM"),"CDU",IF($H7308="FLUID CAT CRACKING","FCC",IF(OR($H7308="HYDROCRACKING",$H7308="RESID_HYDROCRACKING"),"Hydrocracker",IF($H7308="REFORMING","Reformer",""))))</f>
        <v/>
      </c>
      <c r="H7308" s="6" t="s">
        <v>460</v>
      </c>
      <c r="I7308" s="6" t="s">
        <v>908</v>
      </c>
      <c r="J7308" s="6" t="s">
        <v>345</v>
      </c>
      <c r="K7308" s="10">
        <v>1.176</v>
      </c>
      <c r="L7308" s="10">
        <v>5.6</v>
      </c>
      <c r="M7308" s="6" t="s">
        <v>430</v>
      </c>
    </row>
    <row r="7309" spans="1:13">
      <c r="A7309" s="6">
        <v>2026</v>
      </c>
      <c r="B7309" s="6">
        <v>2</v>
      </c>
      <c r="C7309" s="6" t="s">
        <v>60</v>
      </c>
      <c r="D7309" s="6" t="s">
        <v>1289</v>
      </c>
      <c r="E7309" s="6" t="s">
        <v>1290</v>
      </c>
      <c r="F7309" s="6" t="str">
        <f>IF($M7309="PADD I","PADD 1",IF($M7309="PADD II","PADD 2",IF($M7309="PADD III","PADD 3",IF($M7309="PADD IV","PADD 4",IF($M7309="PADD V","PADD 5","")))))</f>
        <v>PADD 5</v>
      </c>
      <c r="G7309" s="6">
        <f>IF(AND($H7309="ATMOS DISTILLATION",ISNUMBER(SEARCH("VPS",$I7309))=FALSE,LEFT($I7309,6)&lt;&gt;"VACUUM"),"CDU",IF($H7309="FLUID CAT CRACKING","FCC",IF(OR($H7309="HYDROCRACKING",$H7309="RESID_HYDROCRACKING"),"Hydrocracker",IF($H7309="REFORMING","Reformer",""))))</f>
        <v/>
      </c>
      <c r="H7309" s="6" t="s">
        <v>43</v>
      </c>
      <c r="I7309" s="6" t="s">
        <v>784</v>
      </c>
      <c r="J7309" s="6" t="s">
        <v>349</v>
      </c>
      <c r="K7309" s="10">
        <v>1.08</v>
      </c>
      <c r="L7309" s="10">
        <v>3</v>
      </c>
      <c r="M7309" s="6" t="s">
        <v>386</v>
      </c>
    </row>
    <row r="7310" spans="1:13">
      <c r="A7310" s="6">
        <v>2026</v>
      </c>
      <c r="B7310" s="6">
        <v>2</v>
      </c>
      <c r="C7310" s="6" t="s">
        <v>60</v>
      </c>
      <c r="D7310" s="6" t="s">
        <v>1158</v>
      </c>
      <c r="E7310" s="6" t="s">
        <v>724</v>
      </c>
      <c r="F7310" s="6" t="str">
        <f>IF($M7310="PADD I","PADD 1",IF($M7310="PADD II","PADD 2",IF($M7310="PADD III","PADD 3",IF($M7310="PADD IV","PADD 4",IF($M7310="PADD V","PADD 5","")))))</f>
        <v>PADD 5</v>
      </c>
      <c r="G7310" s="6">
        <f>IF(AND($H7310="ATMOS DISTILLATION",ISNUMBER(SEARCH("VPS",$I7310))=FALSE,LEFT($I7310,6)&lt;&gt;"VACUUM"),"CDU",IF($H7310="FLUID CAT CRACKING","FCC",IF(OR($H7310="HYDROCRACKING",$H7310="RESID_HYDROCRACKING"),"Hydrocracker",IF($H7310="REFORMING","Reformer",""))))</f>
        <v/>
      </c>
      <c r="H7310" s="6" t="s">
        <v>568</v>
      </c>
      <c r="I7310" s="6" t="s">
        <v>1358</v>
      </c>
      <c r="J7310" s="6" t="s">
        <v>349</v>
      </c>
      <c r="K7310" s="10">
        <v>0.96</v>
      </c>
      <c r="L7310" s="10">
        <v>1.5</v>
      </c>
      <c r="M7310" s="6" t="s">
        <v>386</v>
      </c>
    </row>
    <row r="7311" spans="1:13">
      <c r="A7311" s="6">
        <v>2026</v>
      </c>
      <c r="B7311" s="6">
        <v>2</v>
      </c>
      <c r="C7311" s="6" t="s">
        <v>60</v>
      </c>
      <c r="D7311" s="6" t="s">
        <v>1148</v>
      </c>
      <c r="E7311" s="6" t="s">
        <v>1149</v>
      </c>
      <c r="F7311" s="6" t="str">
        <f>IF($M7311="PADD I","PADD 1",IF($M7311="PADD II","PADD 2",IF($M7311="PADD III","PADD 3",IF($M7311="PADD IV","PADD 4",IF($M7311="PADD V","PADD 5","")))))</f>
        <v>PADD 3</v>
      </c>
      <c r="G7311" s="6">
        <f>IF(AND($H7311="ATMOS DISTILLATION",ISNUMBER(SEARCH("VPS",$I7311))=FALSE,LEFT($I7311,6)&lt;&gt;"VACUUM"),"CDU",IF($H7311="FLUID CAT CRACKING","FCC",IF(OR($H7311="HYDROCRACKING",$H7311="RESID_HYDROCRACKING"),"Hydrocracker",IF($H7311="REFORMING","Reformer",""))))</f>
        <v/>
      </c>
      <c r="H7311" s="6" t="s">
        <v>43</v>
      </c>
      <c r="I7311" s="6" t="s">
        <v>904</v>
      </c>
      <c r="J7311" s="6" t="s">
        <v>349</v>
      </c>
      <c r="K7311" s="10">
        <v>0.945</v>
      </c>
      <c r="L7311" s="10">
        <v>4.5</v>
      </c>
      <c r="M7311" s="6" t="s">
        <v>371</v>
      </c>
    </row>
    <row r="7312" spans="1:13">
      <c r="A7312" s="6">
        <v>2026</v>
      </c>
      <c r="B7312" s="6">
        <v>2</v>
      </c>
      <c r="C7312" s="6" t="s">
        <v>60</v>
      </c>
      <c r="D7312" s="6" t="s">
        <v>615</v>
      </c>
      <c r="E7312" s="6" t="s">
        <v>405</v>
      </c>
      <c r="F7312" s="6" t="str">
        <f>IF($M7312="PADD I","PADD 1",IF($M7312="PADD II","PADD 2",IF($M7312="PADD III","PADD 3",IF($M7312="PADD IV","PADD 4",IF($M7312="PADD V","PADD 5","")))))</f>
        <v>PADD 5</v>
      </c>
      <c r="G7312" s="6">
        <f>IF(AND($H7312="ATMOS DISTILLATION",ISNUMBER(SEARCH("VPS",$I7312))=FALSE,LEFT($I7312,6)&lt;&gt;"VACUUM"),"CDU",IF($H7312="FLUID CAT CRACKING","FCC",IF(OR($H7312="HYDROCRACKING",$H7312="RESID_HYDROCRACKING"),"Hydrocracker",IF($H7312="REFORMING","Reformer",""))))</f>
        <v/>
      </c>
      <c r="H7312" s="6" t="s">
        <v>43</v>
      </c>
      <c r="I7312" s="6" t="s">
        <v>1311</v>
      </c>
      <c r="J7312" s="6" t="s">
        <v>349</v>
      </c>
      <c r="K7312" s="10">
        <v>0.9366</v>
      </c>
      <c r="L7312" s="10">
        <v>4.46</v>
      </c>
      <c r="M7312" s="6" t="s">
        <v>386</v>
      </c>
    </row>
    <row r="7313" spans="1:13">
      <c r="A7313" s="6">
        <v>2026</v>
      </c>
      <c r="B7313" s="6">
        <v>2</v>
      </c>
      <c r="C7313" s="6" t="s">
        <v>60</v>
      </c>
      <c r="D7313" s="6" t="s">
        <v>878</v>
      </c>
      <c r="E7313" s="6" t="s">
        <v>452</v>
      </c>
      <c r="F7313" s="6" t="str">
        <f>IF($M7313="PADD I","PADD 1",IF($M7313="PADD II","PADD 2",IF($M7313="PADD III","PADD 3",IF($M7313="PADD IV","PADD 4",IF($M7313="PADD V","PADD 5","")))))</f>
        <v>PADD 2</v>
      </c>
      <c r="G7313" s="6">
        <f>IF(AND($H7313="ATMOS DISTILLATION",ISNUMBER(SEARCH("VPS",$I7313))=FALSE,LEFT($I7313,6)&lt;&gt;"VACUUM"),"CDU",IF($H7313="FLUID CAT CRACKING","FCC",IF(OR($H7313="HYDROCRACKING",$H7313="RESID_HYDROCRACKING"),"Hydrocracker",IF($H7313="REFORMING","Reformer",""))))</f>
        <v/>
      </c>
      <c r="H7313" s="6" t="s">
        <v>435</v>
      </c>
      <c r="I7313" s="6" t="s">
        <v>441</v>
      </c>
      <c r="J7313" s="6" t="s">
        <v>345</v>
      </c>
      <c r="K7313" s="10">
        <v>0.9350000000000001</v>
      </c>
      <c r="L7313" s="10">
        <v>8.5</v>
      </c>
      <c r="M7313" s="6" t="s">
        <v>375</v>
      </c>
    </row>
    <row r="7314" spans="1:13">
      <c r="A7314" s="6">
        <v>2026</v>
      </c>
      <c r="B7314" s="6">
        <v>2</v>
      </c>
      <c r="C7314" s="6" t="s">
        <v>60</v>
      </c>
      <c r="D7314" s="6" t="s">
        <v>511</v>
      </c>
      <c r="E7314" s="6" t="s">
        <v>405</v>
      </c>
      <c r="F7314" s="6" t="str">
        <f>IF($M7314="PADD I","PADD 1",IF($M7314="PADD II","PADD 2",IF($M7314="PADD III","PADD 3",IF($M7314="PADD IV","PADD 4",IF($M7314="PADD V","PADD 5","")))))</f>
        <v>PADD 3</v>
      </c>
      <c r="G7314" s="6">
        <f>IF(AND($H7314="ATMOS DISTILLATION",ISNUMBER(SEARCH("VPS",$I7314))=FALSE,LEFT($I7314,6)&lt;&gt;"VACUUM"),"CDU",IF($H7314="FLUID CAT CRACKING","FCC",IF(OR($H7314="HYDROCRACKING",$H7314="RESID_HYDROCRACKING"),"Hydrocracker",IF($H7314="REFORMING","Reformer",""))))</f>
        <v/>
      </c>
      <c r="H7314" s="6" t="s">
        <v>460</v>
      </c>
      <c r="I7314" s="6" t="s">
        <v>1359</v>
      </c>
      <c r="J7314" s="6" t="s">
        <v>345</v>
      </c>
      <c r="K7314" s="10">
        <v>0.91</v>
      </c>
      <c r="L7314" s="10">
        <v>13</v>
      </c>
      <c r="M7314" s="6" t="s">
        <v>371</v>
      </c>
    </row>
    <row r="7315" spans="1:13">
      <c r="A7315" s="6">
        <v>2026</v>
      </c>
      <c r="B7315" s="6">
        <v>2</v>
      </c>
      <c r="C7315" s="6" t="s">
        <v>60</v>
      </c>
      <c r="D7315" s="6" t="s">
        <v>1038</v>
      </c>
      <c r="E7315" s="6" t="s">
        <v>1039</v>
      </c>
      <c r="F7315" s="6" t="str">
        <f>IF($M7315="PADD I","PADD 1",IF($M7315="PADD II","PADD 2",IF($M7315="PADD III","PADD 3",IF($M7315="PADD IV","PADD 4",IF($M7315="PADD V","PADD 5","")))))</f>
        <v>PADD 2</v>
      </c>
      <c r="G7315" s="6">
        <f>IF(AND($H7315="ATMOS DISTILLATION",ISNUMBER(SEARCH("VPS",$I7315))=FALSE,LEFT($I7315,6)&lt;&gt;"VACUUM"),"CDU",IF($H7315="FLUID CAT CRACKING","FCC",IF(OR($H7315="HYDROCRACKING",$H7315="RESID_HYDROCRACKING"),"Hydrocracker",IF($H7315="REFORMING","Reformer",""))))</f>
        <v/>
      </c>
      <c r="H7315" s="6" t="s">
        <v>1108</v>
      </c>
      <c r="I7315" s="6" t="s">
        <v>1360</v>
      </c>
      <c r="J7315" s="6" t="s">
        <v>345</v>
      </c>
      <c r="K7315" s="10">
        <v>0.84</v>
      </c>
      <c r="L7315" s="10">
        <v>6</v>
      </c>
      <c r="M7315" s="6" t="s">
        <v>375</v>
      </c>
    </row>
    <row r="7316" spans="1:13">
      <c r="A7316" s="6">
        <v>2026</v>
      </c>
      <c r="B7316" s="6">
        <v>2</v>
      </c>
      <c r="C7316" s="6" t="s">
        <v>60</v>
      </c>
      <c r="D7316" s="6" t="s">
        <v>630</v>
      </c>
      <c r="E7316" s="6" t="s">
        <v>491</v>
      </c>
      <c r="F7316" s="6" t="str">
        <f>IF($M7316="PADD I","PADD 1",IF($M7316="PADD II","PADD 2",IF($M7316="PADD III","PADD 3",IF($M7316="PADD IV","PADD 4",IF($M7316="PADD V","PADD 5","")))))</f>
        <v>PADD 3</v>
      </c>
      <c r="G7316" s="6">
        <f>IF(AND($H7316="ATMOS DISTILLATION",ISNUMBER(SEARCH("VPS",$I7316))=FALSE,LEFT($I7316,6)&lt;&gt;"VACUUM"),"CDU",IF($H7316="FLUID CAT CRACKING","FCC",IF(OR($H7316="HYDROCRACKING",$H7316="RESID_HYDROCRACKING"),"Hydrocracker",IF($H7316="REFORMING","Reformer",""))))</f>
        <v/>
      </c>
      <c r="H7316" s="6" t="s">
        <v>43</v>
      </c>
      <c r="I7316" s="6" t="s">
        <v>464</v>
      </c>
      <c r="J7316" s="6" t="s">
        <v>345</v>
      </c>
      <c r="K7316" s="10">
        <v>0.84</v>
      </c>
      <c r="L7316" s="10">
        <v>12</v>
      </c>
      <c r="M7316" s="6" t="s">
        <v>371</v>
      </c>
    </row>
    <row r="7317" spans="1:13">
      <c r="A7317" s="6">
        <v>2026</v>
      </c>
      <c r="B7317" s="6">
        <v>2</v>
      </c>
      <c r="C7317" s="6" t="s">
        <v>60</v>
      </c>
      <c r="D7317" s="6" t="s">
        <v>615</v>
      </c>
      <c r="E7317" s="6" t="s">
        <v>405</v>
      </c>
      <c r="F7317" s="6" t="str">
        <f>IF($M7317="PADD I","PADD 1",IF($M7317="PADD II","PADD 2",IF($M7317="PADD III","PADD 3",IF($M7317="PADD IV","PADD 4",IF($M7317="PADD V","PADD 5","")))))</f>
        <v>PADD 5</v>
      </c>
      <c r="G7317" s="6">
        <f>IF(AND($H7317="ATMOS DISTILLATION",ISNUMBER(SEARCH("VPS",$I7317))=FALSE,LEFT($I7317,6)&lt;&gt;"VACUUM"),"CDU",IF($H7317="FLUID CAT CRACKING","FCC",IF(OR($H7317="HYDROCRACKING",$H7317="RESID_HYDROCRACKING"),"Hydrocracker",IF($H7317="REFORMING","Reformer",""))))</f>
        <v/>
      </c>
      <c r="H7317" s="6" t="s">
        <v>43</v>
      </c>
      <c r="I7317" s="6" t="s">
        <v>1185</v>
      </c>
      <c r="J7317" s="6" t="s">
        <v>349</v>
      </c>
      <c r="K7317" s="10">
        <v>0.8316</v>
      </c>
      <c r="L7317" s="10">
        <v>3.96</v>
      </c>
      <c r="M7317" s="6" t="s">
        <v>386</v>
      </c>
    </row>
    <row r="7318" spans="1:13">
      <c r="A7318" s="6">
        <v>2026</v>
      </c>
      <c r="B7318" s="6">
        <v>2</v>
      </c>
      <c r="C7318" s="6" t="s">
        <v>60</v>
      </c>
      <c r="D7318" s="6" t="s">
        <v>1148</v>
      </c>
      <c r="E7318" s="6" t="s">
        <v>1149</v>
      </c>
      <c r="F7318" s="6" t="str">
        <f>IF($M7318="PADD I","PADD 1",IF($M7318="PADD II","PADD 2",IF($M7318="PADD III","PADD 3",IF($M7318="PADD IV","PADD 4",IF($M7318="PADD V","PADD 5","")))))</f>
        <v>PADD 3</v>
      </c>
      <c r="G7318" s="6">
        <f>IF(AND($H7318="ATMOS DISTILLATION",ISNUMBER(SEARCH("VPS",$I7318))=FALSE,LEFT($I7318,6)&lt;&gt;"VACUUM"),"CDU",IF($H7318="FLUID CAT CRACKING","FCC",IF(OR($H7318="HYDROCRACKING",$H7318="RESID_HYDROCRACKING"),"Hydrocracker",IF($H7318="REFORMING","Reformer",""))))</f>
        <v/>
      </c>
      <c r="H7318" s="6" t="s">
        <v>637</v>
      </c>
      <c r="I7318" s="6" t="s">
        <v>1326</v>
      </c>
      <c r="J7318" s="6" t="s">
        <v>349</v>
      </c>
      <c r="K7318" s="10">
        <v>0.735</v>
      </c>
      <c r="L7318" s="10">
        <v>3.5</v>
      </c>
      <c r="M7318" s="6" t="s">
        <v>371</v>
      </c>
    </row>
    <row r="7319" spans="1:13">
      <c r="A7319" s="6">
        <v>2026</v>
      </c>
      <c r="B7319" s="6">
        <v>2</v>
      </c>
      <c r="C7319" s="6" t="s">
        <v>60</v>
      </c>
      <c r="D7319" s="6" t="s">
        <v>1289</v>
      </c>
      <c r="E7319" s="6" t="s">
        <v>1290</v>
      </c>
      <c r="F7319" s="6" t="str">
        <f>IF($M7319="PADD I","PADD 1",IF($M7319="PADD II","PADD 2",IF($M7319="PADD III","PADD 3",IF($M7319="PADD IV","PADD 4",IF($M7319="PADD V","PADD 5","")))))</f>
        <v>PADD 5</v>
      </c>
      <c r="G7319" s="6">
        <f>IF(AND($H7319="ATMOS DISTILLATION",ISNUMBER(SEARCH("VPS",$I7319))=FALSE,LEFT($I7319,6)&lt;&gt;"VACUUM"),"CDU",IF($H7319="FLUID CAT CRACKING","FCC",IF(OR($H7319="HYDROCRACKING",$H7319="RESID_HYDROCRACKING"),"Hydrocracker",IF($H7319="REFORMING","Reformer",""))))</f>
        <v/>
      </c>
      <c r="H7319" s="6" t="s">
        <v>637</v>
      </c>
      <c r="I7319" s="6" t="s">
        <v>904</v>
      </c>
      <c r="J7319" s="6" t="s">
        <v>349</v>
      </c>
      <c r="K7319" s="10">
        <v>0.72</v>
      </c>
      <c r="L7319" s="10">
        <v>2</v>
      </c>
      <c r="M7319" s="6" t="s">
        <v>386</v>
      </c>
    </row>
    <row r="7320" spans="1:13">
      <c r="A7320" s="6">
        <v>2026</v>
      </c>
      <c r="B7320" s="6">
        <v>2</v>
      </c>
      <c r="C7320" s="6" t="s">
        <v>60</v>
      </c>
      <c r="D7320" s="6" t="s">
        <v>1148</v>
      </c>
      <c r="E7320" s="6" t="s">
        <v>1149</v>
      </c>
      <c r="F7320" s="6" t="str">
        <f>IF($M7320="PADD I","PADD 1",IF($M7320="PADD II","PADD 2",IF($M7320="PADD III","PADD 3",IF($M7320="PADD IV","PADD 4",IF($M7320="PADD V","PADD 5","")))))</f>
        <v>PADD 3</v>
      </c>
      <c r="G7320" s="6">
        <f>IF(AND($H7320="ATMOS DISTILLATION",ISNUMBER(SEARCH("VPS",$I7320))=FALSE,LEFT($I7320,6)&lt;&gt;"VACUUM"),"CDU",IF($H7320="FLUID CAT CRACKING","FCC",IF(OR($H7320="HYDROCRACKING",$H7320="RESID_HYDROCRACKING"),"Hydrocracker",IF($H7320="REFORMING","Reformer",""))))</f>
        <v/>
      </c>
      <c r="H7320" s="6" t="s">
        <v>378</v>
      </c>
      <c r="I7320" s="6" t="s">
        <v>431</v>
      </c>
      <c r="J7320" s="6" t="s">
        <v>349</v>
      </c>
      <c r="K7320" s="10">
        <v>0.63</v>
      </c>
      <c r="L7320" s="10">
        <v>3</v>
      </c>
      <c r="M7320" s="6" t="s">
        <v>371</v>
      </c>
    </row>
    <row r="7321" spans="1:13">
      <c r="A7321" s="6">
        <v>2026</v>
      </c>
      <c r="B7321" s="6">
        <v>2</v>
      </c>
      <c r="C7321" s="6" t="s">
        <v>60</v>
      </c>
      <c r="D7321" s="6" t="s">
        <v>1348</v>
      </c>
      <c r="E7321" s="6" t="s">
        <v>405</v>
      </c>
      <c r="F7321" s="6" t="str">
        <f>IF($M7321="PADD I","PADD 1",IF($M7321="PADD II","PADD 2",IF($M7321="PADD III","PADD 3",IF($M7321="PADD IV","PADD 4",IF($M7321="PADD V","PADD 5","")))))</f>
        <v>PADD 5</v>
      </c>
      <c r="G7321" s="6">
        <f>IF(AND($H7321="ATMOS DISTILLATION",ISNUMBER(SEARCH("VPS",$I7321))=FALSE,LEFT($I7321,6)&lt;&gt;"VACUUM"),"CDU",IF($H7321="FLUID CAT CRACKING","FCC",IF(OR($H7321="HYDROCRACKING",$H7321="RESID_HYDROCRACKING"),"Hydrocracker",IF($H7321="REFORMING","Reformer",""))))</f>
        <v/>
      </c>
      <c r="H7321" s="6" t="s">
        <v>378</v>
      </c>
      <c r="I7321" s="6" t="s">
        <v>431</v>
      </c>
      <c r="J7321" s="6" t="s">
        <v>349</v>
      </c>
      <c r="K7321" s="10">
        <v>0.4851</v>
      </c>
      <c r="L7321" s="10">
        <v>2.31</v>
      </c>
      <c r="M7321" s="6" t="s">
        <v>386</v>
      </c>
    </row>
    <row r="7322" spans="1:13">
      <c r="A7322" s="6">
        <v>2026</v>
      </c>
      <c r="B7322" s="6">
        <v>2</v>
      </c>
      <c r="C7322" s="6" t="s">
        <v>60</v>
      </c>
      <c r="D7322" s="6" t="s">
        <v>1148</v>
      </c>
      <c r="E7322" s="6" t="s">
        <v>1149</v>
      </c>
      <c r="F7322" s="6" t="str">
        <f>IF($M7322="PADD I","PADD 1",IF($M7322="PADD II","PADD 2",IF($M7322="PADD III","PADD 3",IF($M7322="PADD IV","PADD 4",IF($M7322="PADD V","PADD 5","")))))</f>
        <v>PADD 3</v>
      </c>
      <c r="G7322" s="6">
        <f>IF(AND($H7322="ATMOS DISTILLATION",ISNUMBER(SEARCH("VPS",$I7322))=FALSE,LEFT($I7322,6)&lt;&gt;"VACUUM"),"CDU",IF($H7322="FLUID CAT CRACKING","FCC",IF(OR($H7322="HYDROCRACKING",$H7322="RESID_HYDROCRACKING"),"Hydrocracker",IF($H7322="REFORMING","Reformer",""))))</f>
        <v/>
      </c>
      <c r="H7322" s="6" t="s">
        <v>523</v>
      </c>
      <c r="I7322" s="6" t="s">
        <v>524</v>
      </c>
      <c r="J7322" s="6" t="s">
        <v>349</v>
      </c>
      <c r="K7322" s="10">
        <v>0.315</v>
      </c>
      <c r="L7322" s="10">
        <v>1.5</v>
      </c>
      <c r="M7322" s="6" t="s">
        <v>371</v>
      </c>
    </row>
    <row r="7323" spans="1:13">
      <c r="A7323" s="6">
        <v>2026</v>
      </c>
      <c r="B7323" s="6">
        <v>3</v>
      </c>
      <c r="C7323" s="6" t="s">
        <v>61</v>
      </c>
      <c r="D7323" s="6" t="s">
        <v>48</v>
      </c>
      <c r="E7323" s="6" t="s">
        <v>388</v>
      </c>
      <c r="F7323" s="6" t="str">
        <f>IF($M7323="PADD I","PADD 1",IF($M7323="PADD II","PADD 2",IF($M7323="PADD III","PADD 3",IF($M7323="PADD IV","PADD 4",IF($M7323="PADD V","PADD 5","")))))</f>
        <v>PADD 2</v>
      </c>
      <c r="G7323" s="6" t="str">
        <f>IF(AND($H7323="ATMOS DISTILLATION",ISNUMBER(SEARCH("VPS",$I7323))=FALSE,LEFT($I7323,6)&lt;&gt;"VACUUM"),"CDU",IF($H7323="FLUID CAT CRACKING","FCC",IF(OR($H7323="HYDROCRACKING",$H7323="RESID_HYDROCRACKING"),"Hydrocracker",IF($H7323="REFORMING","Reformer",""))))</f>
        <v>CDU</v>
      </c>
      <c r="H7323" s="6" t="s">
        <v>38</v>
      </c>
      <c r="I7323" s="6" t="s">
        <v>720</v>
      </c>
      <c r="J7323" s="6" t="s">
        <v>349</v>
      </c>
      <c r="K7323" s="10">
        <v>125.1</v>
      </c>
      <c r="L7323" s="10">
        <v>278</v>
      </c>
      <c r="M7323" s="6" t="s">
        <v>375</v>
      </c>
    </row>
    <row r="7324" spans="1:13">
      <c r="A7324" s="6">
        <v>2026</v>
      </c>
      <c r="B7324" s="6">
        <v>3</v>
      </c>
      <c r="C7324" s="6" t="s">
        <v>61</v>
      </c>
      <c r="D7324" s="6" t="s">
        <v>322</v>
      </c>
      <c r="E7324" s="6" t="s">
        <v>369</v>
      </c>
      <c r="F7324" s="6" t="str">
        <f>IF($M7324="PADD I","PADD 1",IF($M7324="PADD II","PADD 2",IF($M7324="PADD III","PADD 3",IF($M7324="PADD IV","PADD 4",IF($M7324="PADD V","PADD 5","")))))</f>
        <v>PADD 2</v>
      </c>
      <c r="G7324" s="6" t="str">
        <f>IF(AND($H7324="ATMOS DISTILLATION",ISNUMBER(SEARCH("VPS",$I7324))=FALSE,LEFT($I7324,6)&lt;&gt;"VACUUM"),"CDU",IF($H7324="FLUID CAT CRACKING","FCC",IF(OR($H7324="HYDROCRACKING",$H7324="RESID_HYDROCRACKING"),"Hydrocracker",IF($H7324="REFORMING","Reformer",""))))</f>
        <v>CDU</v>
      </c>
      <c r="H7324" s="6" t="s">
        <v>38</v>
      </c>
      <c r="I7324" s="6" t="s">
        <v>521</v>
      </c>
      <c r="J7324" s="6" t="s">
        <v>349</v>
      </c>
      <c r="K7324" s="10">
        <v>120</v>
      </c>
      <c r="L7324" s="10">
        <v>120</v>
      </c>
      <c r="M7324" s="6" t="s">
        <v>375</v>
      </c>
    </row>
    <row r="7325" spans="1:13">
      <c r="A7325" s="6">
        <v>2026</v>
      </c>
      <c r="B7325" s="6">
        <v>3</v>
      </c>
      <c r="C7325" s="6" t="s">
        <v>61</v>
      </c>
      <c r="D7325" s="6" t="s">
        <v>322</v>
      </c>
      <c r="E7325" s="6" t="s">
        <v>369</v>
      </c>
      <c r="F7325" s="6" t="str">
        <f>IF($M7325="PADD I","PADD 1",IF($M7325="PADD II","PADD 2",IF($M7325="PADD III","PADD 3",IF($M7325="PADD IV","PADD 4",IF($M7325="PADD V","PADD 5","")))))</f>
        <v>PADD 2</v>
      </c>
      <c r="G7325" s="6">
        <f>IF(AND($H7325="ATMOS DISTILLATION",ISNUMBER(SEARCH("VPS",$I7325))=FALSE,LEFT($I7325,6)&lt;&gt;"VACUUM"),"CDU",IF($H7325="FLUID CAT CRACKING","FCC",IF(OR($H7325="HYDROCRACKING",$H7325="RESID_HYDROCRACKING"),"Hydrocracker",IF($H7325="REFORMING","Reformer",""))))</f>
        <v/>
      </c>
      <c r="H7325" s="6" t="s">
        <v>378</v>
      </c>
      <c r="I7325" s="6" t="s">
        <v>419</v>
      </c>
      <c r="J7325" s="6" t="s">
        <v>349</v>
      </c>
      <c r="K7325" s="10">
        <v>105</v>
      </c>
      <c r="L7325" s="10">
        <v>105</v>
      </c>
      <c r="M7325" s="6" t="s">
        <v>375</v>
      </c>
    </row>
    <row r="7326" spans="1:13">
      <c r="A7326" s="6">
        <v>2026</v>
      </c>
      <c r="B7326" s="6">
        <v>3</v>
      </c>
      <c r="C7326" s="6" t="s">
        <v>61</v>
      </c>
      <c r="D7326" s="6" t="s">
        <v>662</v>
      </c>
      <c r="E7326" s="6" t="s">
        <v>552</v>
      </c>
      <c r="F7326" s="6" t="str">
        <f>IF($M7326="PADD I","PADD 1",IF($M7326="PADD II","PADD 2",IF($M7326="PADD III","PADD 3",IF($M7326="PADD IV","PADD 4",IF($M7326="PADD V","PADD 5","")))))</f>
        <v>PADD 3</v>
      </c>
      <c r="G7326" s="6" t="str">
        <f>IF(AND($H7326="ATMOS DISTILLATION",ISNUMBER(SEARCH("VPS",$I7326))=FALSE,LEFT($I7326,6)&lt;&gt;"VACUUM"),"CDU",IF($H7326="FLUID CAT CRACKING","FCC",IF(OR($H7326="HYDROCRACKING",$H7326="RESID_HYDROCRACKING"),"Hydrocracker",IF($H7326="REFORMING","Reformer",""))))</f>
        <v>CDU</v>
      </c>
      <c r="H7326" s="6" t="s">
        <v>38</v>
      </c>
      <c r="I7326" s="6" t="s">
        <v>663</v>
      </c>
      <c r="J7326" s="6" t="s">
        <v>349</v>
      </c>
      <c r="K7326" s="10">
        <v>73</v>
      </c>
      <c r="L7326" s="10">
        <v>73</v>
      </c>
      <c r="M7326" s="6" t="s">
        <v>371</v>
      </c>
    </row>
    <row r="7327" spans="1:13">
      <c r="A7327" s="6">
        <v>2026</v>
      </c>
      <c r="B7327" s="6">
        <v>3</v>
      </c>
      <c r="C7327" s="6" t="s">
        <v>61</v>
      </c>
      <c r="D7327" s="6" t="s">
        <v>326</v>
      </c>
      <c r="E7327" s="6" t="s">
        <v>385</v>
      </c>
      <c r="F7327" s="6" t="str">
        <f>IF($M7327="PADD I","PADD 1",IF($M7327="PADD II","PADD 2",IF($M7327="PADD III","PADD 3",IF($M7327="PADD IV","PADD 4",IF($M7327="PADD V","PADD 5","")))))</f>
        <v>PADD 5</v>
      </c>
      <c r="G7327" s="6" t="str">
        <f>IF(AND($H7327="ATMOS DISTILLATION",ISNUMBER(SEARCH("VPS",$I7327))=FALSE,LEFT($I7327,6)&lt;&gt;"VACUUM"),"CDU",IF($H7327="FLUID CAT CRACKING","FCC",IF(OR($H7327="HYDROCRACKING",$H7327="RESID_HYDROCRACKING"),"Hydrocracker",IF($H7327="REFORMING","Reformer",""))))</f>
        <v>FCC</v>
      </c>
      <c r="H7327" s="6" t="s">
        <v>376</v>
      </c>
      <c r="I7327" s="6" t="s">
        <v>504</v>
      </c>
      <c r="J7327" s="6" t="s">
        <v>345</v>
      </c>
      <c r="K7327" s="10">
        <v>70</v>
      </c>
      <c r="L7327" s="10">
        <v>70</v>
      </c>
      <c r="M7327" s="6" t="s">
        <v>386</v>
      </c>
    </row>
    <row r="7328" spans="1:13">
      <c r="A7328" s="6">
        <v>2026</v>
      </c>
      <c r="B7328" s="6">
        <v>3</v>
      </c>
      <c r="C7328" s="6" t="s">
        <v>61</v>
      </c>
      <c r="D7328" s="6" t="s">
        <v>324</v>
      </c>
      <c r="E7328" s="6" t="s">
        <v>388</v>
      </c>
      <c r="F7328" s="6" t="str">
        <f>IF($M7328="PADD I","PADD 1",IF($M7328="PADD II","PADD 2",IF($M7328="PADD III","PADD 3",IF($M7328="PADD IV","PADD 4",IF($M7328="PADD V","PADD 5","")))))</f>
        <v>PADD 3</v>
      </c>
      <c r="G7328" s="6">
        <f>IF(AND($H7328="ATMOS DISTILLATION",ISNUMBER(SEARCH("VPS",$I7328))=FALSE,LEFT($I7328,6)&lt;&gt;"VACUUM"),"CDU",IF($H7328="FLUID CAT CRACKING","FCC",IF(OR($H7328="HYDROCRACKING",$H7328="RESID_HYDROCRACKING"),"Hydrocracker",IF($H7328="REFORMING","Reformer",""))))</f>
        <v/>
      </c>
      <c r="H7328" s="6" t="s">
        <v>43</v>
      </c>
      <c r="I7328" s="6" t="s">
        <v>682</v>
      </c>
      <c r="J7328" s="6" t="s">
        <v>349</v>
      </c>
      <c r="K7328" s="10">
        <v>68.90000000000001</v>
      </c>
      <c r="L7328" s="10">
        <v>106</v>
      </c>
      <c r="M7328" s="6" t="s">
        <v>371</v>
      </c>
    </row>
    <row r="7329" spans="1:13">
      <c r="A7329" s="6">
        <v>2026</v>
      </c>
      <c r="B7329" s="6">
        <v>3</v>
      </c>
      <c r="C7329" s="6" t="s">
        <v>61</v>
      </c>
      <c r="D7329" s="6" t="s">
        <v>322</v>
      </c>
      <c r="E7329" s="6" t="s">
        <v>369</v>
      </c>
      <c r="F7329" s="6" t="str">
        <f>IF($M7329="PADD I","PADD 1",IF($M7329="PADD II","PADD 2",IF($M7329="PADD III","PADD 3",IF($M7329="PADD IV","PADD 4",IF($M7329="PADD V","PADD 5","")))))</f>
        <v>PADD 2</v>
      </c>
      <c r="G7329" s="6">
        <f>IF(AND($H7329="ATMOS DISTILLATION",ISNUMBER(SEARCH("VPS",$I7329))=FALSE,LEFT($I7329,6)&lt;&gt;"VACUUM"),"CDU",IF($H7329="FLUID CAT CRACKING","FCC",IF(OR($H7329="HYDROCRACKING",$H7329="RESID_HYDROCRACKING"),"Hydrocracker",IF($H7329="REFORMING","Reformer",""))))</f>
        <v/>
      </c>
      <c r="H7329" s="6" t="s">
        <v>435</v>
      </c>
      <c r="I7329" s="6" t="s">
        <v>441</v>
      </c>
      <c r="J7329" s="6" t="s">
        <v>349</v>
      </c>
      <c r="K7329" s="10">
        <v>65</v>
      </c>
      <c r="L7329" s="10">
        <v>65</v>
      </c>
      <c r="M7329" s="6" t="s">
        <v>375</v>
      </c>
    </row>
    <row r="7330" spans="1:13">
      <c r="A7330" s="6">
        <v>2026</v>
      </c>
      <c r="B7330" s="6">
        <v>3</v>
      </c>
      <c r="C7330" s="6" t="s">
        <v>61</v>
      </c>
      <c r="D7330" s="6" t="s">
        <v>1060</v>
      </c>
      <c r="E7330" s="6" t="s">
        <v>1039</v>
      </c>
      <c r="F7330" s="6" t="str">
        <f>IF($M7330="PADD I","PADD 1",IF($M7330="PADD II","PADD 2",IF($M7330="PADD III","PADD 3",IF($M7330="PADD IV","PADD 4",IF($M7330="PADD V","PADD 5","")))))</f>
        <v>PADD 2</v>
      </c>
      <c r="G7330" s="6" t="str">
        <f>IF(AND($H7330="ATMOS DISTILLATION",ISNUMBER(SEARCH("VPS",$I7330))=FALSE,LEFT($I7330,6)&lt;&gt;"VACUUM"),"CDU",IF($H7330="FLUID CAT CRACKING","FCC",IF(OR($H7330="HYDROCRACKING",$H7330="RESID_HYDROCRACKING"),"Hydrocracker",IF($H7330="REFORMING","Reformer",""))))</f>
        <v>CDU</v>
      </c>
      <c r="H7330" s="6" t="s">
        <v>38</v>
      </c>
      <c r="I7330" s="6" t="s">
        <v>406</v>
      </c>
      <c r="J7330" s="6" t="s">
        <v>349</v>
      </c>
      <c r="K7330" s="10">
        <v>62.4</v>
      </c>
      <c r="L7330" s="10">
        <v>160</v>
      </c>
      <c r="M7330" s="6" t="s">
        <v>375</v>
      </c>
    </row>
    <row r="7331" spans="1:13">
      <c r="A7331" s="6">
        <v>2026</v>
      </c>
      <c r="B7331" s="6">
        <v>3</v>
      </c>
      <c r="C7331" s="6" t="s">
        <v>61</v>
      </c>
      <c r="D7331" s="6" t="s">
        <v>326</v>
      </c>
      <c r="E7331" s="6" t="s">
        <v>385</v>
      </c>
      <c r="F7331" s="6" t="str">
        <f>IF($M7331="PADD I","PADD 1",IF($M7331="PADD II","PADD 2",IF($M7331="PADD III","PADD 3",IF($M7331="PADD IV","PADD 4",IF($M7331="PADD V","PADD 5","")))))</f>
        <v>PADD 5</v>
      </c>
      <c r="G7331" s="6" t="str">
        <f>IF(AND($H7331="ATMOS DISTILLATION",ISNUMBER(SEARCH("VPS",$I7331))=FALSE,LEFT($I7331,6)&lt;&gt;"VACUUM"),"CDU",IF($H7331="FLUID CAT CRACKING","FCC",IF(OR($H7331="HYDROCRACKING",$H7331="RESID_HYDROCRACKING"),"Hydrocracker",IF($H7331="REFORMING","Reformer",""))))</f>
        <v>CDU</v>
      </c>
      <c r="H7331" s="6" t="s">
        <v>38</v>
      </c>
      <c r="I7331" s="6" t="s">
        <v>93</v>
      </c>
      <c r="J7331" s="6" t="s">
        <v>345</v>
      </c>
      <c r="K7331" s="10">
        <v>60</v>
      </c>
      <c r="L7331" s="10">
        <v>60</v>
      </c>
      <c r="M7331" s="6" t="s">
        <v>386</v>
      </c>
    </row>
    <row r="7332" spans="1:13">
      <c r="A7332" s="6">
        <v>2026</v>
      </c>
      <c r="B7332" s="6">
        <v>3</v>
      </c>
      <c r="C7332" s="6" t="s">
        <v>61</v>
      </c>
      <c r="D7332" s="6" t="s">
        <v>48</v>
      </c>
      <c r="E7332" s="6" t="s">
        <v>388</v>
      </c>
      <c r="F7332" s="6" t="str">
        <f>IF($M7332="PADD I","PADD 1",IF($M7332="PADD II","PADD 2",IF($M7332="PADD III","PADD 3",IF($M7332="PADD IV","PADD 4",IF($M7332="PADD V","PADD 5","")))))</f>
        <v>PADD 2</v>
      </c>
      <c r="G7332" s="6">
        <f>IF(AND($H7332="ATMOS DISTILLATION",ISNUMBER(SEARCH("VPS",$I7332))=FALSE,LEFT($I7332,6)&lt;&gt;"VACUUM"),"CDU",IF($H7332="FLUID CAT CRACKING","FCC",IF(OR($H7332="HYDROCRACKING",$H7332="RESID_HYDROCRACKING"),"Hydrocracker",IF($H7332="REFORMING","Reformer",""))))</f>
        <v/>
      </c>
      <c r="H7332" s="6" t="s">
        <v>43</v>
      </c>
      <c r="I7332" s="6" t="s">
        <v>696</v>
      </c>
      <c r="J7332" s="6" t="s">
        <v>349</v>
      </c>
      <c r="K7332" s="10">
        <v>55.25</v>
      </c>
      <c r="L7332" s="10">
        <v>85</v>
      </c>
      <c r="M7332" s="6" t="s">
        <v>375</v>
      </c>
    </row>
    <row r="7333" spans="1:13">
      <c r="A7333" s="6">
        <v>2026</v>
      </c>
      <c r="B7333" s="6">
        <v>3</v>
      </c>
      <c r="C7333" s="6" t="s">
        <v>61</v>
      </c>
      <c r="D7333" s="6" t="s">
        <v>48</v>
      </c>
      <c r="E7333" s="6" t="s">
        <v>388</v>
      </c>
      <c r="F7333" s="6" t="str">
        <f>IF($M7333="PADD I","PADD 1",IF($M7333="PADD II","PADD 2",IF($M7333="PADD III","PADD 3",IF($M7333="PADD IV","PADD 4",IF($M7333="PADD V","PADD 5","")))))</f>
        <v>PADD 2</v>
      </c>
      <c r="G7333" s="6">
        <f>IF(AND($H7333="ATMOS DISTILLATION",ISNUMBER(SEARCH("VPS",$I7333))=FALSE,LEFT($I7333,6)&lt;&gt;"VACUUM"),"CDU",IF($H7333="FLUID CAT CRACKING","FCC",IF(OR($H7333="HYDROCRACKING",$H7333="RESID_HYDROCRACKING"),"Hydrocracker",IF($H7333="REFORMING","Reformer",""))))</f>
        <v/>
      </c>
      <c r="H7333" s="6" t="s">
        <v>43</v>
      </c>
      <c r="I7333" s="6" t="s">
        <v>696</v>
      </c>
      <c r="J7333" s="6" t="s">
        <v>349</v>
      </c>
      <c r="K7333" s="10">
        <v>55.25</v>
      </c>
      <c r="L7333" s="10">
        <v>85</v>
      </c>
      <c r="M7333" s="6" t="s">
        <v>375</v>
      </c>
    </row>
    <row r="7334" spans="1:13">
      <c r="A7334" s="6">
        <v>2026</v>
      </c>
      <c r="B7334" s="6">
        <v>3</v>
      </c>
      <c r="C7334" s="6" t="s">
        <v>61</v>
      </c>
      <c r="D7334" s="6" t="s">
        <v>526</v>
      </c>
      <c r="E7334" s="6" t="s">
        <v>405</v>
      </c>
      <c r="F7334" s="6" t="str">
        <f>IF($M7334="PADD I","PADD 1",IF($M7334="PADD II","PADD 2",IF($M7334="PADD III","PADD 3",IF($M7334="PADD IV","PADD 4",IF($M7334="PADD V","PADD 5","")))))</f>
        <v>PADD 3</v>
      </c>
      <c r="G7334" s="6" t="str">
        <f>IF(AND($H7334="ATMOS DISTILLATION",ISNUMBER(SEARCH("VPS",$I7334))=FALSE,LEFT($I7334,6)&lt;&gt;"VACUUM"),"CDU",IF($H7334="FLUID CAT CRACKING","FCC",IF(OR($H7334="HYDROCRACKING",$H7334="RESID_HYDROCRACKING"),"Hydrocracker",IF($H7334="REFORMING","Reformer",""))))</f>
        <v>CDU</v>
      </c>
      <c r="H7334" s="6" t="s">
        <v>38</v>
      </c>
      <c r="I7334" s="6" t="s">
        <v>350</v>
      </c>
      <c r="J7334" s="6" t="s">
        <v>345</v>
      </c>
      <c r="K7334" s="10">
        <v>54.6</v>
      </c>
      <c r="L7334" s="10">
        <v>210</v>
      </c>
      <c r="M7334" s="6" t="s">
        <v>371</v>
      </c>
    </row>
    <row r="7335" spans="1:13">
      <c r="A7335" s="6">
        <v>2026</v>
      </c>
      <c r="B7335" s="6">
        <v>3</v>
      </c>
      <c r="C7335" s="6" t="s">
        <v>61</v>
      </c>
      <c r="D7335" s="6" t="s">
        <v>321</v>
      </c>
      <c r="E7335" s="6" t="s">
        <v>381</v>
      </c>
      <c r="F7335" s="6" t="str">
        <f>IF($M7335="PADD I","PADD 1",IF($M7335="PADD II","PADD 2",IF($M7335="PADD III","PADD 3",IF($M7335="PADD IV","PADD 4",IF($M7335="PADD V","PADD 5","")))))</f>
        <v>PADD 2</v>
      </c>
      <c r="G7335" s="6" t="str">
        <f>IF(AND($H7335="ATMOS DISTILLATION",ISNUMBER(SEARCH("VPS",$I7335))=FALSE,LEFT($I7335,6)&lt;&gt;"VACUUM"),"CDU",IF($H7335="FLUID CAT CRACKING","FCC",IF(OR($H7335="HYDROCRACKING",$H7335="RESID_HYDROCRACKING"),"Hydrocracker",IF($H7335="REFORMING","Reformer",""))))</f>
        <v>CDU</v>
      </c>
      <c r="H7335" s="6" t="s">
        <v>38</v>
      </c>
      <c r="I7335" s="6" t="s">
        <v>81</v>
      </c>
      <c r="J7335" s="6" t="s">
        <v>349</v>
      </c>
      <c r="K7335" s="10">
        <v>53.25</v>
      </c>
      <c r="L7335" s="10">
        <v>75</v>
      </c>
      <c r="M7335" s="6" t="s">
        <v>375</v>
      </c>
    </row>
    <row r="7336" spans="1:13">
      <c r="A7336" s="6">
        <v>2026</v>
      </c>
      <c r="B7336" s="6">
        <v>3</v>
      </c>
      <c r="C7336" s="6" t="s">
        <v>61</v>
      </c>
      <c r="D7336" s="6" t="s">
        <v>333</v>
      </c>
      <c r="E7336" s="6" t="s">
        <v>381</v>
      </c>
      <c r="F7336" s="6" t="str">
        <f>IF($M7336="PADD I","PADD 1",IF($M7336="PADD II","PADD 2",IF($M7336="PADD III","PADD 3",IF($M7336="PADD IV","PADD 4",IF($M7336="PADD V","PADD 5","")))))</f>
        <v>PADD 3</v>
      </c>
      <c r="G7336" s="6" t="str">
        <f>IF(AND($H7336="ATMOS DISTILLATION",ISNUMBER(SEARCH("VPS",$I7336))=FALSE,LEFT($I7336,6)&lt;&gt;"VACUUM"),"CDU",IF($H7336="FLUID CAT CRACKING","FCC",IF(OR($H7336="HYDROCRACKING",$H7336="RESID_HYDROCRACKING"),"Hydrocracker",IF($H7336="REFORMING","Reformer",""))))</f>
        <v>CDU</v>
      </c>
      <c r="H7336" s="6" t="s">
        <v>38</v>
      </c>
      <c r="I7336" s="6" t="s">
        <v>537</v>
      </c>
      <c r="J7336" s="6" t="s">
        <v>349</v>
      </c>
      <c r="K7336" s="10">
        <v>47.85</v>
      </c>
      <c r="L7336" s="10">
        <v>165</v>
      </c>
      <c r="M7336" s="6" t="s">
        <v>371</v>
      </c>
    </row>
    <row r="7337" spans="1:13">
      <c r="A7337" s="6">
        <v>2026</v>
      </c>
      <c r="B7337" s="6">
        <v>3</v>
      </c>
      <c r="C7337" s="6" t="s">
        <v>61</v>
      </c>
      <c r="D7337" s="6" t="s">
        <v>526</v>
      </c>
      <c r="E7337" s="6" t="s">
        <v>405</v>
      </c>
      <c r="F7337" s="6" t="str">
        <f>IF($M7337="PADD I","PADD 1",IF($M7337="PADD II","PADD 2",IF($M7337="PADD III","PADD 3",IF($M7337="PADD IV","PADD 4",IF($M7337="PADD V","PADD 5","")))))</f>
        <v>PADD 3</v>
      </c>
      <c r="G7337" s="6">
        <f>IF(AND($H7337="ATMOS DISTILLATION",ISNUMBER(SEARCH("VPS",$I7337))=FALSE,LEFT($I7337,6)&lt;&gt;"VACUUM"),"CDU",IF($H7337="FLUID CAT CRACKING","FCC",IF(OR($H7337="HYDROCRACKING",$H7337="RESID_HYDROCRACKING"),"Hydrocracker",IF($H7337="REFORMING","Reformer",""))))</f>
        <v/>
      </c>
      <c r="H7337" s="6" t="s">
        <v>378</v>
      </c>
      <c r="I7337" s="6" t="s">
        <v>649</v>
      </c>
      <c r="J7337" s="6" t="s">
        <v>345</v>
      </c>
      <c r="K7337" s="10">
        <v>44.72</v>
      </c>
      <c r="L7337" s="10">
        <v>172</v>
      </c>
      <c r="M7337" s="6" t="s">
        <v>371</v>
      </c>
    </row>
    <row r="7338" spans="1:13">
      <c r="A7338" s="6">
        <v>2026</v>
      </c>
      <c r="B7338" s="6">
        <v>3</v>
      </c>
      <c r="C7338" s="6" t="s">
        <v>61</v>
      </c>
      <c r="D7338" s="6" t="s">
        <v>526</v>
      </c>
      <c r="E7338" s="6" t="s">
        <v>405</v>
      </c>
      <c r="F7338" s="6" t="str">
        <f>IF($M7338="PADD I","PADD 1",IF($M7338="PADD II","PADD 2",IF($M7338="PADD III","PADD 3",IF($M7338="PADD IV","PADD 4",IF($M7338="PADD V","PADD 5","")))))</f>
        <v>PADD 3</v>
      </c>
      <c r="G7338" s="6">
        <f>IF(AND($H7338="ATMOS DISTILLATION",ISNUMBER(SEARCH("VPS",$I7338))=FALSE,LEFT($I7338,6)&lt;&gt;"VACUUM"),"CDU",IF($H7338="FLUID CAT CRACKING","FCC",IF(OR($H7338="HYDROCRACKING",$H7338="RESID_HYDROCRACKING"),"Hydrocracker",IF($H7338="REFORMING","Reformer",""))))</f>
        <v/>
      </c>
      <c r="H7338" s="6" t="s">
        <v>378</v>
      </c>
      <c r="I7338" s="6" t="s">
        <v>649</v>
      </c>
      <c r="J7338" s="6" t="s">
        <v>345</v>
      </c>
      <c r="K7338" s="10">
        <v>44.72</v>
      </c>
      <c r="L7338" s="10">
        <v>172</v>
      </c>
      <c r="M7338" s="6" t="s">
        <v>371</v>
      </c>
    </row>
    <row r="7339" spans="1:13">
      <c r="A7339" s="6">
        <v>2026</v>
      </c>
      <c r="B7339" s="6">
        <v>3</v>
      </c>
      <c r="C7339" s="6" t="s">
        <v>61</v>
      </c>
      <c r="D7339" s="6" t="s">
        <v>328</v>
      </c>
      <c r="E7339" s="6" t="s">
        <v>416</v>
      </c>
      <c r="F7339" s="6" t="str">
        <f>IF($M7339="PADD I","PADD 1",IF($M7339="PADD II","PADD 2",IF($M7339="PADD III","PADD 3",IF($M7339="PADD IV","PADD 4",IF($M7339="PADD V","PADD 5","")))))</f>
        <v>PADD 2</v>
      </c>
      <c r="G7339" s="6" t="str">
        <f>IF(AND($H7339="ATMOS DISTILLATION",ISNUMBER(SEARCH("VPS",$I7339))=FALSE,LEFT($I7339,6)&lt;&gt;"VACUUM"),"CDU",IF($H7339="FLUID CAT CRACKING","FCC",IF(OR($H7339="HYDROCRACKING",$H7339="RESID_HYDROCRACKING"),"Hydrocracker",IF($H7339="REFORMING","Reformer",""))))</f>
        <v>CDU</v>
      </c>
      <c r="H7339" s="6" t="s">
        <v>38</v>
      </c>
      <c r="I7339" s="6" t="s">
        <v>91</v>
      </c>
      <c r="J7339" s="6" t="s">
        <v>349</v>
      </c>
      <c r="K7339" s="10">
        <v>44.4</v>
      </c>
      <c r="L7339" s="10">
        <v>60</v>
      </c>
      <c r="M7339" s="6" t="s">
        <v>375</v>
      </c>
    </row>
    <row r="7340" spans="1:13">
      <c r="A7340" s="6">
        <v>2026</v>
      </c>
      <c r="B7340" s="6">
        <v>3</v>
      </c>
      <c r="C7340" s="6" t="s">
        <v>61</v>
      </c>
      <c r="D7340" s="6" t="s">
        <v>328</v>
      </c>
      <c r="E7340" s="6" t="s">
        <v>416</v>
      </c>
      <c r="F7340" s="6" t="str">
        <f>IF($M7340="PADD I","PADD 1",IF($M7340="PADD II","PADD 2",IF($M7340="PADD III","PADD 3",IF($M7340="PADD IV","PADD 4",IF($M7340="PADD V","PADD 5","")))))</f>
        <v>PADD 2</v>
      </c>
      <c r="G7340" s="6" t="str">
        <f>IF(AND($H7340="ATMOS DISTILLATION",ISNUMBER(SEARCH("VPS",$I7340))=FALSE,LEFT($I7340,6)&lt;&gt;"VACUUM"),"CDU",IF($H7340="FLUID CAT CRACKING","FCC",IF(OR($H7340="HYDROCRACKING",$H7340="RESID_HYDROCRACKING"),"Hydrocracker",IF($H7340="REFORMING","Reformer",""))))</f>
        <v>FCC</v>
      </c>
      <c r="H7340" s="6" t="s">
        <v>376</v>
      </c>
      <c r="I7340" s="6" t="s">
        <v>1241</v>
      </c>
      <c r="J7340" s="6" t="s">
        <v>349</v>
      </c>
      <c r="K7340" s="10">
        <v>42.92</v>
      </c>
      <c r="L7340" s="10">
        <v>58</v>
      </c>
      <c r="M7340" s="6" t="s">
        <v>375</v>
      </c>
    </row>
    <row r="7341" spans="1:13">
      <c r="A7341" s="6">
        <v>2026</v>
      </c>
      <c r="B7341" s="6">
        <v>3</v>
      </c>
      <c r="C7341" s="6" t="s">
        <v>61</v>
      </c>
      <c r="D7341" s="6" t="s">
        <v>526</v>
      </c>
      <c r="E7341" s="6" t="s">
        <v>405</v>
      </c>
      <c r="F7341" s="6" t="str">
        <f>IF($M7341="PADD I","PADD 1",IF($M7341="PADD II","PADD 2",IF($M7341="PADD III","PADD 3",IF($M7341="PADD IV","PADD 4",IF($M7341="PADD V","PADD 5","")))))</f>
        <v>PADD 3</v>
      </c>
      <c r="G7341" s="6" t="str">
        <f>IF(AND($H7341="ATMOS DISTILLATION",ISNUMBER(SEARCH("VPS",$I7341))=FALSE,LEFT($I7341,6)&lt;&gt;"VACUUM"),"CDU",IF($H7341="FLUID CAT CRACKING","FCC",IF(OR($H7341="HYDROCRACKING",$H7341="RESID_HYDROCRACKING"),"Hydrocracker",IF($H7341="REFORMING","Reformer",""))))</f>
        <v>CDU</v>
      </c>
      <c r="H7341" s="6" t="s">
        <v>38</v>
      </c>
      <c r="I7341" s="6" t="s">
        <v>350</v>
      </c>
      <c r="J7341" s="6" t="s">
        <v>345</v>
      </c>
      <c r="K7341" s="10">
        <v>42</v>
      </c>
      <c r="L7341" s="10">
        <v>100</v>
      </c>
      <c r="M7341" s="6" t="s">
        <v>371</v>
      </c>
    </row>
    <row r="7342" spans="1:13">
      <c r="A7342" s="6">
        <v>2026</v>
      </c>
      <c r="B7342" s="6">
        <v>3</v>
      </c>
      <c r="C7342" s="6" t="s">
        <v>61</v>
      </c>
      <c r="D7342" s="6" t="s">
        <v>526</v>
      </c>
      <c r="E7342" s="6" t="s">
        <v>405</v>
      </c>
      <c r="F7342" s="6" t="str">
        <f>IF($M7342="PADD I","PADD 1",IF($M7342="PADD II","PADD 2",IF($M7342="PADD III","PADD 3",IF($M7342="PADD IV","PADD 4",IF($M7342="PADD V","PADD 5","")))))</f>
        <v>PADD 3</v>
      </c>
      <c r="G7342" s="6" t="str">
        <f>IF(AND($H7342="ATMOS DISTILLATION",ISNUMBER(SEARCH("VPS",$I7342))=FALSE,LEFT($I7342,6)&lt;&gt;"VACUUM"),"CDU",IF($H7342="FLUID CAT CRACKING","FCC",IF(OR($H7342="HYDROCRACKING",$H7342="RESID_HYDROCRACKING"),"Hydrocracker",IF($H7342="REFORMING","Reformer",""))))</f>
        <v>Hydrocracker</v>
      </c>
      <c r="H7342" s="6" t="s">
        <v>444</v>
      </c>
      <c r="I7342" s="6" t="s">
        <v>351</v>
      </c>
      <c r="J7342" s="6" t="s">
        <v>349</v>
      </c>
      <c r="K7342" s="10">
        <v>39.15</v>
      </c>
      <c r="L7342" s="10">
        <v>45</v>
      </c>
      <c r="M7342" s="6" t="s">
        <v>371</v>
      </c>
    </row>
    <row r="7343" spans="1:13">
      <c r="A7343" s="6">
        <v>2026</v>
      </c>
      <c r="B7343" s="6">
        <v>3</v>
      </c>
      <c r="C7343" s="6" t="s">
        <v>61</v>
      </c>
      <c r="D7343" s="6" t="s">
        <v>526</v>
      </c>
      <c r="E7343" s="6" t="s">
        <v>405</v>
      </c>
      <c r="F7343" s="6" t="str">
        <f>IF($M7343="PADD I","PADD 1",IF($M7343="PADD II","PADD 2",IF($M7343="PADD III","PADD 3",IF($M7343="PADD IV","PADD 4",IF($M7343="PADD V","PADD 5","")))))</f>
        <v>PADD 3</v>
      </c>
      <c r="G7343" s="6" t="str">
        <f>IF(AND($H7343="ATMOS DISTILLATION",ISNUMBER(SEARCH("VPS",$I7343))=FALSE,LEFT($I7343,6)&lt;&gt;"VACUUM"),"CDU",IF($H7343="FLUID CAT CRACKING","FCC",IF(OR($H7343="HYDROCRACKING",$H7343="RESID_HYDROCRACKING"),"Hydrocracker",IF($H7343="REFORMING","Reformer",""))))</f>
        <v>CDU</v>
      </c>
      <c r="H7343" s="6" t="s">
        <v>38</v>
      </c>
      <c r="I7343" s="6" t="s">
        <v>641</v>
      </c>
      <c r="J7343" s="6" t="s">
        <v>345</v>
      </c>
      <c r="K7343" s="10">
        <v>39</v>
      </c>
      <c r="L7343" s="10">
        <v>150</v>
      </c>
      <c r="M7343" s="6" t="s">
        <v>371</v>
      </c>
    </row>
    <row r="7344" spans="1:13">
      <c r="A7344" s="6">
        <v>2026</v>
      </c>
      <c r="B7344" s="6">
        <v>3</v>
      </c>
      <c r="C7344" s="6" t="s">
        <v>61</v>
      </c>
      <c r="D7344" s="6" t="s">
        <v>1060</v>
      </c>
      <c r="E7344" s="6" t="s">
        <v>1039</v>
      </c>
      <c r="F7344" s="6" t="str">
        <f>IF($M7344="PADD I","PADD 1",IF($M7344="PADD II","PADD 2",IF($M7344="PADD III","PADD 3",IF($M7344="PADD IV","PADD 4",IF($M7344="PADD V","PADD 5","")))))</f>
        <v>PADD 2</v>
      </c>
      <c r="G7344" s="6" t="str">
        <f>IF(AND($H7344="ATMOS DISTILLATION",ISNUMBER(SEARCH("VPS",$I7344))=FALSE,LEFT($I7344,6)&lt;&gt;"VACUUM"),"CDU",IF($H7344="FLUID CAT CRACKING","FCC",IF(OR($H7344="HYDROCRACKING",$H7344="RESID_HYDROCRACKING"),"Hydrocracker",IF($H7344="REFORMING","Reformer",""))))</f>
        <v>FCC</v>
      </c>
      <c r="H7344" s="6" t="s">
        <v>376</v>
      </c>
      <c r="I7344" s="6" t="s">
        <v>105</v>
      </c>
      <c r="J7344" s="6" t="s">
        <v>349</v>
      </c>
      <c r="K7344" s="10">
        <v>38.22</v>
      </c>
      <c r="L7344" s="10">
        <v>98</v>
      </c>
      <c r="M7344" s="6" t="s">
        <v>375</v>
      </c>
    </row>
    <row r="7345" spans="1:13">
      <c r="A7345" s="6">
        <v>2026</v>
      </c>
      <c r="B7345" s="6">
        <v>3</v>
      </c>
      <c r="C7345" s="6" t="s">
        <v>61</v>
      </c>
      <c r="D7345" s="6" t="s">
        <v>1060</v>
      </c>
      <c r="E7345" s="6" t="s">
        <v>1039</v>
      </c>
      <c r="F7345" s="6" t="str">
        <f>IF($M7345="PADD I","PADD 1",IF($M7345="PADD II","PADD 2",IF($M7345="PADD III","PADD 3",IF($M7345="PADD IV","PADD 4",IF($M7345="PADD V","PADD 5","")))))</f>
        <v>PADD 2</v>
      </c>
      <c r="G7345" s="6">
        <f>IF(AND($H7345="ATMOS DISTILLATION",ISNUMBER(SEARCH("VPS",$I7345))=FALSE,LEFT($I7345,6)&lt;&gt;"VACUUM"),"CDU",IF($H7345="FLUID CAT CRACKING","FCC",IF(OR($H7345="HYDROCRACKING",$H7345="RESID_HYDROCRACKING"),"Hydrocracker",IF($H7345="REFORMING","Reformer",""))))</f>
        <v/>
      </c>
      <c r="H7345" s="6" t="s">
        <v>378</v>
      </c>
      <c r="I7345" s="6" t="s">
        <v>431</v>
      </c>
      <c r="J7345" s="6" t="s">
        <v>349</v>
      </c>
      <c r="K7345" s="10">
        <v>37.05</v>
      </c>
      <c r="L7345" s="10">
        <v>95</v>
      </c>
      <c r="M7345" s="6" t="s">
        <v>375</v>
      </c>
    </row>
    <row r="7346" spans="1:13">
      <c r="A7346" s="6">
        <v>2026</v>
      </c>
      <c r="B7346" s="6">
        <v>3</v>
      </c>
      <c r="C7346" s="6" t="s">
        <v>61</v>
      </c>
      <c r="D7346" s="6" t="s">
        <v>387</v>
      </c>
      <c r="E7346" s="6" t="s">
        <v>388</v>
      </c>
      <c r="F7346" s="6" t="str">
        <f>IF($M7346="PADD I","PADD 1",IF($M7346="PADD II","PADD 2",IF($M7346="PADD III","PADD 3",IF($M7346="PADD IV","PADD 4",IF($M7346="PADD V","PADD 5","")))))</f>
        <v>PADD 3</v>
      </c>
      <c r="G7346" s="6" t="str">
        <f>IF(AND($H7346="ATMOS DISTILLATION",ISNUMBER(SEARCH("VPS",$I7346))=FALSE,LEFT($I7346,6)&lt;&gt;"VACUUM"),"CDU",IF($H7346="FLUID CAT CRACKING","FCC",IF(OR($H7346="HYDROCRACKING",$H7346="RESID_HYDROCRACKING"),"Hydrocracker",IF($H7346="REFORMING","Reformer",""))))</f>
        <v>FCC</v>
      </c>
      <c r="H7346" s="6" t="s">
        <v>376</v>
      </c>
      <c r="I7346" s="6" t="s">
        <v>472</v>
      </c>
      <c r="J7346" s="6" t="s">
        <v>349</v>
      </c>
      <c r="K7346" s="10">
        <v>36.4</v>
      </c>
      <c r="L7346" s="10">
        <v>140</v>
      </c>
      <c r="M7346" s="6" t="s">
        <v>371</v>
      </c>
    </row>
    <row r="7347" spans="1:13">
      <c r="A7347" s="6">
        <v>2026</v>
      </c>
      <c r="B7347" s="6">
        <v>3</v>
      </c>
      <c r="C7347" s="6" t="s">
        <v>61</v>
      </c>
      <c r="D7347" s="6" t="s">
        <v>48</v>
      </c>
      <c r="E7347" s="6" t="s">
        <v>388</v>
      </c>
      <c r="F7347" s="6" t="str">
        <f>IF($M7347="PADD I","PADD 1",IF($M7347="PADD II","PADD 2",IF($M7347="PADD III","PADD 3",IF($M7347="PADD IV","PADD 4",IF($M7347="PADD V","PADD 5","")))))</f>
        <v>PADD 2</v>
      </c>
      <c r="G7347" s="6">
        <f>IF(AND($H7347="ATMOS DISTILLATION",ISNUMBER(SEARCH("VPS",$I7347))=FALSE,LEFT($I7347,6)&lt;&gt;"VACUUM"),"CDU",IF($H7347="FLUID CAT CRACKING","FCC",IF(OR($H7347="HYDROCRACKING",$H7347="RESID_HYDROCRACKING"),"Hydrocracker",IF($H7347="REFORMING","Reformer",""))))</f>
        <v/>
      </c>
      <c r="H7347" s="6" t="s">
        <v>43</v>
      </c>
      <c r="I7347" s="6" t="s">
        <v>741</v>
      </c>
      <c r="J7347" s="6" t="s">
        <v>349</v>
      </c>
      <c r="K7347" s="10">
        <v>34.45</v>
      </c>
      <c r="L7347" s="10">
        <v>53</v>
      </c>
      <c r="M7347" s="6" t="s">
        <v>375</v>
      </c>
    </row>
    <row r="7348" spans="1:13">
      <c r="A7348" s="6">
        <v>2026</v>
      </c>
      <c r="B7348" s="6">
        <v>3</v>
      </c>
      <c r="C7348" s="6" t="s">
        <v>61</v>
      </c>
      <c r="D7348" s="6" t="s">
        <v>1063</v>
      </c>
      <c r="E7348" s="6" t="s">
        <v>388</v>
      </c>
      <c r="F7348" s="6" t="str">
        <f>IF($M7348="PADD I","PADD 1",IF($M7348="PADD II","PADD 2",IF($M7348="PADD III","PADD 3",IF($M7348="PADD IV","PADD 4",IF($M7348="PADD V","PADD 5","")))))</f>
        <v>PADD 2</v>
      </c>
      <c r="G7348" s="6">
        <f>IF(AND($H7348="ATMOS DISTILLATION",ISNUMBER(SEARCH("VPS",$I7348))=FALSE,LEFT($I7348,6)&lt;&gt;"VACUUM"),"CDU",IF($H7348="FLUID CAT CRACKING","FCC",IF(OR($H7348="HYDROCRACKING",$H7348="RESID_HYDROCRACKING"),"Hydrocracker",IF($H7348="REFORMING","Reformer",""))))</f>
        <v/>
      </c>
      <c r="H7348" s="6" t="s">
        <v>43</v>
      </c>
      <c r="I7348" s="6" t="s">
        <v>493</v>
      </c>
      <c r="J7348" s="6" t="s">
        <v>345</v>
      </c>
      <c r="K7348" s="10">
        <v>34</v>
      </c>
      <c r="L7348" s="10">
        <v>34</v>
      </c>
      <c r="M7348" s="6" t="s">
        <v>375</v>
      </c>
    </row>
    <row r="7349" spans="1:13">
      <c r="A7349" s="6">
        <v>2026</v>
      </c>
      <c r="B7349" s="6">
        <v>3</v>
      </c>
      <c r="C7349" s="6" t="s">
        <v>61</v>
      </c>
      <c r="D7349" s="6" t="s">
        <v>48</v>
      </c>
      <c r="E7349" s="6" t="s">
        <v>388</v>
      </c>
      <c r="F7349" s="6" t="str">
        <f>IF($M7349="PADD I","PADD 1",IF($M7349="PADD II","PADD 2",IF($M7349="PADD III","PADD 3",IF($M7349="PADD IV","PADD 4",IF($M7349="PADD V","PADD 5","")))))</f>
        <v>PADD 2</v>
      </c>
      <c r="G7349" s="6">
        <f>IF(AND($H7349="ATMOS DISTILLATION",ISNUMBER(SEARCH("VPS",$I7349))=FALSE,LEFT($I7349,6)&lt;&gt;"VACUUM"),"CDU",IF($H7349="FLUID CAT CRACKING","FCC",IF(OR($H7349="HYDROCRACKING",$H7349="RESID_HYDROCRACKING"),"Hydrocracker",IF($H7349="REFORMING","Reformer",""))))</f>
        <v/>
      </c>
      <c r="H7349" s="6" t="s">
        <v>378</v>
      </c>
      <c r="I7349" s="6" t="s">
        <v>431</v>
      </c>
      <c r="J7349" s="6" t="s">
        <v>349</v>
      </c>
      <c r="K7349" s="10">
        <v>33.8</v>
      </c>
      <c r="L7349" s="10">
        <v>65</v>
      </c>
      <c r="M7349" s="6" t="s">
        <v>375</v>
      </c>
    </row>
    <row r="7350" spans="1:13">
      <c r="A7350" s="6">
        <v>2026</v>
      </c>
      <c r="B7350" s="6">
        <v>3</v>
      </c>
      <c r="C7350" s="6" t="s">
        <v>61</v>
      </c>
      <c r="D7350" s="6" t="s">
        <v>326</v>
      </c>
      <c r="E7350" s="6" t="s">
        <v>385</v>
      </c>
      <c r="F7350" s="6" t="str">
        <f>IF($M7350="PADD I","PADD 1",IF($M7350="PADD II","PADD 2",IF($M7350="PADD III","PADD 3",IF($M7350="PADD IV","PADD 4",IF($M7350="PADD V","PADD 5","")))))</f>
        <v>PADD 5</v>
      </c>
      <c r="G7350" s="6">
        <f>IF(AND($H7350="ATMOS DISTILLATION",ISNUMBER(SEARCH("VPS",$I7350))=FALSE,LEFT($I7350,6)&lt;&gt;"VACUUM"),"CDU",IF($H7350="FLUID CAT CRACKING","FCC",IF(OR($H7350="HYDROCRACKING",$H7350="RESID_HYDROCRACKING"),"Hydrocracker",IF($H7350="REFORMING","Reformer",""))))</f>
        <v/>
      </c>
      <c r="H7350" s="6" t="s">
        <v>378</v>
      </c>
      <c r="I7350" s="6" t="s">
        <v>431</v>
      </c>
      <c r="J7350" s="6" t="s">
        <v>345</v>
      </c>
      <c r="K7350" s="10">
        <v>31.5</v>
      </c>
      <c r="L7350" s="10">
        <v>31.5</v>
      </c>
      <c r="M7350" s="6" t="s">
        <v>386</v>
      </c>
    </row>
    <row r="7351" spans="1:13">
      <c r="A7351" s="6">
        <v>2026</v>
      </c>
      <c r="B7351" s="6">
        <v>3</v>
      </c>
      <c r="C7351" s="6" t="s">
        <v>61</v>
      </c>
      <c r="D7351" s="6" t="s">
        <v>333</v>
      </c>
      <c r="E7351" s="6" t="s">
        <v>381</v>
      </c>
      <c r="F7351" s="6" t="str">
        <f>IF($M7351="PADD I","PADD 1",IF($M7351="PADD II","PADD 2",IF($M7351="PADD III","PADD 3",IF($M7351="PADD IV","PADD 4",IF($M7351="PADD V","PADD 5","")))))</f>
        <v>PADD 3</v>
      </c>
      <c r="G7351" s="6">
        <f>IF(AND($H7351="ATMOS DISTILLATION",ISNUMBER(SEARCH("VPS",$I7351))=FALSE,LEFT($I7351,6)&lt;&gt;"VACUUM"),"CDU",IF($H7351="FLUID CAT CRACKING","FCC",IF(OR($H7351="HYDROCRACKING",$H7351="RESID_HYDROCRACKING"),"Hydrocracker",IF($H7351="REFORMING","Reformer",""))))</f>
        <v/>
      </c>
      <c r="H7351" s="6" t="s">
        <v>378</v>
      </c>
      <c r="I7351" s="6" t="s">
        <v>596</v>
      </c>
      <c r="J7351" s="6" t="s">
        <v>349</v>
      </c>
      <c r="K7351" s="10">
        <v>29.4</v>
      </c>
      <c r="L7351" s="10">
        <v>35</v>
      </c>
      <c r="M7351" s="6" t="s">
        <v>371</v>
      </c>
    </row>
    <row r="7352" spans="1:13">
      <c r="A7352" s="6">
        <v>2026</v>
      </c>
      <c r="B7352" s="6">
        <v>3</v>
      </c>
      <c r="C7352" s="6" t="s">
        <v>61</v>
      </c>
      <c r="D7352" s="6" t="s">
        <v>639</v>
      </c>
      <c r="E7352" s="6" t="s">
        <v>452</v>
      </c>
      <c r="F7352" s="6" t="str">
        <f>IF($M7352="PADD I","PADD 1",IF($M7352="PADD II","PADD 2",IF($M7352="PADD III","PADD 3",IF($M7352="PADD IV","PADD 4",IF($M7352="PADD V","PADD 5","")))))</f>
        <v>PADD 5</v>
      </c>
      <c r="G7352" s="6">
        <f>IF(AND($H7352="ATMOS DISTILLATION",ISNUMBER(SEARCH("VPS",$I7352))=FALSE,LEFT($I7352,6)&lt;&gt;"VACUUM"),"CDU",IF($H7352="FLUID CAT CRACKING","FCC",IF(OR($H7352="HYDROCRACKING",$H7352="RESID_HYDROCRACKING"),"Hydrocracker",IF($H7352="REFORMING","Reformer",""))))</f>
        <v/>
      </c>
      <c r="H7352" s="6" t="s">
        <v>38</v>
      </c>
      <c r="I7352" s="6" t="s">
        <v>640</v>
      </c>
      <c r="J7352" s="6" t="s">
        <v>349</v>
      </c>
      <c r="K7352" s="10">
        <v>29</v>
      </c>
      <c r="L7352" s="10">
        <v>29</v>
      </c>
      <c r="M7352" s="6" t="s">
        <v>386</v>
      </c>
    </row>
    <row r="7353" spans="1:13">
      <c r="A7353" s="6">
        <v>2026</v>
      </c>
      <c r="B7353" s="6">
        <v>3</v>
      </c>
      <c r="C7353" s="6" t="s">
        <v>61</v>
      </c>
      <c r="D7353" s="6" t="s">
        <v>372</v>
      </c>
      <c r="E7353" s="6" t="s">
        <v>373</v>
      </c>
      <c r="F7353" s="6" t="str">
        <f>IF($M7353="PADD I","PADD 1",IF($M7353="PADD II","PADD 2",IF($M7353="PADD III","PADD 3",IF($M7353="PADD IV","PADD 4",IF($M7353="PADD V","PADD 5","")))))</f>
        <v>PADD 2</v>
      </c>
      <c r="G7353" s="6" t="str">
        <f>IF(AND($H7353="ATMOS DISTILLATION",ISNUMBER(SEARCH("VPS",$I7353))=FALSE,LEFT($I7353,6)&lt;&gt;"VACUUM"),"CDU",IF($H7353="FLUID CAT CRACKING","FCC",IF(OR($H7353="HYDROCRACKING",$H7353="RESID_HYDROCRACKING"),"Hydrocracker",IF($H7353="REFORMING","Reformer",""))))</f>
        <v>CDU</v>
      </c>
      <c r="H7353" s="6" t="s">
        <v>38</v>
      </c>
      <c r="I7353" s="6" t="s">
        <v>374</v>
      </c>
      <c r="J7353" s="6" t="s">
        <v>349</v>
      </c>
      <c r="K7353" s="10">
        <v>28.2</v>
      </c>
      <c r="L7353" s="10">
        <v>30</v>
      </c>
      <c r="M7353" s="6" t="s">
        <v>375</v>
      </c>
    </row>
    <row r="7354" spans="1:13">
      <c r="A7354" s="6">
        <v>2026</v>
      </c>
      <c r="B7354" s="6">
        <v>3</v>
      </c>
      <c r="C7354" s="6" t="s">
        <v>61</v>
      </c>
      <c r="D7354" s="6" t="s">
        <v>1060</v>
      </c>
      <c r="E7354" s="6" t="s">
        <v>1039</v>
      </c>
      <c r="F7354" s="6" t="str">
        <f>IF($M7354="PADD I","PADD 1",IF($M7354="PADD II","PADD 2",IF($M7354="PADD III","PADD 3",IF($M7354="PADD IV","PADD 4",IF($M7354="PADD V","PADD 5","")))))</f>
        <v>PADD 2</v>
      </c>
      <c r="G7354" s="6">
        <f>IF(AND($H7354="ATMOS DISTILLATION",ISNUMBER(SEARCH("VPS",$I7354))=FALSE,LEFT($I7354,6)&lt;&gt;"VACUUM"),"CDU",IF($H7354="FLUID CAT CRACKING","FCC",IF(OR($H7354="HYDROCRACKING",$H7354="RESID_HYDROCRACKING"),"Hydrocracker",IF($H7354="REFORMING","Reformer",""))))</f>
        <v/>
      </c>
      <c r="H7354" s="6" t="s">
        <v>43</v>
      </c>
      <c r="I7354" s="6" t="s">
        <v>1180</v>
      </c>
      <c r="J7354" s="6" t="s">
        <v>349</v>
      </c>
      <c r="K7354" s="10">
        <v>27.69</v>
      </c>
      <c r="L7354" s="10">
        <v>71</v>
      </c>
      <c r="M7354" s="6" t="s">
        <v>375</v>
      </c>
    </row>
    <row r="7355" spans="1:13">
      <c r="A7355" s="6">
        <v>2026</v>
      </c>
      <c r="B7355" s="6">
        <v>3</v>
      </c>
      <c r="C7355" s="6" t="s">
        <v>61</v>
      </c>
      <c r="D7355" s="6" t="s">
        <v>526</v>
      </c>
      <c r="E7355" s="6" t="s">
        <v>405</v>
      </c>
      <c r="F7355" s="6" t="str">
        <f>IF($M7355="PADD I","PADD 1",IF($M7355="PADD II","PADD 2",IF($M7355="PADD III","PADD 3",IF($M7355="PADD IV","PADD 4",IF($M7355="PADD V","PADD 5","")))))</f>
        <v>PADD 3</v>
      </c>
      <c r="G7355" s="6" t="str">
        <f>IF(AND($H7355="ATMOS DISTILLATION",ISNUMBER(SEARCH("VPS",$I7355))=FALSE,LEFT($I7355,6)&lt;&gt;"VACUUM"),"CDU",IF($H7355="FLUID CAT CRACKING","FCC",IF(OR($H7355="HYDROCRACKING",$H7355="RESID_HYDROCRACKING"),"Hydrocracker",IF($H7355="REFORMING","Reformer",""))))</f>
        <v>CDU</v>
      </c>
      <c r="H7355" s="6" t="s">
        <v>38</v>
      </c>
      <c r="I7355" s="6" t="s">
        <v>350</v>
      </c>
      <c r="J7355" s="6" t="s">
        <v>345</v>
      </c>
      <c r="K7355" s="10">
        <v>26</v>
      </c>
      <c r="L7355" s="10">
        <v>100</v>
      </c>
      <c r="M7355" s="6" t="s">
        <v>371</v>
      </c>
    </row>
    <row r="7356" spans="1:13">
      <c r="A7356" s="6">
        <v>2026</v>
      </c>
      <c r="B7356" s="6">
        <v>3</v>
      </c>
      <c r="C7356" s="6" t="s">
        <v>61</v>
      </c>
      <c r="D7356" s="6" t="s">
        <v>526</v>
      </c>
      <c r="E7356" s="6" t="s">
        <v>405</v>
      </c>
      <c r="F7356" s="6" t="str">
        <f>IF($M7356="PADD I","PADD 1",IF($M7356="PADD II","PADD 2",IF($M7356="PADD III","PADD 3",IF($M7356="PADD IV","PADD 4",IF($M7356="PADD V","PADD 5","")))))</f>
        <v>PADD 3</v>
      </c>
      <c r="G7356" s="6">
        <f>IF(AND($H7356="ATMOS DISTILLATION",ISNUMBER(SEARCH("VPS",$I7356))=FALSE,LEFT($I7356,6)&lt;&gt;"VACUUM"),"CDU",IF($H7356="FLUID CAT CRACKING","FCC",IF(OR($H7356="HYDROCRACKING",$H7356="RESID_HYDROCRACKING"),"Hydrocracker",IF($H7356="REFORMING","Reformer",""))))</f>
        <v/>
      </c>
      <c r="H7356" s="6" t="s">
        <v>435</v>
      </c>
      <c r="I7356" s="6" t="s">
        <v>954</v>
      </c>
      <c r="J7356" s="6" t="s">
        <v>345</v>
      </c>
      <c r="K7356" s="10">
        <v>26</v>
      </c>
      <c r="L7356" s="10">
        <v>100</v>
      </c>
      <c r="M7356" s="6" t="s">
        <v>371</v>
      </c>
    </row>
    <row r="7357" spans="1:13">
      <c r="A7357" s="6">
        <v>2026</v>
      </c>
      <c r="B7357" s="6">
        <v>3</v>
      </c>
      <c r="C7357" s="6" t="s">
        <v>61</v>
      </c>
      <c r="D7357" s="6" t="s">
        <v>662</v>
      </c>
      <c r="E7357" s="6" t="s">
        <v>552</v>
      </c>
      <c r="F7357" s="6" t="str">
        <f>IF($M7357="PADD I","PADD 1",IF($M7357="PADD II","PADD 2",IF($M7357="PADD III","PADD 3",IF($M7357="PADD IV","PADD 4",IF($M7357="PADD V","PADD 5","")))))</f>
        <v>PADD 3</v>
      </c>
      <c r="G7357" s="6">
        <f>IF(AND($H7357="ATMOS DISTILLATION",ISNUMBER(SEARCH("VPS",$I7357))=FALSE,LEFT($I7357,6)&lt;&gt;"VACUUM"),"CDU",IF($H7357="FLUID CAT CRACKING","FCC",IF(OR($H7357="HYDROCRACKING",$H7357="RESID_HYDROCRACKING"),"Hydrocracker",IF($H7357="REFORMING","Reformer",""))))</f>
        <v/>
      </c>
      <c r="H7357" s="6" t="s">
        <v>43</v>
      </c>
      <c r="I7357" s="6" t="s">
        <v>927</v>
      </c>
      <c r="J7357" s="6" t="s">
        <v>349</v>
      </c>
      <c r="K7357" s="10">
        <v>25.5</v>
      </c>
      <c r="L7357" s="10">
        <v>25.5</v>
      </c>
      <c r="M7357" s="6" t="s">
        <v>371</v>
      </c>
    </row>
    <row r="7358" spans="1:13">
      <c r="A7358" s="6">
        <v>2026</v>
      </c>
      <c r="B7358" s="6">
        <v>3</v>
      </c>
      <c r="C7358" s="6" t="s">
        <v>61</v>
      </c>
      <c r="D7358" s="6" t="s">
        <v>462</v>
      </c>
      <c r="E7358" s="6" t="s">
        <v>438</v>
      </c>
      <c r="F7358" s="6" t="str">
        <f>IF($M7358="PADD I","PADD 1",IF($M7358="PADD II","PADD 2",IF($M7358="PADD III","PADD 3",IF($M7358="PADD IV","PADD 4",IF($M7358="PADD V","PADD 5","")))))</f>
        <v>PADD 4</v>
      </c>
      <c r="G7358" s="6">
        <f>IF(AND($H7358="ATMOS DISTILLATION",ISNUMBER(SEARCH("VPS",$I7358))=FALSE,LEFT($I7358,6)&lt;&gt;"VACUUM"),"CDU",IF($H7358="FLUID CAT CRACKING","FCC",IF(OR($H7358="HYDROCRACKING",$H7358="RESID_HYDROCRACKING"),"Hydrocracker",IF($H7358="REFORMING","Reformer",""))))</f>
        <v/>
      </c>
      <c r="H7358" s="6" t="s">
        <v>43</v>
      </c>
      <c r="I7358" s="6" t="s">
        <v>470</v>
      </c>
      <c r="J7358" s="6" t="s">
        <v>349</v>
      </c>
      <c r="K7358" s="10">
        <v>25.2</v>
      </c>
      <c r="L7358" s="10">
        <v>30</v>
      </c>
      <c r="M7358" s="6" t="s">
        <v>430</v>
      </c>
    </row>
    <row r="7359" spans="1:13">
      <c r="A7359" s="6">
        <v>2026</v>
      </c>
      <c r="B7359" s="6">
        <v>3</v>
      </c>
      <c r="C7359" s="6" t="s">
        <v>61</v>
      </c>
      <c r="D7359" s="6" t="s">
        <v>662</v>
      </c>
      <c r="E7359" s="6" t="s">
        <v>552</v>
      </c>
      <c r="F7359" s="6" t="str">
        <f>IF($M7359="PADD I","PADD 1",IF($M7359="PADD II","PADD 2",IF($M7359="PADD III","PADD 3",IF($M7359="PADD IV","PADD 4",IF($M7359="PADD V","PADD 5","")))))</f>
        <v>PADD 3</v>
      </c>
      <c r="G7359" s="6" t="str">
        <f>IF(AND($H7359="ATMOS DISTILLATION",ISNUMBER(SEARCH("VPS",$I7359))=FALSE,LEFT($I7359,6)&lt;&gt;"VACUUM"),"CDU",IF($H7359="FLUID CAT CRACKING","FCC",IF(OR($H7359="HYDROCRACKING",$H7359="RESID_HYDROCRACKING"),"Hydrocracker",IF($H7359="REFORMING","Reformer",""))))</f>
        <v>FCC</v>
      </c>
      <c r="H7359" s="6" t="s">
        <v>376</v>
      </c>
      <c r="I7359" s="6" t="s">
        <v>105</v>
      </c>
      <c r="J7359" s="6" t="s">
        <v>349</v>
      </c>
      <c r="K7359" s="10">
        <v>25</v>
      </c>
      <c r="L7359" s="10">
        <v>25</v>
      </c>
      <c r="M7359" s="6" t="s">
        <v>371</v>
      </c>
    </row>
    <row r="7360" spans="1:13">
      <c r="A7360" s="6">
        <v>2026</v>
      </c>
      <c r="B7360" s="6">
        <v>3</v>
      </c>
      <c r="C7360" s="6" t="s">
        <v>61</v>
      </c>
      <c r="D7360" s="6" t="s">
        <v>321</v>
      </c>
      <c r="E7360" s="6" t="s">
        <v>381</v>
      </c>
      <c r="F7360" s="6" t="str">
        <f>IF($M7360="PADD I","PADD 1",IF($M7360="PADD II","PADD 2",IF($M7360="PADD III","PADD 3",IF($M7360="PADD IV","PADD 4",IF($M7360="PADD V","PADD 5","")))))</f>
        <v>PADD 2</v>
      </c>
      <c r="G7360" s="6" t="str">
        <f>IF(AND($H7360="ATMOS DISTILLATION",ISNUMBER(SEARCH("VPS",$I7360))=FALSE,LEFT($I7360,6)&lt;&gt;"VACUUM"),"CDU",IF($H7360="FLUID CAT CRACKING","FCC",IF(OR($H7360="HYDROCRACKING",$H7360="RESID_HYDROCRACKING"),"Hydrocracker",IF($H7360="REFORMING","Reformer",""))))</f>
        <v>FCC</v>
      </c>
      <c r="H7360" s="6" t="s">
        <v>376</v>
      </c>
      <c r="I7360" s="6" t="s">
        <v>105</v>
      </c>
      <c r="J7360" s="6" t="s">
        <v>349</v>
      </c>
      <c r="K7360" s="10">
        <v>25</v>
      </c>
      <c r="L7360" s="10">
        <v>25</v>
      </c>
      <c r="M7360" s="6" t="s">
        <v>375</v>
      </c>
    </row>
    <row r="7361" spans="1:13">
      <c r="A7361" s="6">
        <v>2026</v>
      </c>
      <c r="B7361" s="6">
        <v>3</v>
      </c>
      <c r="C7361" s="6" t="s">
        <v>61</v>
      </c>
      <c r="D7361" s="6" t="s">
        <v>326</v>
      </c>
      <c r="E7361" s="6" t="s">
        <v>385</v>
      </c>
      <c r="F7361" s="6" t="str">
        <f>IF($M7361="PADD I","PADD 1",IF($M7361="PADD II","PADD 2",IF($M7361="PADD III","PADD 3",IF($M7361="PADD IV","PADD 4",IF($M7361="PADD V","PADD 5","")))))</f>
        <v>PADD 5</v>
      </c>
      <c r="G7361" s="6">
        <f>IF(AND($H7361="ATMOS DISTILLATION",ISNUMBER(SEARCH("VPS",$I7361))=FALSE,LEFT($I7361,6)&lt;&gt;"VACUUM"),"CDU",IF($H7361="FLUID CAT CRACKING","FCC",IF(OR($H7361="HYDROCRACKING",$H7361="RESID_HYDROCRACKING"),"Hydrocracker",IF($H7361="REFORMING","Reformer",""))))</f>
        <v/>
      </c>
      <c r="H7361" s="6" t="s">
        <v>435</v>
      </c>
      <c r="I7361" s="6" t="s">
        <v>813</v>
      </c>
      <c r="J7361" s="6" t="s">
        <v>345</v>
      </c>
      <c r="K7361" s="10">
        <v>25</v>
      </c>
      <c r="L7361" s="10">
        <v>25</v>
      </c>
      <c r="M7361" s="6" t="s">
        <v>386</v>
      </c>
    </row>
    <row r="7362" spans="1:13">
      <c r="A7362" s="6">
        <v>2026</v>
      </c>
      <c r="B7362" s="6">
        <v>3</v>
      </c>
      <c r="C7362" s="6" t="s">
        <v>61</v>
      </c>
      <c r="D7362" s="6" t="s">
        <v>48</v>
      </c>
      <c r="E7362" s="6" t="s">
        <v>388</v>
      </c>
      <c r="F7362" s="6" t="str">
        <f>IF($M7362="PADD I","PADD 1",IF($M7362="PADD II","PADD 2",IF($M7362="PADD III","PADD 3",IF($M7362="PADD IV","PADD 4",IF($M7362="PADD V","PADD 5","")))))</f>
        <v>PADD 2</v>
      </c>
      <c r="G7362" s="6">
        <f>IF(AND($H7362="ATMOS DISTILLATION",ISNUMBER(SEARCH("VPS",$I7362))=FALSE,LEFT($I7362,6)&lt;&gt;"VACUUM"),"CDU",IF($H7362="FLUID CAT CRACKING","FCC",IF(OR($H7362="HYDROCRACKING",$H7362="RESID_HYDROCRACKING"),"Hydrocracker",IF($H7362="REFORMING","Reformer",""))))</f>
        <v/>
      </c>
      <c r="H7362" s="6" t="s">
        <v>43</v>
      </c>
      <c r="I7362" s="6" t="s">
        <v>726</v>
      </c>
      <c r="J7362" s="6" t="s">
        <v>349</v>
      </c>
      <c r="K7362" s="10">
        <v>24.7</v>
      </c>
      <c r="L7362" s="10">
        <v>38</v>
      </c>
      <c r="M7362" s="6" t="s">
        <v>375</v>
      </c>
    </row>
    <row r="7363" spans="1:13">
      <c r="A7363" s="6">
        <v>2026</v>
      </c>
      <c r="B7363" s="6">
        <v>3</v>
      </c>
      <c r="C7363" s="6" t="s">
        <v>61</v>
      </c>
      <c r="D7363" s="6" t="s">
        <v>662</v>
      </c>
      <c r="E7363" s="6" t="s">
        <v>552</v>
      </c>
      <c r="F7363" s="6" t="str">
        <f>IF($M7363="PADD I","PADD 1",IF($M7363="PADD II","PADD 2",IF($M7363="PADD III","PADD 3",IF($M7363="PADD IV","PADD 4",IF($M7363="PADD V","PADD 5","")))))</f>
        <v>PADD 3</v>
      </c>
      <c r="G7363" s="6">
        <f>IF(AND($H7363="ATMOS DISTILLATION",ISNUMBER(SEARCH("VPS",$I7363))=FALSE,LEFT($I7363,6)&lt;&gt;"VACUUM"),"CDU",IF($H7363="FLUID CAT CRACKING","FCC",IF(OR($H7363="HYDROCRACKING",$H7363="RESID_HYDROCRACKING"),"Hydrocracker",IF($H7363="REFORMING","Reformer",""))))</f>
        <v/>
      </c>
      <c r="H7363" s="6" t="s">
        <v>378</v>
      </c>
      <c r="I7363" s="6" t="s">
        <v>431</v>
      </c>
      <c r="J7363" s="6" t="s">
        <v>349</v>
      </c>
      <c r="K7363" s="10">
        <v>24</v>
      </c>
      <c r="L7363" s="10">
        <v>24</v>
      </c>
      <c r="M7363" s="6" t="s">
        <v>371</v>
      </c>
    </row>
    <row r="7364" spans="1:13">
      <c r="A7364" s="6">
        <v>2026</v>
      </c>
      <c r="B7364" s="6">
        <v>3</v>
      </c>
      <c r="C7364" s="6" t="s">
        <v>61</v>
      </c>
      <c r="D7364" s="6" t="s">
        <v>639</v>
      </c>
      <c r="E7364" s="6" t="s">
        <v>452</v>
      </c>
      <c r="F7364" s="6" t="str">
        <f>IF($M7364="PADD I","PADD 1",IF($M7364="PADD II","PADD 2",IF($M7364="PADD III","PADD 3",IF($M7364="PADD IV","PADD 4",IF($M7364="PADD V","PADD 5","")))))</f>
        <v>PADD 5</v>
      </c>
      <c r="G7364" s="6">
        <f>IF(AND($H7364="ATMOS DISTILLATION",ISNUMBER(SEARCH("VPS",$I7364))=FALSE,LEFT($I7364,6)&lt;&gt;"VACUUM"),"CDU",IF($H7364="FLUID CAT CRACKING","FCC",IF(OR($H7364="HYDROCRACKING",$H7364="RESID_HYDROCRACKING"),"Hydrocracker",IF($H7364="REFORMING","Reformer",""))))</f>
        <v/>
      </c>
      <c r="H7364" s="6" t="s">
        <v>435</v>
      </c>
      <c r="I7364" s="6" t="s">
        <v>1096</v>
      </c>
      <c r="J7364" s="6" t="s">
        <v>349</v>
      </c>
      <c r="K7364" s="10">
        <v>24</v>
      </c>
      <c r="L7364" s="10">
        <v>24</v>
      </c>
      <c r="M7364" s="6" t="s">
        <v>386</v>
      </c>
    </row>
    <row r="7365" spans="1:13">
      <c r="A7365" s="6">
        <v>2026</v>
      </c>
      <c r="B7365" s="6">
        <v>3</v>
      </c>
      <c r="C7365" s="6" t="s">
        <v>61</v>
      </c>
      <c r="D7365" s="6" t="s">
        <v>415</v>
      </c>
      <c r="E7365" s="6" t="s">
        <v>416</v>
      </c>
      <c r="F7365" s="6" t="str">
        <f>IF($M7365="PADD I","PADD 1",IF($M7365="PADD II","PADD 2",IF($M7365="PADD III","PADD 3",IF($M7365="PADD IV","PADD 4",IF($M7365="PADD V","PADD 5","")))))</f>
        <v>PADD 3</v>
      </c>
      <c r="G7365" s="6" t="str">
        <f>IF(AND($H7365="ATMOS DISTILLATION",ISNUMBER(SEARCH("VPS",$I7365))=FALSE,LEFT($I7365,6)&lt;&gt;"VACUUM"),"CDU",IF($H7365="FLUID CAT CRACKING","FCC",IF(OR($H7365="HYDROCRACKING",$H7365="RESID_HYDROCRACKING"),"Hydrocracker",IF($H7365="REFORMING","Reformer",""))))</f>
        <v>Reformer</v>
      </c>
      <c r="H7365" s="6" t="s">
        <v>421</v>
      </c>
      <c r="I7365" s="6" t="s">
        <v>454</v>
      </c>
      <c r="J7365" s="6" t="s">
        <v>345</v>
      </c>
      <c r="K7365" s="10">
        <v>23.4</v>
      </c>
      <c r="L7365" s="10">
        <v>52</v>
      </c>
      <c r="M7365" s="6" t="s">
        <v>371</v>
      </c>
    </row>
    <row r="7366" spans="1:13">
      <c r="A7366" s="6">
        <v>2026</v>
      </c>
      <c r="B7366" s="6">
        <v>3</v>
      </c>
      <c r="C7366" s="6" t="s">
        <v>61</v>
      </c>
      <c r="D7366" s="6" t="s">
        <v>526</v>
      </c>
      <c r="E7366" s="6" t="s">
        <v>405</v>
      </c>
      <c r="F7366" s="6" t="str">
        <f>IF($M7366="PADD I","PADD 1",IF($M7366="PADD II","PADD 2",IF($M7366="PADD III","PADD 3",IF($M7366="PADD IV","PADD 4",IF($M7366="PADD V","PADD 5","")))))</f>
        <v>PADD 3</v>
      </c>
      <c r="G7366" s="6" t="str">
        <f>IF(AND($H7366="ATMOS DISTILLATION",ISNUMBER(SEARCH("VPS",$I7366))=FALSE,LEFT($I7366,6)&lt;&gt;"VACUUM"),"CDU",IF($H7366="FLUID CAT CRACKING","FCC",IF(OR($H7366="HYDROCRACKING",$H7366="RESID_HYDROCRACKING"),"Hydrocracker",IF($H7366="REFORMING","Reformer",""))))</f>
        <v>FCC</v>
      </c>
      <c r="H7366" s="6" t="s">
        <v>376</v>
      </c>
      <c r="I7366" s="6" t="s">
        <v>344</v>
      </c>
      <c r="J7366" s="6" t="s">
        <v>345</v>
      </c>
      <c r="K7366" s="10">
        <v>23.2</v>
      </c>
      <c r="L7366" s="10">
        <v>80</v>
      </c>
      <c r="M7366" s="6" t="s">
        <v>371</v>
      </c>
    </row>
    <row r="7367" spans="1:13">
      <c r="A7367" s="6">
        <v>2026</v>
      </c>
      <c r="B7367" s="6">
        <v>3</v>
      </c>
      <c r="C7367" s="6" t="s">
        <v>61</v>
      </c>
      <c r="D7367" s="6" t="s">
        <v>662</v>
      </c>
      <c r="E7367" s="6" t="s">
        <v>552</v>
      </c>
      <c r="F7367" s="6" t="str">
        <f>IF($M7367="PADD I","PADD 1",IF($M7367="PADD II","PADD 2",IF($M7367="PADD III","PADD 3",IF($M7367="PADD IV","PADD 4",IF($M7367="PADD V","PADD 5","")))))</f>
        <v>PADD 3</v>
      </c>
      <c r="G7367" s="6">
        <f>IF(AND($H7367="ATMOS DISTILLATION",ISNUMBER(SEARCH("VPS",$I7367))=FALSE,LEFT($I7367,6)&lt;&gt;"VACUUM"),"CDU",IF($H7367="FLUID CAT CRACKING","FCC",IF(OR($H7367="HYDROCRACKING",$H7367="RESID_HYDROCRACKING"),"Hydrocracker",IF($H7367="REFORMING","Reformer",""))))</f>
        <v/>
      </c>
      <c r="H7367" s="6" t="s">
        <v>43</v>
      </c>
      <c r="I7367" s="6" t="s">
        <v>735</v>
      </c>
      <c r="J7367" s="6" t="s">
        <v>349</v>
      </c>
      <c r="K7367" s="10">
        <v>22.75</v>
      </c>
      <c r="L7367" s="10">
        <v>22.75</v>
      </c>
      <c r="M7367" s="6" t="s">
        <v>371</v>
      </c>
    </row>
    <row r="7368" spans="1:13">
      <c r="A7368" s="6">
        <v>2026</v>
      </c>
      <c r="B7368" s="6">
        <v>3</v>
      </c>
      <c r="C7368" s="6" t="s">
        <v>61</v>
      </c>
      <c r="D7368" s="6" t="s">
        <v>1214</v>
      </c>
      <c r="E7368" s="6" t="s">
        <v>1215</v>
      </c>
      <c r="F7368" s="6" t="str">
        <f>IF($M7368="PADD I","PADD 1",IF($M7368="PADD II","PADD 2",IF($M7368="PADD III","PADD 3",IF($M7368="PADD IV","PADD 4",IF($M7368="PADD V","PADD 5","")))))</f>
        <v>PADD 1</v>
      </c>
      <c r="G7368" s="6" t="str">
        <f>IF(AND($H7368="ATMOS DISTILLATION",ISNUMBER(SEARCH("VPS",$I7368))=FALSE,LEFT($I7368,6)&lt;&gt;"VACUUM"),"CDU",IF($H7368="FLUID CAT CRACKING","FCC",IF(OR($H7368="HYDROCRACKING",$H7368="RESID_HYDROCRACKING"),"Hydrocracker",IF($H7368="REFORMING","Reformer",""))))</f>
        <v>CDU</v>
      </c>
      <c r="H7368" s="6" t="s">
        <v>38</v>
      </c>
      <c r="I7368" s="6" t="s">
        <v>131</v>
      </c>
      <c r="J7368" s="6" t="s">
        <v>345</v>
      </c>
      <c r="K7368" s="10">
        <v>21.84</v>
      </c>
      <c r="L7368" s="10">
        <v>56</v>
      </c>
      <c r="M7368" s="6" t="s">
        <v>413</v>
      </c>
    </row>
    <row r="7369" spans="1:13">
      <c r="A7369" s="6">
        <v>2026</v>
      </c>
      <c r="B7369" s="6">
        <v>3</v>
      </c>
      <c r="C7369" s="6" t="s">
        <v>61</v>
      </c>
      <c r="D7369" s="6" t="s">
        <v>710</v>
      </c>
      <c r="E7369" s="6" t="s">
        <v>711</v>
      </c>
      <c r="F7369" s="6" t="str">
        <f>IF($M7369="PADD I","PADD 1",IF($M7369="PADD II","PADD 2",IF($M7369="PADD III","PADD 3",IF($M7369="PADD IV","PADD 4",IF($M7369="PADD V","PADD 5","")))))</f>
        <v>PADD 3</v>
      </c>
      <c r="G7369" s="6" t="str">
        <f>IF(AND($H7369="ATMOS DISTILLATION",ISNUMBER(SEARCH("VPS",$I7369))=FALSE,LEFT($I7369,6)&lt;&gt;"VACUUM"),"CDU",IF($H7369="FLUID CAT CRACKING","FCC",IF(OR($H7369="HYDROCRACKING",$H7369="RESID_HYDROCRACKING"),"Hydrocracker",IF($H7369="REFORMING","Reformer",""))))</f>
        <v>CDU</v>
      </c>
      <c r="H7369" s="6" t="s">
        <v>38</v>
      </c>
      <c r="I7369" s="6" t="s">
        <v>712</v>
      </c>
      <c r="J7369" s="6" t="s">
        <v>345</v>
      </c>
      <c r="K7369" s="10">
        <v>21.75</v>
      </c>
      <c r="L7369" s="10">
        <v>25</v>
      </c>
      <c r="M7369" s="6" t="s">
        <v>371</v>
      </c>
    </row>
    <row r="7370" spans="1:13">
      <c r="A7370" s="6">
        <v>2026</v>
      </c>
      <c r="B7370" s="6">
        <v>3</v>
      </c>
      <c r="C7370" s="6" t="s">
        <v>61</v>
      </c>
      <c r="D7370" s="6" t="s">
        <v>662</v>
      </c>
      <c r="E7370" s="6" t="s">
        <v>552</v>
      </c>
      <c r="F7370" s="6" t="str">
        <f>IF($M7370="PADD I","PADD 1",IF($M7370="PADD II","PADD 2",IF($M7370="PADD III","PADD 3",IF($M7370="PADD IV","PADD 4",IF($M7370="PADD V","PADD 5","")))))</f>
        <v>PADD 3</v>
      </c>
      <c r="G7370" s="6" t="str">
        <f>IF(AND($H7370="ATMOS DISTILLATION",ISNUMBER(SEARCH("VPS",$I7370))=FALSE,LEFT($I7370,6)&lt;&gt;"VACUUM"),"CDU",IF($H7370="FLUID CAT CRACKING","FCC",IF(OR($H7370="HYDROCRACKING",$H7370="RESID_HYDROCRACKING"),"Hydrocracker",IF($H7370="REFORMING","Reformer",""))))</f>
        <v>Reformer</v>
      </c>
      <c r="H7370" s="6" t="s">
        <v>421</v>
      </c>
      <c r="I7370" s="6" t="s">
        <v>1050</v>
      </c>
      <c r="J7370" s="6" t="s">
        <v>349</v>
      </c>
      <c r="K7370" s="10">
        <v>21</v>
      </c>
      <c r="L7370" s="10">
        <v>21</v>
      </c>
      <c r="M7370" s="6" t="s">
        <v>371</v>
      </c>
    </row>
    <row r="7371" spans="1:13">
      <c r="A7371" s="6">
        <v>2026</v>
      </c>
      <c r="B7371" s="6">
        <v>3</v>
      </c>
      <c r="C7371" s="6" t="s">
        <v>61</v>
      </c>
      <c r="D7371" s="6" t="s">
        <v>387</v>
      </c>
      <c r="E7371" s="6" t="s">
        <v>388</v>
      </c>
      <c r="F7371" s="6" t="str">
        <f>IF($M7371="PADD I","PADD 1",IF($M7371="PADD II","PADD 2",IF($M7371="PADD III","PADD 3",IF($M7371="PADD IV","PADD 4",IF($M7371="PADD V","PADD 5","")))))</f>
        <v>PADD 3</v>
      </c>
      <c r="G7371" s="6">
        <f>IF(AND($H7371="ATMOS DISTILLATION",ISNUMBER(SEARCH("VPS",$I7371))=FALSE,LEFT($I7371,6)&lt;&gt;"VACUUM"),"CDU",IF($H7371="FLUID CAT CRACKING","FCC",IF(OR($H7371="HYDROCRACKING",$H7371="RESID_HYDROCRACKING"),"Hydrocracker",IF($H7371="REFORMING","Reformer",""))))</f>
        <v/>
      </c>
      <c r="H7371" s="6" t="s">
        <v>43</v>
      </c>
      <c r="I7371" s="6" t="s">
        <v>1349</v>
      </c>
      <c r="J7371" s="6" t="s">
        <v>349</v>
      </c>
      <c r="K7371" s="10">
        <v>20.8</v>
      </c>
      <c r="L7371" s="10">
        <v>65</v>
      </c>
      <c r="M7371" s="6" t="s">
        <v>371</v>
      </c>
    </row>
    <row r="7372" spans="1:13">
      <c r="A7372" s="6">
        <v>2026</v>
      </c>
      <c r="B7372" s="6">
        <v>3</v>
      </c>
      <c r="C7372" s="6" t="s">
        <v>61</v>
      </c>
      <c r="D7372" s="6" t="s">
        <v>778</v>
      </c>
      <c r="E7372" s="6" t="s">
        <v>779</v>
      </c>
      <c r="F7372" s="6" t="str">
        <f>IF($M7372="PADD I","PADD 1",IF($M7372="PADD II","PADD 2",IF($M7372="PADD III","PADD 3",IF($M7372="PADD IV","PADD 4",IF($M7372="PADD V","PADD 5","")))))</f>
        <v>PADD 3</v>
      </c>
      <c r="G7372" s="6" t="str">
        <f>IF(AND($H7372="ATMOS DISTILLATION",ISNUMBER(SEARCH("VPS",$I7372))=FALSE,LEFT($I7372,6)&lt;&gt;"VACUUM"),"CDU",IF($H7372="FLUID CAT CRACKING","FCC",IF(OR($H7372="HYDROCRACKING",$H7372="RESID_HYDROCRACKING"),"Hydrocracker",IF($H7372="REFORMING","Reformer",""))))</f>
        <v>CDU</v>
      </c>
      <c r="H7372" s="6" t="s">
        <v>38</v>
      </c>
      <c r="I7372" s="6" t="s">
        <v>805</v>
      </c>
      <c r="J7372" s="6" t="s">
        <v>349</v>
      </c>
      <c r="K7372" s="10">
        <v>20.3</v>
      </c>
      <c r="L7372" s="10">
        <v>58</v>
      </c>
      <c r="M7372" s="6" t="s">
        <v>371</v>
      </c>
    </row>
    <row r="7373" spans="1:13">
      <c r="A7373" s="6">
        <v>2026</v>
      </c>
      <c r="B7373" s="6">
        <v>3</v>
      </c>
      <c r="C7373" s="6" t="s">
        <v>61</v>
      </c>
      <c r="D7373" s="6" t="s">
        <v>526</v>
      </c>
      <c r="E7373" s="6" t="s">
        <v>405</v>
      </c>
      <c r="F7373" s="6" t="str">
        <f>IF($M7373="PADD I","PADD 1",IF($M7373="PADD II","PADD 2",IF($M7373="PADD III","PADD 3",IF($M7373="PADD IV","PADD 4",IF($M7373="PADD V","PADD 5","")))))</f>
        <v>PADD 3</v>
      </c>
      <c r="G7373" s="6" t="str">
        <f>IF(AND($H7373="ATMOS DISTILLATION",ISNUMBER(SEARCH("VPS",$I7373))=FALSE,LEFT($I7373,6)&lt;&gt;"VACUUM"),"CDU",IF($H7373="FLUID CAT CRACKING","FCC",IF(OR($H7373="HYDROCRACKING",$H7373="RESID_HYDROCRACKING"),"Hydrocracker",IF($H7373="REFORMING","Reformer",""))))</f>
        <v>FCC</v>
      </c>
      <c r="H7373" s="6" t="s">
        <v>376</v>
      </c>
      <c r="I7373" s="6" t="s">
        <v>344</v>
      </c>
      <c r="J7373" s="6" t="s">
        <v>345</v>
      </c>
      <c r="K7373" s="10">
        <v>19.5</v>
      </c>
      <c r="L7373" s="10">
        <v>75</v>
      </c>
      <c r="M7373" s="6" t="s">
        <v>371</v>
      </c>
    </row>
    <row r="7374" spans="1:13">
      <c r="A7374" s="6">
        <v>2026</v>
      </c>
      <c r="B7374" s="6">
        <v>3</v>
      </c>
      <c r="C7374" s="6" t="s">
        <v>61</v>
      </c>
      <c r="D7374" s="6" t="s">
        <v>321</v>
      </c>
      <c r="E7374" s="6" t="s">
        <v>381</v>
      </c>
      <c r="F7374" s="6" t="str">
        <f>IF($M7374="PADD I","PADD 1",IF($M7374="PADD II","PADD 2",IF($M7374="PADD III","PADD 3",IF($M7374="PADD IV","PADD 4",IF($M7374="PADD V","PADD 5","")))))</f>
        <v>PADD 2</v>
      </c>
      <c r="G7374" s="6">
        <f>IF(AND($H7374="ATMOS DISTILLATION",ISNUMBER(SEARCH("VPS",$I7374))=FALSE,LEFT($I7374,6)&lt;&gt;"VACUUM"),"CDU",IF($H7374="FLUID CAT CRACKING","FCC",IF(OR($H7374="HYDROCRACKING",$H7374="RESID_HYDROCRACKING"),"Hydrocracker",IF($H7374="REFORMING","Reformer",""))))</f>
        <v/>
      </c>
      <c r="H7374" s="6" t="s">
        <v>435</v>
      </c>
      <c r="I7374" s="6" t="s">
        <v>441</v>
      </c>
      <c r="J7374" s="6" t="s">
        <v>349</v>
      </c>
      <c r="K7374" s="10">
        <v>19.5</v>
      </c>
      <c r="L7374" s="10">
        <v>30</v>
      </c>
      <c r="M7374" s="6" t="s">
        <v>375</v>
      </c>
    </row>
    <row r="7375" spans="1:13">
      <c r="A7375" s="6">
        <v>2026</v>
      </c>
      <c r="B7375" s="6">
        <v>3</v>
      </c>
      <c r="C7375" s="6" t="s">
        <v>61</v>
      </c>
      <c r="D7375" s="6" t="s">
        <v>457</v>
      </c>
      <c r="E7375" s="6" t="s">
        <v>388</v>
      </c>
      <c r="F7375" s="6" t="str">
        <f>IF($M7375="PADD I","PADD 1",IF($M7375="PADD II","PADD 2",IF($M7375="PADD III","PADD 3",IF($M7375="PADD IV","PADD 4",IF($M7375="PADD V","PADD 5","")))))</f>
        <v>PADD 5</v>
      </c>
      <c r="G7375" s="6">
        <f>IF(AND($H7375="ATMOS DISTILLATION",ISNUMBER(SEARCH("VPS",$I7375))=FALSE,LEFT($I7375,6)&lt;&gt;"VACUUM"),"CDU",IF($H7375="FLUID CAT CRACKING","FCC",IF(OR($H7375="HYDROCRACKING",$H7375="RESID_HYDROCRACKING"),"Hydrocracker",IF($H7375="REFORMING","Reformer",""))))</f>
        <v/>
      </c>
      <c r="H7375" s="6" t="s">
        <v>637</v>
      </c>
      <c r="I7375" s="6" t="s">
        <v>585</v>
      </c>
      <c r="J7375" s="6" t="s">
        <v>345</v>
      </c>
      <c r="K7375" s="10">
        <v>17.98</v>
      </c>
      <c r="L7375" s="10">
        <v>62</v>
      </c>
      <c r="M7375" s="6" t="s">
        <v>386</v>
      </c>
    </row>
    <row r="7376" spans="1:13">
      <c r="A7376" s="6">
        <v>2026</v>
      </c>
      <c r="B7376" s="6">
        <v>3</v>
      </c>
      <c r="C7376" s="6" t="s">
        <v>61</v>
      </c>
      <c r="D7376" s="6" t="s">
        <v>48</v>
      </c>
      <c r="E7376" s="6" t="s">
        <v>388</v>
      </c>
      <c r="F7376" s="6" t="str">
        <f>IF($M7376="PADD I","PADD 1",IF($M7376="PADD II","PADD 2",IF($M7376="PADD III","PADD 3",IF($M7376="PADD IV","PADD 4",IF($M7376="PADD V","PADD 5","")))))</f>
        <v>PADD 2</v>
      </c>
      <c r="G7376" s="6" t="str">
        <f>IF(AND($H7376="ATMOS DISTILLATION",ISNUMBER(SEARCH("VPS",$I7376))=FALSE,LEFT($I7376,6)&lt;&gt;"VACUUM"),"CDU",IF($H7376="FLUID CAT CRACKING","FCC",IF(OR($H7376="HYDROCRACKING",$H7376="RESID_HYDROCRACKING"),"Hydrocracker",IF($H7376="REFORMING","Reformer",""))))</f>
        <v>Reformer</v>
      </c>
      <c r="H7376" s="6" t="s">
        <v>421</v>
      </c>
      <c r="I7376" s="6" t="s">
        <v>721</v>
      </c>
      <c r="J7376" s="6" t="s">
        <v>349</v>
      </c>
      <c r="K7376" s="10">
        <v>17.55</v>
      </c>
      <c r="L7376" s="10">
        <v>39</v>
      </c>
      <c r="M7376" s="6" t="s">
        <v>375</v>
      </c>
    </row>
    <row r="7377" spans="1:13">
      <c r="A7377" s="6">
        <v>2026</v>
      </c>
      <c r="B7377" s="6">
        <v>3</v>
      </c>
      <c r="C7377" s="6" t="s">
        <v>61</v>
      </c>
      <c r="D7377" s="6" t="s">
        <v>985</v>
      </c>
      <c r="E7377" s="6" t="s">
        <v>543</v>
      </c>
      <c r="F7377" s="6" t="str">
        <f>IF($M7377="PADD I","PADD 1",IF($M7377="PADD II","PADD 2",IF($M7377="PADD III","PADD 3",IF($M7377="PADD IV","PADD 4",IF($M7377="PADD V","PADD 5","")))))</f>
        <v>PADD 2</v>
      </c>
      <c r="G7377" s="6">
        <f>IF(AND($H7377="ATMOS DISTILLATION",ISNUMBER(SEARCH("VPS",$I7377))=FALSE,LEFT($I7377,6)&lt;&gt;"VACUUM"),"CDU",IF($H7377="FLUID CAT CRACKING","FCC",IF(OR($H7377="HYDROCRACKING",$H7377="RESID_HYDROCRACKING"),"Hydrocracker",IF($H7377="REFORMING","Reformer",""))))</f>
        <v/>
      </c>
      <c r="H7377" s="6" t="s">
        <v>378</v>
      </c>
      <c r="I7377" s="6" t="s">
        <v>786</v>
      </c>
      <c r="J7377" s="6" t="s">
        <v>345</v>
      </c>
      <c r="K7377" s="10">
        <v>17.4957</v>
      </c>
      <c r="L7377" s="10">
        <v>60.33</v>
      </c>
      <c r="M7377" s="6" t="s">
        <v>375</v>
      </c>
    </row>
    <row r="7378" spans="1:13">
      <c r="A7378" s="6">
        <v>2026</v>
      </c>
      <c r="B7378" s="6">
        <v>3</v>
      </c>
      <c r="C7378" s="6" t="s">
        <v>61</v>
      </c>
      <c r="D7378" s="6" t="s">
        <v>526</v>
      </c>
      <c r="E7378" s="6" t="s">
        <v>405</v>
      </c>
      <c r="F7378" s="6" t="str">
        <f>IF($M7378="PADD I","PADD 1",IF($M7378="PADD II","PADD 2",IF($M7378="PADD III","PADD 3",IF($M7378="PADD IV","PADD 4",IF($M7378="PADD V","PADD 5","")))))</f>
        <v>PADD 3</v>
      </c>
      <c r="G7378" s="6">
        <f>IF(AND($H7378="ATMOS DISTILLATION",ISNUMBER(SEARCH("VPS",$I7378))=FALSE,LEFT($I7378,6)&lt;&gt;"VACUUM"),"CDU",IF($H7378="FLUID CAT CRACKING","FCC",IF(OR($H7378="HYDROCRACKING",$H7378="RESID_HYDROCRACKING"),"Hydrocracker",IF($H7378="REFORMING","Reformer",""))))</f>
        <v/>
      </c>
      <c r="H7378" s="6" t="s">
        <v>43</v>
      </c>
      <c r="I7378" s="6" t="s">
        <v>1361</v>
      </c>
      <c r="J7378" s="6" t="s">
        <v>345</v>
      </c>
      <c r="K7378" s="10">
        <v>17.16</v>
      </c>
      <c r="L7378" s="10">
        <v>66</v>
      </c>
      <c r="M7378" s="6" t="s">
        <v>371</v>
      </c>
    </row>
    <row r="7379" spans="1:13">
      <c r="A7379" s="6">
        <v>2026</v>
      </c>
      <c r="B7379" s="6">
        <v>3</v>
      </c>
      <c r="C7379" s="6" t="s">
        <v>61</v>
      </c>
      <c r="D7379" s="6" t="s">
        <v>639</v>
      </c>
      <c r="E7379" s="6" t="s">
        <v>452</v>
      </c>
      <c r="F7379" s="6" t="str">
        <f>IF($M7379="PADD I","PADD 1",IF($M7379="PADD II","PADD 2",IF($M7379="PADD III","PADD 3",IF($M7379="PADD IV","PADD 4",IF($M7379="PADD V","PADD 5","")))))</f>
        <v>PADD 5</v>
      </c>
      <c r="G7379" s="6" t="str">
        <f>IF(AND($H7379="ATMOS DISTILLATION",ISNUMBER(SEARCH("VPS",$I7379))=FALSE,LEFT($I7379,6)&lt;&gt;"VACUUM"),"CDU",IF($H7379="FLUID CAT CRACKING","FCC",IF(OR($H7379="HYDROCRACKING",$H7379="RESID_HYDROCRACKING"),"Hydrocracker",IF($H7379="REFORMING","Reformer",""))))</f>
        <v>Reformer</v>
      </c>
      <c r="H7379" s="6" t="s">
        <v>421</v>
      </c>
      <c r="I7379" s="6" t="s">
        <v>906</v>
      </c>
      <c r="J7379" s="6" t="s">
        <v>349</v>
      </c>
      <c r="K7379" s="10">
        <v>17</v>
      </c>
      <c r="L7379" s="10">
        <v>17</v>
      </c>
      <c r="M7379" s="6" t="s">
        <v>386</v>
      </c>
    </row>
    <row r="7380" spans="1:13">
      <c r="A7380" s="6">
        <v>2026</v>
      </c>
      <c r="B7380" s="6">
        <v>3</v>
      </c>
      <c r="C7380" s="6" t="s">
        <v>61</v>
      </c>
      <c r="D7380" s="6" t="s">
        <v>462</v>
      </c>
      <c r="E7380" s="6" t="s">
        <v>438</v>
      </c>
      <c r="F7380" s="6" t="str">
        <f>IF($M7380="PADD I","PADD 1",IF($M7380="PADD II","PADD 2",IF($M7380="PADD III","PADD 3",IF($M7380="PADD IV","PADD 4",IF($M7380="PADD V","PADD 5","")))))</f>
        <v>PADD 4</v>
      </c>
      <c r="G7380" s="6">
        <f>IF(AND($H7380="ATMOS DISTILLATION",ISNUMBER(SEARCH("VPS",$I7380))=FALSE,LEFT($I7380,6)&lt;&gt;"VACUUM"),"CDU",IF($H7380="FLUID CAT CRACKING","FCC",IF(OR($H7380="HYDROCRACKING",$H7380="RESID_HYDROCRACKING"),"Hydrocracker",IF($H7380="REFORMING","Reformer",""))))</f>
        <v/>
      </c>
      <c r="H7380" s="6" t="s">
        <v>43</v>
      </c>
      <c r="I7380" s="6" t="s">
        <v>495</v>
      </c>
      <c r="J7380" s="6" t="s">
        <v>349</v>
      </c>
      <c r="K7380" s="10">
        <v>16.8</v>
      </c>
      <c r="L7380" s="10">
        <v>20</v>
      </c>
      <c r="M7380" s="6" t="s">
        <v>430</v>
      </c>
    </row>
    <row r="7381" spans="1:13">
      <c r="A7381" s="6">
        <v>2026</v>
      </c>
      <c r="B7381" s="6">
        <v>3</v>
      </c>
      <c r="C7381" s="6" t="s">
        <v>61</v>
      </c>
      <c r="D7381" s="6" t="s">
        <v>333</v>
      </c>
      <c r="E7381" s="6" t="s">
        <v>381</v>
      </c>
      <c r="F7381" s="6" t="str">
        <f>IF($M7381="PADD I","PADD 1",IF($M7381="PADD II","PADD 2",IF($M7381="PADD III","PADD 3",IF($M7381="PADD IV","PADD 4",IF($M7381="PADD V","PADD 5","")))))</f>
        <v>PADD 3</v>
      </c>
      <c r="G7381" s="6">
        <f>IF(AND($H7381="ATMOS DISTILLATION",ISNUMBER(SEARCH("VPS",$I7381))=FALSE,LEFT($I7381,6)&lt;&gt;"VACUUM"),"CDU",IF($H7381="FLUID CAT CRACKING","FCC",IF(OR($H7381="HYDROCRACKING",$H7381="RESID_HYDROCRACKING"),"Hydrocracker",IF($H7381="REFORMING","Reformer",""))))</f>
        <v/>
      </c>
      <c r="H7381" s="6" t="s">
        <v>43</v>
      </c>
      <c r="I7381" s="6" t="s">
        <v>943</v>
      </c>
      <c r="J7381" s="6" t="s">
        <v>345</v>
      </c>
      <c r="K7381" s="10">
        <v>16.8</v>
      </c>
      <c r="L7381" s="10">
        <v>40</v>
      </c>
      <c r="M7381" s="6" t="s">
        <v>371</v>
      </c>
    </row>
    <row r="7382" spans="1:13">
      <c r="A7382" s="6">
        <v>2026</v>
      </c>
      <c r="B7382" s="6">
        <v>3</v>
      </c>
      <c r="C7382" s="6" t="s">
        <v>61</v>
      </c>
      <c r="D7382" s="6" t="s">
        <v>526</v>
      </c>
      <c r="E7382" s="6" t="s">
        <v>405</v>
      </c>
      <c r="F7382" s="6" t="str">
        <f>IF($M7382="PADD I","PADD 1",IF($M7382="PADD II","PADD 2",IF($M7382="PADD III","PADD 3",IF($M7382="PADD IV","PADD 4",IF($M7382="PADD V","PADD 5","")))))</f>
        <v>PADD 3</v>
      </c>
      <c r="G7382" s="6" t="str">
        <f>IF(AND($H7382="ATMOS DISTILLATION",ISNUMBER(SEARCH("VPS",$I7382))=FALSE,LEFT($I7382,6)&lt;&gt;"VACUUM"),"CDU",IF($H7382="FLUID CAT CRACKING","FCC",IF(OR($H7382="HYDROCRACKING",$H7382="RESID_HYDROCRACKING"),"Hydrocracker",IF($H7382="REFORMING","Reformer",""))))</f>
        <v>Hydrocracker</v>
      </c>
      <c r="H7382" s="6" t="s">
        <v>444</v>
      </c>
      <c r="I7382" s="6" t="s">
        <v>527</v>
      </c>
      <c r="J7382" s="6" t="s">
        <v>345</v>
      </c>
      <c r="K7382" s="10">
        <v>16.53</v>
      </c>
      <c r="L7382" s="10">
        <v>57</v>
      </c>
      <c r="M7382" s="6" t="s">
        <v>371</v>
      </c>
    </row>
    <row r="7383" spans="1:13">
      <c r="A7383" s="6">
        <v>2026</v>
      </c>
      <c r="B7383" s="6">
        <v>3</v>
      </c>
      <c r="C7383" s="6" t="s">
        <v>61</v>
      </c>
      <c r="D7383" s="6" t="s">
        <v>770</v>
      </c>
      <c r="E7383" s="6" t="s">
        <v>660</v>
      </c>
      <c r="F7383" s="6" t="str">
        <f>IF($M7383="PADD I","PADD 1",IF($M7383="PADD II","PADD 2",IF($M7383="PADD III","PADD 3",IF($M7383="PADD IV","PADD 4",IF($M7383="PADD V","PADD 5","")))))</f>
        <v>PADD 3</v>
      </c>
      <c r="G7383" s="6" t="str">
        <f>IF(AND($H7383="ATMOS DISTILLATION",ISNUMBER(SEARCH("VPS",$I7383))=FALSE,LEFT($I7383,6)&lt;&gt;"VACUUM"),"CDU",IF($H7383="FLUID CAT CRACKING","FCC",IF(OR($H7383="HYDROCRACKING",$H7383="RESID_HYDROCRACKING"),"Hydrocracker",IF($H7383="REFORMING","Reformer",""))))</f>
        <v>Hydrocracker</v>
      </c>
      <c r="H7383" s="6" t="s">
        <v>444</v>
      </c>
      <c r="I7383" s="6" t="s">
        <v>14</v>
      </c>
      <c r="J7383" s="6" t="s">
        <v>349</v>
      </c>
      <c r="K7383" s="10">
        <v>16.095</v>
      </c>
      <c r="L7383" s="10">
        <v>18.5</v>
      </c>
      <c r="M7383" s="6" t="s">
        <v>371</v>
      </c>
    </row>
    <row r="7384" spans="1:13">
      <c r="A7384" s="6">
        <v>2026</v>
      </c>
      <c r="B7384" s="6">
        <v>3</v>
      </c>
      <c r="C7384" s="6" t="s">
        <v>61</v>
      </c>
      <c r="D7384" s="6" t="s">
        <v>457</v>
      </c>
      <c r="E7384" s="6" t="s">
        <v>388</v>
      </c>
      <c r="F7384" s="6" t="str">
        <f>IF($M7384="PADD I","PADD 1",IF($M7384="PADD II","PADD 2",IF($M7384="PADD III","PADD 3",IF($M7384="PADD IV","PADD 4",IF($M7384="PADD V","PADD 5","")))))</f>
        <v>PADD 5</v>
      </c>
      <c r="G7384" s="6" t="str">
        <f>IF(AND($H7384="ATMOS DISTILLATION",ISNUMBER(SEARCH("VPS",$I7384))=FALSE,LEFT($I7384,6)&lt;&gt;"VACUUM"),"CDU",IF($H7384="FLUID CAT CRACKING","FCC",IF(OR($H7384="HYDROCRACKING",$H7384="RESID_HYDROCRACKING"),"Hydrocracker",IF($H7384="REFORMING","Reformer",""))))</f>
        <v>CDU</v>
      </c>
      <c r="H7384" s="6" t="s">
        <v>38</v>
      </c>
      <c r="I7384" s="6" t="s">
        <v>135</v>
      </c>
      <c r="J7384" s="6" t="s">
        <v>345</v>
      </c>
      <c r="K7384" s="10">
        <v>14.95</v>
      </c>
      <c r="L7384" s="10">
        <v>65</v>
      </c>
      <c r="M7384" s="6" t="s">
        <v>386</v>
      </c>
    </row>
    <row r="7385" spans="1:13">
      <c r="A7385" s="6">
        <v>2026</v>
      </c>
      <c r="B7385" s="6">
        <v>3</v>
      </c>
      <c r="C7385" s="6" t="s">
        <v>61</v>
      </c>
      <c r="D7385" s="6" t="s">
        <v>446</v>
      </c>
      <c r="E7385" s="6" t="s">
        <v>391</v>
      </c>
      <c r="F7385" s="6" t="str">
        <f>IF($M7385="PADD I","PADD 1",IF($M7385="PADD II","PADD 2",IF($M7385="PADD III","PADD 3",IF($M7385="PADD IV","PADD 4",IF($M7385="PADD V","PADD 5","")))))</f>
        <v>PADD 3</v>
      </c>
      <c r="G7385" s="6">
        <f>IF(AND($H7385="ATMOS DISTILLATION",ISNUMBER(SEARCH("VPS",$I7385))=FALSE,LEFT($I7385,6)&lt;&gt;"VACUUM"),"CDU",IF($H7385="FLUID CAT CRACKING","FCC",IF(OR($H7385="HYDROCRACKING",$H7385="RESID_HYDROCRACKING"),"Hydrocracker",IF($H7385="REFORMING","Reformer",""))))</f>
        <v/>
      </c>
      <c r="H7385" s="6" t="s">
        <v>378</v>
      </c>
      <c r="I7385" s="6" t="s">
        <v>1041</v>
      </c>
      <c r="J7385" s="6" t="s">
        <v>345</v>
      </c>
      <c r="K7385" s="10">
        <v>14.35</v>
      </c>
      <c r="L7385" s="10">
        <v>41</v>
      </c>
      <c r="M7385" s="6" t="s">
        <v>371</v>
      </c>
    </row>
    <row r="7386" spans="1:13">
      <c r="A7386" s="6">
        <v>2026</v>
      </c>
      <c r="B7386" s="6">
        <v>3</v>
      </c>
      <c r="C7386" s="6" t="s">
        <v>61</v>
      </c>
      <c r="D7386" s="6" t="s">
        <v>390</v>
      </c>
      <c r="E7386" s="6" t="s">
        <v>391</v>
      </c>
      <c r="F7386" s="6" t="str">
        <f>IF($M7386="PADD I","PADD 1",IF($M7386="PADD II","PADD 2",IF($M7386="PADD III","PADD 3",IF($M7386="PADD IV","PADD 4",IF($M7386="PADD V","PADD 5","")))))</f>
        <v>PADD 3</v>
      </c>
      <c r="G7386" s="6" t="str">
        <f>IF(AND($H7386="ATMOS DISTILLATION",ISNUMBER(SEARCH("VPS",$I7386))=FALSE,LEFT($I7386,6)&lt;&gt;"VACUUM"),"CDU",IF($H7386="FLUID CAT CRACKING","FCC",IF(OR($H7386="HYDROCRACKING",$H7386="RESID_HYDROCRACKING"),"Hydrocracker",IF($H7386="REFORMING","Reformer",""))))</f>
        <v>Reformer</v>
      </c>
      <c r="H7386" s="6" t="s">
        <v>421</v>
      </c>
      <c r="I7386" s="6" t="s">
        <v>1117</v>
      </c>
      <c r="J7386" s="6" t="s">
        <v>349</v>
      </c>
      <c r="K7386" s="10">
        <v>14.3</v>
      </c>
      <c r="L7386" s="10">
        <v>55</v>
      </c>
      <c r="M7386" s="6" t="s">
        <v>371</v>
      </c>
    </row>
    <row r="7387" spans="1:13">
      <c r="A7387" s="6">
        <v>2026</v>
      </c>
      <c r="B7387" s="6">
        <v>3</v>
      </c>
      <c r="C7387" s="6" t="s">
        <v>61</v>
      </c>
      <c r="D7387" s="6" t="s">
        <v>526</v>
      </c>
      <c r="E7387" s="6" t="s">
        <v>405</v>
      </c>
      <c r="F7387" s="6" t="str">
        <f>IF($M7387="PADD I","PADD 1",IF($M7387="PADD II","PADD 2",IF($M7387="PADD III","PADD 3",IF($M7387="PADD IV","PADD 4",IF($M7387="PADD V","PADD 5","")))))</f>
        <v>PADD 3</v>
      </c>
      <c r="G7387" s="6">
        <f>IF(AND($H7387="ATMOS DISTILLATION",ISNUMBER(SEARCH("VPS",$I7387))=FALSE,LEFT($I7387,6)&lt;&gt;"VACUUM"),"CDU",IF($H7387="FLUID CAT CRACKING","FCC",IF(OR($H7387="HYDROCRACKING",$H7387="RESID_HYDROCRACKING"),"Hydrocracker",IF($H7387="REFORMING","Reformer",""))))</f>
        <v/>
      </c>
      <c r="H7387" s="6" t="s">
        <v>435</v>
      </c>
      <c r="I7387" s="6" t="s">
        <v>686</v>
      </c>
      <c r="J7387" s="6" t="s">
        <v>345</v>
      </c>
      <c r="K7387" s="10">
        <v>14.3</v>
      </c>
      <c r="L7387" s="10">
        <v>55</v>
      </c>
      <c r="M7387" s="6" t="s">
        <v>371</v>
      </c>
    </row>
    <row r="7388" spans="1:13">
      <c r="A7388" s="6">
        <v>2026</v>
      </c>
      <c r="B7388" s="6">
        <v>3</v>
      </c>
      <c r="C7388" s="6" t="s">
        <v>61</v>
      </c>
      <c r="D7388" s="6" t="s">
        <v>526</v>
      </c>
      <c r="E7388" s="6" t="s">
        <v>405</v>
      </c>
      <c r="F7388" s="6" t="str">
        <f>IF($M7388="PADD I","PADD 1",IF($M7388="PADD II","PADD 2",IF($M7388="PADD III","PADD 3",IF($M7388="PADD IV","PADD 4",IF($M7388="PADD V","PADD 5","")))))</f>
        <v>PADD 3</v>
      </c>
      <c r="G7388" s="6">
        <f>IF(AND($H7388="ATMOS DISTILLATION",ISNUMBER(SEARCH("VPS",$I7388))=FALSE,LEFT($I7388,6)&lt;&gt;"VACUUM"),"CDU",IF($H7388="FLUID CAT CRACKING","FCC",IF(OR($H7388="HYDROCRACKING",$H7388="RESID_HYDROCRACKING"),"Hydrocracker",IF($H7388="REFORMING","Reformer",""))))</f>
        <v/>
      </c>
      <c r="H7388" s="6" t="s">
        <v>43</v>
      </c>
      <c r="I7388" s="6" t="s">
        <v>1076</v>
      </c>
      <c r="J7388" s="6" t="s">
        <v>345</v>
      </c>
      <c r="K7388" s="10">
        <v>14.3</v>
      </c>
      <c r="L7388" s="10">
        <v>55</v>
      </c>
      <c r="M7388" s="6" t="s">
        <v>371</v>
      </c>
    </row>
    <row r="7389" spans="1:13">
      <c r="A7389" s="6">
        <v>2026</v>
      </c>
      <c r="B7389" s="6">
        <v>3</v>
      </c>
      <c r="C7389" s="6" t="s">
        <v>61</v>
      </c>
      <c r="D7389" s="6" t="s">
        <v>457</v>
      </c>
      <c r="E7389" s="6" t="s">
        <v>388</v>
      </c>
      <c r="F7389" s="6" t="str">
        <f>IF($M7389="PADD I","PADD 1",IF($M7389="PADD II","PADD 2",IF($M7389="PADD III","PADD 3",IF($M7389="PADD IV","PADD 4",IF($M7389="PADD V","PADD 5","")))))</f>
        <v>PADD 5</v>
      </c>
      <c r="G7389" s="6">
        <f>IF(AND($H7389="ATMOS DISTILLATION",ISNUMBER(SEARCH("VPS",$I7389))=FALSE,LEFT($I7389,6)&lt;&gt;"VACUUM"),"CDU",IF($H7389="FLUID CAT CRACKING","FCC",IF(OR($H7389="HYDROCRACKING",$H7389="RESID_HYDROCRACKING"),"Hydrocracker",IF($H7389="REFORMING","Reformer",""))))</f>
        <v/>
      </c>
      <c r="H7389" s="6" t="s">
        <v>378</v>
      </c>
      <c r="I7389" s="6" t="s">
        <v>601</v>
      </c>
      <c r="J7389" s="6" t="s">
        <v>345</v>
      </c>
      <c r="K7389" s="10">
        <v>14.26</v>
      </c>
      <c r="L7389" s="10">
        <v>62</v>
      </c>
      <c r="M7389" s="6" t="s">
        <v>386</v>
      </c>
    </row>
    <row r="7390" spans="1:13">
      <c r="A7390" s="6">
        <v>2026</v>
      </c>
      <c r="B7390" s="6">
        <v>3</v>
      </c>
      <c r="C7390" s="6" t="s">
        <v>61</v>
      </c>
      <c r="D7390" s="6" t="s">
        <v>462</v>
      </c>
      <c r="E7390" s="6" t="s">
        <v>438</v>
      </c>
      <c r="F7390" s="6" t="str">
        <f>IF($M7390="PADD I","PADD 1",IF($M7390="PADD II","PADD 2",IF($M7390="PADD III","PADD 3",IF($M7390="PADD IV","PADD 4",IF($M7390="PADD V","PADD 5","")))))</f>
        <v>PADD 4</v>
      </c>
      <c r="G7390" s="6" t="str">
        <f>IF(AND($H7390="ATMOS DISTILLATION",ISNUMBER(SEARCH("VPS",$I7390))=FALSE,LEFT($I7390,6)&lt;&gt;"VACUUM"),"CDU",IF($H7390="FLUID CAT CRACKING","FCC",IF(OR($H7390="HYDROCRACKING",$H7390="RESID_HYDROCRACKING"),"Hydrocracker",IF($H7390="REFORMING","Reformer",""))))</f>
        <v>CDU</v>
      </c>
      <c r="H7390" s="6" t="s">
        <v>38</v>
      </c>
      <c r="I7390" s="6" t="s">
        <v>123</v>
      </c>
      <c r="J7390" s="6" t="s">
        <v>349</v>
      </c>
      <c r="K7390" s="10">
        <v>14.154</v>
      </c>
      <c r="L7390" s="10">
        <v>33.7</v>
      </c>
      <c r="M7390" s="6" t="s">
        <v>430</v>
      </c>
    </row>
    <row r="7391" spans="1:13">
      <c r="A7391" s="6">
        <v>2026</v>
      </c>
      <c r="B7391" s="6">
        <v>3</v>
      </c>
      <c r="C7391" s="6" t="s">
        <v>61</v>
      </c>
      <c r="D7391" s="6" t="s">
        <v>322</v>
      </c>
      <c r="E7391" s="6" t="s">
        <v>369</v>
      </c>
      <c r="F7391" s="6" t="str">
        <f>IF($M7391="PADD I","PADD 1",IF($M7391="PADD II","PADD 2",IF($M7391="PADD III","PADD 3",IF($M7391="PADD IV","PADD 4",IF($M7391="PADD V","PADD 5","")))))</f>
        <v>PADD 2</v>
      </c>
      <c r="G7391" s="6" t="str">
        <f>IF(AND($H7391="ATMOS DISTILLATION",ISNUMBER(SEARCH("VPS",$I7391))=FALSE,LEFT($I7391,6)&lt;&gt;"VACUUM"),"CDU",IF($H7391="FLUID CAT CRACKING","FCC",IF(OR($H7391="HYDROCRACKING",$H7391="RESID_HYDROCRACKING"),"Hydrocracker",IF($H7391="REFORMING","Reformer",""))))</f>
        <v>Reformer</v>
      </c>
      <c r="H7391" s="6" t="s">
        <v>421</v>
      </c>
      <c r="I7391" s="6" t="s">
        <v>685</v>
      </c>
      <c r="J7391" s="6" t="s">
        <v>345</v>
      </c>
      <c r="K7391" s="10">
        <v>14.145</v>
      </c>
      <c r="L7391" s="10">
        <v>61.5</v>
      </c>
      <c r="M7391" s="6" t="s">
        <v>375</v>
      </c>
    </row>
    <row r="7392" spans="1:13">
      <c r="A7392" s="6">
        <v>2026</v>
      </c>
      <c r="B7392" s="6">
        <v>3</v>
      </c>
      <c r="C7392" s="6" t="s">
        <v>61</v>
      </c>
      <c r="D7392" s="6" t="s">
        <v>1060</v>
      </c>
      <c r="E7392" s="6" t="s">
        <v>1039</v>
      </c>
      <c r="F7392" s="6" t="str">
        <f>IF($M7392="PADD I","PADD 1",IF($M7392="PADD II","PADD 2",IF($M7392="PADD III","PADD 3",IF($M7392="PADD IV","PADD 4",IF($M7392="PADD V","PADD 5","")))))</f>
        <v>PADD 2</v>
      </c>
      <c r="G7392" s="6">
        <f>IF(AND($H7392="ATMOS DISTILLATION",ISNUMBER(SEARCH("VPS",$I7392))=FALSE,LEFT($I7392,6)&lt;&gt;"VACUUM"),"CDU",IF($H7392="FLUID CAT CRACKING","FCC",IF(OR($H7392="HYDROCRACKING",$H7392="RESID_HYDROCRACKING"),"Hydrocracker",IF($H7392="REFORMING","Reformer",""))))</f>
        <v/>
      </c>
      <c r="H7392" s="6" t="s">
        <v>43</v>
      </c>
      <c r="I7392" s="6" t="s">
        <v>1187</v>
      </c>
      <c r="J7392" s="6" t="s">
        <v>349</v>
      </c>
      <c r="K7392" s="10">
        <v>13.65</v>
      </c>
      <c r="L7392" s="10">
        <v>35</v>
      </c>
      <c r="M7392" s="6" t="s">
        <v>375</v>
      </c>
    </row>
    <row r="7393" spans="1:13">
      <c r="A7393" s="6">
        <v>2026</v>
      </c>
      <c r="B7393" s="6">
        <v>3</v>
      </c>
      <c r="C7393" s="6" t="s">
        <v>61</v>
      </c>
      <c r="D7393" s="6" t="s">
        <v>526</v>
      </c>
      <c r="E7393" s="6" t="s">
        <v>405</v>
      </c>
      <c r="F7393" s="6" t="str">
        <f>IF($M7393="PADD I","PADD 1",IF($M7393="PADD II","PADD 2",IF($M7393="PADD III","PADD 3",IF($M7393="PADD IV","PADD 4",IF($M7393="PADD V","PADD 5","")))))</f>
        <v>PADD 3</v>
      </c>
      <c r="G7393" s="6">
        <f>IF(AND($H7393="ATMOS DISTILLATION",ISNUMBER(SEARCH("VPS",$I7393))=FALSE,LEFT($I7393,6)&lt;&gt;"VACUUM"),"CDU",IF($H7393="FLUID CAT CRACKING","FCC",IF(OR($H7393="HYDROCRACKING",$H7393="RESID_HYDROCRACKING"),"Hydrocracker",IF($H7393="REFORMING","Reformer",""))))</f>
        <v/>
      </c>
      <c r="H7393" s="6" t="s">
        <v>43</v>
      </c>
      <c r="I7393" s="6" t="s">
        <v>1076</v>
      </c>
      <c r="J7393" s="6" t="s">
        <v>345</v>
      </c>
      <c r="K7393" s="10">
        <v>13.63</v>
      </c>
      <c r="L7393" s="10">
        <v>47</v>
      </c>
      <c r="M7393" s="6" t="s">
        <v>371</v>
      </c>
    </row>
    <row r="7394" spans="1:13">
      <c r="A7394" s="6">
        <v>2026</v>
      </c>
      <c r="B7394" s="6">
        <v>3</v>
      </c>
      <c r="C7394" s="6" t="s">
        <v>61</v>
      </c>
      <c r="D7394" s="6" t="s">
        <v>380</v>
      </c>
      <c r="E7394" s="6" t="s">
        <v>381</v>
      </c>
      <c r="F7394" s="6" t="str">
        <f>IF($M7394="PADD I","PADD 1",IF($M7394="PADD II","PADD 2",IF($M7394="PADD III","PADD 3",IF($M7394="PADD IV","PADD 4",IF($M7394="PADD V","PADD 5","")))))</f>
        <v>PADD 3</v>
      </c>
      <c r="G7394" s="6" t="str">
        <f>IF(AND($H7394="ATMOS DISTILLATION",ISNUMBER(SEARCH("VPS",$I7394))=FALSE,LEFT($I7394,6)&lt;&gt;"VACUUM"),"CDU",IF($H7394="FLUID CAT CRACKING","FCC",IF(OR($H7394="HYDROCRACKING",$H7394="RESID_HYDROCRACKING"),"Hydrocracker",IF($H7394="REFORMING","Reformer",""))))</f>
        <v>CDU</v>
      </c>
      <c r="H7394" s="6" t="s">
        <v>38</v>
      </c>
      <c r="I7394" s="6" t="s">
        <v>382</v>
      </c>
      <c r="J7394" s="6" t="s">
        <v>345</v>
      </c>
      <c r="K7394" s="10">
        <v>13.5</v>
      </c>
      <c r="L7394" s="10">
        <v>225</v>
      </c>
      <c r="M7394" s="6" t="s">
        <v>371</v>
      </c>
    </row>
    <row r="7395" spans="1:13">
      <c r="A7395" s="6">
        <v>2026</v>
      </c>
      <c r="B7395" s="6">
        <v>3</v>
      </c>
      <c r="C7395" s="6" t="s">
        <v>61</v>
      </c>
      <c r="D7395" s="6" t="s">
        <v>526</v>
      </c>
      <c r="E7395" s="6" t="s">
        <v>405</v>
      </c>
      <c r="F7395" s="6" t="str">
        <f>IF($M7395="PADD I","PADD 1",IF($M7395="PADD II","PADD 2",IF($M7395="PADD III","PADD 3",IF($M7395="PADD IV","PADD 4",IF($M7395="PADD V","PADD 5","")))))</f>
        <v>PADD 3</v>
      </c>
      <c r="G7395" s="6">
        <f>IF(AND($H7395="ATMOS DISTILLATION",ISNUMBER(SEARCH("VPS",$I7395))=FALSE,LEFT($I7395,6)&lt;&gt;"VACUUM"),"CDU",IF($H7395="FLUID CAT CRACKING","FCC",IF(OR($H7395="HYDROCRACKING",$H7395="RESID_HYDROCRACKING"),"Hydrocracker",IF($H7395="REFORMING","Reformer",""))))</f>
        <v/>
      </c>
      <c r="H7395" s="6" t="s">
        <v>43</v>
      </c>
      <c r="I7395" s="6" t="s">
        <v>1222</v>
      </c>
      <c r="J7395" s="6" t="s">
        <v>345</v>
      </c>
      <c r="K7395" s="10">
        <v>13.05</v>
      </c>
      <c r="L7395" s="10">
        <v>45</v>
      </c>
      <c r="M7395" s="6" t="s">
        <v>371</v>
      </c>
    </row>
    <row r="7396" spans="1:13">
      <c r="A7396" s="6">
        <v>2026</v>
      </c>
      <c r="B7396" s="6">
        <v>3</v>
      </c>
      <c r="C7396" s="6" t="s">
        <v>61</v>
      </c>
      <c r="D7396" s="6" t="s">
        <v>526</v>
      </c>
      <c r="E7396" s="6" t="s">
        <v>405</v>
      </c>
      <c r="F7396" s="6" t="str">
        <f>IF($M7396="PADD I","PADD 1",IF($M7396="PADD II","PADD 2",IF($M7396="PADD III","PADD 3",IF($M7396="PADD IV","PADD 4",IF($M7396="PADD V","PADD 5","")))))</f>
        <v>PADD 3</v>
      </c>
      <c r="G7396" s="6" t="str">
        <f>IF(AND($H7396="ATMOS DISTILLATION",ISNUMBER(SEARCH("VPS",$I7396))=FALSE,LEFT($I7396,6)&lt;&gt;"VACUUM"),"CDU",IF($H7396="FLUID CAT CRACKING","FCC",IF(OR($H7396="HYDROCRACKING",$H7396="RESID_HYDROCRACKING"),"Hydrocracker",IF($H7396="REFORMING","Reformer",""))))</f>
        <v>Reformer</v>
      </c>
      <c r="H7396" s="6" t="s">
        <v>421</v>
      </c>
      <c r="I7396" s="6" t="s">
        <v>928</v>
      </c>
      <c r="J7396" s="6" t="s">
        <v>345</v>
      </c>
      <c r="K7396" s="10">
        <v>13</v>
      </c>
      <c r="L7396" s="10">
        <v>50</v>
      </c>
      <c r="M7396" s="6" t="s">
        <v>371</v>
      </c>
    </row>
    <row r="7397" spans="1:13">
      <c r="A7397" s="6">
        <v>2026</v>
      </c>
      <c r="B7397" s="6">
        <v>3</v>
      </c>
      <c r="C7397" s="6" t="s">
        <v>61</v>
      </c>
      <c r="D7397" s="6" t="s">
        <v>48</v>
      </c>
      <c r="E7397" s="6" t="s">
        <v>388</v>
      </c>
      <c r="F7397" s="6" t="str">
        <f>IF($M7397="PADD I","PADD 1",IF($M7397="PADD II","PADD 2",IF($M7397="PADD III","PADD 3",IF($M7397="PADD IV","PADD 4",IF($M7397="PADD V","PADD 5","")))))</f>
        <v>PADD 2</v>
      </c>
      <c r="G7397" s="6">
        <f>IF(AND($H7397="ATMOS DISTILLATION",ISNUMBER(SEARCH("VPS",$I7397))=FALSE,LEFT($I7397,6)&lt;&gt;"VACUUM"),"CDU",IF($H7397="FLUID CAT CRACKING","FCC",IF(OR($H7397="HYDROCRACKING",$H7397="RESID_HYDROCRACKING"),"Hydrocracker",IF($H7397="REFORMING","Reformer",""))))</f>
        <v/>
      </c>
      <c r="H7397" s="6" t="s">
        <v>43</v>
      </c>
      <c r="I7397" s="6" t="s">
        <v>761</v>
      </c>
      <c r="J7397" s="6" t="s">
        <v>349</v>
      </c>
      <c r="K7397" s="10">
        <v>13</v>
      </c>
      <c r="L7397" s="10">
        <v>20</v>
      </c>
      <c r="M7397" s="6" t="s">
        <v>375</v>
      </c>
    </row>
    <row r="7398" spans="1:13">
      <c r="A7398" s="6">
        <v>2026</v>
      </c>
      <c r="B7398" s="6">
        <v>3</v>
      </c>
      <c r="C7398" s="6" t="s">
        <v>61</v>
      </c>
      <c r="D7398" s="6" t="s">
        <v>51</v>
      </c>
      <c r="E7398" s="6" t="s">
        <v>391</v>
      </c>
      <c r="F7398" s="6" t="str">
        <f>IF($M7398="PADD I","PADD 1",IF($M7398="PADD II","PADD 2",IF($M7398="PADD III","PADD 3",IF($M7398="PADD IV","PADD 4",IF($M7398="PADD V","PADD 5","")))))</f>
        <v>PADD 5</v>
      </c>
      <c r="G7398" s="6">
        <f>IF(AND($H7398="ATMOS DISTILLATION",ISNUMBER(SEARCH("VPS",$I7398))=FALSE,LEFT($I7398,6)&lt;&gt;"VACUUM"),"CDU",IF($H7398="FLUID CAT CRACKING","FCC",IF(OR($H7398="HYDROCRACKING",$H7398="RESID_HYDROCRACKING"),"Hydrocracker",IF($H7398="REFORMING","Reformer",""))))</f>
        <v/>
      </c>
      <c r="H7398" s="6" t="s">
        <v>378</v>
      </c>
      <c r="I7398" s="6" t="s">
        <v>1035</v>
      </c>
      <c r="J7398" s="6" t="s">
        <v>345</v>
      </c>
      <c r="K7398" s="10">
        <v>12.9605</v>
      </c>
      <c r="L7398" s="10">
        <v>56.35</v>
      </c>
      <c r="M7398" s="6" t="s">
        <v>386</v>
      </c>
    </row>
    <row r="7399" spans="1:13">
      <c r="A7399" s="6">
        <v>2026</v>
      </c>
      <c r="B7399" s="6">
        <v>3</v>
      </c>
      <c r="C7399" s="6" t="s">
        <v>61</v>
      </c>
      <c r="D7399" s="6" t="s">
        <v>48</v>
      </c>
      <c r="E7399" s="6" t="s">
        <v>388</v>
      </c>
      <c r="F7399" s="6" t="str">
        <f>IF($M7399="PADD I","PADD 1",IF($M7399="PADD II","PADD 2",IF($M7399="PADD III","PADD 3",IF($M7399="PADD IV","PADD 4",IF($M7399="PADD V","PADD 5","")))))</f>
        <v>PADD 2</v>
      </c>
      <c r="G7399" s="6" t="str">
        <f>IF(AND($H7399="ATMOS DISTILLATION",ISNUMBER(SEARCH("VPS",$I7399))=FALSE,LEFT($I7399,6)&lt;&gt;"VACUUM"),"CDU",IF($H7399="FLUID CAT CRACKING","FCC",IF(OR($H7399="HYDROCRACKING",$H7399="RESID_HYDROCRACKING"),"Hydrocracker",IF($H7399="REFORMING","Reformer",""))))</f>
        <v>Hydrocracker</v>
      </c>
      <c r="H7399" s="6" t="s">
        <v>444</v>
      </c>
      <c r="I7399" s="6" t="s">
        <v>758</v>
      </c>
      <c r="J7399" s="6" t="s">
        <v>349</v>
      </c>
      <c r="K7399" s="10">
        <v>12.76</v>
      </c>
      <c r="L7399" s="10">
        <v>44</v>
      </c>
      <c r="M7399" s="6" t="s">
        <v>375</v>
      </c>
    </row>
    <row r="7400" spans="1:13">
      <c r="A7400" s="6">
        <v>2026</v>
      </c>
      <c r="B7400" s="6">
        <v>3</v>
      </c>
      <c r="C7400" s="6" t="s">
        <v>61</v>
      </c>
      <c r="D7400" s="6" t="s">
        <v>462</v>
      </c>
      <c r="E7400" s="6" t="s">
        <v>438</v>
      </c>
      <c r="F7400" s="6" t="str">
        <f>IF($M7400="PADD I","PADD 1",IF($M7400="PADD II","PADD 2",IF($M7400="PADD III","PADD 3",IF($M7400="PADD IV","PADD 4",IF($M7400="PADD V","PADD 5","")))))</f>
        <v>PADD 4</v>
      </c>
      <c r="G7400" s="6" t="str">
        <f>IF(AND($H7400="ATMOS DISTILLATION",ISNUMBER(SEARCH("VPS",$I7400))=FALSE,LEFT($I7400,6)&lt;&gt;"VACUUM"),"CDU",IF($H7400="FLUID CAT CRACKING","FCC",IF(OR($H7400="HYDROCRACKING",$H7400="RESID_HYDROCRACKING"),"Hydrocracker",IF($H7400="REFORMING","Reformer",""))))</f>
        <v>FCC</v>
      </c>
      <c r="H7400" s="6" t="s">
        <v>376</v>
      </c>
      <c r="I7400" s="6" t="s">
        <v>105</v>
      </c>
      <c r="J7400" s="6" t="s">
        <v>349</v>
      </c>
      <c r="K7400" s="10">
        <v>12.735</v>
      </c>
      <c r="L7400" s="10">
        <v>28.3</v>
      </c>
      <c r="M7400" s="6" t="s">
        <v>430</v>
      </c>
    </row>
    <row r="7401" spans="1:13">
      <c r="A7401" s="6">
        <v>2026</v>
      </c>
      <c r="B7401" s="6">
        <v>3</v>
      </c>
      <c r="C7401" s="6" t="s">
        <v>61</v>
      </c>
      <c r="D7401" s="6" t="s">
        <v>50</v>
      </c>
      <c r="E7401" s="6" t="s">
        <v>381</v>
      </c>
      <c r="F7401" s="6" t="str">
        <f>IF($M7401="PADD I","PADD 1",IF($M7401="PADD II","PADD 2",IF($M7401="PADD III","PADD 3",IF($M7401="PADD IV","PADD 4",IF($M7401="PADD V","PADD 5","")))))</f>
        <v>PADD 3</v>
      </c>
      <c r="G7401" s="6">
        <f>IF(AND($H7401="ATMOS DISTILLATION",ISNUMBER(SEARCH("VPS",$I7401))=FALSE,LEFT($I7401,6)&lt;&gt;"VACUUM"),"CDU",IF($H7401="FLUID CAT CRACKING","FCC",IF(OR($H7401="HYDROCRACKING",$H7401="RESID_HYDROCRACKING"),"Hydrocracker",IF($H7401="REFORMING","Reformer",""))))</f>
        <v/>
      </c>
      <c r="H7401" s="6" t="s">
        <v>43</v>
      </c>
      <c r="I7401" s="6" t="s">
        <v>1329</v>
      </c>
      <c r="J7401" s="6" t="s">
        <v>349</v>
      </c>
      <c r="K7401" s="10">
        <v>12.65</v>
      </c>
      <c r="L7401" s="10">
        <v>55</v>
      </c>
      <c r="M7401" s="6" t="s">
        <v>371</v>
      </c>
    </row>
    <row r="7402" spans="1:13">
      <c r="A7402" s="6">
        <v>2026</v>
      </c>
      <c r="B7402" s="6">
        <v>3</v>
      </c>
      <c r="C7402" s="6" t="s">
        <v>61</v>
      </c>
      <c r="D7402" s="6" t="s">
        <v>722</v>
      </c>
      <c r="E7402" s="6" t="s">
        <v>452</v>
      </c>
      <c r="F7402" s="6" t="str">
        <f>IF($M7402="PADD I","PADD 1",IF($M7402="PADD II","PADD 2",IF($M7402="PADD III","PADD 3",IF($M7402="PADD IV","PADD 4",IF($M7402="PADD V","PADD 5","")))))</f>
        <v>PADD 4</v>
      </c>
      <c r="G7402" s="6">
        <f>IF(AND($H7402="ATMOS DISTILLATION",ISNUMBER(SEARCH("VPS",$I7402))=FALSE,LEFT($I7402,6)&lt;&gt;"VACUUM"),"CDU",IF($H7402="FLUID CAT CRACKING","FCC",IF(OR($H7402="HYDROCRACKING",$H7402="RESID_HYDROCRACKING"),"Hydrocracker",IF($H7402="REFORMING","Reformer",""))))</f>
        <v/>
      </c>
      <c r="H7402" s="6" t="s">
        <v>43</v>
      </c>
      <c r="I7402" s="6" t="s">
        <v>1362</v>
      </c>
      <c r="J7402" s="6" t="s">
        <v>349</v>
      </c>
      <c r="K7402" s="10">
        <v>12.5</v>
      </c>
      <c r="L7402" s="10">
        <v>12.5</v>
      </c>
      <c r="M7402" s="6" t="s">
        <v>430</v>
      </c>
    </row>
    <row r="7403" spans="1:13">
      <c r="A7403" s="6">
        <v>2026</v>
      </c>
      <c r="B7403" s="6">
        <v>3</v>
      </c>
      <c r="C7403" s="6" t="s">
        <v>61</v>
      </c>
      <c r="D7403" s="6" t="s">
        <v>40</v>
      </c>
      <c r="E7403" s="6" t="s">
        <v>736</v>
      </c>
      <c r="F7403" s="6" t="str">
        <f>IF($M7403="PADD I","PADD 1",IF($M7403="PADD II","PADD 2",IF($M7403="PADD III","PADD 3",IF($M7403="PADD IV","PADD 4",IF($M7403="PADD V","PADD 5","")))))</f>
        <v>PADD 1</v>
      </c>
      <c r="G7403" s="6">
        <f>IF(AND($H7403="ATMOS DISTILLATION",ISNUMBER(SEARCH("VPS",$I7403))=FALSE,LEFT($I7403,6)&lt;&gt;"VACUUM"),"CDU",IF($H7403="FLUID CAT CRACKING","FCC",IF(OR($H7403="HYDROCRACKING",$H7403="RESID_HYDROCRACKING"),"Hydrocracker",IF($H7403="REFORMING","Reformer",""))))</f>
        <v/>
      </c>
      <c r="H7403" s="6" t="s">
        <v>43</v>
      </c>
      <c r="I7403" s="6" t="s">
        <v>1011</v>
      </c>
      <c r="J7403" s="6" t="s">
        <v>349</v>
      </c>
      <c r="K7403" s="10">
        <v>12.48</v>
      </c>
      <c r="L7403" s="10">
        <v>26</v>
      </c>
      <c r="M7403" s="6" t="s">
        <v>413</v>
      </c>
    </row>
    <row r="7404" spans="1:13">
      <c r="A7404" s="6">
        <v>2026</v>
      </c>
      <c r="B7404" s="6">
        <v>3</v>
      </c>
      <c r="C7404" s="6" t="s">
        <v>61</v>
      </c>
      <c r="D7404" s="6" t="s">
        <v>526</v>
      </c>
      <c r="E7404" s="6" t="s">
        <v>405</v>
      </c>
      <c r="F7404" s="6" t="str">
        <f>IF($M7404="PADD I","PADD 1",IF($M7404="PADD II","PADD 2",IF($M7404="PADD III","PADD 3",IF($M7404="PADD IV","PADD 4",IF($M7404="PADD V","PADD 5","")))))</f>
        <v>PADD 3</v>
      </c>
      <c r="G7404" s="6">
        <f>IF(AND($H7404="ATMOS DISTILLATION",ISNUMBER(SEARCH("VPS",$I7404))=FALSE,LEFT($I7404,6)&lt;&gt;"VACUUM"),"CDU",IF($H7404="FLUID CAT CRACKING","FCC",IF(OR($H7404="HYDROCRACKING",$H7404="RESID_HYDROCRACKING"),"Hydrocracker",IF($H7404="REFORMING","Reformer",""))))</f>
        <v/>
      </c>
      <c r="H7404" s="6" t="s">
        <v>43</v>
      </c>
      <c r="I7404" s="6" t="s">
        <v>1089</v>
      </c>
      <c r="J7404" s="6" t="s">
        <v>345</v>
      </c>
      <c r="K7404" s="10">
        <v>12.47</v>
      </c>
      <c r="L7404" s="10">
        <v>43</v>
      </c>
      <c r="M7404" s="6" t="s">
        <v>371</v>
      </c>
    </row>
    <row r="7405" spans="1:13">
      <c r="A7405" s="6">
        <v>2026</v>
      </c>
      <c r="B7405" s="6">
        <v>3</v>
      </c>
      <c r="C7405" s="6" t="s">
        <v>61</v>
      </c>
      <c r="D7405" s="6" t="s">
        <v>676</v>
      </c>
      <c r="E7405" s="6" t="s">
        <v>677</v>
      </c>
      <c r="F7405" s="6" t="str">
        <f>IF($M7405="PADD I","PADD 1",IF($M7405="PADD II","PADD 2",IF($M7405="PADD III","PADD 3",IF($M7405="PADD IV","PADD 4",IF($M7405="PADD V","PADD 5","")))))</f>
        <v>PADD 1</v>
      </c>
      <c r="G7405" s="6">
        <f>IF(AND($H7405="ATMOS DISTILLATION",ISNUMBER(SEARCH("VPS",$I7405))=FALSE,LEFT($I7405,6)&lt;&gt;"VACUUM"),"CDU",IF($H7405="FLUID CAT CRACKING","FCC",IF(OR($H7405="HYDROCRACKING",$H7405="RESID_HYDROCRACKING"),"Hydrocracker",IF($H7405="REFORMING","Reformer",""))))</f>
        <v/>
      </c>
      <c r="H7405" s="6" t="s">
        <v>378</v>
      </c>
      <c r="I7405" s="6" t="s">
        <v>1262</v>
      </c>
      <c r="J7405" s="6" t="s">
        <v>345</v>
      </c>
      <c r="K7405" s="10">
        <v>12.09</v>
      </c>
      <c r="L7405" s="10">
        <v>31</v>
      </c>
      <c r="M7405" s="6" t="s">
        <v>413</v>
      </c>
    </row>
    <row r="7406" spans="1:13">
      <c r="A7406" s="6">
        <v>2026</v>
      </c>
      <c r="B7406" s="6">
        <v>3</v>
      </c>
      <c r="C7406" s="6" t="s">
        <v>61</v>
      </c>
      <c r="D7406" s="6" t="s">
        <v>322</v>
      </c>
      <c r="E7406" s="6" t="s">
        <v>369</v>
      </c>
      <c r="F7406" s="6" t="str">
        <f>IF($M7406="PADD I","PADD 1",IF($M7406="PADD II","PADD 2",IF($M7406="PADD III","PADD 3",IF($M7406="PADD IV","PADD 4",IF($M7406="PADD V","PADD 5","")))))</f>
        <v>PADD 2</v>
      </c>
      <c r="G7406" s="6" t="str">
        <f>IF(AND($H7406="ATMOS DISTILLATION",ISNUMBER(SEARCH("VPS",$I7406))=FALSE,LEFT($I7406,6)&lt;&gt;"VACUUM"),"CDU",IF($H7406="FLUID CAT CRACKING","FCC",IF(OR($H7406="HYDROCRACKING",$H7406="RESID_HYDROCRACKING"),"Hydrocracker",IF($H7406="REFORMING","Reformer",""))))</f>
        <v>Hydrocracker</v>
      </c>
      <c r="H7406" s="6" t="s">
        <v>444</v>
      </c>
      <c r="I7406" s="6" t="s">
        <v>1138</v>
      </c>
      <c r="J7406" s="6" t="s">
        <v>345</v>
      </c>
      <c r="K7406" s="10">
        <v>12.006</v>
      </c>
      <c r="L7406" s="10">
        <v>52.2</v>
      </c>
      <c r="M7406" s="6" t="s">
        <v>375</v>
      </c>
    </row>
    <row r="7407" spans="1:13">
      <c r="A7407" s="6">
        <v>2026</v>
      </c>
      <c r="B7407" s="6">
        <v>3</v>
      </c>
      <c r="C7407" s="6" t="s">
        <v>61</v>
      </c>
      <c r="D7407" s="6" t="s">
        <v>662</v>
      </c>
      <c r="E7407" s="6" t="s">
        <v>552</v>
      </c>
      <c r="F7407" s="6" t="str">
        <f>IF($M7407="PADD I","PADD 1",IF($M7407="PADD II","PADD 2",IF($M7407="PADD III","PADD 3",IF($M7407="PADD IV","PADD 4",IF($M7407="PADD V","PADD 5","")))))</f>
        <v>PADD 3</v>
      </c>
      <c r="G7407" s="6">
        <f>IF(AND($H7407="ATMOS DISTILLATION",ISNUMBER(SEARCH("VPS",$I7407))=FALSE,LEFT($I7407,6)&lt;&gt;"VACUUM"),"CDU",IF($H7407="FLUID CAT CRACKING","FCC",IF(OR($H7407="HYDROCRACKING",$H7407="RESID_HYDROCRACKING"),"Hydrocracker",IF($H7407="REFORMING","Reformer",""))))</f>
        <v/>
      </c>
      <c r="H7407" s="6" t="s">
        <v>43</v>
      </c>
      <c r="I7407" s="6" t="s">
        <v>828</v>
      </c>
      <c r="J7407" s="6" t="s">
        <v>349</v>
      </c>
      <c r="K7407" s="10">
        <v>12</v>
      </c>
      <c r="L7407" s="10">
        <v>12</v>
      </c>
      <c r="M7407" s="6" t="s">
        <v>371</v>
      </c>
    </row>
    <row r="7408" spans="1:13">
      <c r="A7408" s="6">
        <v>2026</v>
      </c>
      <c r="B7408" s="6">
        <v>3</v>
      </c>
      <c r="C7408" s="6" t="s">
        <v>61</v>
      </c>
      <c r="D7408" s="6" t="s">
        <v>615</v>
      </c>
      <c r="E7408" s="6" t="s">
        <v>405</v>
      </c>
      <c r="F7408" s="6" t="str">
        <f>IF($M7408="PADD I","PADD 1",IF($M7408="PADD II","PADD 2",IF($M7408="PADD III","PADD 3",IF($M7408="PADD IV","PADD 4",IF($M7408="PADD V","PADD 5","")))))</f>
        <v>PADD 5</v>
      </c>
      <c r="G7408" s="6">
        <f>IF(AND($H7408="ATMOS DISTILLATION",ISNUMBER(SEARCH("VPS",$I7408))=FALSE,LEFT($I7408,6)&lt;&gt;"VACUUM"),"CDU",IF($H7408="FLUID CAT CRACKING","FCC",IF(OR($H7408="HYDROCRACKING",$H7408="RESID_HYDROCRACKING"),"Hydrocracker",IF($H7408="REFORMING","Reformer",""))))</f>
        <v/>
      </c>
      <c r="H7408" s="6" t="s">
        <v>43</v>
      </c>
      <c r="I7408" s="6" t="s">
        <v>1185</v>
      </c>
      <c r="J7408" s="6" t="s">
        <v>349</v>
      </c>
      <c r="K7408" s="10">
        <v>12</v>
      </c>
      <c r="L7408" s="10">
        <v>12</v>
      </c>
      <c r="M7408" s="6" t="s">
        <v>386</v>
      </c>
    </row>
    <row r="7409" spans="1:13">
      <c r="A7409" s="6">
        <v>2026</v>
      </c>
      <c r="B7409" s="6">
        <v>3</v>
      </c>
      <c r="C7409" s="6" t="s">
        <v>61</v>
      </c>
      <c r="D7409" s="6" t="s">
        <v>328</v>
      </c>
      <c r="E7409" s="6" t="s">
        <v>416</v>
      </c>
      <c r="F7409" s="6" t="str">
        <f>IF($M7409="PADD I","PADD 1",IF($M7409="PADD II","PADD 2",IF($M7409="PADD III","PADD 3",IF($M7409="PADD IV","PADD 4",IF($M7409="PADD V","PADD 5","")))))</f>
        <v>PADD 2</v>
      </c>
      <c r="G7409" s="6">
        <f>IF(AND($H7409="ATMOS DISTILLATION",ISNUMBER(SEARCH("VPS",$I7409))=FALSE,LEFT($I7409,6)&lt;&gt;"VACUUM"),"CDU",IF($H7409="FLUID CAT CRACKING","FCC",IF(OR($H7409="HYDROCRACKING",$H7409="RESID_HYDROCRACKING"),"Hydrocracker",IF($H7409="REFORMING","Reformer",""))))</f>
        <v/>
      </c>
      <c r="H7409" s="6" t="s">
        <v>460</v>
      </c>
      <c r="I7409" s="6" t="s">
        <v>1363</v>
      </c>
      <c r="J7409" s="6" t="s">
        <v>349</v>
      </c>
      <c r="K7409" s="10">
        <v>11.988</v>
      </c>
      <c r="L7409" s="10">
        <v>16.2</v>
      </c>
      <c r="M7409" s="6" t="s">
        <v>375</v>
      </c>
    </row>
    <row r="7410" spans="1:13">
      <c r="A7410" s="6">
        <v>2026</v>
      </c>
      <c r="B7410" s="6">
        <v>3</v>
      </c>
      <c r="C7410" s="6" t="s">
        <v>61</v>
      </c>
      <c r="D7410" s="6" t="s">
        <v>457</v>
      </c>
      <c r="E7410" s="6" t="s">
        <v>388</v>
      </c>
      <c r="F7410" s="6" t="str">
        <f>IF($M7410="PADD I","PADD 1",IF($M7410="PADD II","PADD 2",IF($M7410="PADD III","PADD 3",IF($M7410="PADD IV","PADD 4",IF($M7410="PADD V","PADD 5","")))))</f>
        <v>PADD 5</v>
      </c>
      <c r="G7410" s="6">
        <f>IF(AND($H7410="ATMOS DISTILLATION",ISNUMBER(SEARCH("VPS",$I7410))=FALSE,LEFT($I7410,6)&lt;&gt;"VACUUM"),"CDU",IF($H7410="FLUID CAT CRACKING","FCC",IF(OR($H7410="HYDROCRACKING",$H7410="RESID_HYDROCRACKING"),"Hydrocracker",IF($H7410="REFORMING","Reformer",""))))</f>
        <v/>
      </c>
      <c r="H7410" s="6" t="s">
        <v>378</v>
      </c>
      <c r="I7410" s="6" t="s">
        <v>601</v>
      </c>
      <c r="J7410" s="6" t="s">
        <v>345</v>
      </c>
      <c r="K7410" s="10">
        <v>11.78</v>
      </c>
      <c r="L7410" s="10">
        <v>62</v>
      </c>
      <c r="M7410" s="6" t="s">
        <v>386</v>
      </c>
    </row>
    <row r="7411" spans="1:13">
      <c r="A7411" s="6">
        <v>2026</v>
      </c>
      <c r="B7411" s="6">
        <v>3</v>
      </c>
      <c r="C7411" s="6" t="s">
        <v>61</v>
      </c>
      <c r="D7411" s="6" t="s">
        <v>526</v>
      </c>
      <c r="E7411" s="6" t="s">
        <v>405</v>
      </c>
      <c r="F7411" s="6" t="str">
        <f>IF($M7411="PADD I","PADD 1",IF($M7411="PADD II","PADD 2",IF($M7411="PADD III","PADD 3",IF($M7411="PADD IV","PADD 4",IF($M7411="PADD V","PADD 5","")))))</f>
        <v>PADD 3</v>
      </c>
      <c r="G7411" s="6" t="str">
        <f>IF(AND($H7411="ATMOS DISTILLATION",ISNUMBER(SEARCH("VPS",$I7411))=FALSE,LEFT($I7411,6)&lt;&gt;"VACUUM"),"CDU",IF($H7411="FLUID CAT CRACKING","FCC",IF(OR($H7411="HYDROCRACKING",$H7411="RESID_HYDROCRACKING"),"Hydrocracker",IF($H7411="REFORMING","Reformer",""))))</f>
        <v>Hydrocracker</v>
      </c>
      <c r="H7411" s="6" t="s">
        <v>444</v>
      </c>
      <c r="I7411" s="6" t="s">
        <v>351</v>
      </c>
      <c r="J7411" s="6" t="s">
        <v>345</v>
      </c>
      <c r="K7411" s="10">
        <v>11.7</v>
      </c>
      <c r="L7411" s="10">
        <v>45</v>
      </c>
      <c r="M7411" s="6" t="s">
        <v>371</v>
      </c>
    </row>
    <row r="7412" spans="1:13">
      <c r="A7412" s="6">
        <v>2026</v>
      </c>
      <c r="B7412" s="6">
        <v>3</v>
      </c>
      <c r="C7412" s="6" t="s">
        <v>61</v>
      </c>
      <c r="D7412" s="6" t="s">
        <v>42</v>
      </c>
      <c r="E7412" s="6" t="s">
        <v>405</v>
      </c>
      <c r="F7412" s="6" t="str">
        <f>IF($M7412="PADD I","PADD 1",IF($M7412="PADD II","PADD 2",IF($M7412="PADD III","PADD 3",IF($M7412="PADD IV","PADD 4",IF($M7412="PADD V","PADD 5","")))))</f>
        <v>PADD 3</v>
      </c>
      <c r="G7412" s="6" t="str">
        <f>IF(AND($H7412="ATMOS DISTILLATION",ISNUMBER(SEARCH("VPS",$I7412))=FALSE,LEFT($I7412,6)&lt;&gt;"VACUUM"),"CDU",IF($H7412="FLUID CAT CRACKING","FCC",IF(OR($H7412="HYDROCRACKING",$H7412="RESID_HYDROCRACKING"),"Hydrocracker",IF($H7412="REFORMING","Reformer",""))))</f>
        <v>CDU</v>
      </c>
      <c r="H7412" s="6" t="s">
        <v>38</v>
      </c>
      <c r="I7412" s="6" t="s">
        <v>1341</v>
      </c>
      <c r="J7412" s="6" t="s">
        <v>349</v>
      </c>
      <c r="K7412" s="10">
        <v>11.52</v>
      </c>
      <c r="L7412" s="10">
        <v>72</v>
      </c>
      <c r="M7412" s="6" t="s">
        <v>371</v>
      </c>
    </row>
    <row r="7413" spans="1:13">
      <c r="A7413" s="6">
        <v>2026</v>
      </c>
      <c r="B7413" s="6">
        <v>3</v>
      </c>
      <c r="C7413" s="6" t="s">
        <v>61</v>
      </c>
      <c r="D7413" s="6" t="s">
        <v>42</v>
      </c>
      <c r="E7413" s="6" t="s">
        <v>405</v>
      </c>
      <c r="F7413" s="6" t="str">
        <f>IF($M7413="PADD I","PADD 1",IF($M7413="PADD II","PADD 2",IF($M7413="PADD III","PADD 3",IF($M7413="PADD IV","PADD 4",IF($M7413="PADD V","PADD 5","")))))</f>
        <v>PADD 3</v>
      </c>
      <c r="G7413" s="6">
        <f>IF(AND($H7413="ATMOS DISTILLATION",ISNUMBER(SEARCH("VPS",$I7413))=FALSE,LEFT($I7413,6)&lt;&gt;"VACUUM"),"CDU",IF($H7413="FLUID CAT CRACKING","FCC",IF(OR($H7413="HYDROCRACKING",$H7413="RESID_HYDROCRACKING"),"Hydrocracker",IF($H7413="REFORMING","Reformer",""))))</f>
        <v/>
      </c>
      <c r="H7413" s="6" t="s">
        <v>378</v>
      </c>
      <c r="I7413" s="6" t="s">
        <v>1342</v>
      </c>
      <c r="J7413" s="6" t="s">
        <v>349</v>
      </c>
      <c r="K7413" s="10">
        <v>11.2</v>
      </c>
      <c r="L7413" s="10">
        <v>70</v>
      </c>
      <c r="M7413" s="6" t="s">
        <v>371</v>
      </c>
    </row>
    <row r="7414" spans="1:13">
      <c r="A7414" s="6">
        <v>2026</v>
      </c>
      <c r="B7414" s="6">
        <v>3</v>
      </c>
      <c r="C7414" s="6" t="s">
        <v>61</v>
      </c>
      <c r="D7414" s="6" t="s">
        <v>48</v>
      </c>
      <c r="E7414" s="6" t="s">
        <v>388</v>
      </c>
      <c r="F7414" s="6" t="str">
        <f>IF($M7414="PADD I","PADD 1",IF($M7414="PADD II","PADD 2",IF($M7414="PADD III","PADD 3",IF($M7414="PADD IV","PADD 4",IF($M7414="PADD V","PADD 5","")))))</f>
        <v>PADD 2</v>
      </c>
      <c r="G7414" s="6">
        <f>IF(AND($H7414="ATMOS DISTILLATION",ISNUMBER(SEARCH("VPS",$I7414))=FALSE,LEFT($I7414,6)&lt;&gt;"VACUUM"),"CDU",IF($H7414="FLUID CAT CRACKING","FCC",IF(OR($H7414="HYDROCRACKING",$H7414="RESID_HYDROCRACKING"),"Hydrocracker",IF($H7414="REFORMING","Reformer",""))))</f>
        <v/>
      </c>
      <c r="H7414" s="6" t="s">
        <v>43</v>
      </c>
      <c r="I7414" s="6" t="s">
        <v>761</v>
      </c>
      <c r="J7414" s="6" t="s">
        <v>345</v>
      </c>
      <c r="K7414" s="10">
        <v>10.8</v>
      </c>
      <c r="L7414" s="10">
        <v>24</v>
      </c>
      <c r="M7414" s="6" t="s">
        <v>375</v>
      </c>
    </row>
    <row r="7415" spans="1:13">
      <c r="A7415" s="6">
        <v>2026</v>
      </c>
      <c r="B7415" s="6">
        <v>3</v>
      </c>
      <c r="C7415" s="6" t="s">
        <v>61</v>
      </c>
      <c r="D7415" s="6" t="s">
        <v>612</v>
      </c>
      <c r="E7415" s="6" t="s">
        <v>416</v>
      </c>
      <c r="F7415" s="6" t="str">
        <f>IF($M7415="PADD I","PADD 1",IF($M7415="PADD II","PADD 2",IF($M7415="PADD III","PADD 3",IF($M7415="PADD IV","PADD 4",IF($M7415="PADD V","PADD 5","")))))</f>
        <v>PADD 3</v>
      </c>
      <c r="G7415" s="6" t="str">
        <f>IF(AND($H7415="ATMOS DISTILLATION",ISNUMBER(SEARCH("VPS",$I7415))=FALSE,LEFT($I7415,6)&lt;&gt;"VACUUM"),"CDU",IF($H7415="FLUID CAT CRACKING","FCC",IF(OR($H7415="HYDROCRACKING",$H7415="RESID_HYDROCRACKING"),"Hydrocracker",IF($H7415="REFORMING","Reformer",""))))</f>
        <v>CDU</v>
      </c>
      <c r="H7415" s="6" t="s">
        <v>38</v>
      </c>
      <c r="I7415" s="6" t="s">
        <v>81</v>
      </c>
      <c r="J7415" s="6" t="s">
        <v>345</v>
      </c>
      <c r="K7415" s="10">
        <v>10.44</v>
      </c>
      <c r="L7415" s="10">
        <v>174</v>
      </c>
      <c r="M7415" s="6" t="s">
        <v>371</v>
      </c>
    </row>
    <row r="7416" spans="1:13">
      <c r="A7416" s="6">
        <v>2026</v>
      </c>
      <c r="B7416" s="6">
        <v>3</v>
      </c>
      <c r="C7416" s="6" t="s">
        <v>61</v>
      </c>
      <c r="D7416" s="6" t="s">
        <v>612</v>
      </c>
      <c r="E7416" s="6" t="s">
        <v>416</v>
      </c>
      <c r="F7416" s="6" t="str">
        <f>IF($M7416="PADD I","PADD 1",IF($M7416="PADD II","PADD 2",IF($M7416="PADD III","PADD 3",IF($M7416="PADD IV","PADD 4",IF($M7416="PADD V","PADD 5","")))))</f>
        <v>PADD 3</v>
      </c>
      <c r="G7416" s="6" t="str">
        <f>IF(AND($H7416="ATMOS DISTILLATION",ISNUMBER(SEARCH("VPS",$I7416))=FALSE,LEFT($I7416,6)&lt;&gt;"VACUUM"),"CDU",IF($H7416="FLUID CAT CRACKING","FCC",IF(OR($H7416="HYDROCRACKING",$H7416="RESID_HYDROCRACKING"),"Hydrocracker",IF($H7416="REFORMING","Reformer",""))))</f>
        <v>CDU</v>
      </c>
      <c r="H7416" s="6" t="s">
        <v>38</v>
      </c>
      <c r="I7416" s="6" t="s">
        <v>81</v>
      </c>
      <c r="J7416" s="6" t="s">
        <v>345</v>
      </c>
      <c r="K7416" s="10">
        <v>10.44</v>
      </c>
      <c r="L7416" s="10">
        <v>174</v>
      </c>
      <c r="M7416" s="6" t="s">
        <v>371</v>
      </c>
    </row>
    <row r="7417" spans="1:13">
      <c r="A7417" s="6">
        <v>2026</v>
      </c>
      <c r="B7417" s="6">
        <v>3</v>
      </c>
      <c r="C7417" s="6" t="s">
        <v>61</v>
      </c>
      <c r="D7417" s="6" t="s">
        <v>462</v>
      </c>
      <c r="E7417" s="6" t="s">
        <v>438</v>
      </c>
      <c r="F7417" s="6" t="str">
        <f>IF($M7417="PADD I","PADD 1",IF($M7417="PADD II","PADD 2",IF($M7417="PADD III","PADD 3",IF($M7417="PADD IV","PADD 4",IF($M7417="PADD V","PADD 5","")))))</f>
        <v>PADD 4</v>
      </c>
      <c r="G7417" s="6">
        <f>IF(AND($H7417="ATMOS DISTILLATION",ISNUMBER(SEARCH("VPS",$I7417))=FALSE,LEFT($I7417,6)&lt;&gt;"VACUUM"),"CDU",IF($H7417="FLUID CAT CRACKING","FCC",IF(OR($H7417="HYDROCRACKING",$H7417="RESID_HYDROCRACKING"),"Hydrocracker",IF($H7417="REFORMING","Reformer",""))))</f>
        <v/>
      </c>
      <c r="H7417" s="6" t="s">
        <v>43</v>
      </c>
      <c r="I7417" s="6" t="s">
        <v>535</v>
      </c>
      <c r="J7417" s="6" t="s">
        <v>349</v>
      </c>
      <c r="K7417" s="10">
        <v>10.08</v>
      </c>
      <c r="L7417" s="10">
        <v>12</v>
      </c>
      <c r="M7417" s="6" t="s">
        <v>430</v>
      </c>
    </row>
    <row r="7418" spans="1:13">
      <c r="A7418" s="6">
        <v>2026</v>
      </c>
      <c r="B7418" s="6">
        <v>3</v>
      </c>
      <c r="C7418" s="6" t="s">
        <v>61</v>
      </c>
      <c r="D7418" s="6" t="s">
        <v>437</v>
      </c>
      <c r="E7418" s="6" t="s">
        <v>438</v>
      </c>
      <c r="F7418" s="6" t="str">
        <f>IF($M7418="PADD I","PADD 1",IF($M7418="PADD II","PADD 2",IF($M7418="PADD III","PADD 3",IF($M7418="PADD IV","PADD 4",IF($M7418="PADD V","PADD 5","")))))</f>
        <v>PADD 4</v>
      </c>
      <c r="G7418" s="6">
        <f>IF(AND($H7418="ATMOS DISTILLATION",ISNUMBER(SEARCH("VPS",$I7418))=FALSE,LEFT($I7418,6)&lt;&gt;"VACUUM"),"CDU",IF($H7418="FLUID CAT CRACKING","FCC",IF(OR($H7418="HYDROCRACKING",$H7418="RESID_HYDROCRACKING"),"Hydrocracker",IF($H7418="REFORMING","Reformer",""))))</f>
        <v/>
      </c>
      <c r="H7418" s="6" t="s">
        <v>43</v>
      </c>
      <c r="I7418" s="6" t="s">
        <v>493</v>
      </c>
      <c r="J7418" s="6" t="s">
        <v>349</v>
      </c>
      <c r="K7418" s="10">
        <v>10.08</v>
      </c>
      <c r="L7418" s="10">
        <v>21</v>
      </c>
      <c r="M7418" s="6" t="s">
        <v>430</v>
      </c>
    </row>
    <row r="7419" spans="1:13">
      <c r="A7419" s="6">
        <v>2026</v>
      </c>
      <c r="B7419" s="6">
        <v>3</v>
      </c>
      <c r="C7419" s="6" t="s">
        <v>61</v>
      </c>
      <c r="D7419" s="6" t="s">
        <v>722</v>
      </c>
      <c r="E7419" s="6" t="s">
        <v>452</v>
      </c>
      <c r="F7419" s="6" t="str">
        <f>IF($M7419="PADD I","PADD 1",IF($M7419="PADD II","PADD 2",IF($M7419="PADD III","PADD 3",IF($M7419="PADD IV","PADD 4",IF($M7419="PADD V","PADD 5","")))))</f>
        <v>PADD 4</v>
      </c>
      <c r="G7419" s="6">
        <f>IF(AND($H7419="ATMOS DISTILLATION",ISNUMBER(SEARCH("VPS",$I7419))=FALSE,LEFT($I7419,6)&lt;&gt;"VACUUM"),"CDU",IF($H7419="FLUID CAT CRACKING","FCC",IF(OR($H7419="HYDROCRACKING",$H7419="RESID_HYDROCRACKING"),"Hydrocracker",IF($H7419="REFORMING","Reformer",""))))</f>
        <v/>
      </c>
      <c r="H7419" s="6" t="s">
        <v>43</v>
      </c>
      <c r="I7419" s="6" t="s">
        <v>1364</v>
      </c>
      <c r="J7419" s="6" t="s">
        <v>349</v>
      </c>
      <c r="K7419" s="10">
        <v>10</v>
      </c>
      <c r="L7419" s="10">
        <v>10</v>
      </c>
      <c r="M7419" s="6" t="s">
        <v>430</v>
      </c>
    </row>
    <row r="7420" spans="1:13">
      <c r="A7420" s="6">
        <v>2026</v>
      </c>
      <c r="B7420" s="6">
        <v>3</v>
      </c>
      <c r="C7420" s="6" t="s">
        <v>61</v>
      </c>
      <c r="D7420" s="6" t="s">
        <v>934</v>
      </c>
      <c r="E7420" s="6" t="s">
        <v>388</v>
      </c>
      <c r="F7420" s="6" t="str">
        <f>IF($M7420="PADD I","PADD 1",IF($M7420="PADD II","PADD 2",IF($M7420="PADD III","PADD 3",IF($M7420="PADD IV","PADD 4",IF($M7420="PADD V","PADD 5","")))))</f>
        <v>PADD 3</v>
      </c>
      <c r="G7420" s="6" t="str">
        <f>IF(AND($H7420="ATMOS DISTILLATION",ISNUMBER(SEARCH("VPS",$I7420))=FALSE,LEFT($I7420,6)&lt;&gt;"VACUUM"),"CDU",IF($H7420="FLUID CAT CRACKING","FCC",IF(OR($H7420="HYDROCRACKING",$H7420="RESID_HYDROCRACKING"),"Hydrocracker",IF($H7420="REFORMING","Reformer",""))))</f>
        <v>CDU</v>
      </c>
      <c r="H7420" s="6" t="s">
        <v>38</v>
      </c>
      <c r="I7420" s="6" t="s">
        <v>135</v>
      </c>
      <c r="J7420" s="6" t="s">
        <v>349</v>
      </c>
      <c r="K7420" s="10">
        <v>9.75</v>
      </c>
      <c r="L7420" s="10">
        <v>75</v>
      </c>
      <c r="M7420" s="6" t="s">
        <v>371</v>
      </c>
    </row>
    <row r="7421" spans="1:13">
      <c r="A7421" s="6">
        <v>2026</v>
      </c>
      <c r="B7421" s="6">
        <v>3</v>
      </c>
      <c r="C7421" s="6" t="s">
        <v>61</v>
      </c>
      <c r="D7421" s="6" t="s">
        <v>1060</v>
      </c>
      <c r="E7421" s="6" t="s">
        <v>1039</v>
      </c>
      <c r="F7421" s="6" t="str">
        <f>IF($M7421="PADD I","PADD 1",IF($M7421="PADD II","PADD 2",IF($M7421="PADD III","PADD 3",IF($M7421="PADD IV","PADD 4",IF($M7421="PADD V","PADD 5","")))))</f>
        <v>PADD 2</v>
      </c>
      <c r="G7421" s="6">
        <f>IF(AND($H7421="ATMOS DISTILLATION",ISNUMBER(SEARCH("VPS",$I7421))=FALSE,LEFT($I7421,6)&lt;&gt;"VACUUM"),"CDU",IF($H7421="FLUID CAT CRACKING","FCC",IF(OR($H7421="HYDROCRACKING",$H7421="RESID_HYDROCRACKING"),"Hydrocracker",IF($H7421="REFORMING","Reformer",""))))</f>
        <v/>
      </c>
      <c r="H7421" s="6" t="s">
        <v>43</v>
      </c>
      <c r="I7421" s="6" t="s">
        <v>1194</v>
      </c>
      <c r="J7421" s="6" t="s">
        <v>349</v>
      </c>
      <c r="K7421" s="10">
        <v>9.75</v>
      </c>
      <c r="L7421" s="10">
        <v>25</v>
      </c>
      <c r="M7421" s="6" t="s">
        <v>375</v>
      </c>
    </row>
    <row r="7422" spans="1:13">
      <c r="A7422" s="6">
        <v>2026</v>
      </c>
      <c r="B7422" s="6">
        <v>3</v>
      </c>
      <c r="C7422" s="6" t="s">
        <v>61</v>
      </c>
      <c r="D7422" s="6" t="s">
        <v>48</v>
      </c>
      <c r="E7422" s="6" t="s">
        <v>388</v>
      </c>
      <c r="F7422" s="6" t="str">
        <f>IF($M7422="PADD I","PADD 1",IF($M7422="PADD II","PADD 2",IF($M7422="PADD III","PADD 3",IF($M7422="PADD IV","PADD 4",IF($M7422="PADD V","PADD 5","")))))</f>
        <v>PADD 2</v>
      </c>
      <c r="G7422" s="6">
        <f>IF(AND($H7422="ATMOS DISTILLATION",ISNUMBER(SEARCH("VPS",$I7422))=FALSE,LEFT($I7422,6)&lt;&gt;"VACUUM"),"CDU",IF($H7422="FLUID CAT CRACKING","FCC",IF(OR($H7422="HYDROCRACKING",$H7422="RESID_HYDROCRACKING"),"Hydrocracker",IF($H7422="REFORMING","Reformer",""))))</f>
        <v/>
      </c>
      <c r="H7422" s="6" t="s">
        <v>568</v>
      </c>
      <c r="I7422" s="6" t="s">
        <v>604</v>
      </c>
      <c r="J7422" s="6" t="s">
        <v>349</v>
      </c>
      <c r="K7422" s="10">
        <v>9.555</v>
      </c>
      <c r="L7422" s="10">
        <v>14.7</v>
      </c>
      <c r="M7422" s="6" t="s">
        <v>375</v>
      </c>
    </row>
    <row r="7423" spans="1:13">
      <c r="A7423" s="6">
        <v>2026</v>
      </c>
      <c r="B7423" s="6">
        <v>3</v>
      </c>
      <c r="C7423" s="6" t="s">
        <v>61</v>
      </c>
      <c r="D7423" s="6" t="s">
        <v>739</v>
      </c>
      <c r="E7423" s="6" t="s">
        <v>405</v>
      </c>
      <c r="F7423" s="6" t="str">
        <f>IF($M7423="PADD I","PADD 1",IF($M7423="PADD II","PADD 2",IF($M7423="PADD III","PADD 3",IF($M7423="PADD IV","PADD 4",IF($M7423="PADD V","PADD 5","")))))</f>
        <v>PADD 2</v>
      </c>
      <c r="G7423" s="6" t="str">
        <f>IF(AND($H7423="ATMOS DISTILLATION",ISNUMBER(SEARCH("VPS",$I7423))=FALSE,LEFT($I7423,6)&lt;&gt;"VACUUM"),"CDU",IF($H7423="FLUID CAT CRACKING","FCC",IF(OR($H7423="HYDROCRACKING",$H7423="RESID_HYDROCRACKING"),"Hydrocracker",IF($H7423="REFORMING","Reformer",""))))</f>
        <v>CDU</v>
      </c>
      <c r="H7423" s="6" t="s">
        <v>38</v>
      </c>
      <c r="I7423" s="6" t="s">
        <v>133</v>
      </c>
      <c r="J7423" s="6" t="s">
        <v>345</v>
      </c>
      <c r="K7423" s="10">
        <v>9.15</v>
      </c>
      <c r="L7423" s="10">
        <v>91.5</v>
      </c>
      <c r="M7423" s="6" t="s">
        <v>375</v>
      </c>
    </row>
    <row r="7424" spans="1:13">
      <c r="A7424" s="6">
        <v>2026</v>
      </c>
      <c r="B7424" s="6">
        <v>3</v>
      </c>
      <c r="C7424" s="6" t="s">
        <v>61</v>
      </c>
      <c r="D7424" s="6" t="s">
        <v>788</v>
      </c>
      <c r="E7424" s="6" t="s">
        <v>405</v>
      </c>
      <c r="F7424" s="6" t="str">
        <f>IF($M7424="PADD I","PADD 1",IF($M7424="PADD II","PADD 2",IF($M7424="PADD III","PADD 3",IF($M7424="PADD IV","PADD 4",IF($M7424="PADD V","PADD 5","")))))</f>
        <v>PADD 3</v>
      </c>
      <c r="G7424" s="6" t="str">
        <f>IF(AND($H7424="ATMOS DISTILLATION",ISNUMBER(SEARCH("VPS",$I7424))=FALSE,LEFT($I7424,6)&lt;&gt;"VACUUM"),"CDU",IF($H7424="FLUID CAT CRACKING","FCC",IF(OR($H7424="HYDROCRACKING",$H7424="RESID_HYDROCRACKING"),"Hydrocracker",IF($H7424="REFORMING","Reformer",""))))</f>
        <v>Hydrocracker</v>
      </c>
      <c r="H7424" s="6" t="s">
        <v>444</v>
      </c>
      <c r="I7424" s="6" t="s">
        <v>831</v>
      </c>
      <c r="J7424" s="6" t="s">
        <v>345</v>
      </c>
      <c r="K7424" s="10">
        <v>8.800000000000001</v>
      </c>
      <c r="L7424" s="10">
        <v>55</v>
      </c>
      <c r="M7424" s="6" t="s">
        <v>371</v>
      </c>
    </row>
    <row r="7425" spans="1:13">
      <c r="A7425" s="6">
        <v>2026</v>
      </c>
      <c r="B7425" s="6">
        <v>3</v>
      </c>
      <c r="C7425" s="6" t="s">
        <v>61</v>
      </c>
      <c r="D7425" s="6" t="s">
        <v>526</v>
      </c>
      <c r="E7425" s="6" t="s">
        <v>405</v>
      </c>
      <c r="F7425" s="6" t="str">
        <f>IF($M7425="PADD I","PADD 1",IF($M7425="PADD II","PADD 2",IF($M7425="PADD III","PADD 3",IF($M7425="PADD IV","PADD 4",IF($M7425="PADD V","PADD 5","")))))</f>
        <v>PADD 3</v>
      </c>
      <c r="G7425" s="6">
        <f>IF(AND($H7425="ATMOS DISTILLATION",ISNUMBER(SEARCH("VPS",$I7425))=FALSE,LEFT($I7425,6)&lt;&gt;"VACUUM"),"CDU",IF($H7425="FLUID CAT CRACKING","FCC",IF(OR($H7425="HYDROCRACKING",$H7425="RESID_HYDROCRACKING"),"Hydrocracker",IF($H7425="REFORMING","Reformer",""))))</f>
        <v/>
      </c>
      <c r="H7425" s="6" t="s">
        <v>43</v>
      </c>
      <c r="I7425" s="6" t="s">
        <v>1365</v>
      </c>
      <c r="J7425" s="6" t="s">
        <v>345</v>
      </c>
      <c r="K7425" s="10">
        <v>8.699999999999999</v>
      </c>
      <c r="L7425" s="10">
        <v>30</v>
      </c>
      <c r="M7425" s="6" t="s">
        <v>371</v>
      </c>
    </row>
    <row r="7426" spans="1:13">
      <c r="A7426" s="6">
        <v>2026</v>
      </c>
      <c r="B7426" s="6">
        <v>3</v>
      </c>
      <c r="C7426" s="6" t="s">
        <v>61</v>
      </c>
      <c r="D7426" s="6" t="s">
        <v>722</v>
      </c>
      <c r="E7426" s="6" t="s">
        <v>452</v>
      </c>
      <c r="F7426" s="6" t="str">
        <f>IF($M7426="PADD I","PADD 1",IF($M7426="PADD II","PADD 2",IF($M7426="PADD III","PADD 3",IF($M7426="PADD IV","PADD 4",IF($M7426="PADD V","PADD 5","")))))</f>
        <v>PADD 4</v>
      </c>
      <c r="G7426" s="6" t="str">
        <f>IF(AND($H7426="ATMOS DISTILLATION",ISNUMBER(SEARCH("VPS",$I7426))=FALSE,LEFT($I7426,6)&lt;&gt;"VACUUM"),"CDU",IF($H7426="FLUID CAT CRACKING","FCC",IF(OR($H7426="HYDROCRACKING",$H7426="RESID_HYDROCRACKING"),"Hydrocracker",IF($H7426="REFORMING","Reformer",""))))</f>
        <v>FCC</v>
      </c>
      <c r="H7426" s="6" t="s">
        <v>376</v>
      </c>
      <c r="I7426" s="6" t="s">
        <v>1106</v>
      </c>
      <c r="J7426" s="6" t="s">
        <v>349</v>
      </c>
      <c r="K7426" s="10">
        <v>8.632999999999999</v>
      </c>
      <c r="L7426" s="10">
        <v>8.9</v>
      </c>
      <c r="M7426" s="6" t="s">
        <v>430</v>
      </c>
    </row>
    <row r="7427" spans="1:13">
      <c r="A7427" s="6">
        <v>2026</v>
      </c>
      <c r="B7427" s="6">
        <v>3</v>
      </c>
      <c r="C7427" s="6" t="s">
        <v>61</v>
      </c>
      <c r="D7427" s="6" t="s">
        <v>42</v>
      </c>
      <c r="E7427" s="6" t="s">
        <v>405</v>
      </c>
      <c r="F7427" s="6" t="str">
        <f>IF($M7427="PADD I","PADD 1",IF($M7427="PADD II","PADD 2",IF($M7427="PADD III","PADD 3",IF($M7427="PADD IV","PADD 4",IF($M7427="PADD V","PADD 5","")))))</f>
        <v>PADD 3</v>
      </c>
      <c r="G7427" s="6" t="str">
        <f>IF(AND($H7427="ATMOS DISTILLATION",ISNUMBER(SEARCH("VPS",$I7427))=FALSE,LEFT($I7427,6)&lt;&gt;"VACUUM"),"CDU",IF($H7427="FLUID CAT CRACKING","FCC",IF(OR($H7427="HYDROCRACKING",$H7427="RESID_HYDROCRACKING"),"Hydrocracker",IF($H7427="REFORMING","Reformer",""))))</f>
        <v>CDU</v>
      </c>
      <c r="H7427" s="6" t="s">
        <v>38</v>
      </c>
      <c r="I7427" s="6" t="s">
        <v>1343</v>
      </c>
      <c r="J7427" s="6" t="s">
        <v>349</v>
      </c>
      <c r="K7427" s="10">
        <v>8.48</v>
      </c>
      <c r="L7427" s="10">
        <v>53</v>
      </c>
      <c r="M7427" s="6" t="s">
        <v>371</v>
      </c>
    </row>
    <row r="7428" spans="1:13">
      <c r="A7428" s="6">
        <v>2026</v>
      </c>
      <c r="B7428" s="6">
        <v>3</v>
      </c>
      <c r="C7428" s="6" t="s">
        <v>61</v>
      </c>
      <c r="D7428" s="6" t="s">
        <v>437</v>
      </c>
      <c r="E7428" s="6" t="s">
        <v>438</v>
      </c>
      <c r="F7428" s="6" t="str">
        <f>IF($M7428="PADD I","PADD 1",IF($M7428="PADD II","PADD 2",IF($M7428="PADD III","PADD 3",IF($M7428="PADD IV","PADD 4",IF($M7428="PADD V","PADD 5","")))))</f>
        <v>PADD 4</v>
      </c>
      <c r="G7428" s="6">
        <f>IF(AND($H7428="ATMOS DISTILLATION",ISNUMBER(SEARCH("VPS",$I7428))=FALSE,LEFT($I7428,6)&lt;&gt;"VACUUM"),"CDU",IF($H7428="FLUID CAT CRACKING","FCC",IF(OR($H7428="HYDROCRACKING",$H7428="RESID_HYDROCRACKING"),"Hydrocracker",IF($H7428="REFORMING","Reformer",""))))</f>
        <v/>
      </c>
      <c r="H7428" s="6" t="s">
        <v>378</v>
      </c>
      <c r="I7428" s="6" t="s">
        <v>556</v>
      </c>
      <c r="J7428" s="6" t="s">
        <v>349</v>
      </c>
      <c r="K7428" s="10">
        <v>8.4</v>
      </c>
      <c r="L7428" s="10">
        <v>10</v>
      </c>
      <c r="M7428" s="6" t="s">
        <v>430</v>
      </c>
    </row>
    <row r="7429" spans="1:13">
      <c r="A7429" s="6">
        <v>2026</v>
      </c>
      <c r="B7429" s="6">
        <v>3</v>
      </c>
      <c r="C7429" s="6" t="s">
        <v>61</v>
      </c>
      <c r="D7429" s="6" t="s">
        <v>462</v>
      </c>
      <c r="E7429" s="6" t="s">
        <v>438</v>
      </c>
      <c r="F7429" s="6" t="str">
        <f>IF($M7429="PADD I","PADD 1",IF($M7429="PADD II","PADD 2",IF($M7429="PADD III","PADD 3",IF($M7429="PADD IV","PADD 4",IF($M7429="PADD V","PADD 5","")))))</f>
        <v>PADD 4</v>
      </c>
      <c r="G7429" s="6">
        <f>IF(AND($H7429="ATMOS DISTILLATION",ISNUMBER(SEARCH("VPS",$I7429))=FALSE,LEFT($I7429,6)&lt;&gt;"VACUUM"),"CDU",IF($H7429="FLUID CAT CRACKING","FCC",IF(OR($H7429="HYDROCRACKING",$H7429="RESID_HYDROCRACKING"),"Hydrocracker",IF($H7429="REFORMING","Reformer",""))))</f>
        <v/>
      </c>
      <c r="H7429" s="6" t="s">
        <v>43</v>
      </c>
      <c r="I7429" s="6" t="s">
        <v>558</v>
      </c>
      <c r="J7429" s="6" t="s">
        <v>349</v>
      </c>
      <c r="K7429" s="10">
        <v>8.4</v>
      </c>
      <c r="L7429" s="10">
        <v>10</v>
      </c>
      <c r="M7429" s="6" t="s">
        <v>430</v>
      </c>
    </row>
    <row r="7430" spans="1:13">
      <c r="A7430" s="6">
        <v>2026</v>
      </c>
      <c r="B7430" s="6">
        <v>3</v>
      </c>
      <c r="C7430" s="6" t="s">
        <v>61</v>
      </c>
      <c r="D7430" s="6" t="s">
        <v>462</v>
      </c>
      <c r="E7430" s="6" t="s">
        <v>438</v>
      </c>
      <c r="F7430" s="6" t="str">
        <f>IF($M7430="PADD I","PADD 1",IF($M7430="PADD II","PADD 2",IF($M7430="PADD III","PADD 3",IF($M7430="PADD IV","PADD 4",IF($M7430="PADD V","PADD 5","")))))</f>
        <v>PADD 4</v>
      </c>
      <c r="G7430" s="6">
        <f>IF(AND($H7430="ATMOS DISTILLATION",ISNUMBER(SEARCH("VPS",$I7430))=FALSE,LEFT($I7430,6)&lt;&gt;"VACUUM"),"CDU",IF($H7430="FLUID CAT CRACKING","FCC",IF(OR($H7430="HYDROCRACKING",$H7430="RESID_HYDROCRACKING"),"Hydrocracker",IF($H7430="REFORMING","Reformer",""))))</f>
        <v/>
      </c>
      <c r="H7430" s="6" t="s">
        <v>43</v>
      </c>
      <c r="I7430" s="6" t="s">
        <v>493</v>
      </c>
      <c r="J7430" s="6" t="s">
        <v>349</v>
      </c>
      <c r="K7430" s="10">
        <v>8.4</v>
      </c>
      <c r="L7430" s="10">
        <v>10</v>
      </c>
      <c r="M7430" s="6" t="s">
        <v>430</v>
      </c>
    </row>
    <row r="7431" spans="1:13">
      <c r="A7431" s="6">
        <v>2026</v>
      </c>
      <c r="B7431" s="6">
        <v>3</v>
      </c>
      <c r="C7431" s="6" t="s">
        <v>61</v>
      </c>
      <c r="D7431" s="6" t="s">
        <v>387</v>
      </c>
      <c r="E7431" s="6" t="s">
        <v>388</v>
      </c>
      <c r="F7431" s="6" t="str">
        <f>IF($M7431="PADD I","PADD 1",IF($M7431="PADD II","PADD 2",IF($M7431="PADD III","PADD 3",IF($M7431="PADD IV","PADD 4",IF($M7431="PADD V","PADD 5","")))))</f>
        <v>PADD 3</v>
      </c>
      <c r="G7431" s="6">
        <f>IF(AND($H7431="ATMOS DISTILLATION",ISNUMBER(SEARCH("VPS",$I7431))=FALSE,LEFT($I7431,6)&lt;&gt;"VACUUM"),"CDU",IF($H7431="FLUID CAT CRACKING","FCC",IF(OR($H7431="HYDROCRACKING",$H7431="RESID_HYDROCRACKING"),"Hydrocracker",IF($H7431="REFORMING","Reformer",""))))</f>
        <v/>
      </c>
      <c r="H7431" s="6" t="s">
        <v>460</v>
      </c>
      <c r="I7431" s="6" t="s">
        <v>1345</v>
      </c>
      <c r="J7431" s="6" t="s">
        <v>349</v>
      </c>
      <c r="K7431" s="10">
        <v>8.19</v>
      </c>
      <c r="L7431" s="10">
        <v>31.5</v>
      </c>
      <c r="M7431" s="6" t="s">
        <v>371</v>
      </c>
    </row>
    <row r="7432" spans="1:13">
      <c r="A7432" s="6">
        <v>2026</v>
      </c>
      <c r="B7432" s="6">
        <v>3</v>
      </c>
      <c r="C7432" s="6" t="s">
        <v>61</v>
      </c>
      <c r="D7432" s="6" t="s">
        <v>799</v>
      </c>
      <c r="E7432" s="6" t="s">
        <v>391</v>
      </c>
      <c r="F7432" s="6" t="str">
        <f>IF($M7432="PADD I","PADD 1",IF($M7432="PADD II","PADD 2",IF($M7432="PADD III","PADD 3",IF($M7432="PADD IV","PADD 4",IF($M7432="PADD V","PADD 5","")))))</f>
        <v>PADD 4</v>
      </c>
      <c r="G7432" s="6">
        <f>IF(AND($H7432="ATMOS DISTILLATION",ISNUMBER(SEARCH("VPS",$I7432))=FALSE,LEFT($I7432,6)&lt;&gt;"VACUUM"),"CDU",IF($H7432="FLUID CAT CRACKING","FCC",IF(OR($H7432="HYDROCRACKING",$H7432="RESID_HYDROCRACKING"),"Hydrocracker",IF($H7432="REFORMING","Reformer",""))))</f>
        <v/>
      </c>
      <c r="H7432" s="6" t="s">
        <v>43</v>
      </c>
      <c r="I7432" s="6" t="s">
        <v>800</v>
      </c>
      <c r="J7432" s="6" t="s">
        <v>345</v>
      </c>
      <c r="K7432" s="10">
        <v>8.090999999999999</v>
      </c>
      <c r="L7432" s="10">
        <v>27.9</v>
      </c>
      <c r="M7432" s="6" t="s">
        <v>430</v>
      </c>
    </row>
    <row r="7433" spans="1:13">
      <c r="A7433" s="6">
        <v>2026</v>
      </c>
      <c r="B7433" s="6">
        <v>3</v>
      </c>
      <c r="C7433" s="6" t="s">
        <v>61</v>
      </c>
      <c r="D7433" s="6" t="s">
        <v>722</v>
      </c>
      <c r="E7433" s="6" t="s">
        <v>452</v>
      </c>
      <c r="F7433" s="6" t="str">
        <f>IF($M7433="PADD I","PADD 1",IF($M7433="PADD II","PADD 2",IF($M7433="PADD III","PADD 3",IF($M7433="PADD IV","PADD 4",IF($M7433="PADD V","PADD 5","")))))</f>
        <v>PADD 4</v>
      </c>
      <c r="G7433" s="6" t="str">
        <f>IF(AND($H7433="ATMOS DISTILLATION",ISNUMBER(SEARCH("VPS",$I7433))=FALSE,LEFT($I7433,6)&lt;&gt;"VACUUM"),"CDU",IF($H7433="FLUID CAT CRACKING","FCC",IF(OR($H7433="HYDROCRACKING",$H7433="RESID_HYDROCRACKING"),"Hydrocracker",IF($H7433="REFORMING","Reformer",""))))</f>
        <v>Reformer</v>
      </c>
      <c r="H7433" s="6" t="s">
        <v>421</v>
      </c>
      <c r="I7433" s="6" t="s">
        <v>1107</v>
      </c>
      <c r="J7433" s="6" t="s">
        <v>349</v>
      </c>
      <c r="K7433" s="10">
        <v>8</v>
      </c>
      <c r="L7433" s="10">
        <v>8</v>
      </c>
      <c r="M7433" s="6" t="s">
        <v>430</v>
      </c>
    </row>
    <row r="7434" spans="1:13">
      <c r="A7434" s="6">
        <v>2026</v>
      </c>
      <c r="B7434" s="6">
        <v>3</v>
      </c>
      <c r="C7434" s="6" t="s">
        <v>61</v>
      </c>
      <c r="D7434" s="6" t="s">
        <v>387</v>
      </c>
      <c r="E7434" s="6" t="s">
        <v>388</v>
      </c>
      <c r="F7434" s="6" t="str">
        <f>IF($M7434="PADD I","PADD 1",IF($M7434="PADD II","PADD 2",IF($M7434="PADD III","PADD 3",IF($M7434="PADD IV","PADD 4",IF($M7434="PADD V","PADD 5","")))))</f>
        <v>PADD 3</v>
      </c>
      <c r="G7434" s="6" t="str">
        <f>IF(AND($H7434="ATMOS DISTILLATION",ISNUMBER(SEARCH("VPS",$I7434))=FALSE,LEFT($I7434,6)&lt;&gt;"VACUUM"),"CDU",IF($H7434="FLUID CAT CRACKING","FCC",IF(OR($H7434="HYDROCRACKING",$H7434="RESID_HYDROCRACKING"),"Hydrocracker",IF($H7434="REFORMING","Reformer",""))))</f>
        <v>CDU</v>
      </c>
      <c r="H7434" s="6" t="s">
        <v>38</v>
      </c>
      <c r="I7434" s="6" t="s">
        <v>389</v>
      </c>
      <c r="J7434" s="6" t="s">
        <v>349</v>
      </c>
      <c r="K7434" s="10">
        <v>7.8</v>
      </c>
      <c r="L7434" s="10">
        <v>30</v>
      </c>
      <c r="M7434" s="6" t="s">
        <v>371</v>
      </c>
    </row>
    <row r="7435" spans="1:13">
      <c r="A7435" s="6">
        <v>2026</v>
      </c>
      <c r="B7435" s="6">
        <v>3</v>
      </c>
      <c r="C7435" s="6" t="s">
        <v>61</v>
      </c>
      <c r="D7435" s="6" t="s">
        <v>722</v>
      </c>
      <c r="E7435" s="6" t="s">
        <v>452</v>
      </c>
      <c r="F7435" s="6" t="str">
        <f>IF($M7435="PADD I","PADD 1",IF($M7435="PADD II","PADD 2",IF($M7435="PADD III","PADD 3",IF($M7435="PADD IV","PADD 4",IF($M7435="PADD V","PADD 5","")))))</f>
        <v>PADD 4</v>
      </c>
      <c r="G7435" s="6" t="str">
        <f>IF(AND($H7435="ATMOS DISTILLATION",ISNUMBER(SEARCH("VPS",$I7435))=FALSE,LEFT($I7435,6)&lt;&gt;"VACUUM"),"CDU",IF($H7435="FLUID CAT CRACKING","FCC",IF(OR($H7435="HYDROCRACKING",$H7435="RESID_HYDROCRACKING"),"Hydrocracker",IF($H7435="REFORMING","Reformer",""))))</f>
        <v>Hydrocracker</v>
      </c>
      <c r="H7435" s="6" t="s">
        <v>444</v>
      </c>
      <c r="I7435" s="6" t="s">
        <v>1147</v>
      </c>
      <c r="J7435" s="6" t="s">
        <v>349</v>
      </c>
      <c r="K7435" s="10">
        <v>7.8</v>
      </c>
      <c r="L7435" s="10">
        <v>15</v>
      </c>
      <c r="M7435" s="6" t="s">
        <v>430</v>
      </c>
    </row>
    <row r="7436" spans="1:13">
      <c r="A7436" s="6">
        <v>2026</v>
      </c>
      <c r="B7436" s="6">
        <v>3</v>
      </c>
      <c r="C7436" s="6" t="s">
        <v>61</v>
      </c>
      <c r="D7436" s="6" t="s">
        <v>662</v>
      </c>
      <c r="E7436" s="6" t="s">
        <v>552</v>
      </c>
      <c r="F7436" s="6" t="str">
        <f>IF($M7436="PADD I","PADD 1",IF($M7436="PADD II","PADD 2",IF($M7436="PADD III","PADD 3",IF($M7436="PADD IV","PADD 4",IF($M7436="PADD V","PADD 5","")))))</f>
        <v>PADD 3</v>
      </c>
      <c r="G7436" s="6">
        <f>IF(AND($H7436="ATMOS DISTILLATION",ISNUMBER(SEARCH("VPS",$I7436))=FALSE,LEFT($I7436,6)&lt;&gt;"VACUUM"),"CDU",IF($H7436="FLUID CAT CRACKING","FCC",IF(OR($H7436="HYDROCRACKING",$H7436="RESID_HYDROCRACKING"),"Hydrocracker",IF($H7436="REFORMING","Reformer",""))))</f>
        <v/>
      </c>
      <c r="H7436" s="6" t="s">
        <v>523</v>
      </c>
      <c r="I7436" s="6" t="s">
        <v>524</v>
      </c>
      <c r="J7436" s="6" t="s">
        <v>349</v>
      </c>
      <c r="K7436" s="10">
        <v>7.6</v>
      </c>
      <c r="L7436" s="10">
        <v>7.6</v>
      </c>
      <c r="M7436" s="6" t="s">
        <v>371</v>
      </c>
    </row>
    <row r="7437" spans="1:13">
      <c r="A7437" s="6">
        <v>2026</v>
      </c>
      <c r="B7437" s="6">
        <v>3</v>
      </c>
      <c r="C7437" s="6" t="s">
        <v>61</v>
      </c>
      <c r="D7437" s="6" t="s">
        <v>1060</v>
      </c>
      <c r="E7437" s="6" t="s">
        <v>1039</v>
      </c>
      <c r="F7437" s="6" t="str">
        <f>IF($M7437="PADD I","PADD 1",IF($M7437="PADD II","PADD 2",IF($M7437="PADD III","PADD 3",IF($M7437="PADD IV","PADD 4",IF($M7437="PADD V","PADD 5","")))))</f>
        <v>PADD 2</v>
      </c>
      <c r="G7437" s="6">
        <f>IF(AND($H7437="ATMOS DISTILLATION",ISNUMBER(SEARCH("VPS",$I7437))=FALSE,LEFT($I7437,6)&lt;&gt;"VACUUM"),"CDU",IF($H7437="FLUID CAT CRACKING","FCC",IF(OR($H7437="HYDROCRACKING",$H7437="RESID_HYDROCRACKING"),"Hydrocracker",IF($H7437="REFORMING","Reformer",""))))</f>
        <v/>
      </c>
      <c r="H7437" s="6" t="s">
        <v>460</v>
      </c>
      <c r="I7437" s="6" t="s">
        <v>616</v>
      </c>
      <c r="J7437" s="6" t="s">
        <v>349</v>
      </c>
      <c r="K7437" s="10">
        <v>7.41</v>
      </c>
      <c r="L7437" s="10">
        <v>19</v>
      </c>
      <c r="M7437" s="6" t="s">
        <v>375</v>
      </c>
    </row>
    <row r="7438" spans="1:13">
      <c r="A7438" s="6">
        <v>2026</v>
      </c>
      <c r="B7438" s="6">
        <v>3</v>
      </c>
      <c r="C7438" s="6" t="s">
        <v>61</v>
      </c>
      <c r="D7438" s="6" t="s">
        <v>42</v>
      </c>
      <c r="E7438" s="6" t="s">
        <v>405</v>
      </c>
      <c r="F7438" s="6" t="str">
        <f>IF($M7438="PADD I","PADD 1",IF($M7438="PADD II","PADD 2",IF($M7438="PADD III","PADD 3",IF($M7438="PADD IV","PADD 4",IF($M7438="PADD V","PADD 5","")))))</f>
        <v>PADD 3</v>
      </c>
      <c r="G7438" s="6">
        <f>IF(AND($H7438="ATMOS DISTILLATION",ISNUMBER(SEARCH("VPS",$I7438))=FALSE,LEFT($I7438,6)&lt;&gt;"VACUUM"),"CDU",IF($H7438="FLUID CAT CRACKING","FCC",IF(OR($H7438="HYDROCRACKING",$H7438="RESID_HYDROCRACKING"),"Hydrocracker",IF($H7438="REFORMING","Reformer",""))))</f>
        <v/>
      </c>
      <c r="H7438" s="6" t="s">
        <v>378</v>
      </c>
      <c r="I7438" s="6" t="s">
        <v>1344</v>
      </c>
      <c r="J7438" s="6" t="s">
        <v>349</v>
      </c>
      <c r="K7438" s="10">
        <v>7.2</v>
      </c>
      <c r="L7438" s="10">
        <v>45</v>
      </c>
      <c r="M7438" s="6" t="s">
        <v>371</v>
      </c>
    </row>
    <row r="7439" spans="1:13">
      <c r="A7439" s="6">
        <v>2026</v>
      </c>
      <c r="B7439" s="6">
        <v>3</v>
      </c>
      <c r="C7439" s="6" t="s">
        <v>61</v>
      </c>
      <c r="D7439" s="6" t="s">
        <v>48</v>
      </c>
      <c r="E7439" s="6" t="s">
        <v>388</v>
      </c>
      <c r="F7439" s="6" t="str">
        <f>IF($M7439="PADD I","PADD 1",IF($M7439="PADD II","PADD 2",IF($M7439="PADD III","PADD 3",IF($M7439="PADD IV","PADD 4",IF($M7439="PADD V","PADD 5","")))))</f>
        <v>PADD 2</v>
      </c>
      <c r="G7439" s="6">
        <f>IF(AND($H7439="ATMOS DISTILLATION",ISNUMBER(SEARCH("VPS",$I7439))=FALSE,LEFT($I7439,6)&lt;&gt;"VACUUM"),"CDU",IF($H7439="FLUID CAT CRACKING","FCC",IF(OR($H7439="HYDROCRACKING",$H7439="RESID_HYDROCRACKING"),"Hydrocracker",IF($H7439="REFORMING","Reformer",""))))</f>
        <v/>
      </c>
      <c r="H7439" s="6" t="s">
        <v>637</v>
      </c>
      <c r="I7439" s="6" t="s">
        <v>604</v>
      </c>
      <c r="J7439" s="6" t="s">
        <v>349</v>
      </c>
      <c r="K7439" s="10">
        <v>7.2</v>
      </c>
      <c r="L7439" s="10">
        <v>16</v>
      </c>
      <c r="M7439" s="6" t="s">
        <v>375</v>
      </c>
    </row>
    <row r="7440" spans="1:13">
      <c r="A7440" s="6">
        <v>2026</v>
      </c>
      <c r="B7440" s="6">
        <v>3</v>
      </c>
      <c r="C7440" s="6" t="s">
        <v>61</v>
      </c>
      <c r="D7440" s="6" t="s">
        <v>48</v>
      </c>
      <c r="E7440" s="6" t="s">
        <v>388</v>
      </c>
      <c r="F7440" s="6" t="str">
        <f>IF($M7440="PADD I","PADD 1",IF($M7440="PADD II","PADD 2",IF($M7440="PADD III","PADD 3",IF($M7440="PADD IV","PADD 4",IF($M7440="PADD V","PADD 5","")))))</f>
        <v>PADD 2</v>
      </c>
      <c r="G7440" s="6">
        <f>IF(AND($H7440="ATMOS DISTILLATION",ISNUMBER(SEARCH("VPS",$I7440))=FALSE,LEFT($I7440,6)&lt;&gt;"VACUUM"),"CDU",IF($H7440="FLUID CAT CRACKING","FCC",IF(OR($H7440="HYDROCRACKING",$H7440="RESID_HYDROCRACKING"),"Hydrocracker",IF($H7440="REFORMING","Reformer",""))))</f>
        <v/>
      </c>
      <c r="H7440" s="6" t="s">
        <v>435</v>
      </c>
      <c r="I7440" s="6" t="s">
        <v>754</v>
      </c>
      <c r="J7440" s="6" t="s">
        <v>349</v>
      </c>
      <c r="K7440" s="10">
        <v>6.75</v>
      </c>
      <c r="L7440" s="10">
        <v>15</v>
      </c>
      <c r="M7440" s="6" t="s">
        <v>375</v>
      </c>
    </row>
    <row r="7441" spans="1:13">
      <c r="A7441" s="6">
        <v>2026</v>
      </c>
      <c r="B7441" s="6">
        <v>3</v>
      </c>
      <c r="C7441" s="6" t="s">
        <v>61</v>
      </c>
      <c r="D7441" s="6" t="s">
        <v>372</v>
      </c>
      <c r="E7441" s="6" t="s">
        <v>373</v>
      </c>
      <c r="F7441" s="6" t="str">
        <f>IF($M7441="PADD I","PADD 1",IF($M7441="PADD II","PADD 2",IF($M7441="PADD III","PADD 3",IF($M7441="PADD IV","PADD 4",IF($M7441="PADD V","PADD 5","")))))</f>
        <v>PADD 2</v>
      </c>
      <c r="G7441" s="6" t="str">
        <f>IF(AND($H7441="ATMOS DISTILLATION",ISNUMBER(SEARCH("VPS",$I7441))=FALSE,LEFT($I7441,6)&lt;&gt;"VACUUM"),"CDU",IF($H7441="FLUID CAT CRACKING","FCC",IF(OR($H7441="HYDROCRACKING",$H7441="RESID_HYDROCRACKING"),"Hydrocracker",IF($H7441="REFORMING","Reformer",""))))</f>
        <v>Reformer</v>
      </c>
      <c r="H7441" s="6" t="s">
        <v>421</v>
      </c>
      <c r="I7441" s="6" t="s">
        <v>423</v>
      </c>
      <c r="J7441" s="6" t="s">
        <v>345</v>
      </c>
      <c r="K7441" s="10">
        <v>6.72</v>
      </c>
      <c r="L7441" s="10">
        <v>42</v>
      </c>
      <c r="M7441" s="6" t="s">
        <v>375</v>
      </c>
    </row>
    <row r="7442" spans="1:13">
      <c r="A7442" s="6">
        <v>2026</v>
      </c>
      <c r="B7442" s="6">
        <v>3</v>
      </c>
      <c r="C7442" s="6" t="s">
        <v>61</v>
      </c>
      <c r="D7442" s="6" t="s">
        <v>778</v>
      </c>
      <c r="E7442" s="6" t="s">
        <v>779</v>
      </c>
      <c r="F7442" s="6" t="str">
        <f>IF($M7442="PADD I","PADD 1",IF($M7442="PADD II","PADD 2",IF($M7442="PADD III","PADD 3",IF($M7442="PADD IV","PADD 4",IF($M7442="PADD V","PADD 5","")))))</f>
        <v>PADD 3</v>
      </c>
      <c r="G7442" s="6">
        <f>IF(AND($H7442="ATMOS DISTILLATION",ISNUMBER(SEARCH("VPS",$I7442))=FALSE,LEFT($I7442,6)&lt;&gt;"VACUUM"),"CDU",IF($H7442="FLUID CAT CRACKING","FCC",IF(OR($H7442="HYDROCRACKING",$H7442="RESID_HYDROCRACKING"),"Hydrocracker",IF($H7442="REFORMING","Reformer",""))))</f>
        <v/>
      </c>
      <c r="H7442" s="6" t="s">
        <v>378</v>
      </c>
      <c r="I7442" s="6" t="s">
        <v>797</v>
      </c>
      <c r="J7442" s="6" t="s">
        <v>345</v>
      </c>
      <c r="K7442" s="10">
        <v>6.67</v>
      </c>
      <c r="L7442" s="10">
        <v>23</v>
      </c>
      <c r="M7442" s="6" t="s">
        <v>371</v>
      </c>
    </row>
    <row r="7443" spans="1:13">
      <c r="A7443" s="6">
        <v>2026</v>
      </c>
      <c r="B7443" s="6">
        <v>3</v>
      </c>
      <c r="C7443" s="6" t="s">
        <v>61</v>
      </c>
      <c r="D7443" s="6" t="s">
        <v>511</v>
      </c>
      <c r="E7443" s="6" t="s">
        <v>405</v>
      </c>
      <c r="F7443" s="6" t="str">
        <f>IF($M7443="PADD I","PADD 1",IF($M7443="PADD II","PADD 2",IF($M7443="PADD III","PADD 3",IF($M7443="PADD IV","PADD 4",IF($M7443="PADD V","PADD 5","")))))</f>
        <v>PADD 3</v>
      </c>
      <c r="G7443" s="6" t="str">
        <f>IF(AND($H7443="ATMOS DISTILLATION",ISNUMBER(SEARCH("VPS",$I7443))=FALSE,LEFT($I7443,6)&lt;&gt;"VACUUM"),"CDU",IF($H7443="FLUID CAT CRACKING","FCC",IF(OR($H7443="HYDROCRACKING",$H7443="RESID_HYDROCRACKING"),"Hydrocracker",IF($H7443="REFORMING","Reformer",""))))</f>
        <v>FCC</v>
      </c>
      <c r="H7443" s="6" t="s">
        <v>376</v>
      </c>
      <c r="I7443" s="6" t="s">
        <v>105</v>
      </c>
      <c r="J7443" s="6" t="s">
        <v>349</v>
      </c>
      <c r="K7443" s="10">
        <v>6.5</v>
      </c>
      <c r="L7443" s="10">
        <v>65</v>
      </c>
      <c r="M7443" s="6" t="s">
        <v>371</v>
      </c>
    </row>
    <row r="7444" spans="1:13">
      <c r="A7444" s="6">
        <v>2026</v>
      </c>
      <c r="B7444" s="6">
        <v>3</v>
      </c>
      <c r="C7444" s="6" t="s">
        <v>61</v>
      </c>
      <c r="D7444" s="6" t="s">
        <v>380</v>
      </c>
      <c r="E7444" s="6" t="s">
        <v>381</v>
      </c>
      <c r="F7444" s="6" t="str">
        <f>IF($M7444="PADD I","PADD 1",IF($M7444="PADD II","PADD 2",IF($M7444="PADD III","PADD 3",IF($M7444="PADD IV","PADD 4",IF($M7444="PADD V","PADD 5","")))))</f>
        <v>PADD 3</v>
      </c>
      <c r="G7444" s="6">
        <f>IF(AND($H7444="ATMOS DISTILLATION",ISNUMBER(SEARCH("VPS",$I7444))=FALSE,LEFT($I7444,6)&lt;&gt;"VACUUM"),"CDU",IF($H7444="FLUID CAT CRACKING","FCC",IF(OR($H7444="HYDROCRACKING",$H7444="RESID_HYDROCRACKING"),"Hydrocracker",IF($H7444="REFORMING","Reformer",""))))</f>
        <v/>
      </c>
      <c r="H7444" s="6" t="s">
        <v>378</v>
      </c>
      <c r="I7444" s="6" t="s">
        <v>418</v>
      </c>
      <c r="J7444" s="6" t="s">
        <v>345</v>
      </c>
      <c r="K7444" s="10">
        <v>6.18</v>
      </c>
      <c r="L7444" s="10">
        <v>103</v>
      </c>
      <c r="M7444" s="6" t="s">
        <v>371</v>
      </c>
    </row>
    <row r="7445" spans="1:13">
      <c r="A7445" s="6">
        <v>2026</v>
      </c>
      <c r="B7445" s="6">
        <v>3</v>
      </c>
      <c r="C7445" s="6" t="s">
        <v>61</v>
      </c>
      <c r="D7445" s="6" t="s">
        <v>662</v>
      </c>
      <c r="E7445" s="6" t="s">
        <v>552</v>
      </c>
      <c r="F7445" s="6" t="str">
        <f>IF($M7445="PADD I","PADD 1",IF($M7445="PADD II","PADD 2",IF($M7445="PADD III","PADD 3",IF($M7445="PADD IV","PADD 4",IF($M7445="PADD V","PADD 5","")))))</f>
        <v>PADD 3</v>
      </c>
      <c r="G7445" s="6">
        <f>IF(AND($H7445="ATMOS DISTILLATION",ISNUMBER(SEARCH("VPS",$I7445))=FALSE,LEFT($I7445,6)&lt;&gt;"VACUUM"),"CDU",IF($H7445="FLUID CAT CRACKING","FCC",IF(OR($H7445="HYDROCRACKING",$H7445="RESID_HYDROCRACKING"),"Hydrocracker",IF($H7445="REFORMING","Reformer",""))))</f>
        <v/>
      </c>
      <c r="H7445" s="6" t="s">
        <v>43</v>
      </c>
      <c r="I7445" s="6" t="s">
        <v>844</v>
      </c>
      <c r="J7445" s="6" t="s">
        <v>349</v>
      </c>
      <c r="K7445" s="10">
        <v>6</v>
      </c>
      <c r="L7445" s="10">
        <v>6</v>
      </c>
      <c r="M7445" s="6" t="s">
        <v>371</v>
      </c>
    </row>
    <row r="7446" spans="1:13">
      <c r="A7446" s="6">
        <v>2026</v>
      </c>
      <c r="B7446" s="6">
        <v>3</v>
      </c>
      <c r="C7446" s="6" t="s">
        <v>61</v>
      </c>
      <c r="D7446" s="6" t="s">
        <v>42</v>
      </c>
      <c r="E7446" s="6" t="s">
        <v>405</v>
      </c>
      <c r="F7446" s="6" t="str">
        <f>IF($M7446="PADD I","PADD 1",IF($M7446="PADD II","PADD 2",IF($M7446="PADD III","PADD 3",IF($M7446="PADD IV","PADD 4",IF($M7446="PADD V","PADD 5","")))))</f>
        <v>PADD 3</v>
      </c>
      <c r="G7446" s="6">
        <f>IF(AND($H7446="ATMOS DISTILLATION",ISNUMBER(SEARCH("VPS",$I7446))=FALSE,LEFT($I7446,6)&lt;&gt;"VACUUM"),"CDU",IF($H7446="FLUID CAT CRACKING","FCC",IF(OR($H7446="HYDROCRACKING",$H7446="RESID_HYDROCRACKING"),"Hydrocracker",IF($H7446="REFORMING","Reformer",""))))</f>
        <v/>
      </c>
      <c r="H7446" s="6" t="s">
        <v>43</v>
      </c>
      <c r="I7446" s="6" t="s">
        <v>1232</v>
      </c>
      <c r="J7446" s="6" t="s">
        <v>349</v>
      </c>
      <c r="K7446" s="10">
        <v>5.75</v>
      </c>
      <c r="L7446" s="10">
        <v>25</v>
      </c>
      <c r="M7446" s="6" t="s">
        <v>371</v>
      </c>
    </row>
    <row r="7447" spans="1:13">
      <c r="A7447" s="6">
        <v>2026</v>
      </c>
      <c r="B7447" s="6">
        <v>3</v>
      </c>
      <c r="C7447" s="6" t="s">
        <v>61</v>
      </c>
      <c r="D7447" s="6" t="s">
        <v>51</v>
      </c>
      <c r="E7447" s="6" t="s">
        <v>391</v>
      </c>
      <c r="F7447" s="6" t="str">
        <f>IF($M7447="PADD I","PADD 1",IF($M7447="PADD II","PADD 2",IF($M7447="PADD III","PADD 3",IF($M7447="PADD IV","PADD 4",IF($M7447="PADD V","PADD 5","")))))</f>
        <v>PADD 5</v>
      </c>
      <c r="G7447" s="6">
        <f>IF(AND($H7447="ATMOS DISTILLATION",ISNUMBER(SEARCH("VPS",$I7447))=FALSE,LEFT($I7447,6)&lt;&gt;"VACUUM"),"CDU",IF($H7447="FLUID CAT CRACKING","FCC",IF(OR($H7447="HYDROCRACKING",$H7447="RESID_HYDROCRACKING"),"Hydrocracker",IF($H7447="REFORMING","Reformer",""))))</f>
        <v/>
      </c>
      <c r="H7447" s="6" t="s">
        <v>43</v>
      </c>
      <c r="I7447" s="6" t="s">
        <v>1167</v>
      </c>
      <c r="J7447" s="6" t="s">
        <v>345</v>
      </c>
      <c r="K7447" s="10">
        <v>5.635</v>
      </c>
      <c r="L7447" s="10">
        <v>24.5</v>
      </c>
      <c r="M7447" s="6" t="s">
        <v>386</v>
      </c>
    </row>
    <row r="7448" spans="1:13">
      <c r="A7448" s="6">
        <v>2026</v>
      </c>
      <c r="B7448" s="6">
        <v>3</v>
      </c>
      <c r="C7448" s="6" t="s">
        <v>61</v>
      </c>
      <c r="D7448" s="6" t="s">
        <v>51</v>
      </c>
      <c r="E7448" s="6" t="s">
        <v>391</v>
      </c>
      <c r="F7448" s="6" t="str">
        <f>IF($M7448="PADD I","PADD 1",IF($M7448="PADD II","PADD 2",IF($M7448="PADD III","PADD 3",IF($M7448="PADD IV","PADD 4",IF($M7448="PADD V","PADD 5","")))))</f>
        <v>PADD 5</v>
      </c>
      <c r="G7448" s="6">
        <f>IF(AND($H7448="ATMOS DISTILLATION",ISNUMBER(SEARCH("VPS",$I7448))=FALSE,LEFT($I7448,6)&lt;&gt;"VACUUM"),"CDU",IF($H7448="FLUID CAT CRACKING","FCC",IF(OR($H7448="HYDROCRACKING",$H7448="RESID_HYDROCRACKING"),"Hydrocracker",IF($H7448="REFORMING","Reformer",""))))</f>
        <v/>
      </c>
      <c r="H7448" s="6" t="s">
        <v>43</v>
      </c>
      <c r="I7448" s="6" t="s">
        <v>1230</v>
      </c>
      <c r="J7448" s="6" t="s">
        <v>345</v>
      </c>
      <c r="K7448" s="10">
        <v>5.474</v>
      </c>
      <c r="L7448" s="10">
        <v>23.8</v>
      </c>
      <c r="M7448" s="6" t="s">
        <v>386</v>
      </c>
    </row>
    <row r="7449" spans="1:13">
      <c r="A7449" s="6">
        <v>2026</v>
      </c>
      <c r="B7449" s="6">
        <v>3</v>
      </c>
      <c r="C7449" s="6" t="s">
        <v>61</v>
      </c>
      <c r="D7449" s="6" t="s">
        <v>434</v>
      </c>
      <c r="E7449" s="6" t="s">
        <v>388</v>
      </c>
      <c r="F7449" s="6" t="str">
        <f>IF($M7449="PADD I","PADD 1",IF($M7449="PADD II","PADD 2",IF($M7449="PADD III","PADD 3",IF($M7449="PADD IV","PADD 4",IF($M7449="PADD V","PADD 5","")))))</f>
        <v>PADD 5</v>
      </c>
      <c r="G7449" s="6">
        <f>IF(AND($H7449="ATMOS DISTILLATION",ISNUMBER(SEARCH("VPS",$I7449))=FALSE,LEFT($I7449,6)&lt;&gt;"VACUUM"),"CDU",IF($H7449="FLUID CAT CRACKING","FCC",IF(OR($H7449="HYDROCRACKING",$H7449="RESID_HYDROCRACKING"),"Hydrocracker",IF($H7449="REFORMING","Reformer",""))))</f>
        <v/>
      </c>
      <c r="H7449" s="6" t="s">
        <v>435</v>
      </c>
      <c r="I7449" s="6" t="s">
        <v>436</v>
      </c>
      <c r="J7449" s="6" t="s">
        <v>345</v>
      </c>
      <c r="K7449" s="10">
        <v>5.46</v>
      </c>
      <c r="L7449" s="10">
        <v>42</v>
      </c>
      <c r="M7449" s="6" t="s">
        <v>386</v>
      </c>
    </row>
    <row r="7450" spans="1:13">
      <c r="A7450" s="6">
        <v>2026</v>
      </c>
      <c r="B7450" s="6">
        <v>3</v>
      </c>
      <c r="C7450" s="6" t="s">
        <v>61</v>
      </c>
      <c r="D7450" s="6" t="s">
        <v>714</v>
      </c>
      <c r="E7450" s="6" t="s">
        <v>405</v>
      </c>
      <c r="F7450" s="6" t="str">
        <f>IF($M7450="PADD I","PADD 1",IF($M7450="PADD II","PADD 2",IF($M7450="PADD III","PADD 3",IF($M7450="PADD IV","PADD 4",IF($M7450="PADD V","PADD 5","")))))</f>
        <v>PADD 3</v>
      </c>
      <c r="G7450" s="6" t="str">
        <f>IF(AND($H7450="ATMOS DISTILLATION",ISNUMBER(SEARCH("VPS",$I7450))=FALSE,LEFT($I7450,6)&lt;&gt;"VACUUM"),"CDU",IF($H7450="FLUID CAT CRACKING","FCC",IF(OR($H7450="HYDROCRACKING",$H7450="RESID_HYDROCRACKING"),"Hydrocracker",IF($H7450="REFORMING","Reformer",""))))</f>
        <v>FCC</v>
      </c>
      <c r="H7450" s="6" t="s">
        <v>376</v>
      </c>
      <c r="I7450" s="6" t="s">
        <v>105</v>
      </c>
      <c r="J7450" s="6" t="s">
        <v>345</v>
      </c>
      <c r="K7450" s="10">
        <v>5.447</v>
      </c>
      <c r="L7450" s="10">
        <v>54.47</v>
      </c>
      <c r="M7450" s="6" t="s">
        <v>371</v>
      </c>
    </row>
    <row r="7451" spans="1:13">
      <c r="A7451" s="6">
        <v>2026</v>
      </c>
      <c r="B7451" s="6">
        <v>3</v>
      </c>
      <c r="C7451" s="6" t="s">
        <v>61</v>
      </c>
      <c r="D7451" s="6" t="s">
        <v>390</v>
      </c>
      <c r="E7451" s="6" t="s">
        <v>391</v>
      </c>
      <c r="F7451" s="6" t="str">
        <f>IF($M7451="PADD I","PADD 1",IF($M7451="PADD II","PADD 2",IF($M7451="PADD III","PADD 3",IF($M7451="PADD IV","PADD 4",IF($M7451="PADD V","PADD 5","")))))</f>
        <v>PADD 3</v>
      </c>
      <c r="G7451" s="6" t="str">
        <f>IF(AND($H7451="ATMOS DISTILLATION",ISNUMBER(SEARCH("VPS",$I7451))=FALSE,LEFT($I7451,6)&lt;&gt;"VACUUM"),"CDU",IF($H7451="FLUID CAT CRACKING","FCC",IF(OR($H7451="HYDROCRACKING",$H7451="RESID_HYDROCRACKING"),"Hydrocracker",IF($H7451="REFORMING","Reformer",""))))</f>
        <v>Hydrocracker</v>
      </c>
      <c r="H7451" s="6" t="s">
        <v>444</v>
      </c>
      <c r="I7451" s="6" t="s">
        <v>1263</v>
      </c>
      <c r="J7451" s="6" t="s">
        <v>349</v>
      </c>
      <c r="K7451" s="10">
        <v>5.44</v>
      </c>
      <c r="L7451" s="10">
        <v>34</v>
      </c>
      <c r="M7451" s="6" t="s">
        <v>371</v>
      </c>
    </row>
    <row r="7452" spans="1:13">
      <c r="A7452" s="6">
        <v>2026</v>
      </c>
      <c r="B7452" s="6">
        <v>3</v>
      </c>
      <c r="C7452" s="6" t="s">
        <v>61</v>
      </c>
      <c r="D7452" s="6" t="s">
        <v>526</v>
      </c>
      <c r="E7452" s="6" t="s">
        <v>405</v>
      </c>
      <c r="F7452" s="6" t="str">
        <f>IF($M7452="PADD I","PADD 1",IF($M7452="PADD II","PADD 2",IF($M7452="PADD III","PADD 3",IF($M7452="PADD IV","PADD 4",IF($M7452="PADD V","PADD 5","")))))</f>
        <v>PADD 3</v>
      </c>
      <c r="G7452" s="6">
        <f>IF(AND($H7452="ATMOS DISTILLATION",ISNUMBER(SEARCH("VPS",$I7452))=FALSE,LEFT($I7452,6)&lt;&gt;"VACUUM"),"CDU",IF($H7452="FLUID CAT CRACKING","FCC",IF(OR($H7452="HYDROCRACKING",$H7452="RESID_HYDROCRACKING"),"Hydrocracker",IF($H7452="REFORMING","Reformer",""))))</f>
        <v/>
      </c>
      <c r="H7452" s="6" t="s">
        <v>43</v>
      </c>
      <c r="I7452" s="6" t="s">
        <v>1226</v>
      </c>
      <c r="J7452" s="6" t="s">
        <v>345</v>
      </c>
      <c r="K7452" s="10">
        <v>5.365</v>
      </c>
      <c r="L7452" s="10">
        <v>18.5</v>
      </c>
      <c r="M7452" s="6" t="s">
        <v>371</v>
      </c>
    </row>
    <row r="7453" spans="1:13">
      <c r="A7453" s="6">
        <v>2026</v>
      </c>
      <c r="B7453" s="6">
        <v>3</v>
      </c>
      <c r="C7453" s="6" t="s">
        <v>61</v>
      </c>
      <c r="D7453" s="6" t="s">
        <v>346</v>
      </c>
      <c r="E7453" s="6" t="s">
        <v>383</v>
      </c>
      <c r="F7453" s="6" t="str">
        <f>IF($M7453="PADD I","PADD 1",IF($M7453="PADD II","PADD 2",IF($M7453="PADD III","PADD 3",IF($M7453="PADD IV","PADD 4",IF($M7453="PADD V","PADD 5","")))))</f>
        <v>PADD 2</v>
      </c>
      <c r="G7453" s="6" t="str">
        <f>IF(AND($H7453="ATMOS DISTILLATION",ISNUMBER(SEARCH("VPS",$I7453))=FALSE,LEFT($I7453,6)&lt;&gt;"VACUUM"),"CDU",IF($H7453="FLUID CAT CRACKING","FCC",IF(OR($H7453="HYDROCRACKING",$H7453="RESID_HYDROCRACKING"),"Hydrocracker",IF($H7453="REFORMING","Reformer",""))))</f>
        <v>Hydrocracker</v>
      </c>
      <c r="H7453" s="6" t="s">
        <v>444</v>
      </c>
      <c r="I7453" s="6" t="s">
        <v>463</v>
      </c>
      <c r="J7453" s="6" t="s">
        <v>345</v>
      </c>
      <c r="K7453" s="10">
        <v>5.2</v>
      </c>
      <c r="L7453" s="10">
        <v>52</v>
      </c>
      <c r="M7453" s="6" t="s">
        <v>375</v>
      </c>
    </row>
    <row r="7454" spans="1:13">
      <c r="A7454" s="6">
        <v>2026</v>
      </c>
      <c r="B7454" s="6">
        <v>3</v>
      </c>
      <c r="C7454" s="6" t="s">
        <v>61</v>
      </c>
      <c r="D7454" s="6" t="s">
        <v>612</v>
      </c>
      <c r="E7454" s="6" t="s">
        <v>416</v>
      </c>
      <c r="F7454" s="6" t="str">
        <f>IF($M7454="PADD I","PADD 1",IF($M7454="PADD II","PADD 2",IF($M7454="PADD III","PADD 3",IF($M7454="PADD IV","PADD 4",IF($M7454="PADD V","PADD 5","")))))</f>
        <v>PADD 3</v>
      </c>
      <c r="G7454" s="6">
        <f>IF(AND($H7454="ATMOS DISTILLATION",ISNUMBER(SEARCH("VPS",$I7454))=FALSE,LEFT($I7454,6)&lt;&gt;"VACUUM"),"CDU",IF($H7454="FLUID CAT CRACKING","FCC",IF(OR($H7454="HYDROCRACKING",$H7454="RESID_HYDROCRACKING"),"Hydrocracker",IF($H7454="REFORMING","Reformer",""))))</f>
        <v/>
      </c>
      <c r="H7454" s="6" t="s">
        <v>378</v>
      </c>
      <c r="I7454" s="6" t="s">
        <v>431</v>
      </c>
      <c r="J7454" s="6" t="s">
        <v>345</v>
      </c>
      <c r="K7454" s="10">
        <v>5.118</v>
      </c>
      <c r="L7454" s="10">
        <v>85.3</v>
      </c>
      <c r="M7454" s="6" t="s">
        <v>371</v>
      </c>
    </row>
    <row r="7455" spans="1:13">
      <c r="A7455" s="6">
        <v>2026</v>
      </c>
      <c r="B7455" s="6">
        <v>3</v>
      </c>
      <c r="C7455" s="6" t="s">
        <v>61</v>
      </c>
      <c r="D7455" s="6" t="s">
        <v>612</v>
      </c>
      <c r="E7455" s="6" t="s">
        <v>416</v>
      </c>
      <c r="F7455" s="6" t="str">
        <f>IF($M7455="PADD I","PADD 1",IF($M7455="PADD II","PADD 2",IF($M7455="PADD III","PADD 3",IF($M7455="PADD IV","PADD 4",IF($M7455="PADD V","PADD 5","")))))</f>
        <v>PADD 3</v>
      </c>
      <c r="G7455" s="6">
        <f>IF(AND($H7455="ATMOS DISTILLATION",ISNUMBER(SEARCH("VPS",$I7455))=FALSE,LEFT($I7455,6)&lt;&gt;"VACUUM"),"CDU",IF($H7455="FLUID CAT CRACKING","FCC",IF(OR($H7455="HYDROCRACKING",$H7455="RESID_HYDROCRACKING"),"Hydrocracker",IF($H7455="REFORMING","Reformer",""))))</f>
        <v/>
      </c>
      <c r="H7455" s="6" t="s">
        <v>378</v>
      </c>
      <c r="I7455" s="6" t="s">
        <v>431</v>
      </c>
      <c r="J7455" s="6" t="s">
        <v>345</v>
      </c>
      <c r="K7455" s="10">
        <v>5.118</v>
      </c>
      <c r="L7455" s="10">
        <v>85.3</v>
      </c>
      <c r="M7455" s="6" t="s">
        <v>371</v>
      </c>
    </row>
    <row r="7456" spans="1:13">
      <c r="A7456" s="6">
        <v>2026</v>
      </c>
      <c r="B7456" s="6">
        <v>3</v>
      </c>
      <c r="C7456" s="6" t="s">
        <v>61</v>
      </c>
      <c r="D7456" s="6" t="s">
        <v>380</v>
      </c>
      <c r="E7456" s="6" t="s">
        <v>381</v>
      </c>
      <c r="F7456" s="6" t="str">
        <f>IF($M7456="PADD I","PADD 1",IF($M7456="PADD II","PADD 2",IF($M7456="PADD III","PADD 3",IF($M7456="PADD IV","PADD 4",IF($M7456="PADD V","PADD 5","")))))</f>
        <v>PADD 3</v>
      </c>
      <c r="G7456" s="6" t="str">
        <f>IF(AND($H7456="ATMOS DISTILLATION",ISNUMBER(SEARCH("VPS",$I7456))=FALSE,LEFT($I7456,6)&lt;&gt;"VACUUM"),"CDU",IF($H7456="FLUID CAT CRACKING","FCC",IF(OR($H7456="HYDROCRACKING",$H7456="RESID_HYDROCRACKING"),"Hydrocracker",IF($H7456="REFORMING","Reformer",""))))</f>
        <v>CDU</v>
      </c>
      <c r="H7456" s="6" t="s">
        <v>38</v>
      </c>
      <c r="I7456" s="6" t="s">
        <v>846</v>
      </c>
      <c r="J7456" s="6" t="s">
        <v>349</v>
      </c>
      <c r="K7456" s="10">
        <v>5.1</v>
      </c>
      <c r="L7456" s="10">
        <v>85</v>
      </c>
      <c r="M7456" s="6" t="s">
        <v>371</v>
      </c>
    </row>
    <row r="7457" spans="1:13">
      <c r="A7457" s="6">
        <v>2026</v>
      </c>
      <c r="B7457" s="6">
        <v>3</v>
      </c>
      <c r="C7457" s="6" t="s">
        <v>61</v>
      </c>
      <c r="D7457" s="6" t="s">
        <v>511</v>
      </c>
      <c r="E7457" s="6" t="s">
        <v>405</v>
      </c>
      <c r="F7457" s="6" t="str">
        <f>IF($M7457="PADD I","PADD 1",IF($M7457="PADD II","PADD 2",IF($M7457="PADD III","PADD 3",IF($M7457="PADD IV","PADD 4",IF($M7457="PADD V","PADD 5","")))))</f>
        <v>PADD 3</v>
      </c>
      <c r="G7457" s="6">
        <f>IF(AND($H7457="ATMOS DISTILLATION",ISNUMBER(SEARCH("VPS",$I7457))=FALSE,LEFT($I7457,6)&lt;&gt;"VACUUM"),"CDU",IF($H7457="FLUID CAT CRACKING","FCC",IF(OR($H7457="HYDROCRACKING",$H7457="RESID_HYDROCRACKING"),"Hydrocracker",IF($H7457="REFORMING","Reformer",""))))</f>
        <v/>
      </c>
      <c r="H7457" s="6" t="s">
        <v>378</v>
      </c>
      <c r="I7457" s="6" t="s">
        <v>593</v>
      </c>
      <c r="J7457" s="6" t="s">
        <v>345</v>
      </c>
      <c r="K7457" s="10">
        <v>5.07</v>
      </c>
      <c r="L7457" s="10">
        <v>39</v>
      </c>
      <c r="M7457" s="6" t="s">
        <v>371</v>
      </c>
    </row>
    <row r="7458" spans="1:13">
      <c r="A7458" s="6">
        <v>2026</v>
      </c>
      <c r="B7458" s="6">
        <v>3</v>
      </c>
      <c r="C7458" s="6" t="s">
        <v>61</v>
      </c>
      <c r="D7458" s="6" t="s">
        <v>526</v>
      </c>
      <c r="E7458" s="6" t="s">
        <v>405</v>
      </c>
      <c r="F7458" s="6" t="str">
        <f>IF($M7458="PADD I","PADD 1",IF($M7458="PADD II","PADD 2",IF($M7458="PADD III","PADD 3",IF($M7458="PADD IV","PADD 4",IF($M7458="PADD V","PADD 5","")))))</f>
        <v>PADD 3</v>
      </c>
      <c r="G7458" s="6" t="str">
        <f>IF(AND($H7458="ATMOS DISTILLATION",ISNUMBER(SEARCH("VPS",$I7458))=FALSE,LEFT($I7458,6)&lt;&gt;"VACUUM"),"CDU",IF($H7458="FLUID CAT CRACKING","FCC",IF(OR($H7458="HYDROCRACKING",$H7458="RESID_HYDROCRACKING"),"Hydrocracker",IF($H7458="REFORMING","Reformer",""))))</f>
        <v>Reformer</v>
      </c>
      <c r="H7458" s="6" t="s">
        <v>421</v>
      </c>
      <c r="I7458" s="6" t="s">
        <v>928</v>
      </c>
      <c r="J7458" s="6" t="s">
        <v>349</v>
      </c>
      <c r="K7458" s="10">
        <v>5</v>
      </c>
      <c r="L7458" s="10">
        <v>50</v>
      </c>
      <c r="M7458" s="6" t="s">
        <v>371</v>
      </c>
    </row>
    <row r="7459" spans="1:13">
      <c r="A7459" s="6">
        <v>2026</v>
      </c>
      <c r="B7459" s="6">
        <v>3</v>
      </c>
      <c r="C7459" s="6" t="s">
        <v>61</v>
      </c>
      <c r="D7459" s="6" t="s">
        <v>372</v>
      </c>
      <c r="E7459" s="6" t="s">
        <v>373</v>
      </c>
      <c r="F7459" s="6" t="str">
        <f>IF($M7459="PADD I","PADD 1",IF($M7459="PADD II","PADD 2",IF($M7459="PADD III","PADD 3",IF($M7459="PADD IV","PADD 4",IF($M7459="PADD V","PADD 5","")))))</f>
        <v>PADD 2</v>
      </c>
      <c r="G7459" s="6" t="str">
        <f>IF(AND($H7459="ATMOS DISTILLATION",ISNUMBER(SEARCH("VPS",$I7459))=FALSE,LEFT($I7459,6)&lt;&gt;"VACUUM"),"CDU",IF($H7459="FLUID CAT CRACKING","FCC",IF(OR($H7459="HYDROCRACKING",$H7459="RESID_HYDROCRACKING"),"Hydrocracker",IF($H7459="REFORMING","Reformer",""))))</f>
        <v>Hydrocracker</v>
      </c>
      <c r="H7459" s="6" t="s">
        <v>444</v>
      </c>
      <c r="I7459" s="6" t="s">
        <v>445</v>
      </c>
      <c r="J7459" s="6" t="s">
        <v>345</v>
      </c>
      <c r="K7459" s="10">
        <v>4.96</v>
      </c>
      <c r="L7459" s="10">
        <v>31</v>
      </c>
      <c r="M7459" s="6" t="s">
        <v>375</v>
      </c>
    </row>
    <row r="7460" spans="1:13">
      <c r="A7460" s="6">
        <v>2026</v>
      </c>
      <c r="B7460" s="6">
        <v>3</v>
      </c>
      <c r="C7460" s="6" t="s">
        <v>61</v>
      </c>
      <c r="D7460" s="6" t="s">
        <v>526</v>
      </c>
      <c r="E7460" s="6" t="s">
        <v>405</v>
      </c>
      <c r="F7460" s="6" t="str">
        <f>IF($M7460="PADD I","PADD 1",IF($M7460="PADD II","PADD 2",IF($M7460="PADD III","PADD 3",IF($M7460="PADD IV","PADD 4",IF($M7460="PADD V","PADD 5","")))))</f>
        <v>PADD 3</v>
      </c>
      <c r="G7460" s="6">
        <f>IF(AND($H7460="ATMOS DISTILLATION",ISNUMBER(SEARCH("VPS",$I7460))=FALSE,LEFT($I7460,6)&lt;&gt;"VACUUM"),"CDU",IF($H7460="FLUID CAT CRACKING","FCC",IF(OR($H7460="HYDROCRACKING",$H7460="RESID_HYDROCRACKING"),"Hydrocracker",IF($H7460="REFORMING","Reformer",""))))</f>
        <v/>
      </c>
      <c r="H7460" s="6" t="s">
        <v>460</v>
      </c>
      <c r="I7460" s="6" t="s">
        <v>1366</v>
      </c>
      <c r="J7460" s="6" t="s">
        <v>345</v>
      </c>
      <c r="K7460" s="10">
        <v>4.901</v>
      </c>
      <c r="L7460" s="10">
        <v>16.9</v>
      </c>
      <c r="M7460" s="6" t="s">
        <v>371</v>
      </c>
    </row>
    <row r="7461" spans="1:13">
      <c r="A7461" s="6">
        <v>2026</v>
      </c>
      <c r="B7461" s="6">
        <v>3</v>
      </c>
      <c r="C7461" s="6" t="s">
        <v>61</v>
      </c>
      <c r="D7461" s="6" t="s">
        <v>1148</v>
      </c>
      <c r="E7461" s="6" t="s">
        <v>1149</v>
      </c>
      <c r="F7461" s="6" t="str">
        <f>IF($M7461="PADD I","PADD 1",IF($M7461="PADD II","PADD 2",IF($M7461="PADD III","PADD 3",IF($M7461="PADD IV","PADD 4",IF($M7461="PADD V","PADD 5","")))))</f>
        <v>PADD 3</v>
      </c>
      <c r="G7461" s="6" t="str">
        <f>IF(AND($H7461="ATMOS DISTILLATION",ISNUMBER(SEARCH("VPS",$I7461))=FALSE,LEFT($I7461,6)&lt;&gt;"VACUUM"),"CDU",IF($H7461="FLUID CAT CRACKING","FCC",IF(OR($H7461="HYDROCRACKING",$H7461="RESID_HYDROCRACKING"),"Hydrocracker",IF($H7461="REFORMING","Reformer",""))))</f>
        <v>CDU</v>
      </c>
      <c r="H7461" s="6" t="s">
        <v>38</v>
      </c>
      <c r="I7461" s="6" t="s">
        <v>81</v>
      </c>
      <c r="J7461" s="6" t="s">
        <v>349</v>
      </c>
      <c r="K7461" s="10">
        <v>4.697</v>
      </c>
      <c r="L7461" s="10">
        <v>7.7</v>
      </c>
      <c r="M7461" s="6" t="s">
        <v>371</v>
      </c>
    </row>
    <row r="7462" spans="1:13">
      <c r="A7462" s="6">
        <v>2026</v>
      </c>
      <c r="B7462" s="6">
        <v>3</v>
      </c>
      <c r="C7462" s="6" t="s">
        <v>61</v>
      </c>
      <c r="D7462" s="6" t="s">
        <v>380</v>
      </c>
      <c r="E7462" s="6" t="s">
        <v>381</v>
      </c>
      <c r="F7462" s="6" t="str">
        <f>IF($M7462="PADD I","PADD 1",IF($M7462="PADD II","PADD 2",IF($M7462="PADD III","PADD 3",IF($M7462="PADD IV","PADD 4",IF($M7462="PADD V","PADD 5","")))))</f>
        <v>PADD 3</v>
      </c>
      <c r="G7462" s="6">
        <f>IF(AND($H7462="ATMOS DISTILLATION",ISNUMBER(SEARCH("VPS",$I7462))=FALSE,LEFT($I7462,6)&lt;&gt;"VACUUM"),"CDU",IF($H7462="FLUID CAT CRACKING","FCC",IF(OR($H7462="HYDROCRACKING",$H7462="RESID_HYDROCRACKING"),"Hydrocracker",IF($H7462="REFORMING","Reformer",""))))</f>
        <v/>
      </c>
      <c r="H7462" s="6" t="s">
        <v>378</v>
      </c>
      <c r="I7462" s="6" t="s">
        <v>850</v>
      </c>
      <c r="J7462" s="6" t="s">
        <v>345</v>
      </c>
      <c r="K7462" s="10">
        <v>4.4</v>
      </c>
      <c r="L7462" s="10">
        <v>44</v>
      </c>
      <c r="M7462" s="6" t="s">
        <v>371</v>
      </c>
    </row>
    <row r="7463" spans="1:13">
      <c r="A7463" s="6">
        <v>2026</v>
      </c>
      <c r="B7463" s="6">
        <v>3</v>
      </c>
      <c r="C7463" s="6" t="s">
        <v>61</v>
      </c>
      <c r="D7463" s="6" t="s">
        <v>48</v>
      </c>
      <c r="E7463" s="6" t="s">
        <v>388</v>
      </c>
      <c r="F7463" s="6" t="str">
        <f>IF($M7463="PADD I","PADD 1",IF($M7463="PADD II","PADD 2",IF($M7463="PADD III","PADD 3",IF($M7463="PADD IV","PADD 4",IF($M7463="PADD V","PADD 5","")))))</f>
        <v>PADD 2</v>
      </c>
      <c r="G7463" s="6">
        <f>IF(AND($H7463="ATMOS DISTILLATION",ISNUMBER(SEARCH("VPS",$I7463))=FALSE,LEFT($I7463,6)&lt;&gt;"VACUUM"),"CDU",IF($H7463="FLUID CAT CRACKING","FCC",IF(OR($H7463="HYDROCRACKING",$H7463="RESID_HYDROCRACKING"),"Hydrocracker",IF($H7463="REFORMING","Reformer",""))))</f>
        <v/>
      </c>
      <c r="H7463" s="6" t="s">
        <v>435</v>
      </c>
      <c r="I7463" s="6" t="s">
        <v>631</v>
      </c>
      <c r="J7463" s="6" t="s">
        <v>349</v>
      </c>
      <c r="K7463" s="10">
        <v>4.35</v>
      </c>
      <c r="L7463" s="10">
        <v>15</v>
      </c>
      <c r="M7463" s="6" t="s">
        <v>375</v>
      </c>
    </row>
    <row r="7464" spans="1:13">
      <c r="A7464" s="6">
        <v>2026</v>
      </c>
      <c r="B7464" s="6">
        <v>3</v>
      </c>
      <c r="C7464" s="6" t="s">
        <v>61</v>
      </c>
      <c r="D7464" s="6" t="s">
        <v>462</v>
      </c>
      <c r="E7464" s="6" t="s">
        <v>438</v>
      </c>
      <c r="F7464" s="6" t="str">
        <f>IF($M7464="PADD I","PADD 1",IF($M7464="PADD II","PADD 2",IF($M7464="PADD III","PADD 3",IF($M7464="PADD IV","PADD 4",IF($M7464="PADD V","PADD 5","")))))</f>
        <v>PADD 4</v>
      </c>
      <c r="G7464" s="6">
        <f>IF(AND($H7464="ATMOS DISTILLATION",ISNUMBER(SEARCH("VPS",$I7464))=FALSE,LEFT($I7464,6)&lt;&gt;"VACUUM"),"CDU",IF($H7464="FLUID CAT CRACKING","FCC",IF(OR($H7464="HYDROCRACKING",$H7464="RESID_HYDROCRACKING"),"Hydrocracker",IF($H7464="REFORMING","Reformer",""))))</f>
        <v/>
      </c>
      <c r="H7464" s="6" t="s">
        <v>378</v>
      </c>
      <c r="I7464" s="6" t="s">
        <v>555</v>
      </c>
      <c r="J7464" s="6" t="s">
        <v>349</v>
      </c>
      <c r="K7464" s="10">
        <v>4.2</v>
      </c>
      <c r="L7464" s="10">
        <v>10</v>
      </c>
      <c r="M7464" s="6" t="s">
        <v>430</v>
      </c>
    </row>
    <row r="7465" spans="1:13">
      <c r="A7465" s="6">
        <v>2026</v>
      </c>
      <c r="B7465" s="6">
        <v>3</v>
      </c>
      <c r="C7465" s="6" t="s">
        <v>61</v>
      </c>
      <c r="D7465" s="6" t="s">
        <v>333</v>
      </c>
      <c r="E7465" s="6" t="s">
        <v>381</v>
      </c>
      <c r="F7465" s="6" t="str">
        <f>IF($M7465="PADD I","PADD 1",IF($M7465="PADD II","PADD 2",IF($M7465="PADD III","PADD 3",IF($M7465="PADD IV","PADD 4",IF($M7465="PADD V","PADD 5","")))))</f>
        <v>PADD 3</v>
      </c>
      <c r="G7465" s="6">
        <f>IF(AND($H7465="ATMOS DISTILLATION",ISNUMBER(SEARCH("VPS",$I7465))=FALSE,LEFT($I7465,6)&lt;&gt;"VACUUM"),"CDU",IF($H7465="FLUID CAT CRACKING","FCC",IF(OR($H7465="HYDROCRACKING",$H7465="RESID_HYDROCRACKING"),"Hydrocracker",IF($H7465="REFORMING","Reformer",""))))</f>
        <v/>
      </c>
      <c r="H7465" s="6" t="s">
        <v>637</v>
      </c>
      <c r="I7465" s="6" t="s">
        <v>1353</v>
      </c>
      <c r="J7465" s="6" t="s">
        <v>349</v>
      </c>
      <c r="K7465" s="10">
        <v>4.2</v>
      </c>
      <c r="L7465" s="10">
        <v>5</v>
      </c>
      <c r="M7465" s="6" t="s">
        <v>371</v>
      </c>
    </row>
    <row r="7466" spans="1:13">
      <c r="A7466" s="6">
        <v>2026</v>
      </c>
      <c r="B7466" s="6">
        <v>3</v>
      </c>
      <c r="C7466" s="6" t="s">
        <v>61</v>
      </c>
      <c r="D7466" s="6" t="s">
        <v>612</v>
      </c>
      <c r="E7466" s="6" t="s">
        <v>416</v>
      </c>
      <c r="F7466" s="6" t="str">
        <f>IF($M7466="PADD I","PADD 1",IF($M7466="PADD II","PADD 2",IF($M7466="PADD III","PADD 3",IF($M7466="PADD IV","PADD 4",IF($M7466="PADD V","PADD 5","")))))</f>
        <v>PADD 3</v>
      </c>
      <c r="G7466" s="6" t="str">
        <f>IF(AND($H7466="ATMOS DISTILLATION",ISNUMBER(SEARCH("VPS",$I7466))=FALSE,LEFT($I7466,6)&lt;&gt;"VACUUM"),"CDU",IF($H7466="FLUID CAT CRACKING","FCC",IF(OR($H7466="HYDROCRACKING",$H7466="RESID_HYDROCRACKING"),"Hydrocracker",IF($H7466="REFORMING","Reformer",""))))</f>
        <v>FCC</v>
      </c>
      <c r="H7466" s="6" t="s">
        <v>376</v>
      </c>
      <c r="I7466" s="6" t="s">
        <v>428</v>
      </c>
      <c r="J7466" s="6" t="s">
        <v>345</v>
      </c>
      <c r="K7466" s="10">
        <v>4.14</v>
      </c>
      <c r="L7466" s="10">
        <v>69</v>
      </c>
      <c r="M7466" s="6" t="s">
        <v>371</v>
      </c>
    </row>
    <row r="7467" spans="1:13">
      <c r="A7467" s="6">
        <v>2026</v>
      </c>
      <c r="B7467" s="6">
        <v>3</v>
      </c>
      <c r="C7467" s="6" t="s">
        <v>61</v>
      </c>
      <c r="D7467" s="6" t="s">
        <v>934</v>
      </c>
      <c r="E7467" s="6" t="s">
        <v>388</v>
      </c>
      <c r="F7467" s="6" t="str">
        <f>IF($M7467="PADD I","PADD 1",IF($M7467="PADD II","PADD 2",IF($M7467="PADD III","PADD 3",IF($M7467="PADD IV","PADD 4",IF($M7467="PADD V","PADD 5","")))))</f>
        <v>PADD 3</v>
      </c>
      <c r="G7467" s="6" t="str">
        <f>IF(AND($H7467="ATMOS DISTILLATION",ISNUMBER(SEARCH("VPS",$I7467))=FALSE,LEFT($I7467,6)&lt;&gt;"VACUUM"),"CDU",IF($H7467="FLUID CAT CRACKING","FCC",IF(OR($H7467="HYDROCRACKING",$H7467="RESID_HYDROCRACKING"),"Hydrocracker",IF($H7467="REFORMING","Reformer",""))))</f>
        <v>FCC</v>
      </c>
      <c r="H7467" s="6" t="s">
        <v>376</v>
      </c>
      <c r="I7467" s="6" t="s">
        <v>105</v>
      </c>
      <c r="J7467" s="6" t="s">
        <v>349</v>
      </c>
      <c r="K7467" s="10">
        <v>3.835</v>
      </c>
      <c r="L7467" s="10">
        <v>29.5</v>
      </c>
      <c r="M7467" s="6" t="s">
        <v>371</v>
      </c>
    </row>
    <row r="7468" spans="1:13">
      <c r="A7468" s="6">
        <v>2026</v>
      </c>
      <c r="B7468" s="6">
        <v>3</v>
      </c>
      <c r="C7468" s="6" t="s">
        <v>61</v>
      </c>
      <c r="D7468" s="6" t="s">
        <v>714</v>
      </c>
      <c r="E7468" s="6" t="s">
        <v>405</v>
      </c>
      <c r="F7468" s="6" t="str">
        <f>IF($M7468="PADD I","PADD 1",IF($M7468="PADD II","PADD 2",IF($M7468="PADD III","PADD 3",IF($M7468="PADD IV","PADD 4",IF($M7468="PADD V","PADD 5","")))))</f>
        <v>PADD 3</v>
      </c>
      <c r="G7468" s="6" t="str">
        <f>IF(AND($H7468="ATMOS DISTILLATION",ISNUMBER(SEARCH("VPS",$I7468))=FALSE,LEFT($I7468,6)&lt;&gt;"VACUUM"),"CDU",IF($H7468="FLUID CAT CRACKING","FCC",IF(OR($H7468="HYDROCRACKING",$H7468="RESID_HYDROCRACKING"),"Hydrocracker",IF($H7468="REFORMING","Reformer",""))))</f>
        <v>Hydrocracker</v>
      </c>
      <c r="H7468" s="6" t="s">
        <v>444</v>
      </c>
      <c r="I7468" s="6" t="s">
        <v>14</v>
      </c>
      <c r="J7468" s="6" t="s">
        <v>345</v>
      </c>
      <c r="K7468" s="10">
        <v>3.835</v>
      </c>
      <c r="L7468" s="10">
        <v>29.5</v>
      </c>
      <c r="M7468" s="6" t="s">
        <v>371</v>
      </c>
    </row>
    <row r="7469" spans="1:13">
      <c r="A7469" s="6">
        <v>2026</v>
      </c>
      <c r="B7469" s="6">
        <v>3</v>
      </c>
      <c r="C7469" s="6" t="s">
        <v>61</v>
      </c>
      <c r="D7469" s="6" t="s">
        <v>612</v>
      </c>
      <c r="E7469" s="6" t="s">
        <v>416</v>
      </c>
      <c r="F7469" s="6" t="str">
        <f>IF($M7469="PADD I","PADD 1",IF($M7469="PADD II","PADD 2",IF($M7469="PADD III","PADD 3",IF($M7469="PADD IV","PADD 4",IF($M7469="PADD V","PADD 5","")))))</f>
        <v>PADD 3</v>
      </c>
      <c r="G7469" s="6" t="str">
        <f>IF(AND($H7469="ATMOS DISTILLATION",ISNUMBER(SEARCH("VPS",$I7469))=FALSE,LEFT($I7469,6)&lt;&gt;"VACUUM"),"CDU",IF($H7469="FLUID CAT CRACKING","FCC",IF(OR($H7469="HYDROCRACKING",$H7469="RESID_HYDROCRACKING"),"Hydrocracker",IF($H7469="REFORMING","Reformer",""))))</f>
        <v>Reformer</v>
      </c>
      <c r="H7469" s="6" t="s">
        <v>421</v>
      </c>
      <c r="I7469" s="6" t="s">
        <v>755</v>
      </c>
      <c r="J7469" s="6" t="s">
        <v>345</v>
      </c>
      <c r="K7469" s="10">
        <v>3.8</v>
      </c>
      <c r="L7469" s="10">
        <v>20</v>
      </c>
      <c r="M7469" s="6" t="s">
        <v>371</v>
      </c>
    </row>
    <row r="7470" spans="1:13">
      <c r="A7470" s="6">
        <v>2026</v>
      </c>
      <c r="B7470" s="6">
        <v>3</v>
      </c>
      <c r="C7470" s="6" t="s">
        <v>61</v>
      </c>
      <c r="D7470" s="6" t="s">
        <v>42</v>
      </c>
      <c r="E7470" s="6" t="s">
        <v>405</v>
      </c>
      <c r="F7470" s="6" t="str">
        <f>IF($M7470="PADD I","PADD 1",IF($M7470="PADD II","PADD 2",IF($M7470="PADD III","PADD 3",IF($M7470="PADD IV","PADD 4",IF($M7470="PADD V","PADD 5","")))))</f>
        <v>PADD 3</v>
      </c>
      <c r="G7470" s="6" t="str">
        <f>IF(AND($H7470="ATMOS DISTILLATION",ISNUMBER(SEARCH("VPS",$I7470))=FALSE,LEFT($I7470,6)&lt;&gt;"VACUUM"),"CDU",IF($H7470="FLUID CAT CRACKING","FCC",IF(OR($H7470="HYDROCRACKING",$H7470="RESID_HYDROCRACKING"),"Hydrocracker",IF($H7470="REFORMING","Reformer",""))))</f>
        <v>Reformer</v>
      </c>
      <c r="H7470" s="6" t="s">
        <v>421</v>
      </c>
      <c r="I7470" s="6" t="s">
        <v>1336</v>
      </c>
      <c r="J7470" s="6" t="s">
        <v>345</v>
      </c>
      <c r="K7470" s="10">
        <v>3.42</v>
      </c>
      <c r="L7470" s="10">
        <v>18</v>
      </c>
      <c r="M7470" s="6" t="s">
        <v>371</v>
      </c>
    </row>
    <row r="7471" spans="1:13">
      <c r="A7471" s="6">
        <v>2026</v>
      </c>
      <c r="B7471" s="6">
        <v>3</v>
      </c>
      <c r="C7471" s="6" t="s">
        <v>61</v>
      </c>
      <c r="D7471" s="6" t="s">
        <v>632</v>
      </c>
      <c r="E7471" s="6" t="s">
        <v>633</v>
      </c>
      <c r="F7471" s="6" t="str">
        <f>IF($M7471="PADD I","PADD 1",IF($M7471="PADD II","PADD 2",IF($M7471="PADD III","PADD 3",IF($M7471="PADD IV","PADD 4",IF($M7471="PADD V","PADD 5","")))))</f>
        <v>PADD 4</v>
      </c>
      <c r="G7471" s="6" t="str">
        <f>IF(AND($H7471="ATMOS DISTILLATION",ISNUMBER(SEARCH("VPS",$I7471))=FALSE,LEFT($I7471,6)&lt;&gt;"VACUUM"),"CDU",IF($H7471="FLUID CAT CRACKING","FCC",IF(OR($H7471="HYDROCRACKING",$H7471="RESID_HYDROCRACKING"),"Hydrocracker",IF($H7471="REFORMING","Reformer",""))))</f>
        <v>FCC</v>
      </c>
      <c r="H7471" s="6" t="s">
        <v>376</v>
      </c>
      <c r="I7471" s="6" t="s">
        <v>634</v>
      </c>
      <c r="J7471" s="6" t="s">
        <v>345</v>
      </c>
      <c r="K7471" s="10">
        <v>3.335</v>
      </c>
      <c r="L7471" s="10">
        <v>11.5</v>
      </c>
      <c r="M7471" s="6" t="s">
        <v>430</v>
      </c>
    </row>
    <row r="7472" spans="1:13">
      <c r="A7472" s="6">
        <v>2026</v>
      </c>
      <c r="B7472" s="6">
        <v>3</v>
      </c>
      <c r="C7472" s="6" t="s">
        <v>61</v>
      </c>
      <c r="D7472" s="6" t="s">
        <v>53</v>
      </c>
      <c r="E7472" s="6" t="s">
        <v>543</v>
      </c>
      <c r="F7472" s="6" t="str">
        <f>IF($M7472="PADD I","PADD 1",IF($M7472="PADD II","PADD 2",IF($M7472="PADD III","PADD 3",IF($M7472="PADD IV","PADD 4",IF($M7472="PADD V","PADD 5","")))))</f>
        <v>PADD 5</v>
      </c>
      <c r="G7472" s="6">
        <f>IF(AND($H7472="ATMOS DISTILLATION",ISNUMBER(SEARCH("VPS",$I7472))=FALSE,LEFT($I7472,6)&lt;&gt;"VACUUM"),"CDU",IF($H7472="FLUID CAT CRACKING","FCC",IF(OR($H7472="HYDROCRACKING",$H7472="RESID_HYDROCRACKING"),"Hydrocracker",IF($H7472="REFORMING","Reformer",""))))</f>
        <v/>
      </c>
      <c r="H7472" s="6" t="s">
        <v>637</v>
      </c>
      <c r="I7472" s="6" t="s">
        <v>441</v>
      </c>
      <c r="J7472" s="6" t="s">
        <v>345</v>
      </c>
      <c r="K7472" s="10">
        <v>3.3</v>
      </c>
      <c r="L7472" s="10">
        <v>55</v>
      </c>
      <c r="M7472" s="6" t="s">
        <v>386</v>
      </c>
    </row>
    <row r="7473" spans="1:13">
      <c r="A7473" s="6">
        <v>2026</v>
      </c>
      <c r="B7473" s="6">
        <v>3</v>
      </c>
      <c r="C7473" s="6" t="s">
        <v>61</v>
      </c>
      <c r="D7473" s="6" t="s">
        <v>799</v>
      </c>
      <c r="E7473" s="6" t="s">
        <v>391</v>
      </c>
      <c r="F7473" s="6" t="str">
        <f>IF($M7473="PADD I","PADD 1",IF($M7473="PADD II","PADD 2",IF($M7473="PADD III","PADD 3",IF($M7473="PADD IV","PADD 4",IF($M7473="PADD V","PADD 5","")))))</f>
        <v>PADD 4</v>
      </c>
      <c r="G7473" s="6" t="str">
        <f>IF(AND($H7473="ATMOS DISTILLATION",ISNUMBER(SEARCH("VPS",$I7473))=FALSE,LEFT($I7473,6)&lt;&gt;"VACUUM"),"CDU",IF($H7473="FLUID CAT CRACKING","FCC",IF(OR($H7473="HYDROCRACKING",$H7473="RESID_HYDROCRACKING"),"Hydrocracker",IF($H7473="REFORMING","Reformer",""))))</f>
        <v>CDU</v>
      </c>
      <c r="H7473" s="6" t="s">
        <v>38</v>
      </c>
      <c r="I7473" s="6" t="s">
        <v>1104</v>
      </c>
      <c r="J7473" s="6" t="s">
        <v>345</v>
      </c>
      <c r="K7473" s="10">
        <v>3.27</v>
      </c>
      <c r="L7473" s="10">
        <v>54.5</v>
      </c>
      <c r="M7473" s="6" t="s">
        <v>430</v>
      </c>
    </row>
    <row r="7474" spans="1:13">
      <c r="A7474" s="6">
        <v>2026</v>
      </c>
      <c r="B7474" s="6">
        <v>3</v>
      </c>
      <c r="C7474" s="6" t="s">
        <v>61</v>
      </c>
      <c r="D7474" s="6" t="s">
        <v>934</v>
      </c>
      <c r="E7474" s="6" t="s">
        <v>388</v>
      </c>
      <c r="F7474" s="6" t="str">
        <f>IF($M7474="PADD I","PADD 1",IF($M7474="PADD II","PADD 2",IF($M7474="PADD III","PADD 3",IF($M7474="PADD IV","PADD 4",IF($M7474="PADD V","PADD 5","")))))</f>
        <v>PADD 3</v>
      </c>
      <c r="G7474" s="6">
        <f>IF(AND($H7474="ATMOS DISTILLATION",ISNUMBER(SEARCH("VPS",$I7474))=FALSE,LEFT($I7474,6)&lt;&gt;"VACUUM"),"CDU",IF($H7474="FLUID CAT CRACKING","FCC",IF(OR($H7474="HYDROCRACKING",$H7474="RESID_HYDROCRACKING"),"Hydrocracker",IF($H7474="REFORMING","Reformer",""))))</f>
        <v/>
      </c>
      <c r="H7474" s="6" t="s">
        <v>43</v>
      </c>
      <c r="I7474" s="6" t="s">
        <v>458</v>
      </c>
      <c r="J7474" s="6" t="s">
        <v>349</v>
      </c>
      <c r="K7474" s="10">
        <v>3.25</v>
      </c>
      <c r="L7474" s="10">
        <v>25</v>
      </c>
      <c r="M7474" s="6" t="s">
        <v>371</v>
      </c>
    </row>
    <row r="7475" spans="1:13">
      <c r="A7475" s="6">
        <v>2026</v>
      </c>
      <c r="B7475" s="6">
        <v>3</v>
      </c>
      <c r="C7475" s="6" t="s">
        <v>61</v>
      </c>
      <c r="D7475" s="6" t="s">
        <v>51</v>
      </c>
      <c r="E7475" s="6" t="s">
        <v>391</v>
      </c>
      <c r="F7475" s="6" t="str">
        <f>IF($M7475="PADD I","PADD 1",IF($M7475="PADD II","PADD 2",IF($M7475="PADD III","PADD 3",IF($M7475="PADD IV","PADD 4",IF($M7475="PADD V","PADD 5","")))))</f>
        <v>PADD 5</v>
      </c>
      <c r="G7475" s="6">
        <f>IF(AND($H7475="ATMOS DISTILLATION",ISNUMBER(SEARCH("VPS",$I7475))=FALSE,LEFT($I7475,6)&lt;&gt;"VACUUM"),"CDU",IF($H7475="FLUID CAT CRACKING","FCC",IF(OR($H7475="HYDROCRACKING",$H7475="RESID_HYDROCRACKING"),"Hydrocracker",IF($H7475="REFORMING","Reformer",""))))</f>
        <v/>
      </c>
      <c r="H7475" s="6" t="s">
        <v>43</v>
      </c>
      <c r="I7475" s="6" t="s">
        <v>859</v>
      </c>
      <c r="J7475" s="6" t="s">
        <v>345</v>
      </c>
      <c r="K7475" s="10">
        <v>3.22</v>
      </c>
      <c r="L7475" s="10">
        <v>14</v>
      </c>
      <c r="M7475" s="6" t="s">
        <v>386</v>
      </c>
    </row>
    <row r="7476" spans="1:13">
      <c r="A7476" s="6">
        <v>2026</v>
      </c>
      <c r="B7476" s="6">
        <v>3</v>
      </c>
      <c r="C7476" s="6" t="s">
        <v>61</v>
      </c>
      <c r="D7476" s="6" t="s">
        <v>526</v>
      </c>
      <c r="E7476" s="6" t="s">
        <v>405</v>
      </c>
      <c r="F7476" s="6" t="str">
        <f>IF($M7476="PADD I","PADD 1",IF($M7476="PADD II","PADD 2",IF($M7476="PADD III","PADD 3",IF($M7476="PADD IV","PADD 4",IF($M7476="PADD V","PADD 5","")))))</f>
        <v>PADD 3</v>
      </c>
      <c r="G7476" s="6" t="str">
        <f>IF(AND($H7476="ATMOS DISTILLATION",ISNUMBER(SEARCH("VPS",$I7476))=FALSE,LEFT($I7476,6)&lt;&gt;"VACUUM"),"CDU",IF($H7476="FLUID CAT CRACKING","FCC",IF(OR($H7476="HYDROCRACKING",$H7476="RESID_HYDROCRACKING"),"Hydrocracker",IF($H7476="REFORMING","Reformer",""))))</f>
        <v>Reformer</v>
      </c>
      <c r="H7476" s="6" t="s">
        <v>421</v>
      </c>
      <c r="I7476" s="6" t="s">
        <v>597</v>
      </c>
      <c r="J7476" s="6" t="s">
        <v>345</v>
      </c>
      <c r="K7476" s="10">
        <v>3.18</v>
      </c>
      <c r="L7476" s="10">
        <v>53</v>
      </c>
      <c r="M7476" s="6" t="s">
        <v>371</v>
      </c>
    </row>
    <row r="7477" spans="1:13">
      <c r="A7477" s="6">
        <v>2026</v>
      </c>
      <c r="B7477" s="6">
        <v>3</v>
      </c>
      <c r="C7477" s="6" t="s">
        <v>61</v>
      </c>
      <c r="D7477" s="6" t="s">
        <v>953</v>
      </c>
      <c r="E7477" s="6" t="s">
        <v>733</v>
      </c>
      <c r="F7477" s="6" t="str">
        <f>IF($M7477="PADD I","PADD 1",IF($M7477="PADD II","PADD 2",IF($M7477="PADD III","PADD 3",IF($M7477="PADD IV","PADD 4",IF($M7477="PADD V","PADD 5","")))))</f>
        <v>PADD 2</v>
      </c>
      <c r="G7477" s="6" t="str">
        <f>IF(AND($H7477="ATMOS DISTILLATION",ISNUMBER(SEARCH("VPS",$I7477))=FALSE,LEFT($I7477,6)&lt;&gt;"VACUUM"),"CDU",IF($H7477="FLUID CAT CRACKING","FCC",IF(OR($H7477="HYDROCRACKING",$H7477="RESID_HYDROCRACKING"),"Hydrocracker",IF($H7477="REFORMING","Reformer",""))))</f>
        <v>FCC</v>
      </c>
      <c r="H7477" s="6" t="s">
        <v>376</v>
      </c>
      <c r="I7477" s="6" t="s">
        <v>105</v>
      </c>
      <c r="J7477" s="6" t="s">
        <v>345</v>
      </c>
      <c r="K7477" s="10">
        <v>3.12</v>
      </c>
      <c r="L7477" s="10">
        <v>24</v>
      </c>
      <c r="M7477" s="6" t="s">
        <v>375</v>
      </c>
    </row>
    <row r="7478" spans="1:13">
      <c r="A7478" s="6">
        <v>2026</v>
      </c>
      <c r="B7478" s="6">
        <v>3</v>
      </c>
      <c r="C7478" s="6" t="s">
        <v>61</v>
      </c>
      <c r="D7478" s="6" t="s">
        <v>722</v>
      </c>
      <c r="E7478" s="6" t="s">
        <v>452</v>
      </c>
      <c r="F7478" s="6" t="str">
        <f>IF($M7478="PADD I","PADD 1",IF($M7478="PADD II","PADD 2",IF($M7478="PADD III","PADD 3",IF($M7478="PADD IV","PADD 4",IF($M7478="PADD V","PADD 5","")))))</f>
        <v>PADD 4</v>
      </c>
      <c r="G7478" s="6">
        <f>IF(AND($H7478="ATMOS DISTILLATION",ISNUMBER(SEARCH("VPS",$I7478))=FALSE,LEFT($I7478,6)&lt;&gt;"VACUUM"),"CDU",IF($H7478="FLUID CAT CRACKING","FCC",IF(OR($H7478="HYDROCRACKING",$H7478="RESID_HYDROCRACKING"),"Hydrocracker",IF($H7478="REFORMING","Reformer",""))))</f>
        <v/>
      </c>
      <c r="H7478" s="6" t="s">
        <v>568</v>
      </c>
      <c r="I7478" s="6" t="s">
        <v>1367</v>
      </c>
      <c r="J7478" s="6" t="s">
        <v>349</v>
      </c>
      <c r="K7478" s="10">
        <v>3</v>
      </c>
      <c r="L7478" s="10">
        <v>3</v>
      </c>
      <c r="M7478" s="6" t="s">
        <v>430</v>
      </c>
    </row>
    <row r="7479" spans="1:13">
      <c r="A7479" s="6">
        <v>2026</v>
      </c>
      <c r="B7479" s="6">
        <v>3</v>
      </c>
      <c r="C7479" s="6" t="s">
        <v>61</v>
      </c>
      <c r="D7479" s="6" t="s">
        <v>1148</v>
      </c>
      <c r="E7479" s="6" t="s">
        <v>1149</v>
      </c>
      <c r="F7479" s="6" t="str">
        <f>IF($M7479="PADD I","PADD 1",IF($M7479="PADD II","PADD 2",IF($M7479="PADD III","PADD 3",IF($M7479="PADD IV","PADD 4",IF($M7479="PADD V","PADD 5","")))))</f>
        <v>PADD 3</v>
      </c>
      <c r="G7479" s="6">
        <f>IF(AND($H7479="ATMOS DISTILLATION",ISNUMBER(SEARCH("VPS",$I7479))=FALSE,LEFT($I7479,6)&lt;&gt;"VACUUM"),"CDU",IF($H7479="FLUID CAT CRACKING","FCC",IF(OR($H7479="HYDROCRACKING",$H7479="RESID_HYDROCRACKING"),"Hydrocracker",IF($H7479="REFORMING","Reformer",""))))</f>
        <v/>
      </c>
      <c r="H7479" s="6" t="s">
        <v>43</v>
      </c>
      <c r="I7479" s="6" t="s">
        <v>904</v>
      </c>
      <c r="J7479" s="6" t="s">
        <v>349</v>
      </c>
      <c r="K7479" s="10">
        <v>2.745</v>
      </c>
      <c r="L7479" s="10">
        <v>4.5</v>
      </c>
      <c r="M7479" s="6" t="s">
        <v>371</v>
      </c>
    </row>
    <row r="7480" spans="1:13">
      <c r="A7480" s="6">
        <v>2026</v>
      </c>
      <c r="B7480" s="6">
        <v>3</v>
      </c>
      <c r="C7480" s="6" t="s">
        <v>61</v>
      </c>
      <c r="D7480" s="6" t="s">
        <v>722</v>
      </c>
      <c r="E7480" s="6" t="s">
        <v>452</v>
      </c>
      <c r="F7480" s="6" t="str">
        <f>IF($M7480="PADD I","PADD 1",IF($M7480="PADD II","PADD 2",IF($M7480="PADD III","PADD 3",IF($M7480="PADD IV","PADD 4",IF($M7480="PADD V","PADD 5","")))))</f>
        <v>PADD 4</v>
      </c>
      <c r="G7480" s="6">
        <f>IF(AND($H7480="ATMOS DISTILLATION",ISNUMBER(SEARCH("VPS",$I7480))=FALSE,LEFT($I7480,6)&lt;&gt;"VACUUM"),"CDU",IF($H7480="FLUID CAT CRACKING","FCC",IF(OR($H7480="HYDROCRACKING",$H7480="RESID_HYDROCRACKING"),"Hydrocracker",IF($H7480="REFORMING","Reformer",""))))</f>
        <v/>
      </c>
      <c r="H7480" s="6" t="s">
        <v>460</v>
      </c>
      <c r="I7480" s="6" t="s">
        <v>1109</v>
      </c>
      <c r="J7480" s="6" t="s">
        <v>349</v>
      </c>
      <c r="K7480" s="10">
        <v>2.726</v>
      </c>
      <c r="L7480" s="10">
        <v>2.9</v>
      </c>
      <c r="M7480" s="6" t="s">
        <v>430</v>
      </c>
    </row>
    <row r="7481" spans="1:13">
      <c r="A7481" s="6">
        <v>2026</v>
      </c>
      <c r="B7481" s="6">
        <v>3</v>
      </c>
      <c r="C7481" s="6" t="s">
        <v>61</v>
      </c>
      <c r="D7481" s="6" t="s">
        <v>646</v>
      </c>
      <c r="E7481" s="6" t="s">
        <v>405</v>
      </c>
      <c r="F7481" s="6" t="str">
        <f>IF($M7481="PADD I","PADD 1",IF($M7481="PADD II","PADD 2",IF($M7481="PADD III","PADD 3",IF($M7481="PADD IV","PADD 4",IF($M7481="PADD V","PADD 5","")))))</f>
        <v>PADD 3</v>
      </c>
      <c r="G7481" s="6">
        <f>IF(AND($H7481="ATMOS DISTILLATION",ISNUMBER(SEARCH("VPS",$I7481))=FALSE,LEFT($I7481,6)&lt;&gt;"VACUUM"),"CDU",IF($H7481="FLUID CAT CRACKING","FCC",IF(OR($H7481="HYDROCRACKING",$H7481="RESID_HYDROCRACKING"),"Hydrocracker",IF($H7481="REFORMING","Reformer",""))))</f>
        <v/>
      </c>
      <c r="H7481" s="6" t="s">
        <v>43</v>
      </c>
      <c r="I7481" s="6" t="s">
        <v>647</v>
      </c>
      <c r="J7481" s="6" t="s">
        <v>345</v>
      </c>
      <c r="K7481" s="10">
        <v>2.7</v>
      </c>
      <c r="L7481" s="10">
        <v>45</v>
      </c>
      <c r="M7481" s="6" t="s">
        <v>371</v>
      </c>
    </row>
    <row r="7482" spans="1:13">
      <c r="A7482" s="6">
        <v>2026</v>
      </c>
      <c r="B7482" s="6">
        <v>3</v>
      </c>
      <c r="C7482" s="6" t="s">
        <v>61</v>
      </c>
      <c r="D7482" s="6" t="s">
        <v>612</v>
      </c>
      <c r="E7482" s="6" t="s">
        <v>416</v>
      </c>
      <c r="F7482" s="6" t="str">
        <f>IF($M7482="PADD I","PADD 1",IF($M7482="PADD II","PADD 2",IF($M7482="PADD III","PADD 3",IF($M7482="PADD IV","PADD 4",IF($M7482="PADD V","PADD 5","")))))</f>
        <v>PADD 3</v>
      </c>
      <c r="G7482" s="6">
        <f>IF(AND($H7482="ATMOS DISTILLATION",ISNUMBER(SEARCH("VPS",$I7482))=FALSE,LEFT($I7482,6)&lt;&gt;"VACUUM"),"CDU",IF($H7482="FLUID CAT CRACKING","FCC",IF(OR($H7482="HYDROCRACKING",$H7482="RESID_HYDROCRACKING"),"Hydrocracker",IF($H7482="REFORMING","Reformer",""))))</f>
        <v/>
      </c>
      <c r="H7482" s="6" t="s">
        <v>435</v>
      </c>
      <c r="I7482" s="6" t="s">
        <v>441</v>
      </c>
      <c r="J7482" s="6" t="s">
        <v>345</v>
      </c>
      <c r="K7482" s="10">
        <v>2.64</v>
      </c>
      <c r="L7482" s="10">
        <v>44</v>
      </c>
      <c r="M7482" s="6" t="s">
        <v>371</v>
      </c>
    </row>
    <row r="7483" spans="1:13">
      <c r="A7483" s="6">
        <v>2026</v>
      </c>
      <c r="B7483" s="6">
        <v>3</v>
      </c>
      <c r="C7483" s="6" t="s">
        <v>61</v>
      </c>
      <c r="D7483" s="6" t="s">
        <v>511</v>
      </c>
      <c r="E7483" s="6" t="s">
        <v>405</v>
      </c>
      <c r="F7483" s="6" t="str">
        <f>IF($M7483="PADD I","PADD 1",IF($M7483="PADD II","PADD 2",IF($M7483="PADD III","PADD 3",IF($M7483="PADD IV","PADD 4",IF($M7483="PADD V","PADD 5","")))))</f>
        <v>PADD 3</v>
      </c>
      <c r="G7483" s="6">
        <f>IF(AND($H7483="ATMOS DISTILLATION",ISNUMBER(SEARCH("VPS",$I7483))=FALSE,LEFT($I7483,6)&lt;&gt;"VACUUM"),"CDU",IF($H7483="FLUID CAT CRACKING","FCC",IF(OR($H7483="HYDROCRACKING",$H7483="RESID_HYDROCRACKING"),"Hydrocracker",IF($H7483="REFORMING","Reformer",""))))</f>
        <v/>
      </c>
      <c r="H7483" s="6" t="s">
        <v>460</v>
      </c>
      <c r="I7483" s="6" t="s">
        <v>461</v>
      </c>
      <c r="J7483" s="6" t="s">
        <v>349</v>
      </c>
      <c r="K7483" s="10">
        <v>2.458</v>
      </c>
      <c r="L7483" s="10">
        <v>24.58</v>
      </c>
      <c r="M7483" s="6" t="s">
        <v>371</v>
      </c>
    </row>
    <row r="7484" spans="1:13">
      <c r="A7484" s="6">
        <v>2026</v>
      </c>
      <c r="B7484" s="6">
        <v>3</v>
      </c>
      <c r="C7484" s="6" t="s">
        <v>61</v>
      </c>
      <c r="D7484" s="6" t="s">
        <v>321</v>
      </c>
      <c r="E7484" s="6" t="s">
        <v>381</v>
      </c>
      <c r="F7484" s="6" t="str">
        <f>IF($M7484="PADD I","PADD 1",IF($M7484="PADD II","PADD 2",IF($M7484="PADD III","PADD 3",IF($M7484="PADD IV","PADD 4",IF($M7484="PADD V","PADD 5","")))))</f>
        <v>PADD 2</v>
      </c>
      <c r="G7484" s="6" t="str">
        <f>IF(AND($H7484="ATMOS DISTILLATION",ISNUMBER(SEARCH("VPS",$I7484))=FALSE,LEFT($I7484,6)&lt;&gt;"VACUUM"),"CDU",IF($H7484="FLUID CAT CRACKING","FCC",IF(OR($H7484="HYDROCRACKING",$H7484="RESID_HYDROCRACKING"),"Hydrocracker",IF($H7484="REFORMING","Reformer",""))))</f>
        <v>CDU</v>
      </c>
      <c r="H7484" s="6" t="s">
        <v>38</v>
      </c>
      <c r="I7484" s="6" t="s">
        <v>81</v>
      </c>
      <c r="J7484" s="6" t="s">
        <v>349</v>
      </c>
      <c r="K7484" s="10">
        <v>2.4</v>
      </c>
      <c r="L7484" s="10">
        <v>40</v>
      </c>
      <c r="M7484" s="6" t="s">
        <v>375</v>
      </c>
    </row>
    <row r="7485" spans="1:13">
      <c r="A7485" s="6">
        <v>2026</v>
      </c>
      <c r="B7485" s="6">
        <v>3</v>
      </c>
      <c r="C7485" s="6" t="s">
        <v>61</v>
      </c>
      <c r="D7485" s="6" t="s">
        <v>531</v>
      </c>
      <c r="E7485" s="6" t="s">
        <v>532</v>
      </c>
      <c r="F7485" s="6" t="str">
        <f>IF($M7485="PADD I","PADD 1",IF($M7485="PADD II","PADD 2",IF($M7485="PADD III","PADD 3",IF($M7485="PADD IV","PADD 4",IF($M7485="PADD V","PADD 5","")))))</f>
        <v>PADD 5</v>
      </c>
      <c r="G7485" s="6">
        <f>IF(AND($H7485="ATMOS DISTILLATION",ISNUMBER(SEARCH("VPS",$I7485))=FALSE,LEFT($I7485,6)&lt;&gt;"VACUUM"),"CDU",IF($H7485="FLUID CAT CRACKING","FCC",IF(OR($H7485="HYDROCRACKING",$H7485="RESID_HYDROCRACKING"),"Hydrocracker",IF($H7485="REFORMING","Reformer",""))))</f>
        <v/>
      </c>
      <c r="H7485" s="6" t="s">
        <v>435</v>
      </c>
      <c r="I7485" s="6" t="s">
        <v>599</v>
      </c>
      <c r="J7485" s="6" t="s">
        <v>349</v>
      </c>
      <c r="K7485" s="10">
        <v>2.3925</v>
      </c>
      <c r="L7485" s="10">
        <v>8.25</v>
      </c>
      <c r="M7485" s="6" t="s">
        <v>386</v>
      </c>
    </row>
    <row r="7486" spans="1:13">
      <c r="A7486" s="6">
        <v>2026</v>
      </c>
      <c r="B7486" s="6">
        <v>3</v>
      </c>
      <c r="C7486" s="6" t="s">
        <v>61</v>
      </c>
      <c r="D7486" s="6" t="s">
        <v>437</v>
      </c>
      <c r="E7486" s="6" t="s">
        <v>438</v>
      </c>
      <c r="F7486" s="6" t="str">
        <f>IF($M7486="PADD I","PADD 1",IF($M7486="PADD II","PADD 2",IF($M7486="PADD III","PADD 3",IF($M7486="PADD IV","PADD 4",IF($M7486="PADD V","PADD 5","")))))</f>
        <v>PADD 4</v>
      </c>
      <c r="G7486" s="6" t="str">
        <f>IF(AND($H7486="ATMOS DISTILLATION",ISNUMBER(SEARCH("VPS",$I7486))=FALSE,LEFT($I7486,6)&lt;&gt;"VACUUM"),"CDU",IF($H7486="FLUID CAT CRACKING","FCC",IF(OR($H7486="HYDROCRACKING",$H7486="RESID_HYDROCRACKING"),"Hydrocracker",IF($H7486="REFORMING","Reformer",""))))</f>
        <v>CDU</v>
      </c>
      <c r="H7486" s="6" t="s">
        <v>38</v>
      </c>
      <c r="I7486" s="6" t="s">
        <v>439</v>
      </c>
      <c r="J7486" s="6" t="s">
        <v>345</v>
      </c>
      <c r="K7486" s="10">
        <v>2.28</v>
      </c>
      <c r="L7486" s="10">
        <v>38</v>
      </c>
      <c r="M7486" s="6" t="s">
        <v>430</v>
      </c>
    </row>
    <row r="7487" spans="1:13">
      <c r="A7487" s="6">
        <v>2026</v>
      </c>
      <c r="B7487" s="6">
        <v>3</v>
      </c>
      <c r="C7487" s="6" t="s">
        <v>61</v>
      </c>
      <c r="D7487" s="6" t="s">
        <v>321</v>
      </c>
      <c r="E7487" s="6" t="s">
        <v>381</v>
      </c>
      <c r="F7487" s="6" t="str">
        <f>IF($M7487="PADD I","PADD 1",IF($M7487="PADD II","PADD 2",IF($M7487="PADD III","PADD 3",IF($M7487="PADD IV","PADD 4",IF($M7487="PADD V","PADD 5","")))))</f>
        <v>PADD 2</v>
      </c>
      <c r="G7487" s="6" t="str">
        <f>IF(AND($H7487="ATMOS DISTILLATION",ISNUMBER(SEARCH("VPS",$I7487))=FALSE,LEFT($I7487,6)&lt;&gt;"VACUUM"),"CDU",IF($H7487="FLUID CAT CRACKING","FCC",IF(OR($H7487="HYDROCRACKING",$H7487="RESID_HYDROCRACKING"),"Hydrocracker",IF($H7487="REFORMING","Reformer",""))))</f>
        <v>Reformer</v>
      </c>
      <c r="H7487" s="6" t="s">
        <v>421</v>
      </c>
      <c r="I7487" s="6" t="s">
        <v>228</v>
      </c>
      <c r="J7487" s="6" t="s">
        <v>349</v>
      </c>
      <c r="K7487" s="10">
        <v>2.24</v>
      </c>
      <c r="L7487" s="10">
        <v>14</v>
      </c>
      <c r="M7487" s="6" t="s">
        <v>375</v>
      </c>
    </row>
    <row r="7488" spans="1:13">
      <c r="A7488" s="6">
        <v>2026</v>
      </c>
      <c r="B7488" s="6">
        <v>3</v>
      </c>
      <c r="C7488" s="6" t="s">
        <v>61</v>
      </c>
      <c r="D7488" s="6" t="s">
        <v>934</v>
      </c>
      <c r="E7488" s="6" t="s">
        <v>388</v>
      </c>
      <c r="F7488" s="6" t="str">
        <f>IF($M7488="PADD I","PADD 1",IF($M7488="PADD II","PADD 2",IF($M7488="PADD III","PADD 3",IF($M7488="PADD IV","PADD 4",IF($M7488="PADD V","PADD 5","")))))</f>
        <v>PADD 3</v>
      </c>
      <c r="G7488" s="6">
        <f>IF(AND($H7488="ATMOS DISTILLATION",ISNUMBER(SEARCH("VPS",$I7488))=FALSE,LEFT($I7488,6)&lt;&gt;"VACUUM"),"CDU",IF($H7488="FLUID CAT CRACKING","FCC",IF(OR($H7488="HYDROCRACKING",$H7488="RESID_HYDROCRACKING"),"Hydrocracker",IF($H7488="REFORMING","Reformer",""))))</f>
        <v/>
      </c>
      <c r="H7488" s="6" t="s">
        <v>378</v>
      </c>
      <c r="I7488" s="6" t="s">
        <v>964</v>
      </c>
      <c r="J7488" s="6" t="s">
        <v>349</v>
      </c>
      <c r="K7488" s="10">
        <v>2.21</v>
      </c>
      <c r="L7488" s="10">
        <v>17</v>
      </c>
      <c r="M7488" s="6" t="s">
        <v>371</v>
      </c>
    </row>
    <row r="7489" spans="1:13">
      <c r="A7489" s="6">
        <v>2026</v>
      </c>
      <c r="B7489" s="6">
        <v>3</v>
      </c>
      <c r="C7489" s="6" t="s">
        <v>61</v>
      </c>
      <c r="D7489" s="6" t="s">
        <v>632</v>
      </c>
      <c r="E7489" s="6" t="s">
        <v>633</v>
      </c>
      <c r="F7489" s="6" t="str">
        <f>IF($M7489="PADD I","PADD 1",IF($M7489="PADD II","PADD 2",IF($M7489="PADD III","PADD 3",IF($M7489="PADD IV","PADD 4",IF($M7489="PADD V","PADD 5","")))))</f>
        <v>PADD 4</v>
      </c>
      <c r="G7489" s="6">
        <f>IF(AND($H7489="ATMOS DISTILLATION",ISNUMBER(SEARCH("VPS",$I7489))=FALSE,LEFT($I7489,6)&lt;&gt;"VACUUM"),"CDU",IF($H7489="FLUID CAT CRACKING","FCC",IF(OR($H7489="HYDROCRACKING",$H7489="RESID_HYDROCRACKING"),"Hydrocracker",IF($H7489="REFORMING","Reformer",""))))</f>
        <v/>
      </c>
      <c r="H7489" s="6" t="s">
        <v>43</v>
      </c>
      <c r="I7489" s="6" t="s">
        <v>674</v>
      </c>
      <c r="J7489" s="6" t="s">
        <v>349</v>
      </c>
      <c r="K7489" s="10">
        <v>2.185</v>
      </c>
      <c r="L7489" s="10">
        <v>9.5</v>
      </c>
      <c r="M7489" s="6" t="s">
        <v>430</v>
      </c>
    </row>
    <row r="7490" spans="1:13">
      <c r="A7490" s="6">
        <v>2026</v>
      </c>
      <c r="B7490" s="6">
        <v>3</v>
      </c>
      <c r="C7490" s="6" t="s">
        <v>61</v>
      </c>
      <c r="D7490" s="6" t="s">
        <v>1148</v>
      </c>
      <c r="E7490" s="6" t="s">
        <v>1149</v>
      </c>
      <c r="F7490" s="6" t="str">
        <f>IF($M7490="PADD I","PADD 1",IF($M7490="PADD II","PADD 2",IF($M7490="PADD III","PADD 3",IF($M7490="PADD IV","PADD 4",IF($M7490="PADD V","PADD 5","")))))</f>
        <v>PADD 3</v>
      </c>
      <c r="G7490" s="6">
        <f>IF(AND($H7490="ATMOS DISTILLATION",ISNUMBER(SEARCH("VPS",$I7490))=FALSE,LEFT($I7490,6)&lt;&gt;"VACUUM"),"CDU",IF($H7490="FLUID CAT CRACKING","FCC",IF(OR($H7490="HYDROCRACKING",$H7490="RESID_HYDROCRACKING"),"Hydrocracker",IF($H7490="REFORMING","Reformer",""))))</f>
        <v/>
      </c>
      <c r="H7490" s="6" t="s">
        <v>637</v>
      </c>
      <c r="I7490" s="6" t="s">
        <v>1326</v>
      </c>
      <c r="J7490" s="6" t="s">
        <v>349</v>
      </c>
      <c r="K7490" s="10">
        <v>2.135</v>
      </c>
      <c r="L7490" s="10">
        <v>3.5</v>
      </c>
      <c r="M7490" s="6" t="s">
        <v>371</v>
      </c>
    </row>
    <row r="7491" spans="1:13">
      <c r="A7491" s="6">
        <v>2026</v>
      </c>
      <c r="B7491" s="6">
        <v>3</v>
      </c>
      <c r="C7491" s="6" t="s">
        <v>61</v>
      </c>
      <c r="D7491" s="6" t="s">
        <v>1315</v>
      </c>
      <c r="E7491" s="6" t="s">
        <v>1316</v>
      </c>
      <c r="F7491" s="6" t="str">
        <f>IF($M7491="PADD I","PADD 1",IF($M7491="PADD II","PADD 2",IF($M7491="PADD III","PADD 3",IF($M7491="PADD IV","PADD 4",IF($M7491="PADD V","PADD 5","")))))</f>
        <v>PADD 1</v>
      </c>
      <c r="G7491" s="6" t="str">
        <f>IF(AND($H7491="ATMOS DISTILLATION",ISNUMBER(SEARCH("VPS",$I7491))=FALSE,LEFT($I7491,6)&lt;&gt;"VACUUM"),"CDU",IF($H7491="FLUID CAT CRACKING","FCC",IF(OR($H7491="HYDROCRACKING",$H7491="RESID_HYDROCRACKING"),"Hydrocracker",IF($H7491="REFORMING","Reformer",""))))</f>
        <v>Reformer</v>
      </c>
      <c r="H7491" s="6" t="s">
        <v>421</v>
      </c>
      <c r="I7491" s="6" t="s">
        <v>571</v>
      </c>
      <c r="J7491" s="6" t="s">
        <v>345</v>
      </c>
      <c r="K7491" s="10">
        <v>2.068</v>
      </c>
      <c r="L7491" s="10">
        <v>2.2</v>
      </c>
      <c r="M7491" s="6" t="s">
        <v>413</v>
      </c>
    </row>
    <row r="7492" spans="1:13">
      <c r="A7492" s="6">
        <v>2026</v>
      </c>
      <c r="B7492" s="6">
        <v>3</v>
      </c>
      <c r="C7492" s="6" t="s">
        <v>61</v>
      </c>
      <c r="D7492" s="6" t="s">
        <v>1148</v>
      </c>
      <c r="E7492" s="6" t="s">
        <v>1149</v>
      </c>
      <c r="F7492" s="6" t="str">
        <f>IF($M7492="PADD I","PADD 1",IF($M7492="PADD II","PADD 2",IF($M7492="PADD III","PADD 3",IF($M7492="PADD IV","PADD 4",IF($M7492="PADD V","PADD 5","")))))</f>
        <v>PADD 3</v>
      </c>
      <c r="G7492" s="6">
        <f>IF(AND($H7492="ATMOS DISTILLATION",ISNUMBER(SEARCH("VPS",$I7492))=FALSE,LEFT($I7492,6)&lt;&gt;"VACUUM"),"CDU",IF($H7492="FLUID CAT CRACKING","FCC",IF(OR($H7492="HYDROCRACKING",$H7492="RESID_HYDROCRACKING"),"Hydrocracker",IF($H7492="REFORMING","Reformer",""))))</f>
        <v/>
      </c>
      <c r="H7492" s="6" t="s">
        <v>378</v>
      </c>
      <c r="I7492" s="6" t="s">
        <v>431</v>
      </c>
      <c r="J7492" s="6" t="s">
        <v>349</v>
      </c>
      <c r="K7492" s="10">
        <v>1.83</v>
      </c>
      <c r="L7492" s="10">
        <v>3</v>
      </c>
      <c r="M7492" s="6" t="s">
        <v>371</v>
      </c>
    </row>
    <row r="7493" spans="1:13">
      <c r="A7493" s="6">
        <v>2026</v>
      </c>
      <c r="B7493" s="6">
        <v>3</v>
      </c>
      <c r="C7493" s="6" t="s">
        <v>61</v>
      </c>
      <c r="D7493" s="6" t="s">
        <v>1063</v>
      </c>
      <c r="E7493" s="6" t="s">
        <v>388</v>
      </c>
      <c r="F7493" s="6" t="str">
        <f>IF($M7493="PADD I","PADD 1",IF($M7493="PADD II","PADD 2",IF($M7493="PADD III","PADD 3",IF($M7493="PADD IV","PADD 4",IF($M7493="PADD V","PADD 5","")))))</f>
        <v>PADD 2</v>
      </c>
      <c r="G7493" s="6">
        <f>IF(AND($H7493="ATMOS DISTILLATION",ISNUMBER(SEARCH("VPS",$I7493))=FALSE,LEFT($I7493,6)&lt;&gt;"VACUUM"),"CDU",IF($H7493="FLUID CAT CRACKING","FCC",IF(OR($H7493="HYDROCRACKING",$H7493="RESID_HYDROCRACKING"),"Hydrocracker",IF($H7493="REFORMING","Reformer",""))))</f>
        <v/>
      </c>
      <c r="H7493" s="6" t="s">
        <v>43</v>
      </c>
      <c r="I7493" s="6" t="s">
        <v>689</v>
      </c>
      <c r="J7493" s="6" t="s">
        <v>345</v>
      </c>
      <c r="K7493" s="10">
        <v>1.82</v>
      </c>
      <c r="L7493" s="10">
        <v>7</v>
      </c>
      <c r="M7493" s="6" t="s">
        <v>375</v>
      </c>
    </row>
    <row r="7494" spans="1:13">
      <c r="A7494" s="6">
        <v>2026</v>
      </c>
      <c r="B7494" s="6">
        <v>3</v>
      </c>
      <c r="C7494" s="6" t="s">
        <v>61</v>
      </c>
      <c r="D7494" s="6" t="s">
        <v>335</v>
      </c>
      <c r="E7494" s="6" t="s">
        <v>369</v>
      </c>
      <c r="F7494" s="6" t="str">
        <f>IF($M7494="PADD I","PADD 1",IF($M7494="PADD II","PADD 2",IF($M7494="PADD III","PADD 3",IF($M7494="PADD IV","PADD 4",IF($M7494="PADD V","PADD 5","")))))</f>
        <v>PADD 3</v>
      </c>
      <c r="G7494" s="6" t="str">
        <f>IF(AND($H7494="ATMOS DISTILLATION",ISNUMBER(SEARCH("VPS",$I7494))=FALSE,LEFT($I7494,6)&lt;&gt;"VACUUM"),"CDU",IF($H7494="FLUID CAT CRACKING","FCC",IF(OR($H7494="HYDROCRACKING",$H7494="RESID_HYDROCRACKING"),"Hydrocracker",IF($H7494="REFORMING","Reformer",""))))</f>
        <v>FCC</v>
      </c>
      <c r="H7494" s="6" t="s">
        <v>376</v>
      </c>
      <c r="I7494" s="6" t="s">
        <v>472</v>
      </c>
      <c r="J7494" s="6" t="s">
        <v>345</v>
      </c>
      <c r="K7494" s="10">
        <v>1.8</v>
      </c>
      <c r="L7494" s="10">
        <v>30</v>
      </c>
      <c r="M7494" s="6" t="s">
        <v>371</v>
      </c>
    </row>
    <row r="7495" spans="1:13">
      <c r="A7495" s="6">
        <v>2026</v>
      </c>
      <c r="B7495" s="6">
        <v>3</v>
      </c>
      <c r="C7495" s="6" t="s">
        <v>61</v>
      </c>
      <c r="D7495" s="6" t="s">
        <v>51</v>
      </c>
      <c r="E7495" s="6" t="s">
        <v>391</v>
      </c>
      <c r="F7495" s="6" t="str">
        <f>IF($M7495="PADD I","PADD 1",IF($M7495="PADD II","PADD 2",IF($M7495="PADD III","PADD 3",IF($M7495="PADD IV","PADD 4",IF($M7495="PADD V","PADD 5","")))))</f>
        <v>PADD 5</v>
      </c>
      <c r="G7495" s="6">
        <f>IF(AND($H7495="ATMOS DISTILLATION",ISNUMBER(SEARCH("VPS",$I7495))=FALSE,LEFT($I7495,6)&lt;&gt;"VACUUM"),"CDU",IF($H7495="FLUID CAT CRACKING","FCC",IF(OR($H7495="HYDROCRACKING",$H7495="RESID_HYDROCRACKING"),"Hydrocracker",IF($H7495="REFORMING","Reformer",""))))</f>
        <v/>
      </c>
      <c r="H7495" s="6" t="s">
        <v>43</v>
      </c>
      <c r="I7495" s="6" t="s">
        <v>1337</v>
      </c>
      <c r="J7495" s="6" t="s">
        <v>345</v>
      </c>
      <c r="K7495" s="10">
        <v>1.6905</v>
      </c>
      <c r="L7495" s="10">
        <v>7.35</v>
      </c>
      <c r="M7495" s="6" t="s">
        <v>386</v>
      </c>
    </row>
    <row r="7496" spans="1:13">
      <c r="A7496" s="6">
        <v>2026</v>
      </c>
      <c r="B7496" s="6">
        <v>3</v>
      </c>
      <c r="C7496" s="6" t="s">
        <v>61</v>
      </c>
      <c r="D7496" s="6" t="s">
        <v>547</v>
      </c>
      <c r="E7496" s="6" t="s">
        <v>391</v>
      </c>
      <c r="F7496" s="6" t="str">
        <f>IF($M7496="PADD I","PADD 1",IF($M7496="PADD II","PADD 2",IF($M7496="PADD III","PADD 3",IF($M7496="PADD IV","PADD 4",IF($M7496="PADD V","PADD 5","")))))</f>
        <v>PADD 5</v>
      </c>
      <c r="G7496" s="6" t="str">
        <f>IF(AND($H7496="ATMOS DISTILLATION",ISNUMBER(SEARCH("VPS",$I7496))=FALSE,LEFT($I7496,6)&lt;&gt;"VACUUM"),"CDU",IF($H7496="FLUID CAT CRACKING","FCC",IF(OR($H7496="HYDROCRACKING",$H7496="RESID_HYDROCRACKING"),"Hydrocracker",IF($H7496="REFORMING","Reformer",""))))</f>
        <v>Reformer</v>
      </c>
      <c r="H7496" s="6" t="s">
        <v>421</v>
      </c>
      <c r="I7496" s="6" t="s">
        <v>548</v>
      </c>
      <c r="J7496" s="6" t="s">
        <v>345</v>
      </c>
      <c r="K7496" s="10">
        <v>1.68</v>
      </c>
      <c r="L7496" s="10">
        <v>28</v>
      </c>
      <c r="M7496" s="6" t="s">
        <v>386</v>
      </c>
    </row>
    <row r="7497" spans="1:13">
      <c r="A7497" s="6">
        <v>2026</v>
      </c>
      <c r="B7497" s="6">
        <v>3</v>
      </c>
      <c r="C7497" s="6" t="s">
        <v>61</v>
      </c>
      <c r="D7497" s="6" t="s">
        <v>799</v>
      </c>
      <c r="E7497" s="6" t="s">
        <v>391</v>
      </c>
      <c r="F7497" s="6" t="str">
        <f>IF($M7497="PADD I","PADD 1",IF($M7497="PADD II","PADD 2",IF($M7497="PADD III","PADD 3",IF($M7497="PADD IV","PADD 4",IF($M7497="PADD V","PADD 5","")))))</f>
        <v>PADD 4</v>
      </c>
      <c r="G7497" s="6">
        <f>IF(AND($H7497="ATMOS DISTILLATION",ISNUMBER(SEARCH("VPS",$I7497))=FALSE,LEFT($I7497,6)&lt;&gt;"VACUUM"),"CDU",IF($H7497="FLUID CAT CRACKING","FCC",IF(OR($H7497="HYDROCRACKING",$H7497="RESID_HYDROCRACKING"),"Hydrocracker",IF($H7497="REFORMING","Reformer",""))))</f>
        <v/>
      </c>
      <c r="H7497" s="6" t="s">
        <v>378</v>
      </c>
      <c r="I7497" s="6" t="s">
        <v>379</v>
      </c>
      <c r="J7497" s="6" t="s">
        <v>345</v>
      </c>
      <c r="K7497" s="10">
        <v>1.65</v>
      </c>
      <c r="L7497" s="10">
        <v>27.5</v>
      </c>
      <c r="M7497" s="6" t="s">
        <v>430</v>
      </c>
    </row>
    <row r="7498" spans="1:13">
      <c r="A7498" s="6">
        <v>2026</v>
      </c>
      <c r="B7498" s="6">
        <v>3</v>
      </c>
      <c r="C7498" s="6" t="s">
        <v>61</v>
      </c>
      <c r="D7498" s="6" t="s">
        <v>51</v>
      </c>
      <c r="E7498" s="6" t="s">
        <v>391</v>
      </c>
      <c r="F7498" s="6" t="str">
        <f>IF($M7498="PADD I","PADD 1",IF($M7498="PADD II","PADD 2",IF($M7498="PADD III","PADD 3",IF($M7498="PADD IV","PADD 4",IF($M7498="PADD V","PADD 5","")))))</f>
        <v>PADD 5</v>
      </c>
      <c r="G7498" s="6">
        <f>IF(AND($H7498="ATMOS DISTILLATION",ISNUMBER(SEARCH("VPS",$I7498))=FALSE,LEFT($I7498,6)&lt;&gt;"VACUUM"),"CDU",IF($H7498="FLUID CAT CRACKING","FCC",IF(OR($H7498="HYDROCRACKING",$H7498="RESID_HYDROCRACKING"),"Hydrocracker",IF($H7498="REFORMING","Reformer",""))))</f>
        <v/>
      </c>
      <c r="H7498" s="6" t="s">
        <v>43</v>
      </c>
      <c r="I7498" s="6" t="s">
        <v>1338</v>
      </c>
      <c r="J7498" s="6" t="s">
        <v>345</v>
      </c>
      <c r="K7498" s="10">
        <v>1.61</v>
      </c>
      <c r="L7498" s="10">
        <v>7</v>
      </c>
      <c r="M7498" s="6" t="s">
        <v>386</v>
      </c>
    </row>
    <row r="7499" spans="1:13">
      <c r="A7499" s="6">
        <v>2026</v>
      </c>
      <c r="B7499" s="6">
        <v>3</v>
      </c>
      <c r="C7499" s="6" t="s">
        <v>61</v>
      </c>
      <c r="D7499" s="6" t="s">
        <v>40</v>
      </c>
      <c r="E7499" s="6" t="s">
        <v>736</v>
      </c>
      <c r="F7499" s="6" t="str">
        <f>IF($M7499="PADD I","PADD 1",IF($M7499="PADD II","PADD 2",IF($M7499="PADD III","PADD 3",IF($M7499="PADD IV","PADD 4",IF($M7499="PADD V","PADD 5","")))))</f>
        <v>PADD 1</v>
      </c>
      <c r="G7499" s="6" t="str">
        <f>IF(AND($H7499="ATMOS DISTILLATION",ISNUMBER(SEARCH("VPS",$I7499))=FALSE,LEFT($I7499,6)&lt;&gt;"VACUUM"),"CDU",IF($H7499="FLUID CAT CRACKING","FCC",IF(OR($H7499="HYDROCRACKING",$H7499="RESID_HYDROCRACKING"),"Hydrocracker",IF($H7499="REFORMING","Reformer",""))))</f>
        <v>FCC</v>
      </c>
      <c r="H7499" s="6" t="s">
        <v>376</v>
      </c>
      <c r="I7499" s="6" t="s">
        <v>737</v>
      </c>
      <c r="J7499" s="6" t="s">
        <v>345</v>
      </c>
      <c r="K7499" s="10">
        <v>1.59</v>
      </c>
      <c r="L7499" s="10">
        <v>53</v>
      </c>
      <c r="M7499" s="6" t="s">
        <v>413</v>
      </c>
    </row>
    <row r="7500" spans="1:13">
      <c r="A7500" s="6">
        <v>2026</v>
      </c>
      <c r="B7500" s="6">
        <v>3</v>
      </c>
      <c r="C7500" s="6" t="s">
        <v>61</v>
      </c>
      <c r="D7500" s="6" t="s">
        <v>50</v>
      </c>
      <c r="E7500" s="6" t="s">
        <v>381</v>
      </c>
      <c r="F7500" s="6" t="str">
        <f>IF($M7500="PADD I","PADD 1",IF($M7500="PADD II","PADD 2",IF($M7500="PADD III","PADD 3",IF($M7500="PADD IV","PADD 4",IF($M7500="PADD V","PADD 5","")))))</f>
        <v>PADD 3</v>
      </c>
      <c r="G7500" s="6">
        <f>IF(AND($H7500="ATMOS DISTILLATION",ISNUMBER(SEARCH("VPS",$I7500))=FALSE,LEFT($I7500,6)&lt;&gt;"VACUUM"),"CDU",IF($H7500="FLUID CAT CRACKING","FCC",IF(OR($H7500="HYDROCRACKING",$H7500="RESID_HYDROCRACKING"),"Hydrocracker",IF($H7500="REFORMING","Reformer",""))))</f>
        <v/>
      </c>
      <c r="H7500" s="6" t="s">
        <v>435</v>
      </c>
      <c r="I7500" s="6" t="s">
        <v>1272</v>
      </c>
      <c r="J7500" s="6" t="s">
        <v>349</v>
      </c>
      <c r="K7500" s="10">
        <v>1.545</v>
      </c>
      <c r="L7500" s="10">
        <v>51.5</v>
      </c>
      <c r="M7500" s="6" t="s">
        <v>371</v>
      </c>
    </row>
    <row r="7501" spans="1:13">
      <c r="A7501" s="6">
        <v>2026</v>
      </c>
      <c r="B7501" s="6">
        <v>3</v>
      </c>
      <c r="C7501" s="6" t="s">
        <v>61</v>
      </c>
      <c r="D7501" s="6" t="s">
        <v>511</v>
      </c>
      <c r="E7501" s="6" t="s">
        <v>405</v>
      </c>
      <c r="F7501" s="6" t="str">
        <f>IF($M7501="PADD I","PADD 1",IF($M7501="PADD II","PADD 2",IF($M7501="PADD III","PADD 3",IF($M7501="PADD IV","PADD 4",IF($M7501="PADD V","PADD 5","")))))</f>
        <v>PADD 3</v>
      </c>
      <c r="G7501" s="6">
        <f>IF(AND($H7501="ATMOS DISTILLATION",ISNUMBER(SEARCH("VPS",$I7501))=FALSE,LEFT($I7501,6)&lt;&gt;"VACUUM"),"CDU",IF($H7501="FLUID CAT CRACKING","FCC",IF(OR($H7501="HYDROCRACKING",$H7501="RESID_HYDROCRACKING"),"Hydrocracker",IF($H7501="REFORMING","Reformer",""))))</f>
        <v/>
      </c>
      <c r="H7501" s="6" t="s">
        <v>43</v>
      </c>
      <c r="I7501" s="6" t="s">
        <v>655</v>
      </c>
      <c r="J7501" s="6" t="s">
        <v>345</v>
      </c>
      <c r="K7501" s="10">
        <v>1.5</v>
      </c>
      <c r="L7501" s="10">
        <v>50</v>
      </c>
      <c r="M7501" s="6" t="s">
        <v>371</v>
      </c>
    </row>
    <row r="7502" spans="1:13">
      <c r="A7502" s="6">
        <v>2026</v>
      </c>
      <c r="B7502" s="6">
        <v>3</v>
      </c>
      <c r="C7502" s="6" t="s">
        <v>61</v>
      </c>
      <c r="D7502" s="6" t="s">
        <v>511</v>
      </c>
      <c r="E7502" s="6" t="s">
        <v>405</v>
      </c>
      <c r="F7502" s="6" t="str">
        <f>IF($M7502="PADD I","PADD 1",IF($M7502="PADD II","PADD 2",IF($M7502="PADD III","PADD 3",IF($M7502="PADD IV","PADD 4",IF($M7502="PADD V","PADD 5","")))))</f>
        <v>PADD 3</v>
      </c>
      <c r="G7502" s="6" t="str">
        <f>IF(AND($H7502="ATMOS DISTILLATION",ISNUMBER(SEARCH("VPS",$I7502))=FALSE,LEFT($I7502,6)&lt;&gt;"VACUUM"),"CDU",IF($H7502="FLUID CAT CRACKING","FCC",IF(OR($H7502="HYDROCRACKING",$H7502="RESID_HYDROCRACKING"),"Hydrocracker",IF($H7502="REFORMING","Reformer",""))))</f>
        <v>Hydrocracker</v>
      </c>
      <c r="H7502" s="6" t="s">
        <v>444</v>
      </c>
      <c r="I7502" s="6" t="s">
        <v>14</v>
      </c>
      <c r="J7502" s="6" t="s">
        <v>345</v>
      </c>
      <c r="K7502" s="10">
        <v>1.5</v>
      </c>
      <c r="L7502" s="10">
        <v>50</v>
      </c>
      <c r="M7502" s="6" t="s">
        <v>371</v>
      </c>
    </row>
    <row r="7503" spans="1:13">
      <c r="A7503" s="6">
        <v>2026</v>
      </c>
      <c r="B7503" s="6">
        <v>3</v>
      </c>
      <c r="C7503" s="6" t="s">
        <v>61</v>
      </c>
      <c r="D7503" s="6" t="s">
        <v>934</v>
      </c>
      <c r="E7503" s="6" t="s">
        <v>388</v>
      </c>
      <c r="F7503" s="6" t="str">
        <f>IF($M7503="PADD I","PADD 1",IF($M7503="PADD II","PADD 2",IF($M7503="PADD III","PADD 3",IF($M7503="PADD IV","PADD 4",IF($M7503="PADD V","PADD 5","")))))</f>
        <v>PADD 3</v>
      </c>
      <c r="G7503" s="6">
        <f>IF(AND($H7503="ATMOS DISTILLATION",ISNUMBER(SEARCH("VPS",$I7503))=FALSE,LEFT($I7503,6)&lt;&gt;"VACUUM"),"CDU",IF($H7503="FLUID CAT CRACKING","FCC",IF(OR($H7503="HYDROCRACKING",$H7503="RESID_HYDROCRACKING"),"Hydrocracker",IF($H7503="REFORMING","Reformer",""))))</f>
        <v/>
      </c>
      <c r="H7503" s="6" t="s">
        <v>460</v>
      </c>
      <c r="I7503" s="6" t="s">
        <v>461</v>
      </c>
      <c r="J7503" s="6" t="s">
        <v>349</v>
      </c>
      <c r="K7503" s="10">
        <v>1.3</v>
      </c>
      <c r="L7503" s="10">
        <v>10</v>
      </c>
      <c r="M7503" s="6" t="s">
        <v>371</v>
      </c>
    </row>
    <row r="7504" spans="1:13">
      <c r="A7504" s="6">
        <v>2026</v>
      </c>
      <c r="B7504" s="6">
        <v>3</v>
      </c>
      <c r="C7504" s="6" t="s">
        <v>61</v>
      </c>
      <c r="D7504" s="6" t="s">
        <v>53</v>
      </c>
      <c r="E7504" s="6" t="s">
        <v>543</v>
      </c>
      <c r="F7504" s="6" t="str">
        <f>IF($M7504="PADD I","PADD 1",IF($M7504="PADD II","PADD 2",IF($M7504="PADD III","PADD 3",IF($M7504="PADD IV","PADD 4",IF($M7504="PADD V","PADD 5","")))))</f>
        <v>PADD 5</v>
      </c>
      <c r="G7504" s="6">
        <f>IF(AND($H7504="ATMOS DISTILLATION",ISNUMBER(SEARCH("VPS",$I7504))=FALSE,LEFT($I7504,6)&lt;&gt;"VACUUM"),"CDU",IF($H7504="FLUID CAT CRACKING","FCC",IF(OR($H7504="HYDROCRACKING",$H7504="RESID_HYDROCRACKING"),"Hydrocracker",IF($H7504="REFORMING","Reformer",""))))</f>
        <v/>
      </c>
      <c r="H7504" s="6" t="s">
        <v>43</v>
      </c>
      <c r="I7504" s="6" t="s">
        <v>1368</v>
      </c>
      <c r="J7504" s="6" t="s">
        <v>349</v>
      </c>
      <c r="K7504" s="10">
        <v>1.2324</v>
      </c>
      <c r="L7504" s="10">
        <v>20.54</v>
      </c>
      <c r="M7504" s="6" t="s">
        <v>386</v>
      </c>
    </row>
    <row r="7505" spans="1:13">
      <c r="A7505" s="6">
        <v>2026</v>
      </c>
      <c r="B7505" s="6">
        <v>3</v>
      </c>
      <c r="C7505" s="6" t="s">
        <v>61</v>
      </c>
      <c r="D7505" s="6" t="s">
        <v>51</v>
      </c>
      <c r="E7505" s="6" t="s">
        <v>391</v>
      </c>
      <c r="F7505" s="6" t="str">
        <f>IF($M7505="PADD I","PADD 1",IF($M7505="PADD II","PADD 2",IF($M7505="PADD III","PADD 3",IF($M7505="PADD IV","PADD 4",IF($M7505="PADD V","PADD 5","")))))</f>
        <v>PADD 5</v>
      </c>
      <c r="G7505" s="6">
        <f>IF(AND($H7505="ATMOS DISTILLATION",ISNUMBER(SEARCH("VPS",$I7505))=FALSE,LEFT($I7505,6)&lt;&gt;"VACUUM"),"CDU",IF($H7505="FLUID CAT CRACKING","FCC",IF(OR($H7505="HYDROCRACKING",$H7505="RESID_HYDROCRACKING"),"Hydrocracker",IF($H7505="REFORMING","Reformer",""))))</f>
        <v/>
      </c>
      <c r="H7505" s="6" t="s">
        <v>43</v>
      </c>
      <c r="I7505" s="6" t="s">
        <v>1207</v>
      </c>
      <c r="J7505" s="6" t="s">
        <v>345</v>
      </c>
      <c r="K7505" s="10">
        <v>0.966</v>
      </c>
      <c r="L7505" s="10">
        <v>4.2</v>
      </c>
      <c r="M7505" s="6" t="s">
        <v>386</v>
      </c>
    </row>
    <row r="7506" spans="1:13">
      <c r="A7506" s="6">
        <v>2026</v>
      </c>
      <c r="B7506" s="6">
        <v>3</v>
      </c>
      <c r="C7506" s="6" t="s">
        <v>61</v>
      </c>
      <c r="D7506" s="6" t="s">
        <v>676</v>
      </c>
      <c r="E7506" s="6" t="s">
        <v>677</v>
      </c>
      <c r="F7506" s="6" t="str">
        <f>IF($M7506="PADD I","PADD 1",IF($M7506="PADD II","PADD 2",IF($M7506="PADD III","PADD 3",IF($M7506="PADD IV","PADD 4",IF($M7506="PADD V","PADD 5","")))))</f>
        <v>PADD 1</v>
      </c>
      <c r="G7506" s="6" t="str">
        <f>IF(AND($H7506="ATMOS DISTILLATION",ISNUMBER(SEARCH("VPS",$I7506))=FALSE,LEFT($I7506,6)&lt;&gt;"VACUUM"),"CDU",IF($H7506="FLUID CAT CRACKING","FCC",IF(OR($H7506="HYDROCRACKING",$H7506="RESID_HYDROCRACKING"),"Hydrocracker",IF($H7506="REFORMING","Reformer",""))))</f>
        <v>Reformer</v>
      </c>
      <c r="H7506" s="6" t="s">
        <v>421</v>
      </c>
      <c r="I7506" s="6" t="s">
        <v>899</v>
      </c>
      <c r="J7506" s="6" t="s">
        <v>345</v>
      </c>
      <c r="K7506" s="10">
        <v>0.96</v>
      </c>
      <c r="L7506" s="10">
        <v>32</v>
      </c>
      <c r="M7506" s="6" t="s">
        <v>413</v>
      </c>
    </row>
    <row r="7507" spans="1:13">
      <c r="A7507" s="6">
        <v>2026</v>
      </c>
      <c r="B7507" s="6">
        <v>3</v>
      </c>
      <c r="C7507" s="6" t="s">
        <v>61</v>
      </c>
      <c r="D7507" s="6" t="s">
        <v>1148</v>
      </c>
      <c r="E7507" s="6" t="s">
        <v>1149</v>
      </c>
      <c r="F7507" s="6" t="str">
        <f>IF($M7507="PADD I","PADD 1",IF($M7507="PADD II","PADD 2",IF($M7507="PADD III","PADD 3",IF($M7507="PADD IV","PADD 4",IF($M7507="PADD V","PADD 5","")))))</f>
        <v>PADD 3</v>
      </c>
      <c r="G7507" s="6">
        <f>IF(AND($H7507="ATMOS DISTILLATION",ISNUMBER(SEARCH("VPS",$I7507))=FALSE,LEFT($I7507,6)&lt;&gt;"VACUUM"),"CDU",IF($H7507="FLUID CAT CRACKING","FCC",IF(OR($H7507="HYDROCRACKING",$H7507="RESID_HYDROCRACKING"),"Hydrocracker",IF($H7507="REFORMING","Reformer",""))))</f>
        <v/>
      </c>
      <c r="H7507" s="6" t="s">
        <v>523</v>
      </c>
      <c r="I7507" s="6" t="s">
        <v>524</v>
      </c>
      <c r="J7507" s="6" t="s">
        <v>349</v>
      </c>
      <c r="K7507" s="10">
        <v>0.915</v>
      </c>
      <c r="L7507" s="10">
        <v>1.5</v>
      </c>
      <c r="M7507" s="6" t="s">
        <v>371</v>
      </c>
    </row>
    <row r="7508" spans="1:13">
      <c r="A7508" s="6">
        <v>2026</v>
      </c>
      <c r="B7508" s="6">
        <v>3</v>
      </c>
      <c r="C7508" s="6" t="s">
        <v>61</v>
      </c>
      <c r="D7508" s="6" t="s">
        <v>756</v>
      </c>
      <c r="E7508" s="6" t="s">
        <v>757</v>
      </c>
      <c r="F7508" s="6" t="str">
        <f>IF($M7508="PADD I","PADD 1",IF($M7508="PADD II","PADD 2",IF($M7508="PADD III","PADD 3",IF($M7508="PADD IV","PADD 4",IF($M7508="PADD V","PADD 5","")))))</f>
        <v>PADD 3</v>
      </c>
      <c r="G7508" s="6" t="str">
        <f>IF(AND($H7508="ATMOS DISTILLATION",ISNUMBER(SEARCH("VPS",$I7508))=FALSE,LEFT($I7508,6)&lt;&gt;"VACUUM"),"CDU",IF($H7508="FLUID CAT CRACKING","FCC",IF(OR($H7508="HYDROCRACKING",$H7508="RESID_HYDROCRACKING"),"Hydrocracker",IF($H7508="REFORMING","Reformer",""))))</f>
        <v>CDU</v>
      </c>
      <c r="H7508" s="6" t="s">
        <v>38</v>
      </c>
      <c r="I7508" s="6" t="s">
        <v>81</v>
      </c>
      <c r="J7508" s="6" t="s">
        <v>345</v>
      </c>
      <c r="K7508" s="10">
        <v>0.9</v>
      </c>
      <c r="L7508" s="10">
        <v>15</v>
      </c>
      <c r="M7508" s="6" t="s">
        <v>371</v>
      </c>
    </row>
    <row r="7509" spans="1:13">
      <c r="A7509" s="6">
        <v>2026</v>
      </c>
      <c r="B7509" s="6">
        <v>3</v>
      </c>
      <c r="C7509" s="6" t="s">
        <v>61</v>
      </c>
      <c r="D7509" s="6" t="s">
        <v>714</v>
      </c>
      <c r="E7509" s="6" t="s">
        <v>405</v>
      </c>
      <c r="F7509" s="6" t="str">
        <f>IF($M7509="PADD I","PADD 1",IF($M7509="PADD II","PADD 2",IF($M7509="PADD III","PADD 3",IF($M7509="PADD IV","PADD 4",IF($M7509="PADD V","PADD 5","")))))</f>
        <v>PADD 3</v>
      </c>
      <c r="G7509" s="6" t="str">
        <f>IF(AND($H7509="ATMOS DISTILLATION",ISNUMBER(SEARCH("VPS",$I7509))=FALSE,LEFT($I7509,6)&lt;&gt;"VACUUM"),"CDU",IF($H7509="FLUID CAT CRACKING","FCC",IF(OR($H7509="HYDROCRACKING",$H7509="RESID_HYDROCRACKING"),"Hydrocracker",IF($H7509="REFORMING","Reformer",""))))</f>
        <v>Reformer</v>
      </c>
      <c r="H7509" s="6" t="s">
        <v>421</v>
      </c>
      <c r="I7509" s="6" t="s">
        <v>864</v>
      </c>
      <c r="J7509" s="6" t="s">
        <v>345</v>
      </c>
      <c r="K7509" s="10">
        <v>0.867</v>
      </c>
      <c r="L7509" s="10">
        <v>28.9</v>
      </c>
      <c r="M7509" s="6" t="s">
        <v>371</v>
      </c>
    </row>
    <row r="7510" spans="1:13">
      <c r="A7510" s="6">
        <v>2026</v>
      </c>
      <c r="B7510" s="6">
        <v>3</v>
      </c>
      <c r="C7510" s="6" t="s">
        <v>61</v>
      </c>
      <c r="D7510" s="6" t="s">
        <v>321</v>
      </c>
      <c r="E7510" s="6" t="s">
        <v>381</v>
      </c>
      <c r="F7510" s="6" t="str">
        <f>IF($M7510="PADD I","PADD 1",IF($M7510="PADD II","PADD 2",IF($M7510="PADD III","PADD 3",IF($M7510="PADD IV","PADD 4",IF($M7510="PADD V","PADD 5","")))))</f>
        <v>PADD 2</v>
      </c>
      <c r="G7510" s="6" t="str">
        <f>IF(AND($H7510="ATMOS DISTILLATION",ISNUMBER(SEARCH("VPS",$I7510))=FALSE,LEFT($I7510,6)&lt;&gt;"VACUUM"),"CDU",IF($H7510="FLUID CAT CRACKING","FCC",IF(OR($H7510="HYDROCRACKING",$H7510="RESID_HYDROCRACKING"),"Hydrocracker",IF($H7510="REFORMING","Reformer",""))))</f>
        <v>Reformer</v>
      </c>
      <c r="H7510" s="6" t="s">
        <v>421</v>
      </c>
      <c r="I7510" s="6" t="s">
        <v>228</v>
      </c>
      <c r="J7510" s="6" t="s">
        <v>349</v>
      </c>
      <c r="K7510" s="10">
        <v>0.84</v>
      </c>
      <c r="L7510" s="10">
        <v>2</v>
      </c>
      <c r="M7510" s="6" t="s">
        <v>375</v>
      </c>
    </row>
    <row r="7511" spans="1:13">
      <c r="A7511" s="6">
        <v>2026</v>
      </c>
      <c r="B7511" s="6">
        <v>3</v>
      </c>
      <c r="C7511" s="6" t="s">
        <v>61</v>
      </c>
      <c r="D7511" s="6" t="s">
        <v>632</v>
      </c>
      <c r="E7511" s="6" t="s">
        <v>633</v>
      </c>
      <c r="F7511" s="6" t="str">
        <f>IF($M7511="PADD I","PADD 1",IF($M7511="PADD II","PADD 2",IF($M7511="PADD III","PADD 3",IF($M7511="PADD IV","PADD 4",IF($M7511="PADD V","PADD 5","")))))</f>
        <v>PADD 4</v>
      </c>
      <c r="G7511" s="6">
        <f>IF(AND($H7511="ATMOS DISTILLATION",ISNUMBER(SEARCH("VPS",$I7511))=FALSE,LEFT($I7511,6)&lt;&gt;"VACUUM"),"CDU",IF($H7511="FLUID CAT CRACKING","FCC",IF(OR($H7511="HYDROCRACKING",$H7511="RESID_HYDROCRACKING"),"Hydrocracker",IF($H7511="REFORMING","Reformer",""))))</f>
        <v/>
      </c>
      <c r="H7511" s="6" t="s">
        <v>460</v>
      </c>
      <c r="I7511" s="6" t="s">
        <v>616</v>
      </c>
      <c r="J7511" s="6" t="s">
        <v>345</v>
      </c>
      <c r="K7511" s="10">
        <v>0.8120000000000001</v>
      </c>
      <c r="L7511" s="10">
        <v>2.8</v>
      </c>
      <c r="M7511" s="6" t="s">
        <v>430</v>
      </c>
    </row>
    <row r="7512" spans="1:13">
      <c r="A7512" s="6">
        <v>2026</v>
      </c>
      <c r="B7512" s="6">
        <v>3</v>
      </c>
      <c r="C7512" s="6" t="s">
        <v>61</v>
      </c>
      <c r="D7512" s="6" t="s">
        <v>799</v>
      </c>
      <c r="E7512" s="6" t="s">
        <v>391</v>
      </c>
      <c r="F7512" s="6" t="str">
        <f>IF($M7512="PADD I","PADD 1",IF($M7512="PADD II","PADD 2",IF($M7512="PADD III","PADD 3",IF($M7512="PADD IV","PADD 4",IF($M7512="PADD V","PADD 5","")))))</f>
        <v>PADD 4</v>
      </c>
      <c r="G7512" s="6">
        <f>IF(AND($H7512="ATMOS DISTILLATION",ISNUMBER(SEARCH("VPS",$I7512))=FALSE,LEFT($I7512,6)&lt;&gt;"VACUUM"),"CDU",IF($H7512="FLUID CAT CRACKING","FCC",IF(OR($H7512="HYDROCRACKING",$H7512="RESID_HYDROCRACKING"),"Hydrocracker",IF($H7512="REFORMING","Reformer",""))))</f>
        <v/>
      </c>
      <c r="H7512" s="6" t="s">
        <v>435</v>
      </c>
      <c r="I7512" s="6" t="s">
        <v>1188</v>
      </c>
      <c r="J7512" s="6" t="s">
        <v>345</v>
      </c>
      <c r="K7512" s="10">
        <v>0.6</v>
      </c>
      <c r="L7512" s="10">
        <v>10</v>
      </c>
      <c r="M7512" s="6" t="s">
        <v>430</v>
      </c>
    </row>
    <row r="7513" spans="1:13">
      <c r="A7513" s="6">
        <v>2026</v>
      </c>
      <c r="B7513" s="6">
        <v>3</v>
      </c>
      <c r="C7513" s="6" t="s">
        <v>61</v>
      </c>
      <c r="D7513" s="6" t="s">
        <v>799</v>
      </c>
      <c r="E7513" s="6" t="s">
        <v>391</v>
      </c>
      <c r="F7513" s="6" t="str">
        <f>IF($M7513="PADD I","PADD 1",IF($M7513="PADD II","PADD 2",IF($M7513="PADD III","PADD 3",IF($M7513="PADD IV","PADD 4",IF($M7513="PADD V","PADD 5","")))))</f>
        <v>PADD 4</v>
      </c>
      <c r="G7513" s="6">
        <f>IF(AND($H7513="ATMOS DISTILLATION",ISNUMBER(SEARCH("VPS",$I7513))=FALSE,LEFT($I7513,6)&lt;&gt;"VACUUM"),"CDU",IF($H7513="FLUID CAT CRACKING","FCC",IF(OR($H7513="HYDROCRACKING",$H7513="RESID_HYDROCRACKING"),"Hydrocracker",IF($H7513="REFORMING","Reformer",""))))</f>
        <v/>
      </c>
      <c r="H7513" s="6" t="s">
        <v>460</v>
      </c>
      <c r="I7513" s="6" t="s">
        <v>908</v>
      </c>
      <c r="J7513" s="6" t="s">
        <v>345</v>
      </c>
      <c r="K7513" s="10">
        <v>0.336</v>
      </c>
      <c r="L7513" s="10">
        <v>5.6</v>
      </c>
      <c r="M7513" s="6" t="s">
        <v>430</v>
      </c>
    </row>
    <row r="7514" spans="1:13">
      <c r="A7514" s="6">
        <v>2026</v>
      </c>
      <c r="B7514" s="6">
        <v>4</v>
      </c>
      <c r="C7514" s="6" t="s">
        <v>62</v>
      </c>
      <c r="D7514" s="6" t="s">
        <v>48</v>
      </c>
      <c r="E7514" s="6" t="s">
        <v>388</v>
      </c>
      <c r="F7514" s="6" t="str">
        <f>IF($M7514="PADD I","PADD 1",IF($M7514="PADD II","PADD 2",IF($M7514="PADD III","PADD 3",IF($M7514="PADD IV","PADD 4",IF($M7514="PADD V","PADD 5","")))))</f>
        <v>PADD 2</v>
      </c>
      <c r="G7514" s="6" t="str">
        <f>IF(AND($H7514="ATMOS DISTILLATION",ISNUMBER(SEARCH("VPS",$I7514))=FALSE,LEFT($I7514,6)&lt;&gt;"VACUUM"),"CDU",IF($H7514="FLUID CAT CRACKING","FCC",IF(OR($H7514="HYDROCRACKING",$H7514="RESID_HYDROCRACKING"),"Hydrocracker",IF($H7514="REFORMING","Reformer",""))))</f>
        <v>CDU</v>
      </c>
      <c r="H7514" s="6" t="s">
        <v>38</v>
      </c>
      <c r="I7514" s="6" t="s">
        <v>720</v>
      </c>
      <c r="J7514" s="6" t="s">
        <v>349</v>
      </c>
      <c r="K7514" s="10">
        <v>278</v>
      </c>
      <c r="L7514" s="10">
        <v>278</v>
      </c>
      <c r="M7514" s="6" t="s">
        <v>375</v>
      </c>
    </row>
    <row r="7515" spans="1:13">
      <c r="A7515" s="6">
        <v>2026</v>
      </c>
      <c r="B7515" s="6">
        <v>4</v>
      </c>
      <c r="C7515" s="6" t="s">
        <v>62</v>
      </c>
      <c r="D7515" s="6" t="s">
        <v>526</v>
      </c>
      <c r="E7515" s="6" t="s">
        <v>405</v>
      </c>
      <c r="F7515" s="6" t="str">
        <f>IF($M7515="PADD I","PADD 1",IF($M7515="PADD II","PADD 2",IF($M7515="PADD III","PADD 3",IF($M7515="PADD IV","PADD 4",IF($M7515="PADD V","PADD 5","")))))</f>
        <v>PADD 3</v>
      </c>
      <c r="G7515" s="6" t="str">
        <f>IF(AND($H7515="ATMOS DISTILLATION",ISNUMBER(SEARCH("VPS",$I7515))=FALSE,LEFT($I7515,6)&lt;&gt;"VACUUM"),"CDU",IF($H7515="FLUID CAT CRACKING","FCC",IF(OR($H7515="HYDROCRACKING",$H7515="RESID_HYDROCRACKING"),"Hydrocracker",IF($H7515="REFORMING","Reformer",""))))</f>
        <v>CDU</v>
      </c>
      <c r="H7515" s="6" t="s">
        <v>38</v>
      </c>
      <c r="I7515" s="6" t="s">
        <v>350</v>
      </c>
      <c r="J7515" s="6" t="s">
        <v>345</v>
      </c>
      <c r="K7515" s="10">
        <v>210</v>
      </c>
      <c r="L7515" s="10">
        <v>210</v>
      </c>
      <c r="M7515" s="6" t="s">
        <v>371</v>
      </c>
    </row>
    <row r="7516" spans="1:13">
      <c r="A7516" s="6">
        <v>2026</v>
      </c>
      <c r="B7516" s="6">
        <v>4</v>
      </c>
      <c r="C7516" s="6" t="s">
        <v>62</v>
      </c>
      <c r="D7516" s="6" t="s">
        <v>53</v>
      </c>
      <c r="E7516" s="6" t="s">
        <v>543</v>
      </c>
      <c r="F7516" s="6" t="str">
        <f>IF($M7516="PADD I","PADD 1",IF($M7516="PADD II","PADD 2",IF($M7516="PADD III","PADD 3",IF($M7516="PADD IV","PADD 4",IF($M7516="PADD V","PADD 5","")))))</f>
        <v>PADD 5</v>
      </c>
      <c r="G7516" s="6" t="str">
        <f>IF(AND($H7516="ATMOS DISTILLATION",ISNUMBER(SEARCH("VPS",$I7516))=FALSE,LEFT($I7516,6)&lt;&gt;"VACUUM"),"CDU",IF($H7516="FLUID CAT CRACKING","FCC",IF(OR($H7516="HYDROCRACKING",$H7516="RESID_HYDROCRACKING"),"Hydrocracker",IF($H7516="REFORMING","Reformer",""))))</f>
        <v>CDU</v>
      </c>
      <c r="H7516" s="6" t="s">
        <v>38</v>
      </c>
      <c r="I7516" s="6" t="s">
        <v>81</v>
      </c>
      <c r="J7516" s="6" t="s">
        <v>345</v>
      </c>
      <c r="K7516" s="10">
        <v>182.5</v>
      </c>
      <c r="L7516" s="10">
        <v>250</v>
      </c>
      <c r="M7516" s="6" t="s">
        <v>386</v>
      </c>
    </row>
    <row r="7517" spans="1:13">
      <c r="A7517" s="6">
        <v>2026</v>
      </c>
      <c r="B7517" s="6">
        <v>4</v>
      </c>
      <c r="C7517" s="6" t="s">
        <v>62</v>
      </c>
      <c r="D7517" s="6" t="s">
        <v>526</v>
      </c>
      <c r="E7517" s="6" t="s">
        <v>405</v>
      </c>
      <c r="F7517" s="6" t="str">
        <f>IF($M7517="PADD I","PADD 1",IF($M7517="PADD II","PADD 2",IF($M7517="PADD III","PADD 3",IF($M7517="PADD IV","PADD 4",IF($M7517="PADD V","PADD 5","")))))</f>
        <v>PADD 3</v>
      </c>
      <c r="G7517" s="6">
        <f>IF(AND($H7517="ATMOS DISTILLATION",ISNUMBER(SEARCH("VPS",$I7517))=FALSE,LEFT($I7517,6)&lt;&gt;"VACUUM"),"CDU",IF($H7517="FLUID CAT CRACKING","FCC",IF(OR($H7517="HYDROCRACKING",$H7517="RESID_HYDROCRACKING"),"Hydrocracker",IF($H7517="REFORMING","Reformer",""))))</f>
        <v/>
      </c>
      <c r="H7517" s="6" t="s">
        <v>378</v>
      </c>
      <c r="I7517" s="6" t="s">
        <v>649</v>
      </c>
      <c r="J7517" s="6" t="s">
        <v>345</v>
      </c>
      <c r="K7517" s="10">
        <v>172</v>
      </c>
      <c r="L7517" s="10">
        <v>172</v>
      </c>
      <c r="M7517" s="6" t="s">
        <v>371</v>
      </c>
    </row>
    <row r="7518" spans="1:13">
      <c r="A7518" s="6">
        <v>2026</v>
      </c>
      <c r="B7518" s="6">
        <v>4</v>
      </c>
      <c r="C7518" s="6" t="s">
        <v>62</v>
      </c>
      <c r="D7518" s="6" t="s">
        <v>322</v>
      </c>
      <c r="E7518" s="6" t="s">
        <v>369</v>
      </c>
      <c r="F7518" s="6" t="str">
        <f>IF($M7518="PADD I","PADD 1",IF($M7518="PADD II","PADD 2",IF($M7518="PADD III","PADD 3",IF($M7518="PADD IV","PADD 4",IF($M7518="PADD V","PADD 5","")))))</f>
        <v>PADD 2</v>
      </c>
      <c r="G7518" s="6" t="str">
        <f>IF(AND($H7518="ATMOS DISTILLATION",ISNUMBER(SEARCH("VPS",$I7518))=FALSE,LEFT($I7518,6)&lt;&gt;"VACUUM"),"CDU",IF($H7518="FLUID CAT CRACKING","FCC",IF(OR($H7518="HYDROCRACKING",$H7518="RESID_HYDROCRACKING"),"Hydrocracker",IF($H7518="REFORMING","Reformer",""))))</f>
        <v>CDU</v>
      </c>
      <c r="H7518" s="6" t="s">
        <v>38</v>
      </c>
      <c r="I7518" s="6" t="s">
        <v>521</v>
      </c>
      <c r="J7518" s="6" t="s">
        <v>349</v>
      </c>
      <c r="K7518" s="10">
        <v>120</v>
      </c>
      <c r="L7518" s="10">
        <v>120</v>
      </c>
      <c r="M7518" s="6" t="s">
        <v>375</v>
      </c>
    </row>
    <row r="7519" spans="1:13">
      <c r="A7519" s="6">
        <v>2026</v>
      </c>
      <c r="B7519" s="6">
        <v>4</v>
      </c>
      <c r="C7519" s="6" t="s">
        <v>62</v>
      </c>
      <c r="D7519" s="6" t="s">
        <v>53</v>
      </c>
      <c r="E7519" s="6" t="s">
        <v>543</v>
      </c>
      <c r="F7519" s="6" t="str">
        <f>IF($M7519="PADD I","PADD 1",IF($M7519="PADD II","PADD 2",IF($M7519="PADD III","PADD 3",IF($M7519="PADD IV","PADD 4",IF($M7519="PADD V","PADD 5","")))))</f>
        <v>PADD 5</v>
      </c>
      <c r="G7519" s="6">
        <f>IF(AND($H7519="ATMOS DISTILLATION",ISNUMBER(SEARCH("VPS",$I7519))=FALSE,LEFT($I7519,6)&lt;&gt;"VACUUM"),"CDU",IF($H7519="FLUID CAT CRACKING","FCC",IF(OR($H7519="HYDROCRACKING",$H7519="RESID_HYDROCRACKING"),"Hydrocracker",IF($H7519="REFORMING","Reformer",""))))</f>
        <v/>
      </c>
      <c r="H7519" s="6" t="s">
        <v>378</v>
      </c>
      <c r="I7519" s="6" t="s">
        <v>431</v>
      </c>
      <c r="J7519" s="6" t="s">
        <v>345</v>
      </c>
      <c r="K7519" s="10">
        <v>93.13</v>
      </c>
      <c r="L7519" s="10">
        <v>139</v>
      </c>
      <c r="M7519" s="6" t="s">
        <v>386</v>
      </c>
    </row>
    <row r="7520" spans="1:13">
      <c r="A7520" s="6">
        <v>2026</v>
      </c>
      <c r="B7520" s="6">
        <v>4</v>
      </c>
      <c r="C7520" s="6" t="s">
        <v>62</v>
      </c>
      <c r="D7520" s="6" t="s">
        <v>48</v>
      </c>
      <c r="E7520" s="6" t="s">
        <v>388</v>
      </c>
      <c r="F7520" s="6" t="str">
        <f>IF($M7520="PADD I","PADD 1",IF($M7520="PADD II","PADD 2",IF($M7520="PADD III","PADD 3",IF($M7520="PADD IV","PADD 4",IF($M7520="PADD V","PADD 5","")))))</f>
        <v>PADD 2</v>
      </c>
      <c r="G7520" s="6">
        <f>IF(AND($H7520="ATMOS DISTILLATION",ISNUMBER(SEARCH("VPS",$I7520))=FALSE,LEFT($I7520,6)&lt;&gt;"VACUUM"),"CDU",IF($H7520="FLUID CAT CRACKING","FCC",IF(OR($H7520="HYDROCRACKING",$H7520="RESID_HYDROCRACKING"),"Hydrocracker",IF($H7520="REFORMING","Reformer",""))))</f>
        <v/>
      </c>
      <c r="H7520" s="6" t="s">
        <v>43</v>
      </c>
      <c r="I7520" s="6" t="s">
        <v>696</v>
      </c>
      <c r="J7520" s="6" t="s">
        <v>349</v>
      </c>
      <c r="K7520" s="10">
        <v>85</v>
      </c>
      <c r="L7520" s="10">
        <v>85</v>
      </c>
      <c r="M7520" s="6" t="s">
        <v>375</v>
      </c>
    </row>
    <row r="7521" spans="1:13">
      <c r="A7521" s="6">
        <v>2026</v>
      </c>
      <c r="B7521" s="6">
        <v>4</v>
      </c>
      <c r="C7521" s="6" t="s">
        <v>62</v>
      </c>
      <c r="D7521" s="6" t="s">
        <v>48</v>
      </c>
      <c r="E7521" s="6" t="s">
        <v>388</v>
      </c>
      <c r="F7521" s="6" t="str">
        <f>IF($M7521="PADD I","PADD 1",IF($M7521="PADD II","PADD 2",IF($M7521="PADD III","PADD 3",IF($M7521="PADD IV","PADD 4",IF($M7521="PADD V","PADD 5","")))))</f>
        <v>PADD 2</v>
      </c>
      <c r="G7521" s="6">
        <f>IF(AND($H7521="ATMOS DISTILLATION",ISNUMBER(SEARCH("VPS",$I7521))=FALSE,LEFT($I7521,6)&lt;&gt;"VACUUM"),"CDU",IF($H7521="FLUID CAT CRACKING","FCC",IF(OR($H7521="HYDROCRACKING",$H7521="RESID_HYDROCRACKING"),"Hydrocracker",IF($H7521="REFORMING","Reformer",""))))</f>
        <v/>
      </c>
      <c r="H7521" s="6" t="s">
        <v>43</v>
      </c>
      <c r="I7521" s="6" t="s">
        <v>696</v>
      </c>
      <c r="J7521" s="6" t="s">
        <v>349</v>
      </c>
      <c r="K7521" s="10">
        <v>85</v>
      </c>
      <c r="L7521" s="10">
        <v>85</v>
      </c>
      <c r="M7521" s="6" t="s">
        <v>375</v>
      </c>
    </row>
    <row r="7522" spans="1:13">
      <c r="A7522" s="6">
        <v>2026</v>
      </c>
      <c r="B7522" s="6">
        <v>4</v>
      </c>
      <c r="C7522" s="6" t="s">
        <v>62</v>
      </c>
      <c r="D7522" s="6" t="s">
        <v>322</v>
      </c>
      <c r="E7522" s="6" t="s">
        <v>369</v>
      </c>
      <c r="F7522" s="6" t="str">
        <f>IF($M7522="PADD I","PADD 1",IF($M7522="PADD II","PADD 2",IF($M7522="PADD III","PADD 3",IF($M7522="PADD IV","PADD 4",IF($M7522="PADD V","PADD 5","")))))</f>
        <v>PADD 2</v>
      </c>
      <c r="G7522" s="6">
        <f>IF(AND($H7522="ATMOS DISTILLATION",ISNUMBER(SEARCH("VPS",$I7522))=FALSE,LEFT($I7522,6)&lt;&gt;"VACUUM"),"CDU",IF($H7522="FLUID CAT CRACKING","FCC",IF(OR($H7522="HYDROCRACKING",$H7522="RESID_HYDROCRACKING"),"Hydrocracker",IF($H7522="REFORMING","Reformer",""))))</f>
        <v/>
      </c>
      <c r="H7522" s="6" t="s">
        <v>378</v>
      </c>
      <c r="I7522" s="6" t="s">
        <v>419</v>
      </c>
      <c r="J7522" s="6" t="s">
        <v>349</v>
      </c>
      <c r="K7522" s="10">
        <v>84</v>
      </c>
      <c r="L7522" s="10">
        <v>105</v>
      </c>
      <c r="M7522" s="6" t="s">
        <v>375</v>
      </c>
    </row>
    <row r="7523" spans="1:13">
      <c r="A7523" s="6">
        <v>2026</v>
      </c>
      <c r="B7523" s="6">
        <v>4</v>
      </c>
      <c r="C7523" s="6" t="s">
        <v>62</v>
      </c>
      <c r="D7523" s="6" t="s">
        <v>526</v>
      </c>
      <c r="E7523" s="6" t="s">
        <v>405</v>
      </c>
      <c r="F7523" s="6" t="str">
        <f>IF($M7523="PADD I","PADD 1",IF($M7523="PADD II","PADD 2",IF($M7523="PADD III","PADD 3",IF($M7523="PADD IV","PADD 4",IF($M7523="PADD V","PADD 5","")))))</f>
        <v>PADD 3</v>
      </c>
      <c r="G7523" s="6" t="str">
        <f>IF(AND($H7523="ATMOS DISTILLATION",ISNUMBER(SEARCH("VPS",$I7523))=FALSE,LEFT($I7523,6)&lt;&gt;"VACUUM"),"CDU",IF($H7523="FLUID CAT CRACKING","FCC",IF(OR($H7523="HYDROCRACKING",$H7523="RESID_HYDROCRACKING"),"Hydrocracker",IF($H7523="REFORMING","Reformer",""))))</f>
        <v>FCC</v>
      </c>
      <c r="H7523" s="6" t="s">
        <v>376</v>
      </c>
      <c r="I7523" s="6" t="s">
        <v>344</v>
      </c>
      <c r="J7523" s="6" t="s">
        <v>345</v>
      </c>
      <c r="K7523" s="10">
        <v>80</v>
      </c>
      <c r="L7523" s="10">
        <v>80</v>
      </c>
      <c r="M7523" s="6" t="s">
        <v>371</v>
      </c>
    </row>
    <row r="7524" spans="1:13">
      <c r="A7524" s="6">
        <v>2026</v>
      </c>
      <c r="B7524" s="6">
        <v>4</v>
      </c>
      <c r="C7524" s="6" t="s">
        <v>62</v>
      </c>
      <c r="D7524" s="6" t="s">
        <v>526</v>
      </c>
      <c r="E7524" s="6" t="s">
        <v>405</v>
      </c>
      <c r="F7524" s="6" t="str">
        <f>IF($M7524="PADD I","PADD 1",IF($M7524="PADD II","PADD 2",IF($M7524="PADD III","PADD 3",IF($M7524="PADD IV","PADD 4",IF($M7524="PADD V","PADD 5","")))))</f>
        <v>PADD 3</v>
      </c>
      <c r="G7524" s="6">
        <f>IF(AND($H7524="ATMOS DISTILLATION",ISNUMBER(SEARCH("VPS",$I7524))=FALSE,LEFT($I7524,6)&lt;&gt;"VACUUM"),"CDU",IF($H7524="FLUID CAT CRACKING","FCC",IF(OR($H7524="HYDROCRACKING",$H7524="RESID_HYDROCRACKING"),"Hydrocracker",IF($H7524="REFORMING","Reformer",""))))</f>
        <v/>
      </c>
      <c r="H7524" s="6" t="s">
        <v>435</v>
      </c>
      <c r="I7524" s="6" t="s">
        <v>954</v>
      </c>
      <c r="J7524" s="6" t="s">
        <v>345</v>
      </c>
      <c r="K7524" s="10">
        <v>77</v>
      </c>
      <c r="L7524" s="10">
        <v>100</v>
      </c>
      <c r="M7524" s="6" t="s">
        <v>371</v>
      </c>
    </row>
    <row r="7525" spans="1:13">
      <c r="A7525" s="6">
        <v>2026</v>
      </c>
      <c r="B7525" s="6">
        <v>4</v>
      </c>
      <c r="C7525" s="6" t="s">
        <v>62</v>
      </c>
      <c r="D7525" s="6" t="s">
        <v>934</v>
      </c>
      <c r="E7525" s="6" t="s">
        <v>388</v>
      </c>
      <c r="F7525" s="6" t="str">
        <f>IF($M7525="PADD I","PADD 1",IF($M7525="PADD II","PADD 2",IF($M7525="PADD III","PADD 3",IF($M7525="PADD IV","PADD 4",IF($M7525="PADD V","PADD 5","")))))</f>
        <v>PADD 3</v>
      </c>
      <c r="G7525" s="6" t="str">
        <f>IF(AND($H7525="ATMOS DISTILLATION",ISNUMBER(SEARCH("VPS",$I7525))=FALSE,LEFT($I7525,6)&lt;&gt;"VACUUM"),"CDU",IF($H7525="FLUID CAT CRACKING","FCC",IF(OR($H7525="HYDROCRACKING",$H7525="RESID_HYDROCRACKING"),"Hydrocracker",IF($H7525="REFORMING","Reformer",""))))</f>
        <v>CDU</v>
      </c>
      <c r="H7525" s="6" t="s">
        <v>38</v>
      </c>
      <c r="I7525" s="6" t="s">
        <v>135</v>
      </c>
      <c r="J7525" s="6" t="s">
        <v>349</v>
      </c>
      <c r="K7525" s="10">
        <v>75</v>
      </c>
      <c r="L7525" s="10">
        <v>75</v>
      </c>
      <c r="M7525" s="6" t="s">
        <v>371</v>
      </c>
    </row>
    <row r="7526" spans="1:13">
      <c r="A7526" s="6">
        <v>2026</v>
      </c>
      <c r="B7526" s="6">
        <v>4</v>
      </c>
      <c r="C7526" s="6" t="s">
        <v>62</v>
      </c>
      <c r="D7526" s="6" t="s">
        <v>526</v>
      </c>
      <c r="E7526" s="6" t="s">
        <v>405</v>
      </c>
      <c r="F7526" s="6" t="str">
        <f>IF($M7526="PADD I","PADD 1",IF($M7526="PADD II","PADD 2",IF($M7526="PADD III","PADD 3",IF($M7526="PADD IV","PADD 4",IF($M7526="PADD V","PADD 5","")))))</f>
        <v>PADD 3</v>
      </c>
      <c r="G7526" s="6" t="str">
        <f>IF(AND($H7526="ATMOS DISTILLATION",ISNUMBER(SEARCH("VPS",$I7526))=FALSE,LEFT($I7526,6)&lt;&gt;"VACUUM"),"CDU",IF($H7526="FLUID CAT CRACKING","FCC",IF(OR($H7526="HYDROCRACKING",$H7526="RESID_HYDROCRACKING"),"Hydrocracker",IF($H7526="REFORMING","Reformer",""))))</f>
        <v>FCC</v>
      </c>
      <c r="H7526" s="6" t="s">
        <v>376</v>
      </c>
      <c r="I7526" s="6" t="s">
        <v>344</v>
      </c>
      <c r="J7526" s="6" t="s">
        <v>345</v>
      </c>
      <c r="K7526" s="10">
        <v>75</v>
      </c>
      <c r="L7526" s="10">
        <v>75</v>
      </c>
      <c r="M7526" s="6" t="s">
        <v>371</v>
      </c>
    </row>
    <row r="7527" spans="1:13">
      <c r="A7527" s="6">
        <v>2026</v>
      </c>
      <c r="B7527" s="6">
        <v>4</v>
      </c>
      <c r="C7527" s="6" t="s">
        <v>62</v>
      </c>
      <c r="D7527" s="6" t="s">
        <v>326</v>
      </c>
      <c r="E7527" s="6" t="s">
        <v>385</v>
      </c>
      <c r="F7527" s="6" t="str">
        <f>IF($M7527="PADD I","PADD 1",IF($M7527="PADD II","PADD 2",IF($M7527="PADD III","PADD 3",IF($M7527="PADD IV","PADD 4",IF($M7527="PADD V","PADD 5","")))))</f>
        <v>PADD 5</v>
      </c>
      <c r="G7527" s="6" t="str">
        <f>IF(AND($H7527="ATMOS DISTILLATION",ISNUMBER(SEARCH("VPS",$I7527))=FALSE,LEFT($I7527,6)&lt;&gt;"VACUUM"),"CDU",IF($H7527="FLUID CAT CRACKING","FCC",IF(OR($H7527="HYDROCRACKING",$H7527="RESID_HYDROCRACKING"),"Hydrocracker",IF($H7527="REFORMING","Reformer",""))))</f>
        <v>FCC</v>
      </c>
      <c r="H7527" s="6" t="s">
        <v>376</v>
      </c>
      <c r="I7527" s="6" t="s">
        <v>504</v>
      </c>
      <c r="J7527" s="6" t="s">
        <v>345</v>
      </c>
      <c r="K7527" s="10">
        <v>70</v>
      </c>
      <c r="L7527" s="10">
        <v>70</v>
      </c>
      <c r="M7527" s="6" t="s">
        <v>386</v>
      </c>
    </row>
    <row r="7528" spans="1:13">
      <c r="A7528" s="6">
        <v>2026</v>
      </c>
      <c r="B7528" s="6">
        <v>4</v>
      </c>
      <c r="C7528" s="6" t="s">
        <v>62</v>
      </c>
      <c r="D7528" s="6" t="s">
        <v>547</v>
      </c>
      <c r="E7528" s="6" t="s">
        <v>391</v>
      </c>
      <c r="F7528" s="6" t="str">
        <f>IF($M7528="PADD I","PADD 1",IF($M7528="PADD II","PADD 2",IF($M7528="PADD III","PADD 3",IF($M7528="PADD IV","PADD 4",IF($M7528="PADD V","PADD 5","")))))</f>
        <v>PADD 5</v>
      </c>
      <c r="G7528" s="6" t="str">
        <f>IF(AND($H7528="ATMOS DISTILLATION",ISNUMBER(SEARCH("VPS",$I7528))=FALSE,LEFT($I7528,6)&lt;&gt;"VACUUM"),"CDU",IF($H7528="FLUID CAT CRACKING","FCC",IF(OR($H7528="HYDROCRACKING",$H7528="RESID_HYDROCRACKING"),"Hydrocracker",IF($H7528="REFORMING","Reformer",""))))</f>
        <v>FCC</v>
      </c>
      <c r="H7528" s="6" t="s">
        <v>376</v>
      </c>
      <c r="I7528" s="6" t="s">
        <v>105</v>
      </c>
      <c r="J7528" s="6" t="s">
        <v>345</v>
      </c>
      <c r="K7528" s="10">
        <v>69.3</v>
      </c>
      <c r="L7528" s="10">
        <v>90</v>
      </c>
      <c r="M7528" s="6" t="s">
        <v>386</v>
      </c>
    </row>
    <row r="7529" spans="1:13">
      <c r="A7529" s="6">
        <v>2026</v>
      </c>
      <c r="B7529" s="6">
        <v>4</v>
      </c>
      <c r="C7529" s="6" t="s">
        <v>62</v>
      </c>
      <c r="D7529" s="6" t="s">
        <v>322</v>
      </c>
      <c r="E7529" s="6" t="s">
        <v>369</v>
      </c>
      <c r="F7529" s="6" t="str">
        <f>IF($M7529="PADD I","PADD 1",IF($M7529="PADD II","PADD 2",IF($M7529="PADD III","PADD 3",IF($M7529="PADD IV","PADD 4",IF($M7529="PADD V","PADD 5","")))))</f>
        <v>PADD 2</v>
      </c>
      <c r="G7529" s="6">
        <f>IF(AND($H7529="ATMOS DISTILLATION",ISNUMBER(SEARCH("VPS",$I7529))=FALSE,LEFT($I7529,6)&lt;&gt;"VACUUM"),"CDU",IF($H7529="FLUID CAT CRACKING","FCC",IF(OR($H7529="HYDROCRACKING",$H7529="RESID_HYDROCRACKING"),"Hydrocracker",IF($H7529="REFORMING","Reformer",""))))</f>
        <v/>
      </c>
      <c r="H7529" s="6" t="s">
        <v>435</v>
      </c>
      <c r="I7529" s="6" t="s">
        <v>441</v>
      </c>
      <c r="J7529" s="6" t="s">
        <v>349</v>
      </c>
      <c r="K7529" s="10">
        <v>65</v>
      </c>
      <c r="L7529" s="10">
        <v>65</v>
      </c>
      <c r="M7529" s="6" t="s">
        <v>375</v>
      </c>
    </row>
    <row r="7530" spans="1:13">
      <c r="A7530" s="6">
        <v>2026</v>
      </c>
      <c r="B7530" s="6">
        <v>4</v>
      </c>
      <c r="C7530" s="6" t="s">
        <v>62</v>
      </c>
      <c r="D7530" s="6" t="s">
        <v>48</v>
      </c>
      <c r="E7530" s="6" t="s">
        <v>388</v>
      </c>
      <c r="F7530" s="6" t="str">
        <f>IF($M7530="PADD I","PADD 1",IF($M7530="PADD II","PADD 2",IF($M7530="PADD III","PADD 3",IF($M7530="PADD IV","PADD 4",IF($M7530="PADD V","PADD 5","")))))</f>
        <v>PADD 2</v>
      </c>
      <c r="G7530" s="6">
        <f>IF(AND($H7530="ATMOS DISTILLATION",ISNUMBER(SEARCH("VPS",$I7530))=FALSE,LEFT($I7530,6)&lt;&gt;"VACUUM"),"CDU",IF($H7530="FLUID CAT CRACKING","FCC",IF(OR($H7530="HYDROCRACKING",$H7530="RESID_HYDROCRACKING"),"Hydrocracker",IF($H7530="REFORMING","Reformer",""))))</f>
        <v/>
      </c>
      <c r="H7530" s="6" t="s">
        <v>378</v>
      </c>
      <c r="I7530" s="6" t="s">
        <v>431</v>
      </c>
      <c r="J7530" s="6" t="s">
        <v>349</v>
      </c>
      <c r="K7530" s="10">
        <v>65</v>
      </c>
      <c r="L7530" s="10">
        <v>65</v>
      </c>
      <c r="M7530" s="6" t="s">
        <v>375</v>
      </c>
    </row>
    <row r="7531" spans="1:13">
      <c r="A7531" s="6">
        <v>2026</v>
      </c>
      <c r="B7531" s="6">
        <v>4</v>
      </c>
      <c r="C7531" s="6" t="s">
        <v>62</v>
      </c>
      <c r="D7531" s="6" t="s">
        <v>326</v>
      </c>
      <c r="E7531" s="6" t="s">
        <v>385</v>
      </c>
      <c r="F7531" s="6" t="str">
        <f>IF($M7531="PADD I","PADD 1",IF($M7531="PADD II","PADD 2",IF($M7531="PADD III","PADD 3",IF($M7531="PADD IV","PADD 4",IF($M7531="PADD V","PADD 5","")))))</f>
        <v>PADD 5</v>
      </c>
      <c r="G7531" s="6" t="str">
        <f>IF(AND($H7531="ATMOS DISTILLATION",ISNUMBER(SEARCH("VPS",$I7531))=FALSE,LEFT($I7531,6)&lt;&gt;"VACUUM"),"CDU",IF($H7531="FLUID CAT CRACKING","FCC",IF(OR($H7531="HYDROCRACKING",$H7531="RESID_HYDROCRACKING"),"Hydrocracker",IF($H7531="REFORMING","Reformer",""))))</f>
        <v>CDU</v>
      </c>
      <c r="H7531" s="6" t="s">
        <v>38</v>
      </c>
      <c r="I7531" s="6" t="s">
        <v>93</v>
      </c>
      <c r="J7531" s="6" t="s">
        <v>345</v>
      </c>
      <c r="K7531" s="10">
        <v>60</v>
      </c>
      <c r="L7531" s="10">
        <v>60</v>
      </c>
      <c r="M7531" s="6" t="s">
        <v>386</v>
      </c>
    </row>
    <row r="7532" spans="1:13">
      <c r="A7532" s="6">
        <v>2026</v>
      </c>
      <c r="B7532" s="6">
        <v>4</v>
      </c>
      <c r="C7532" s="6" t="s">
        <v>62</v>
      </c>
      <c r="D7532" s="6" t="s">
        <v>328</v>
      </c>
      <c r="E7532" s="6" t="s">
        <v>416</v>
      </c>
      <c r="F7532" s="6" t="str">
        <f>IF($M7532="PADD I","PADD 1",IF($M7532="PADD II","PADD 2",IF($M7532="PADD III","PADD 3",IF($M7532="PADD IV","PADD 4",IF($M7532="PADD V","PADD 5","")))))</f>
        <v>PADD 2</v>
      </c>
      <c r="G7532" s="6" t="str">
        <f>IF(AND($H7532="ATMOS DISTILLATION",ISNUMBER(SEARCH("VPS",$I7532))=FALSE,LEFT($I7532,6)&lt;&gt;"VACUUM"),"CDU",IF($H7532="FLUID CAT CRACKING","FCC",IF(OR($H7532="HYDROCRACKING",$H7532="RESID_HYDROCRACKING"),"Hydrocracker",IF($H7532="REFORMING","Reformer",""))))</f>
        <v>CDU</v>
      </c>
      <c r="H7532" s="6" t="s">
        <v>38</v>
      </c>
      <c r="I7532" s="6" t="s">
        <v>91</v>
      </c>
      <c r="J7532" s="6" t="s">
        <v>349</v>
      </c>
      <c r="K7532" s="10">
        <v>60</v>
      </c>
      <c r="L7532" s="10">
        <v>60</v>
      </c>
      <c r="M7532" s="6" t="s">
        <v>375</v>
      </c>
    </row>
    <row r="7533" spans="1:13">
      <c r="A7533" s="6">
        <v>2026</v>
      </c>
      <c r="B7533" s="6">
        <v>4</v>
      </c>
      <c r="C7533" s="6" t="s">
        <v>62</v>
      </c>
      <c r="D7533" s="6" t="s">
        <v>328</v>
      </c>
      <c r="E7533" s="6" t="s">
        <v>416</v>
      </c>
      <c r="F7533" s="6" t="str">
        <f>IF($M7533="PADD I","PADD 1",IF($M7533="PADD II","PADD 2",IF($M7533="PADD III","PADD 3",IF($M7533="PADD IV","PADD 4",IF($M7533="PADD V","PADD 5","")))))</f>
        <v>PADD 2</v>
      </c>
      <c r="G7533" s="6" t="str">
        <f>IF(AND($H7533="ATMOS DISTILLATION",ISNUMBER(SEARCH("VPS",$I7533))=FALSE,LEFT($I7533,6)&lt;&gt;"VACUUM"),"CDU",IF($H7533="FLUID CAT CRACKING","FCC",IF(OR($H7533="HYDROCRACKING",$H7533="RESID_HYDROCRACKING"),"Hydrocracker",IF($H7533="REFORMING","Reformer",""))))</f>
        <v>FCC</v>
      </c>
      <c r="H7533" s="6" t="s">
        <v>376</v>
      </c>
      <c r="I7533" s="6" t="s">
        <v>1241</v>
      </c>
      <c r="J7533" s="6" t="s">
        <v>349</v>
      </c>
      <c r="K7533" s="10">
        <v>58</v>
      </c>
      <c r="L7533" s="10">
        <v>58</v>
      </c>
      <c r="M7533" s="6" t="s">
        <v>375</v>
      </c>
    </row>
    <row r="7534" spans="1:13">
      <c r="A7534" s="6">
        <v>2026</v>
      </c>
      <c r="B7534" s="6">
        <v>4</v>
      </c>
      <c r="C7534" s="6" t="s">
        <v>62</v>
      </c>
      <c r="D7534" s="6" t="s">
        <v>53</v>
      </c>
      <c r="E7534" s="6" t="s">
        <v>543</v>
      </c>
      <c r="F7534" s="6" t="str">
        <f>IF($M7534="PADD I","PADD 1",IF($M7534="PADD II","PADD 2",IF($M7534="PADD III","PADD 3",IF($M7534="PADD IV","PADD 4",IF($M7534="PADD V","PADD 5","")))))</f>
        <v>PADD 5</v>
      </c>
      <c r="G7534" s="6">
        <f>IF(AND($H7534="ATMOS DISTILLATION",ISNUMBER(SEARCH("VPS",$I7534))=FALSE,LEFT($I7534,6)&lt;&gt;"VACUUM"),"CDU",IF($H7534="FLUID CAT CRACKING","FCC",IF(OR($H7534="HYDROCRACKING",$H7534="RESID_HYDROCRACKING"),"Hydrocracker",IF($H7534="REFORMING","Reformer",""))))</f>
        <v/>
      </c>
      <c r="H7534" s="6" t="s">
        <v>637</v>
      </c>
      <c r="I7534" s="6" t="s">
        <v>441</v>
      </c>
      <c r="J7534" s="6" t="s">
        <v>345</v>
      </c>
      <c r="K7534" s="10">
        <v>55</v>
      </c>
      <c r="L7534" s="10">
        <v>55</v>
      </c>
      <c r="M7534" s="6" t="s">
        <v>386</v>
      </c>
    </row>
    <row r="7535" spans="1:13">
      <c r="A7535" s="6">
        <v>2026</v>
      </c>
      <c r="B7535" s="6">
        <v>4</v>
      </c>
      <c r="C7535" s="6" t="s">
        <v>62</v>
      </c>
      <c r="D7535" s="6" t="s">
        <v>48</v>
      </c>
      <c r="E7535" s="6" t="s">
        <v>388</v>
      </c>
      <c r="F7535" s="6" t="str">
        <f>IF($M7535="PADD I","PADD 1",IF($M7535="PADD II","PADD 2",IF($M7535="PADD III","PADD 3",IF($M7535="PADD IV","PADD 4",IF($M7535="PADD V","PADD 5","")))))</f>
        <v>PADD 2</v>
      </c>
      <c r="G7535" s="6">
        <f>IF(AND($H7535="ATMOS DISTILLATION",ISNUMBER(SEARCH("VPS",$I7535))=FALSE,LEFT($I7535,6)&lt;&gt;"VACUUM"),"CDU",IF($H7535="FLUID CAT CRACKING","FCC",IF(OR($H7535="HYDROCRACKING",$H7535="RESID_HYDROCRACKING"),"Hydrocracker",IF($H7535="REFORMING","Reformer",""))))</f>
        <v/>
      </c>
      <c r="H7535" s="6" t="s">
        <v>43</v>
      </c>
      <c r="I7535" s="6" t="s">
        <v>741</v>
      </c>
      <c r="J7535" s="6" t="s">
        <v>349</v>
      </c>
      <c r="K7535" s="10">
        <v>53</v>
      </c>
      <c r="L7535" s="10">
        <v>53</v>
      </c>
      <c r="M7535" s="6" t="s">
        <v>375</v>
      </c>
    </row>
    <row r="7536" spans="1:13">
      <c r="A7536" s="6">
        <v>2026</v>
      </c>
      <c r="B7536" s="6">
        <v>4</v>
      </c>
      <c r="C7536" s="6" t="s">
        <v>62</v>
      </c>
      <c r="D7536" s="6" t="s">
        <v>52</v>
      </c>
      <c r="E7536" s="6" t="s">
        <v>388</v>
      </c>
      <c r="F7536" s="6" t="str">
        <f>IF($M7536="PADD I","PADD 1",IF($M7536="PADD II","PADD 2",IF($M7536="PADD III","PADD 3",IF($M7536="PADD IV","PADD 4",IF($M7536="PADD V","PADD 5","")))))</f>
        <v>PADD 5</v>
      </c>
      <c r="G7536" s="6" t="str">
        <f>IF(AND($H7536="ATMOS DISTILLATION",ISNUMBER(SEARCH("VPS",$I7536))=FALSE,LEFT($I7536,6)&lt;&gt;"VACUUM"),"CDU",IF($H7536="FLUID CAT CRACKING","FCC",IF(OR($H7536="HYDROCRACKING",$H7536="RESID_HYDROCRACKING"),"Hydrocracker",IF($H7536="REFORMING","Reformer",""))))</f>
        <v>CDU</v>
      </c>
      <c r="H7536" s="6" t="s">
        <v>38</v>
      </c>
      <c r="I7536" s="6" t="s">
        <v>81</v>
      </c>
      <c r="J7536" s="6" t="s">
        <v>349</v>
      </c>
      <c r="K7536" s="10">
        <v>50.4</v>
      </c>
      <c r="L7536" s="10">
        <v>72</v>
      </c>
      <c r="M7536" s="6" t="s">
        <v>386</v>
      </c>
    </row>
    <row r="7537" spans="1:13">
      <c r="A7537" s="6">
        <v>2026</v>
      </c>
      <c r="B7537" s="6">
        <v>4</v>
      </c>
      <c r="C7537" s="6" t="s">
        <v>62</v>
      </c>
      <c r="D7537" s="6" t="s">
        <v>723</v>
      </c>
      <c r="E7537" s="6" t="s">
        <v>724</v>
      </c>
      <c r="F7537" s="6" t="str">
        <f>IF($M7537="PADD I","PADD 1",IF($M7537="PADD II","PADD 2",IF($M7537="PADD III","PADD 3",IF($M7537="PADD IV","PADD 4",IF($M7537="PADD V","PADD 5","")))))</f>
        <v>PADD 4</v>
      </c>
      <c r="G7537" s="6" t="str">
        <f>IF(AND($H7537="ATMOS DISTILLATION",ISNUMBER(SEARCH("VPS",$I7537))=FALSE,LEFT($I7537,6)&lt;&gt;"VACUUM"),"CDU",IF($H7537="FLUID CAT CRACKING","FCC",IF(OR($H7537="HYDROCRACKING",$H7537="RESID_HYDROCRACKING"),"Hydrocracker",IF($H7537="REFORMING","Reformer",""))))</f>
        <v>CDU</v>
      </c>
      <c r="H7537" s="6" t="s">
        <v>38</v>
      </c>
      <c r="I7537" s="6" t="s">
        <v>81</v>
      </c>
      <c r="J7537" s="6" t="s">
        <v>349</v>
      </c>
      <c r="K7537" s="10">
        <v>48.51</v>
      </c>
      <c r="L7537" s="10">
        <v>63</v>
      </c>
      <c r="M7537" s="6" t="s">
        <v>430</v>
      </c>
    </row>
    <row r="7538" spans="1:13">
      <c r="A7538" s="6">
        <v>2026</v>
      </c>
      <c r="B7538" s="6">
        <v>4</v>
      </c>
      <c r="C7538" s="6" t="s">
        <v>62</v>
      </c>
      <c r="D7538" s="6" t="s">
        <v>526</v>
      </c>
      <c r="E7538" s="6" t="s">
        <v>405</v>
      </c>
      <c r="F7538" s="6" t="str">
        <f>IF($M7538="PADD I","PADD 1",IF($M7538="PADD II","PADD 2",IF($M7538="PADD III","PADD 3",IF($M7538="PADD IV","PADD 4",IF($M7538="PADD V","PADD 5","")))))</f>
        <v>PADD 3</v>
      </c>
      <c r="G7538" s="6">
        <f>IF(AND($H7538="ATMOS DISTILLATION",ISNUMBER(SEARCH("VPS",$I7538))=FALSE,LEFT($I7538,6)&lt;&gt;"VACUUM"),"CDU",IF($H7538="FLUID CAT CRACKING","FCC",IF(OR($H7538="HYDROCRACKING",$H7538="RESID_HYDROCRACKING"),"Hydrocracker",IF($H7538="REFORMING","Reformer",""))))</f>
        <v/>
      </c>
      <c r="H7538" s="6" t="s">
        <v>43</v>
      </c>
      <c r="I7538" s="6" t="s">
        <v>1076</v>
      </c>
      <c r="J7538" s="6" t="s">
        <v>345</v>
      </c>
      <c r="K7538" s="10">
        <v>47</v>
      </c>
      <c r="L7538" s="10">
        <v>47</v>
      </c>
      <c r="M7538" s="6" t="s">
        <v>371</v>
      </c>
    </row>
    <row r="7539" spans="1:13">
      <c r="A7539" s="6">
        <v>2026</v>
      </c>
      <c r="B7539" s="6">
        <v>4</v>
      </c>
      <c r="C7539" s="6" t="s">
        <v>62</v>
      </c>
      <c r="D7539" s="6" t="s">
        <v>48</v>
      </c>
      <c r="E7539" s="6" t="s">
        <v>388</v>
      </c>
      <c r="F7539" s="6" t="str">
        <f>IF($M7539="PADD I","PADD 1",IF($M7539="PADD II","PADD 2",IF($M7539="PADD III","PADD 3",IF($M7539="PADD IV","PADD 4",IF($M7539="PADD V","PADD 5","")))))</f>
        <v>PADD 2</v>
      </c>
      <c r="G7539" s="6" t="str">
        <f>IF(AND($H7539="ATMOS DISTILLATION",ISNUMBER(SEARCH("VPS",$I7539))=FALSE,LEFT($I7539,6)&lt;&gt;"VACUUM"),"CDU",IF($H7539="FLUID CAT CRACKING","FCC",IF(OR($H7539="HYDROCRACKING",$H7539="RESID_HYDROCRACKING"),"Hydrocracker",IF($H7539="REFORMING","Reformer",""))))</f>
        <v>Hydrocracker</v>
      </c>
      <c r="H7539" s="6" t="s">
        <v>444</v>
      </c>
      <c r="I7539" s="6" t="s">
        <v>758</v>
      </c>
      <c r="J7539" s="6" t="s">
        <v>349</v>
      </c>
      <c r="K7539" s="10">
        <v>44</v>
      </c>
      <c r="L7539" s="10">
        <v>44</v>
      </c>
      <c r="M7539" s="6" t="s">
        <v>375</v>
      </c>
    </row>
    <row r="7540" spans="1:13">
      <c r="A7540" s="6">
        <v>2026</v>
      </c>
      <c r="B7540" s="6">
        <v>4</v>
      </c>
      <c r="C7540" s="6" t="s">
        <v>62</v>
      </c>
      <c r="D7540" s="6" t="s">
        <v>48</v>
      </c>
      <c r="E7540" s="6" t="s">
        <v>388</v>
      </c>
      <c r="F7540" s="6" t="str">
        <f>IF($M7540="PADD I","PADD 1",IF($M7540="PADD II","PADD 2",IF($M7540="PADD III","PADD 3",IF($M7540="PADD IV","PADD 4",IF($M7540="PADD V","PADD 5","")))))</f>
        <v>PADD 2</v>
      </c>
      <c r="G7540" s="6" t="str">
        <f>IF(AND($H7540="ATMOS DISTILLATION",ISNUMBER(SEARCH("VPS",$I7540))=FALSE,LEFT($I7540,6)&lt;&gt;"VACUUM"),"CDU",IF($H7540="FLUID CAT CRACKING","FCC",IF(OR($H7540="HYDROCRACKING",$H7540="RESID_HYDROCRACKING"),"Hydrocracker",IF($H7540="REFORMING","Reformer",""))))</f>
        <v>Reformer</v>
      </c>
      <c r="H7540" s="6" t="s">
        <v>421</v>
      </c>
      <c r="I7540" s="6" t="s">
        <v>721</v>
      </c>
      <c r="J7540" s="6" t="s">
        <v>349</v>
      </c>
      <c r="K7540" s="10">
        <v>39</v>
      </c>
      <c r="L7540" s="10">
        <v>39</v>
      </c>
      <c r="M7540" s="6" t="s">
        <v>375</v>
      </c>
    </row>
    <row r="7541" spans="1:13">
      <c r="A7541" s="6">
        <v>2026</v>
      </c>
      <c r="B7541" s="6">
        <v>4</v>
      </c>
      <c r="C7541" s="6" t="s">
        <v>62</v>
      </c>
      <c r="D7541" s="6" t="s">
        <v>53</v>
      </c>
      <c r="E7541" s="6" t="s">
        <v>543</v>
      </c>
      <c r="F7541" s="6" t="str">
        <f>IF($M7541="PADD I","PADD 1",IF($M7541="PADD II","PADD 2",IF($M7541="PADD III","PADD 3",IF($M7541="PADD IV","PADD 4",IF($M7541="PADD V","PADD 5","")))))</f>
        <v>PADD 5</v>
      </c>
      <c r="G7541" s="6" t="str">
        <f>IF(AND($H7541="ATMOS DISTILLATION",ISNUMBER(SEARCH("VPS",$I7541))=FALSE,LEFT($I7541,6)&lt;&gt;"VACUUM"),"CDU",IF($H7541="FLUID CAT CRACKING","FCC",IF(OR($H7541="HYDROCRACKING",$H7541="RESID_HYDROCRACKING"),"Hydrocracker",IF($H7541="REFORMING","Reformer",""))))</f>
        <v>Hydrocracker</v>
      </c>
      <c r="H7541" s="6" t="s">
        <v>444</v>
      </c>
      <c r="I7541" s="6" t="s">
        <v>14</v>
      </c>
      <c r="J7541" s="6" t="s">
        <v>349</v>
      </c>
      <c r="K7541" s="10">
        <v>38.5</v>
      </c>
      <c r="L7541" s="10">
        <v>55</v>
      </c>
      <c r="M7541" s="6" t="s">
        <v>386</v>
      </c>
    </row>
    <row r="7542" spans="1:13">
      <c r="A7542" s="6">
        <v>2026</v>
      </c>
      <c r="B7542" s="6">
        <v>4</v>
      </c>
      <c r="C7542" s="6" t="s">
        <v>62</v>
      </c>
      <c r="D7542" s="6" t="s">
        <v>48</v>
      </c>
      <c r="E7542" s="6" t="s">
        <v>388</v>
      </c>
      <c r="F7542" s="6" t="str">
        <f>IF($M7542="PADD I","PADD 1",IF($M7542="PADD II","PADD 2",IF($M7542="PADD III","PADD 3",IF($M7542="PADD IV","PADD 4",IF($M7542="PADD V","PADD 5","")))))</f>
        <v>PADD 2</v>
      </c>
      <c r="G7542" s="6">
        <f>IF(AND($H7542="ATMOS DISTILLATION",ISNUMBER(SEARCH("VPS",$I7542))=FALSE,LEFT($I7542,6)&lt;&gt;"VACUUM"),"CDU",IF($H7542="FLUID CAT CRACKING","FCC",IF(OR($H7542="HYDROCRACKING",$H7542="RESID_HYDROCRACKING"),"Hydrocracker",IF($H7542="REFORMING","Reformer",""))))</f>
        <v/>
      </c>
      <c r="H7542" s="6" t="s">
        <v>43</v>
      </c>
      <c r="I7542" s="6" t="s">
        <v>726</v>
      </c>
      <c r="J7542" s="6" t="s">
        <v>349</v>
      </c>
      <c r="K7542" s="10">
        <v>38</v>
      </c>
      <c r="L7542" s="10">
        <v>38</v>
      </c>
      <c r="M7542" s="6" t="s">
        <v>375</v>
      </c>
    </row>
    <row r="7543" spans="1:13">
      <c r="A7543" s="6">
        <v>2026</v>
      </c>
      <c r="B7543" s="6">
        <v>4</v>
      </c>
      <c r="C7543" s="6" t="s">
        <v>62</v>
      </c>
      <c r="D7543" s="6" t="s">
        <v>526</v>
      </c>
      <c r="E7543" s="6" t="s">
        <v>405</v>
      </c>
      <c r="F7543" s="6" t="str">
        <f>IF($M7543="PADD I","PADD 1",IF($M7543="PADD II","PADD 2",IF($M7543="PADD III","PADD 3",IF($M7543="PADD IV","PADD 4",IF($M7543="PADD V","PADD 5","")))))</f>
        <v>PADD 3</v>
      </c>
      <c r="G7543" s="6">
        <f>IF(AND($H7543="ATMOS DISTILLATION",ISNUMBER(SEARCH("VPS",$I7543))=FALSE,LEFT($I7543,6)&lt;&gt;"VACUUM"),"CDU",IF($H7543="FLUID CAT CRACKING","FCC",IF(OR($H7543="HYDROCRACKING",$H7543="RESID_HYDROCRACKING"),"Hydrocracker",IF($H7543="REFORMING","Reformer",""))))</f>
        <v/>
      </c>
      <c r="H7543" s="6" t="s">
        <v>43</v>
      </c>
      <c r="I7543" s="6" t="s">
        <v>1222</v>
      </c>
      <c r="J7543" s="6" t="s">
        <v>349</v>
      </c>
      <c r="K7543" s="10">
        <v>37.35</v>
      </c>
      <c r="L7543" s="10">
        <v>45</v>
      </c>
      <c r="M7543" s="6" t="s">
        <v>371</v>
      </c>
    </row>
    <row r="7544" spans="1:13">
      <c r="A7544" s="6">
        <v>2026</v>
      </c>
      <c r="B7544" s="6">
        <v>4</v>
      </c>
      <c r="C7544" s="6" t="s">
        <v>62</v>
      </c>
      <c r="D7544" s="6" t="s">
        <v>1063</v>
      </c>
      <c r="E7544" s="6" t="s">
        <v>388</v>
      </c>
      <c r="F7544" s="6" t="str">
        <f>IF($M7544="PADD I","PADD 1",IF($M7544="PADD II","PADD 2",IF($M7544="PADD III","PADD 3",IF($M7544="PADD IV","PADD 4",IF($M7544="PADD V","PADD 5","")))))</f>
        <v>PADD 2</v>
      </c>
      <c r="G7544" s="6">
        <f>IF(AND($H7544="ATMOS DISTILLATION",ISNUMBER(SEARCH("VPS",$I7544))=FALSE,LEFT($I7544,6)&lt;&gt;"VACUUM"),"CDU",IF($H7544="FLUID CAT CRACKING","FCC",IF(OR($H7544="HYDROCRACKING",$H7544="RESID_HYDROCRACKING"),"Hydrocracker",IF($H7544="REFORMING","Reformer",""))))</f>
        <v/>
      </c>
      <c r="H7544" s="6" t="s">
        <v>43</v>
      </c>
      <c r="I7544" s="6" t="s">
        <v>493</v>
      </c>
      <c r="J7544" s="6" t="s">
        <v>345</v>
      </c>
      <c r="K7544" s="10">
        <v>34</v>
      </c>
      <c r="L7544" s="10">
        <v>34</v>
      </c>
      <c r="M7544" s="6" t="s">
        <v>375</v>
      </c>
    </row>
    <row r="7545" spans="1:13">
      <c r="A7545" s="6">
        <v>2026</v>
      </c>
      <c r="B7545" s="6">
        <v>4</v>
      </c>
      <c r="C7545" s="6" t="s">
        <v>62</v>
      </c>
      <c r="D7545" s="6" t="s">
        <v>462</v>
      </c>
      <c r="E7545" s="6" t="s">
        <v>438</v>
      </c>
      <c r="F7545" s="6" t="str">
        <f>IF($M7545="PADD I","PADD 1",IF($M7545="PADD II","PADD 2",IF($M7545="PADD III","PADD 3",IF($M7545="PADD IV","PADD 4",IF($M7545="PADD V","PADD 5","")))))</f>
        <v>PADD 4</v>
      </c>
      <c r="G7545" s="6" t="str">
        <f>IF(AND($H7545="ATMOS DISTILLATION",ISNUMBER(SEARCH("VPS",$I7545))=FALSE,LEFT($I7545,6)&lt;&gt;"VACUUM"),"CDU",IF($H7545="FLUID CAT CRACKING","FCC",IF(OR($H7545="HYDROCRACKING",$H7545="RESID_HYDROCRACKING"),"Hydrocracker",IF($H7545="REFORMING","Reformer",""))))</f>
        <v>CDU</v>
      </c>
      <c r="H7545" s="6" t="s">
        <v>38</v>
      </c>
      <c r="I7545" s="6" t="s">
        <v>123</v>
      </c>
      <c r="J7545" s="6" t="s">
        <v>349</v>
      </c>
      <c r="K7545" s="10">
        <v>33.7</v>
      </c>
      <c r="L7545" s="10">
        <v>33.7</v>
      </c>
      <c r="M7545" s="6" t="s">
        <v>430</v>
      </c>
    </row>
    <row r="7546" spans="1:13">
      <c r="A7546" s="6">
        <v>2026</v>
      </c>
      <c r="B7546" s="6">
        <v>4</v>
      </c>
      <c r="C7546" s="6" t="s">
        <v>62</v>
      </c>
      <c r="D7546" s="6" t="s">
        <v>526</v>
      </c>
      <c r="E7546" s="6" t="s">
        <v>405</v>
      </c>
      <c r="F7546" s="6" t="str">
        <f>IF($M7546="PADD I","PADD 1",IF($M7546="PADD II","PADD 2",IF($M7546="PADD III","PADD 3",IF($M7546="PADD IV","PADD 4",IF($M7546="PADD V","PADD 5","")))))</f>
        <v>PADD 3</v>
      </c>
      <c r="G7546" s="6" t="str">
        <f>IF(AND($H7546="ATMOS DISTILLATION",ISNUMBER(SEARCH("VPS",$I7546))=FALSE,LEFT($I7546,6)&lt;&gt;"VACUUM"),"CDU",IF($H7546="FLUID CAT CRACKING","FCC",IF(OR($H7546="HYDROCRACKING",$H7546="RESID_HYDROCRACKING"),"Hydrocracker",IF($H7546="REFORMING","Reformer",""))))</f>
        <v>CDU</v>
      </c>
      <c r="H7546" s="6" t="s">
        <v>38</v>
      </c>
      <c r="I7546" s="6" t="s">
        <v>641</v>
      </c>
      <c r="J7546" s="6" t="s">
        <v>345</v>
      </c>
      <c r="K7546" s="10">
        <v>32.55</v>
      </c>
      <c r="L7546" s="10">
        <v>35</v>
      </c>
      <c r="M7546" s="6" t="s">
        <v>371</v>
      </c>
    </row>
    <row r="7547" spans="1:13">
      <c r="A7547" s="6">
        <v>2026</v>
      </c>
      <c r="B7547" s="6">
        <v>4</v>
      </c>
      <c r="C7547" s="6" t="s">
        <v>62</v>
      </c>
      <c r="D7547" s="6" t="s">
        <v>322</v>
      </c>
      <c r="E7547" s="6" t="s">
        <v>369</v>
      </c>
      <c r="F7547" s="6" t="str">
        <f>IF($M7547="PADD I","PADD 1",IF($M7547="PADD II","PADD 2",IF($M7547="PADD III","PADD 3",IF($M7547="PADD IV","PADD 4",IF($M7547="PADD V","PADD 5","")))))</f>
        <v>PADD 2</v>
      </c>
      <c r="G7547" s="6">
        <f>IF(AND($H7547="ATMOS DISTILLATION",ISNUMBER(SEARCH("VPS",$I7547))=FALSE,LEFT($I7547,6)&lt;&gt;"VACUUM"),"CDU",IF($H7547="FLUID CAT CRACKING","FCC",IF(OR($H7547="HYDROCRACKING",$H7547="RESID_HYDROCRACKING"),"Hydrocracker",IF($H7547="REFORMING","Reformer",""))))</f>
        <v/>
      </c>
      <c r="H7547" s="6" t="s">
        <v>43</v>
      </c>
      <c r="I7547" s="6" t="s">
        <v>609</v>
      </c>
      <c r="J7547" s="6" t="s">
        <v>349</v>
      </c>
      <c r="K7547" s="10">
        <v>31.5</v>
      </c>
      <c r="L7547" s="10">
        <v>50</v>
      </c>
      <c r="M7547" s="6" t="s">
        <v>375</v>
      </c>
    </row>
    <row r="7548" spans="1:13">
      <c r="A7548" s="6">
        <v>2026</v>
      </c>
      <c r="B7548" s="6">
        <v>4</v>
      </c>
      <c r="C7548" s="6" t="s">
        <v>62</v>
      </c>
      <c r="D7548" s="6" t="s">
        <v>801</v>
      </c>
      <c r="E7548" s="6" t="s">
        <v>779</v>
      </c>
      <c r="F7548" s="6" t="str">
        <f>IF($M7548="PADD I","PADD 1",IF($M7548="PADD II","PADD 2",IF($M7548="PADD III","PADD 3",IF($M7548="PADD IV","PADD 4",IF($M7548="PADD V","PADD 5","")))))</f>
        <v>PADD 2</v>
      </c>
      <c r="G7548" s="6" t="str">
        <f>IF(AND($H7548="ATMOS DISTILLATION",ISNUMBER(SEARCH("VPS",$I7548))=FALSE,LEFT($I7548,6)&lt;&gt;"VACUUM"),"CDU",IF($H7548="FLUID CAT CRACKING","FCC",IF(OR($H7548="HYDROCRACKING",$H7548="RESID_HYDROCRACKING"),"Hydrocracker",IF($H7548="REFORMING","Reformer",""))))</f>
        <v>CDU</v>
      </c>
      <c r="H7548" s="6" t="s">
        <v>38</v>
      </c>
      <c r="I7548" s="6" t="s">
        <v>977</v>
      </c>
      <c r="J7548" s="6" t="s">
        <v>345</v>
      </c>
      <c r="K7548" s="10">
        <v>31.5</v>
      </c>
      <c r="L7548" s="10">
        <v>50</v>
      </c>
      <c r="M7548" s="6" t="s">
        <v>375</v>
      </c>
    </row>
    <row r="7549" spans="1:13">
      <c r="A7549" s="6">
        <v>2026</v>
      </c>
      <c r="B7549" s="6">
        <v>4</v>
      </c>
      <c r="C7549" s="6" t="s">
        <v>62</v>
      </c>
      <c r="D7549" s="6" t="s">
        <v>542</v>
      </c>
      <c r="E7549" s="6" t="s">
        <v>543</v>
      </c>
      <c r="F7549" s="6" t="str">
        <f>IF($M7549="PADD I","PADD 1",IF($M7549="PADD II","PADD 2",IF($M7549="PADD III","PADD 3",IF($M7549="PADD IV","PADD 4",IF($M7549="PADD V","PADD 5","")))))</f>
        <v>PADD 2</v>
      </c>
      <c r="G7549" s="6" t="str">
        <f>IF(AND($H7549="ATMOS DISTILLATION",ISNUMBER(SEARCH("VPS",$I7549))=FALSE,LEFT($I7549,6)&lt;&gt;"VACUUM"),"CDU",IF($H7549="FLUID CAT CRACKING","FCC",IF(OR($H7549="HYDROCRACKING",$H7549="RESID_HYDROCRACKING"),"Hydrocracker",IF($H7549="REFORMING","Reformer",""))))</f>
        <v>CDU</v>
      </c>
      <c r="H7549" s="6" t="s">
        <v>38</v>
      </c>
      <c r="I7549" s="6" t="s">
        <v>874</v>
      </c>
      <c r="J7549" s="6" t="s">
        <v>345</v>
      </c>
      <c r="K7549" s="10">
        <v>30</v>
      </c>
      <c r="L7549" s="10">
        <v>60</v>
      </c>
      <c r="M7549" s="6" t="s">
        <v>375</v>
      </c>
    </row>
    <row r="7550" spans="1:13">
      <c r="A7550" s="6">
        <v>2026</v>
      </c>
      <c r="B7550" s="6">
        <v>4</v>
      </c>
      <c r="C7550" s="6" t="s">
        <v>62</v>
      </c>
      <c r="D7550" s="6" t="s">
        <v>335</v>
      </c>
      <c r="E7550" s="6" t="s">
        <v>369</v>
      </c>
      <c r="F7550" s="6" t="str">
        <f>IF($M7550="PADD I","PADD 1",IF($M7550="PADD II","PADD 2",IF($M7550="PADD III","PADD 3",IF($M7550="PADD IV","PADD 4",IF($M7550="PADD V","PADD 5","")))))</f>
        <v>PADD 3</v>
      </c>
      <c r="G7550" s="6" t="str">
        <f>IF(AND($H7550="ATMOS DISTILLATION",ISNUMBER(SEARCH("VPS",$I7550))=FALSE,LEFT($I7550,6)&lt;&gt;"VACUUM"),"CDU",IF($H7550="FLUID CAT CRACKING","FCC",IF(OR($H7550="HYDROCRACKING",$H7550="RESID_HYDROCRACKING"),"Hydrocracker",IF($H7550="REFORMING","Reformer",""))))</f>
        <v>FCC</v>
      </c>
      <c r="H7550" s="6" t="s">
        <v>376</v>
      </c>
      <c r="I7550" s="6" t="s">
        <v>472</v>
      </c>
      <c r="J7550" s="6" t="s">
        <v>345</v>
      </c>
      <c r="K7550" s="10">
        <v>30</v>
      </c>
      <c r="L7550" s="10">
        <v>30</v>
      </c>
      <c r="M7550" s="6" t="s">
        <v>371</v>
      </c>
    </row>
    <row r="7551" spans="1:13">
      <c r="A7551" s="6">
        <v>2026</v>
      </c>
      <c r="B7551" s="6">
        <v>4</v>
      </c>
      <c r="C7551" s="6" t="s">
        <v>62</v>
      </c>
      <c r="D7551" s="6" t="s">
        <v>53</v>
      </c>
      <c r="E7551" s="6" t="s">
        <v>543</v>
      </c>
      <c r="F7551" s="6" t="str">
        <f>IF($M7551="PADD I","PADD 1",IF($M7551="PADD II","PADD 2",IF($M7551="PADD III","PADD 3",IF($M7551="PADD IV","PADD 4",IF($M7551="PADD V","PADD 5","")))))</f>
        <v>PADD 5</v>
      </c>
      <c r="G7551" s="6" t="str">
        <f>IF(AND($H7551="ATMOS DISTILLATION",ISNUMBER(SEARCH("VPS",$I7551))=FALSE,LEFT($I7551,6)&lt;&gt;"VACUUM"),"CDU",IF($H7551="FLUID CAT CRACKING","FCC",IF(OR($H7551="HYDROCRACKING",$H7551="RESID_HYDROCRACKING"),"Hydrocracker",IF($H7551="REFORMING","Reformer",""))))</f>
        <v>Reformer</v>
      </c>
      <c r="H7551" s="6" t="s">
        <v>421</v>
      </c>
      <c r="I7551" s="6" t="s">
        <v>559</v>
      </c>
      <c r="J7551" s="6" t="s">
        <v>349</v>
      </c>
      <c r="K7551" s="10">
        <v>30</v>
      </c>
      <c r="L7551" s="10">
        <v>50</v>
      </c>
      <c r="M7551" s="6" t="s">
        <v>386</v>
      </c>
    </row>
    <row r="7552" spans="1:13">
      <c r="A7552" s="6">
        <v>2026</v>
      </c>
      <c r="B7552" s="6">
        <v>4</v>
      </c>
      <c r="C7552" s="6" t="s">
        <v>62</v>
      </c>
      <c r="D7552" s="6" t="s">
        <v>934</v>
      </c>
      <c r="E7552" s="6" t="s">
        <v>388</v>
      </c>
      <c r="F7552" s="6" t="str">
        <f>IF($M7552="PADD I","PADD 1",IF($M7552="PADD II","PADD 2",IF($M7552="PADD III","PADD 3",IF($M7552="PADD IV","PADD 4",IF($M7552="PADD V","PADD 5","")))))</f>
        <v>PADD 3</v>
      </c>
      <c r="G7552" s="6" t="str">
        <f>IF(AND($H7552="ATMOS DISTILLATION",ISNUMBER(SEARCH("VPS",$I7552))=FALSE,LEFT($I7552,6)&lt;&gt;"VACUUM"),"CDU",IF($H7552="FLUID CAT CRACKING","FCC",IF(OR($H7552="HYDROCRACKING",$H7552="RESID_HYDROCRACKING"),"Hydrocracker",IF($H7552="REFORMING","Reformer",""))))</f>
        <v>FCC</v>
      </c>
      <c r="H7552" s="6" t="s">
        <v>376</v>
      </c>
      <c r="I7552" s="6" t="s">
        <v>105</v>
      </c>
      <c r="J7552" s="6" t="s">
        <v>349</v>
      </c>
      <c r="K7552" s="10">
        <v>29.5</v>
      </c>
      <c r="L7552" s="10">
        <v>29.5</v>
      </c>
      <c r="M7552" s="6" t="s">
        <v>371</v>
      </c>
    </row>
    <row r="7553" spans="1:13">
      <c r="A7553" s="6">
        <v>2026</v>
      </c>
      <c r="B7553" s="6">
        <v>4</v>
      </c>
      <c r="C7553" s="6" t="s">
        <v>62</v>
      </c>
      <c r="D7553" s="6" t="s">
        <v>526</v>
      </c>
      <c r="E7553" s="6" t="s">
        <v>405</v>
      </c>
      <c r="F7553" s="6" t="str">
        <f>IF($M7553="PADD I","PADD 1",IF($M7553="PADD II","PADD 2",IF($M7553="PADD III","PADD 3",IF($M7553="PADD IV","PADD 4",IF($M7553="PADD V","PADD 5","")))))</f>
        <v>PADD 3</v>
      </c>
      <c r="G7553" s="6" t="str">
        <f>IF(AND($H7553="ATMOS DISTILLATION",ISNUMBER(SEARCH("VPS",$I7553))=FALSE,LEFT($I7553,6)&lt;&gt;"VACUUM"),"CDU",IF($H7553="FLUID CAT CRACKING","FCC",IF(OR($H7553="HYDROCRACKING",$H7553="RESID_HYDROCRACKING"),"Hydrocracker",IF($H7553="REFORMING","Reformer",""))))</f>
        <v>Hydrocracker</v>
      </c>
      <c r="H7553" s="6" t="s">
        <v>444</v>
      </c>
      <c r="I7553" s="6" t="s">
        <v>527</v>
      </c>
      <c r="J7553" s="6" t="s">
        <v>345</v>
      </c>
      <c r="K7553" s="10">
        <v>28.5</v>
      </c>
      <c r="L7553" s="10">
        <v>57</v>
      </c>
      <c r="M7553" s="6" t="s">
        <v>371</v>
      </c>
    </row>
    <row r="7554" spans="1:13">
      <c r="A7554" s="6">
        <v>2026</v>
      </c>
      <c r="B7554" s="6">
        <v>4</v>
      </c>
      <c r="C7554" s="6" t="s">
        <v>62</v>
      </c>
      <c r="D7554" s="6" t="s">
        <v>462</v>
      </c>
      <c r="E7554" s="6" t="s">
        <v>438</v>
      </c>
      <c r="F7554" s="6" t="str">
        <f>IF($M7554="PADD I","PADD 1",IF($M7554="PADD II","PADD 2",IF($M7554="PADD III","PADD 3",IF($M7554="PADD IV","PADD 4",IF($M7554="PADD V","PADD 5","")))))</f>
        <v>PADD 4</v>
      </c>
      <c r="G7554" s="6" t="str">
        <f>IF(AND($H7554="ATMOS DISTILLATION",ISNUMBER(SEARCH("VPS",$I7554))=FALSE,LEFT($I7554,6)&lt;&gt;"VACUUM"),"CDU",IF($H7554="FLUID CAT CRACKING","FCC",IF(OR($H7554="HYDROCRACKING",$H7554="RESID_HYDROCRACKING"),"Hydrocracker",IF($H7554="REFORMING","Reformer",""))))</f>
        <v>FCC</v>
      </c>
      <c r="H7554" s="6" t="s">
        <v>376</v>
      </c>
      <c r="I7554" s="6" t="s">
        <v>105</v>
      </c>
      <c r="J7554" s="6" t="s">
        <v>349</v>
      </c>
      <c r="K7554" s="10">
        <v>28.3</v>
      </c>
      <c r="L7554" s="10">
        <v>28.3</v>
      </c>
      <c r="M7554" s="6" t="s">
        <v>430</v>
      </c>
    </row>
    <row r="7555" spans="1:13">
      <c r="A7555" s="6">
        <v>2026</v>
      </c>
      <c r="B7555" s="6">
        <v>4</v>
      </c>
      <c r="C7555" s="6" t="s">
        <v>62</v>
      </c>
      <c r="D7555" s="6" t="s">
        <v>723</v>
      </c>
      <c r="E7555" s="6" t="s">
        <v>724</v>
      </c>
      <c r="F7555" s="6" t="str">
        <f>IF($M7555="PADD I","PADD 1",IF($M7555="PADD II","PADD 2",IF($M7555="PADD III","PADD 3",IF($M7555="PADD IV","PADD 4",IF($M7555="PADD V","PADD 5","")))))</f>
        <v>PADD 4</v>
      </c>
      <c r="G7555" s="6">
        <f>IF(AND($H7555="ATMOS DISTILLATION",ISNUMBER(SEARCH("VPS",$I7555))=FALSE,LEFT($I7555,6)&lt;&gt;"VACUUM"),"CDU",IF($H7555="FLUID CAT CRACKING","FCC",IF(OR($H7555="HYDROCRACKING",$H7555="RESID_HYDROCRACKING"),"Hydrocracker",IF($H7555="REFORMING","Reformer",""))))</f>
        <v/>
      </c>
      <c r="H7555" s="6" t="s">
        <v>378</v>
      </c>
      <c r="I7555" s="6" t="s">
        <v>431</v>
      </c>
      <c r="J7555" s="6" t="s">
        <v>349</v>
      </c>
      <c r="K7555" s="10">
        <v>28.13</v>
      </c>
      <c r="L7555" s="10">
        <v>29</v>
      </c>
      <c r="M7555" s="6" t="s">
        <v>430</v>
      </c>
    </row>
    <row r="7556" spans="1:13">
      <c r="A7556" s="6">
        <v>2026</v>
      </c>
      <c r="B7556" s="6">
        <v>4</v>
      </c>
      <c r="C7556" s="6" t="s">
        <v>62</v>
      </c>
      <c r="D7556" s="6" t="s">
        <v>326</v>
      </c>
      <c r="E7556" s="6" t="s">
        <v>385</v>
      </c>
      <c r="F7556" s="6" t="str">
        <f>IF($M7556="PADD I","PADD 1",IF($M7556="PADD II","PADD 2",IF($M7556="PADD III","PADD 3",IF($M7556="PADD IV","PADD 4",IF($M7556="PADD V","PADD 5","")))))</f>
        <v>PADD 5</v>
      </c>
      <c r="G7556" s="6">
        <f>IF(AND($H7556="ATMOS DISTILLATION",ISNUMBER(SEARCH("VPS",$I7556))=FALSE,LEFT($I7556,6)&lt;&gt;"VACUUM"),"CDU",IF($H7556="FLUID CAT CRACKING","FCC",IF(OR($H7556="HYDROCRACKING",$H7556="RESID_HYDROCRACKING"),"Hydrocracker",IF($H7556="REFORMING","Reformer",""))))</f>
        <v/>
      </c>
      <c r="H7556" s="6" t="s">
        <v>378</v>
      </c>
      <c r="I7556" s="6" t="s">
        <v>431</v>
      </c>
      <c r="J7556" s="6" t="s">
        <v>345</v>
      </c>
      <c r="K7556" s="10">
        <v>27.405</v>
      </c>
      <c r="L7556" s="10">
        <v>31.5</v>
      </c>
      <c r="M7556" s="6" t="s">
        <v>386</v>
      </c>
    </row>
    <row r="7557" spans="1:13">
      <c r="A7557" s="6">
        <v>2026</v>
      </c>
      <c r="B7557" s="6">
        <v>4</v>
      </c>
      <c r="C7557" s="6" t="s">
        <v>62</v>
      </c>
      <c r="D7557" s="6" t="s">
        <v>934</v>
      </c>
      <c r="E7557" s="6" t="s">
        <v>388</v>
      </c>
      <c r="F7557" s="6" t="str">
        <f>IF($M7557="PADD I","PADD 1",IF($M7557="PADD II","PADD 2",IF($M7557="PADD III","PADD 3",IF($M7557="PADD IV","PADD 4",IF($M7557="PADD V","PADD 5","")))))</f>
        <v>PADD 3</v>
      </c>
      <c r="G7557" s="6">
        <f>IF(AND($H7557="ATMOS DISTILLATION",ISNUMBER(SEARCH("VPS",$I7557))=FALSE,LEFT($I7557,6)&lt;&gt;"VACUUM"),"CDU",IF($H7557="FLUID CAT CRACKING","FCC",IF(OR($H7557="HYDROCRACKING",$H7557="RESID_HYDROCRACKING"),"Hydrocracker",IF($H7557="REFORMING","Reformer",""))))</f>
        <v/>
      </c>
      <c r="H7557" s="6" t="s">
        <v>43</v>
      </c>
      <c r="I7557" s="6" t="s">
        <v>458</v>
      </c>
      <c r="J7557" s="6" t="s">
        <v>349</v>
      </c>
      <c r="K7557" s="10">
        <v>25</v>
      </c>
      <c r="L7557" s="10">
        <v>25</v>
      </c>
      <c r="M7557" s="6" t="s">
        <v>371</v>
      </c>
    </row>
    <row r="7558" spans="1:13">
      <c r="A7558" s="6">
        <v>2026</v>
      </c>
      <c r="B7558" s="6">
        <v>4</v>
      </c>
      <c r="C7558" s="6" t="s">
        <v>62</v>
      </c>
      <c r="D7558" s="6" t="s">
        <v>446</v>
      </c>
      <c r="E7558" s="6" t="s">
        <v>391</v>
      </c>
      <c r="F7558" s="6" t="str">
        <f>IF($M7558="PADD I","PADD 1",IF($M7558="PADD II","PADD 2",IF($M7558="PADD III","PADD 3",IF($M7558="PADD IV","PADD 4",IF($M7558="PADD V","PADD 5","")))))</f>
        <v>PADD 3</v>
      </c>
      <c r="G7558" s="6" t="str">
        <f>IF(AND($H7558="ATMOS DISTILLATION",ISNUMBER(SEARCH("VPS",$I7558))=FALSE,LEFT($I7558,6)&lt;&gt;"VACUUM"),"CDU",IF($H7558="FLUID CAT CRACKING","FCC",IF(OR($H7558="HYDROCRACKING",$H7558="RESID_HYDROCRACKING"),"Hydrocracker",IF($H7558="REFORMING","Reformer",""))))</f>
        <v>CDU</v>
      </c>
      <c r="H7558" s="6" t="s">
        <v>38</v>
      </c>
      <c r="I7558" s="6" t="s">
        <v>81</v>
      </c>
      <c r="J7558" s="6" t="s">
        <v>345</v>
      </c>
      <c r="K7558" s="10">
        <v>25</v>
      </c>
      <c r="L7558" s="10">
        <v>125</v>
      </c>
      <c r="M7558" s="6" t="s">
        <v>371</v>
      </c>
    </row>
    <row r="7559" spans="1:13">
      <c r="A7559" s="6">
        <v>2026</v>
      </c>
      <c r="B7559" s="6">
        <v>4</v>
      </c>
      <c r="C7559" s="6" t="s">
        <v>62</v>
      </c>
      <c r="D7559" s="6" t="s">
        <v>48</v>
      </c>
      <c r="E7559" s="6" t="s">
        <v>388</v>
      </c>
      <c r="F7559" s="6" t="str">
        <f>IF($M7559="PADD I","PADD 1",IF($M7559="PADD II","PADD 2",IF($M7559="PADD III","PADD 3",IF($M7559="PADD IV","PADD 4",IF($M7559="PADD V","PADD 5","")))))</f>
        <v>PADD 2</v>
      </c>
      <c r="G7559" s="6">
        <f>IF(AND($H7559="ATMOS DISTILLATION",ISNUMBER(SEARCH("VPS",$I7559))=FALSE,LEFT($I7559,6)&lt;&gt;"VACUUM"),"CDU",IF($H7559="FLUID CAT CRACKING","FCC",IF(OR($H7559="HYDROCRACKING",$H7559="RESID_HYDROCRACKING"),"Hydrocracker",IF($H7559="REFORMING","Reformer",""))))</f>
        <v/>
      </c>
      <c r="H7559" s="6" t="s">
        <v>43</v>
      </c>
      <c r="I7559" s="6" t="s">
        <v>761</v>
      </c>
      <c r="J7559" s="6" t="s">
        <v>345</v>
      </c>
      <c r="K7559" s="10">
        <v>24</v>
      </c>
      <c r="L7559" s="10">
        <v>24</v>
      </c>
      <c r="M7559" s="6" t="s">
        <v>375</v>
      </c>
    </row>
    <row r="7560" spans="1:13">
      <c r="A7560" s="6">
        <v>2026</v>
      </c>
      <c r="B7560" s="6">
        <v>4</v>
      </c>
      <c r="C7560" s="6" t="s">
        <v>62</v>
      </c>
      <c r="D7560" s="6" t="s">
        <v>333</v>
      </c>
      <c r="E7560" s="6" t="s">
        <v>381</v>
      </c>
      <c r="F7560" s="6" t="str">
        <f>IF($M7560="PADD I","PADD 1",IF($M7560="PADD II","PADD 2",IF($M7560="PADD III","PADD 3",IF($M7560="PADD IV","PADD 4",IF($M7560="PADD V","PADD 5","")))))</f>
        <v>PADD 3</v>
      </c>
      <c r="G7560" s="6" t="str">
        <f>IF(AND($H7560="ATMOS DISTILLATION",ISNUMBER(SEARCH("VPS",$I7560))=FALSE,LEFT($I7560,6)&lt;&gt;"VACUUM"),"CDU",IF($H7560="FLUID CAT CRACKING","FCC",IF(OR($H7560="HYDROCRACKING",$H7560="RESID_HYDROCRACKING"),"Hydrocracker",IF($H7560="REFORMING","Reformer",""))))</f>
        <v>FCC</v>
      </c>
      <c r="H7560" s="6" t="s">
        <v>376</v>
      </c>
      <c r="I7560" s="6" t="s">
        <v>105</v>
      </c>
      <c r="J7560" s="6" t="s">
        <v>345</v>
      </c>
      <c r="K7560" s="10">
        <v>23.46</v>
      </c>
      <c r="L7560" s="10">
        <v>102</v>
      </c>
      <c r="M7560" s="6" t="s">
        <v>371</v>
      </c>
    </row>
    <row r="7561" spans="1:13">
      <c r="A7561" s="6">
        <v>2026</v>
      </c>
      <c r="B7561" s="6">
        <v>4</v>
      </c>
      <c r="C7561" s="6" t="s">
        <v>62</v>
      </c>
      <c r="D7561" s="6" t="s">
        <v>51</v>
      </c>
      <c r="E7561" s="6" t="s">
        <v>391</v>
      </c>
      <c r="F7561" s="6" t="str">
        <f>IF($M7561="PADD I","PADD 1",IF($M7561="PADD II","PADD 2",IF($M7561="PADD III","PADD 3",IF($M7561="PADD IV","PADD 4",IF($M7561="PADD V","PADD 5","")))))</f>
        <v>PADD 5</v>
      </c>
      <c r="G7561" s="6" t="str">
        <f>IF(AND($H7561="ATMOS DISTILLATION",ISNUMBER(SEARCH("VPS",$I7561))=FALSE,LEFT($I7561,6)&lt;&gt;"VACUUM"),"CDU",IF($H7561="FLUID CAT CRACKING","FCC",IF(OR($H7561="HYDROCRACKING",$H7561="RESID_HYDROCRACKING"),"Hydrocracker",IF($H7561="REFORMING","Reformer",""))))</f>
        <v>CDU</v>
      </c>
      <c r="H7561" s="6" t="s">
        <v>38</v>
      </c>
      <c r="I7561" s="6" t="s">
        <v>135</v>
      </c>
      <c r="J7561" s="6" t="s">
        <v>345</v>
      </c>
      <c r="K7561" s="10">
        <v>23.115</v>
      </c>
      <c r="L7561" s="10">
        <v>100.5</v>
      </c>
      <c r="M7561" s="6" t="s">
        <v>386</v>
      </c>
    </row>
    <row r="7562" spans="1:13">
      <c r="A7562" s="6">
        <v>2026</v>
      </c>
      <c r="B7562" s="6">
        <v>4</v>
      </c>
      <c r="C7562" s="6" t="s">
        <v>62</v>
      </c>
      <c r="D7562" s="6" t="s">
        <v>50</v>
      </c>
      <c r="E7562" s="6" t="s">
        <v>381</v>
      </c>
      <c r="F7562" s="6" t="str">
        <f>IF($M7562="PADD I","PADD 1",IF($M7562="PADD II","PADD 2",IF($M7562="PADD III","PADD 3",IF($M7562="PADD IV","PADD 4",IF($M7562="PADD V","PADD 5","")))))</f>
        <v>PADD 3</v>
      </c>
      <c r="G7562" s="6" t="str">
        <f>IF(AND($H7562="ATMOS DISTILLATION",ISNUMBER(SEARCH("VPS",$I7562))=FALSE,LEFT($I7562,6)&lt;&gt;"VACUUM"),"CDU",IF($H7562="FLUID CAT CRACKING","FCC",IF(OR($H7562="HYDROCRACKING",$H7562="RESID_HYDROCRACKING"),"Hydrocracker",IF($H7562="REFORMING","Reformer",""))))</f>
        <v>CDU</v>
      </c>
      <c r="H7562" s="6" t="s">
        <v>38</v>
      </c>
      <c r="I7562" s="6" t="s">
        <v>769</v>
      </c>
      <c r="J7562" s="6" t="s">
        <v>345</v>
      </c>
      <c r="K7562" s="10">
        <v>23</v>
      </c>
      <c r="L7562" s="10">
        <v>115</v>
      </c>
      <c r="M7562" s="6" t="s">
        <v>371</v>
      </c>
    </row>
    <row r="7563" spans="1:13">
      <c r="A7563" s="6">
        <v>2026</v>
      </c>
      <c r="B7563" s="6">
        <v>4</v>
      </c>
      <c r="C7563" s="6" t="s">
        <v>62</v>
      </c>
      <c r="D7563" s="6" t="s">
        <v>437</v>
      </c>
      <c r="E7563" s="6" t="s">
        <v>438</v>
      </c>
      <c r="F7563" s="6" t="str">
        <f>IF($M7563="PADD I","PADD 1",IF($M7563="PADD II","PADD 2",IF($M7563="PADD III","PADD 3",IF($M7563="PADD IV","PADD 4",IF($M7563="PADD V","PADD 5","")))))</f>
        <v>PADD 4</v>
      </c>
      <c r="G7563" s="6">
        <f>IF(AND($H7563="ATMOS DISTILLATION",ISNUMBER(SEARCH("VPS",$I7563))=FALSE,LEFT($I7563,6)&lt;&gt;"VACUUM"),"CDU",IF($H7563="FLUID CAT CRACKING","FCC",IF(OR($H7563="HYDROCRACKING",$H7563="RESID_HYDROCRACKING"),"Hydrocracker",IF($H7563="REFORMING","Reformer",""))))</f>
        <v/>
      </c>
      <c r="H7563" s="6" t="s">
        <v>43</v>
      </c>
      <c r="I7563" s="6" t="s">
        <v>493</v>
      </c>
      <c r="J7563" s="6" t="s">
        <v>349</v>
      </c>
      <c r="K7563" s="10">
        <v>21</v>
      </c>
      <c r="L7563" s="10">
        <v>21</v>
      </c>
      <c r="M7563" s="6" t="s">
        <v>430</v>
      </c>
    </row>
    <row r="7564" spans="1:13">
      <c r="A7564" s="6">
        <v>2026</v>
      </c>
      <c r="B7564" s="6">
        <v>4</v>
      </c>
      <c r="C7564" s="6" t="s">
        <v>62</v>
      </c>
      <c r="D7564" s="6" t="s">
        <v>53</v>
      </c>
      <c r="E7564" s="6" t="s">
        <v>543</v>
      </c>
      <c r="F7564" s="6" t="str">
        <f>IF($M7564="PADD I","PADD 1",IF($M7564="PADD II","PADD 2",IF($M7564="PADD III","PADD 3",IF($M7564="PADD IV","PADD 4",IF($M7564="PADD V","PADD 5","")))))</f>
        <v>PADD 5</v>
      </c>
      <c r="G7564" s="6">
        <f>IF(AND($H7564="ATMOS DISTILLATION",ISNUMBER(SEARCH("VPS",$I7564))=FALSE,LEFT($I7564,6)&lt;&gt;"VACUUM"),"CDU",IF($H7564="FLUID CAT CRACKING","FCC",IF(OR($H7564="HYDROCRACKING",$H7564="RESID_HYDROCRACKING"),"Hydrocracker",IF($H7564="REFORMING","Reformer",""))))</f>
        <v/>
      </c>
      <c r="H7564" s="6" t="s">
        <v>43</v>
      </c>
      <c r="I7564" s="6" t="s">
        <v>1368</v>
      </c>
      <c r="J7564" s="6" t="s">
        <v>349</v>
      </c>
      <c r="K7564" s="10">
        <v>20.54</v>
      </c>
      <c r="L7564" s="10">
        <v>20.54</v>
      </c>
      <c r="M7564" s="6" t="s">
        <v>386</v>
      </c>
    </row>
    <row r="7565" spans="1:13">
      <c r="A7565" s="6">
        <v>2026</v>
      </c>
      <c r="B7565" s="6">
        <v>4</v>
      </c>
      <c r="C7565" s="6" t="s">
        <v>62</v>
      </c>
      <c r="D7565" s="6" t="s">
        <v>457</v>
      </c>
      <c r="E7565" s="6" t="s">
        <v>388</v>
      </c>
      <c r="F7565" s="6" t="str">
        <f>IF($M7565="PADD I","PADD 1",IF($M7565="PADD II","PADD 2",IF($M7565="PADD III","PADD 3",IF($M7565="PADD IV","PADD 4",IF($M7565="PADD V","PADD 5","")))))</f>
        <v>PADD 5</v>
      </c>
      <c r="G7565" s="6">
        <f>IF(AND($H7565="ATMOS DISTILLATION",ISNUMBER(SEARCH("VPS",$I7565))=FALSE,LEFT($I7565,6)&lt;&gt;"VACUUM"),"CDU",IF($H7565="FLUID CAT CRACKING","FCC",IF(OR($H7565="HYDROCRACKING",$H7565="RESID_HYDROCRACKING"),"Hydrocracker",IF($H7565="REFORMING","Reformer",""))))</f>
        <v/>
      </c>
      <c r="H7565" s="6" t="s">
        <v>378</v>
      </c>
      <c r="I7565" s="6" t="s">
        <v>601</v>
      </c>
      <c r="J7565" s="6" t="s">
        <v>345</v>
      </c>
      <c r="K7565" s="10">
        <v>20.46</v>
      </c>
      <c r="L7565" s="10">
        <v>62</v>
      </c>
      <c r="M7565" s="6" t="s">
        <v>386</v>
      </c>
    </row>
    <row r="7566" spans="1:13">
      <c r="A7566" s="6">
        <v>2026</v>
      </c>
      <c r="B7566" s="6">
        <v>4</v>
      </c>
      <c r="C7566" s="6" t="s">
        <v>62</v>
      </c>
      <c r="D7566" s="6" t="s">
        <v>48</v>
      </c>
      <c r="E7566" s="6" t="s">
        <v>388</v>
      </c>
      <c r="F7566" s="6" t="str">
        <f>IF($M7566="PADD I","PADD 1",IF($M7566="PADD II","PADD 2",IF($M7566="PADD III","PADD 3",IF($M7566="PADD IV","PADD 4",IF($M7566="PADD V","PADD 5","")))))</f>
        <v>PADD 2</v>
      </c>
      <c r="G7566" s="6">
        <f>IF(AND($H7566="ATMOS DISTILLATION",ISNUMBER(SEARCH("VPS",$I7566))=FALSE,LEFT($I7566,6)&lt;&gt;"VACUUM"),"CDU",IF($H7566="FLUID CAT CRACKING","FCC",IF(OR($H7566="HYDROCRACKING",$H7566="RESID_HYDROCRACKING"),"Hydrocracker",IF($H7566="REFORMING","Reformer",""))))</f>
        <v/>
      </c>
      <c r="H7566" s="6" t="s">
        <v>43</v>
      </c>
      <c r="I7566" s="6" t="s">
        <v>761</v>
      </c>
      <c r="J7566" s="6" t="s">
        <v>349</v>
      </c>
      <c r="K7566" s="10">
        <v>20</v>
      </c>
      <c r="L7566" s="10">
        <v>20</v>
      </c>
      <c r="M7566" s="6" t="s">
        <v>375</v>
      </c>
    </row>
    <row r="7567" spans="1:13">
      <c r="A7567" s="6">
        <v>2026</v>
      </c>
      <c r="B7567" s="6">
        <v>4</v>
      </c>
      <c r="C7567" s="6" t="s">
        <v>62</v>
      </c>
      <c r="D7567" s="6" t="s">
        <v>526</v>
      </c>
      <c r="E7567" s="6" t="s">
        <v>405</v>
      </c>
      <c r="F7567" s="6" t="str">
        <f>IF($M7567="PADD I","PADD 1",IF($M7567="PADD II","PADD 2",IF($M7567="PADD III","PADD 3",IF($M7567="PADD IV","PADD 4",IF($M7567="PADD V","PADD 5","")))))</f>
        <v>PADD 3</v>
      </c>
      <c r="G7567" s="6">
        <f>IF(AND($H7567="ATMOS DISTILLATION",ISNUMBER(SEARCH("VPS",$I7567))=FALSE,LEFT($I7567,6)&lt;&gt;"VACUUM"),"CDU",IF($H7567="FLUID CAT CRACKING","FCC",IF(OR($H7567="HYDROCRACKING",$H7567="RESID_HYDROCRACKING"),"Hydrocracker",IF($H7567="REFORMING","Reformer",""))))</f>
        <v/>
      </c>
      <c r="H7567" s="6" t="s">
        <v>43</v>
      </c>
      <c r="I7567" s="6" t="s">
        <v>1226</v>
      </c>
      <c r="J7567" s="6" t="s">
        <v>345</v>
      </c>
      <c r="K7567" s="10">
        <v>18.5</v>
      </c>
      <c r="L7567" s="10">
        <v>18.5</v>
      </c>
      <c r="M7567" s="6" t="s">
        <v>371</v>
      </c>
    </row>
    <row r="7568" spans="1:13">
      <c r="A7568" s="6">
        <v>2026</v>
      </c>
      <c r="B7568" s="6">
        <v>4</v>
      </c>
      <c r="C7568" s="6" t="s">
        <v>62</v>
      </c>
      <c r="D7568" s="6" t="s">
        <v>934</v>
      </c>
      <c r="E7568" s="6" t="s">
        <v>388</v>
      </c>
      <c r="F7568" s="6" t="str">
        <f>IF($M7568="PADD I","PADD 1",IF($M7568="PADD II","PADD 2",IF($M7568="PADD III","PADD 3",IF($M7568="PADD IV","PADD 4",IF($M7568="PADD V","PADD 5","")))))</f>
        <v>PADD 3</v>
      </c>
      <c r="G7568" s="6">
        <f>IF(AND($H7568="ATMOS DISTILLATION",ISNUMBER(SEARCH("VPS",$I7568))=FALSE,LEFT($I7568,6)&lt;&gt;"VACUUM"),"CDU",IF($H7568="FLUID CAT CRACKING","FCC",IF(OR($H7568="HYDROCRACKING",$H7568="RESID_HYDROCRACKING"),"Hydrocracker",IF($H7568="REFORMING","Reformer",""))))</f>
        <v/>
      </c>
      <c r="H7568" s="6" t="s">
        <v>378</v>
      </c>
      <c r="I7568" s="6" t="s">
        <v>964</v>
      </c>
      <c r="J7568" s="6" t="s">
        <v>349</v>
      </c>
      <c r="K7568" s="10">
        <v>17</v>
      </c>
      <c r="L7568" s="10">
        <v>17</v>
      </c>
      <c r="M7568" s="6" t="s">
        <v>371</v>
      </c>
    </row>
    <row r="7569" spans="1:13">
      <c r="A7569" s="6">
        <v>2026</v>
      </c>
      <c r="B7569" s="6">
        <v>4</v>
      </c>
      <c r="C7569" s="6" t="s">
        <v>62</v>
      </c>
      <c r="D7569" s="6" t="s">
        <v>526</v>
      </c>
      <c r="E7569" s="6" t="s">
        <v>405</v>
      </c>
      <c r="F7569" s="6" t="str">
        <f>IF($M7569="PADD I","PADD 1",IF($M7569="PADD II","PADD 2",IF($M7569="PADD III","PADD 3",IF($M7569="PADD IV","PADD 4",IF($M7569="PADD V","PADD 5","")))))</f>
        <v>PADD 3</v>
      </c>
      <c r="G7569" s="6">
        <f>IF(AND($H7569="ATMOS DISTILLATION",ISNUMBER(SEARCH("VPS",$I7569))=FALSE,LEFT($I7569,6)&lt;&gt;"VACUUM"),"CDU",IF($H7569="FLUID CAT CRACKING","FCC",IF(OR($H7569="HYDROCRACKING",$H7569="RESID_HYDROCRACKING"),"Hydrocracker",IF($H7569="REFORMING","Reformer",""))))</f>
        <v/>
      </c>
      <c r="H7569" s="6" t="s">
        <v>460</v>
      </c>
      <c r="I7569" s="6" t="s">
        <v>1366</v>
      </c>
      <c r="J7569" s="6" t="s">
        <v>345</v>
      </c>
      <c r="K7569" s="10">
        <v>16.9</v>
      </c>
      <c r="L7569" s="10">
        <v>16.9</v>
      </c>
      <c r="M7569" s="6" t="s">
        <v>371</v>
      </c>
    </row>
    <row r="7570" spans="1:13">
      <c r="A7570" s="6">
        <v>2026</v>
      </c>
      <c r="B7570" s="6">
        <v>4</v>
      </c>
      <c r="C7570" s="6" t="s">
        <v>62</v>
      </c>
      <c r="D7570" s="6" t="s">
        <v>662</v>
      </c>
      <c r="E7570" s="6" t="s">
        <v>552</v>
      </c>
      <c r="F7570" s="6" t="str">
        <f>IF($M7570="PADD I","PADD 1",IF($M7570="PADD II","PADD 2",IF($M7570="PADD III","PADD 3",IF($M7570="PADD IV","PADD 4",IF($M7570="PADD V","PADD 5","")))))</f>
        <v>PADD 3</v>
      </c>
      <c r="G7570" s="6" t="str">
        <f>IF(AND($H7570="ATMOS DISTILLATION",ISNUMBER(SEARCH("VPS",$I7570))=FALSE,LEFT($I7570,6)&lt;&gt;"VACUUM"),"CDU",IF($H7570="FLUID CAT CRACKING","FCC",IF(OR($H7570="HYDROCRACKING",$H7570="RESID_HYDROCRACKING"),"Hydrocracker",IF($H7570="REFORMING","Reformer",""))))</f>
        <v>CDU</v>
      </c>
      <c r="H7570" s="6" t="s">
        <v>38</v>
      </c>
      <c r="I7570" s="6" t="s">
        <v>663</v>
      </c>
      <c r="J7570" s="6" t="s">
        <v>349</v>
      </c>
      <c r="K7570" s="10">
        <v>16.79</v>
      </c>
      <c r="L7570" s="10">
        <v>73</v>
      </c>
      <c r="M7570" s="6" t="s">
        <v>371</v>
      </c>
    </row>
    <row r="7571" spans="1:13">
      <c r="A7571" s="6">
        <v>2026</v>
      </c>
      <c r="B7571" s="6">
        <v>4</v>
      </c>
      <c r="C7571" s="6" t="s">
        <v>62</v>
      </c>
      <c r="D7571" s="6" t="s">
        <v>710</v>
      </c>
      <c r="E7571" s="6" t="s">
        <v>711</v>
      </c>
      <c r="F7571" s="6" t="str">
        <f>IF($M7571="PADD I","PADD 1",IF($M7571="PADD II","PADD 2",IF($M7571="PADD III","PADD 3",IF($M7571="PADD IV","PADD 4",IF($M7571="PADD V","PADD 5","")))))</f>
        <v>PADD 3</v>
      </c>
      <c r="G7571" s="6" t="str">
        <f>IF(AND($H7571="ATMOS DISTILLATION",ISNUMBER(SEARCH("VPS",$I7571))=FALSE,LEFT($I7571,6)&lt;&gt;"VACUUM"),"CDU",IF($H7571="FLUID CAT CRACKING","FCC",IF(OR($H7571="HYDROCRACKING",$H7571="RESID_HYDROCRACKING"),"Hydrocracker",IF($H7571="REFORMING","Reformer",""))))</f>
        <v>CDU</v>
      </c>
      <c r="H7571" s="6" t="s">
        <v>38</v>
      </c>
      <c r="I7571" s="6" t="s">
        <v>712</v>
      </c>
      <c r="J7571" s="6" t="s">
        <v>345</v>
      </c>
      <c r="K7571" s="10">
        <v>16.75</v>
      </c>
      <c r="L7571" s="10">
        <v>25</v>
      </c>
      <c r="M7571" s="6" t="s">
        <v>371</v>
      </c>
    </row>
    <row r="7572" spans="1:13">
      <c r="A7572" s="6">
        <v>2026</v>
      </c>
      <c r="B7572" s="6">
        <v>4</v>
      </c>
      <c r="C7572" s="6" t="s">
        <v>62</v>
      </c>
      <c r="D7572" s="6" t="s">
        <v>328</v>
      </c>
      <c r="E7572" s="6" t="s">
        <v>416</v>
      </c>
      <c r="F7572" s="6" t="str">
        <f>IF($M7572="PADD I","PADD 1",IF($M7572="PADD II","PADD 2",IF($M7572="PADD III","PADD 3",IF($M7572="PADD IV","PADD 4",IF($M7572="PADD V","PADD 5","")))))</f>
        <v>PADD 2</v>
      </c>
      <c r="G7572" s="6">
        <f>IF(AND($H7572="ATMOS DISTILLATION",ISNUMBER(SEARCH("VPS",$I7572))=FALSE,LEFT($I7572,6)&lt;&gt;"VACUUM"),"CDU",IF($H7572="FLUID CAT CRACKING","FCC",IF(OR($H7572="HYDROCRACKING",$H7572="RESID_HYDROCRACKING"),"Hydrocracker",IF($H7572="REFORMING","Reformer",""))))</f>
        <v/>
      </c>
      <c r="H7572" s="6" t="s">
        <v>460</v>
      </c>
      <c r="I7572" s="6" t="s">
        <v>1363</v>
      </c>
      <c r="J7572" s="6" t="s">
        <v>349</v>
      </c>
      <c r="K7572" s="10">
        <v>16.2</v>
      </c>
      <c r="L7572" s="10">
        <v>16.2</v>
      </c>
      <c r="M7572" s="6" t="s">
        <v>375</v>
      </c>
    </row>
    <row r="7573" spans="1:13">
      <c r="A7573" s="6">
        <v>2026</v>
      </c>
      <c r="B7573" s="6">
        <v>4</v>
      </c>
      <c r="C7573" s="6" t="s">
        <v>62</v>
      </c>
      <c r="D7573" s="6" t="s">
        <v>48</v>
      </c>
      <c r="E7573" s="6" t="s">
        <v>388</v>
      </c>
      <c r="F7573" s="6" t="str">
        <f>IF($M7573="PADD I","PADD 1",IF($M7573="PADD II","PADD 2",IF($M7573="PADD III","PADD 3",IF($M7573="PADD IV","PADD 4",IF($M7573="PADD V","PADD 5","")))))</f>
        <v>PADD 2</v>
      </c>
      <c r="G7573" s="6">
        <f>IF(AND($H7573="ATMOS DISTILLATION",ISNUMBER(SEARCH("VPS",$I7573))=FALSE,LEFT($I7573,6)&lt;&gt;"VACUUM"),"CDU",IF($H7573="FLUID CAT CRACKING","FCC",IF(OR($H7573="HYDROCRACKING",$H7573="RESID_HYDROCRACKING"),"Hydrocracker",IF($H7573="REFORMING","Reformer",""))))</f>
        <v/>
      </c>
      <c r="H7573" s="6" t="s">
        <v>637</v>
      </c>
      <c r="I7573" s="6" t="s">
        <v>604</v>
      </c>
      <c r="J7573" s="6" t="s">
        <v>349</v>
      </c>
      <c r="K7573" s="10">
        <v>16</v>
      </c>
      <c r="L7573" s="10">
        <v>16</v>
      </c>
      <c r="M7573" s="6" t="s">
        <v>375</v>
      </c>
    </row>
    <row r="7574" spans="1:13">
      <c r="A7574" s="6">
        <v>2026</v>
      </c>
      <c r="B7574" s="6">
        <v>4</v>
      </c>
      <c r="C7574" s="6" t="s">
        <v>62</v>
      </c>
      <c r="D7574" s="6" t="s">
        <v>801</v>
      </c>
      <c r="E7574" s="6" t="s">
        <v>779</v>
      </c>
      <c r="F7574" s="6" t="str">
        <f>IF($M7574="PADD I","PADD 1",IF($M7574="PADD II","PADD 2",IF($M7574="PADD III","PADD 3",IF($M7574="PADD IV","PADD 4",IF($M7574="PADD V","PADD 5","")))))</f>
        <v>PADD 2</v>
      </c>
      <c r="G7574" s="6">
        <f>IF(AND($H7574="ATMOS DISTILLATION",ISNUMBER(SEARCH("VPS",$I7574))=FALSE,LEFT($I7574,6)&lt;&gt;"VACUUM"),"CDU",IF($H7574="FLUID CAT CRACKING","FCC",IF(OR($H7574="HYDROCRACKING",$H7574="RESID_HYDROCRACKING"),"Hydrocracker",IF($H7574="REFORMING","Reformer",""))))</f>
        <v/>
      </c>
      <c r="H7574" s="6" t="s">
        <v>435</v>
      </c>
      <c r="I7574" s="6" t="s">
        <v>894</v>
      </c>
      <c r="J7574" s="6" t="s">
        <v>345</v>
      </c>
      <c r="K7574" s="10">
        <v>15.12</v>
      </c>
      <c r="L7574" s="10">
        <v>24</v>
      </c>
      <c r="M7574" s="6" t="s">
        <v>375</v>
      </c>
    </row>
    <row r="7575" spans="1:13">
      <c r="A7575" s="6">
        <v>2026</v>
      </c>
      <c r="B7575" s="6">
        <v>4</v>
      </c>
      <c r="C7575" s="6" t="s">
        <v>62</v>
      </c>
      <c r="D7575" s="6" t="s">
        <v>48</v>
      </c>
      <c r="E7575" s="6" t="s">
        <v>388</v>
      </c>
      <c r="F7575" s="6" t="str">
        <f>IF($M7575="PADD I","PADD 1",IF($M7575="PADD II","PADD 2",IF($M7575="PADD III","PADD 3",IF($M7575="PADD IV","PADD 4",IF($M7575="PADD V","PADD 5","")))))</f>
        <v>PADD 2</v>
      </c>
      <c r="G7575" s="6">
        <f>IF(AND($H7575="ATMOS DISTILLATION",ISNUMBER(SEARCH("VPS",$I7575))=FALSE,LEFT($I7575,6)&lt;&gt;"VACUUM"),"CDU",IF($H7575="FLUID CAT CRACKING","FCC",IF(OR($H7575="HYDROCRACKING",$H7575="RESID_HYDROCRACKING"),"Hydrocracker",IF($H7575="REFORMING","Reformer",""))))</f>
        <v/>
      </c>
      <c r="H7575" s="6" t="s">
        <v>435</v>
      </c>
      <c r="I7575" s="6" t="s">
        <v>754</v>
      </c>
      <c r="J7575" s="6" t="s">
        <v>349</v>
      </c>
      <c r="K7575" s="10">
        <v>15</v>
      </c>
      <c r="L7575" s="10">
        <v>15</v>
      </c>
      <c r="M7575" s="6" t="s">
        <v>375</v>
      </c>
    </row>
    <row r="7576" spans="1:13">
      <c r="A7576" s="6">
        <v>2026</v>
      </c>
      <c r="B7576" s="6">
        <v>4</v>
      </c>
      <c r="C7576" s="6" t="s">
        <v>62</v>
      </c>
      <c r="D7576" s="6" t="s">
        <v>722</v>
      </c>
      <c r="E7576" s="6" t="s">
        <v>452</v>
      </c>
      <c r="F7576" s="6" t="str">
        <f>IF($M7576="PADD I","PADD 1",IF($M7576="PADD II","PADD 2",IF($M7576="PADD III","PADD 3",IF($M7576="PADD IV","PADD 4",IF($M7576="PADD V","PADD 5","")))))</f>
        <v>PADD 4</v>
      </c>
      <c r="G7576" s="6" t="str">
        <f>IF(AND($H7576="ATMOS DISTILLATION",ISNUMBER(SEARCH("VPS",$I7576))=FALSE,LEFT($I7576,6)&lt;&gt;"VACUUM"),"CDU",IF($H7576="FLUID CAT CRACKING","FCC",IF(OR($H7576="HYDROCRACKING",$H7576="RESID_HYDROCRACKING"),"Hydrocracker",IF($H7576="REFORMING","Reformer",""))))</f>
        <v>Hydrocracker</v>
      </c>
      <c r="H7576" s="6" t="s">
        <v>444</v>
      </c>
      <c r="I7576" s="6" t="s">
        <v>1147</v>
      </c>
      <c r="J7576" s="6" t="s">
        <v>349</v>
      </c>
      <c r="K7576" s="10">
        <v>15</v>
      </c>
      <c r="L7576" s="10">
        <v>15</v>
      </c>
      <c r="M7576" s="6" t="s">
        <v>430</v>
      </c>
    </row>
    <row r="7577" spans="1:13">
      <c r="A7577" s="6">
        <v>2026</v>
      </c>
      <c r="B7577" s="6">
        <v>4</v>
      </c>
      <c r="C7577" s="6" t="s">
        <v>62</v>
      </c>
      <c r="D7577" s="6" t="s">
        <v>48</v>
      </c>
      <c r="E7577" s="6" t="s">
        <v>388</v>
      </c>
      <c r="F7577" s="6" t="str">
        <f>IF($M7577="PADD I","PADD 1",IF($M7577="PADD II","PADD 2",IF($M7577="PADD III","PADD 3",IF($M7577="PADD IV","PADD 4",IF($M7577="PADD V","PADD 5","")))))</f>
        <v>PADD 2</v>
      </c>
      <c r="G7577" s="6">
        <f>IF(AND($H7577="ATMOS DISTILLATION",ISNUMBER(SEARCH("VPS",$I7577))=FALSE,LEFT($I7577,6)&lt;&gt;"VACUUM"),"CDU",IF($H7577="FLUID CAT CRACKING","FCC",IF(OR($H7577="HYDROCRACKING",$H7577="RESID_HYDROCRACKING"),"Hydrocracker",IF($H7577="REFORMING","Reformer",""))))</f>
        <v/>
      </c>
      <c r="H7577" s="6" t="s">
        <v>435</v>
      </c>
      <c r="I7577" s="6" t="s">
        <v>631</v>
      </c>
      <c r="J7577" s="6" t="s">
        <v>349</v>
      </c>
      <c r="K7577" s="10">
        <v>15</v>
      </c>
      <c r="L7577" s="10">
        <v>15</v>
      </c>
      <c r="M7577" s="6" t="s">
        <v>375</v>
      </c>
    </row>
    <row r="7578" spans="1:13">
      <c r="A7578" s="6">
        <v>2026</v>
      </c>
      <c r="B7578" s="6">
        <v>4</v>
      </c>
      <c r="C7578" s="6" t="s">
        <v>62</v>
      </c>
      <c r="D7578" s="6" t="s">
        <v>48</v>
      </c>
      <c r="E7578" s="6" t="s">
        <v>388</v>
      </c>
      <c r="F7578" s="6" t="str">
        <f>IF($M7578="PADD I","PADD 1",IF($M7578="PADD II","PADD 2",IF($M7578="PADD III","PADD 3",IF($M7578="PADD IV","PADD 4",IF($M7578="PADD V","PADD 5","")))))</f>
        <v>PADD 2</v>
      </c>
      <c r="G7578" s="6">
        <f>IF(AND($H7578="ATMOS DISTILLATION",ISNUMBER(SEARCH("VPS",$I7578))=FALSE,LEFT($I7578,6)&lt;&gt;"VACUUM"),"CDU",IF($H7578="FLUID CAT CRACKING","FCC",IF(OR($H7578="HYDROCRACKING",$H7578="RESID_HYDROCRACKING"),"Hydrocracker",IF($H7578="REFORMING","Reformer",""))))</f>
        <v/>
      </c>
      <c r="H7578" s="6" t="s">
        <v>568</v>
      </c>
      <c r="I7578" s="6" t="s">
        <v>604</v>
      </c>
      <c r="J7578" s="6" t="s">
        <v>349</v>
      </c>
      <c r="K7578" s="10">
        <v>14.7</v>
      </c>
      <c r="L7578" s="10">
        <v>14.7</v>
      </c>
      <c r="M7578" s="6" t="s">
        <v>375</v>
      </c>
    </row>
    <row r="7579" spans="1:13">
      <c r="A7579" s="6">
        <v>2026</v>
      </c>
      <c r="B7579" s="6">
        <v>4</v>
      </c>
      <c r="C7579" s="6" t="s">
        <v>62</v>
      </c>
      <c r="D7579" s="6" t="s">
        <v>526</v>
      </c>
      <c r="E7579" s="6" t="s">
        <v>405</v>
      </c>
      <c r="F7579" s="6" t="str">
        <f>IF($M7579="PADD I","PADD 1",IF($M7579="PADD II","PADD 2",IF($M7579="PADD III","PADD 3",IF($M7579="PADD IV","PADD 4",IF($M7579="PADD V","PADD 5","")))))</f>
        <v>PADD 3</v>
      </c>
      <c r="G7579" s="6">
        <f>IF(AND($H7579="ATMOS DISTILLATION",ISNUMBER(SEARCH("VPS",$I7579))=FALSE,LEFT($I7579,6)&lt;&gt;"VACUUM"),"CDU",IF($H7579="FLUID CAT CRACKING","FCC",IF(OR($H7579="HYDROCRACKING",$H7579="RESID_HYDROCRACKING"),"Hydrocracker",IF($H7579="REFORMING","Reformer",""))))</f>
        <v/>
      </c>
      <c r="H7579" s="6" t="s">
        <v>435</v>
      </c>
      <c r="I7579" s="6" t="s">
        <v>686</v>
      </c>
      <c r="J7579" s="6" t="s">
        <v>345</v>
      </c>
      <c r="K7579" s="10">
        <v>13.475</v>
      </c>
      <c r="L7579" s="10">
        <v>17.5</v>
      </c>
      <c r="M7579" s="6" t="s">
        <v>371</v>
      </c>
    </row>
    <row r="7580" spans="1:13">
      <c r="A7580" s="6">
        <v>2026</v>
      </c>
      <c r="B7580" s="6">
        <v>4</v>
      </c>
      <c r="C7580" s="6" t="s">
        <v>62</v>
      </c>
      <c r="D7580" s="6" t="s">
        <v>803</v>
      </c>
      <c r="E7580" s="6" t="s">
        <v>388</v>
      </c>
      <c r="F7580" s="6" t="str">
        <f>IF($M7580="PADD I","PADD 1",IF($M7580="PADD II","PADD 2",IF($M7580="PADD III","PADD 3",IF($M7580="PADD IV","PADD 4",IF($M7580="PADD V","PADD 5","")))))</f>
        <v>PADD 2</v>
      </c>
      <c r="G7580" s="6">
        <f>IF(AND($H7580="ATMOS DISTILLATION",ISNUMBER(SEARCH("VPS",$I7580))=FALSE,LEFT($I7580,6)&lt;&gt;"VACUUM"),"CDU",IF($H7580="FLUID CAT CRACKING","FCC",IF(OR($H7580="HYDROCRACKING",$H7580="RESID_HYDROCRACKING"),"Hydrocracker",IF($H7580="REFORMING","Reformer",""))))</f>
        <v/>
      </c>
      <c r="H7580" s="6" t="s">
        <v>43</v>
      </c>
      <c r="I7580" s="6" t="s">
        <v>520</v>
      </c>
      <c r="J7580" s="6" t="s">
        <v>345</v>
      </c>
      <c r="K7580" s="10">
        <v>13.16</v>
      </c>
      <c r="L7580" s="10">
        <v>28</v>
      </c>
      <c r="M7580" s="6" t="s">
        <v>375</v>
      </c>
    </row>
    <row r="7581" spans="1:13">
      <c r="A7581" s="6">
        <v>2026</v>
      </c>
      <c r="B7581" s="6">
        <v>4</v>
      </c>
      <c r="C7581" s="6" t="s">
        <v>62</v>
      </c>
      <c r="D7581" s="6" t="s">
        <v>51</v>
      </c>
      <c r="E7581" s="6" t="s">
        <v>391</v>
      </c>
      <c r="F7581" s="6" t="str">
        <f>IF($M7581="PADD I","PADD 1",IF($M7581="PADD II","PADD 2",IF($M7581="PADD III","PADD 3",IF($M7581="PADD IV","PADD 4",IF($M7581="PADD V","PADD 5","")))))</f>
        <v>PADD 5</v>
      </c>
      <c r="G7581" s="6">
        <f>IF(AND($H7581="ATMOS DISTILLATION",ISNUMBER(SEARCH("VPS",$I7581))=FALSE,LEFT($I7581,6)&lt;&gt;"VACUUM"),"CDU",IF($H7581="FLUID CAT CRACKING","FCC",IF(OR($H7581="HYDROCRACKING",$H7581="RESID_HYDROCRACKING"),"Hydrocracker",IF($H7581="REFORMING","Reformer",""))))</f>
        <v/>
      </c>
      <c r="H7581" s="6" t="s">
        <v>378</v>
      </c>
      <c r="I7581" s="6" t="s">
        <v>1035</v>
      </c>
      <c r="J7581" s="6" t="s">
        <v>345</v>
      </c>
      <c r="K7581" s="10">
        <v>12.88</v>
      </c>
      <c r="L7581" s="10">
        <v>56</v>
      </c>
      <c r="M7581" s="6" t="s">
        <v>386</v>
      </c>
    </row>
    <row r="7582" spans="1:13">
      <c r="A7582" s="6">
        <v>2026</v>
      </c>
      <c r="B7582" s="6">
        <v>4</v>
      </c>
      <c r="C7582" s="6" t="s">
        <v>62</v>
      </c>
      <c r="D7582" s="6" t="s">
        <v>321</v>
      </c>
      <c r="E7582" s="6" t="s">
        <v>381</v>
      </c>
      <c r="F7582" s="6" t="str">
        <f>IF($M7582="PADD I","PADD 1",IF($M7582="PADD II","PADD 2",IF($M7582="PADD III","PADD 3",IF($M7582="PADD IV","PADD 4",IF($M7582="PADD V","PADD 5","")))))</f>
        <v>PADD 2</v>
      </c>
      <c r="G7582" s="6" t="str">
        <f>IF(AND($H7582="ATMOS DISTILLATION",ISNUMBER(SEARCH("VPS",$I7582))=FALSE,LEFT($I7582,6)&lt;&gt;"VACUUM"),"CDU",IF($H7582="FLUID CAT CRACKING","FCC",IF(OR($H7582="HYDROCRACKING",$H7582="RESID_HYDROCRACKING"),"Hydrocracker",IF($H7582="REFORMING","Reformer",""))))</f>
        <v>FCC</v>
      </c>
      <c r="H7582" s="6" t="s">
        <v>376</v>
      </c>
      <c r="I7582" s="6" t="s">
        <v>105</v>
      </c>
      <c r="J7582" s="6" t="s">
        <v>345</v>
      </c>
      <c r="K7582" s="10">
        <v>12.74</v>
      </c>
      <c r="L7582" s="10">
        <v>98</v>
      </c>
      <c r="M7582" s="6" t="s">
        <v>375</v>
      </c>
    </row>
    <row r="7583" spans="1:13">
      <c r="A7583" s="6">
        <v>2026</v>
      </c>
      <c r="B7583" s="6">
        <v>4</v>
      </c>
      <c r="C7583" s="6" t="s">
        <v>62</v>
      </c>
      <c r="D7583" s="6" t="s">
        <v>722</v>
      </c>
      <c r="E7583" s="6" t="s">
        <v>452</v>
      </c>
      <c r="F7583" s="6" t="str">
        <f>IF($M7583="PADD I","PADD 1",IF($M7583="PADD II","PADD 2",IF($M7583="PADD III","PADD 3",IF($M7583="PADD IV","PADD 4",IF($M7583="PADD V","PADD 5","")))))</f>
        <v>PADD 4</v>
      </c>
      <c r="G7583" s="6">
        <f>IF(AND($H7583="ATMOS DISTILLATION",ISNUMBER(SEARCH("VPS",$I7583))=FALSE,LEFT($I7583,6)&lt;&gt;"VACUUM"),"CDU",IF($H7583="FLUID CAT CRACKING","FCC",IF(OR($H7583="HYDROCRACKING",$H7583="RESID_HYDROCRACKING"),"Hydrocracker",IF($H7583="REFORMING","Reformer",""))))</f>
        <v/>
      </c>
      <c r="H7583" s="6" t="s">
        <v>43</v>
      </c>
      <c r="I7583" s="6" t="s">
        <v>1362</v>
      </c>
      <c r="J7583" s="6" t="s">
        <v>349</v>
      </c>
      <c r="K7583" s="10">
        <v>12.5</v>
      </c>
      <c r="L7583" s="10">
        <v>12.5</v>
      </c>
      <c r="M7583" s="6" t="s">
        <v>430</v>
      </c>
    </row>
    <row r="7584" spans="1:13">
      <c r="A7584" s="6">
        <v>2026</v>
      </c>
      <c r="B7584" s="6">
        <v>4</v>
      </c>
      <c r="C7584" s="6" t="s">
        <v>62</v>
      </c>
      <c r="D7584" s="6" t="s">
        <v>457</v>
      </c>
      <c r="E7584" s="6" t="s">
        <v>388</v>
      </c>
      <c r="F7584" s="6" t="str">
        <f>IF($M7584="PADD I","PADD 1",IF($M7584="PADD II","PADD 2",IF($M7584="PADD III","PADD 3",IF($M7584="PADD IV","PADD 4",IF($M7584="PADD V","PADD 5","")))))</f>
        <v>PADD 5</v>
      </c>
      <c r="G7584" s="6">
        <f>IF(AND($H7584="ATMOS DISTILLATION",ISNUMBER(SEARCH("VPS",$I7584))=FALSE,LEFT($I7584,6)&lt;&gt;"VACUUM"),"CDU",IF($H7584="FLUID CAT CRACKING","FCC",IF(OR($H7584="HYDROCRACKING",$H7584="RESID_HYDROCRACKING"),"Hydrocracker",IF($H7584="REFORMING","Reformer",""))))</f>
        <v/>
      </c>
      <c r="H7584" s="6" t="s">
        <v>637</v>
      </c>
      <c r="I7584" s="6" t="s">
        <v>585</v>
      </c>
      <c r="J7584" s="6" t="s">
        <v>345</v>
      </c>
      <c r="K7584" s="10">
        <v>12.4</v>
      </c>
      <c r="L7584" s="10">
        <v>62</v>
      </c>
      <c r="M7584" s="6" t="s">
        <v>386</v>
      </c>
    </row>
    <row r="7585" spans="1:13">
      <c r="A7585" s="6">
        <v>2026</v>
      </c>
      <c r="B7585" s="6">
        <v>4</v>
      </c>
      <c r="C7585" s="6" t="s">
        <v>62</v>
      </c>
      <c r="D7585" s="6" t="s">
        <v>985</v>
      </c>
      <c r="E7585" s="6" t="s">
        <v>543</v>
      </c>
      <c r="F7585" s="6" t="str">
        <f>IF($M7585="PADD I","PADD 1",IF($M7585="PADD II","PADD 2",IF($M7585="PADD III","PADD 3",IF($M7585="PADD IV","PADD 4",IF($M7585="PADD V","PADD 5","")))))</f>
        <v>PADD 2</v>
      </c>
      <c r="G7585" s="6">
        <f>IF(AND($H7585="ATMOS DISTILLATION",ISNUMBER(SEARCH("VPS",$I7585))=FALSE,LEFT($I7585,6)&lt;&gt;"VACUUM"),"CDU",IF($H7585="FLUID CAT CRACKING","FCC",IF(OR($H7585="HYDROCRACKING",$H7585="RESID_HYDROCRACKING"),"Hydrocracker",IF($H7585="REFORMING","Reformer",""))))</f>
        <v/>
      </c>
      <c r="H7585" s="6" t="s">
        <v>378</v>
      </c>
      <c r="I7585" s="6" t="s">
        <v>786</v>
      </c>
      <c r="J7585" s="6" t="s">
        <v>345</v>
      </c>
      <c r="K7585" s="10">
        <v>12.066</v>
      </c>
      <c r="L7585" s="10">
        <v>60.33</v>
      </c>
      <c r="M7585" s="6" t="s">
        <v>375</v>
      </c>
    </row>
    <row r="7586" spans="1:13">
      <c r="A7586" s="6">
        <v>2026</v>
      </c>
      <c r="B7586" s="6">
        <v>4</v>
      </c>
      <c r="C7586" s="6" t="s">
        <v>62</v>
      </c>
      <c r="D7586" s="6" t="s">
        <v>321</v>
      </c>
      <c r="E7586" s="6" t="s">
        <v>381</v>
      </c>
      <c r="F7586" s="6" t="str">
        <f>IF($M7586="PADD I","PADD 1",IF($M7586="PADD II","PADD 2",IF($M7586="PADD III","PADD 3",IF($M7586="PADD IV","PADD 4",IF($M7586="PADD V","PADD 5","")))))</f>
        <v>PADD 2</v>
      </c>
      <c r="G7586" s="6" t="str">
        <f>IF(AND($H7586="ATMOS DISTILLATION",ISNUMBER(SEARCH("VPS",$I7586))=FALSE,LEFT($I7586,6)&lt;&gt;"VACUUM"),"CDU",IF($H7586="FLUID CAT CRACKING","FCC",IF(OR($H7586="HYDROCRACKING",$H7586="RESID_HYDROCRACKING"),"Hydrocracker",IF($H7586="REFORMING","Reformer",""))))</f>
        <v>CDU</v>
      </c>
      <c r="H7586" s="6" t="s">
        <v>38</v>
      </c>
      <c r="I7586" s="6" t="s">
        <v>81</v>
      </c>
      <c r="J7586" s="6" t="s">
        <v>349</v>
      </c>
      <c r="K7586" s="10">
        <v>12</v>
      </c>
      <c r="L7586" s="10">
        <v>40</v>
      </c>
      <c r="M7586" s="6" t="s">
        <v>375</v>
      </c>
    </row>
    <row r="7587" spans="1:13">
      <c r="A7587" s="6">
        <v>2026</v>
      </c>
      <c r="B7587" s="6">
        <v>4</v>
      </c>
      <c r="C7587" s="6" t="s">
        <v>62</v>
      </c>
      <c r="D7587" s="6" t="s">
        <v>615</v>
      </c>
      <c r="E7587" s="6" t="s">
        <v>405</v>
      </c>
      <c r="F7587" s="6" t="str">
        <f>IF($M7587="PADD I","PADD 1",IF($M7587="PADD II","PADD 2",IF($M7587="PADD III","PADD 3",IF($M7587="PADD IV","PADD 4",IF($M7587="PADD V","PADD 5","")))))</f>
        <v>PADD 5</v>
      </c>
      <c r="G7587" s="6">
        <f>IF(AND($H7587="ATMOS DISTILLATION",ISNUMBER(SEARCH("VPS",$I7587))=FALSE,LEFT($I7587,6)&lt;&gt;"VACUUM"),"CDU",IF($H7587="FLUID CAT CRACKING","FCC",IF(OR($H7587="HYDROCRACKING",$H7587="RESID_HYDROCRACKING"),"Hydrocracker",IF($H7587="REFORMING","Reformer",""))))</f>
        <v/>
      </c>
      <c r="H7587" s="6" t="s">
        <v>43</v>
      </c>
      <c r="I7587" s="6" t="s">
        <v>1185</v>
      </c>
      <c r="J7587" s="6" t="s">
        <v>349</v>
      </c>
      <c r="K7587" s="10">
        <v>12</v>
      </c>
      <c r="L7587" s="10">
        <v>12</v>
      </c>
      <c r="M7587" s="6" t="s">
        <v>386</v>
      </c>
    </row>
    <row r="7588" spans="1:13">
      <c r="A7588" s="6">
        <v>2026</v>
      </c>
      <c r="B7588" s="6">
        <v>4</v>
      </c>
      <c r="C7588" s="6" t="s">
        <v>62</v>
      </c>
      <c r="D7588" s="6" t="s">
        <v>1043</v>
      </c>
      <c r="E7588" s="6" t="s">
        <v>388</v>
      </c>
      <c r="F7588" s="6" t="str">
        <f>IF($M7588="PADD I","PADD 1",IF($M7588="PADD II","PADD 2",IF($M7588="PADD III","PADD 3",IF($M7588="PADD IV","PADD 4",IF($M7588="PADD V","PADD 5","")))))</f>
        <v>PADD 2</v>
      </c>
      <c r="G7588" s="6" t="str">
        <f>IF(AND($H7588="ATMOS DISTILLATION",ISNUMBER(SEARCH("VPS",$I7588))=FALSE,LEFT($I7588,6)&lt;&gt;"VACUUM"),"CDU",IF($H7588="FLUID CAT CRACKING","FCC",IF(OR($H7588="HYDROCRACKING",$H7588="RESID_HYDROCRACKING"),"Hydrocracker",IF($H7588="REFORMING","Reformer",""))))</f>
        <v>CDU</v>
      </c>
      <c r="H7588" s="6" t="s">
        <v>38</v>
      </c>
      <c r="I7588" s="6" t="s">
        <v>879</v>
      </c>
      <c r="J7588" s="6" t="s">
        <v>345</v>
      </c>
      <c r="K7588" s="10">
        <v>11.75</v>
      </c>
      <c r="L7588" s="10">
        <v>25</v>
      </c>
      <c r="M7588" s="6" t="s">
        <v>375</v>
      </c>
    </row>
    <row r="7589" spans="1:13">
      <c r="A7589" s="6">
        <v>2026</v>
      </c>
      <c r="B7589" s="6">
        <v>4</v>
      </c>
      <c r="C7589" s="6" t="s">
        <v>62</v>
      </c>
      <c r="D7589" s="6" t="s">
        <v>52</v>
      </c>
      <c r="E7589" s="6" t="s">
        <v>388</v>
      </c>
      <c r="F7589" s="6" t="str">
        <f>IF($M7589="PADD I","PADD 1",IF($M7589="PADD II","PADD 2",IF($M7589="PADD III","PADD 3",IF($M7589="PADD IV","PADD 4",IF($M7589="PADD V","PADD 5","")))))</f>
        <v>PADD 5</v>
      </c>
      <c r="G7589" s="6">
        <f>IF(AND($H7589="ATMOS DISTILLATION",ISNUMBER(SEARCH("VPS",$I7589))=FALSE,LEFT($I7589,6)&lt;&gt;"VACUUM"),"CDU",IF($H7589="FLUID CAT CRACKING","FCC",IF(OR($H7589="HYDROCRACKING",$H7589="RESID_HYDROCRACKING"),"Hydrocracker",IF($H7589="REFORMING","Reformer",""))))</f>
        <v/>
      </c>
      <c r="H7589" s="6" t="s">
        <v>378</v>
      </c>
      <c r="I7589" s="6" t="s">
        <v>431</v>
      </c>
      <c r="J7589" s="6" t="s">
        <v>349</v>
      </c>
      <c r="K7589" s="10">
        <v>11.55</v>
      </c>
      <c r="L7589" s="10">
        <v>16.5</v>
      </c>
      <c r="M7589" s="6" t="s">
        <v>386</v>
      </c>
    </row>
    <row r="7590" spans="1:13">
      <c r="A7590" s="6">
        <v>2026</v>
      </c>
      <c r="B7590" s="6">
        <v>4</v>
      </c>
      <c r="C7590" s="6" t="s">
        <v>62</v>
      </c>
      <c r="D7590" s="6" t="s">
        <v>526</v>
      </c>
      <c r="E7590" s="6" t="s">
        <v>405</v>
      </c>
      <c r="F7590" s="6" t="str">
        <f>IF($M7590="PADD I","PADD 1",IF($M7590="PADD II","PADD 2",IF($M7590="PADD III","PADD 3",IF($M7590="PADD IV","PADD 4",IF($M7590="PADD V","PADD 5","")))))</f>
        <v>PADD 3</v>
      </c>
      <c r="G7590" s="6" t="str">
        <f>IF(AND($H7590="ATMOS DISTILLATION",ISNUMBER(SEARCH("VPS",$I7590))=FALSE,LEFT($I7590,6)&lt;&gt;"VACUUM"),"CDU",IF($H7590="FLUID CAT CRACKING","FCC",IF(OR($H7590="HYDROCRACKING",$H7590="RESID_HYDROCRACKING"),"Hydrocracker",IF($H7590="REFORMING","Reformer",""))))</f>
        <v>Reformer</v>
      </c>
      <c r="H7590" s="6" t="s">
        <v>421</v>
      </c>
      <c r="I7590" s="6" t="s">
        <v>928</v>
      </c>
      <c r="J7590" s="6" t="s">
        <v>345</v>
      </c>
      <c r="K7590" s="10">
        <v>11.5</v>
      </c>
      <c r="L7590" s="10">
        <v>50</v>
      </c>
      <c r="M7590" s="6" t="s">
        <v>371</v>
      </c>
    </row>
    <row r="7591" spans="1:13">
      <c r="A7591" s="6">
        <v>2026</v>
      </c>
      <c r="B7591" s="6">
        <v>4</v>
      </c>
      <c r="C7591" s="6" t="s">
        <v>62</v>
      </c>
      <c r="D7591" s="6" t="s">
        <v>526</v>
      </c>
      <c r="E7591" s="6" t="s">
        <v>405</v>
      </c>
      <c r="F7591" s="6" t="str">
        <f>IF($M7591="PADD I","PADD 1",IF($M7591="PADD II","PADD 2",IF($M7591="PADD III","PADD 3",IF($M7591="PADD IV","PADD 4",IF($M7591="PADD V","PADD 5","")))))</f>
        <v>PADD 3</v>
      </c>
      <c r="G7591" s="6">
        <f>IF(AND($H7591="ATMOS DISTILLATION",ISNUMBER(SEARCH("VPS",$I7591))=FALSE,LEFT($I7591,6)&lt;&gt;"VACUUM"),"CDU",IF($H7591="FLUID CAT CRACKING","FCC",IF(OR($H7591="HYDROCRACKING",$H7591="RESID_HYDROCRACKING"),"Hydrocracker",IF($H7591="REFORMING","Reformer",""))))</f>
        <v/>
      </c>
      <c r="H7591" s="6" t="s">
        <v>435</v>
      </c>
      <c r="I7591" s="6" t="s">
        <v>686</v>
      </c>
      <c r="J7591" s="6" t="s">
        <v>345</v>
      </c>
      <c r="K7591" s="10">
        <v>11</v>
      </c>
      <c r="L7591" s="10">
        <v>55</v>
      </c>
      <c r="M7591" s="6" t="s">
        <v>371</v>
      </c>
    </row>
    <row r="7592" spans="1:13">
      <c r="A7592" s="6">
        <v>2026</v>
      </c>
      <c r="B7592" s="6">
        <v>4</v>
      </c>
      <c r="C7592" s="6" t="s">
        <v>62</v>
      </c>
      <c r="D7592" s="6" t="s">
        <v>946</v>
      </c>
      <c r="E7592" s="6" t="s">
        <v>405</v>
      </c>
      <c r="F7592" s="6" t="str">
        <f>IF($M7592="PADD I","PADD 1",IF($M7592="PADD II","PADD 2",IF($M7592="PADD III","PADD 3",IF($M7592="PADD IV","PADD 4",IF($M7592="PADD V","PADD 5","")))))</f>
        <v>PADD 5</v>
      </c>
      <c r="G7592" s="6" t="str">
        <f>IF(AND($H7592="ATMOS DISTILLATION",ISNUMBER(SEARCH("VPS",$I7592))=FALSE,LEFT($I7592,6)&lt;&gt;"VACUUM"),"CDU",IF($H7592="FLUID CAT CRACKING","FCC",IF(OR($H7592="HYDROCRACKING",$H7592="RESID_HYDROCRACKING"),"Hydrocracker",IF($H7592="REFORMING","Reformer",""))))</f>
        <v>FCC</v>
      </c>
      <c r="H7592" s="6" t="s">
        <v>376</v>
      </c>
      <c r="I7592" s="6" t="s">
        <v>947</v>
      </c>
      <c r="J7592" s="6" t="s">
        <v>345</v>
      </c>
      <c r="K7592" s="10">
        <v>10.8</v>
      </c>
      <c r="L7592" s="10">
        <v>54</v>
      </c>
      <c r="M7592" s="6" t="s">
        <v>386</v>
      </c>
    </row>
    <row r="7593" spans="1:13">
      <c r="A7593" s="6">
        <v>2026</v>
      </c>
      <c r="B7593" s="6">
        <v>4</v>
      </c>
      <c r="C7593" s="6" t="s">
        <v>62</v>
      </c>
      <c r="D7593" s="6" t="s">
        <v>52</v>
      </c>
      <c r="E7593" s="6" t="s">
        <v>388</v>
      </c>
      <c r="F7593" s="6" t="str">
        <f>IF($M7593="PADD I","PADD 1",IF($M7593="PADD II","PADD 2",IF($M7593="PADD III","PADD 3",IF($M7593="PADD IV","PADD 4",IF($M7593="PADD V","PADD 5","")))))</f>
        <v>PADD 5</v>
      </c>
      <c r="G7593" s="6">
        <f>IF(AND($H7593="ATMOS DISTILLATION",ISNUMBER(SEARCH("VPS",$I7593))=FALSE,LEFT($I7593,6)&lt;&gt;"VACUUM"),"CDU",IF($H7593="FLUID CAT CRACKING","FCC",IF(OR($H7593="HYDROCRACKING",$H7593="RESID_HYDROCRACKING"),"Hydrocracker",IF($H7593="REFORMING","Reformer",""))))</f>
        <v/>
      </c>
      <c r="H7593" s="6" t="s">
        <v>43</v>
      </c>
      <c r="I7593" s="6" t="s">
        <v>501</v>
      </c>
      <c r="J7593" s="6" t="s">
        <v>349</v>
      </c>
      <c r="K7593" s="10">
        <v>10.5</v>
      </c>
      <c r="L7593" s="10">
        <v>15</v>
      </c>
      <c r="M7593" s="6" t="s">
        <v>386</v>
      </c>
    </row>
    <row r="7594" spans="1:13">
      <c r="A7594" s="6">
        <v>2026</v>
      </c>
      <c r="B7594" s="6">
        <v>4</v>
      </c>
      <c r="C7594" s="6" t="s">
        <v>62</v>
      </c>
      <c r="D7594" s="6" t="s">
        <v>526</v>
      </c>
      <c r="E7594" s="6" t="s">
        <v>405</v>
      </c>
      <c r="F7594" s="6" t="str">
        <f>IF($M7594="PADD I","PADD 1",IF($M7594="PADD II","PADD 2",IF($M7594="PADD III","PADD 3",IF($M7594="PADD IV","PADD 4",IF($M7594="PADD V","PADD 5","")))))</f>
        <v>PADD 3</v>
      </c>
      <c r="G7594" s="6" t="str">
        <f>IF(AND($H7594="ATMOS DISTILLATION",ISNUMBER(SEARCH("VPS",$I7594))=FALSE,LEFT($I7594,6)&lt;&gt;"VACUUM"),"CDU",IF($H7594="FLUID CAT CRACKING","FCC",IF(OR($H7594="HYDROCRACKING",$H7594="RESID_HYDROCRACKING"),"Hydrocracker",IF($H7594="REFORMING","Reformer",""))))</f>
        <v>CDU</v>
      </c>
      <c r="H7594" s="6" t="s">
        <v>38</v>
      </c>
      <c r="I7594" s="6" t="s">
        <v>641</v>
      </c>
      <c r="J7594" s="6" t="s">
        <v>345</v>
      </c>
      <c r="K7594" s="10">
        <v>10.5</v>
      </c>
      <c r="L7594" s="10">
        <v>150</v>
      </c>
      <c r="M7594" s="6" t="s">
        <v>371</v>
      </c>
    </row>
    <row r="7595" spans="1:13">
      <c r="A7595" s="6">
        <v>2026</v>
      </c>
      <c r="B7595" s="6">
        <v>4</v>
      </c>
      <c r="C7595" s="6" t="s">
        <v>62</v>
      </c>
      <c r="D7595" s="6" t="s">
        <v>547</v>
      </c>
      <c r="E7595" s="6" t="s">
        <v>391</v>
      </c>
      <c r="F7595" s="6" t="str">
        <f>IF($M7595="PADD I","PADD 1",IF($M7595="PADD II","PADD 2",IF($M7595="PADD III","PADD 3",IF($M7595="PADD IV","PADD 4",IF($M7595="PADD V","PADD 5","")))))</f>
        <v>PADD 5</v>
      </c>
      <c r="G7595" s="6" t="str">
        <f>IF(AND($H7595="ATMOS DISTILLATION",ISNUMBER(SEARCH("VPS",$I7595))=FALSE,LEFT($I7595,6)&lt;&gt;"VACUUM"),"CDU",IF($H7595="FLUID CAT CRACKING","FCC",IF(OR($H7595="HYDROCRACKING",$H7595="RESID_HYDROCRACKING"),"Hydrocracker",IF($H7595="REFORMING","Reformer",""))))</f>
        <v>FCC</v>
      </c>
      <c r="H7595" s="6" t="s">
        <v>376</v>
      </c>
      <c r="I7595" s="6" t="s">
        <v>105</v>
      </c>
      <c r="J7595" s="6" t="s">
        <v>345</v>
      </c>
      <c r="K7595" s="10">
        <v>10.4</v>
      </c>
      <c r="L7595" s="10">
        <v>80</v>
      </c>
      <c r="M7595" s="6" t="s">
        <v>386</v>
      </c>
    </row>
    <row r="7596" spans="1:13">
      <c r="A7596" s="6">
        <v>2026</v>
      </c>
      <c r="B7596" s="6">
        <v>4</v>
      </c>
      <c r="C7596" s="6" t="s">
        <v>62</v>
      </c>
      <c r="D7596" s="6" t="s">
        <v>526</v>
      </c>
      <c r="E7596" s="6" t="s">
        <v>405</v>
      </c>
      <c r="F7596" s="6" t="str">
        <f>IF($M7596="PADD I","PADD 1",IF($M7596="PADD II","PADD 2",IF($M7596="PADD III","PADD 3",IF($M7596="PADD IV","PADD 4",IF($M7596="PADD V","PADD 5","")))))</f>
        <v>PADD 3</v>
      </c>
      <c r="G7596" s="6" t="str">
        <f>IF(AND($H7596="ATMOS DISTILLATION",ISNUMBER(SEARCH("VPS",$I7596))=FALSE,LEFT($I7596,6)&lt;&gt;"VACUUM"),"CDU",IF($H7596="FLUID CAT CRACKING","FCC",IF(OR($H7596="HYDROCRACKING",$H7596="RESID_HYDROCRACKING"),"Hydrocracker",IF($H7596="REFORMING","Reformer",""))))</f>
        <v>Hydrocracker</v>
      </c>
      <c r="H7596" s="6" t="s">
        <v>444</v>
      </c>
      <c r="I7596" s="6" t="s">
        <v>351</v>
      </c>
      <c r="J7596" s="6" t="s">
        <v>345</v>
      </c>
      <c r="K7596" s="10">
        <v>10.4</v>
      </c>
      <c r="L7596" s="10">
        <v>13</v>
      </c>
      <c r="M7596" s="6" t="s">
        <v>371</v>
      </c>
    </row>
    <row r="7597" spans="1:13">
      <c r="A7597" s="6">
        <v>2026</v>
      </c>
      <c r="B7597" s="6">
        <v>4</v>
      </c>
      <c r="C7597" s="6" t="s">
        <v>62</v>
      </c>
      <c r="D7597" s="6" t="s">
        <v>934</v>
      </c>
      <c r="E7597" s="6" t="s">
        <v>388</v>
      </c>
      <c r="F7597" s="6" t="str">
        <f>IF($M7597="PADD I","PADD 1",IF($M7597="PADD II","PADD 2",IF($M7597="PADD III","PADD 3",IF($M7597="PADD IV","PADD 4",IF($M7597="PADD V","PADD 5","")))))</f>
        <v>PADD 3</v>
      </c>
      <c r="G7597" s="6">
        <f>IF(AND($H7597="ATMOS DISTILLATION",ISNUMBER(SEARCH("VPS",$I7597))=FALSE,LEFT($I7597,6)&lt;&gt;"VACUUM"),"CDU",IF($H7597="FLUID CAT CRACKING","FCC",IF(OR($H7597="HYDROCRACKING",$H7597="RESID_HYDROCRACKING"),"Hydrocracker",IF($H7597="REFORMING","Reformer",""))))</f>
        <v/>
      </c>
      <c r="H7597" s="6" t="s">
        <v>460</v>
      </c>
      <c r="I7597" s="6" t="s">
        <v>461</v>
      </c>
      <c r="J7597" s="6" t="s">
        <v>349</v>
      </c>
      <c r="K7597" s="10">
        <v>10</v>
      </c>
      <c r="L7597" s="10">
        <v>10</v>
      </c>
      <c r="M7597" s="6" t="s">
        <v>371</v>
      </c>
    </row>
    <row r="7598" spans="1:13">
      <c r="A7598" s="6">
        <v>2026</v>
      </c>
      <c r="B7598" s="6">
        <v>4</v>
      </c>
      <c r="C7598" s="6" t="s">
        <v>62</v>
      </c>
      <c r="D7598" s="6" t="s">
        <v>722</v>
      </c>
      <c r="E7598" s="6" t="s">
        <v>452</v>
      </c>
      <c r="F7598" s="6" t="str">
        <f>IF($M7598="PADD I","PADD 1",IF($M7598="PADD II","PADD 2",IF($M7598="PADD III","PADD 3",IF($M7598="PADD IV","PADD 4",IF($M7598="PADD V","PADD 5","")))))</f>
        <v>PADD 4</v>
      </c>
      <c r="G7598" s="6">
        <f>IF(AND($H7598="ATMOS DISTILLATION",ISNUMBER(SEARCH("VPS",$I7598))=FALSE,LEFT($I7598,6)&lt;&gt;"VACUUM"),"CDU",IF($H7598="FLUID CAT CRACKING","FCC",IF(OR($H7598="HYDROCRACKING",$H7598="RESID_HYDROCRACKING"),"Hydrocracker",IF($H7598="REFORMING","Reformer",""))))</f>
        <v/>
      </c>
      <c r="H7598" s="6" t="s">
        <v>43</v>
      </c>
      <c r="I7598" s="6" t="s">
        <v>1364</v>
      </c>
      <c r="J7598" s="6" t="s">
        <v>349</v>
      </c>
      <c r="K7598" s="10">
        <v>10</v>
      </c>
      <c r="L7598" s="10">
        <v>10</v>
      </c>
      <c r="M7598" s="6" t="s">
        <v>430</v>
      </c>
    </row>
    <row r="7599" spans="1:13">
      <c r="A7599" s="6">
        <v>2026</v>
      </c>
      <c r="B7599" s="6">
        <v>4</v>
      </c>
      <c r="C7599" s="6" t="s">
        <v>62</v>
      </c>
      <c r="D7599" s="6" t="s">
        <v>542</v>
      </c>
      <c r="E7599" s="6" t="s">
        <v>543</v>
      </c>
      <c r="F7599" s="6" t="str">
        <f>IF($M7599="PADD I","PADD 1",IF($M7599="PADD II","PADD 2",IF($M7599="PADD III","PADD 3",IF($M7599="PADD IV","PADD 4",IF($M7599="PADD V","PADD 5","")))))</f>
        <v>PADD 2</v>
      </c>
      <c r="G7599" s="6">
        <f>IF(AND($H7599="ATMOS DISTILLATION",ISNUMBER(SEARCH("VPS",$I7599))=FALSE,LEFT($I7599,6)&lt;&gt;"VACUUM"),"CDU",IF($H7599="FLUID CAT CRACKING","FCC",IF(OR($H7599="HYDROCRACKING",$H7599="RESID_HYDROCRACKING"),"Hydrocracker",IF($H7599="REFORMING","Reformer",""))))</f>
        <v/>
      </c>
      <c r="H7599" s="6" t="s">
        <v>435</v>
      </c>
      <c r="I7599" s="6" t="s">
        <v>441</v>
      </c>
      <c r="J7599" s="6" t="s">
        <v>345</v>
      </c>
      <c r="K7599" s="10">
        <v>10</v>
      </c>
      <c r="L7599" s="10">
        <v>20</v>
      </c>
      <c r="M7599" s="6" t="s">
        <v>375</v>
      </c>
    </row>
    <row r="7600" spans="1:13">
      <c r="A7600" s="6">
        <v>2026</v>
      </c>
      <c r="B7600" s="6">
        <v>4</v>
      </c>
      <c r="C7600" s="6" t="s">
        <v>62</v>
      </c>
      <c r="D7600" s="6" t="s">
        <v>429</v>
      </c>
      <c r="E7600" s="6" t="s">
        <v>388</v>
      </c>
      <c r="F7600" s="6" t="str">
        <f>IF($M7600="PADD I","PADD 1",IF($M7600="PADD II","PADD 2",IF($M7600="PADD III","PADD 3",IF($M7600="PADD IV","PADD 4",IF($M7600="PADD V","PADD 5","")))))</f>
        <v>PADD 4</v>
      </c>
      <c r="G7600" s="6" t="str">
        <f>IF(AND($H7600="ATMOS DISTILLATION",ISNUMBER(SEARCH("VPS",$I7600))=FALSE,LEFT($I7600,6)&lt;&gt;"VACUUM"),"CDU",IF($H7600="FLUID CAT CRACKING","FCC",IF(OR($H7600="HYDROCRACKING",$H7600="RESID_HYDROCRACKING"),"Hydrocracker",IF($H7600="REFORMING","Reformer",""))))</f>
        <v>FCC</v>
      </c>
      <c r="H7600" s="6" t="s">
        <v>376</v>
      </c>
      <c r="I7600" s="6" t="s">
        <v>105</v>
      </c>
      <c r="J7600" s="6" t="s">
        <v>345</v>
      </c>
      <c r="K7600" s="10">
        <v>9.768000000000001</v>
      </c>
      <c r="L7600" s="10">
        <v>26.4</v>
      </c>
      <c r="M7600" s="6" t="s">
        <v>430</v>
      </c>
    </row>
    <row r="7601" spans="1:13">
      <c r="A7601" s="6">
        <v>2026</v>
      </c>
      <c r="B7601" s="6">
        <v>4</v>
      </c>
      <c r="C7601" s="6" t="s">
        <v>62</v>
      </c>
      <c r="D7601" s="6" t="s">
        <v>639</v>
      </c>
      <c r="E7601" s="6" t="s">
        <v>452</v>
      </c>
      <c r="F7601" s="6" t="str">
        <f>IF($M7601="PADD I","PADD 1",IF($M7601="PADD II","PADD 2",IF($M7601="PADD III","PADD 3",IF($M7601="PADD IV","PADD 4",IF($M7601="PADD V","PADD 5","")))))</f>
        <v>PADD 5</v>
      </c>
      <c r="G7601" s="6">
        <f>IF(AND($H7601="ATMOS DISTILLATION",ISNUMBER(SEARCH("VPS",$I7601))=FALSE,LEFT($I7601,6)&lt;&gt;"VACUUM"),"CDU",IF($H7601="FLUID CAT CRACKING","FCC",IF(OR($H7601="HYDROCRACKING",$H7601="RESID_HYDROCRACKING"),"Hydrocracker",IF($H7601="REFORMING","Reformer",""))))</f>
        <v/>
      </c>
      <c r="H7601" s="6" t="s">
        <v>435</v>
      </c>
      <c r="I7601" s="6" t="s">
        <v>1096</v>
      </c>
      <c r="J7601" s="6" t="s">
        <v>345</v>
      </c>
      <c r="K7601" s="10">
        <v>9.361000000000001</v>
      </c>
      <c r="L7601" s="10">
        <v>25.3</v>
      </c>
      <c r="M7601" s="6" t="s">
        <v>386</v>
      </c>
    </row>
    <row r="7602" spans="1:13">
      <c r="A7602" s="6">
        <v>2026</v>
      </c>
      <c r="B7602" s="6">
        <v>4</v>
      </c>
      <c r="C7602" s="6" t="s">
        <v>62</v>
      </c>
      <c r="D7602" s="6" t="s">
        <v>526</v>
      </c>
      <c r="E7602" s="6" t="s">
        <v>405</v>
      </c>
      <c r="F7602" s="6" t="str">
        <f>IF($M7602="PADD I","PADD 1",IF($M7602="PADD II","PADD 2",IF($M7602="PADD III","PADD 3",IF($M7602="PADD IV","PADD 4",IF($M7602="PADD V","PADD 5","")))))</f>
        <v>PADD 3</v>
      </c>
      <c r="G7602" s="6" t="str">
        <f>IF(AND($H7602="ATMOS DISTILLATION",ISNUMBER(SEARCH("VPS",$I7602))=FALSE,LEFT($I7602,6)&lt;&gt;"VACUUM"),"CDU",IF($H7602="FLUID CAT CRACKING","FCC",IF(OR($H7602="HYDROCRACKING",$H7602="RESID_HYDROCRACKING"),"Hydrocracker",IF($H7602="REFORMING","Reformer",""))))</f>
        <v>Hydrocracker</v>
      </c>
      <c r="H7602" s="6" t="s">
        <v>444</v>
      </c>
      <c r="I7602" s="6" t="s">
        <v>351</v>
      </c>
      <c r="J7602" s="6" t="s">
        <v>345</v>
      </c>
      <c r="K7602" s="10">
        <v>9</v>
      </c>
      <c r="L7602" s="10">
        <v>45</v>
      </c>
      <c r="M7602" s="6" t="s">
        <v>371</v>
      </c>
    </row>
    <row r="7603" spans="1:13">
      <c r="A7603" s="6">
        <v>2026</v>
      </c>
      <c r="B7603" s="6">
        <v>4</v>
      </c>
      <c r="C7603" s="6" t="s">
        <v>62</v>
      </c>
      <c r="D7603" s="6" t="s">
        <v>321</v>
      </c>
      <c r="E7603" s="6" t="s">
        <v>381</v>
      </c>
      <c r="F7603" s="6" t="str">
        <f>IF($M7603="PADD I","PADD 1",IF($M7603="PADD II","PADD 2",IF($M7603="PADD III","PADD 3",IF($M7603="PADD IV","PADD 4",IF($M7603="PADD V","PADD 5","")))))</f>
        <v>PADD 2</v>
      </c>
      <c r="G7603" s="6" t="str">
        <f>IF(AND($H7603="ATMOS DISTILLATION",ISNUMBER(SEARCH("VPS",$I7603))=FALSE,LEFT($I7603,6)&lt;&gt;"VACUUM"),"CDU",IF($H7603="FLUID CAT CRACKING","FCC",IF(OR($H7603="HYDROCRACKING",$H7603="RESID_HYDROCRACKING"),"Hydrocracker",IF($H7603="REFORMING","Reformer",""))))</f>
        <v>CDU</v>
      </c>
      <c r="H7603" s="6" t="s">
        <v>38</v>
      </c>
      <c r="I7603" s="6" t="s">
        <v>81</v>
      </c>
      <c r="J7603" s="6" t="s">
        <v>345</v>
      </c>
      <c r="K7603" s="10">
        <v>9</v>
      </c>
      <c r="L7603" s="10">
        <v>45</v>
      </c>
      <c r="M7603" s="6" t="s">
        <v>375</v>
      </c>
    </row>
    <row r="7604" spans="1:13">
      <c r="A7604" s="6">
        <v>2026</v>
      </c>
      <c r="B7604" s="6">
        <v>4</v>
      </c>
      <c r="C7604" s="6" t="s">
        <v>62</v>
      </c>
      <c r="D7604" s="6" t="s">
        <v>462</v>
      </c>
      <c r="E7604" s="6" t="s">
        <v>438</v>
      </c>
      <c r="F7604" s="6" t="str">
        <f>IF($M7604="PADD I","PADD 1",IF($M7604="PADD II","PADD 2",IF($M7604="PADD III","PADD 3",IF($M7604="PADD IV","PADD 4",IF($M7604="PADD V","PADD 5","")))))</f>
        <v>PADD 4</v>
      </c>
      <c r="G7604" s="6">
        <f>IF(AND($H7604="ATMOS DISTILLATION",ISNUMBER(SEARCH("VPS",$I7604))=FALSE,LEFT($I7604,6)&lt;&gt;"VACUUM"),"CDU",IF($H7604="FLUID CAT CRACKING","FCC",IF(OR($H7604="HYDROCRACKING",$H7604="RESID_HYDROCRACKING"),"Hydrocracker",IF($H7604="REFORMING","Reformer",""))))</f>
        <v/>
      </c>
      <c r="H7604" s="6" t="s">
        <v>43</v>
      </c>
      <c r="I7604" s="6" t="s">
        <v>470</v>
      </c>
      <c r="J7604" s="6" t="s">
        <v>349</v>
      </c>
      <c r="K7604" s="10">
        <v>9</v>
      </c>
      <c r="L7604" s="10">
        <v>30</v>
      </c>
      <c r="M7604" s="6" t="s">
        <v>430</v>
      </c>
    </row>
    <row r="7605" spans="1:13">
      <c r="A7605" s="6">
        <v>2026</v>
      </c>
      <c r="B7605" s="6">
        <v>4</v>
      </c>
      <c r="C7605" s="6" t="s">
        <v>62</v>
      </c>
      <c r="D7605" s="6" t="s">
        <v>437</v>
      </c>
      <c r="E7605" s="6" t="s">
        <v>438</v>
      </c>
      <c r="F7605" s="6" t="str">
        <f>IF($M7605="PADD I","PADD 1",IF($M7605="PADD II","PADD 2",IF($M7605="PADD III","PADD 3",IF($M7605="PADD IV","PADD 4",IF($M7605="PADD V","PADD 5","")))))</f>
        <v>PADD 4</v>
      </c>
      <c r="G7605" s="6" t="str">
        <f>IF(AND($H7605="ATMOS DISTILLATION",ISNUMBER(SEARCH("VPS",$I7605))=FALSE,LEFT($I7605,6)&lt;&gt;"VACUUM"),"CDU",IF($H7605="FLUID CAT CRACKING","FCC",IF(OR($H7605="HYDROCRACKING",$H7605="RESID_HYDROCRACKING"),"Hydrocracker",IF($H7605="REFORMING","Reformer",""))))</f>
        <v>CDU</v>
      </c>
      <c r="H7605" s="6" t="s">
        <v>38</v>
      </c>
      <c r="I7605" s="6" t="s">
        <v>439</v>
      </c>
      <c r="J7605" s="6" t="s">
        <v>349</v>
      </c>
      <c r="K7605" s="10">
        <v>8.970000000000001</v>
      </c>
      <c r="L7605" s="10">
        <v>39</v>
      </c>
      <c r="M7605" s="6" t="s">
        <v>430</v>
      </c>
    </row>
    <row r="7606" spans="1:13">
      <c r="A7606" s="6">
        <v>2026</v>
      </c>
      <c r="B7606" s="6">
        <v>4</v>
      </c>
      <c r="C7606" s="6" t="s">
        <v>62</v>
      </c>
      <c r="D7606" s="6" t="s">
        <v>722</v>
      </c>
      <c r="E7606" s="6" t="s">
        <v>452</v>
      </c>
      <c r="F7606" s="6" t="str">
        <f>IF($M7606="PADD I","PADD 1",IF($M7606="PADD II","PADD 2",IF($M7606="PADD III","PADD 3",IF($M7606="PADD IV","PADD 4",IF($M7606="PADD V","PADD 5","")))))</f>
        <v>PADD 4</v>
      </c>
      <c r="G7606" s="6" t="str">
        <f>IF(AND($H7606="ATMOS DISTILLATION",ISNUMBER(SEARCH("VPS",$I7606))=FALSE,LEFT($I7606,6)&lt;&gt;"VACUUM"),"CDU",IF($H7606="FLUID CAT CRACKING","FCC",IF(OR($H7606="HYDROCRACKING",$H7606="RESID_HYDROCRACKING"),"Hydrocracker",IF($H7606="REFORMING","Reformer",""))))</f>
        <v>FCC</v>
      </c>
      <c r="H7606" s="6" t="s">
        <v>376</v>
      </c>
      <c r="I7606" s="6" t="s">
        <v>1106</v>
      </c>
      <c r="J7606" s="6" t="s">
        <v>349</v>
      </c>
      <c r="K7606" s="10">
        <v>8.9</v>
      </c>
      <c r="L7606" s="10">
        <v>8.9</v>
      </c>
      <c r="M7606" s="6" t="s">
        <v>430</v>
      </c>
    </row>
    <row r="7607" spans="1:13">
      <c r="A7607" s="6">
        <v>2026</v>
      </c>
      <c r="B7607" s="6">
        <v>4</v>
      </c>
      <c r="C7607" s="6" t="s">
        <v>62</v>
      </c>
      <c r="D7607" s="6" t="s">
        <v>446</v>
      </c>
      <c r="E7607" s="6" t="s">
        <v>391</v>
      </c>
      <c r="F7607" s="6" t="str">
        <f>IF($M7607="PADD I","PADD 1",IF($M7607="PADD II","PADD 2",IF($M7607="PADD III","PADD 3",IF($M7607="PADD IV","PADD 4",IF($M7607="PADD V","PADD 5","")))))</f>
        <v>PADD 3</v>
      </c>
      <c r="G7607" s="6" t="str">
        <f>IF(AND($H7607="ATMOS DISTILLATION",ISNUMBER(SEARCH("VPS",$I7607))=FALSE,LEFT($I7607,6)&lt;&gt;"VACUUM"),"CDU",IF($H7607="FLUID CAT CRACKING","FCC",IF(OR($H7607="HYDROCRACKING",$H7607="RESID_HYDROCRACKING"),"Hydrocracker",IF($H7607="REFORMING","Reformer",""))))</f>
        <v>Reformer</v>
      </c>
      <c r="H7607" s="6" t="s">
        <v>421</v>
      </c>
      <c r="I7607" s="6" t="s">
        <v>483</v>
      </c>
      <c r="J7607" s="6" t="s">
        <v>345</v>
      </c>
      <c r="K7607" s="10">
        <v>8.880000000000001</v>
      </c>
      <c r="L7607" s="10">
        <v>24</v>
      </c>
      <c r="M7607" s="6" t="s">
        <v>371</v>
      </c>
    </row>
    <row r="7608" spans="1:13">
      <c r="A7608" s="6">
        <v>2026</v>
      </c>
      <c r="B7608" s="6">
        <v>4</v>
      </c>
      <c r="C7608" s="6" t="s">
        <v>62</v>
      </c>
      <c r="D7608" s="6" t="s">
        <v>52</v>
      </c>
      <c r="E7608" s="6" t="s">
        <v>388</v>
      </c>
      <c r="F7608" s="6" t="str">
        <f>IF($M7608="PADD I","PADD 1",IF($M7608="PADD II","PADD 2",IF($M7608="PADD III","PADD 3",IF($M7608="PADD IV","PADD 4",IF($M7608="PADD V","PADD 5","")))))</f>
        <v>PADD 5</v>
      </c>
      <c r="G7608" s="6" t="str">
        <f>IF(AND($H7608="ATMOS DISTILLATION",ISNUMBER(SEARCH("VPS",$I7608))=FALSE,LEFT($I7608,6)&lt;&gt;"VACUUM"),"CDU",IF($H7608="FLUID CAT CRACKING","FCC",IF(OR($H7608="HYDROCRACKING",$H7608="RESID_HYDROCRACKING"),"Hydrocracker",IF($H7608="REFORMING","Reformer",""))))</f>
        <v>Hydrocracker</v>
      </c>
      <c r="H7608" s="6" t="s">
        <v>444</v>
      </c>
      <c r="I7608" s="6" t="s">
        <v>14</v>
      </c>
      <c r="J7608" s="6" t="s">
        <v>349</v>
      </c>
      <c r="K7608" s="10">
        <v>8.75</v>
      </c>
      <c r="L7608" s="10">
        <v>12.5</v>
      </c>
      <c r="M7608" s="6" t="s">
        <v>386</v>
      </c>
    </row>
    <row r="7609" spans="1:13">
      <c r="A7609" s="6">
        <v>2026</v>
      </c>
      <c r="B7609" s="6">
        <v>4</v>
      </c>
      <c r="C7609" s="6" t="s">
        <v>62</v>
      </c>
      <c r="D7609" s="6" t="s">
        <v>429</v>
      </c>
      <c r="E7609" s="6" t="s">
        <v>388</v>
      </c>
      <c r="F7609" s="6" t="str">
        <f>IF($M7609="PADD I","PADD 1",IF($M7609="PADD II","PADD 2",IF($M7609="PADD III","PADD 3",IF($M7609="PADD IV","PADD 4",IF($M7609="PADD V","PADD 5","")))))</f>
        <v>PADD 4</v>
      </c>
      <c r="G7609" s="6" t="str">
        <f>IF(AND($H7609="ATMOS DISTILLATION",ISNUMBER(SEARCH("VPS",$I7609))=FALSE,LEFT($I7609,6)&lt;&gt;"VACUUM"),"CDU",IF($H7609="FLUID CAT CRACKING","FCC",IF(OR($H7609="HYDROCRACKING",$H7609="RESID_HYDROCRACKING"),"Hydrocracker",IF($H7609="REFORMING","Reformer",""))))</f>
        <v>FCC</v>
      </c>
      <c r="H7609" s="6" t="s">
        <v>376</v>
      </c>
      <c r="I7609" s="6" t="s">
        <v>105</v>
      </c>
      <c r="J7609" s="6" t="s">
        <v>345</v>
      </c>
      <c r="K7609" s="10">
        <v>8.712</v>
      </c>
      <c r="L7609" s="10">
        <v>26.4</v>
      </c>
      <c r="M7609" s="6" t="s">
        <v>430</v>
      </c>
    </row>
    <row r="7610" spans="1:13">
      <c r="A7610" s="6">
        <v>2026</v>
      </c>
      <c r="B7610" s="6">
        <v>4</v>
      </c>
      <c r="C7610" s="6" t="s">
        <v>62</v>
      </c>
      <c r="D7610" s="6" t="s">
        <v>526</v>
      </c>
      <c r="E7610" s="6" t="s">
        <v>405</v>
      </c>
      <c r="F7610" s="6" t="str">
        <f>IF($M7610="PADD I","PADD 1",IF($M7610="PADD II","PADD 2",IF($M7610="PADD III","PADD 3",IF($M7610="PADD IV","PADD 4",IF($M7610="PADD V","PADD 5","")))))</f>
        <v>PADD 3</v>
      </c>
      <c r="G7610" s="6">
        <f>IF(AND($H7610="ATMOS DISTILLATION",ISNUMBER(SEARCH("VPS",$I7610))=FALSE,LEFT($I7610,6)&lt;&gt;"VACUUM"),"CDU",IF($H7610="FLUID CAT CRACKING","FCC",IF(OR($H7610="HYDROCRACKING",$H7610="RESID_HYDROCRACKING"),"Hydrocracker",IF($H7610="REFORMING","Reformer",""))))</f>
        <v/>
      </c>
      <c r="H7610" s="6" t="s">
        <v>43</v>
      </c>
      <c r="I7610" s="6" t="s">
        <v>1089</v>
      </c>
      <c r="J7610" s="6" t="s">
        <v>345</v>
      </c>
      <c r="K7610" s="10">
        <v>8.6</v>
      </c>
      <c r="L7610" s="10">
        <v>43</v>
      </c>
      <c r="M7610" s="6" t="s">
        <v>371</v>
      </c>
    </row>
    <row r="7611" spans="1:13">
      <c r="A7611" s="6">
        <v>2026</v>
      </c>
      <c r="B7611" s="6">
        <v>4</v>
      </c>
      <c r="C7611" s="6" t="s">
        <v>62</v>
      </c>
      <c r="D7611" s="6" t="s">
        <v>526</v>
      </c>
      <c r="E7611" s="6" t="s">
        <v>405</v>
      </c>
      <c r="F7611" s="6" t="str">
        <f>IF($M7611="PADD I","PADD 1",IF($M7611="PADD II","PADD 2",IF($M7611="PADD III","PADD 3",IF($M7611="PADD IV","PADD 4",IF($M7611="PADD V","PADD 5","")))))</f>
        <v>PADD 3</v>
      </c>
      <c r="G7611" s="6" t="str">
        <f>IF(AND($H7611="ATMOS DISTILLATION",ISNUMBER(SEARCH("VPS",$I7611))=FALSE,LEFT($I7611,6)&lt;&gt;"VACUUM"),"CDU",IF($H7611="FLUID CAT CRACKING","FCC",IF(OR($H7611="HYDROCRACKING",$H7611="RESID_HYDROCRACKING"),"Hydrocracker",IF($H7611="REFORMING","Reformer",""))))</f>
        <v>Hydrocracker</v>
      </c>
      <c r="H7611" s="6" t="s">
        <v>444</v>
      </c>
      <c r="I7611" s="6" t="s">
        <v>527</v>
      </c>
      <c r="J7611" s="6" t="s">
        <v>345</v>
      </c>
      <c r="K7611" s="10">
        <v>8.5</v>
      </c>
      <c r="L7611" s="10">
        <v>17</v>
      </c>
      <c r="M7611" s="6" t="s">
        <v>371</v>
      </c>
    </row>
    <row r="7612" spans="1:13">
      <c r="A7612" s="6">
        <v>2026</v>
      </c>
      <c r="B7612" s="6">
        <v>4</v>
      </c>
      <c r="C7612" s="6" t="s">
        <v>62</v>
      </c>
      <c r="D7612" s="6" t="s">
        <v>52</v>
      </c>
      <c r="E7612" s="6" t="s">
        <v>388</v>
      </c>
      <c r="F7612" s="6" t="str">
        <f>IF($M7612="PADD I","PADD 1",IF($M7612="PADD II","PADD 2",IF($M7612="PADD III","PADD 3",IF($M7612="PADD IV","PADD 4",IF($M7612="PADD V","PADD 5","")))))</f>
        <v>PADD 5</v>
      </c>
      <c r="G7612" s="6" t="str">
        <f>IF(AND($H7612="ATMOS DISTILLATION",ISNUMBER(SEARCH("VPS",$I7612))=FALSE,LEFT($I7612,6)&lt;&gt;"VACUUM"),"CDU",IF($H7612="FLUID CAT CRACKING","FCC",IF(OR($H7612="HYDROCRACKING",$H7612="RESID_HYDROCRACKING"),"Hydrocracker",IF($H7612="REFORMING","Reformer",""))))</f>
        <v>Reformer</v>
      </c>
      <c r="H7612" s="6" t="s">
        <v>421</v>
      </c>
      <c r="I7612" s="6" t="s">
        <v>725</v>
      </c>
      <c r="J7612" s="6" t="s">
        <v>349</v>
      </c>
      <c r="K7612" s="10">
        <v>8.4</v>
      </c>
      <c r="L7612" s="10">
        <v>12</v>
      </c>
      <c r="M7612" s="6" t="s">
        <v>386</v>
      </c>
    </row>
    <row r="7613" spans="1:13">
      <c r="A7613" s="6">
        <v>2026</v>
      </c>
      <c r="B7613" s="6">
        <v>4</v>
      </c>
      <c r="C7613" s="6" t="s">
        <v>62</v>
      </c>
      <c r="D7613" s="6" t="s">
        <v>878</v>
      </c>
      <c r="E7613" s="6" t="s">
        <v>452</v>
      </c>
      <c r="F7613" s="6" t="str">
        <f>IF($M7613="PADD I","PADD 1",IF($M7613="PADD II","PADD 2",IF($M7613="PADD III","PADD 3",IF($M7613="PADD IV","PADD 4",IF($M7613="PADD V","PADD 5","")))))</f>
        <v>PADD 2</v>
      </c>
      <c r="G7613" s="6">
        <f>IF(AND($H7613="ATMOS DISTILLATION",ISNUMBER(SEARCH("VPS",$I7613))=FALSE,LEFT($I7613,6)&lt;&gt;"VACUUM"),"CDU",IF($H7613="FLUID CAT CRACKING","FCC",IF(OR($H7613="HYDROCRACKING",$H7613="RESID_HYDROCRACKING"),"Hydrocracker",IF($H7613="REFORMING","Reformer",""))))</f>
        <v/>
      </c>
      <c r="H7613" s="6" t="s">
        <v>435</v>
      </c>
      <c r="I7613" s="6" t="s">
        <v>441</v>
      </c>
      <c r="J7613" s="6" t="s">
        <v>345</v>
      </c>
      <c r="K7613" s="10">
        <v>8.244999999999999</v>
      </c>
      <c r="L7613" s="10">
        <v>8.5</v>
      </c>
      <c r="M7613" s="6" t="s">
        <v>375</v>
      </c>
    </row>
    <row r="7614" spans="1:13">
      <c r="A7614" s="6">
        <v>2026</v>
      </c>
      <c r="B7614" s="6">
        <v>4</v>
      </c>
      <c r="C7614" s="6" t="s">
        <v>62</v>
      </c>
      <c r="D7614" s="6" t="s">
        <v>880</v>
      </c>
      <c r="E7614" s="6" t="s">
        <v>881</v>
      </c>
      <c r="F7614" s="6" t="str">
        <f>IF($M7614="PADD I","PADD 1",IF($M7614="PADD II","PADD 2",IF($M7614="PADD III","PADD 3",IF($M7614="PADD IV","PADD 4",IF($M7614="PADD V","PADD 5","")))))</f>
        <v>PADD 3</v>
      </c>
      <c r="G7614" s="6" t="str">
        <f>IF(AND($H7614="ATMOS DISTILLATION",ISNUMBER(SEARCH("VPS",$I7614))=FALSE,LEFT($I7614,6)&lt;&gt;"VACUUM"),"CDU",IF($H7614="FLUID CAT CRACKING","FCC",IF(OR($H7614="HYDROCRACKING",$H7614="RESID_HYDROCRACKING"),"Hydrocracker",IF($H7614="REFORMING","Reformer",""))))</f>
        <v>CDU</v>
      </c>
      <c r="H7614" s="6" t="s">
        <v>38</v>
      </c>
      <c r="I7614" s="6" t="s">
        <v>131</v>
      </c>
      <c r="J7614" s="6" t="s">
        <v>349</v>
      </c>
      <c r="K7614" s="10">
        <v>8.1</v>
      </c>
      <c r="L7614" s="10">
        <v>13.5</v>
      </c>
      <c r="M7614" s="6" t="s">
        <v>371</v>
      </c>
    </row>
    <row r="7615" spans="1:13">
      <c r="A7615" s="6">
        <v>2026</v>
      </c>
      <c r="B7615" s="6">
        <v>4</v>
      </c>
      <c r="C7615" s="6" t="s">
        <v>62</v>
      </c>
      <c r="D7615" s="6" t="s">
        <v>52</v>
      </c>
      <c r="E7615" s="6" t="s">
        <v>388</v>
      </c>
      <c r="F7615" s="6" t="str">
        <f>IF($M7615="PADD I","PADD 1",IF($M7615="PADD II","PADD 2",IF($M7615="PADD III","PADD 3",IF($M7615="PADD IV","PADD 4",IF($M7615="PADD V","PADD 5","")))))</f>
        <v>PADD 5</v>
      </c>
      <c r="G7615" s="6">
        <f>IF(AND($H7615="ATMOS DISTILLATION",ISNUMBER(SEARCH("VPS",$I7615))=FALSE,LEFT($I7615,6)&lt;&gt;"VACUUM"),"CDU",IF($H7615="FLUID CAT CRACKING","FCC",IF(OR($H7615="HYDROCRACKING",$H7615="RESID_HYDROCRACKING"),"Hydrocracker",IF($H7615="REFORMING","Reformer",""))))</f>
        <v/>
      </c>
      <c r="H7615" s="6" t="s">
        <v>43</v>
      </c>
      <c r="I7615" s="6" t="s">
        <v>787</v>
      </c>
      <c r="J7615" s="6" t="s">
        <v>349</v>
      </c>
      <c r="K7615" s="10">
        <v>8.050000000000001</v>
      </c>
      <c r="L7615" s="10">
        <v>11.5</v>
      </c>
      <c r="M7615" s="6" t="s">
        <v>386</v>
      </c>
    </row>
    <row r="7616" spans="1:13">
      <c r="A7616" s="6">
        <v>2026</v>
      </c>
      <c r="B7616" s="6">
        <v>4</v>
      </c>
      <c r="C7616" s="6" t="s">
        <v>62</v>
      </c>
      <c r="D7616" s="6" t="s">
        <v>722</v>
      </c>
      <c r="E7616" s="6" t="s">
        <v>452</v>
      </c>
      <c r="F7616" s="6" t="str">
        <f>IF($M7616="PADD I","PADD 1",IF($M7616="PADD II","PADD 2",IF($M7616="PADD III","PADD 3",IF($M7616="PADD IV","PADD 4",IF($M7616="PADD V","PADD 5","")))))</f>
        <v>PADD 4</v>
      </c>
      <c r="G7616" s="6" t="str">
        <f>IF(AND($H7616="ATMOS DISTILLATION",ISNUMBER(SEARCH("VPS",$I7616))=FALSE,LEFT($I7616,6)&lt;&gt;"VACUUM"),"CDU",IF($H7616="FLUID CAT CRACKING","FCC",IF(OR($H7616="HYDROCRACKING",$H7616="RESID_HYDROCRACKING"),"Hydrocracker",IF($H7616="REFORMING","Reformer",""))))</f>
        <v>Reformer</v>
      </c>
      <c r="H7616" s="6" t="s">
        <v>421</v>
      </c>
      <c r="I7616" s="6" t="s">
        <v>1107</v>
      </c>
      <c r="J7616" s="6" t="s">
        <v>349</v>
      </c>
      <c r="K7616" s="10">
        <v>8</v>
      </c>
      <c r="L7616" s="10">
        <v>8</v>
      </c>
      <c r="M7616" s="6" t="s">
        <v>430</v>
      </c>
    </row>
    <row r="7617" spans="1:13">
      <c r="A7617" s="6">
        <v>2026</v>
      </c>
      <c r="B7617" s="6">
        <v>4</v>
      </c>
      <c r="C7617" s="6" t="s">
        <v>62</v>
      </c>
      <c r="D7617" s="6" t="s">
        <v>54</v>
      </c>
      <c r="E7617" s="6" t="s">
        <v>856</v>
      </c>
      <c r="F7617" s="6" t="str">
        <f>IF($M7617="PADD I","PADD 1",IF($M7617="PADD II","PADD 2",IF($M7617="PADD III","PADD 3",IF($M7617="PADD IV","PADD 4",IF($M7617="PADD V","PADD 5","")))))</f>
        <v>PADD 5</v>
      </c>
      <c r="G7617" s="6" t="str">
        <f>IF(AND($H7617="ATMOS DISTILLATION",ISNUMBER(SEARCH("VPS",$I7617))=FALSE,LEFT($I7617,6)&lt;&gt;"VACUUM"),"CDU",IF($H7617="FLUID CAT CRACKING","FCC",IF(OR($H7617="HYDROCRACKING",$H7617="RESID_HYDROCRACKING"),"Hydrocracker",IF($H7617="REFORMING","Reformer",""))))</f>
        <v>CDU</v>
      </c>
      <c r="H7617" s="6" t="s">
        <v>38</v>
      </c>
      <c r="I7617" s="6" t="s">
        <v>857</v>
      </c>
      <c r="J7617" s="6" t="s">
        <v>349</v>
      </c>
      <c r="K7617" s="10">
        <v>7.8</v>
      </c>
      <c r="L7617" s="10">
        <v>60</v>
      </c>
      <c r="M7617" s="6" t="s">
        <v>386</v>
      </c>
    </row>
    <row r="7618" spans="1:13">
      <c r="A7618" s="6">
        <v>2026</v>
      </c>
      <c r="B7618" s="6">
        <v>4</v>
      </c>
      <c r="C7618" s="6" t="s">
        <v>62</v>
      </c>
      <c r="D7618" s="6" t="s">
        <v>526</v>
      </c>
      <c r="E7618" s="6" t="s">
        <v>405</v>
      </c>
      <c r="F7618" s="6" t="str">
        <f>IF($M7618="PADD I","PADD 1",IF($M7618="PADD II","PADD 2",IF($M7618="PADD III","PADD 3",IF($M7618="PADD IV","PADD 4",IF($M7618="PADD V","PADD 5","")))))</f>
        <v>PADD 3</v>
      </c>
      <c r="G7618" s="6">
        <f>IF(AND($H7618="ATMOS DISTILLATION",ISNUMBER(SEARCH("VPS",$I7618))=FALSE,LEFT($I7618,6)&lt;&gt;"VACUUM"),"CDU",IF($H7618="FLUID CAT CRACKING","FCC",IF(OR($H7618="HYDROCRACKING",$H7618="RESID_HYDROCRACKING"),"Hydrocracker",IF($H7618="REFORMING","Reformer",""))))</f>
        <v/>
      </c>
      <c r="H7618" s="6" t="s">
        <v>43</v>
      </c>
      <c r="I7618" s="6" t="s">
        <v>1222</v>
      </c>
      <c r="J7618" s="6" t="s">
        <v>345</v>
      </c>
      <c r="K7618" s="10">
        <v>7.65</v>
      </c>
      <c r="L7618" s="10">
        <v>45</v>
      </c>
      <c r="M7618" s="6" t="s">
        <v>371</v>
      </c>
    </row>
    <row r="7619" spans="1:13">
      <c r="A7619" s="6">
        <v>2026</v>
      </c>
      <c r="B7619" s="6">
        <v>4</v>
      </c>
      <c r="C7619" s="6" t="s">
        <v>62</v>
      </c>
      <c r="D7619" s="6" t="s">
        <v>446</v>
      </c>
      <c r="E7619" s="6" t="s">
        <v>391</v>
      </c>
      <c r="F7619" s="6" t="str">
        <f>IF($M7619="PADD I","PADD 1",IF($M7619="PADD II","PADD 2",IF($M7619="PADD III","PADD 3",IF($M7619="PADD IV","PADD 4",IF($M7619="PADD V","PADD 5","")))))</f>
        <v>PADD 3</v>
      </c>
      <c r="G7619" s="6">
        <f>IF(AND($H7619="ATMOS DISTILLATION",ISNUMBER(SEARCH("VPS",$I7619))=FALSE,LEFT($I7619,6)&lt;&gt;"VACUUM"),"CDU",IF($H7619="FLUID CAT CRACKING","FCC",IF(OR($H7619="HYDROCRACKING",$H7619="RESID_HYDROCRACKING"),"Hydrocracker",IF($H7619="REFORMING","Reformer",""))))</f>
        <v/>
      </c>
      <c r="H7619" s="6" t="s">
        <v>378</v>
      </c>
      <c r="I7619" s="6" t="s">
        <v>1041</v>
      </c>
      <c r="J7619" s="6" t="s">
        <v>345</v>
      </c>
      <c r="K7619" s="10">
        <v>7.6</v>
      </c>
      <c r="L7619" s="10">
        <v>38</v>
      </c>
      <c r="M7619" s="6" t="s">
        <v>371</v>
      </c>
    </row>
    <row r="7620" spans="1:13">
      <c r="A7620" s="6">
        <v>2026</v>
      </c>
      <c r="B7620" s="6">
        <v>4</v>
      </c>
      <c r="C7620" s="6" t="s">
        <v>62</v>
      </c>
      <c r="D7620" s="6" t="s">
        <v>542</v>
      </c>
      <c r="E7620" s="6" t="s">
        <v>543</v>
      </c>
      <c r="F7620" s="6" t="str">
        <f>IF($M7620="PADD I","PADD 1",IF($M7620="PADD II","PADD 2",IF($M7620="PADD III","PADD 3",IF($M7620="PADD IV","PADD 4",IF($M7620="PADD V","PADD 5","")))))</f>
        <v>PADD 2</v>
      </c>
      <c r="G7620" s="6" t="str">
        <f>IF(AND($H7620="ATMOS DISTILLATION",ISNUMBER(SEARCH("VPS",$I7620))=FALSE,LEFT($I7620,6)&lt;&gt;"VACUUM"),"CDU",IF($H7620="FLUID CAT CRACKING","FCC",IF(OR($H7620="HYDROCRACKING",$H7620="RESID_HYDROCRACKING"),"Hydrocracker",IF($H7620="REFORMING","Reformer",""))))</f>
        <v>CDU</v>
      </c>
      <c r="H7620" s="6" t="s">
        <v>38</v>
      </c>
      <c r="I7620" s="6" t="s">
        <v>874</v>
      </c>
      <c r="J7620" s="6" t="s">
        <v>345</v>
      </c>
      <c r="K7620" s="10">
        <v>7.5</v>
      </c>
      <c r="L7620" s="10">
        <v>250</v>
      </c>
      <c r="M7620" s="6" t="s">
        <v>375</v>
      </c>
    </row>
    <row r="7621" spans="1:13">
      <c r="A7621" s="6">
        <v>2026</v>
      </c>
      <c r="B7621" s="6">
        <v>4</v>
      </c>
      <c r="C7621" s="6" t="s">
        <v>62</v>
      </c>
      <c r="D7621" s="6" t="s">
        <v>1043</v>
      </c>
      <c r="E7621" s="6" t="s">
        <v>388</v>
      </c>
      <c r="F7621" s="6" t="str">
        <f>IF($M7621="PADD I","PADD 1",IF($M7621="PADD II","PADD 2",IF($M7621="PADD III","PADD 3",IF($M7621="PADD IV","PADD 4",IF($M7621="PADD V","PADD 5","")))))</f>
        <v>PADD 2</v>
      </c>
      <c r="G7621" s="6">
        <f>IF(AND($H7621="ATMOS DISTILLATION",ISNUMBER(SEARCH("VPS",$I7621))=FALSE,LEFT($I7621,6)&lt;&gt;"VACUUM"),"CDU",IF($H7621="FLUID CAT CRACKING","FCC",IF(OR($H7621="HYDROCRACKING",$H7621="RESID_HYDROCRACKING"),"Hydrocracker",IF($H7621="REFORMING","Reformer",""))))</f>
        <v/>
      </c>
      <c r="H7621" s="6" t="s">
        <v>43</v>
      </c>
      <c r="I7621" s="6" t="s">
        <v>1052</v>
      </c>
      <c r="J7621" s="6" t="s">
        <v>345</v>
      </c>
      <c r="K7621" s="10">
        <v>7.14</v>
      </c>
      <c r="L7621" s="10">
        <v>23.8</v>
      </c>
      <c r="M7621" s="6" t="s">
        <v>375</v>
      </c>
    </row>
    <row r="7622" spans="1:13">
      <c r="A7622" s="6">
        <v>2026</v>
      </c>
      <c r="B7622" s="6">
        <v>4</v>
      </c>
      <c r="C7622" s="6" t="s">
        <v>62</v>
      </c>
      <c r="D7622" s="6" t="s">
        <v>429</v>
      </c>
      <c r="E7622" s="6" t="s">
        <v>388</v>
      </c>
      <c r="F7622" s="6" t="str">
        <f>IF($M7622="PADD I","PADD 1",IF($M7622="PADD II","PADD 2",IF($M7622="PADD III","PADD 3",IF($M7622="PADD IV","PADD 4",IF($M7622="PADD V","PADD 5","")))))</f>
        <v>PADD 4</v>
      </c>
      <c r="G7622" s="6" t="str">
        <f>IF(AND($H7622="ATMOS DISTILLATION",ISNUMBER(SEARCH("VPS",$I7622))=FALSE,LEFT($I7622,6)&lt;&gt;"VACUUM"),"CDU",IF($H7622="FLUID CAT CRACKING","FCC",IF(OR($H7622="HYDROCRACKING",$H7622="RESID_HYDROCRACKING"),"Hydrocracker",IF($H7622="REFORMING","Reformer",""))))</f>
        <v>FCC</v>
      </c>
      <c r="H7622" s="6" t="s">
        <v>376</v>
      </c>
      <c r="I7622" s="6" t="s">
        <v>105</v>
      </c>
      <c r="J7622" s="6" t="s">
        <v>345</v>
      </c>
      <c r="K7622" s="10">
        <v>7.128</v>
      </c>
      <c r="L7622" s="10">
        <v>26.4</v>
      </c>
      <c r="M7622" s="6" t="s">
        <v>430</v>
      </c>
    </row>
    <row r="7623" spans="1:13">
      <c r="A7623" s="6">
        <v>2026</v>
      </c>
      <c r="B7623" s="6">
        <v>4</v>
      </c>
      <c r="C7623" s="6" t="s">
        <v>62</v>
      </c>
      <c r="D7623" s="6" t="s">
        <v>1043</v>
      </c>
      <c r="E7623" s="6" t="s">
        <v>388</v>
      </c>
      <c r="F7623" s="6" t="str">
        <f>IF($M7623="PADD I","PADD 1",IF($M7623="PADD II","PADD 2",IF($M7623="PADD III","PADD 3",IF($M7623="PADD IV","PADD 4",IF($M7623="PADD V","PADD 5","")))))</f>
        <v>PADD 2</v>
      </c>
      <c r="G7623" s="6">
        <f>IF(AND($H7623="ATMOS DISTILLATION",ISNUMBER(SEARCH("VPS",$I7623))=FALSE,LEFT($I7623,6)&lt;&gt;"VACUUM"),"CDU",IF($H7623="FLUID CAT CRACKING","FCC",IF(OR($H7623="HYDROCRACKING",$H7623="RESID_HYDROCRACKING"),"Hydrocracker",IF($H7623="REFORMING","Reformer",""))))</f>
        <v/>
      </c>
      <c r="H7623" s="6" t="s">
        <v>43</v>
      </c>
      <c r="I7623" s="6" t="s">
        <v>1056</v>
      </c>
      <c r="J7623" s="6" t="s">
        <v>349</v>
      </c>
      <c r="K7623" s="10">
        <v>7.05</v>
      </c>
      <c r="L7623" s="10">
        <v>15</v>
      </c>
      <c r="M7623" s="6" t="s">
        <v>375</v>
      </c>
    </row>
    <row r="7624" spans="1:13">
      <c r="A7624" s="6">
        <v>2026</v>
      </c>
      <c r="B7624" s="6">
        <v>4</v>
      </c>
      <c r="C7624" s="6" t="s">
        <v>62</v>
      </c>
      <c r="D7624" s="6" t="s">
        <v>526</v>
      </c>
      <c r="E7624" s="6" t="s">
        <v>405</v>
      </c>
      <c r="F7624" s="6" t="str">
        <f>IF($M7624="PADD I","PADD 1",IF($M7624="PADD II","PADD 2",IF($M7624="PADD III","PADD 3",IF($M7624="PADD IV","PADD 4",IF($M7624="PADD V","PADD 5","")))))</f>
        <v>PADD 3</v>
      </c>
      <c r="G7624" s="6" t="str">
        <f>IF(AND($H7624="ATMOS DISTILLATION",ISNUMBER(SEARCH("VPS",$I7624))=FALSE,LEFT($I7624,6)&lt;&gt;"VACUUM"),"CDU",IF($H7624="FLUID CAT CRACKING","FCC",IF(OR($H7624="HYDROCRACKING",$H7624="RESID_HYDROCRACKING"),"Hydrocracker",IF($H7624="REFORMING","Reformer",""))))</f>
        <v>CDU</v>
      </c>
      <c r="H7624" s="6" t="s">
        <v>38</v>
      </c>
      <c r="I7624" s="6" t="s">
        <v>350</v>
      </c>
      <c r="J7624" s="6" t="s">
        <v>345</v>
      </c>
      <c r="K7624" s="10">
        <v>7</v>
      </c>
      <c r="L7624" s="10">
        <v>100</v>
      </c>
      <c r="M7624" s="6" t="s">
        <v>371</v>
      </c>
    </row>
    <row r="7625" spans="1:13">
      <c r="A7625" s="6">
        <v>2026</v>
      </c>
      <c r="B7625" s="6">
        <v>4</v>
      </c>
      <c r="C7625" s="6" t="s">
        <v>62</v>
      </c>
      <c r="D7625" s="6" t="s">
        <v>526</v>
      </c>
      <c r="E7625" s="6" t="s">
        <v>405</v>
      </c>
      <c r="F7625" s="6" t="str">
        <f>IF($M7625="PADD I","PADD 1",IF($M7625="PADD II","PADD 2",IF($M7625="PADD III","PADD 3",IF($M7625="PADD IV","PADD 4",IF($M7625="PADD V","PADD 5","")))))</f>
        <v>PADD 3</v>
      </c>
      <c r="G7625" s="6">
        <f>IF(AND($H7625="ATMOS DISTILLATION",ISNUMBER(SEARCH("VPS",$I7625))=FALSE,LEFT($I7625,6)&lt;&gt;"VACUUM"),"CDU",IF($H7625="FLUID CAT CRACKING","FCC",IF(OR($H7625="HYDROCRACKING",$H7625="RESID_HYDROCRACKING"),"Hydrocracker",IF($H7625="REFORMING","Reformer",""))))</f>
        <v/>
      </c>
      <c r="H7625" s="6" t="s">
        <v>435</v>
      </c>
      <c r="I7625" s="6" t="s">
        <v>954</v>
      </c>
      <c r="J7625" s="6" t="s">
        <v>345</v>
      </c>
      <c r="K7625" s="10">
        <v>6.9</v>
      </c>
      <c r="L7625" s="10">
        <v>30</v>
      </c>
      <c r="M7625" s="6" t="s">
        <v>371</v>
      </c>
    </row>
    <row r="7626" spans="1:13">
      <c r="A7626" s="6">
        <v>2026</v>
      </c>
      <c r="B7626" s="6">
        <v>4</v>
      </c>
      <c r="C7626" s="6" t="s">
        <v>62</v>
      </c>
      <c r="D7626" s="6" t="s">
        <v>526</v>
      </c>
      <c r="E7626" s="6" t="s">
        <v>405</v>
      </c>
      <c r="F7626" s="6" t="str">
        <f>IF($M7626="PADD I","PADD 1",IF($M7626="PADD II","PADD 2",IF($M7626="PADD III","PADD 3",IF($M7626="PADD IV","PADD 4",IF($M7626="PADD V","PADD 5","")))))</f>
        <v>PADD 3</v>
      </c>
      <c r="G7626" s="6" t="str">
        <f>IF(AND($H7626="ATMOS DISTILLATION",ISNUMBER(SEARCH("VPS",$I7626))=FALSE,LEFT($I7626,6)&lt;&gt;"VACUUM"),"CDU",IF($H7626="FLUID CAT CRACKING","FCC",IF(OR($H7626="HYDROCRACKING",$H7626="RESID_HYDROCRACKING"),"Hydrocracker",IF($H7626="REFORMING","Reformer",""))))</f>
        <v>Reformer</v>
      </c>
      <c r="H7626" s="6" t="s">
        <v>421</v>
      </c>
      <c r="I7626" s="6" t="s">
        <v>597</v>
      </c>
      <c r="J7626" s="6" t="s">
        <v>345</v>
      </c>
      <c r="K7626" s="10">
        <v>6.89</v>
      </c>
      <c r="L7626" s="10">
        <v>53</v>
      </c>
      <c r="M7626" s="6" t="s">
        <v>371</v>
      </c>
    </row>
    <row r="7627" spans="1:13">
      <c r="A7627" s="6">
        <v>2026</v>
      </c>
      <c r="B7627" s="6">
        <v>4</v>
      </c>
      <c r="C7627" s="6" t="s">
        <v>62</v>
      </c>
      <c r="D7627" s="6" t="s">
        <v>462</v>
      </c>
      <c r="E7627" s="6" t="s">
        <v>438</v>
      </c>
      <c r="F7627" s="6" t="str">
        <f>IF($M7627="PADD I","PADD 1",IF($M7627="PADD II","PADD 2",IF($M7627="PADD III","PADD 3",IF($M7627="PADD IV","PADD 4",IF($M7627="PADD V","PADD 5","")))))</f>
        <v>PADD 4</v>
      </c>
      <c r="G7627" s="6">
        <f>IF(AND($H7627="ATMOS DISTILLATION",ISNUMBER(SEARCH("VPS",$I7627))=FALSE,LEFT($I7627,6)&lt;&gt;"VACUUM"),"CDU",IF($H7627="FLUID CAT CRACKING","FCC",IF(OR($H7627="HYDROCRACKING",$H7627="RESID_HYDROCRACKING"),"Hydrocracker",IF($H7627="REFORMING","Reformer",""))))</f>
        <v/>
      </c>
      <c r="H7627" s="6" t="s">
        <v>43</v>
      </c>
      <c r="I7627" s="6" t="s">
        <v>495</v>
      </c>
      <c r="J7627" s="6" t="s">
        <v>349</v>
      </c>
      <c r="K7627" s="10">
        <v>6</v>
      </c>
      <c r="L7627" s="10">
        <v>20</v>
      </c>
      <c r="M7627" s="6" t="s">
        <v>430</v>
      </c>
    </row>
    <row r="7628" spans="1:13">
      <c r="A7628" s="6">
        <v>2026</v>
      </c>
      <c r="B7628" s="6">
        <v>4</v>
      </c>
      <c r="C7628" s="6" t="s">
        <v>62</v>
      </c>
      <c r="D7628" s="6" t="s">
        <v>526</v>
      </c>
      <c r="E7628" s="6" t="s">
        <v>405</v>
      </c>
      <c r="F7628" s="6" t="str">
        <f>IF($M7628="PADD I","PADD 1",IF($M7628="PADD II","PADD 2",IF($M7628="PADD III","PADD 3",IF($M7628="PADD IV","PADD 4",IF($M7628="PADD V","PADD 5","")))))</f>
        <v>PADD 3</v>
      </c>
      <c r="G7628" s="6">
        <f>IF(AND($H7628="ATMOS DISTILLATION",ISNUMBER(SEARCH("VPS",$I7628))=FALSE,LEFT($I7628,6)&lt;&gt;"VACUUM"),"CDU",IF($H7628="FLUID CAT CRACKING","FCC",IF(OR($H7628="HYDROCRACKING",$H7628="RESID_HYDROCRACKING"),"Hydrocracker",IF($H7628="REFORMING","Reformer",""))))</f>
        <v/>
      </c>
      <c r="H7628" s="6" t="s">
        <v>43</v>
      </c>
      <c r="I7628" s="6" t="s">
        <v>1365</v>
      </c>
      <c r="J7628" s="6" t="s">
        <v>345</v>
      </c>
      <c r="K7628" s="10">
        <v>6</v>
      </c>
      <c r="L7628" s="10">
        <v>30</v>
      </c>
      <c r="M7628" s="6" t="s">
        <v>371</v>
      </c>
    </row>
    <row r="7629" spans="1:13">
      <c r="A7629" s="6">
        <v>2026</v>
      </c>
      <c r="B7629" s="6">
        <v>4</v>
      </c>
      <c r="C7629" s="6" t="s">
        <v>62</v>
      </c>
      <c r="D7629" s="6" t="s">
        <v>662</v>
      </c>
      <c r="E7629" s="6" t="s">
        <v>552</v>
      </c>
      <c r="F7629" s="6" t="str">
        <f>IF($M7629="PADD I","PADD 1",IF($M7629="PADD II","PADD 2",IF($M7629="PADD III","PADD 3",IF($M7629="PADD IV","PADD 4",IF($M7629="PADD V","PADD 5","")))))</f>
        <v>PADD 3</v>
      </c>
      <c r="G7629" s="6" t="str">
        <f>IF(AND($H7629="ATMOS DISTILLATION",ISNUMBER(SEARCH("VPS",$I7629))=FALSE,LEFT($I7629,6)&lt;&gt;"VACUUM"),"CDU",IF($H7629="FLUID CAT CRACKING","FCC",IF(OR($H7629="HYDROCRACKING",$H7629="RESID_HYDROCRACKING"),"Hydrocracker",IF($H7629="REFORMING","Reformer",""))))</f>
        <v>FCC</v>
      </c>
      <c r="H7629" s="6" t="s">
        <v>376</v>
      </c>
      <c r="I7629" s="6" t="s">
        <v>105</v>
      </c>
      <c r="J7629" s="6" t="s">
        <v>349</v>
      </c>
      <c r="K7629" s="10">
        <v>5.75</v>
      </c>
      <c r="L7629" s="10">
        <v>25</v>
      </c>
      <c r="M7629" s="6" t="s">
        <v>371</v>
      </c>
    </row>
    <row r="7630" spans="1:13">
      <c r="A7630" s="6">
        <v>2026</v>
      </c>
      <c r="B7630" s="6">
        <v>4</v>
      </c>
      <c r="C7630" s="6" t="s">
        <v>62</v>
      </c>
      <c r="D7630" s="6" t="s">
        <v>739</v>
      </c>
      <c r="E7630" s="6" t="s">
        <v>405</v>
      </c>
      <c r="F7630" s="6" t="str">
        <f>IF($M7630="PADD I","PADD 1",IF($M7630="PADD II","PADD 2",IF($M7630="PADD III","PADD 3",IF($M7630="PADD IV","PADD 4",IF($M7630="PADD V","PADD 5","")))))</f>
        <v>PADD 2</v>
      </c>
      <c r="G7630" s="6" t="str">
        <f>IF(AND($H7630="ATMOS DISTILLATION",ISNUMBER(SEARCH("VPS",$I7630))=FALSE,LEFT($I7630,6)&lt;&gt;"VACUUM"),"CDU",IF($H7630="FLUID CAT CRACKING","FCC",IF(OR($H7630="HYDROCRACKING",$H7630="RESID_HYDROCRACKING"),"Hydrocracker",IF($H7630="REFORMING","Reformer",""))))</f>
        <v>Reformer</v>
      </c>
      <c r="H7630" s="6" t="s">
        <v>421</v>
      </c>
      <c r="I7630" s="6" t="s">
        <v>782</v>
      </c>
      <c r="J7630" s="6" t="s">
        <v>345</v>
      </c>
      <c r="K7630" s="10">
        <v>5.67</v>
      </c>
      <c r="L7630" s="10">
        <v>21</v>
      </c>
      <c r="M7630" s="6" t="s">
        <v>375</v>
      </c>
    </row>
    <row r="7631" spans="1:13">
      <c r="A7631" s="6">
        <v>2026</v>
      </c>
      <c r="B7631" s="6">
        <v>4</v>
      </c>
      <c r="C7631" s="6" t="s">
        <v>62</v>
      </c>
      <c r="D7631" s="6" t="s">
        <v>526</v>
      </c>
      <c r="E7631" s="6" t="s">
        <v>405</v>
      </c>
      <c r="F7631" s="6" t="str">
        <f>IF($M7631="PADD I","PADD 1",IF($M7631="PADD II","PADD 2",IF($M7631="PADD III","PADD 3",IF($M7631="PADD IV","PADD 4",IF($M7631="PADD V","PADD 5","")))))</f>
        <v>PADD 3</v>
      </c>
      <c r="G7631" s="6">
        <f>IF(AND($H7631="ATMOS DISTILLATION",ISNUMBER(SEARCH("VPS",$I7631))=FALSE,LEFT($I7631,6)&lt;&gt;"VACUUM"),"CDU",IF($H7631="FLUID CAT CRACKING","FCC",IF(OR($H7631="HYDROCRACKING",$H7631="RESID_HYDROCRACKING"),"Hydrocracker",IF($H7631="REFORMING","Reformer",""))))</f>
        <v/>
      </c>
      <c r="H7631" s="6" t="s">
        <v>43</v>
      </c>
      <c r="I7631" s="6" t="s">
        <v>1076</v>
      </c>
      <c r="J7631" s="6" t="s">
        <v>345</v>
      </c>
      <c r="K7631" s="10">
        <v>5.5</v>
      </c>
      <c r="L7631" s="10">
        <v>55</v>
      </c>
      <c r="M7631" s="6" t="s">
        <v>371</v>
      </c>
    </row>
    <row r="7632" spans="1:13">
      <c r="A7632" s="6">
        <v>2026</v>
      </c>
      <c r="B7632" s="6">
        <v>4</v>
      </c>
      <c r="C7632" s="6" t="s">
        <v>62</v>
      </c>
      <c r="D7632" s="6" t="s">
        <v>321</v>
      </c>
      <c r="E7632" s="6" t="s">
        <v>381</v>
      </c>
      <c r="F7632" s="6" t="str">
        <f>IF($M7632="PADD I","PADD 1",IF($M7632="PADD II","PADD 2",IF($M7632="PADD III","PADD 3",IF($M7632="PADD IV","PADD 4",IF($M7632="PADD V","PADD 5","")))))</f>
        <v>PADD 2</v>
      </c>
      <c r="G7632" s="6" t="str">
        <f>IF(AND($H7632="ATMOS DISTILLATION",ISNUMBER(SEARCH("VPS",$I7632))=FALSE,LEFT($I7632,6)&lt;&gt;"VACUUM"),"CDU",IF($H7632="FLUID CAT CRACKING","FCC",IF(OR($H7632="HYDROCRACKING",$H7632="RESID_HYDROCRACKING"),"Hydrocracker",IF($H7632="REFORMING","Reformer",""))))</f>
        <v>FCC</v>
      </c>
      <c r="H7632" s="6" t="s">
        <v>376</v>
      </c>
      <c r="I7632" s="6" t="s">
        <v>105</v>
      </c>
      <c r="J7632" s="6" t="s">
        <v>349</v>
      </c>
      <c r="K7632" s="10">
        <v>5</v>
      </c>
      <c r="L7632" s="10">
        <v>25</v>
      </c>
      <c r="M7632" s="6" t="s">
        <v>375</v>
      </c>
    </row>
    <row r="7633" spans="1:13">
      <c r="A7633" s="6">
        <v>2026</v>
      </c>
      <c r="B7633" s="6">
        <v>4</v>
      </c>
      <c r="C7633" s="6" t="s">
        <v>62</v>
      </c>
      <c r="D7633" s="6" t="s">
        <v>333</v>
      </c>
      <c r="E7633" s="6" t="s">
        <v>381</v>
      </c>
      <c r="F7633" s="6" t="str">
        <f>IF($M7633="PADD I","PADD 1",IF($M7633="PADD II","PADD 2",IF($M7633="PADD III","PADD 3",IF($M7633="PADD IV","PADD 4",IF($M7633="PADD V","PADD 5","")))))</f>
        <v>PADD 3</v>
      </c>
      <c r="G7633" s="6" t="str">
        <f>IF(AND($H7633="ATMOS DISTILLATION",ISNUMBER(SEARCH("VPS",$I7633))=FALSE,LEFT($I7633,6)&lt;&gt;"VACUUM"),"CDU",IF($H7633="FLUID CAT CRACKING","FCC",IF(OR($H7633="HYDROCRACKING",$H7633="RESID_HYDROCRACKING"),"Hydrocracker",IF($H7633="REFORMING","Reformer",""))))</f>
        <v>FCC</v>
      </c>
      <c r="H7633" s="6" t="s">
        <v>376</v>
      </c>
      <c r="I7633" s="6" t="s">
        <v>105</v>
      </c>
      <c r="J7633" s="6" t="s">
        <v>345</v>
      </c>
      <c r="K7633" s="10">
        <v>5</v>
      </c>
      <c r="L7633" s="10">
        <v>25</v>
      </c>
      <c r="M7633" s="6" t="s">
        <v>371</v>
      </c>
    </row>
    <row r="7634" spans="1:13">
      <c r="A7634" s="6">
        <v>2026</v>
      </c>
      <c r="B7634" s="6">
        <v>4</v>
      </c>
      <c r="C7634" s="6" t="s">
        <v>62</v>
      </c>
      <c r="D7634" s="6" t="s">
        <v>662</v>
      </c>
      <c r="E7634" s="6" t="s">
        <v>552</v>
      </c>
      <c r="F7634" s="6" t="str">
        <f>IF($M7634="PADD I","PADD 1",IF($M7634="PADD II","PADD 2",IF($M7634="PADD III","PADD 3",IF($M7634="PADD IV","PADD 4",IF($M7634="PADD V","PADD 5","")))))</f>
        <v>PADD 3</v>
      </c>
      <c r="G7634" s="6" t="str">
        <f>IF(AND($H7634="ATMOS DISTILLATION",ISNUMBER(SEARCH("VPS",$I7634))=FALSE,LEFT($I7634,6)&lt;&gt;"VACUUM"),"CDU",IF($H7634="FLUID CAT CRACKING","FCC",IF(OR($H7634="HYDROCRACKING",$H7634="RESID_HYDROCRACKING"),"Hydrocracker",IF($H7634="REFORMING","Reformer",""))))</f>
        <v>Reformer</v>
      </c>
      <c r="H7634" s="6" t="s">
        <v>421</v>
      </c>
      <c r="I7634" s="6" t="s">
        <v>1050</v>
      </c>
      <c r="J7634" s="6" t="s">
        <v>349</v>
      </c>
      <c r="K7634" s="10">
        <v>4.83</v>
      </c>
      <c r="L7634" s="10">
        <v>21</v>
      </c>
      <c r="M7634" s="6" t="s">
        <v>371</v>
      </c>
    </row>
    <row r="7635" spans="1:13">
      <c r="A7635" s="6">
        <v>2026</v>
      </c>
      <c r="B7635" s="6">
        <v>4</v>
      </c>
      <c r="C7635" s="6" t="s">
        <v>62</v>
      </c>
      <c r="D7635" s="6" t="s">
        <v>51</v>
      </c>
      <c r="E7635" s="6" t="s">
        <v>391</v>
      </c>
      <c r="F7635" s="6" t="str">
        <f>IF($M7635="PADD I","PADD 1",IF($M7635="PADD II","PADD 2",IF($M7635="PADD III","PADD 3",IF($M7635="PADD IV","PADD 4",IF($M7635="PADD V","PADD 5","")))))</f>
        <v>PADD 5</v>
      </c>
      <c r="G7635" s="6">
        <f>IF(AND($H7635="ATMOS DISTILLATION",ISNUMBER(SEARCH("VPS",$I7635))=FALSE,LEFT($I7635,6)&lt;&gt;"VACUUM"),"CDU",IF($H7635="FLUID CAT CRACKING","FCC",IF(OR($H7635="HYDROCRACKING",$H7635="RESID_HYDROCRACKING"),"Hydrocracker",IF($H7635="REFORMING","Reformer",""))))</f>
        <v/>
      </c>
      <c r="H7635" s="6" t="s">
        <v>637</v>
      </c>
      <c r="I7635" s="6" t="s">
        <v>441</v>
      </c>
      <c r="J7635" s="6" t="s">
        <v>345</v>
      </c>
      <c r="K7635" s="10">
        <v>4.76</v>
      </c>
      <c r="L7635" s="10">
        <v>68</v>
      </c>
      <c r="M7635" s="6" t="s">
        <v>386</v>
      </c>
    </row>
    <row r="7636" spans="1:13">
      <c r="A7636" s="6">
        <v>2026</v>
      </c>
      <c r="B7636" s="6">
        <v>4</v>
      </c>
      <c r="C7636" s="6" t="s">
        <v>62</v>
      </c>
      <c r="D7636" s="6" t="s">
        <v>429</v>
      </c>
      <c r="E7636" s="6" t="s">
        <v>388</v>
      </c>
      <c r="F7636" s="6" t="str">
        <f>IF($M7636="PADD I","PADD 1",IF($M7636="PADD II","PADD 2",IF($M7636="PADD III","PADD 3",IF($M7636="PADD IV","PADD 4",IF($M7636="PADD V","PADD 5","")))))</f>
        <v>PADD 4</v>
      </c>
      <c r="G7636" s="6">
        <f>IF(AND($H7636="ATMOS DISTILLATION",ISNUMBER(SEARCH("VPS",$I7636))=FALSE,LEFT($I7636,6)&lt;&gt;"VACUUM"),"CDU",IF($H7636="FLUID CAT CRACKING","FCC",IF(OR($H7636="HYDROCRACKING",$H7636="RESID_HYDROCRACKING"),"Hydrocracker",IF($H7636="REFORMING","Reformer",""))))</f>
        <v/>
      </c>
      <c r="H7636" s="6" t="s">
        <v>43</v>
      </c>
      <c r="I7636" s="6" t="s">
        <v>514</v>
      </c>
      <c r="J7636" s="6" t="s">
        <v>345</v>
      </c>
      <c r="K7636" s="10">
        <v>4.617</v>
      </c>
      <c r="L7636" s="10">
        <v>17.1</v>
      </c>
      <c r="M7636" s="6" t="s">
        <v>430</v>
      </c>
    </row>
    <row r="7637" spans="1:13">
      <c r="A7637" s="6">
        <v>2026</v>
      </c>
      <c r="B7637" s="6">
        <v>4</v>
      </c>
      <c r="C7637" s="6" t="s">
        <v>62</v>
      </c>
      <c r="D7637" s="6" t="s">
        <v>457</v>
      </c>
      <c r="E7637" s="6" t="s">
        <v>388</v>
      </c>
      <c r="F7637" s="6" t="str">
        <f>IF($M7637="PADD I","PADD 1",IF($M7637="PADD II","PADD 2",IF($M7637="PADD III","PADD 3",IF($M7637="PADD IV","PADD 4",IF($M7637="PADD V","PADD 5","")))))</f>
        <v>PADD 5</v>
      </c>
      <c r="G7637" s="6" t="str">
        <f>IF(AND($H7637="ATMOS DISTILLATION",ISNUMBER(SEARCH("VPS",$I7637))=FALSE,LEFT($I7637,6)&lt;&gt;"VACUUM"),"CDU",IF($H7637="FLUID CAT CRACKING","FCC",IF(OR($H7637="HYDROCRACKING",$H7637="RESID_HYDROCRACKING"),"Hydrocracker",IF($H7637="REFORMING","Reformer",""))))</f>
        <v>CDU</v>
      </c>
      <c r="H7637" s="6" t="s">
        <v>38</v>
      </c>
      <c r="I7637" s="6" t="s">
        <v>135</v>
      </c>
      <c r="J7637" s="6" t="s">
        <v>345</v>
      </c>
      <c r="K7637" s="10">
        <v>4.55</v>
      </c>
      <c r="L7637" s="10">
        <v>65</v>
      </c>
      <c r="M7637" s="6" t="s">
        <v>386</v>
      </c>
    </row>
    <row r="7638" spans="1:13">
      <c r="A7638" s="6">
        <v>2026</v>
      </c>
      <c r="B7638" s="6">
        <v>4</v>
      </c>
      <c r="C7638" s="6" t="s">
        <v>62</v>
      </c>
      <c r="D7638" s="6" t="s">
        <v>526</v>
      </c>
      <c r="E7638" s="6" t="s">
        <v>405</v>
      </c>
      <c r="F7638" s="6" t="str">
        <f>IF($M7638="PADD I","PADD 1",IF($M7638="PADD II","PADD 2",IF($M7638="PADD III","PADD 3",IF($M7638="PADD IV","PADD 4",IF($M7638="PADD V","PADD 5","")))))</f>
        <v>PADD 3</v>
      </c>
      <c r="G7638" s="6" t="str">
        <f>IF(AND($H7638="ATMOS DISTILLATION",ISNUMBER(SEARCH("VPS",$I7638))=FALSE,LEFT($I7638,6)&lt;&gt;"VACUUM"),"CDU",IF($H7638="FLUID CAT CRACKING","FCC",IF(OR($H7638="HYDROCRACKING",$H7638="RESID_HYDROCRACKING"),"Hydrocracker",IF($H7638="REFORMING","Reformer",""))))</f>
        <v>Reformer</v>
      </c>
      <c r="H7638" s="6" t="s">
        <v>421</v>
      </c>
      <c r="I7638" s="6" t="s">
        <v>928</v>
      </c>
      <c r="J7638" s="6" t="s">
        <v>345</v>
      </c>
      <c r="K7638" s="10">
        <v>4.5</v>
      </c>
      <c r="L7638" s="10">
        <v>15</v>
      </c>
      <c r="M7638" s="6" t="s">
        <v>371</v>
      </c>
    </row>
    <row r="7639" spans="1:13">
      <c r="A7639" s="6">
        <v>2026</v>
      </c>
      <c r="B7639" s="6">
        <v>4</v>
      </c>
      <c r="C7639" s="6" t="s">
        <v>62</v>
      </c>
      <c r="D7639" s="6" t="s">
        <v>946</v>
      </c>
      <c r="E7639" s="6" t="s">
        <v>405</v>
      </c>
      <c r="F7639" s="6" t="str">
        <f>IF($M7639="PADD I","PADD 1",IF($M7639="PADD II","PADD 2",IF($M7639="PADD III","PADD 3",IF($M7639="PADD IV","PADD 4",IF($M7639="PADD V","PADD 5","")))))</f>
        <v>PADD 5</v>
      </c>
      <c r="G7639" s="6">
        <f>IF(AND($H7639="ATMOS DISTILLATION",ISNUMBER(SEARCH("VPS",$I7639))=FALSE,LEFT($I7639,6)&lt;&gt;"VACUUM"),"CDU",IF($H7639="FLUID CAT CRACKING","FCC",IF(OR($H7639="HYDROCRACKING",$H7639="RESID_HYDROCRACKING"),"Hydrocracker",IF($H7639="REFORMING","Reformer",""))))</f>
        <v/>
      </c>
      <c r="H7639" s="6" t="s">
        <v>460</v>
      </c>
      <c r="I7639" s="6" t="s">
        <v>952</v>
      </c>
      <c r="J7639" s="6" t="s">
        <v>345</v>
      </c>
      <c r="K7639" s="10">
        <v>4.4</v>
      </c>
      <c r="L7639" s="10">
        <v>22</v>
      </c>
      <c r="M7639" s="6" t="s">
        <v>386</v>
      </c>
    </row>
    <row r="7640" spans="1:13">
      <c r="A7640" s="6">
        <v>2026</v>
      </c>
      <c r="B7640" s="6">
        <v>4</v>
      </c>
      <c r="C7640" s="6" t="s">
        <v>62</v>
      </c>
      <c r="D7640" s="6" t="s">
        <v>455</v>
      </c>
      <c r="E7640" s="6" t="s">
        <v>405</v>
      </c>
      <c r="F7640" s="6" t="str">
        <f>IF($M7640="PADD I","PADD 1",IF($M7640="PADD II","PADD 2",IF($M7640="PADD III","PADD 3",IF($M7640="PADD IV","PADD 4",IF($M7640="PADD V","PADD 5","")))))</f>
        <v>PADD 3</v>
      </c>
      <c r="G7640" s="6" t="str">
        <f>IF(AND($H7640="ATMOS DISTILLATION",ISNUMBER(SEARCH("VPS",$I7640))=FALSE,LEFT($I7640,6)&lt;&gt;"VACUUM"),"CDU",IF($H7640="FLUID CAT CRACKING","FCC",IF(OR($H7640="HYDROCRACKING",$H7640="RESID_HYDROCRACKING"),"Hydrocracker",IF($H7640="REFORMING","Reformer",""))))</f>
        <v>Hydrocracker</v>
      </c>
      <c r="H7640" s="6" t="s">
        <v>444</v>
      </c>
      <c r="I7640" s="6" t="s">
        <v>456</v>
      </c>
      <c r="J7640" s="6" t="s">
        <v>345</v>
      </c>
      <c r="K7640" s="10">
        <v>4.2</v>
      </c>
      <c r="L7640" s="10">
        <v>60</v>
      </c>
      <c r="M7640" s="6" t="s">
        <v>371</v>
      </c>
    </row>
    <row r="7641" spans="1:13">
      <c r="A7641" s="6">
        <v>2026</v>
      </c>
      <c r="B7641" s="6">
        <v>4</v>
      </c>
      <c r="C7641" s="6" t="s">
        <v>62</v>
      </c>
      <c r="D7641" s="6" t="s">
        <v>321</v>
      </c>
      <c r="E7641" s="6" t="s">
        <v>381</v>
      </c>
      <c r="F7641" s="6" t="str">
        <f>IF($M7641="PADD I","PADD 1",IF($M7641="PADD II","PADD 2",IF($M7641="PADD III","PADD 3",IF($M7641="PADD IV","PADD 4",IF($M7641="PADD V","PADD 5","")))))</f>
        <v>PADD 2</v>
      </c>
      <c r="G7641" s="6" t="str">
        <f>IF(AND($H7641="ATMOS DISTILLATION",ISNUMBER(SEARCH("VPS",$I7641))=FALSE,LEFT($I7641,6)&lt;&gt;"VACUUM"),"CDU",IF($H7641="FLUID CAT CRACKING","FCC",IF(OR($H7641="HYDROCRACKING",$H7641="RESID_HYDROCRACKING"),"Hydrocracker",IF($H7641="REFORMING","Reformer",""))))</f>
        <v>Reformer</v>
      </c>
      <c r="H7641" s="6" t="s">
        <v>421</v>
      </c>
      <c r="I7641" s="6" t="s">
        <v>228</v>
      </c>
      <c r="J7641" s="6" t="s">
        <v>345</v>
      </c>
      <c r="K7641" s="10">
        <v>4</v>
      </c>
      <c r="L7641" s="10">
        <v>20</v>
      </c>
      <c r="M7641" s="6" t="s">
        <v>375</v>
      </c>
    </row>
    <row r="7642" spans="1:13">
      <c r="A7642" s="6">
        <v>2026</v>
      </c>
      <c r="B7642" s="6">
        <v>4</v>
      </c>
      <c r="C7642" s="6" t="s">
        <v>62</v>
      </c>
      <c r="D7642" s="6" t="s">
        <v>788</v>
      </c>
      <c r="E7642" s="6" t="s">
        <v>405</v>
      </c>
      <c r="F7642" s="6" t="str">
        <f>IF($M7642="PADD I","PADD 1",IF($M7642="PADD II","PADD 2",IF($M7642="PADD III","PADD 3",IF($M7642="PADD IV","PADD 4",IF($M7642="PADD V","PADD 5","")))))</f>
        <v>PADD 3</v>
      </c>
      <c r="G7642" s="6" t="str">
        <f>IF(AND($H7642="ATMOS DISTILLATION",ISNUMBER(SEARCH("VPS",$I7642))=FALSE,LEFT($I7642,6)&lt;&gt;"VACUUM"),"CDU",IF($H7642="FLUID CAT CRACKING","FCC",IF(OR($H7642="HYDROCRACKING",$H7642="RESID_HYDROCRACKING"),"Hydrocracker",IF($H7642="REFORMING","Reformer",""))))</f>
        <v>Hydrocracker</v>
      </c>
      <c r="H7642" s="6" t="s">
        <v>444</v>
      </c>
      <c r="I7642" s="6" t="s">
        <v>831</v>
      </c>
      <c r="J7642" s="6" t="s">
        <v>345</v>
      </c>
      <c r="K7642" s="10">
        <v>3.85</v>
      </c>
      <c r="L7642" s="10">
        <v>55</v>
      </c>
      <c r="M7642" s="6" t="s">
        <v>371</v>
      </c>
    </row>
    <row r="7643" spans="1:13">
      <c r="A7643" s="6">
        <v>2026</v>
      </c>
      <c r="B7643" s="6">
        <v>4</v>
      </c>
      <c r="C7643" s="6" t="s">
        <v>62</v>
      </c>
      <c r="D7643" s="6" t="s">
        <v>411</v>
      </c>
      <c r="E7643" s="6" t="s">
        <v>369</v>
      </c>
      <c r="F7643" s="6" t="str">
        <f>IF($M7643="PADD I","PADD 1",IF($M7643="PADD II","PADD 2",IF($M7643="PADD III","PADD 3",IF($M7643="PADD IV","PADD 4",IF($M7643="PADD V","PADD 5","")))))</f>
        <v>PADD 1</v>
      </c>
      <c r="G7643" s="6">
        <f>IF(AND($H7643="ATMOS DISTILLATION",ISNUMBER(SEARCH("VPS",$I7643))=FALSE,LEFT($I7643,6)&lt;&gt;"VACUUM"),"CDU",IF($H7643="FLUID CAT CRACKING","FCC",IF(OR($H7643="HYDROCRACKING",$H7643="RESID_HYDROCRACKING"),"Hydrocracker",IF($H7643="REFORMING","Reformer",""))))</f>
        <v/>
      </c>
      <c r="H7643" s="6" t="s">
        <v>43</v>
      </c>
      <c r="I7643" s="6" t="s">
        <v>488</v>
      </c>
      <c r="J7643" s="6" t="s">
        <v>349</v>
      </c>
      <c r="K7643" s="10">
        <v>3.78</v>
      </c>
      <c r="L7643" s="10">
        <v>54</v>
      </c>
      <c r="M7643" s="6" t="s">
        <v>413</v>
      </c>
    </row>
    <row r="7644" spans="1:13">
      <c r="A7644" s="6">
        <v>2026</v>
      </c>
      <c r="B7644" s="6">
        <v>4</v>
      </c>
      <c r="C7644" s="6" t="s">
        <v>62</v>
      </c>
      <c r="D7644" s="6" t="s">
        <v>1043</v>
      </c>
      <c r="E7644" s="6" t="s">
        <v>388</v>
      </c>
      <c r="F7644" s="6" t="str">
        <f>IF($M7644="PADD I","PADD 1",IF($M7644="PADD II","PADD 2",IF($M7644="PADD III","PADD 3",IF($M7644="PADD IV","PADD 4",IF($M7644="PADD V","PADD 5","")))))</f>
        <v>PADD 2</v>
      </c>
      <c r="G7644" s="6" t="str">
        <f>IF(AND($H7644="ATMOS DISTILLATION",ISNUMBER(SEARCH("VPS",$I7644))=FALSE,LEFT($I7644,6)&lt;&gt;"VACUUM"),"CDU",IF($H7644="FLUID CAT CRACKING","FCC",IF(OR($H7644="HYDROCRACKING",$H7644="RESID_HYDROCRACKING"),"Hydrocracker",IF($H7644="REFORMING","Reformer",""))))</f>
        <v>Reformer</v>
      </c>
      <c r="H7644" s="6" t="s">
        <v>421</v>
      </c>
      <c r="I7644" s="6" t="s">
        <v>916</v>
      </c>
      <c r="J7644" s="6" t="s">
        <v>345</v>
      </c>
      <c r="K7644" s="10">
        <v>3.75</v>
      </c>
      <c r="L7644" s="10">
        <v>12.5</v>
      </c>
      <c r="M7644" s="6" t="s">
        <v>375</v>
      </c>
    </row>
    <row r="7645" spans="1:13">
      <c r="A7645" s="6">
        <v>2026</v>
      </c>
      <c r="B7645" s="6">
        <v>4</v>
      </c>
      <c r="C7645" s="6" t="s">
        <v>62</v>
      </c>
      <c r="D7645" s="6" t="s">
        <v>462</v>
      </c>
      <c r="E7645" s="6" t="s">
        <v>438</v>
      </c>
      <c r="F7645" s="6" t="str">
        <f>IF($M7645="PADD I","PADD 1",IF($M7645="PADD II","PADD 2",IF($M7645="PADD III","PADD 3",IF($M7645="PADD IV","PADD 4",IF($M7645="PADD V","PADD 5","")))))</f>
        <v>PADD 4</v>
      </c>
      <c r="G7645" s="6">
        <f>IF(AND($H7645="ATMOS DISTILLATION",ISNUMBER(SEARCH("VPS",$I7645))=FALSE,LEFT($I7645,6)&lt;&gt;"VACUUM"),"CDU",IF($H7645="FLUID CAT CRACKING","FCC",IF(OR($H7645="HYDROCRACKING",$H7645="RESID_HYDROCRACKING"),"Hydrocracker",IF($H7645="REFORMING","Reformer",""))))</f>
        <v/>
      </c>
      <c r="H7645" s="6" t="s">
        <v>43</v>
      </c>
      <c r="I7645" s="6" t="s">
        <v>535</v>
      </c>
      <c r="J7645" s="6" t="s">
        <v>349</v>
      </c>
      <c r="K7645" s="10">
        <v>3.6</v>
      </c>
      <c r="L7645" s="10">
        <v>12</v>
      </c>
      <c r="M7645" s="6" t="s">
        <v>430</v>
      </c>
    </row>
    <row r="7646" spans="1:13">
      <c r="A7646" s="6">
        <v>2026</v>
      </c>
      <c r="B7646" s="6">
        <v>4</v>
      </c>
      <c r="C7646" s="6" t="s">
        <v>62</v>
      </c>
      <c r="D7646" s="6" t="s">
        <v>742</v>
      </c>
      <c r="E7646" s="6" t="s">
        <v>388</v>
      </c>
      <c r="F7646" s="6" t="str">
        <f>IF($M7646="PADD I","PADD 1",IF($M7646="PADD II","PADD 2",IF($M7646="PADD III","PADD 3",IF($M7646="PADD IV","PADD 4",IF($M7646="PADD V","PADD 5","")))))</f>
        <v>PADD 5</v>
      </c>
      <c r="G7646" s="6">
        <f>IF(AND($H7646="ATMOS DISTILLATION",ISNUMBER(SEARCH("VPS",$I7646))=FALSE,LEFT($I7646,6)&lt;&gt;"VACUUM"),"CDU",IF($H7646="FLUID CAT CRACKING","FCC",IF(OR($H7646="HYDROCRACKING",$H7646="RESID_HYDROCRACKING"),"Hydrocracker",IF($H7646="REFORMING","Reformer",""))))</f>
        <v/>
      </c>
      <c r="H7646" s="6" t="s">
        <v>568</v>
      </c>
      <c r="I7646" s="6" t="s">
        <v>768</v>
      </c>
      <c r="J7646" s="6" t="s">
        <v>349</v>
      </c>
      <c r="K7646" s="10">
        <v>3.5</v>
      </c>
      <c r="L7646" s="10">
        <v>3.5</v>
      </c>
      <c r="M7646" s="6" t="s">
        <v>386</v>
      </c>
    </row>
    <row r="7647" spans="1:13">
      <c r="A7647" s="6">
        <v>2026</v>
      </c>
      <c r="B7647" s="6">
        <v>4</v>
      </c>
      <c r="C7647" s="6" t="s">
        <v>62</v>
      </c>
      <c r="D7647" s="6" t="s">
        <v>542</v>
      </c>
      <c r="E7647" s="6" t="s">
        <v>543</v>
      </c>
      <c r="F7647" s="6" t="str">
        <f>IF($M7647="PADD I","PADD 1",IF($M7647="PADD II","PADD 2",IF($M7647="PADD III","PADD 3",IF($M7647="PADD IV","PADD 4",IF($M7647="PADD V","PADD 5","")))))</f>
        <v>PADD 2</v>
      </c>
      <c r="G7647" s="6" t="str">
        <f>IF(AND($H7647="ATMOS DISTILLATION",ISNUMBER(SEARCH("VPS",$I7647))=FALSE,LEFT($I7647,6)&lt;&gt;"VACUUM"),"CDU",IF($H7647="FLUID CAT CRACKING","FCC",IF(OR($H7647="HYDROCRACKING",$H7647="RESID_HYDROCRACKING"),"Hydrocracker",IF($H7647="REFORMING","Reformer",""))))</f>
        <v>FCC</v>
      </c>
      <c r="H7647" s="6" t="s">
        <v>376</v>
      </c>
      <c r="I7647" s="6" t="s">
        <v>1110</v>
      </c>
      <c r="J7647" s="6" t="s">
        <v>345</v>
      </c>
      <c r="K7647" s="10">
        <v>3.3</v>
      </c>
      <c r="L7647" s="10">
        <v>110</v>
      </c>
      <c r="M7647" s="6" t="s">
        <v>375</v>
      </c>
    </row>
    <row r="7648" spans="1:13">
      <c r="A7648" s="6">
        <v>2026</v>
      </c>
      <c r="B7648" s="6">
        <v>4</v>
      </c>
      <c r="C7648" s="6" t="s">
        <v>62</v>
      </c>
      <c r="D7648" s="6" t="s">
        <v>542</v>
      </c>
      <c r="E7648" s="6" t="s">
        <v>543</v>
      </c>
      <c r="F7648" s="6" t="str">
        <f>IF($M7648="PADD I","PADD 1",IF($M7648="PADD II","PADD 2",IF($M7648="PADD III","PADD 3",IF($M7648="PADD IV","PADD 4",IF($M7648="PADD V","PADD 5","")))))</f>
        <v>PADD 2</v>
      </c>
      <c r="G7648" s="6">
        <f>IF(AND($H7648="ATMOS DISTILLATION",ISNUMBER(SEARCH("VPS",$I7648))=FALSE,LEFT($I7648,6)&lt;&gt;"VACUUM"),"CDU",IF($H7648="FLUID CAT CRACKING","FCC",IF(OR($H7648="HYDROCRACKING",$H7648="RESID_HYDROCRACKING"),"Hydrocracker",IF($H7648="REFORMING","Reformer",""))))</f>
        <v/>
      </c>
      <c r="H7648" s="6" t="s">
        <v>43</v>
      </c>
      <c r="I7648" s="6" t="s">
        <v>913</v>
      </c>
      <c r="J7648" s="6" t="s">
        <v>345</v>
      </c>
      <c r="K7648" s="10">
        <v>3.15</v>
      </c>
      <c r="L7648" s="10">
        <v>105</v>
      </c>
      <c r="M7648" s="6" t="s">
        <v>375</v>
      </c>
    </row>
    <row r="7649" spans="1:13">
      <c r="A7649" s="6">
        <v>2026</v>
      </c>
      <c r="B7649" s="6">
        <v>4</v>
      </c>
      <c r="C7649" s="6" t="s">
        <v>62</v>
      </c>
      <c r="D7649" s="6" t="s">
        <v>542</v>
      </c>
      <c r="E7649" s="6" t="s">
        <v>543</v>
      </c>
      <c r="F7649" s="6" t="str">
        <f>IF($M7649="PADD I","PADD 1",IF($M7649="PADD II","PADD 2",IF($M7649="PADD III","PADD 3",IF($M7649="PADD IV","PADD 4",IF($M7649="PADD V","PADD 5","")))))</f>
        <v>PADD 2</v>
      </c>
      <c r="G7649" s="6">
        <f>IF(AND($H7649="ATMOS DISTILLATION",ISNUMBER(SEARCH("VPS",$I7649))=FALSE,LEFT($I7649,6)&lt;&gt;"VACUUM"),"CDU",IF($H7649="FLUID CAT CRACKING","FCC",IF(OR($H7649="HYDROCRACKING",$H7649="RESID_HYDROCRACKING"),"Hydrocracker",IF($H7649="REFORMING","Reformer",""))))</f>
        <v/>
      </c>
      <c r="H7649" s="6" t="s">
        <v>435</v>
      </c>
      <c r="I7649" s="6" t="s">
        <v>441</v>
      </c>
      <c r="J7649" s="6" t="s">
        <v>345</v>
      </c>
      <c r="K7649" s="10">
        <v>3.06</v>
      </c>
      <c r="L7649" s="10">
        <v>102</v>
      </c>
      <c r="M7649" s="6" t="s">
        <v>375</v>
      </c>
    </row>
    <row r="7650" spans="1:13">
      <c r="A7650" s="6">
        <v>2026</v>
      </c>
      <c r="B7650" s="6">
        <v>4</v>
      </c>
      <c r="C7650" s="6" t="s">
        <v>62</v>
      </c>
      <c r="D7650" s="6" t="s">
        <v>437</v>
      </c>
      <c r="E7650" s="6" t="s">
        <v>438</v>
      </c>
      <c r="F7650" s="6" t="str">
        <f>IF($M7650="PADD I","PADD 1",IF($M7650="PADD II","PADD 2",IF($M7650="PADD III","PADD 3",IF($M7650="PADD IV","PADD 4",IF($M7650="PADD V","PADD 5","")))))</f>
        <v>PADD 4</v>
      </c>
      <c r="G7650" s="6">
        <f>IF(AND($H7650="ATMOS DISTILLATION",ISNUMBER(SEARCH("VPS",$I7650))=FALSE,LEFT($I7650,6)&lt;&gt;"VACUUM"),"CDU",IF($H7650="FLUID CAT CRACKING","FCC",IF(OR($H7650="HYDROCRACKING",$H7650="RESID_HYDROCRACKING"),"Hydrocracker",IF($H7650="REFORMING","Reformer",""))))</f>
        <v/>
      </c>
      <c r="H7650" s="6" t="s">
        <v>378</v>
      </c>
      <c r="I7650" s="6" t="s">
        <v>556</v>
      </c>
      <c r="J7650" s="6" t="s">
        <v>349</v>
      </c>
      <c r="K7650" s="10">
        <v>3</v>
      </c>
      <c r="L7650" s="10">
        <v>10</v>
      </c>
      <c r="M7650" s="6" t="s">
        <v>430</v>
      </c>
    </row>
    <row r="7651" spans="1:13">
      <c r="A7651" s="6">
        <v>2026</v>
      </c>
      <c r="B7651" s="6">
        <v>4</v>
      </c>
      <c r="C7651" s="6" t="s">
        <v>62</v>
      </c>
      <c r="D7651" s="6" t="s">
        <v>462</v>
      </c>
      <c r="E7651" s="6" t="s">
        <v>438</v>
      </c>
      <c r="F7651" s="6" t="str">
        <f>IF($M7651="PADD I","PADD 1",IF($M7651="PADD II","PADD 2",IF($M7651="PADD III","PADD 3",IF($M7651="PADD IV","PADD 4",IF($M7651="PADD V","PADD 5","")))))</f>
        <v>PADD 4</v>
      </c>
      <c r="G7651" s="6">
        <f>IF(AND($H7651="ATMOS DISTILLATION",ISNUMBER(SEARCH("VPS",$I7651))=FALSE,LEFT($I7651,6)&lt;&gt;"VACUUM"),"CDU",IF($H7651="FLUID CAT CRACKING","FCC",IF(OR($H7651="HYDROCRACKING",$H7651="RESID_HYDROCRACKING"),"Hydrocracker",IF($H7651="REFORMING","Reformer",""))))</f>
        <v/>
      </c>
      <c r="H7651" s="6" t="s">
        <v>378</v>
      </c>
      <c r="I7651" s="6" t="s">
        <v>555</v>
      </c>
      <c r="J7651" s="6" t="s">
        <v>349</v>
      </c>
      <c r="K7651" s="10">
        <v>3</v>
      </c>
      <c r="L7651" s="10">
        <v>10</v>
      </c>
      <c r="M7651" s="6" t="s">
        <v>430</v>
      </c>
    </row>
    <row r="7652" spans="1:13">
      <c r="A7652" s="6">
        <v>2026</v>
      </c>
      <c r="B7652" s="6">
        <v>4</v>
      </c>
      <c r="C7652" s="6" t="s">
        <v>62</v>
      </c>
      <c r="D7652" s="6" t="s">
        <v>462</v>
      </c>
      <c r="E7652" s="6" t="s">
        <v>438</v>
      </c>
      <c r="F7652" s="6" t="str">
        <f>IF($M7652="PADD I","PADD 1",IF($M7652="PADD II","PADD 2",IF($M7652="PADD III","PADD 3",IF($M7652="PADD IV","PADD 4",IF($M7652="PADD V","PADD 5","")))))</f>
        <v>PADD 4</v>
      </c>
      <c r="G7652" s="6">
        <f>IF(AND($H7652="ATMOS DISTILLATION",ISNUMBER(SEARCH("VPS",$I7652))=FALSE,LEFT($I7652,6)&lt;&gt;"VACUUM"),"CDU",IF($H7652="FLUID CAT CRACKING","FCC",IF(OR($H7652="HYDROCRACKING",$H7652="RESID_HYDROCRACKING"),"Hydrocracker",IF($H7652="REFORMING","Reformer",""))))</f>
        <v/>
      </c>
      <c r="H7652" s="6" t="s">
        <v>43</v>
      </c>
      <c r="I7652" s="6" t="s">
        <v>558</v>
      </c>
      <c r="J7652" s="6" t="s">
        <v>349</v>
      </c>
      <c r="K7652" s="10">
        <v>3</v>
      </c>
      <c r="L7652" s="10">
        <v>10</v>
      </c>
      <c r="M7652" s="6" t="s">
        <v>430</v>
      </c>
    </row>
    <row r="7653" spans="1:13">
      <c r="A7653" s="6">
        <v>2026</v>
      </c>
      <c r="B7653" s="6">
        <v>4</v>
      </c>
      <c r="C7653" s="6" t="s">
        <v>62</v>
      </c>
      <c r="D7653" s="6" t="s">
        <v>462</v>
      </c>
      <c r="E7653" s="6" t="s">
        <v>438</v>
      </c>
      <c r="F7653" s="6" t="str">
        <f>IF($M7653="PADD I","PADD 1",IF($M7653="PADD II","PADD 2",IF($M7653="PADD III","PADD 3",IF($M7653="PADD IV","PADD 4",IF($M7653="PADD V","PADD 5","")))))</f>
        <v>PADD 4</v>
      </c>
      <c r="G7653" s="6">
        <f>IF(AND($H7653="ATMOS DISTILLATION",ISNUMBER(SEARCH("VPS",$I7653))=FALSE,LEFT($I7653,6)&lt;&gt;"VACUUM"),"CDU",IF($H7653="FLUID CAT CRACKING","FCC",IF(OR($H7653="HYDROCRACKING",$H7653="RESID_HYDROCRACKING"),"Hydrocracker",IF($H7653="REFORMING","Reformer",""))))</f>
        <v/>
      </c>
      <c r="H7653" s="6" t="s">
        <v>43</v>
      </c>
      <c r="I7653" s="6" t="s">
        <v>493</v>
      </c>
      <c r="J7653" s="6" t="s">
        <v>349</v>
      </c>
      <c r="K7653" s="10">
        <v>3</v>
      </c>
      <c r="L7653" s="10">
        <v>10</v>
      </c>
      <c r="M7653" s="6" t="s">
        <v>430</v>
      </c>
    </row>
    <row r="7654" spans="1:13">
      <c r="A7654" s="6">
        <v>2026</v>
      </c>
      <c r="B7654" s="6">
        <v>4</v>
      </c>
      <c r="C7654" s="6" t="s">
        <v>62</v>
      </c>
      <c r="D7654" s="6" t="s">
        <v>468</v>
      </c>
      <c r="E7654" s="6" t="s">
        <v>369</v>
      </c>
      <c r="F7654" s="6" t="str">
        <f>IF($M7654="PADD I","PADD 1",IF($M7654="PADD II","PADD 2",IF($M7654="PADD III","PADD 3",IF($M7654="PADD IV","PADD 4",IF($M7654="PADD V","PADD 5","")))))</f>
        <v>PADD 3</v>
      </c>
      <c r="G7654" s="6" t="str">
        <f>IF(AND($H7654="ATMOS DISTILLATION",ISNUMBER(SEARCH("VPS",$I7654))=FALSE,LEFT($I7654,6)&lt;&gt;"VACUUM"),"CDU",IF($H7654="FLUID CAT CRACKING","FCC",IF(OR($H7654="HYDROCRACKING",$H7654="RESID_HYDROCRACKING"),"Hydrocracker",IF($H7654="REFORMING","Reformer",""))))</f>
        <v>FCC</v>
      </c>
      <c r="H7654" s="6" t="s">
        <v>376</v>
      </c>
      <c r="I7654" s="6" t="s">
        <v>473</v>
      </c>
      <c r="J7654" s="6" t="s">
        <v>345</v>
      </c>
      <c r="K7654" s="10">
        <v>3</v>
      </c>
      <c r="L7654" s="10">
        <v>30</v>
      </c>
      <c r="M7654" s="6" t="s">
        <v>371</v>
      </c>
    </row>
    <row r="7655" spans="1:13">
      <c r="A7655" s="6">
        <v>2026</v>
      </c>
      <c r="B7655" s="6">
        <v>4</v>
      </c>
      <c r="C7655" s="6" t="s">
        <v>62</v>
      </c>
      <c r="D7655" s="6" t="s">
        <v>542</v>
      </c>
      <c r="E7655" s="6" t="s">
        <v>543</v>
      </c>
      <c r="F7655" s="6" t="str">
        <f>IF($M7655="PADD I","PADD 1",IF($M7655="PADD II","PADD 2",IF($M7655="PADD III","PADD 3",IF($M7655="PADD IV","PADD 4",IF($M7655="PADD V","PADD 5","")))))</f>
        <v>PADD 2</v>
      </c>
      <c r="G7655" s="6">
        <f>IF(AND($H7655="ATMOS DISTILLATION",ISNUMBER(SEARCH("VPS",$I7655))=FALSE,LEFT($I7655,6)&lt;&gt;"VACUUM"),"CDU",IF($H7655="FLUID CAT CRACKING","FCC",IF(OR($H7655="HYDROCRACKING",$H7655="RESID_HYDROCRACKING"),"Hydrocracker",IF($H7655="REFORMING","Reformer",""))))</f>
        <v/>
      </c>
      <c r="H7655" s="6" t="s">
        <v>43</v>
      </c>
      <c r="I7655" s="6" t="s">
        <v>551</v>
      </c>
      <c r="J7655" s="6" t="s">
        <v>345</v>
      </c>
      <c r="K7655" s="10">
        <v>3</v>
      </c>
      <c r="L7655" s="10">
        <v>100</v>
      </c>
      <c r="M7655" s="6" t="s">
        <v>375</v>
      </c>
    </row>
    <row r="7656" spans="1:13">
      <c r="A7656" s="6">
        <v>2026</v>
      </c>
      <c r="B7656" s="6">
        <v>4</v>
      </c>
      <c r="C7656" s="6" t="s">
        <v>62</v>
      </c>
      <c r="D7656" s="6" t="s">
        <v>722</v>
      </c>
      <c r="E7656" s="6" t="s">
        <v>452</v>
      </c>
      <c r="F7656" s="6" t="str">
        <f>IF($M7656="PADD I","PADD 1",IF($M7656="PADD II","PADD 2",IF($M7656="PADD III","PADD 3",IF($M7656="PADD IV","PADD 4",IF($M7656="PADD V","PADD 5","")))))</f>
        <v>PADD 4</v>
      </c>
      <c r="G7656" s="6">
        <f>IF(AND($H7656="ATMOS DISTILLATION",ISNUMBER(SEARCH("VPS",$I7656))=FALSE,LEFT($I7656,6)&lt;&gt;"VACUUM"),"CDU",IF($H7656="FLUID CAT CRACKING","FCC",IF(OR($H7656="HYDROCRACKING",$H7656="RESID_HYDROCRACKING"),"Hydrocracker",IF($H7656="REFORMING","Reformer",""))))</f>
        <v/>
      </c>
      <c r="H7656" s="6" t="s">
        <v>568</v>
      </c>
      <c r="I7656" s="6" t="s">
        <v>1367</v>
      </c>
      <c r="J7656" s="6" t="s">
        <v>349</v>
      </c>
      <c r="K7656" s="10">
        <v>3</v>
      </c>
      <c r="L7656" s="10">
        <v>3</v>
      </c>
      <c r="M7656" s="6" t="s">
        <v>430</v>
      </c>
    </row>
    <row r="7657" spans="1:13">
      <c r="A7657" s="6">
        <v>2026</v>
      </c>
      <c r="B7657" s="6">
        <v>4</v>
      </c>
      <c r="C7657" s="6" t="s">
        <v>62</v>
      </c>
      <c r="D7657" s="6" t="s">
        <v>722</v>
      </c>
      <c r="E7657" s="6" t="s">
        <v>452</v>
      </c>
      <c r="F7657" s="6" t="str">
        <f>IF($M7657="PADD I","PADD 1",IF($M7657="PADD II","PADD 2",IF($M7657="PADD III","PADD 3",IF($M7657="PADD IV","PADD 4",IF($M7657="PADD V","PADD 5","")))))</f>
        <v>PADD 4</v>
      </c>
      <c r="G7657" s="6">
        <f>IF(AND($H7657="ATMOS DISTILLATION",ISNUMBER(SEARCH("VPS",$I7657))=FALSE,LEFT($I7657,6)&lt;&gt;"VACUUM"),"CDU",IF($H7657="FLUID CAT CRACKING","FCC",IF(OR($H7657="HYDROCRACKING",$H7657="RESID_HYDROCRACKING"),"Hydrocracker",IF($H7657="REFORMING","Reformer",""))))</f>
        <v/>
      </c>
      <c r="H7657" s="6" t="s">
        <v>460</v>
      </c>
      <c r="I7657" s="6" t="s">
        <v>1109</v>
      </c>
      <c r="J7657" s="6" t="s">
        <v>349</v>
      </c>
      <c r="K7657" s="10">
        <v>2.9</v>
      </c>
      <c r="L7657" s="10">
        <v>2.9</v>
      </c>
      <c r="M7657" s="6" t="s">
        <v>430</v>
      </c>
    </row>
    <row r="7658" spans="1:13">
      <c r="A7658" s="6">
        <v>2026</v>
      </c>
      <c r="B7658" s="6">
        <v>4</v>
      </c>
      <c r="C7658" s="6" t="s">
        <v>62</v>
      </c>
      <c r="D7658" s="6" t="s">
        <v>52</v>
      </c>
      <c r="E7658" s="6" t="s">
        <v>388</v>
      </c>
      <c r="F7658" s="6" t="str">
        <f>IF($M7658="PADD I","PADD 1",IF($M7658="PADD II","PADD 2",IF($M7658="PADD III","PADD 3",IF($M7658="PADD IV","PADD 4",IF($M7658="PADD V","PADD 5","")))))</f>
        <v>PADD 5</v>
      </c>
      <c r="G7658" s="6">
        <f>IF(AND($H7658="ATMOS DISTILLATION",ISNUMBER(SEARCH("VPS",$I7658))=FALSE,LEFT($I7658,6)&lt;&gt;"VACUUM"),"CDU",IF($H7658="FLUID CAT CRACKING","FCC",IF(OR($H7658="HYDROCRACKING",$H7658="RESID_HYDROCRACKING"),"Hydrocracker",IF($H7658="REFORMING","Reformer",""))))</f>
        <v/>
      </c>
      <c r="H7658" s="6" t="s">
        <v>568</v>
      </c>
      <c r="I7658" s="6" t="s">
        <v>825</v>
      </c>
      <c r="J7658" s="6" t="s">
        <v>349</v>
      </c>
      <c r="K7658" s="10">
        <v>2.8</v>
      </c>
      <c r="L7658" s="10">
        <v>4</v>
      </c>
      <c r="M7658" s="6" t="s">
        <v>386</v>
      </c>
    </row>
    <row r="7659" spans="1:13">
      <c r="A7659" s="6">
        <v>2026</v>
      </c>
      <c r="B7659" s="6">
        <v>4</v>
      </c>
      <c r="C7659" s="6" t="s">
        <v>62</v>
      </c>
      <c r="D7659" s="6" t="s">
        <v>372</v>
      </c>
      <c r="E7659" s="6" t="s">
        <v>373</v>
      </c>
      <c r="F7659" s="6" t="str">
        <f>IF($M7659="PADD I","PADD 1",IF($M7659="PADD II","PADD 2",IF($M7659="PADD III","PADD 3",IF($M7659="PADD IV","PADD 4",IF($M7659="PADD V","PADD 5","")))))</f>
        <v>PADD 2</v>
      </c>
      <c r="G7659" s="6">
        <f>IF(AND($H7659="ATMOS DISTILLATION",ISNUMBER(SEARCH("VPS",$I7659))=FALSE,LEFT($I7659,6)&lt;&gt;"VACUUM"),"CDU",IF($H7659="FLUID CAT CRACKING","FCC",IF(OR($H7659="HYDROCRACKING",$H7659="RESID_HYDROCRACKING"),"Hydrocracker",IF($H7659="REFORMING","Reformer",""))))</f>
        <v/>
      </c>
      <c r="H7659" s="6" t="s">
        <v>435</v>
      </c>
      <c r="I7659" s="6" t="s">
        <v>584</v>
      </c>
      <c r="J7659" s="6" t="s">
        <v>345</v>
      </c>
      <c r="K7659" s="10">
        <v>2.775</v>
      </c>
      <c r="L7659" s="10">
        <v>7.5</v>
      </c>
      <c r="M7659" s="6" t="s">
        <v>375</v>
      </c>
    </row>
    <row r="7660" spans="1:13">
      <c r="A7660" s="6">
        <v>2026</v>
      </c>
      <c r="B7660" s="6">
        <v>4</v>
      </c>
      <c r="C7660" s="6" t="s">
        <v>62</v>
      </c>
      <c r="D7660" s="6" t="s">
        <v>542</v>
      </c>
      <c r="E7660" s="6" t="s">
        <v>543</v>
      </c>
      <c r="F7660" s="6" t="str">
        <f>IF($M7660="PADD I","PADD 1",IF($M7660="PADD II","PADD 2",IF($M7660="PADD III","PADD 3",IF($M7660="PADD IV","PADD 4",IF($M7660="PADD V","PADD 5","")))))</f>
        <v>PADD 2</v>
      </c>
      <c r="G7660" s="6" t="str">
        <f>IF(AND($H7660="ATMOS DISTILLATION",ISNUMBER(SEARCH("VPS",$I7660))=FALSE,LEFT($I7660,6)&lt;&gt;"VACUUM"),"CDU",IF($H7660="FLUID CAT CRACKING","FCC",IF(OR($H7660="HYDROCRACKING",$H7660="RESID_HYDROCRACKING"),"Hydrocracker",IF($H7660="REFORMING","Reformer",""))))</f>
        <v>CDU</v>
      </c>
      <c r="H7660" s="6" t="s">
        <v>38</v>
      </c>
      <c r="I7660" s="6" t="s">
        <v>1115</v>
      </c>
      <c r="J7660" s="6" t="s">
        <v>345</v>
      </c>
      <c r="K7660" s="10">
        <v>2.7</v>
      </c>
      <c r="L7660" s="10">
        <v>90</v>
      </c>
      <c r="M7660" s="6" t="s">
        <v>375</v>
      </c>
    </row>
    <row r="7661" spans="1:13">
      <c r="A7661" s="6">
        <v>2026</v>
      </c>
      <c r="B7661" s="6">
        <v>4</v>
      </c>
      <c r="C7661" s="6" t="s">
        <v>62</v>
      </c>
      <c r="D7661" s="6" t="s">
        <v>542</v>
      </c>
      <c r="E7661" s="6" t="s">
        <v>543</v>
      </c>
      <c r="F7661" s="6" t="str">
        <f>IF($M7661="PADD I","PADD 1",IF($M7661="PADD II","PADD 2",IF($M7661="PADD III","PADD 3",IF($M7661="PADD IV","PADD 4",IF($M7661="PADD V","PADD 5","")))))</f>
        <v>PADD 2</v>
      </c>
      <c r="G7661" s="6" t="str">
        <f>IF(AND($H7661="ATMOS DISTILLATION",ISNUMBER(SEARCH("VPS",$I7661))=FALSE,LEFT($I7661,6)&lt;&gt;"VACUUM"),"CDU",IF($H7661="FLUID CAT CRACKING","FCC",IF(OR($H7661="HYDROCRACKING",$H7661="RESID_HYDROCRACKING"),"Hydrocracker",IF($H7661="REFORMING","Reformer",""))))</f>
        <v>CDU</v>
      </c>
      <c r="H7661" s="6" t="s">
        <v>38</v>
      </c>
      <c r="I7661" s="6" t="s">
        <v>690</v>
      </c>
      <c r="J7661" s="6" t="s">
        <v>345</v>
      </c>
      <c r="K7661" s="10">
        <v>2.7</v>
      </c>
      <c r="L7661" s="10">
        <v>90</v>
      </c>
      <c r="M7661" s="6" t="s">
        <v>375</v>
      </c>
    </row>
    <row r="7662" spans="1:13">
      <c r="A7662" s="6">
        <v>2026</v>
      </c>
      <c r="B7662" s="6">
        <v>4</v>
      </c>
      <c r="C7662" s="6" t="s">
        <v>62</v>
      </c>
      <c r="D7662" s="6" t="s">
        <v>542</v>
      </c>
      <c r="E7662" s="6" t="s">
        <v>543</v>
      </c>
      <c r="F7662" s="6" t="str">
        <f>IF($M7662="PADD I","PADD 1",IF($M7662="PADD II","PADD 2",IF($M7662="PADD III","PADD 3",IF($M7662="PADD IV","PADD 4",IF($M7662="PADD V","PADD 5","")))))</f>
        <v>PADD 2</v>
      </c>
      <c r="G7662" s="6">
        <f>IF(AND($H7662="ATMOS DISTILLATION",ISNUMBER(SEARCH("VPS",$I7662))=FALSE,LEFT($I7662,6)&lt;&gt;"VACUUM"),"CDU",IF($H7662="FLUID CAT CRACKING","FCC",IF(OR($H7662="HYDROCRACKING",$H7662="RESID_HYDROCRACKING"),"Hydrocracker",IF($H7662="REFORMING","Reformer",""))))</f>
        <v/>
      </c>
      <c r="H7662" s="6" t="s">
        <v>43</v>
      </c>
      <c r="I7662" s="6" t="s">
        <v>1111</v>
      </c>
      <c r="J7662" s="6" t="s">
        <v>345</v>
      </c>
      <c r="K7662" s="10">
        <v>2.55</v>
      </c>
      <c r="L7662" s="10">
        <v>85</v>
      </c>
      <c r="M7662" s="6" t="s">
        <v>375</v>
      </c>
    </row>
    <row r="7663" spans="1:13">
      <c r="A7663" s="6">
        <v>2026</v>
      </c>
      <c r="B7663" s="6">
        <v>4</v>
      </c>
      <c r="C7663" s="6" t="s">
        <v>62</v>
      </c>
      <c r="D7663" s="6" t="s">
        <v>326</v>
      </c>
      <c r="E7663" s="6" t="s">
        <v>385</v>
      </c>
      <c r="F7663" s="6" t="str">
        <f>IF($M7663="PADD I","PADD 1",IF($M7663="PADD II","PADD 2",IF($M7663="PADD III","PADD 3",IF($M7663="PADD IV","PADD 4",IF($M7663="PADD V","PADD 5","")))))</f>
        <v>PADD 5</v>
      </c>
      <c r="G7663" s="6">
        <f>IF(AND($H7663="ATMOS DISTILLATION",ISNUMBER(SEARCH("VPS",$I7663))=FALSE,LEFT($I7663,6)&lt;&gt;"VACUUM"),"CDU",IF($H7663="FLUID CAT CRACKING","FCC",IF(OR($H7663="HYDROCRACKING",$H7663="RESID_HYDROCRACKING"),"Hydrocracker",IF($H7663="REFORMING","Reformer",""))))</f>
        <v/>
      </c>
      <c r="H7663" s="6" t="s">
        <v>435</v>
      </c>
      <c r="I7663" s="6" t="s">
        <v>813</v>
      </c>
      <c r="J7663" s="6" t="s">
        <v>345</v>
      </c>
      <c r="K7663" s="10">
        <v>2.5</v>
      </c>
      <c r="L7663" s="10">
        <v>25</v>
      </c>
      <c r="M7663" s="6" t="s">
        <v>386</v>
      </c>
    </row>
    <row r="7664" spans="1:13">
      <c r="A7664" s="6">
        <v>2026</v>
      </c>
      <c r="B7664" s="6">
        <v>4</v>
      </c>
      <c r="C7664" s="6" t="s">
        <v>62</v>
      </c>
      <c r="D7664" s="6" t="s">
        <v>576</v>
      </c>
      <c r="E7664" s="6" t="s">
        <v>369</v>
      </c>
      <c r="F7664" s="6" t="str">
        <f>IF($M7664="PADD I","PADD 1",IF($M7664="PADD II","PADD 2",IF($M7664="PADD III","PADD 3",IF($M7664="PADD IV","PADD 4",IF($M7664="PADD V","PADD 5","")))))</f>
        <v>PADD 3</v>
      </c>
      <c r="G7664" s="6" t="str">
        <f>IF(AND($H7664="ATMOS DISTILLATION",ISNUMBER(SEARCH("VPS",$I7664))=FALSE,LEFT($I7664,6)&lt;&gt;"VACUUM"),"CDU",IF($H7664="FLUID CAT CRACKING","FCC",IF(OR($H7664="HYDROCRACKING",$H7664="RESID_HYDROCRACKING"),"Hydrocracker",IF($H7664="REFORMING","Reformer",""))))</f>
        <v>Reformer</v>
      </c>
      <c r="H7664" s="6" t="s">
        <v>421</v>
      </c>
      <c r="I7664" s="6" t="s">
        <v>483</v>
      </c>
      <c r="J7664" s="6" t="s">
        <v>345</v>
      </c>
      <c r="K7664" s="10">
        <v>2.4</v>
      </c>
      <c r="L7664" s="10">
        <v>12</v>
      </c>
      <c r="M7664" s="6" t="s">
        <v>371</v>
      </c>
    </row>
    <row r="7665" spans="1:13">
      <c r="A7665" s="6">
        <v>2026</v>
      </c>
      <c r="B7665" s="6">
        <v>4</v>
      </c>
      <c r="C7665" s="6" t="s">
        <v>62</v>
      </c>
      <c r="D7665" s="6" t="s">
        <v>437</v>
      </c>
      <c r="E7665" s="6" t="s">
        <v>438</v>
      </c>
      <c r="F7665" s="6" t="str">
        <f>IF($M7665="PADD I","PADD 1",IF($M7665="PADD II","PADD 2",IF($M7665="PADD III","PADD 3",IF($M7665="PADD IV","PADD 4",IF($M7665="PADD V","PADD 5","")))))</f>
        <v>PADD 4</v>
      </c>
      <c r="G7665" s="6">
        <f>IF(AND($H7665="ATMOS DISTILLATION",ISNUMBER(SEARCH("VPS",$I7665))=FALSE,LEFT($I7665,6)&lt;&gt;"VACUUM"),"CDU",IF($H7665="FLUID CAT CRACKING","FCC",IF(OR($H7665="HYDROCRACKING",$H7665="RESID_HYDROCRACKING"),"Hydrocracker",IF($H7665="REFORMING","Reformer",""))))</f>
        <v/>
      </c>
      <c r="H7665" s="6" t="s">
        <v>378</v>
      </c>
      <c r="I7665" s="6" t="s">
        <v>556</v>
      </c>
      <c r="J7665" s="6" t="s">
        <v>345</v>
      </c>
      <c r="K7665" s="10">
        <v>2.3</v>
      </c>
      <c r="L7665" s="10">
        <v>10</v>
      </c>
      <c r="M7665" s="6" t="s">
        <v>430</v>
      </c>
    </row>
    <row r="7666" spans="1:13">
      <c r="A7666" s="6">
        <v>2026</v>
      </c>
      <c r="B7666" s="6">
        <v>4</v>
      </c>
      <c r="C7666" s="6" t="s">
        <v>62</v>
      </c>
      <c r="D7666" s="6" t="s">
        <v>1315</v>
      </c>
      <c r="E7666" s="6" t="s">
        <v>1316</v>
      </c>
      <c r="F7666" s="6" t="str">
        <f>IF($M7666="PADD I","PADD 1",IF($M7666="PADD II","PADD 2",IF($M7666="PADD III","PADD 3",IF($M7666="PADD IV","PADD 4",IF($M7666="PADD V","PADD 5","")))))</f>
        <v>PADD 1</v>
      </c>
      <c r="G7666" s="6" t="str">
        <f>IF(AND($H7666="ATMOS DISTILLATION",ISNUMBER(SEARCH("VPS",$I7666))=FALSE,LEFT($I7666,6)&lt;&gt;"VACUUM"),"CDU",IF($H7666="FLUID CAT CRACKING","FCC",IF(OR($H7666="HYDROCRACKING",$H7666="RESID_HYDROCRACKING"),"Hydrocracker",IF($H7666="REFORMING","Reformer",""))))</f>
        <v>Reformer</v>
      </c>
      <c r="H7666" s="6" t="s">
        <v>421</v>
      </c>
      <c r="I7666" s="6" t="s">
        <v>571</v>
      </c>
      <c r="J7666" s="6" t="s">
        <v>345</v>
      </c>
      <c r="K7666" s="10">
        <v>2.2</v>
      </c>
      <c r="L7666" s="10">
        <v>2.2</v>
      </c>
      <c r="M7666" s="6" t="s">
        <v>413</v>
      </c>
    </row>
    <row r="7667" spans="1:13">
      <c r="A7667" s="6">
        <v>2026</v>
      </c>
      <c r="B7667" s="6">
        <v>4</v>
      </c>
      <c r="C7667" s="6" t="s">
        <v>62</v>
      </c>
      <c r="D7667" s="6" t="s">
        <v>542</v>
      </c>
      <c r="E7667" s="6" t="s">
        <v>543</v>
      </c>
      <c r="F7667" s="6" t="str">
        <f>IF($M7667="PADD I","PADD 1",IF($M7667="PADD II","PADD 2",IF($M7667="PADD III","PADD 3",IF($M7667="PADD IV","PADD 4",IF($M7667="PADD V","PADD 5","")))))</f>
        <v>PADD 2</v>
      </c>
      <c r="G7667" s="6">
        <f>IF(AND($H7667="ATMOS DISTILLATION",ISNUMBER(SEARCH("VPS",$I7667))=FALSE,LEFT($I7667,6)&lt;&gt;"VACUUM"),"CDU",IF($H7667="FLUID CAT CRACKING","FCC",IF(OR($H7667="HYDROCRACKING",$H7667="RESID_HYDROCRACKING"),"Hydrocracker",IF($H7667="REFORMING","Reformer",""))))</f>
        <v/>
      </c>
      <c r="H7667" s="6" t="s">
        <v>43</v>
      </c>
      <c r="I7667" s="6" t="s">
        <v>759</v>
      </c>
      <c r="J7667" s="6" t="s">
        <v>345</v>
      </c>
      <c r="K7667" s="10">
        <v>2.1</v>
      </c>
      <c r="L7667" s="10">
        <v>70</v>
      </c>
      <c r="M7667" s="6" t="s">
        <v>375</v>
      </c>
    </row>
    <row r="7668" spans="1:13">
      <c r="A7668" s="6">
        <v>2026</v>
      </c>
      <c r="B7668" s="6">
        <v>4</v>
      </c>
      <c r="C7668" s="6" t="s">
        <v>62</v>
      </c>
      <c r="D7668" s="6" t="s">
        <v>714</v>
      </c>
      <c r="E7668" s="6" t="s">
        <v>405</v>
      </c>
      <c r="F7668" s="6" t="str">
        <f>IF($M7668="PADD I","PADD 1",IF($M7668="PADD II","PADD 2",IF($M7668="PADD III","PADD 3",IF($M7668="PADD IV","PADD 4",IF($M7668="PADD V","PADD 5","")))))</f>
        <v>PADD 3</v>
      </c>
      <c r="G7668" s="6" t="str">
        <f>IF(AND($H7668="ATMOS DISTILLATION",ISNUMBER(SEARCH("VPS",$I7668))=FALSE,LEFT($I7668,6)&lt;&gt;"VACUUM"),"CDU",IF($H7668="FLUID CAT CRACKING","FCC",IF(OR($H7668="HYDROCRACKING",$H7668="RESID_HYDROCRACKING"),"Hydrocracker",IF($H7668="REFORMING","Reformer",""))))</f>
        <v>Hydrocracker</v>
      </c>
      <c r="H7668" s="6" t="s">
        <v>444</v>
      </c>
      <c r="I7668" s="6" t="s">
        <v>14</v>
      </c>
      <c r="J7668" s="6" t="s">
        <v>345</v>
      </c>
      <c r="K7668" s="10">
        <v>2.065</v>
      </c>
      <c r="L7668" s="10">
        <v>29.5</v>
      </c>
      <c r="M7668" s="6" t="s">
        <v>371</v>
      </c>
    </row>
    <row r="7669" spans="1:13">
      <c r="A7669" s="6">
        <v>2026</v>
      </c>
      <c r="B7669" s="6">
        <v>4</v>
      </c>
      <c r="C7669" s="6" t="s">
        <v>62</v>
      </c>
      <c r="D7669" s="6" t="s">
        <v>714</v>
      </c>
      <c r="E7669" s="6" t="s">
        <v>405</v>
      </c>
      <c r="F7669" s="6" t="str">
        <f>IF($M7669="PADD I","PADD 1",IF($M7669="PADD II","PADD 2",IF($M7669="PADD III","PADD 3",IF($M7669="PADD IV","PADD 4",IF($M7669="PADD V","PADD 5","")))))</f>
        <v>PADD 3</v>
      </c>
      <c r="G7669" s="6" t="str">
        <f>IF(AND($H7669="ATMOS DISTILLATION",ISNUMBER(SEARCH("VPS",$I7669))=FALSE,LEFT($I7669,6)&lt;&gt;"VACUUM"),"CDU",IF($H7669="FLUID CAT CRACKING","FCC",IF(OR($H7669="HYDROCRACKING",$H7669="RESID_HYDROCRACKING"),"Hydrocracker",IF($H7669="REFORMING","Reformer",""))))</f>
        <v>Reformer</v>
      </c>
      <c r="H7669" s="6" t="s">
        <v>421</v>
      </c>
      <c r="I7669" s="6" t="s">
        <v>864</v>
      </c>
      <c r="J7669" s="6" t="s">
        <v>345</v>
      </c>
      <c r="K7669" s="10">
        <v>2.023</v>
      </c>
      <c r="L7669" s="10">
        <v>28.9</v>
      </c>
      <c r="M7669" s="6" t="s">
        <v>371</v>
      </c>
    </row>
    <row r="7670" spans="1:13">
      <c r="A7670" s="6">
        <v>2026</v>
      </c>
      <c r="B7670" s="6">
        <v>4</v>
      </c>
      <c r="C7670" s="6" t="s">
        <v>62</v>
      </c>
      <c r="D7670" s="6" t="s">
        <v>799</v>
      </c>
      <c r="E7670" s="6" t="s">
        <v>391</v>
      </c>
      <c r="F7670" s="6" t="str">
        <f>IF($M7670="PADD I","PADD 1",IF($M7670="PADD II","PADD 2",IF($M7670="PADD III","PADD 3",IF($M7670="PADD IV","PADD 4",IF($M7670="PADD V","PADD 5","")))))</f>
        <v>PADD 4</v>
      </c>
      <c r="G7670" s="6">
        <f>IF(AND($H7670="ATMOS DISTILLATION",ISNUMBER(SEARCH("VPS",$I7670))=FALSE,LEFT($I7670,6)&lt;&gt;"VACUUM"),"CDU",IF($H7670="FLUID CAT CRACKING","FCC",IF(OR($H7670="HYDROCRACKING",$H7670="RESID_HYDROCRACKING"),"Hydrocracker",IF($H7670="REFORMING","Reformer",""))))</f>
        <v/>
      </c>
      <c r="H7670" s="6" t="s">
        <v>435</v>
      </c>
      <c r="I7670" s="6" t="s">
        <v>1188</v>
      </c>
      <c r="J7670" s="6" t="s">
        <v>345</v>
      </c>
      <c r="K7670" s="10">
        <v>2</v>
      </c>
      <c r="L7670" s="10">
        <v>10</v>
      </c>
      <c r="M7670" s="6" t="s">
        <v>430</v>
      </c>
    </row>
    <row r="7671" spans="1:13">
      <c r="A7671" s="6">
        <v>2026</v>
      </c>
      <c r="B7671" s="6">
        <v>4</v>
      </c>
      <c r="C7671" s="6" t="s">
        <v>62</v>
      </c>
      <c r="D7671" s="6" t="s">
        <v>321</v>
      </c>
      <c r="E7671" s="6" t="s">
        <v>381</v>
      </c>
      <c r="F7671" s="6" t="str">
        <f>IF($M7671="PADD I","PADD 1",IF($M7671="PADD II","PADD 2",IF($M7671="PADD III","PADD 3",IF($M7671="PADD IV","PADD 4",IF($M7671="PADD V","PADD 5","")))))</f>
        <v>PADD 2</v>
      </c>
      <c r="G7671" s="6">
        <f>IF(AND($H7671="ATMOS DISTILLATION",ISNUMBER(SEARCH("VPS",$I7671))=FALSE,LEFT($I7671,6)&lt;&gt;"VACUUM"),"CDU",IF($H7671="FLUID CAT CRACKING","FCC",IF(OR($H7671="HYDROCRACKING",$H7671="RESID_HYDROCRACKING"),"Hydrocracker",IF($H7671="REFORMING","Reformer",""))))</f>
        <v/>
      </c>
      <c r="H7671" s="6" t="s">
        <v>435</v>
      </c>
      <c r="I7671" s="6" t="s">
        <v>441</v>
      </c>
      <c r="J7671" s="6" t="s">
        <v>345</v>
      </c>
      <c r="K7671" s="10">
        <v>2</v>
      </c>
      <c r="L7671" s="10">
        <v>10</v>
      </c>
      <c r="M7671" s="6" t="s">
        <v>375</v>
      </c>
    </row>
    <row r="7672" spans="1:13">
      <c r="A7672" s="6">
        <v>2026</v>
      </c>
      <c r="B7672" s="6">
        <v>4</v>
      </c>
      <c r="C7672" s="6" t="s">
        <v>62</v>
      </c>
      <c r="D7672" s="6" t="s">
        <v>319</v>
      </c>
      <c r="E7672" s="6" t="s">
        <v>665</v>
      </c>
      <c r="F7672" s="6" t="str">
        <f>IF($M7672="PADD I","PADD 1",IF($M7672="PADD II","PADD 2",IF($M7672="PADD III","PADD 3",IF($M7672="PADD IV","PADD 4",IF($M7672="PADD V","PADD 5","")))))</f>
        <v>PADD 3</v>
      </c>
      <c r="G7672" s="6" t="str">
        <f>IF(AND($H7672="ATMOS DISTILLATION",ISNUMBER(SEARCH("VPS",$I7672))=FALSE,LEFT($I7672,6)&lt;&gt;"VACUUM"),"CDU",IF($H7672="FLUID CAT CRACKING","FCC",IF(OR($H7672="HYDROCRACKING",$H7672="RESID_HYDROCRACKING"),"Hydrocracker",IF($H7672="REFORMING","Reformer",""))))</f>
        <v>FCC</v>
      </c>
      <c r="H7672" s="6" t="s">
        <v>376</v>
      </c>
      <c r="I7672" s="6" t="s">
        <v>875</v>
      </c>
      <c r="J7672" s="6" t="s">
        <v>345</v>
      </c>
      <c r="K7672" s="10">
        <v>2</v>
      </c>
      <c r="L7672" s="10">
        <v>20</v>
      </c>
      <c r="M7672" s="6" t="s">
        <v>371</v>
      </c>
    </row>
    <row r="7673" spans="1:13">
      <c r="A7673" s="6">
        <v>2026</v>
      </c>
      <c r="B7673" s="6">
        <v>4</v>
      </c>
      <c r="C7673" s="6" t="s">
        <v>62</v>
      </c>
      <c r="D7673" s="6" t="s">
        <v>542</v>
      </c>
      <c r="E7673" s="6" t="s">
        <v>543</v>
      </c>
      <c r="F7673" s="6" t="str">
        <f>IF($M7673="PADD I","PADD 1",IF($M7673="PADD II","PADD 2",IF($M7673="PADD III","PADD 3",IF($M7673="PADD IV","PADD 4",IF($M7673="PADD V","PADD 5","")))))</f>
        <v>PADD 2</v>
      </c>
      <c r="G7673" s="6" t="str">
        <f>IF(AND($H7673="ATMOS DISTILLATION",ISNUMBER(SEARCH("VPS",$I7673))=FALSE,LEFT($I7673,6)&lt;&gt;"VACUUM"),"CDU",IF($H7673="FLUID CAT CRACKING","FCC",IF(OR($H7673="HYDROCRACKING",$H7673="RESID_HYDROCRACKING"),"Hydrocracker",IF($H7673="REFORMING","Reformer",""))))</f>
        <v>FCC</v>
      </c>
      <c r="H7673" s="6" t="s">
        <v>376</v>
      </c>
      <c r="I7673" s="6" t="s">
        <v>1113</v>
      </c>
      <c r="J7673" s="6" t="s">
        <v>345</v>
      </c>
      <c r="K7673" s="10">
        <v>1.95</v>
      </c>
      <c r="L7673" s="10">
        <v>65</v>
      </c>
      <c r="M7673" s="6" t="s">
        <v>375</v>
      </c>
    </row>
    <row r="7674" spans="1:13">
      <c r="A7674" s="6">
        <v>2026</v>
      </c>
      <c r="B7674" s="6">
        <v>4</v>
      </c>
      <c r="C7674" s="6" t="s">
        <v>62</v>
      </c>
      <c r="D7674" s="6" t="s">
        <v>803</v>
      </c>
      <c r="E7674" s="6" t="s">
        <v>388</v>
      </c>
      <c r="F7674" s="6" t="str">
        <f>IF($M7674="PADD I","PADD 1",IF($M7674="PADD II","PADD 2",IF($M7674="PADD III","PADD 3",IF($M7674="PADD IV","PADD 4",IF($M7674="PADD V","PADD 5","")))))</f>
        <v>PADD 2</v>
      </c>
      <c r="G7674" s="6" t="str">
        <f>IF(AND($H7674="ATMOS DISTILLATION",ISNUMBER(SEARCH("VPS",$I7674))=FALSE,LEFT($I7674,6)&lt;&gt;"VACUUM"),"CDU",IF($H7674="FLUID CAT CRACKING","FCC",IF(OR($H7674="HYDROCRACKING",$H7674="RESID_HYDROCRACKING"),"Hydrocracker",IF($H7674="REFORMING","Reformer",""))))</f>
        <v>Reformer</v>
      </c>
      <c r="H7674" s="6" t="s">
        <v>421</v>
      </c>
      <c r="I7674" s="6" t="s">
        <v>559</v>
      </c>
      <c r="J7674" s="6" t="s">
        <v>345</v>
      </c>
      <c r="K7674" s="10">
        <v>1.9125</v>
      </c>
      <c r="L7674" s="10">
        <v>11.25</v>
      </c>
      <c r="M7674" s="6" t="s">
        <v>375</v>
      </c>
    </row>
    <row r="7675" spans="1:13">
      <c r="A7675" s="6">
        <v>2026</v>
      </c>
      <c r="B7675" s="6">
        <v>4</v>
      </c>
      <c r="C7675" s="6" t="s">
        <v>62</v>
      </c>
      <c r="D7675" s="6" t="s">
        <v>803</v>
      </c>
      <c r="E7675" s="6" t="s">
        <v>388</v>
      </c>
      <c r="F7675" s="6" t="str">
        <f>IF($M7675="PADD I","PADD 1",IF($M7675="PADD II","PADD 2",IF($M7675="PADD III","PADD 3",IF($M7675="PADD IV","PADD 4",IF($M7675="PADD V","PADD 5","")))))</f>
        <v>PADD 2</v>
      </c>
      <c r="G7675" s="6" t="str">
        <f>IF(AND($H7675="ATMOS DISTILLATION",ISNUMBER(SEARCH("VPS",$I7675))=FALSE,LEFT($I7675,6)&lt;&gt;"VACUUM"),"CDU",IF($H7675="FLUID CAT CRACKING","FCC",IF(OR($H7675="HYDROCRACKING",$H7675="RESID_HYDROCRACKING"),"Hydrocracker",IF($H7675="REFORMING","Reformer",""))))</f>
        <v>Reformer</v>
      </c>
      <c r="H7675" s="6" t="s">
        <v>421</v>
      </c>
      <c r="I7675" s="6" t="s">
        <v>559</v>
      </c>
      <c r="J7675" s="6" t="s">
        <v>345</v>
      </c>
      <c r="K7675" s="10">
        <v>1.9125</v>
      </c>
      <c r="L7675" s="10">
        <v>11.25</v>
      </c>
      <c r="M7675" s="6" t="s">
        <v>375</v>
      </c>
    </row>
    <row r="7676" spans="1:13">
      <c r="A7676" s="6">
        <v>2026</v>
      </c>
      <c r="B7676" s="6">
        <v>4</v>
      </c>
      <c r="C7676" s="6" t="s">
        <v>62</v>
      </c>
      <c r="D7676" s="6" t="s">
        <v>803</v>
      </c>
      <c r="E7676" s="6" t="s">
        <v>388</v>
      </c>
      <c r="F7676" s="6" t="str">
        <f>IF($M7676="PADD I","PADD 1",IF($M7676="PADD II","PADD 2",IF($M7676="PADD III","PADD 3",IF($M7676="PADD IV","PADD 4",IF($M7676="PADD V","PADD 5","")))))</f>
        <v>PADD 2</v>
      </c>
      <c r="G7676" s="6" t="str">
        <f>IF(AND($H7676="ATMOS DISTILLATION",ISNUMBER(SEARCH("VPS",$I7676))=FALSE,LEFT($I7676,6)&lt;&gt;"VACUUM"),"CDU",IF($H7676="FLUID CAT CRACKING","FCC",IF(OR($H7676="HYDROCRACKING",$H7676="RESID_HYDROCRACKING"),"Hydrocracker",IF($H7676="REFORMING","Reformer",""))))</f>
        <v>Reformer</v>
      </c>
      <c r="H7676" s="6" t="s">
        <v>421</v>
      </c>
      <c r="I7676" s="6" t="s">
        <v>559</v>
      </c>
      <c r="J7676" s="6" t="s">
        <v>345</v>
      </c>
      <c r="K7676" s="10">
        <v>1.9125</v>
      </c>
      <c r="L7676" s="10">
        <v>11.25</v>
      </c>
      <c r="M7676" s="6" t="s">
        <v>375</v>
      </c>
    </row>
    <row r="7677" spans="1:13">
      <c r="A7677" s="6">
        <v>2026</v>
      </c>
      <c r="B7677" s="6">
        <v>4</v>
      </c>
      <c r="C7677" s="6" t="s">
        <v>62</v>
      </c>
      <c r="D7677" s="6" t="s">
        <v>803</v>
      </c>
      <c r="E7677" s="6" t="s">
        <v>388</v>
      </c>
      <c r="F7677" s="6" t="str">
        <f>IF($M7677="PADD I","PADD 1",IF($M7677="PADD II","PADD 2",IF($M7677="PADD III","PADD 3",IF($M7677="PADD IV","PADD 4",IF($M7677="PADD V","PADD 5","")))))</f>
        <v>PADD 2</v>
      </c>
      <c r="G7677" s="6" t="str">
        <f>IF(AND($H7677="ATMOS DISTILLATION",ISNUMBER(SEARCH("VPS",$I7677))=FALSE,LEFT($I7677,6)&lt;&gt;"VACUUM"),"CDU",IF($H7677="FLUID CAT CRACKING","FCC",IF(OR($H7677="HYDROCRACKING",$H7677="RESID_HYDROCRACKING"),"Hydrocracker",IF($H7677="REFORMING","Reformer",""))))</f>
        <v>Reformer</v>
      </c>
      <c r="H7677" s="6" t="s">
        <v>421</v>
      </c>
      <c r="I7677" s="6" t="s">
        <v>559</v>
      </c>
      <c r="J7677" s="6" t="s">
        <v>345</v>
      </c>
      <c r="K7677" s="10">
        <v>1.9125</v>
      </c>
      <c r="L7677" s="10">
        <v>11.25</v>
      </c>
      <c r="M7677" s="6" t="s">
        <v>375</v>
      </c>
    </row>
    <row r="7678" spans="1:13">
      <c r="A7678" s="6">
        <v>2026</v>
      </c>
      <c r="B7678" s="6">
        <v>4</v>
      </c>
      <c r="C7678" s="6" t="s">
        <v>62</v>
      </c>
      <c r="D7678" s="6" t="s">
        <v>542</v>
      </c>
      <c r="E7678" s="6" t="s">
        <v>543</v>
      </c>
      <c r="F7678" s="6" t="str">
        <f>IF($M7678="PADD I","PADD 1",IF($M7678="PADD II","PADD 2",IF($M7678="PADD III","PADD 3",IF($M7678="PADD IV","PADD 4",IF($M7678="PADD V","PADD 5","")))))</f>
        <v>PADD 2</v>
      </c>
      <c r="G7678" s="6" t="str">
        <f>IF(AND($H7678="ATMOS DISTILLATION",ISNUMBER(SEARCH("VPS",$I7678))=FALSE,LEFT($I7678,6)&lt;&gt;"VACUUM"),"CDU",IF($H7678="FLUID CAT CRACKING","FCC",IF(OR($H7678="HYDROCRACKING",$H7678="RESID_HYDROCRACKING"),"Hydrocracker",IF($H7678="REFORMING","Reformer",""))))</f>
        <v>Reformer</v>
      </c>
      <c r="H7678" s="6" t="s">
        <v>421</v>
      </c>
      <c r="I7678" s="6" t="s">
        <v>1114</v>
      </c>
      <c r="J7678" s="6" t="s">
        <v>345</v>
      </c>
      <c r="K7678" s="10">
        <v>1.8</v>
      </c>
      <c r="L7678" s="10">
        <v>60</v>
      </c>
      <c r="M7678" s="6" t="s">
        <v>375</v>
      </c>
    </row>
    <row r="7679" spans="1:13">
      <c r="A7679" s="6">
        <v>2026</v>
      </c>
      <c r="B7679" s="6">
        <v>4</v>
      </c>
      <c r="C7679" s="6" t="s">
        <v>62</v>
      </c>
      <c r="D7679" s="6" t="s">
        <v>331</v>
      </c>
      <c r="E7679" s="6" t="s">
        <v>373</v>
      </c>
      <c r="F7679" s="6" t="str">
        <f>IF($M7679="PADD I","PADD 1",IF($M7679="PADD II","PADD 2",IF($M7679="PADD III","PADD 3",IF($M7679="PADD IV","PADD 4",IF($M7679="PADD V","PADD 5","")))))</f>
        <v>PADD 2</v>
      </c>
      <c r="G7679" s="6">
        <f>IF(AND($H7679="ATMOS DISTILLATION",ISNUMBER(SEARCH("VPS",$I7679))=FALSE,LEFT($I7679,6)&lt;&gt;"VACUUM"),"CDU",IF($H7679="FLUID CAT CRACKING","FCC",IF(OR($H7679="HYDROCRACKING",$H7679="RESID_HYDROCRACKING"),"Hydrocracker",IF($H7679="REFORMING","Reformer",""))))</f>
        <v/>
      </c>
      <c r="H7679" s="6" t="s">
        <v>435</v>
      </c>
      <c r="I7679" s="6" t="s">
        <v>441</v>
      </c>
      <c r="J7679" s="6" t="s">
        <v>345</v>
      </c>
      <c r="K7679" s="10">
        <v>1.61</v>
      </c>
      <c r="L7679" s="10">
        <v>23</v>
      </c>
      <c r="M7679" s="6" t="s">
        <v>375</v>
      </c>
    </row>
    <row r="7680" spans="1:13">
      <c r="A7680" s="6">
        <v>2026</v>
      </c>
      <c r="B7680" s="6">
        <v>4</v>
      </c>
      <c r="C7680" s="6" t="s">
        <v>62</v>
      </c>
      <c r="D7680" s="6" t="s">
        <v>1043</v>
      </c>
      <c r="E7680" s="6" t="s">
        <v>388</v>
      </c>
      <c r="F7680" s="6" t="str">
        <f>IF($M7680="PADD I","PADD 1",IF($M7680="PADD II","PADD 2",IF($M7680="PADD III","PADD 3",IF($M7680="PADD IV","PADD 4",IF($M7680="PADD V","PADD 5","")))))</f>
        <v>PADD 2</v>
      </c>
      <c r="G7680" s="6">
        <f>IF(AND($H7680="ATMOS DISTILLATION",ISNUMBER(SEARCH("VPS",$I7680))=FALSE,LEFT($I7680,6)&lt;&gt;"VACUUM"),"CDU",IF($H7680="FLUID CAT CRACKING","FCC",IF(OR($H7680="HYDROCRACKING",$H7680="RESID_HYDROCRACKING"),"Hydrocracker",IF($H7680="REFORMING","Reformer",""))))</f>
        <v/>
      </c>
      <c r="H7680" s="6" t="s">
        <v>43</v>
      </c>
      <c r="I7680" s="6" t="s">
        <v>464</v>
      </c>
      <c r="J7680" s="6" t="s">
        <v>345</v>
      </c>
      <c r="K7680" s="10">
        <v>1.591</v>
      </c>
      <c r="L7680" s="10">
        <v>4.3</v>
      </c>
      <c r="M7680" s="6" t="s">
        <v>375</v>
      </c>
    </row>
    <row r="7681" spans="1:13">
      <c r="A7681" s="6">
        <v>2026</v>
      </c>
      <c r="B7681" s="6">
        <v>4</v>
      </c>
      <c r="C7681" s="6" t="s">
        <v>62</v>
      </c>
      <c r="D7681" s="6" t="s">
        <v>762</v>
      </c>
      <c r="E7681" s="6" t="s">
        <v>763</v>
      </c>
      <c r="F7681" s="6" t="str">
        <f>IF($M7681="PADD I","PADD 1",IF($M7681="PADD II","PADD 2",IF($M7681="PADD III","PADD 3",IF($M7681="PADD IV","PADD 4",IF($M7681="PADD V","PADD 5","")))))</f>
        <v>PADD 2</v>
      </c>
      <c r="G7681" s="6">
        <f>IF(AND($H7681="ATMOS DISTILLATION",ISNUMBER(SEARCH("VPS",$I7681))=FALSE,LEFT($I7681,6)&lt;&gt;"VACUUM"),"CDU",IF($H7681="FLUID CAT CRACKING","FCC",IF(OR($H7681="HYDROCRACKING",$H7681="RESID_HYDROCRACKING"),"Hydrocracker",IF($H7681="REFORMING","Reformer",""))))</f>
        <v/>
      </c>
      <c r="H7681" s="6" t="s">
        <v>460</v>
      </c>
      <c r="I7681" s="6" t="s">
        <v>616</v>
      </c>
      <c r="J7681" s="6" t="s">
        <v>345</v>
      </c>
      <c r="K7681" s="10">
        <v>1.265</v>
      </c>
      <c r="L7681" s="10">
        <v>5.5</v>
      </c>
      <c r="M7681" s="6" t="s">
        <v>375</v>
      </c>
    </row>
    <row r="7682" spans="1:13">
      <c r="A7682" s="6">
        <v>2026</v>
      </c>
      <c r="B7682" s="6">
        <v>4</v>
      </c>
      <c r="C7682" s="6" t="s">
        <v>62</v>
      </c>
      <c r="D7682" s="6" t="s">
        <v>542</v>
      </c>
      <c r="E7682" s="6" t="s">
        <v>543</v>
      </c>
      <c r="F7682" s="6" t="str">
        <f>IF($M7682="PADD I","PADD 1",IF($M7682="PADD II","PADD 2",IF($M7682="PADD III","PADD 3",IF($M7682="PADD IV","PADD 4",IF($M7682="PADD V","PADD 5","")))))</f>
        <v>PADD 2</v>
      </c>
      <c r="G7682" s="6">
        <f>IF(AND($H7682="ATMOS DISTILLATION",ISNUMBER(SEARCH("VPS",$I7682))=FALSE,LEFT($I7682,6)&lt;&gt;"VACUUM"),"CDU",IF($H7682="FLUID CAT CRACKING","FCC",IF(OR($H7682="HYDROCRACKING",$H7682="RESID_HYDROCRACKING"),"Hydrocracker",IF($H7682="REFORMING","Reformer",""))))</f>
        <v/>
      </c>
      <c r="H7682" s="6" t="s">
        <v>43</v>
      </c>
      <c r="I7682" s="6" t="s">
        <v>915</v>
      </c>
      <c r="J7682" s="6" t="s">
        <v>345</v>
      </c>
      <c r="K7682" s="10">
        <v>1.2</v>
      </c>
      <c r="L7682" s="10">
        <v>40</v>
      </c>
      <c r="M7682" s="6" t="s">
        <v>375</v>
      </c>
    </row>
    <row r="7683" spans="1:13">
      <c r="A7683" s="6">
        <v>2026</v>
      </c>
      <c r="B7683" s="6">
        <v>4</v>
      </c>
      <c r="C7683" s="6" t="s">
        <v>62</v>
      </c>
      <c r="D7683" s="6" t="s">
        <v>326</v>
      </c>
      <c r="E7683" s="6" t="s">
        <v>385</v>
      </c>
      <c r="F7683" s="6" t="str">
        <f>IF($M7683="PADD I","PADD 1",IF($M7683="PADD II","PADD 2",IF($M7683="PADD III","PADD 3",IF($M7683="PADD IV","PADD 4",IF($M7683="PADD V","PADD 5","")))))</f>
        <v>PADD 5</v>
      </c>
      <c r="G7683" s="6" t="str">
        <f>IF(AND($H7683="ATMOS DISTILLATION",ISNUMBER(SEARCH("VPS",$I7683))=FALSE,LEFT($I7683,6)&lt;&gt;"VACUUM"),"CDU",IF($H7683="FLUID CAT CRACKING","FCC",IF(OR($H7683="HYDROCRACKING",$H7683="RESID_HYDROCRACKING"),"Hydrocracker",IF($H7683="REFORMING","Reformer",""))))</f>
        <v>CDU</v>
      </c>
      <c r="H7683" s="6" t="s">
        <v>38</v>
      </c>
      <c r="I7683" s="6" t="s">
        <v>93</v>
      </c>
      <c r="J7683" s="6" t="s">
        <v>345</v>
      </c>
      <c r="K7683" s="10">
        <v>1.2</v>
      </c>
      <c r="L7683" s="10">
        <v>40</v>
      </c>
      <c r="M7683" s="6" t="s">
        <v>386</v>
      </c>
    </row>
    <row r="7684" spans="1:13">
      <c r="A7684" s="6">
        <v>2026</v>
      </c>
      <c r="B7684" s="6">
        <v>4</v>
      </c>
      <c r="C7684" s="6" t="s">
        <v>62</v>
      </c>
      <c r="D7684" s="6" t="s">
        <v>542</v>
      </c>
      <c r="E7684" s="6" t="s">
        <v>543</v>
      </c>
      <c r="F7684" s="6" t="str">
        <f>IF($M7684="PADD I","PADD 1",IF($M7684="PADD II","PADD 2",IF($M7684="PADD III","PADD 3",IF($M7684="PADD IV","PADD 4",IF($M7684="PADD V","PADD 5","")))))</f>
        <v>PADD 2</v>
      </c>
      <c r="G7684" s="6">
        <f>IF(AND($H7684="ATMOS DISTILLATION",ISNUMBER(SEARCH("VPS",$I7684))=FALSE,LEFT($I7684,6)&lt;&gt;"VACUUM"),"CDU",IF($H7684="FLUID CAT CRACKING","FCC",IF(OR($H7684="HYDROCRACKING",$H7684="RESID_HYDROCRACKING"),"Hydrocracker",IF($H7684="REFORMING","Reformer",""))))</f>
        <v/>
      </c>
      <c r="H7684" s="6" t="s">
        <v>43</v>
      </c>
      <c r="I7684" s="6" t="s">
        <v>1006</v>
      </c>
      <c r="J7684" s="6" t="s">
        <v>345</v>
      </c>
      <c r="K7684" s="10">
        <v>1.08</v>
      </c>
      <c r="L7684" s="10">
        <v>36</v>
      </c>
      <c r="M7684" s="6" t="s">
        <v>375</v>
      </c>
    </row>
    <row r="7685" spans="1:13">
      <c r="A7685" s="6">
        <v>2026</v>
      </c>
      <c r="B7685" s="6">
        <v>4</v>
      </c>
      <c r="C7685" s="6" t="s">
        <v>62</v>
      </c>
      <c r="D7685" s="6" t="s">
        <v>871</v>
      </c>
      <c r="E7685" s="6" t="s">
        <v>872</v>
      </c>
      <c r="F7685" s="6" t="str">
        <f>IF($M7685="PADD I","PADD 1",IF($M7685="PADD II","PADD 2",IF($M7685="PADD III","PADD 3",IF($M7685="PADD IV","PADD 4",IF($M7685="PADD V","PADD 5","")))))</f>
        <v>PADD 4</v>
      </c>
      <c r="G7685" s="6" t="str">
        <f>IF(AND($H7685="ATMOS DISTILLATION",ISNUMBER(SEARCH("VPS",$I7685))=FALSE,LEFT($I7685,6)&lt;&gt;"VACUUM"),"CDU",IF($H7685="FLUID CAT CRACKING","FCC",IF(OR($H7685="HYDROCRACKING",$H7685="RESID_HYDROCRACKING"),"Hydrocracker",IF($H7685="REFORMING","Reformer",""))))</f>
        <v>CDU</v>
      </c>
      <c r="H7685" s="6" t="s">
        <v>38</v>
      </c>
      <c r="I7685" s="6" t="s">
        <v>81</v>
      </c>
      <c r="J7685" s="6" t="s">
        <v>349</v>
      </c>
      <c r="K7685" s="10">
        <v>1.02</v>
      </c>
      <c r="L7685" s="10">
        <v>3.4</v>
      </c>
      <c r="M7685" s="6" t="s">
        <v>430</v>
      </c>
    </row>
    <row r="7686" spans="1:13">
      <c r="A7686" s="6">
        <v>2026</v>
      </c>
      <c r="B7686" s="6">
        <v>4</v>
      </c>
      <c r="C7686" s="6" t="s">
        <v>62</v>
      </c>
      <c r="D7686" s="6" t="s">
        <v>871</v>
      </c>
      <c r="E7686" s="6" t="s">
        <v>872</v>
      </c>
      <c r="F7686" s="6" t="str">
        <f>IF($M7686="PADD I","PADD 1",IF($M7686="PADD II","PADD 2",IF($M7686="PADD III","PADD 3",IF($M7686="PADD IV","PADD 4",IF($M7686="PADD V","PADD 5","")))))</f>
        <v>PADD 4</v>
      </c>
      <c r="G7686" s="6">
        <f>IF(AND($H7686="ATMOS DISTILLATION",ISNUMBER(SEARCH("VPS",$I7686))=FALSE,LEFT($I7686,6)&lt;&gt;"VACUUM"),"CDU",IF($H7686="FLUID CAT CRACKING","FCC",IF(OR($H7686="HYDROCRACKING",$H7686="RESID_HYDROCRACKING"),"Hydrocracker",IF($H7686="REFORMING","Reformer",""))))</f>
        <v/>
      </c>
      <c r="H7686" s="6" t="s">
        <v>43</v>
      </c>
      <c r="I7686" s="6" t="s">
        <v>873</v>
      </c>
      <c r="J7686" s="6" t="s">
        <v>349</v>
      </c>
      <c r="K7686" s="10">
        <v>0.9</v>
      </c>
      <c r="L7686" s="10">
        <v>3</v>
      </c>
      <c r="M7686" s="6" t="s">
        <v>430</v>
      </c>
    </row>
    <row r="7687" spans="1:13">
      <c r="A7687" s="6">
        <v>2026</v>
      </c>
      <c r="B7687" s="6">
        <v>4</v>
      </c>
      <c r="C7687" s="6" t="s">
        <v>62</v>
      </c>
      <c r="D7687" s="6" t="s">
        <v>871</v>
      </c>
      <c r="E7687" s="6" t="s">
        <v>872</v>
      </c>
      <c r="F7687" s="6" t="str">
        <f>IF($M7687="PADD I","PADD 1",IF($M7687="PADD II","PADD 2",IF($M7687="PADD III","PADD 3",IF($M7687="PADD IV","PADD 4",IF($M7687="PADD V","PADD 5","")))))</f>
        <v>PADD 4</v>
      </c>
      <c r="G7687" s="6" t="str">
        <f>IF(AND($H7687="ATMOS DISTILLATION",ISNUMBER(SEARCH("VPS",$I7687))=FALSE,LEFT($I7687,6)&lt;&gt;"VACUUM"),"CDU",IF($H7687="FLUID CAT CRACKING","FCC",IF(OR($H7687="HYDROCRACKING",$H7687="RESID_HYDROCRACKING"),"Hydrocracker",IF($H7687="REFORMING","Reformer",""))))</f>
        <v>Reformer</v>
      </c>
      <c r="H7687" s="6" t="s">
        <v>421</v>
      </c>
      <c r="I7687" s="6" t="s">
        <v>15</v>
      </c>
      <c r="J7687" s="6" t="s">
        <v>349</v>
      </c>
      <c r="K7687" s="10">
        <v>0.9</v>
      </c>
      <c r="L7687" s="10">
        <v>3</v>
      </c>
      <c r="M7687" s="6" t="s">
        <v>430</v>
      </c>
    </row>
    <row r="7688" spans="1:13">
      <c r="A7688" s="6">
        <v>2026</v>
      </c>
      <c r="B7688" s="6">
        <v>4</v>
      </c>
      <c r="C7688" s="6" t="s">
        <v>62</v>
      </c>
      <c r="D7688" s="6" t="s">
        <v>462</v>
      </c>
      <c r="E7688" s="6" t="s">
        <v>438</v>
      </c>
      <c r="F7688" s="6" t="str">
        <f>IF($M7688="PADD I","PADD 1",IF($M7688="PADD II","PADD 2",IF($M7688="PADD III","PADD 3",IF($M7688="PADD IV","PADD 4",IF($M7688="PADD V","PADD 5","")))))</f>
        <v>PADD 4</v>
      </c>
      <c r="G7688" s="6">
        <f>IF(AND($H7688="ATMOS DISTILLATION",ISNUMBER(SEARCH("VPS",$I7688))=FALSE,LEFT($I7688,6)&lt;&gt;"VACUUM"),"CDU",IF($H7688="FLUID CAT CRACKING","FCC",IF(OR($H7688="HYDROCRACKING",$H7688="RESID_HYDROCRACKING"),"Hydrocracker",IF($H7688="REFORMING","Reformer",""))))</f>
        <v/>
      </c>
      <c r="H7688" s="6" t="s">
        <v>43</v>
      </c>
      <c r="I7688" s="6" t="s">
        <v>470</v>
      </c>
      <c r="J7688" s="6" t="s">
        <v>349</v>
      </c>
      <c r="K7688" s="10">
        <v>0.9</v>
      </c>
      <c r="L7688" s="10">
        <v>30</v>
      </c>
      <c r="M7688" s="6" t="s">
        <v>430</v>
      </c>
    </row>
    <row r="7689" spans="1:13">
      <c r="A7689" s="6">
        <v>2026</v>
      </c>
      <c r="B7689" s="6">
        <v>4</v>
      </c>
      <c r="C7689" s="6" t="s">
        <v>62</v>
      </c>
      <c r="D7689" s="6" t="s">
        <v>542</v>
      </c>
      <c r="E7689" s="6" t="s">
        <v>543</v>
      </c>
      <c r="F7689" s="6" t="str">
        <f>IF($M7689="PADD I","PADD 1",IF($M7689="PADD II","PADD 2",IF($M7689="PADD III","PADD 3",IF($M7689="PADD IV","PADD 4",IF($M7689="PADD V","PADD 5","")))))</f>
        <v>PADD 2</v>
      </c>
      <c r="G7689" s="6">
        <f>IF(AND($H7689="ATMOS DISTILLATION",ISNUMBER(SEARCH("VPS",$I7689))=FALSE,LEFT($I7689,6)&lt;&gt;"VACUUM"),"CDU",IF($H7689="FLUID CAT CRACKING","FCC",IF(OR($H7689="HYDROCRACKING",$H7689="RESID_HYDROCRACKING"),"Hydrocracker",IF($H7689="REFORMING","Reformer",""))))</f>
        <v/>
      </c>
      <c r="H7689" s="6" t="s">
        <v>460</v>
      </c>
      <c r="I7689" s="6" t="s">
        <v>461</v>
      </c>
      <c r="J7689" s="6" t="s">
        <v>345</v>
      </c>
      <c r="K7689" s="10">
        <v>0.87</v>
      </c>
      <c r="L7689" s="10">
        <v>29</v>
      </c>
      <c r="M7689" s="6" t="s">
        <v>375</v>
      </c>
    </row>
    <row r="7690" spans="1:13">
      <c r="A7690" s="6">
        <v>2026</v>
      </c>
      <c r="B7690" s="6">
        <v>4</v>
      </c>
      <c r="C7690" s="6" t="s">
        <v>62</v>
      </c>
      <c r="D7690" s="6" t="s">
        <v>639</v>
      </c>
      <c r="E7690" s="6" t="s">
        <v>452</v>
      </c>
      <c r="F7690" s="6" t="str">
        <f>IF($M7690="PADD I","PADD 1",IF($M7690="PADD II","PADD 2",IF($M7690="PADD III","PADD 3",IF($M7690="PADD IV","PADD 4",IF($M7690="PADD V","PADD 5","")))))</f>
        <v>PADD 5</v>
      </c>
      <c r="G7690" s="6">
        <f>IF(AND($H7690="ATMOS DISTILLATION",ISNUMBER(SEARCH("VPS",$I7690))=FALSE,LEFT($I7690,6)&lt;&gt;"VACUUM"),"CDU",IF($H7690="FLUID CAT CRACKING","FCC",IF(OR($H7690="HYDROCRACKING",$H7690="RESID_HYDROCRACKING"),"Hydrocracker",IF($H7690="REFORMING","Reformer",""))))</f>
        <v/>
      </c>
      <c r="H7690" s="6" t="s">
        <v>38</v>
      </c>
      <c r="I7690" s="6" t="s">
        <v>640</v>
      </c>
      <c r="J7690" s="6" t="s">
        <v>349</v>
      </c>
      <c r="K7690" s="10">
        <v>0.87</v>
      </c>
      <c r="L7690" s="10">
        <v>29</v>
      </c>
      <c r="M7690" s="6" t="s">
        <v>386</v>
      </c>
    </row>
    <row r="7691" spans="1:13">
      <c r="A7691" s="6">
        <v>2026</v>
      </c>
      <c r="B7691" s="6">
        <v>4</v>
      </c>
      <c r="C7691" s="6" t="s">
        <v>62</v>
      </c>
      <c r="D7691" s="6" t="s">
        <v>542</v>
      </c>
      <c r="E7691" s="6" t="s">
        <v>543</v>
      </c>
      <c r="F7691" s="6" t="str">
        <f>IF($M7691="PADD I","PADD 1",IF($M7691="PADD II","PADD 2",IF($M7691="PADD III","PADD 3",IF($M7691="PADD IV","PADD 4",IF($M7691="PADD V","PADD 5","")))))</f>
        <v>PADD 2</v>
      </c>
      <c r="G7691" s="6">
        <f>IF(AND($H7691="ATMOS DISTILLATION",ISNUMBER(SEARCH("VPS",$I7691))=FALSE,LEFT($I7691,6)&lt;&gt;"VACUUM"),"CDU",IF($H7691="FLUID CAT CRACKING","FCC",IF(OR($H7691="HYDROCRACKING",$H7691="RESID_HYDROCRACKING"),"Hydrocracker",IF($H7691="REFORMING","Reformer",""))))</f>
        <v/>
      </c>
      <c r="H7691" s="6" t="s">
        <v>568</v>
      </c>
      <c r="I7691" s="6" t="s">
        <v>604</v>
      </c>
      <c r="J7691" s="6" t="s">
        <v>345</v>
      </c>
      <c r="K7691" s="10">
        <v>0.837</v>
      </c>
      <c r="L7691" s="10">
        <v>27.9</v>
      </c>
      <c r="M7691" s="6" t="s">
        <v>375</v>
      </c>
    </row>
    <row r="7692" spans="1:13">
      <c r="A7692" s="6">
        <v>2026</v>
      </c>
      <c r="B7692" s="6">
        <v>4</v>
      </c>
      <c r="C7692" s="6" t="s">
        <v>62</v>
      </c>
      <c r="D7692" s="6" t="s">
        <v>542</v>
      </c>
      <c r="E7692" s="6" t="s">
        <v>543</v>
      </c>
      <c r="F7692" s="6" t="str">
        <f>IF($M7692="PADD I","PADD 1",IF($M7692="PADD II","PADD 2",IF($M7692="PADD III","PADD 3",IF($M7692="PADD IV","PADD 4",IF($M7692="PADD V","PADD 5","")))))</f>
        <v>PADD 2</v>
      </c>
      <c r="G7692" s="6">
        <f>IF(AND($H7692="ATMOS DISTILLATION",ISNUMBER(SEARCH("VPS",$I7692))=FALSE,LEFT($I7692,6)&lt;&gt;"VACUUM"),"CDU",IF($H7692="FLUID CAT CRACKING","FCC",IF(OR($H7692="HYDROCRACKING",$H7692="RESID_HYDROCRACKING"),"Hydrocracker",IF($H7692="REFORMING","Reformer",""))))</f>
        <v/>
      </c>
      <c r="H7692" s="6" t="s">
        <v>43</v>
      </c>
      <c r="I7692" s="6" t="s">
        <v>1112</v>
      </c>
      <c r="J7692" s="6" t="s">
        <v>345</v>
      </c>
      <c r="K7692" s="10">
        <v>0.729</v>
      </c>
      <c r="L7692" s="10">
        <v>24.3</v>
      </c>
      <c r="M7692" s="6" t="s">
        <v>375</v>
      </c>
    </row>
    <row r="7693" spans="1:13">
      <c r="A7693" s="6">
        <v>2026</v>
      </c>
      <c r="B7693" s="6">
        <v>4</v>
      </c>
      <c r="C7693" s="6" t="s">
        <v>62</v>
      </c>
      <c r="D7693" s="6" t="s">
        <v>639</v>
      </c>
      <c r="E7693" s="6" t="s">
        <v>452</v>
      </c>
      <c r="F7693" s="6" t="str">
        <f>IF($M7693="PADD I","PADD 1",IF($M7693="PADD II","PADD 2",IF($M7693="PADD III","PADD 3",IF($M7693="PADD IV","PADD 4",IF($M7693="PADD V","PADD 5","")))))</f>
        <v>PADD 5</v>
      </c>
      <c r="G7693" s="6">
        <f>IF(AND($H7693="ATMOS DISTILLATION",ISNUMBER(SEARCH("VPS",$I7693))=FALSE,LEFT($I7693,6)&lt;&gt;"VACUUM"),"CDU",IF($H7693="FLUID CAT CRACKING","FCC",IF(OR($H7693="HYDROCRACKING",$H7693="RESID_HYDROCRACKING"),"Hydrocracker",IF($H7693="REFORMING","Reformer",""))))</f>
        <v/>
      </c>
      <c r="H7693" s="6" t="s">
        <v>435</v>
      </c>
      <c r="I7693" s="6" t="s">
        <v>1096</v>
      </c>
      <c r="J7693" s="6" t="s">
        <v>349</v>
      </c>
      <c r="K7693" s="10">
        <v>0.72</v>
      </c>
      <c r="L7693" s="10">
        <v>24</v>
      </c>
      <c r="M7693" s="6" t="s">
        <v>386</v>
      </c>
    </row>
    <row r="7694" spans="1:13">
      <c r="A7694" s="6">
        <v>2026</v>
      </c>
      <c r="B7694" s="6">
        <v>4</v>
      </c>
      <c r="C7694" s="6" t="s">
        <v>62</v>
      </c>
      <c r="D7694" s="6" t="s">
        <v>612</v>
      </c>
      <c r="E7694" s="6" t="s">
        <v>416</v>
      </c>
      <c r="F7694" s="6" t="str">
        <f>IF($M7694="PADD I","PADD 1",IF($M7694="PADD II","PADD 2",IF($M7694="PADD III","PADD 3",IF($M7694="PADD IV","PADD 4",IF($M7694="PADD V","PADD 5","")))))</f>
        <v>PADD 3</v>
      </c>
      <c r="G7694" s="6" t="str">
        <f>IF(AND($H7694="ATMOS DISTILLATION",ISNUMBER(SEARCH("VPS",$I7694))=FALSE,LEFT($I7694,6)&lt;&gt;"VACUUM"),"CDU",IF($H7694="FLUID CAT CRACKING","FCC",IF(OR($H7694="HYDROCRACKING",$H7694="RESID_HYDROCRACKING"),"Hydrocracker",IF($H7694="REFORMING","Reformer",""))))</f>
        <v>Reformer</v>
      </c>
      <c r="H7694" s="6" t="s">
        <v>421</v>
      </c>
      <c r="I7694" s="6" t="s">
        <v>755</v>
      </c>
      <c r="J7694" s="6" t="s">
        <v>345</v>
      </c>
      <c r="K7694" s="10">
        <v>0.6</v>
      </c>
      <c r="L7694" s="10">
        <v>20</v>
      </c>
      <c r="M7694" s="6" t="s">
        <v>371</v>
      </c>
    </row>
    <row r="7695" spans="1:13">
      <c r="A7695" s="6">
        <v>2026</v>
      </c>
      <c r="B7695" s="6">
        <v>4</v>
      </c>
      <c r="C7695" s="6" t="s">
        <v>62</v>
      </c>
      <c r="D7695" s="6" t="s">
        <v>680</v>
      </c>
      <c r="E7695" s="6" t="s">
        <v>681</v>
      </c>
      <c r="F7695" s="6" t="str">
        <f>IF($M7695="PADD I","PADD 1",IF($M7695="PADD II","PADD 2",IF($M7695="PADD III","PADD 3",IF($M7695="PADD IV","PADD 4",IF($M7695="PADD V","PADD 5","")))))</f>
        <v>PADD 3</v>
      </c>
      <c r="G7695" s="6">
        <f>IF(AND($H7695="ATMOS DISTILLATION",ISNUMBER(SEARCH("VPS",$I7695))=FALSE,LEFT($I7695,6)&lt;&gt;"VACUUM"),"CDU",IF($H7695="FLUID CAT CRACKING","FCC",IF(OR($H7695="HYDROCRACKING",$H7695="RESID_HYDROCRACKING"),"Hydrocracker",IF($H7695="REFORMING","Reformer",""))))</f>
        <v/>
      </c>
      <c r="H7695" s="6" t="s">
        <v>460</v>
      </c>
      <c r="I7695" s="6" t="s">
        <v>616</v>
      </c>
      <c r="J7695" s="6" t="s">
        <v>345</v>
      </c>
      <c r="K7695" s="10">
        <v>0.57</v>
      </c>
      <c r="L7695" s="10">
        <v>5.7</v>
      </c>
      <c r="M7695" s="6" t="s">
        <v>371</v>
      </c>
    </row>
    <row r="7696" spans="1:13">
      <c r="A7696" s="6">
        <v>2026</v>
      </c>
      <c r="B7696" s="6">
        <v>4</v>
      </c>
      <c r="C7696" s="6" t="s">
        <v>62</v>
      </c>
      <c r="D7696" s="6" t="s">
        <v>321</v>
      </c>
      <c r="E7696" s="6" t="s">
        <v>381</v>
      </c>
      <c r="F7696" s="6" t="str">
        <f>IF($M7696="PADD I","PADD 1",IF($M7696="PADD II","PADD 2",IF($M7696="PADD III","PADD 3",IF($M7696="PADD IV","PADD 4",IF($M7696="PADD V","PADD 5","")))))</f>
        <v>PADD 2</v>
      </c>
      <c r="G7696" s="6" t="str">
        <f>IF(AND($H7696="ATMOS DISTILLATION",ISNUMBER(SEARCH("VPS",$I7696))=FALSE,LEFT($I7696,6)&lt;&gt;"VACUUM"),"CDU",IF($H7696="FLUID CAT CRACKING","FCC",IF(OR($H7696="HYDROCRACKING",$H7696="RESID_HYDROCRACKING"),"Hydrocracker",IF($H7696="REFORMING","Reformer",""))))</f>
        <v>Reformer</v>
      </c>
      <c r="H7696" s="6" t="s">
        <v>421</v>
      </c>
      <c r="I7696" s="6" t="s">
        <v>228</v>
      </c>
      <c r="J7696" s="6" t="s">
        <v>349</v>
      </c>
      <c r="K7696" s="10">
        <v>0.54</v>
      </c>
      <c r="L7696" s="10">
        <v>2</v>
      </c>
      <c r="M7696" s="6" t="s">
        <v>375</v>
      </c>
    </row>
    <row r="7697" spans="1:13">
      <c r="A7697" s="6">
        <v>2026</v>
      </c>
      <c r="B7697" s="6">
        <v>4</v>
      </c>
      <c r="C7697" s="6" t="s">
        <v>62</v>
      </c>
      <c r="D7697" s="6" t="s">
        <v>639</v>
      </c>
      <c r="E7697" s="6" t="s">
        <v>452</v>
      </c>
      <c r="F7697" s="6" t="str">
        <f>IF($M7697="PADD I","PADD 1",IF($M7697="PADD II","PADD 2",IF($M7697="PADD III","PADD 3",IF($M7697="PADD IV","PADD 4",IF($M7697="PADD V","PADD 5","")))))</f>
        <v>PADD 5</v>
      </c>
      <c r="G7697" s="6" t="str">
        <f>IF(AND($H7697="ATMOS DISTILLATION",ISNUMBER(SEARCH("VPS",$I7697))=FALSE,LEFT($I7697,6)&lt;&gt;"VACUUM"),"CDU",IF($H7697="FLUID CAT CRACKING","FCC",IF(OR($H7697="HYDROCRACKING",$H7697="RESID_HYDROCRACKING"),"Hydrocracker",IF($H7697="REFORMING","Reformer",""))))</f>
        <v>Reformer</v>
      </c>
      <c r="H7697" s="6" t="s">
        <v>421</v>
      </c>
      <c r="I7697" s="6" t="s">
        <v>906</v>
      </c>
      <c r="J7697" s="6" t="s">
        <v>349</v>
      </c>
      <c r="K7697" s="10">
        <v>0.51</v>
      </c>
      <c r="L7697" s="10">
        <v>17</v>
      </c>
      <c r="M7697" s="6" t="s">
        <v>386</v>
      </c>
    </row>
    <row r="7698" spans="1:13">
      <c r="A7698" s="6">
        <v>2026</v>
      </c>
      <c r="B7698" s="6">
        <v>4</v>
      </c>
      <c r="C7698" s="6" t="s">
        <v>62</v>
      </c>
      <c r="D7698" s="6" t="s">
        <v>871</v>
      </c>
      <c r="E7698" s="6" t="s">
        <v>872</v>
      </c>
      <c r="F7698" s="6" t="str">
        <f>IF($M7698="PADD I","PADD 1",IF($M7698="PADD II","PADD 2",IF($M7698="PADD III","PADD 3",IF($M7698="PADD IV","PADD 4",IF($M7698="PADD V","PADD 5","")))))</f>
        <v>PADD 4</v>
      </c>
      <c r="G7698" s="6">
        <f>IF(AND($H7698="ATMOS DISTILLATION",ISNUMBER(SEARCH("VPS",$I7698))=FALSE,LEFT($I7698,6)&lt;&gt;"VACUUM"),"CDU",IF($H7698="FLUID CAT CRACKING","FCC",IF(OR($H7698="HYDROCRACKING",$H7698="RESID_HYDROCRACKING"),"Hydrocracker",IF($H7698="REFORMING","Reformer",""))))</f>
        <v/>
      </c>
      <c r="H7698" s="6" t="s">
        <v>568</v>
      </c>
      <c r="I7698" s="6" t="s">
        <v>1202</v>
      </c>
      <c r="J7698" s="6" t="s">
        <v>349</v>
      </c>
      <c r="K7698" s="10">
        <v>0.3</v>
      </c>
      <c r="L7698" s="10">
        <v>1</v>
      </c>
      <c r="M7698" s="6" t="s">
        <v>430</v>
      </c>
    </row>
    <row r="7699" spans="1:13">
      <c r="A7699" s="6">
        <v>2026</v>
      </c>
      <c r="B7699" s="6">
        <v>4</v>
      </c>
      <c r="C7699" s="6" t="s">
        <v>62</v>
      </c>
      <c r="D7699" s="6" t="s">
        <v>420</v>
      </c>
      <c r="E7699" s="6" t="s">
        <v>373</v>
      </c>
      <c r="F7699" s="6" t="str">
        <f>IF($M7699="PADD I","PADD 1",IF($M7699="PADD II","PADD 2",IF($M7699="PADD III","PADD 3",IF($M7699="PADD IV","PADD 4",IF($M7699="PADD V","PADD 5","")))))</f>
        <v>PADD 2</v>
      </c>
      <c r="G7699" s="6" t="str">
        <f>IF(AND($H7699="ATMOS DISTILLATION",ISNUMBER(SEARCH("VPS",$I7699))=FALSE,LEFT($I7699,6)&lt;&gt;"VACUUM"),"CDU",IF($H7699="FLUID CAT CRACKING","FCC",IF(OR($H7699="HYDROCRACKING",$H7699="RESID_HYDROCRACKING"),"Hydrocracker",IF($H7699="REFORMING","Reformer",""))))</f>
        <v>Reformer</v>
      </c>
      <c r="H7699" s="6" t="s">
        <v>421</v>
      </c>
      <c r="I7699" s="6" t="s">
        <v>571</v>
      </c>
      <c r="J7699" s="6" t="s">
        <v>345</v>
      </c>
      <c r="K7699" s="10">
        <v>0.24</v>
      </c>
      <c r="L7699" s="10">
        <v>8</v>
      </c>
      <c r="M7699" s="6" t="s">
        <v>375</v>
      </c>
    </row>
    <row r="7700" spans="1:13">
      <c r="A7700" s="6">
        <v>2026</v>
      </c>
      <c r="B7700" s="6">
        <v>4</v>
      </c>
      <c r="C7700" s="6" t="s">
        <v>62</v>
      </c>
      <c r="D7700" s="6" t="s">
        <v>420</v>
      </c>
      <c r="E7700" s="6" t="s">
        <v>373</v>
      </c>
      <c r="F7700" s="6" t="str">
        <f>IF($M7700="PADD I","PADD 1",IF($M7700="PADD II","PADD 2",IF($M7700="PADD III","PADD 3",IF($M7700="PADD IV","PADD 4",IF($M7700="PADD V","PADD 5","")))))</f>
        <v>PADD 2</v>
      </c>
      <c r="G7700" s="6">
        <f>IF(AND($H7700="ATMOS DISTILLATION",ISNUMBER(SEARCH("VPS",$I7700))=FALSE,LEFT($I7700,6)&lt;&gt;"VACUUM"),"CDU",IF($H7700="FLUID CAT CRACKING","FCC",IF(OR($H7700="HYDROCRACKING",$H7700="RESID_HYDROCRACKING"),"Hydrocracker",IF($H7700="REFORMING","Reformer",""))))</f>
        <v/>
      </c>
      <c r="H7700" s="6" t="s">
        <v>460</v>
      </c>
      <c r="I7700" s="6" t="s">
        <v>616</v>
      </c>
      <c r="J7700" s="6" t="s">
        <v>345</v>
      </c>
      <c r="K7700" s="10">
        <v>0.045</v>
      </c>
      <c r="L7700" s="10">
        <v>1.5</v>
      </c>
      <c r="M7700" s="6" t="s">
        <v>375</v>
      </c>
    </row>
    <row r="7701" spans="1:13">
      <c r="A7701" s="6">
        <v>2026</v>
      </c>
      <c r="B7701" s="6">
        <v>5</v>
      </c>
      <c r="C7701" s="6" t="s">
        <v>63</v>
      </c>
      <c r="D7701" s="6" t="s">
        <v>48</v>
      </c>
      <c r="E7701" s="6" t="s">
        <v>388</v>
      </c>
      <c r="F7701" s="6" t="str">
        <f>IF($M7701="PADD I","PADD 1",IF($M7701="PADD II","PADD 2",IF($M7701="PADD III","PADD 3",IF($M7701="PADD IV","PADD 4",IF($M7701="PADD V","PADD 5","")))))</f>
        <v>PADD 2</v>
      </c>
      <c r="G7701" s="6" t="str">
        <f>IF(AND($H7701="ATMOS DISTILLATION",ISNUMBER(SEARCH("VPS",$I7701))=FALSE,LEFT($I7701,6)&lt;&gt;"VACUUM"),"CDU",IF($H7701="FLUID CAT CRACKING","FCC",IF(OR($H7701="HYDROCRACKING",$H7701="RESID_HYDROCRACKING"),"Hydrocracker",IF($H7701="REFORMING","Reformer",""))))</f>
        <v>CDU</v>
      </c>
      <c r="H7701" s="6" t="s">
        <v>38</v>
      </c>
      <c r="I7701" s="6" t="s">
        <v>720</v>
      </c>
      <c r="J7701" s="6" t="s">
        <v>349</v>
      </c>
      <c r="K7701" s="10">
        <v>180.7</v>
      </c>
      <c r="L7701" s="10">
        <v>278</v>
      </c>
      <c r="M7701" s="6" t="s">
        <v>375</v>
      </c>
    </row>
    <row r="7702" spans="1:13">
      <c r="A7702" s="6">
        <v>2026</v>
      </c>
      <c r="B7702" s="6">
        <v>5</v>
      </c>
      <c r="C7702" s="6" t="s">
        <v>63</v>
      </c>
      <c r="D7702" s="6" t="s">
        <v>50</v>
      </c>
      <c r="E7702" s="6" t="s">
        <v>381</v>
      </c>
      <c r="F7702" s="6" t="str">
        <f>IF($M7702="PADD I","PADD 1",IF($M7702="PADD II","PADD 2",IF($M7702="PADD III","PADD 3",IF($M7702="PADD IV","PADD 4",IF($M7702="PADD V","PADD 5","")))))</f>
        <v>PADD 3</v>
      </c>
      <c r="G7702" s="6" t="str">
        <f>IF(AND($H7702="ATMOS DISTILLATION",ISNUMBER(SEARCH("VPS",$I7702))=FALSE,LEFT($I7702,6)&lt;&gt;"VACUUM"),"CDU",IF($H7702="FLUID CAT CRACKING","FCC",IF(OR($H7702="HYDROCRACKING",$H7702="RESID_HYDROCRACKING"),"Hydrocracker",IF($H7702="REFORMING","Reformer",""))))</f>
        <v>CDU</v>
      </c>
      <c r="H7702" s="6" t="s">
        <v>38</v>
      </c>
      <c r="I7702" s="6" t="s">
        <v>769</v>
      </c>
      <c r="J7702" s="6" t="s">
        <v>349</v>
      </c>
      <c r="K7702" s="10">
        <v>113.4</v>
      </c>
      <c r="L7702" s="10">
        <v>140</v>
      </c>
      <c r="M7702" s="6" t="s">
        <v>371</v>
      </c>
    </row>
    <row r="7703" spans="1:13">
      <c r="A7703" s="6">
        <v>2026</v>
      </c>
      <c r="B7703" s="6">
        <v>5</v>
      </c>
      <c r="C7703" s="6" t="s">
        <v>63</v>
      </c>
      <c r="D7703" s="6" t="s">
        <v>51</v>
      </c>
      <c r="E7703" s="6" t="s">
        <v>391</v>
      </c>
      <c r="F7703" s="6" t="str">
        <f>IF($M7703="PADD I","PADD 1",IF($M7703="PADD II","PADD 2",IF($M7703="PADD III","PADD 3",IF($M7703="PADD IV","PADD 4",IF($M7703="PADD V","PADD 5","")))))</f>
        <v>PADD 5</v>
      </c>
      <c r="G7703" s="6">
        <f>IF(AND($H7703="ATMOS DISTILLATION",ISNUMBER(SEARCH("VPS",$I7703))=FALSE,LEFT($I7703,6)&lt;&gt;"VACUUM"),"CDU",IF($H7703="FLUID CAT CRACKING","FCC",IF(OR($H7703="HYDROCRACKING",$H7703="RESID_HYDROCRACKING"),"Hydrocracker",IF($H7703="REFORMING","Reformer",""))))</f>
        <v/>
      </c>
      <c r="H7703" s="6" t="s">
        <v>43</v>
      </c>
      <c r="I7703" s="6" t="s">
        <v>1167</v>
      </c>
      <c r="J7703" s="6" t="s">
        <v>349</v>
      </c>
      <c r="K7703" s="10">
        <v>58.8</v>
      </c>
      <c r="L7703" s="10">
        <v>70</v>
      </c>
      <c r="M7703" s="6" t="s">
        <v>386</v>
      </c>
    </row>
    <row r="7704" spans="1:13">
      <c r="A7704" s="6">
        <v>2026</v>
      </c>
      <c r="B7704" s="6">
        <v>5</v>
      </c>
      <c r="C7704" s="6" t="s">
        <v>63</v>
      </c>
      <c r="D7704" s="6" t="s">
        <v>52</v>
      </c>
      <c r="E7704" s="6" t="s">
        <v>388</v>
      </c>
      <c r="F7704" s="6" t="str">
        <f>IF($M7704="PADD I","PADD 1",IF($M7704="PADD II","PADD 2",IF($M7704="PADD III","PADD 3",IF($M7704="PADD IV","PADD 4",IF($M7704="PADD V","PADD 5","")))))</f>
        <v>PADD 5</v>
      </c>
      <c r="G7704" s="6" t="str">
        <f>IF(AND($H7704="ATMOS DISTILLATION",ISNUMBER(SEARCH("VPS",$I7704))=FALSE,LEFT($I7704,6)&lt;&gt;"VACUUM"),"CDU",IF($H7704="FLUID CAT CRACKING","FCC",IF(OR($H7704="HYDROCRACKING",$H7704="RESID_HYDROCRACKING"),"Hydrocracker",IF($H7704="REFORMING","Reformer",""))))</f>
        <v>CDU</v>
      </c>
      <c r="H7704" s="6" t="s">
        <v>38</v>
      </c>
      <c r="I7704" s="6" t="s">
        <v>81</v>
      </c>
      <c r="J7704" s="6" t="s">
        <v>349</v>
      </c>
      <c r="K7704" s="10">
        <v>53.28</v>
      </c>
      <c r="L7704" s="10">
        <v>72</v>
      </c>
      <c r="M7704" s="6" t="s">
        <v>386</v>
      </c>
    </row>
    <row r="7705" spans="1:13">
      <c r="A7705" s="6">
        <v>2026</v>
      </c>
      <c r="B7705" s="6">
        <v>5</v>
      </c>
      <c r="C7705" s="6" t="s">
        <v>63</v>
      </c>
      <c r="D7705" s="6" t="s">
        <v>53</v>
      </c>
      <c r="E7705" s="6" t="s">
        <v>543</v>
      </c>
      <c r="F7705" s="6" t="str">
        <f>IF($M7705="PADD I","PADD 1",IF($M7705="PADD II","PADD 2",IF($M7705="PADD III","PADD 3",IF($M7705="PADD IV","PADD 4",IF($M7705="PADD V","PADD 5","")))))</f>
        <v>PADD 5</v>
      </c>
      <c r="G7705" s="6" t="str">
        <f>IF(AND($H7705="ATMOS DISTILLATION",ISNUMBER(SEARCH("VPS",$I7705))=FALSE,LEFT($I7705,6)&lt;&gt;"VACUUM"),"CDU",IF($H7705="FLUID CAT CRACKING","FCC",IF(OR($H7705="HYDROCRACKING",$H7705="RESID_HYDROCRACKING"),"Hydrocracker",IF($H7705="REFORMING","Reformer",""))))</f>
        <v>CDU</v>
      </c>
      <c r="H7705" s="6" t="s">
        <v>38</v>
      </c>
      <c r="I7705" s="6" t="s">
        <v>81</v>
      </c>
      <c r="J7705" s="6" t="s">
        <v>345</v>
      </c>
      <c r="K7705" s="10">
        <v>47.5</v>
      </c>
      <c r="L7705" s="10">
        <v>250</v>
      </c>
      <c r="M7705" s="6" t="s">
        <v>386</v>
      </c>
    </row>
    <row r="7706" spans="1:13">
      <c r="A7706" s="6">
        <v>2026</v>
      </c>
      <c r="B7706" s="6">
        <v>5</v>
      </c>
      <c r="C7706" s="6" t="s">
        <v>63</v>
      </c>
      <c r="D7706" s="6" t="s">
        <v>526</v>
      </c>
      <c r="E7706" s="6" t="s">
        <v>405</v>
      </c>
      <c r="F7706" s="6" t="str">
        <f>IF($M7706="PADD I","PADD 1",IF($M7706="PADD II","PADD 2",IF($M7706="PADD III","PADD 3",IF($M7706="PADD IV","PADD 4",IF($M7706="PADD V","PADD 5","")))))</f>
        <v>PADD 3</v>
      </c>
      <c r="G7706" s="6">
        <f>IF(AND($H7706="ATMOS DISTILLATION",ISNUMBER(SEARCH("VPS",$I7706))=FALSE,LEFT($I7706,6)&lt;&gt;"VACUUM"),"CDU",IF($H7706="FLUID CAT CRACKING","FCC",IF(OR($H7706="HYDROCRACKING",$H7706="RESID_HYDROCRACKING"),"Hydrocracker",IF($H7706="REFORMING","Reformer",""))))</f>
        <v/>
      </c>
      <c r="H7706" s="6" t="s">
        <v>43</v>
      </c>
      <c r="I7706" s="6" t="s">
        <v>1076</v>
      </c>
      <c r="J7706" s="6" t="s">
        <v>345</v>
      </c>
      <c r="K7706" s="10">
        <v>47</v>
      </c>
      <c r="L7706" s="10">
        <v>47</v>
      </c>
      <c r="M7706" s="6" t="s">
        <v>371</v>
      </c>
    </row>
    <row r="7707" spans="1:13">
      <c r="A7707" s="6">
        <v>2026</v>
      </c>
      <c r="B7707" s="6">
        <v>5</v>
      </c>
      <c r="C7707" s="6" t="s">
        <v>63</v>
      </c>
      <c r="D7707" s="6" t="s">
        <v>54</v>
      </c>
      <c r="E7707" s="6" t="s">
        <v>856</v>
      </c>
      <c r="F7707" s="6" t="str">
        <f>IF($M7707="PADD I","PADD 1",IF($M7707="PADD II","PADD 2",IF($M7707="PADD III","PADD 3",IF($M7707="PADD IV","PADD 4",IF($M7707="PADD V","PADD 5","")))))</f>
        <v>PADD 5</v>
      </c>
      <c r="G7707" s="6" t="str">
        <f>IF(AND($H7707="ATMOS DISTILLATION",ISNUMBER(SEARCH("VPS",$I7707))=FALSE,LEFT($I7707,6)&lt;&gt;"VACUUM"),"CDU",IF($H7707="FLUID CAT CRACKING","FCC",IF(OR($H7707="HYDROCRACKING",$H7707="RESID_HYDROCRACKING"),"Hydrocracker",IF($H7707="REFORMING","Reformer",""))))</f>
        <v>CDU</v>
      </c>
      <c r="H7707" s="6" t="s">
        <v>38</v>
      </c>
      <c r="I7707" s="6" t="s">
        <v>857</v>
      </c>
      <c r="J7707" s="6" t="s">
        <v>349</v>
      </c>
      <c r="K7707" s="10">
        <v>34.8</v>
      </c>
      <c r="L7707" s="10">
        <v>60</v>
      </c>
      <c r="M7707" s="6" t="s">
        <v>386</v>
      </c>
    </row>
    <row r="7708" spans="1:13">
      <c r="A7708" s="6">
        <v>2026</v>
      </c>
      <c r="B7708" s="6">
        <v>5</v>
      </c>
      <c r="C7708" s="6" t="s">
        <v>63</v>
      </c>
      <c r="D7708" s="6" t="s">
        <v>1063</v>
      </c>
      <c r="E7708" s="6" t="s">
        <v>388</v>
      </c>
      <c r="F7708" s="6" t="str">
        <f>IF($M7708="PADD I","PADD 1",IF($M7708="PADD II","PADD 2",IF($M7708="PADD III","PADD 3",IF($M7708="PADD IV","PADD 4",IF($M7708="PADD V","PADD 5","")))))</f>
        <v>PADD 2</v>
      </c>
      <c r="G7708" s="6">
        <f>IF(AND($H7708="ATMOS DISTILLATION",ISNUMBER(SEARCH("VPS",$I7708))=FALSE,LEFT($I7708,6)&lt;&gt;"VACUUM"),"CDU",IF($H7708="FLUID CAT CRACKING","FCC",IF(OR($H7708="HYDROCRACKING",$H7708="RESID_HYDROCRACKING"),"Hydrocracker",IF($H7708="REFORMING","Reformer",""))))</f>
        <v/>
      </c>
      <c r="H7708" s="6" t="s">
        <v>43</v>
      </c>
      <c r="I7708" s="6" t="s">
        <v>493</v>
      </c>
      <c r="J7708" s="6" t="s">
        <v>345</v>
      </c>
      <c r="K7708" s="10">
        <v>34</v>
      </c>
      <c r="L7708" s="10">
        <v>34</v>
      </c>
      <c r="M7708" s="6" t="s">
        <v>375</v>
      </c>
    </row>
    <row r="7709" spans="1:13">
      <c r="A7709" s="6">
        <v>2026</v>
      </c>
      <c r="B7709" s="6">
        <v>5</v>
      </c>
      <c r="C7709" s="6" t="s">
        <v>63</v>
      </c>
      <c r="D7709" s="6" t="s">
        <v>321</v>
      </c>
      <c r="E7709" s="6" t="s">
        <v>381</v>
      </c>
      <c r="F7709" s="6" t="str">
        <f>IF($M7709="PADD I","PADD 1",IF($M7709="PADD II","PADD 2",IF($M7709="PADD III","PADD 3",IF($M7709="PADD IV","PADD 4",IF($M7709="PADD V","PADD 5","")))))</f>
        <v>PADD 2</v>
      </c>
      <c r="G7709" s="6" t="str">
        <f>IF(AND($H7709="ATMOS DISTILLATION",ISNUMBER(SEARCH("VPS",$I7709))=FALSE,LEFT($I7709,6)&lt;&gt;"VACUUM"),"CDU",IF($H7709="FLUID CAT CRACKING","FCC",IF(OR($H7709="HYDROCRACKING",$H7709="RESID_HYDROCRACKING"),"Hydrocracker",IF($H7709="REFORMING","Reformer",""))))</f>
        <v>CDU</v>
      </c>
      <c r="H7709" s="6" t="s">
        <v>38</v>
      </c>
      <c r="I7709" s="6" t="s">
        <v>81</v>
      </c>
      <c r="J7709" s="6" t="s">
        <v>345</v>
      </c>
      <c r="K7709" s="10">
        <v>33.35</v>
      </c>
      <c r="L7709" s="10">
        <v>115</v>
      </c>
      <c r="M7709" s="6" t="s">
        <v>375</v>
      </c>
    </row>
    <row r="7710" spans="1:13">
      <c r="A7710" s="6">
        <v>2026</v>
      </c>
      <c r="B7710" s="6">
        <v>5</v>
      </c>
      <c r="C7710" s="6" t="s">
        <v>63</v>
      </c>
      <c r="D7710" s="6" t="s">
        <v>346</v>
      </c>
      <c r="E7710" s="6" t="s">
        <v>383</v>
      </c>
      <c r="F7710" s="6" t="str">
        <f>IF($M7710="PADD I","PADD 1",IF($M7710="PADD II","PADD 2",IF($M7710="PADD III","PADD 3",IF($M7710="PADD IV","PADD 4",IF($M7710="PADD V","PADD 5","")))))</f>
        <v>PADD 2</v>
      </c>
      <c r="G7710" s="6" t="str">
        <f>IF(AND($H7710="ATMOS DISTILLATION",ISNUMBER(SEARCH("VPS",$I7710))=FALSE,LEFT($I7710,6)&lt;&gt;"VACUUM"),"CDU",IF($H7710="FLUID CAT CRACKING","FCC",IF(OR($H7710="HYDROCRACKING",$H7710="RESID_HYDROCRACKING"),"Hydrocracker",IF($H7710="REFORMING","Reformer",""))))</f>
        <v>FCC</v>
      </c>
      <c r="H7710" s="6" t="s">
        <v>376</v>
      </c>
      <c r="I7710" s="6" t="s">
        <v>105</v>
      </c>
      <c r="J7710" s="6" t="s">
        <v>345</v>
      </c>
      <c r="K7710" s="10">
        <v>33.18</v>
      </c>
      <c r="L7710" s="10">
        <v>79</v>
      </c>
      <c r="M7710" s="6" t="s">
        <v>375</v>
      </c>
    </row>
    <row r="7711" spans="1:13">
      <c r="A7711" s="6">
        <v>2026</v>
      </c>
      <c r="B7711" s="6">
        <v>5</v>
      </c>
      <c r="C7711" s="6" t="s">
        <v>63</v>
      </c>
      <c r="D7711" s="6" t="s">
        <v>346</v>
      </c>
      <c r="E7711" s="6" t="s">
        <v>383</v>
      </c>
      <c r="F7711" s="6" t="str">
        <f>IF($M7711="PADD I","PADD 1",IF($M7711="PADD II","PADD 2",IF($M7711="PADD III","PADD 3",IF($M7711="PADD IV","PADD 4",IF($M7711="PADD V","PADD 5","")))))</f>
        <v>PADD 2</v>
      </c>
      <c r="G7711" s="6" t="str">
        <f>IF(AND($H7711="ATMOS DISTILLATION",ISNUMBER(SEARCH("VPS",$I7711))=FALSE,LEFT($I7711,6)&lt;&gt;"VACUUM"),"CDU",IF($H7711="FLUID CAT CRACKING","FCC",IF(OR($H7711="HYDROCRACKING",$H7711="RESID_HYDROCRACKING"),"Hydrocracker",IF($H7711="REFORMING","Reformer",""))))</f>
        <v>FCC</v>
      </c>
      <c r="H7711" s="6" t="s">
        <v>376</v>
      </c>
      <c r="I7711" s="6" t="s">
        <v>105</v>
      </c>
      <c r="J7711" s="6" t="s">
        <v>345</v>
      </c>
      <c r="K7711" s="10">
        <v>31.98</v>
      </c>
      <c r="L7711" s="10">
        <v>82</v>
      </c>
      <c r="M7711" s="6" t="s">
        <v>375</v>
      </c>
    </row>
    <row r="7712" spans="1:13">
      <c r="A7712" s="6">
        <v>2026</v>
      </c>
      <c r="B7712" s="6">
        <v>5</v>
      </c>
      <c r="C7712" s="6" t="s">
        <v>63</v>
      </c>
      <c r="D7712" s="6" t="s">
        <v>53</v>
      </c>
      <c r="E7712" s="6" t="s">
        <v>543</v>
      </c>
      <c r="F7712" s="6" t="str">
        <f>IF($M7712="PADD I","PADD 1",IF($M7712="PADD II","PADD 2",IF($M7712="PADD III","PADD 3",IF($M7712="PADD IV","PADD 4",IF($M7712="PADD V","PADD 5","")))))</f>
        <v>PADD 5</v>
      </c>
      <c r="G7712" s="6">
        <f>IF(AND($H7712="ATMOS DISTILLATION",ISNUMBER(SEARCH("VPS",$I7712))=FALSE,LEFT($I7712,6)&lt;&gt;"VACUUM"),"CDU",IF($H7712="FLUID CAT CRACKING","FCC",IF(OR($H7712="HYDROCRACKING",$H7712="RESID_HYDROCRACKING"),"Hydrocracker",IF($H7712="REFORMING","Reformer",""))))</f>
        <v/>
      </c>
      <c r="H7712" s="6" t="s">
        <v>378</v>
      </c>
      <c r="I7712" s="6" t="s">
        <v>431</v>
      </c>
      <c r="J7712" s="6" t="s">
        <v>345</v>
      </c>
      <c r="K7712" s="10">
        <v>31.97</v>
      </c>
      <c r="L7712" s="10">
        <v>139</v>
      </c>
      <c r="M7712" s="6" t="s">
        <v>386</v>
      </c>
    </row>
    <row r="7713" spans="1:13">
      <c r="A7713" s="6">
        <v>2026</v>
      </c>
      <c r="B7713" s="6">
        <v>5</v>
      </c>
      <c r="C7713" s="6" t="s">
        <v>63</v>
      </c>
      <c r="D7713" s="6" t="s">
        <v>322</v>
      </c>
      <c r="E7713" s="6" t="s">
        <v>369</v>
      </c>
      <c r="F7713" s="6" t="str">
        <f>IF($M7713="PADD I","PADD 1",IF($M7713="PADD II","PADD 2",IF($M7713="PADD III","PADD 3",IF($M7713="PADD IV","PADD 4",IF($M7713="PADD V","PADD 5","")))))</f>
        <v>PADD 2</v>
      </c>
      <c r="G7713" s="6" t="str">
        <f>IF(AND($H7713="ATMOS DISTILLATION",ISNUMBER(SEARCH("VPS",$I7713))=FALSE,LEFT($I7713,6)&lt;&gt;"VACUUM"),"CDU",IF($H7713="FLUID CAT CRACKING","FCC",IF(OR($H7713="HYDROCRACKING",$H7713="RESID_HYDROCRACKING"),"Hydrocracker",IF($H7713="REFORMING","Reformer",""))))</f>
        <v>CDU</v>
      </c>
      <c r="H7713" s="6" t="s">
        <v>38</v>
      </c>
      <c r="I7713" s="6" t="s">
        <v>521</v>
      </c>
      <c r="J7713" s="6" t="s">
        <v>349</v>
      </c>
      <c r="K7713" s="10">
        <v>31.2</v>
      </c>
      <c r="L7713" s="10">
        <v>120</v>
      </c>
      <c r="M7713" s="6" t="s">
        <v>375</v>
      </c>
    </row>
    <row r="7714" spans="1:13">
      <c r="A7714" s="6">
        <v>2026</v>
      </c>
      <c r="B7714" s="6">
        <v>5</v>
      </c>
      <c r="C7714" s="6" t="s">
        <v>63</v>
      </c>
      <c r="D7714" s="6" t="s">
        <v>335</v>
      </c>
      <c r="E7714" s="6" t="s">
        <v>369</v>
      </c>
      <c r="F7714" s="6" t="str">
        <f>IF($M7714="PADD I","PADD 1",IF($M7714="PADD II","PADD 2",IF($M7714="PADD III","PADD 3",IF($M7714="PADD IV","PADD 4",IF($M7714="PADD V","PADD 5","")))))</f>
        <v>PADD 3</v>
      </c>
      <c r="G7714" s="6" t="str">
        <f>IF(AND($H7714="ATMOS DISTILLATION",ISNUMBER(SEARCH("VPS",$I7714))=FALSE,LEFT($I7714,6)&lt;&gt;"VACUUM"),"CDU",IF($H7714="FLUID CAT CRACKING","FCC",IF(OR($H7714="HYDROCRACKING",$H7714="RESID_HYDROCRACKING"),"Hydrocracker",IF($H7714="REFORMING","Reformer",""))))</f>
        <v>FCC</v>
      </c>
      <c r="H7714" s="6" t="s">
        <v>376</v>
      </c>
      <c r="I7714" s="6" t="s">
        <v>472</v>
      </c>
      <c r="J7714" s="6" t="s">
        <v>345</v>
      </c>
      <c r="K7714" s="10">
        <v>30</v>
      </c>
      <c r="L7714" s="10">
        <v>30</v>
      </c>
      <c r="M7714" s="6" t="s">
        <v>371</v>
      </c>
    </row>
    <row r="7715" spans="1:13">
      <c r="A7715" s="6">
        <v>2026</v>
      </c>
      <c r="B7715" s="6">
        <v>5</v>
      </c>
      <c r="C7715" s="6" t="s">
        <v>63</v>
      </c>
      <c r="D7715" s="6" t="s">
        <v>934</v>
      </c>
      <c r="E7715" s="6" t="s">
        <v>388</v>
      </c>
      <c r="F7715" s="6" t="str">
        <f>IF($M7715="PADD I","PADD 1",IF($M7715="PADD II","PADD 2",IF($M7715="PADD III","PADD 3",IF($M7715="PADD IV","PADD 4",IF($M7715="PADD V","PADD 5","")))))</f>
        <v>PADD 3</v>
      </c>
      <c r="G7715" s="6" t="str">
        <f>IF(AND($H7715="ATMOS DISTILLATION",ISNUMBER(SEARCH("VPS",$I7715))=FALSE,LEFT($I7715,6)&lt;&gt;"VACUUM"),"CDU",IF($H7715="FLUID CAT CRACKING","FCC",IF(OR($H7715="HYDROCRACKING",$H7715="RESID_HYDROCRACKING"),"Hydrocracker",IF($H7715="REFORMING","Reformer",""))))</f>
        <v>CDU</v>
      </c>
      <c r="H7715" s="6" t="s">
        <v>38</v>
      </c>
      <c r="I7715" s="6" t="s">
        <v>135</v>
      </c>
      <c r="J7715" s="6" t="s">
        <v>349</v>
      </c>
      <c r="K7715" s="10">
        <v>29.25</v>
      </c>
      <c r="L7715" s="10">
        <v>75</v>
      </c>
      <c r="M7715" s="6" t="s">
        <v>371</v>
      </c>
    </row>
    <row r="7716" spans="1:13">
      <c r="A7716" s="6">
        <v>2026</v>
      </c>
      <c r="B7716" s="6">
        <v>5</v>
      </c>
      <c r="C7716" s="6" t="s">
        <v>63</v>
      </c>
      <c r="D7716" s="6" t="s">
        <v>415</v>
      </c>
      <c r="E7716" s="6" t="s">
        <v>416</v>
      </c>
      <c r="F7716" s="6" t="str">
        <f>IF($M7716="PADD I","PADD 1",IF($M7716="PADD II","PADD 2",IF($M7716="PADD III","PADD 3",IF($M7716="PADD IV","PADD 4",IF($M7716="PADD V","PADD 5","")))))</f>
        <v>PADD 3</v>
      </c>
      <c r="G7716" s="6">
        <f>IF(AND($H7716="ATMOS DISTILLATION",ISNUMBER(SEARCH("VPS",$I7716))=FALSE,LEFT($I7716,6)&lt;&gt;"VACUUM"),"CDU",IF($H7716="FLUID CAT CRACKING","FCC",IF(OR($H7716="HYDROCRACKING",$H7716="RESID_HYDROCRACKING"),"Hydrocracker",IF($H7716="REFORMING","Reformer",""))))</f>
        <v/>
      </c>
      <c r="H7716" s="6" t="s">
        <v>378</v>
      </c>
      <c r="I7716" s="6" t="s">
        <v>417</v>
      </c>
      <c r="J7716" s="6" t="s">
        <v>345</v>
      </c>
      <c r="K7716" s="10">
        <v>29</v>
      </c>
      <c r="L7716" s="10">
        <v>50</v>
      </c>
      <c r="M7716" s="6" t="s">
        <v>371</v>
      </c>
    </row>
    <row r="7717" spans="1:13">
      <c r="A7717" s="6">
        <v>2026</v>
      </c>
      <c r="B7717" s="6">
        <v>5</v>
      </c>
      <c r="C7717" s="6" t="s">
        <v>63</v>
      </c>
      <c r="D7717" s="6" t="s">
        <v>346</v>
      </c>
      <c r="E7717" s="6" t="s">
        <v>383</v>
      </c>
      <c r="F7717" s="6" t="str">
        <f>IF($M7717="PADD I","PADD 1",IF($M7717="PADD II","PADD 2",IF($M7717="PADD III","PADD 3",IF($M7717="PADD IV","PADD 4",IF($M7717="PADD V","PADD 5","")))))</f>
        <v>PADD 2</v>
      </c>
      <c r="G7717" s="6" t="str">
        <f>IF(AND($H7717="ATMOS DISTILLATION",ISNUMBER(SEARCH("VPS",$I7717))=FALSE,LEFT($I7717,6)&lt;&gt;"VACUUM"),"CDU",IF($H7717="FLUID CAT CRACKING","FCC",IF(OR($H7717="HYDROCRACKING",$H7717="RESID_HYDROCRACKING"),"Hydrocracker",IF($H7717="REFORMING","Reformer",""))))</f>
        <v>FCC</v>
      </c>
      <c r="H7717" s="6" t="s">
        <v>376</v>
      </c>
      <c r="I7717" s="6" t="s">
        <v>105</v>
      </c>
      <c r="J7717" s="6" t="s">
        <v>345</v>
      </c>
      <c r="K7717" s="10">
        <v>28.7</v>
      </c>
      <c r="L7717" s="10">
        <v>82</v>
      </c>
      <c r="M7717" s="6" t="s">
        <v>375</v>
      </c>
    </row>
    <row r="7718" spans="1:13">
      <c r="A7718" s="6">
        <v>2026</v>
      </c>
      <c r="B7718" s="6">
        <v>5</v>
      </c>
      <c r="C7718" s="6" t="s">
        <v>63</v>
      </c>
      <c r="D7718" s="6" t="s">
        <v>48</v>
      </c>
      <c r="E7718" s="6" t="s">
        <v>388</v>
      </c>
      <c r="F7718" s="6" t="str">
        <f>IF($M7718="PADD I","PADD 1",IF($M7718="PADD II","PADD 2",IF($M7718="PADD III","PADD 3",IF($M7718="PADD IV","PADD 4",IF($M7718="PADD V","PADD 5","")))))</f>
        <v>PADD 2</v>
      </c>
      <c r="G7718" s="6" t="str">
        <f>IF(AND($H7718="ATMOS DISTILLATION",ISNUMBER(SEARCH("VPS",$I7718))=FALSE,LEFT($I7718,6)&lt;&gt;"VACUUM"),"CDU",IF($H7718="FLUID CAT CRACKING","FCC",IF(OR($H7718="HYDROCRACKING",$H7718="RESID_HYDROCRACKING"),"Hydrocracker",IF($H7718="REFORMING","Reformer",""))))</f>
        <v>Hydrocracker</v>
      </c>
      <c r="H7718" s="6" t="s">
        <v>444</v>
      </c>
      <c r="I7718" s="6" t="s">
        <v>758</v>
      </c>
      <c r="J7718" s="6" t="s">
        <v>349</v>
      </c>
      <c r="K7718" s="10">
        <v>28.6</v>
      </c>
      <c r="L7718" s="10">
        <v>44</v>
      </c>
      <c r="M7718" s="6" t="s">
        <v>375</v>
      </c>
    </row>
    <row r="7719" spans="1:13">
      <c r="A7719" s="6">
        <v>2026</v>
      </c>
      <c r="B7719" s="6">
        <v>5</v>
      </c>
      <c r="C7719" s="6" t="s">
        <v>63</v>
      </c>
      <c r="D7719" s="6" t="s">
        <v>526</v>
      </c>
      <c r="E7719" s="6" t="s">
        <v>405</v>
      </c>
      <c r="F7719" s="6" t="str">
        <f>IF($M7719="PADD I","PADD 1",IF($M7719="PADD II","PADD 2",IF($M7719="PADD III","PADD 3",IF($M7719="PADD IV","PADD 4",IF($M7719="PADD V","PADD 5","")))))</f>
        <v>PADD 3</v>
      </c>
      <c r="G7719" s="6" t="str">
        <f>IF(AND($H7719="ATMOS DISTILLATION",ISNUMBER(SEARCH("VPS",$I7719))=FALSE,LEFT($I7719,6)&lt;&gt;"VACUUM"),"CDU",IF($H7719="FLUID CAT CRACKING","FCC",IF(OR($H7719="HYDROCRACKING",$H7719="RESID_HYDROCRACKING"),"Hydrocracker",IF($H7719="REFORMING","Reformer",""))))</f>
        <v>CDU</v>
      </c>
      <c r="H7719" s="6" t="s">
        <v>38</v>
      </c>
      <c r="I7719" s="6" t="s">
        <v>350</v>
      </c>
      <c r="J7719" s="6" t="s">
        <v>345</v>
      </c>
      <c r="K7719" s="10">
        <v>27.3</v>
      </c>
      <c r="L7719" s="10">
        <v>210</v>
      </c>
      <c r="M7719" s="6" t="s">
        <v>371</v>
      </c>
    </row>
    <row r="7720" spans="1:13">
      <c r="A7720" s="6">
        <v>2026</v>
      </c>
      <c r="B7720" s="6">
        <v>5</v>
      </c>
      <c r="C7720" s="6" t="s">
        <v>63</v>
      </c>
      <c r="D7720" s="6" t="s">
        <v>321</v>
      </c>
      <c r="E7720" s="6" t="s">
        <v>381</v>
      </c>
      <c r="F7720" s="6" t="str">
        <f>IF($M7720="PADD I","PADD 1",IF($M7720="PADD II","PADD 2",IF($M7720="PADD III","PADD 3",IF($M7720="PADD IV","PADD 4",IF($M7720="PADD V","PADD 5","")))))</f>
        <v>PADD 2</v>
      </c>
      <c r="G7720" s="6" t="str">
        <f>IF(AND($H7720="ATMOS DISTILLATION",ISNUMBER(SEARCH("VPS",$I7720))=FALSE,LEFT($I7720,6)&lt;&gt;"VACUUM"),"CDU",IF($H7720="FLUID CAT CRACKING","FCC",IF(OR($H7720="HYDROCRACKING",$H7720="RESID_HYDROCRACKING"),"Hydrocracker",IF($H7720="REFORMING","Reformer",""))))</f>
        <v>FCC</v>
      </c>
      <c r="H7720" s="6" t="s">
        <v>376</v>
      </c>
      <c r="I7720" s="6" t="s">
        <v>105</v>
      </c>
      <c r="J7720" s="6" t="s">
        <v>345</v>
      </c>
      <c r="K7720" s="10">
        <v>25.48</v>
      </c>
      <c r="L7720" s="10">
        <v>98</v>
      </c>
      <c r="M7720" s="6" t="s">
        <v>375</v>
      </c>
    </row>
    <row r="7721" spans="1:13">
      <c r="A7721" s="6">
        <v>2026</v>
      </c>
      <c r="B7721" s="6">
        <v>5</v>
      </c>
      <c r="C7721" s="6" t="s">
        <v>63</v>
      </c>
      <c r="D7721" s="6" t="s">
        <v>48</v>
      </c>
      <c r="E7721" s="6" t="s">
        <v>388</v>
      </c>
      <c r="F7721" s="6" t="str">
        <f>IF($M7721="PADD I","PADD 1",IF($M7721="PADD II","PADD 2",IF($M7721="PADD III","PADD 3",IF($M7721="PADD IV","PADD 4",IF($M7721="PADD V","PADD 5","")))))</f>
        <v>PADD 2</v>
      </c>
      <c r="G7721" s="6">
        <f>IF(AND($H7721="ATMOS DISTILLATION",ISNUMBER(SEARCH("VPS",$I7721))=FALSE,LEFT($I7721,6)&lt;&gt;"VACUUM"),"CDU",IF($H7721="FLUID CAT CRACKING","FCC",IF(OR($H7721="HYDROCRACKING",$H7721="RESID_HYDROCRACKING"),"Hydrocracker",IF($H7721="REFORMING","Reformer",""))))</f>
        <v/>
      </c>
      <c r="H7721" s="6" t="s">
        <v>378</v>
      </c>
      <c r="I7721" s="6" t="s">
        <v>431</v>
      </c>
      <c r="J7721" s="6" t="s">
        <v>349</v>
      </c>
      <c r="K7721" s="10">
        <v>25.35</v>
      </c>
      <c r="L7721" s="10">
        <v>65</v>
      </c>
      <c r="M7721" s="6" t="s">
        <v>375</v>
      </c>
    </row>
    <row r="7722" spans="1:13">
      <c r="A7722" s="6">
        <v>2026</v>
      </c>
      <c r="B7722" s="6">
        <v>5</v>
      </c>
      <c r="C7722" s="6" t="s">
        <v>63</v>
      </c>
      <c r="D7722" s="6" t="s">
        <v>48</v>
      </c>
      <c r="E7722" s="6" t="s">
        <v>388</v>
      </c>
      <c r="F7722" s="6" t="str">
        <f>IF($M7722="PADD I","PADD 1",IF($M7722="PADD II","PADD 2",IF($M7722="PADD III","PADD 3",IF($M7722="PADD IV","PADD 4",IF($M7722="PADD V","PADD 5","")))))</f>
        <v>PADD 2</v>
      </c>
      <c r="G7722" s="6" t="str">
        <f>IF(AND($H7722="ATMOS DISTILLATION",ISNUMBER(SEARCH("VPS",$I7722))=FALSE,LEFT($I7722,6)&lt;&gt;"VACUUM"),"CDU",IF($H7722="FLUID CAT CRACKING","FCC",IF(OR($H7722="HYDROCRACKING",$H7722="RESID_HYDROCRACKING"),"Hydrocracker",IF($H7722="REFORMING","Reformer",""))))</f>
        <v>Reformer</v>
      </c>
      <c r="H7722" s="6" t="s">
        <v>421</v>
      </c>
      <c r="I7722" s="6" t="s">
        <v>721</v>
      </c>
      <c r="J7722" s="6" t="s">
        <v>349</v>
      </c>
      <c r="K7722" s="10">
        <v>25.35</v>
      </c>
      <c r="L7722" s="10">
        <v>39</v>
      </c>
      <c r="M7722" s="6" t="s">
        <v>375</v>
      </c>
    </row>
    <row r="7723" spans="1:13">
      <c r="A7723" s="6">
        <v>2026</v>
      </c>
      <c r="B7723" s="6">
        <v>5</v>
      </c>
      <c r="C7723" s="6" t="s">
        <v>63</v>
      </c>
      <c r="D7723" s="6" t="s">
        <v>446</v>
      </c>
      <c r="E7723" s="6" t="s">
        <v>391</v>
      </c>
      <c r="F7723" s="6" t="str">
        <f>IF($M7723="PADD I","PADD 1",IF($M7723="PADD II","PADD 2",IF($M7723="PADD III","PADD 3",IF($M7723="PADD IV","PADD 4",IF($M7723="PADD V","PADD 5","")))))</f>
        <v>PADD 3</v>
      </c>
      <c r="G7723" s="6">
        <f>IF(AND($H7723="ATMOS DISTILLATION",ISNUMBER(SEARCH("VPS",$I7723))=FALSE,LEFT($I7723,6)&lt;&gt;"VACUUM"),"CDU",IF($H7723="FLUID CAT CRACKING","FCC",IF(OR($H7723="HYDROCRACKING",$H7723="RESID_HYDROCRACKING"),"Hydrocracker",IF($H7723="REFORMING","Reformer",""))))</f>
        <v/>
      </c>
      <c r="H7723" s="6" t="s">
        <v>378</v>
      </c>
      <c r="I7723" s="6" t="s">
        <v>1041</v>
      </c>
      <c r="J7723" s="6" t="s">
        <v>345</v>
      </c>
      <c r="K7723" s="10">
        <v>25.01</v>
      </c>
      <c r="L7723" s="10">
        <v>41</v>
      </c>
      <c r="M7723" s="6" t="s">
        <v>371</v>
      </c>
    </row>
    <row r="7724" spans="1:13">
      <c r="A7724" s="6">
        <v>2026</v>
      </c>
      <c r="B7724" s="6">
        <v>5</v>
      </c>
      <c r="C7724" s="6" t="s">
        <v>63</v>
      </c>
      <c r="D7724" s="6" t="s">
        <v>646</v>
      </c>
      <c r="E7724" s="6" t="s">
        <v>405</v>
      </c>
      <c r="F7724" s="6" t="str">
        <f>IF($M7724="PADD I","PADD 1",IF($M7724="PADD II","PADD 2",IF($M7724="PADD III","PADD 3",IF($M7724="PADD IV","PADD 4",IF($M7724="PADD V","PADD 5","")))))</f>
        <v>PADD 3</v>
      </c>
      <c r="G7724" s="6" t="str">
        <f>IF(AND($H7724="ATMOS DISTILLATION",ISNUMBER(SEARCH("VPS",$I7724))=FALSE,LEFT($I7724,6)&lt;&gt;"VACUUM"),"CDU",IF($H7724="FLUID CAT CRACKING","FCC",IF(OR($H7724="HYDROCRACKING",$H7724="RESID_HYDROCRACKING"),"Hydrocracker",IF($H7724="REFORMING","Reformer",""))))</f>
        <v>CDU</v>
      </c>
      <c r="H7724" s="6" t="s">
        <v>38</v>
      </c>
      <c r="I7724" s="6" t="s">
        <v>126</v>
      </c>
      <c r="J7724" s="6" t="s">
        <v>345</v>
      </c>
      <c r="K7724" s="10">
        <v>24.96</v>
      </c>
      <c r="L7724" s="10">
        <v>96</v>
      </c>
      <c r="M7724" s="6" t="s">
        <v>371</v>
      </c>
    </row>
    <row r="7725" spans="1:13">
      <c r="A7725" s="6">
        <v>2026</v>
      </c>
      <c r="B7725" s="6">
        <v>5</v>
      </c>
      <c r="C7725" s="6" t="s">
        <v>63</v>
      </c>
      <c r="D7725" s="6" t="s">
        <v>48</v>
      </c>
      <c r="E7725" s="6" t="s">
        <v>388</v>
      </c>
      <c r="F7725" s="6" t="str">
        <f>IF($M7725="PADD I","PADD 1",IF($M7725="PADD II","PADD 2",IF($M7725="PADD III","PADD 3",IF($M7725="PADD IV","PADD 4",IF($M7725="PADD V","PADD 5","")))))</f>
        <v>PADD 2</v>
      </c>
      <c r="G7725" s="6">
        <f>IF(AND($H7725="ATMOS DISTILLATION",ISNUMBER(SEARCH("VPS",$I7725))=FALSE,LEFT($I7725,6)&lt;&gt;"VACUUM"),"CDU",IF($H7725="FLUID CAT CRACKING","FCC",IF(OR($H7725="HYDROCRACKING",$H7725="RESID_HYDROCRACKING"),"Hydrocracker",IF($H7725="REFORMING","Reformer",""))))</f>
        <v/>
      </c>
      <c r="H7725" s="6" t="s">
        <v>43</v>
      </c>
      <c r="I7725" s="6" t="s">
        <v>696</v>
      </c>
      <c r="J7725" s="6" t="s">
        <v>349</v>
      </c>
      <c r="K7725" s="10">
        <v>24.65</v>
      </c>
      <c r="L7725" s="10">
        <v>85</v>
      </c>
      <c r="M7725" s="6" t="s">
        <v>375</v>
      </c>
    </row>
    <row r="7726" spans="1:13">
      <c r="A7726" s="6">
        <v>2026</v>
      </c>
      <c r="B7726" s="6">
        <v>5</v>
      </c>
      <c r="C7726" s="6" t="s">
        <v>63</v>
      </c>
      <c r="D7726" s="6" t="s">
        <v>48</v>
      </c>
      <c r="E7726" s="6" t="s">
        <v>388</v>
      </c>
      <c r="F7726" s="6" t="str">
        <f>IF($M7726="PADD I","PADD 1",IF($M7726="PADD II","PADD 2",IF($M7726="PADD III","PADD 3",IF($M7726="PADD IV","PADD 4",IF($M7726="PADD V","PADD 5","")))))</f>
        <v>PADD 2</v>
      </c>
      <c r="G7726" s="6">
        <f>IF(AND($H7726="ATMOS DISTILLATION",ISNUMBER(SEARCH("VPS",$I7726))=FALSE,LEFT($I7726,6)&lt;&gt;"VACUUM"),"CDU",IF($H7726="FLUID CAT CRACKING","FCC",IF(OR($H7726="HYDROCRACKING",$H7726="RESID_HYDROCRACKING"),"Hydrocracker",IF($H7726="REFORMING","Reformer",""))))</f>
        <v/>
      </c>
      <c r="H7726" s="6" t="s">
        <v>43</v>
      </c>
      <c r="I7726" s="6" t="s">
        <v>696</v>
      </c>
      <c r="J7726" s="6" t="s">
        <v>349</v>
      </c>
      <c r="K7726" s="10">
        <v>24.65</v>
      </c>
      <c r="L7726" s="10">
        <v>85</v>
      </c>
      <c r="M7726" s="6" t="s">
        <v>375</v>
      </c>
    </row>
    <row r="7727" spans="1:13">
      <c r="A7727" s="6">
        <v>2026</v>
      </c>
      <c r="B7727" s="6">
        <v>5</v>
      </c>
      <c r="C7727" s="6" t="s">
        <v>63</v>
      </c>
      <c r="D7727" s="6" t="s">
        <v>526</v>
      </c>
      <c r="E7727" s="6" t="s">
        <v>405</v>
      </c>
      <c r="F7727" s="6" t="str">
        <f>IF($M7727="PADD I","PADD 1",IF($M7727="PADD II","PADD 2",IF($M7727="PADD III","PADD 3",IF($M7727="PADD IV","PADD 4",IF($M7727="PADD V","PADD 5","")))))</f>
        <v>PADD 3</v>
      </c>
      <c r="G7727" s="6">
        <f>IF(AND($H7727="ATMOS DISTILLATION",ISNUMBER(SEARCH("VPS",$I7727))=FALSE,LEFT($I7727,6)&lt;&gt;"VACUUM"),"CDU",IF($H7727="FLUID CAT CRACKING","FCC",IF(OR($H7727="HYDROCRACKING",$H7727="RESID_HYDROCRACKING"),"Hydrocracker",IF($H7727="REFORMING","Reformer",""))))</f>
        <v/>
      </c>
      <c r="H7727" s="6" t="s">
        <v>378</v>
      </c>
      <c r="I7727" s="6" t="s">
        <v>649</v>
      </c>
      <c r="J7727" s="6" t="s">
        <v>345</v>
      </c>
      <c r="K7727" s="10">
        <v>22.36</v>
      </c>
      <c r="L7727" s="10">
        <v>172</v>
      </c>
      <c r="M7727" s="6" t="s">
        <v>371</v>
      </c>
    </row>
    <row r="7728" spans="1:13">
      <c r="A7728" s="6">
        <v>2026</v>
      </c>
      <c r="B7728" s="6">
        <v>5</v>
      </c>
      <c r="C7728" s="6" t="s">
        <v>63</v>
      </c>
      <c r="D7728" s="6" t="s">
        <v>526</v>
      </c>
      <c r="E7728" s="6" t="s">
        <v>405</v>
      </c>
      <c r="F7728" s="6" t="str">
        <f>IF($M7728="PADD I","PADD 1",IF($M7728="PADD II","PADD 2",IF($M7728="PADD III","PADD 3",IF($M7728="PADD IV","PADD 4",IF($M7728="PADD V","PADD 5","")))))</f>
        <v>PADD 3</v>
      </c>
      <c r="G7728" s="6" t="str">
        <f>IF(AND($H7728="ATMOS DISTILLATION",ISNUMBER(SEARCH("VPS",$I7728))=FALSE,LEFT($I7728,6)&lt;&gt;"VACUUM"),"CDU",IF($H7728="FLUID CAT CRACKING","FCC",IF(OR($H7728="HYDROCRACKING",$H7728="RESID_HYDROCRACKING"),"Hydrocracker",IF($H7728="REFORMING","Reformer",""))))</f>
        <v>CDU</v>
      </c>
      <c r="H7728" s="6" t="s">
        <v>38</v>
      </c>
      <c r="I7728" s="6" t="s">
        <v>350</v>
      </c>
      <c r="J7728" s="6" t="s">
        <v>345</v>
      </c>
      <c r="K7728" s="10">
        <v>22.05</v>
      </c>
      <c r="L7728" s="10">
        <v>63</v>
      </c>
      <c r="M7728" s="6" t="s">
        <v>371</v>
      </c>
    </row>
    <row r="7729" spans="1:13">
      <c r="A7729" s="6">
        <v>2026</v>
      </c>
      <c r="B7729" s="6">
        <v>5</v>
      </c>
      <c r="C7729" s="6" t="s">
        <v>63</v>
      </c>
      <c r="D7729" s="6" t="s">
        <v>1038</v>
      </c>
      <c r="E7729" s="6" t="s">
        <v>1039</v>
      </c>
      <c r="F7729" s="6" t="str">
        <f>IF($M7729="PADD I","PADD 1",IF($M7729="PADD II","PADD 2",IF($M7729="PADD III","PADD 3",IF($M7729="PADD IV","PADD 4",IF($M7729="PADD V","PADD 5","")))))</f>
        <v>PADD 2</v>
      </c>
      <c r="G7729" s="6" t="str">
        <f>IF(AND($H7729="ATMOS DISTILLATION",ISNUMBER(SEARCH("VPS",$I7729))=FALSE,LEFT($I7729,6)&lt;&gt;"VACUUM"),"CDU",IF($H7729="FLUID CAT CRACKING","FCC",IF(OR($H7729="HYDROCRACKING",$H7729="RESID_HYDROCRACKING"),"Hydrocracker",IF($H7729="REFORMING","Reformer",""))))</f>
        <v>CDU</v>
      </c>
      <c r="H7729" s="6" t="s">
        <v>38</v>
      </c>
      <c r="I7729" s="6" t="s">
        <v>1040</v>
      </c>
      <c r="J7729" s="6" t="s">
        <v>345</v>
      </c>
      <c r="K7729" s="10">
        <v>21.85</v>
      </c>
      <c r="L7729" s="10">
        <v>95</v>
      </c>
      <c r="M7729" s="6" t="s">
        <v>375</v>
      </c>
    </row>
    <row r="7730" spans="1:13">
      <c r="A7730" s="6">
        <v>2026</v>
      </c>
      <c r="B7730" s="6">
        <v>5</v>
      </c>
      <c r="C7730" s="6" t="s">
        <v>63</v>
      </c>
      <c r="D7730" s="6" t="s">
        <v>448</v>
      </c>
      <c r="E7730" s="6" t="s">
        <v>391</v>
      </c>
      <c r="F7730" s="6" t="str">
        <f>IF($M7730="PADD I","PADD 1",IF($M7730="PADD II","PADD 2",IF($M7730="PADD III","PADD 3",IF($M7730="PADD IV","PADD 4",IF($M7730="PADD V","PADD 5","")))))</f>
        <v>PADD 3</v>
      </c>
      <c r="G7730" s="6">
        <f>IF(AND($H7730="ATMOS DISTILLATION",ISNUMBER(SEARCH("VPS",$I7730))=FALSE,LEFT($I7730,6)&lt;&gt;"VACUUM"),"CDU",IF($H7730="FLUID CAT CRACKING","FCC",IF(OR($H7730="HYDROCRACKING",$H7730="RESID_HYDROCRACKING"),"Hydrocracker",IF($H7730="REFORMING","Reformer",""))))</f>
        <v/>
      </c>
      <c r="H7730" s="6" t="s">
        <v>43</v>
      </c>
      <c r="I7730" s="6" t="s">
        <v>449</v>
      </c>
      <c r="J7730" s="6" t="s">
        <v>345</v>
      </c>
      <c r="K7730" s="10">
        <v>21.35</v>
      </c>
      <c r="L7730" s="10">
        <v>35</v>
      </c>
      <c r="M7730" s="6" t="s">
        <v>371</v>
      </c>
    </row>
    <row r="7731" spans="1:13">
      <c r="A7731" s="6">
        <v>2026</v>
      </c>
      <c r="B7731" s="6">
        <v>5</v>
      </c>
      <c r="C7731" s="6" t="s">
        <v>63</v>
      </c>
      <c r="D7731" s="6" t="s">
        <v>48</v>
      </c>
      <c r="E7731" s="6" t="s">
        <v>388</v>
      </c>
      <c r="F7731" s="6" t="str">
        <f>IF($M7731="PADD I","PADD 1",IF($M7731="PADD II","PADD 2",IF($M7731="PADD III","PADD 3",IF($M7731="PADD IV","PADD 4",IF($M7731="PADD V","PADD 5","")))))</f>
        <v>PADD 2</v>
      </c>
      <c r="G7731" s="6">
        <f>IF(AND($H7731="ATMOS DISTILLATION",ISNUMBER(SEARCH("VPS",$I7731))=FALSE,LEFT($I7731,6)&lt;&gt;"VACUUM"),"CDU",IF($H7731="FLUID CAT CRACKING","FCC",IF(OR($H7731="HYDROCRACKING",$H7731="RESID_HYDROCRACKING"),"Hydrocracker",IF($H7731="REFORMING","Reformer",""))))</f>
        <v/>
      </c>
      <c r="H7731" s="6" t="s">
        <v>43</v>
      </c>
      <c r="I7731" s="6" t="s">
        <v>761</v>
      </c>
      <c r="J7731" s="6" t="s">
        <v>345</v>
      </c>
      <c r="K7731" s="10">
        <v>20.88</v>
      </c>
      <c r="L7731" s="10">
        <v>24</v>
      </c>
      <c r="M7731" s="6" t="s">
        <v>375</v>
      </c>
    </row>
    <row r="7732" spans="1:13">
      <c r="A7732" s="6">
        <v>2026</v>
      </c>
      <c r="B7732" s="6">
        <v>5</v>
      </c>
      <c r="C7732" s="6" t="s">
        <v>63</v>
      </c>
      <c r="D7732" s="6" t="s">
        <v>526</v>
      </c>
      <c r="E7732" s="6" t="s">
        <v>405</v>
      </c>
      <c r="F7732" s="6" t="str">
        <f>IF($M7732="PADD I","PADD 1",IF($M7732="PADD II","PADD 2",IF($M7732="PADD III","PADD 3",IF($M7732="PADD IV","PADD 4",IF($M7732="PADD V","PADD 5","")))))</f>
        <v>PADD 3</v>
      </c>
      <c r="G7732" s="6" t="str">
        <f>IF(AND($H7732="ATMOS DISTILLATION",ISNUMBER(SEARCH("VPS",$I7732))=FALSE,LEFT($I7732,6)&lt;&gt;"VACUUM"),"CDU",IF($H7732="FLUID CAT CRACKING","FCC",IF(OR($H7732="HYDROCRACKING",$H7732="RESID_HYDROCRACKING"),"Hydrocracker",IF($H7732="REFORMING","Reformer",""))))</f>
        <v>FCC</v>
      </c>
      <c r="H7732" s="6" t="s">
        <v>376</v>
      </c>
      <c r="I7732" s="6" t="s">
        <v>344</v>
      </c>
      <c r="J7732" s="6" t="s">
        <v>345</v>
      </c>
      <c r="K7732" s="10">
        <v>20.8</v>
      </c>
      <c r="L7732" s="10">
        <v>80</v>
      </c>
      <c r="M7732" s="6" t="s">
        <v>371</v>
      </c>
    </row>
    <row r="7733" spans="1:13">
      <c r="A7733" s="6">
        <v>2026</v>
      </c>
      <c r="B7733" s="6">
        <v>5</v>
      </c>
      <c r="C7733" s="6" t="s">
        <v>63</v>
      </c>
      <c r="D7733" s="6" t="s">
        <v>321</v>
      </c>
      <c r="E7733" s="6" t="s">
        <v>381</v>
      </c>
      <c r="F7733" s="6" t="str">
        <f>IF($M7733="PADD I","PADD 1",IF($M7733="PADD II","PADD 2",IF($M7733="PADD III","PADD 3",IF($M7733="PADD IV","PADD 4",IF($M7733="PADD V","PADD 5","")))))</f>
        <v>PADD 2</v>
      </c>
      <c r="G7733" s="6" t="str">
        <f>IF(AND($H7733="ATMOS DISTILLATION",ISNUMBER(SEARCH("VPS",$I7733))=FALSE,LEFT($I7733,6)&lt;&gt;"VACUUM"),"CDU",IF($H7733="FLUID CAT CRACKING","FCC",IF(OR($H7733="HYDROCRACKING",$H7733="RESID_HYDROCRACKING"),"Hydrocracker",IF($H7733="REFORMING","Reformer",""))))</f>
        <v>CDU</v>
      </c>
      <c r="H7733" s="6" t="s">
        <v>38</v>
      </c>
      <c r="I7733" s="6" t="s">
        <v>81</v>
      </c>
      <c r="J7733" s="6" t="s">
        <v>345</v>
      </c>
      <c r="K7733" s="10">
        <v>20.8</v>
      </c>
      <c r="L7733" s="10">
        <v>65</v>
      </c>
      <c r="M7733" s="6" t="s">
        <v>375</v>
      </c>
    </row>
    <row r="7734" spans="1:13">
      <c r="A7734" s="6">
        <v>2026</v>
      </c>
      <c r="B7734" s="6">
        <v>5</v>
      </c>
      <c r="C7734" s="6" t="s">
        <v>63</v>
      </c>
      <c r="D7734" s="6" t="s">
        <v>446</v>
      </c>
      <c r="E7734" s="6" t="s">
        <v>391</v>
      </c>
      <c r="F7734" s="6" t="str">
        <f>IF($M7734="PADD I","PADD 1",IF($M7734="PADD II","PADD 2",IF($M7734="PADD III","PADD 3",IF($M7734="PADD IV","PADD 4",IF($M7734="PADD V","PADD 5","")))))</f>
        <v>PADD 3</v>
      </c>
      <c r="G7734" s="6" t="str">
        <f>IF(AND($H7734="ATMOS DISTILLATION",ISNUMBER(SEARCH("VPS",$I7734))=FALSE,LEFT($I7734,6)&lt;&gt;"VACUUM"),"CDU",IF($H7734="FLUID CAT CRACKING","FCC",IF(OR($H7734="HYDROCRACKING",$H7734="RESID_HYDROCRACKING"),"Hydrocracker",IF($H7734="REFORMING","Reformer",""))))</f>
        <v>Reformer</v>
      </c>
      <c r="H7734" s="6" t="s">
        <v>421</v>
      </c>
      <c r="I7734" s="6" t="s">
        <v>483</v>
      </c>
      <c r="J7734" s="6" t="s">
        <v>345</v>
      </c>
      <c r="K7734" s="10">
        <v>20.16</v>
      </c>
      <c r="L7734" s="10">
        <v>24</v>
      </c>
      <c r="M7734" s="6" t="s">
        <v>371</v>
      </c>
    </row>
    <row r="7735" spans="1:13">
      <c r="A7735" s="6">
        <v>2026</v>
      </c>
      <c r="B7735" s="6">
        <v>5</v>
      </c>
      <c r="C7735" s="6" t="s">
        <v>63</v>
      </c>
      <c r="D7735" s="6" t="s">
        <v>390</v>
      </c>
      <c r="E7735" s="6" t="s">
        <v>391</v>
      </c>
      <c r="F7735" s="6" t="str">
        <f>IF($M7735="PADD I","PADD 1",IF($M7735="PADD II","PADD 2",IF($M7735="PADD III","PADD 3",IF($M7735="PADD IV","PADD 4",IF($M7735="PADD V","PADD 5","")))))</f>
        <v>PADD 3</v>
      </c>
      <c r="G7735" s="6" t="str">
        <f>IF(AND($H7735="ATMOS DISTILLATION",ISNUMBER(SEARCH("VPS",$I7735))=FALSE,LEFT($I7735,6)&lt;&gt;"VACUUM"),"CDU",IF($H7735="FLUID CAT CRACKING","FCC",IF(OR($H7735="HYDROCRACKING",$H7735="RESID_HYDROCRACKING"),"Hydrocracker",IF($H7735="REFORMING","Reformer",""))))</f>
        <v>CDU</v>
      </c>
      <c r="H7735" s="6" t="s">
        <v>38</v>
      </c>
      <c r="I7735" s="6" t="s">
        <v>392</v>
      </c>
      <c r="J7735" s="6" t="s">
        <v>345</v>
      </c>
      <c r="K7735" s="10">
        <v>20</v>
      </c>
      <c r="L7735" s="10">
        <v>200</v>
      </c>
      <c r="M7735" s="6" t="s">
        <v>371</v>
      </c>
    </row>
    <row r="7736" spans="1:13">
      <c r="A7736" s="6">
        <v>2026</v>
      </c>
      <c r="B7736" s="6">
        <v>5</v>
      </c>
      <c r="C7736" s="6" t="s">
        <v>63</v>
      </c>
      <c r="D7736" s="6" t="s">
        <v>53</v>
      </c>
      <c r="E7736" s="6" t="s">
        <v>543</v>
      </c>
      <c r="F7736" s="6" t="str">
        <f>IF($M7736="PADD I","PADD 1",IF($M7736="PADD II","PADD 2",IF($M7736="PADD III","PADD 3",IF($M7736="PADD IV","PADD 4",IF($M7736="PADD V","PADD 5","")))))</f>
        <v>PADD 5</v>
      </c>
      <c r="G7736" s="6" t="str">
        <f>IF(AND($H7736="ATMOS DISTILLATION",ISNUMBER(SEARCH("VPS",$I7736))=FALSE,LEFT($I7736,6)&lt;&gt;"VACUUM"),"CDU",IF($H7736="FLUID CAT CRACKING","FCC",IF(OR($H7736="HYDROCRACKING",$H7736="RESID_HYDROCRACKING"),"Hydrocracker",IF($H7736="REFORMING","Reformer",""))))</f>
        <v>Hydrocracker</v>
      </c>
      <c r="H7736" s="6" t="s">
        <v>444</v>
      </c>
      <c r="I7736" s="6" t="s">
        <v>14</v>
      </c>
      <c r="J7736" s="6" t="s">
        <v>349</v>
      </c>
      <c r="K7736" s="10">
        <v>19.25</v>
      </c>
      <c r="L7736" s="10">
        <v>55</v>
      </c>
      <c r="M7736" s="6" t="s">
        <v>386</v>
      </c>
    </row>
    <row r="7737" spans="1:13">
      <c r="A7737" s="6">
        <v>2026</v>
      </c>
      <c r="B7737" s="6">
        <v>5</v>
      </c>
      <c r="C7737" s="6" t="s">
        <v>63</v>
      </c>
      <c r="D7737" s="6" t="s">
        <v>526</v>
      </c>
      <c r="E7737" s="6" t="s">
        <v>405</v>
      </c>
      <c r="F7737" s="6" t="str">
        <f>IF($M7737="PADD I","PADD 1",IF($M7737="PADD II","PADD 2",IF($M7737="PADD III","PADD 3",IF($M7737="PADD IV","PADD 4",IF($M7737="PADD V","PADD 5","")))))</f>
        <v>PADD 3</v>
      </c>
      <c r="G7737" s="6">
        <f>IF(AND($H7737="ATMOS DISTILLATION",ISNUMBER(SEARCH("VPS",$I7737))=FALSE,LEFT($I7737,6)&lt;&gt;"VACUUM"),"CDU",IF($H7737="FLUID CAT CRACKING","FCC",IF(OR($H7737="HYDROCRACKING",$H7737="RESID_HYDROCRACKING"),"Hydrocracker",IF($H7737="REFORMING","Reformer",""))))</f>
        <v/>
      </c>
      <c r="H7737" s="6" t="s">
        <v>43</v>
      </c>
      <c r="I7737" s="6" t="s">
        <v>1226</v>
      </c>
      <c r="J7737" s="6" t="s">
        <v>345</v>
      </c>
      <c r="K7737" s="10">
        <v>18.5</v>
      </c>
      <c r="L7737" s="10">
        <v>18.5</v>
      </c>
      <c r="M7737" s="6" t="s">
        <v>371</v>
      </c>
    </row>
    <row r="7738" spans="1:13">
      <c r="A7738" s="6">
        <v>2026</v>
      </c>
      <c r="B7738" s="6">
        <v>5</v>
      </c>
      <c r="C7738" s="6" t="s">
        <v>63</v>
      </c>
      <c r="D7738" s="6" t="s">
        <v>321</v>
      </c>
      <c r="E7738" s="6" t="s">
        <v>381</v>
      </c>
      <c r="F7738" s="6" t="str">
        <f>IF($M7738="PADD I","PADD 1",IF($M7738="PADD II","PADD 2",IF($M7738="PADD III","PADD 3",IF($M7738="PADD IV","PADD 4",IF($M7738="PADD V","PADD 5","")))))</f>
        <v>PADD 2</v>
      </c>
      <c r="G7738" s="6">
        <f>IF(AND($H7738="ATMOS DISTILLATION",ISNUMBER(SEARCH("VPS",$I7738))=FALSE,LEFT($I7738,6)&lt;&gt;"VACUUM"),"CDU",IF($H7738="FLUID CAT CRACKING","FCC",IF(OR($H7738="HYDROCRACKING",$H7738="RESID_HYDROCRACKING"),"Hydrocracker",IF($H7738="REFORMING","Reformer",""))))</f>
        <v/>
      </c>
      <c r="H7738" s="6" t="s">
        <v>43</v>
      </c>
      <c r="I7738" s="6" t="s">
        <v>1165</v>
      </c>
      <c r="J7738" s="6" t="s">
        <v>345</v>
      </c>
      <c r="K7738" s="10">
        <v>18.4</v>
      </c>
      <c r="L7738" s="10">
        <v>80</v>
      </c>
      <c r="M7738" s="6" t="s">
        <v>375</v>
      </c>
    </row>
    <row r="7739" spans="1:13">
      <c r="A7739" s="6">
        <v>2026</v>
      </c>
      <c r="B7739" s="6">
        <v>5</v>
      </c>
      <c r="C7739" s="6" t="s">
        <v>63</v>
      </c>
      <c r="D7739" s="6" t="s">
        <v>326</v>
      </c>
      <c r="E7739" s="6" t="s">
        <v>385</v>
      </c>
      <c r="F7739" s="6" t="str">
        <f>IF($M7739="PADD I","PADD 1",IF($M7739="PADD II","PADD 2",IF($M7739="PADD III","PADD 3",IF($M7739="PADD IV","PADD 4",IF($M7739="PADD V","PADD 5","")))))</f>
        <v>PADD 5</v>
      </c>
      <c r="G7739" s="6" t="str">
        <f>IF(AND($H7739="ATMOS DISTILLATION",ISNUMBER(SEARCH("VPS",$I7739))=FALSE,LEFT($I7739,6)&lt;&gt;"VACUUM"),"CDU",IF($H7739="FLUID CAT CRACKING","FCC",IF(OR($H7739="HYDROCRACKING",$H7739="RESID_HYDROCRACKING"),"Hydrocracker",IF($H7739="REFORMING","Reformer",""))))</f>
        <v>FCC</v>
      </c>
      <c r="H7739" s="6" t="s">
        <v>376</v>
      </c>
      <c r="I7739" s="6" t="s">
        <v>504</v>
      </c>
      <c r="J7739" s="6" t="s">
        <v>345</v>
      </c>
      <c r="K7739" s="10">
        <v>18.2</v>
      </c>
      <c r="L7739" s="10">
        <v>70</v>
      </c>
      <c r="M7739" s="6" t="s">
        <v>386</v>
      </c>
    </row>
    <row r="7740" spans="1:13">
      <c r="A7740" s="6">
        <v>2026</v>
      </c>
      <c r="B7740" s="6">
        <v>5</v>
      </c>
      <c r="C7740" s="6" t="s">
        <v>63</v>
      </c>
      <c r="D7740" s="6" t="s">
        <v>934</v>
      </c>
      <c r="E7740" s="6" t="s">
        <v>388</v>
      </c>
      <c r="F7740" s="6" t="str">
        <f>IF($M7740="PADD I","PADD 1",IF($M7740="PADD II","PADD 2",IF($M7740="PADD III","PADD 3",IF($M7740="PADD IV","PADD 4",IF($M7740="PADD V","PADD 5","")))))</f>
        <v>PADD 3</v>
      </c>
      <c r="G7740" s="6" t="str">
        <f>IF(AND($H7740="ATMOS DISTILLATION",ISNUMBER(SEARCH("VPS",$I7740))=FALSE,LEFT($I7740,6)&lt;&gt;"VACUUM"),"CDU",IF($H7740="FLUID CAT CRACKING","FCC",IF(OR($H7740="HYDROCRACKING",$H7740="RESID_HYDROCRACKING"),"Hydrocracker",IF($H7740="REFORMING","Reformer",""))))</f>
        <v>FCC</v>
      </c>
      <c r="H7740" s="6" t="s">
        <v>376</v>
      </c>
      <c r="I7740" s="6" t="s">
        <v>105</v>
      </c>
      <c r="J7740" s="6" t="s">
        <v>349</v>
      </c>
      <c r="K7740" s="10">
        <v>17.995</v>
      </c>
      <c r="L7740" s="10">
        <v>29.5</v>
      </c>
      <c r="M7740" s="6" t="s">
        <v>371</v>
      </c>
    </row>
    <row r="7741" spans="1:13">
      <c r="A7741" s="6">
        <v>2026</v>
      </c>
      <c r="B7741" s="6">
        <v>5</v>
      </c>
      <c r="C7741" s="6" t="s">
        <v>63</v>
      </c>
      <c r="D7741" s="6" t="s">
        <v>437</v>
      </c>
      <c r="E7741" s="6" t="s">
        <v>438</v>
      </c>
      <c r="F7741" s="6" t="str">
        <f>IF($M7741="PADD I","PADD 1",IF($M7741="PADD II","PADD 2",IF($M7741="PADD III","PADD 3",IF($M7741="PADD IV","PADD 4",IF($M7741="PADD V","PADD 5","")))))</f>
        <v>PADD 4</v>
      </c>
      <c r="G7741" s="6">
        <f>IF(AND($H7741="ATMOS DISTILLATION",ISNUMBER(SEARCH("VPS",$I7741))=FALSE,LEFT($I7741,6)&lt;&gt;"VACUUM"),"CDU",IF($H7741="FLUID CAT CRACKING","FCC",IF(OR($H7741="HYDROCRACKING",$H7741="RESID_HYDROCRACKING"),"Hydrocracker",IF($H7741="REFORMING","Reformer",""))))</f>
        <v/>
      </c>
      <c r="H7741" s="6" t="s">
        <v>43</v>
      </c>
      <c r="I7741" s="6" t="s">
        <v>493</v>
      </c>
      <c r="J7741" s="6" t="s">
        <v>349</v>
      </c>
      <c r="K7741" s="10">
        <v>17.64</v>
      </c>
      <c r="L7741" s="10">
        <v>21</v>
      </c>
      <c r="M7741" s="6" t="s">
        <v>430</v>
      </c>
    </row>
    <row r="7742" spans="1:13">
      <c r="A7742" s="6">
        <v>2026</v>
      </c>
      <c r="B7742" s="6">
        <v>5</v>
      </c>
      <c r="C7742" s="6" t="s">
        <v>63</v>
      </c>
      <c r="D7742" s="6" t="s">
        <v>547</v>
      </c>
      <c r="E7742" s="6" t="s">
        <v>391</v>
      </c>
      <c r="F7742" s="6" t="str">
        <f>IF($M7742="PADD I","PADD 1",IF($M7742="PADD II","PADD 2",IF($M7742="PADD III","PADD 3",IF($M7742="PADD IV","PADD 4",IF($M7742="PADD V","PADD 5","")))))</f>
        <v>PADD 5</v>
      </c>
      <c r="G7742" s="6" t="str">
        <f>IF(AND($H7742="ATMOS DISTILLATION",ISNUMBER(SEARCH("VPS",$I7742))=FALSE,LEFT($I7742,6)&lt;&gt;"VACUUM"),"CDU",IF($H7742="FLUID CAT CRACKING","FCC",IF(OR($H7742="HYDROCRACKING",$H7742="RESID_HYDROCRACKING"),"Hydrocracker",IF($H7742="REFORMING","Reformer",""))))</f>
        <v>FCC</v>
      </c>
      <c r="H7742" s="6" t="s">
        <v>376</v>
      </c>
      <c r="I7742" s="6" t="s">
        <v>105</v>
      </c>
      <c r="J7742" s="6" t="s">
        <v>345</v>
      </c>
      <c r="K7742" s="10">
        <v>17.1</v>
      </c>
      <c r="L7742" s="10">
        <v>90</v>
      </c>
      <c r="M7742" s="6" t="s">
        <v>386</v>
      </c>
    </row>
    <row r="7743" spans="1:13">
      <c r="A7743" s="6">
        <v>2026</v>
      </c>
      <c r="B7743" s="6">
        <v>5</v>
      </c>
      <c r="C7743" s="6" t="s">
        <v>63</v>
      </c>
      <c r="D7743" s="6" t="s">
        <v>322</v>
      </c>
      <c r="E7743" s="6" t="s">
        <v>369</v>
      </c>
      <c r="F7743" s="6" t="str">
        <f>IF($M7743="PADD I","PADD 1",IF($M7743="PADD II","PADD 2",IF($M7743="PADD III","PADD 3",IF($M7743="PADD IV","PADD 4",IF($M7743="PADD V","PADD 5","")))))</f>
        <v>PADD 2</v>
      </c>
      <c r="G7743" s="6">
        <f>IF(AND($H7743="ATMOS DISTILLATION",ISNUMBER(SEARCH("VPS",$I7743))=FALSE,LEFT($I7743,6)&lt;&gt;"VACUUM"),"CDU",IF($H7743="FLUID CAT CRACKING","FCC",IF(OR($H7743="HYDROCRACKING",$H7743="RESID_HYDROCRACKING"),"Hydrocracker",IF($H7743="REFORMING","Reformer",""))))</f>
        <v/>
      </c>
      <c r="H7743" s="6" t="s">
        <v>435</v>
      </c>
      <c r="I7743" s="6" t="s">
        <v>441</v>
      </c>
      <c r="J7743" s="6" t="s">
        <v>349</v>
      </c>
      <c r="K7743" s="10">
        <v>16.9</v>
      </c>
      <c r="L7743" s="10">
        <v>65</v>
      </c>
      <c r="M7743" s="6" t="s">
        <v>375</v>
      </c>
    </row>
    <row r="7744" spans="1:13">
      <c r="A7744" s="6">
        <v>2026</v>
      </c>
      <c r="B7744" s="6">
        <v>5</v>
      </c>
      <c r="C7744" s="6" t="s">
        <v>63</v>
      </c>
      <c r="D7744" s="6" t="s">
        <v>526</v>
      </c>
      <c r="E7744" s="6" t="s">
        <v>405</v>
      </c>
      <c r="F7744" s="6" t="str">
        <f>IF($M7744="PADD I","PADD 1",IF($M7744="PADD II","PADD 2",IF($M7744="PADD III","PADD 3",IF($M7744="PADD IV","PADD 4",IF($M7744="PADD V","PADD 5","")))))</f>
        <v>PADD 3</v>
      </c>
      <c r="G7744" s="6" t="str">
        <f>IF(AND($H7744="ATMOS DISTILLATION",ISNUMBER(SEARCH("VPS",$I7744))=FALSE,LEFT($I7744,6)&lt;&gt;"VACUUM"),"CDU",IF($H7744="FLUID CAT CRACKING","FCC",IF(OR($H7744="HYDROCRACKING",$H7744="RESID_HYDROCRACKING"),"Hydrocracker",IF($H7744="REFORMING","Reformer",""))))</f>
        <v>CDU</v>
      </c>
      <c r="H7744" s="6" t="s">
        <v>38</v>
      </c>
      <c r="I7744" s="6" t="s">
        <v>641</v>
      </c>
      <c r="J7744" s="6" t="s">
        <v>345</v>
      </c>
      <c r="K7744" s="10">
        <v>16.8</v>
      </c>
      <c r="L7744" s="10">
        <v>35</v>
      </c>
      <c r="M7744" s="6" t="s">
        <v>371</v>
      </c>
    </row>
    <row r="7745" spans="1:13">
      <c r="A7745" s="6">
        <v>2026</v>
      </c>
      <c r="B7745" s="6">
        <v>5</v>
      </c>
      <c r="C7745" s="6" t="s">
        <v>63</v>
      </c>
      <c r="D7745" s="6" t="s">
        <v>50</v>
      </c>
      <c r="E7745" s="6" t="s">
        <v>381</v>
      </c>
      <c r="F7745" s="6" t="str">
        <f>IF($M7745="PADD I","PADD 1",IF($M7745="PADD II","PADD 2",IF($M7745="PADD III","PADD 3",IF($M7745="PADD IV","PADD 4",IF($M7745="PADD V","PADD 5","")))))</f>
        <v>PADD 3</v>
      </c>
      <c r="G7745" s="6" t="str">
        <f>IF(AND($H7745="ATMOS DISTILLATION",ISNUMBER(SEARCH("VPS",$I7745))=FALSE,LEFT($I7745,6)&lt;&gt;"VACUUM"),"CDU",IF($H7745="FLUID CAT CRACKING","FCC",IF(OR($H7745="HYDROCRACKING",$H7745="RESID_HYDROCRACKING"),"Hydrocracker",IF($H7745="REFORMING","Reformer",""))))</f>
        <v>FCC</v>
      </c>
      <c r="H7745" s="6" t="s">
        <v>376</v>
      </c>
      <c r="I7745" s="6" t="s">
        <v>102</v>
      </c>
      <c r="J7745" s="6" t="s">
        <v>345</v>
      </c>
      <c r="K7745" s="10">
        <v>16.25</v>
      </c>
      <c r="L7745" s="10">
        <v>31.25</v>
      </c>
      <c r="M7745" s="6" t="s">
        <v>371</v>
      </c>
    </row>
    <row r="7746" spans="1:13">
      <c r="A7746" s="6">
        <v>2026</v>
      </c>
      <c r="B7746" s="6">
        <v>5</v>
      </c>
      <c r="C7746" s="6" t="s">
        <v>63</v>
      </c>
      <c r="D7746" s="6" t="s">
        <v>53</v>
      </c>
      <c r="E7746" s="6" t="s">
        <v>543</v>
      </c>
      <c r="F7746" s="6" t="str">
        <f>IF($M7746="PADD I","PADD 1",IF($M7746="PADD II","PADD 2",IF($M7746="PADD III","PADD 3",IF($M7746="PADD IV","PADD 4",IF($M7746="PADD V","PADD 5","")))))</f>
        <v>PADD 5</v>
      </c>
      <c r="G7746" s="6" t="str">
        <f>IF(AND($H7746="ATMOS DISTILLATION",ISNUMBER(SEARCH("VPS",$I7746))=FALSE,LEFT($I7746,6)&lt;&gt;"VACUUM"),"CDU",IF($H7746="FLUID CAT CRACKING","FCC",IF(OR($H7746="HYDROCRACKING",$H7746="RESID_HYDROCRACKING"),"Hydrocracker",IF($H7746="REFORMING","Reformer",""))))</f>
        <v>Reformer</v>
      </c>
      <c r="H7746" s="6" t="s">
        <v>421</v>
      </c>
      <c r="I7746" s="6" t="s">
        <v>559</v>
      </c>
      <c r="J7746" s="6" t="s">
        <v>349</v>
      </c>
      <c r="K7746" s="10">
        <v>16</v>
      </c>
      <c r="L7746" s="10">
        <v>50</v>
      </c>
      <c r="M7746" s="6" t="s">
        <v>386</v>
      </c>
    </row>
    <row r="7747" spans="1:13">
      <c r="A7747" s="6">
        <v>2026</v>
      </c>
      <c r="B7747" s="6">
        <v>5</v>
      </c>
      <c r="C7747" s="6" t="s">
        <v>63</v>
      </c>
      <c r="D7747" s="6" t="s">
        <v>48</v>
      </c>
      <c r="E7747" s="6" t="s">
        <v>388</v>
      </c>
      <c r="F7747" s="6" t="str">
        <f>IF($M7747="PADD I","PADD 1",IF($M7747="PADD II","PADD 2",IF($M7747="PADD III","PADD 3",IF($M7747="PADD IV","PADD 4",IF($M7747="PADD V","PADD 5","")))))</f>
        <v>PADD 2</v>
      </c>
      <c r="G7747" s="6">
        <f>IF(AND($H7747="ATMOS DISTILLATION",ISNUMBER(SEARCH("VPS",$I7747))=FALSE,LEFT($I7747,6)&lt;&gt;"VACUUM"),"CDU",IF($H7747="FLUID CAT CRACKING","FCC",IF(OR($H7747="HYDROCRACKING",$H7747="RESID_HYDROCRACKING"),"Hydrocracker",IF($H7747="REFORMING","Reformer",""))))</f>
        <v/>
      </c>
      <c r="H7747" s="6" t="s">
        <v>43</v>
      </c>
      <c r="I7747" s="6" t="s">
        <v>741</v>
      </c>
      <c r="J7747" s="6" t="s">
        <v>349</v>
      </c>
      <c r="K7747" s="10">
        <v>15.37</v>
      </c>
      <c r="L7747" s="10">
        <v>53</v>
      </c>
      <c r="M7747" s="6" t="s">
        <v>375</v>
      </c>
    </row>
    <row r="7748" spans="1:13">
      <c r="A7748" s="6">
        <v>2026</v>
      </c>
      <c r="B7748" s="6">
        <v>5</v>
      </c>
      <c r="C7748" s="6" t="s">
        <v>63</v>
      </c>
      <c r="D7748" s="6" t="s">
        <v>390</v>
      </c>
      <c r="E7748" s="6" t="s">
        <v>391</v>
      </c>
      <c r="F7748" s="6" t="str">
        <f>IF($M7748="PADD I","PADD 1",IF($M7748="PADD II","PADD 2",IF($M7748="PADD III","PADD 3",IF($M7748="PADD IV","PADD 4",IF($M7748="PADD V","PADD 5","")))))</f>
        <v>PADD 3</v>
      </c>
      <c r="G7748" s="6" t="str">
        <f>IF(AND($H7748="ATMOS DISTILLATION",ISNUMBER(SEARCH("VPS",$I7748))=FALSE,LEFT($I7748,6)&lt;&gt;"VACUUM"),"CDU",IF($H7748="FLUID CAT CRACKING","FCC",IF(OR($H7748="HYDROCRACKING",$H7748="RESID_HYDROCRACKING"),"Hydrocracker",IF($H7748="REFORMING","Reformer",""))))</f>
        <v>FCC</v>
      </c>
      <c r="H7748" s="6" t="s">
        <v>376</v>
      </c>
      <c r="I7748" s="6" t="s">
        <v>140</v>
      </c>
      <c r="J7748" s="6" t="s">
        <v>345</v>
      </c>
      <c r="K7748" s="10">
        <v>14.9625</v>
      </c>
      <c r="L7748" s="10">
        <v>78.75</v>
      </c>
      <c r="M7748" s="6" t="s">
        <v>371</v>
      </c>
    </row>
    <row r="7749" spans="1:13">
      <c r="A7749" s="6">
        <v>2026</v>
      </c>
      <c r="B7749" s="6">
        <v>5</v>
      </c>
      <c r="C7749" s="6" t="s">
        <v>63</v>
      </c>
      <c r="D7749" s="6" t="s">
        <v>48</v>
      </c>
      <c r="E7749" s="6" t="s">
        <v>388</v>
      </c>
      <c r="F7749" s="6" t="str">
        <f>IF($M7749="PADD I","PADD 1",IF($M7749="PADD II","PADD 2",IF($M7749="PADD III","PADD 3",IF($M7749="PADD IV","PADD 4",IF($M7749="PADD V","PADD 5","")))))</f>
        <v>PADD 2</v>
      </c>
      <c r="G7749" s="6" t="str">
        <f>IF(AND($H7749="ATMOS DISTILLATION",ISNUMBER(SEARCH("VPS",$I7749))=FALSE,LEFT($I7749,6)&lt;&gt;"VACUUM"),"CDU",IF($H7749="FLUID CAT CRACKING","FCC",IF(OR($H7749="HYDROCRACKING",$H7749="RESID_HYDROCRACKING"),"Hydrocracker",IF($H7749="REFORMING","Reformer",""))))</f>
        <v>CDU</v>
      </c>
      <c r="H7749" s="6" t="s">
        <v>38</v>
      </c>
      <c r="I7749" s="6" t="s">
        <v>720</v>
      </c>
      <c r="J7749" s="6" t="s">
        <v>349</v>
      </c>
      <c r="K7749" s="10">
        <v>13.8</v>
      </c>
      <c r="L7749" s="10">
        <v>60</v>
      </c>
      <c r="M7749" s="6" t="s">
        <v>375</v>
      </c>
    </row>
    <row r="7750" spans="1:13">
      <c r="A7750" s="6">
        <v>2026</v>
      </c>
      <c r="B7750" s="6">
        <v>5</v>
      </c>
      <c r="C7750" s="6" t="s">
        <v>63</v>
      </c>
      <c r="D7750" s="6" t="s">
        <v>1323</v>
      </c>
      <c r="E7750" s="6" t="s">
        <v>369</v>
      </c>
      <c r="F7750" s="6" t="str">
        <f>IF($M7750="PADD I","PADD 1",IF($M7750="PADD II","PADD 2",IF($M7750="PADD III","PADD 3",IF($M7750="PADD IV","PADD 4",IF($M7750="PADD V","PADD 5","")))))</f>
        <v>PADD 5</v>
      </c>
      <c r="G7750" s="6" t="str">
        <f>IF(AND($H7750="ATMOS DISTILLATION",ISNUMBER(SEARCH("VPS",$I7750))=FALSE,LEFT($I7750,6)&lt;&gt;"VACUUM"),"CDU",IF($H7750="FLUID CAT CRACKING","FCC",IF(OR($H7750="HYDROCRACKING",$H7750="RESID_HYDROCRACKING"),"Hydrocracker",IF($H7750="REFORMING","Reformer",""))))</f>
        <v>CDU</v>
      </c>
      <c r="H7750" s="6" t="s">
        <v>38</v>
      </c>
      <c r="I7750" s="6" t="s">
        <v>81</v>
      </c>
      <c r="J7750" s="6" t="s">
        <v>345</v>
      </c>
      <c r="K7750" s="10">
        <v>13</v>
      </c>
      <c r="L7750" s="10">
        <v>100</v>
      </c>
      <c r="M7750" s="6" t="s">
        <v>386</v>
      </c>
    </row>
    <row r="7751" spans="1:13">
      <c r="A7751" s="6">
        <v>2026</v>
      </c>
      <c r="B7751" s="6">
        <v>5</v>
      </c>
      <c r="C7751" s="6" t="s">
        <v>63</v>
      </c>
      <c r="D7751" s="6" t="s">
        <v>329</v>
      </c>
      <c r="E7751" s="6" t="s">
        <v>427</v>
      </c>
      <c r="F7751" s="6" t="str">
        <f>IF($M7751="PADD I","PADD 1",IF($M7751="PADD II","PADD 2",IF($M7751="PADD III","PADD 3",IF($M7751="PADD IV","PADD 4",IF($M7751="PADD V","PADD 5","")))))</f>
        <v>PADD 3</v>
      </c>
      <c r="G7751" s="6" t="str">
        <f>IF(AND($H7751="ATMOS DISTILLATION",ISNUMBER(SEARCH("VPS",$I7751))=FALSE,LEFT($I7751,6)&lt;&gt;"VACUUM"),"CDU",IF($H7751="FLUID CAT CRACKING","FCC",IF(OR($H7751="HYDROCRACKING",$H7751="RESID_HYDROCRACKING"),"Hydrocracker",IF($H7751="REFORMING","Reformer",""))))</f>
        <v>Reformer</v>
      </c>
      <c r="H7751" s="6" t="s">
        <v>421</v>
      </c>
      <c r="I7751" s="6" t="s">
        <v>1162</v>
      </c>
      <c r="J7751" s="6" t="s">
        <v>345</v>
      </c>
      <c r="K7751" s="10">
        <v>12.95</v>
      </c>
      <c r="L7751" s="10">
        <v>17.5</v>
      </c>
      <c r="M7751" s="6" t="s">
        <v>371</v>
      </c>
    </row>
    <row r="7752" spans="1:13">
      <c r="A7752" s="6">
        <v>2026</v>
      </c>
      <c r="B7752" s="6">
        <v>5</v>
      </c>
      <c r="C7752" s="6" t="s">
        <v>63</v>
      </c>
      <c r="D7752" s="6" t="s">
        <v>52</v>
      </c>
      <c r="E7752" s="6" t="s">
        <v>388</v>
      </c>
      <c r="F7752" s="6" t="str">
        <f>IF($M7752="PADD I","PADD 1",IF($M7752="PADD II","PADD 2",IF($M7752="PADD III","PADD 3",IF($M7752="PADD IV","PADD 4",IF($M7752="PADD V","PADD 5","")))))</f>
        <v>PADD 5</v>
      </c>
      <c r="G7752" s="6">
        <f>IF(AND($H7752="ATMOS DISTILLATION",ISNUMBER(SEARCH("VPS",$I7752))=FALSE,LEFT($I7752,6)&lt;&gt;"VACUUM"),"CDU",IF($H7752="FLUID CAT CRACKING","FCC",IF(OR($H7752="HYDROCRACKING",$H7752="RESID_HYDROCRACKING"),"Hydrocracker",IF($H7752="REFORMING","Reformer",""))))</f>
        <v/>
      </c>
      <c r="H7752" s="6" t="s">
        <v>378</v>
      </c>
      <c r="I7752" s="6" t="s">
        <v>431</v>
      </c>
      <c r="J7752" s="6" t="s">
        <v>349</v>
      </c>
      <c r="K7752" s="10">
        <v>12.21</v>
      </c>
      <c r="L7752" s="10">
        <v>16.5</v>
      </c>
      <c r="M7752" s="6" t="s">
        <v>386</v>
      </c>
    </row>
    <row r="7753" spans="1:13">
      <c r="A7753" s="6">
        <v>2026</v>
      </c>
      <c r="B7753" s="6">
        <v>5</v>
      </c>
      <c r="C7753" s="6" t="s">
        <v>63</v>
      </c>
      <c r="D7753" s="6" t="s">
        <v>326</v>
      </c>
      <c r="E7753" s="6" t="s">
        <v>385</v>
      </c>
      <c r="F7753" s="6" t="str">
        <f>IF($M7753="PADD I","PADD 1",IF($M7753="PADD II","PADD 2",IF($M7753="PADD III","PADD 3",IF($M7753="PADD IV","PADD 4",IF($M7753="PADD V","PADD 5","")))))</f>
        <v>PADD 5</v>
      </c>
      <c r="G7753" s="6" t="str">
        <f>IF(AND($H7753="ATMOS DISTILLATION",ISNUMBER(SEARCH("VPS",$I7753))=FALSE,LEFT($I7753,6)&lt;&gt;"VACUUM"),"CDU",IF($H7753="FLUID CAT CRACKING","FCC",IF(OR($H7753="HYDROCRACKING",$H7753="RESID_HYDROCRACKING"),"Hydrocracker",IF($H7753="REFORMING","Reformer",""))))</f>
        <v>FCC</v>
      </c>
      <c r="H7753" s="6" t="s">
        <v>376</v>
      </c>
      <c r="I7753" s="6" t="s">
        <v>504</v>
      </c>
      <c r="J7753" s="6" t="s">
        <v>345</v>
      </c>
      <c r="K7753" s="10">
        <v>12.142</v>
      </c>
      <c r="L7753" s="10">
        <v>46.7</v>
      </c>
      <c r="M7753" s="6" t="s">
        <v>386</v>
      </c>
    </row>
    <row r="7754" spans="1:13">
      <c r="A7754" s="6">
        <v>2026</v>
      </c>
      <c r="B7754" s="6">
        <v>5</v>
      </c>
      <c r="C7754" s="6" t="s">
        <v>63</v>
      </c>
      <c r="D7754" s="6" t="s">
        <v>862</v>
      </c>
      <c r="E7754" s="6" t="s">
        <v>856</v>
      </c>
      <c r="F7754" s="6" t="str">
        <f>IF($M7754="PADD I","PADD 1",IF($M7754="PADD II","PADD 2",IF($M7754="PADD III","PADD 3",IF($M7754="PADD IV","PADD 4",IF($M7754="PADD V","PADD 5","")))))</f>
        <v>PADD 5</v>
      </c>
      <c r="G7754" s="6" t="str">
        <f>IF(AND($H7754="ATMOS DISTILLATION",ISNUMBER(SEARCH("VPS",$I7754))=FALSE,LEFT($I7754,6)&lt;&gt;"VACUUM"),"CDU",IF($H7754="FLUID CAT CRACKING","FCC",IF(OR($H7754="HYDROCRACKING",$H7754="RESID_HYDROCRACKING"),"Hydrocracker",IF($H7754="REFORMING","Reformer",""))))</f>
        <v>CDU</v>
      </c>
      <c r="H7754" s="6" t="s">
        <v>38</v>
      </c>
      <c r="I7754" s="6" t="s">
        <v>857</v>
      </c>
      <c r="J7754" s="6" t="s">
        <v>349</v>
      </c>
      <c r="K7754" s="10">
        <v>12.1</v>
      </c>
      <c r="L7754" s="10">
        <v>22</v>
      </c>
      <c r="M7754" s="6" t="s">
        <v>386</v>
      </c>
    </row>
    <row r="7755" spans="1:13">
      <c r="A7755" s="6">
        <v>2026</v>
      </c>
      <c r="B7755" s="6">
        <v>5</v>
      </c>
      <c r="C7755" s="6" t="s">
        <v>63</v>
      </c>
      <c r="D7755" s="6" t="s">
        <v>321</v>
      </c>
      <c r="E7755" s="6" t="s">
        <v>381</v>
      </c>
      <c r="F7755" s="6" t="str">
        <f>IF($M7755="PADD I","PADD 1",IF($M7755="PADD II","PADD 2",IF($M7755="PADD III","PADD 3",IF($M7755="PADD IV","PADD 4",IF($M7755="PADD V","PADD 5","")))))</f>
        <v>PADD 2</v>
      </c>
      <c r="G7755" s="6" t="str">
        <f>IF(AND($H7755="ATMOS DISTILLATION",ISNUMBER(SEARCH("VPS",$I7755))=FALSE,LEFT($I7755,6)&lt;&gt;"VACUUM"),"CDU",IF($H7755="FLUID CAT CRACKING","FCC",IF(OR($H7755="HYDROCRACKING",$H7755="RESID_HYDROCRACKING"),"Hydrocracker",IF($H7755="REFORMING","Reformer",""))))</f>
        <v>CDU</v>
      </c>
      <c r="H7755" s="6" t="s">
        <v>38</v>
      </c>
      <c r="I7755" s="6" t="s">
        <v>81</v>
      </c>
      <c r="J7755" s="6" t="s">
        <v>345</v>
      </c>
      <c r="K7755" s="10">
        <v>11.7</v>
      </c>
      <c r="L7755" s="10">
        <v>45</v>
      </c>
      <c r="M7755" s="6" t="s">
        <v>375</v>
      </c>
    </row>
    <row r="7756" spans="1:13">
      <c r="A7756" s="6">
        <v>2026</v>
      </c>
      <c r="B7756" s="6">
        <v>5</v>
      </c>
      <c r="C7756" s="6" t="s">
        <v>63</v>
      </c>
      <c r="D7756" s="6" t="s">
        <v>52</v>
      </c>
      <c r="E7756" s="6" t="s">
        <v>388</v>
      </c>
      <c r="F7756" s="6" t="str">
        <f>IF($M7756="PADD I","PADD 1",IF($M7756="PADD II","PADD 2",IF($M7756="PADD III","PADD 3",IF($M7756="PADD IV","PADD 4",IF($M7756="PADD V","PADD 5","")))))</f>
        <v>PADD 5</v>
      </c>
      <c r="G7756" s="6">
        <f>IF(AND($H7756="ATMOS DISTILLATION",ISNUMBER(SEARCH("VPS",$I7756))=FALSE,LEFT($I7756,6)&lt;&gt;"VACUUM"),"CDU",IF($H7756="FLUID CAT CRACKING","FCC",IF(OR($H7756="HYDROCRACKING",$H7756="RESID_HYDROCRACKING"),"Hydrocracker",IF($H7756="REFORMING","Reformer",""))))</f>
        <v/>
      </c>
      <c r="H7756" s="6" t="s">
        <v>43</v>
      </c>
      <c r="I7756" s="6" t="s">
        <v>501</v>
      </c>
      <c r="J7756" s="6" t="s">
        <v>349</v>
      </c>
      <c r="K7756" s="10">
        <v>11.1</v>
      </c>
      <c r="L7756" s="10">
        <v>15</v>
      </c>
      <c r="M7756" s="6" t="s">
        <v>386</v>
      </c>
    </row>
    <row r="7757" spans="1:13">
      <c r="A7757" s="6">
        <v>2026</v>
      </c>
      <c r="B7757" s="6">
        <v>5</v>
      </c>
      <c r="C7757" s="6" t="s">
        <v>63</v>
      </c>
      <c r="D7757" s="6" t="s">
        <v>48</v>
      </c>
      <c r="E7757" s="6" t="s">
        <v>388</v>
      </c>
      <c r="F7757" s="6" t="str">
        <f>IF($M7757="PADD I","PADD 1",IF($M7757="PADD II","PADD 2",IF($M7757="PADD III","PADD 3",IF($M7757="PADD IV","PADD 4",IF($M7757="PADD V","PADD 5","")))))</f>
        <v>PADD 2</v>
      </c>
      <c r="G7757" s="6">
        <f>IF(AND($H7757="ATMOS DISTILLATION",ISNUMBER(SEARCH("VPS",$I7757))=FALSE,LEFT($I7757,6)&lt;&gt;"VACUUM"),"CDU",IF($H7757="FLUID CAT CRACKING","FCC",IF(OR($H7757="HYDROCRACKING",$H7757="RESID_HYDROCRACKING"),"Hydrocracker",IF($H7757="REFORMING","Reformer",""))))</f>
        <v/>
      </c>
      <c r="H7757" s="6" t="s">
        <v>43</v>
      </c>
      <c r="I7757" s="6" t="s">
        <v>726</v>
      </c>
      <c r="J7757" s="6" t="s">
        <v>349</v>
      </c>
      <c r="K7757" s="10">
        <v>11.02</v>
      </c>
      <c r="L7757" s="10">
        <v>38</v>
      </c>
      <c r="M7757" s="6" t="s">
        <v>375</v>
      </c>
    </row>
    <row r="7758" spans="1:13">
      <c r="A7758" s="6">
        <v>2026</v>
      </c>
      <c r="B7758" s="6">
        <v>5</v>
      </c>
      <c r="C7758" s="6" t="s">
        <v>63</v>
      </c>
      <c r="D7758" s="6" t="s">
        <v>676</v>
      </c>
      <c r="E7758" s="6" t="s">
        <v>677</v>
      </c>
      <c r="F7758" s="6" t="str">
        <f>IF($M7758="PADD I","PADD 1",IF($M7758="PADD II","PADD 2",IF($M7758="PADD III","PADD 3",IF($M7758="PADD IV","PADD 4",IF($M7758="PADD V","PADD 5","")))))</f>
        <v>PADD 1</v>
      </c>
      <c r="G7758" s="6" t="str">
        <f>IF(AND($H7758="ATMOS DISTILLATION",ISNUMBER(SEARCH("VPS",$I7758))=FALSE,LEFT($I7758,6)&lt;&gt;"VACUUM"),"CDU",IF($H7758="FLUID CAT CRACKING","FCC",IF(OR($H7758="HYDROCRACKING",$H7758="RESID_HYDROCRACKING"),"Hydrocracker",IF($H7758="REFORMING","Reformer",""))))</f>
        <v>CDU</v>
      </c>
      <c r="H7758" s="6" t="s">
        <v>38</v>
      </c>
      <c r="I7758" s="6" t="s">
        <v>678</v>
      </c>
      <c r="J7758" s="6" t="s">
        <v>345</v>
      </c>
      <c r="K7758" s="10">
        <v>11</v>
      </c>
      <c r="L7758" s="10">
        <v>110</v>
      </c>
      <c r="M7758" s="6" t="s">
        <v>413</v>
      </c>
    </row>
    <row r="7759" spans="1:13">
      <c r="A7759" s="6">
        <v>2026</v>
      </c>
      <c r="B7759" s="6">
        <v>5</v>
      </c>
      <c r="C7759" s="6" t="s">
        <v>63</v>
      </c>
      <c r="D7759" s="6" t="s">
        <v>53</v>
      </c>
      <c r="E7759" s="6" t="s">
        <v>543</v>
      </c>
      <c r="F7759" s="6" t="str">
        <f>IF($M7759="PADD I","PADD 1",IF($M7759="PADD II","PADD 2",IF($M7759="PADD III","PADD 3",IF($M7759="PADD IV","PADD 4",IF($M7759="PADD V","PADD 5","")))))</f>
        <v>PADD 5</v>
      </c>
      <c r="G7759" s="6">
        <f>IF(AND($H7759="ATMOS DISTILLATION",ISNUMBER(SEARCH("VPS",$I7759))=FALSE,LEFT($I7759,6)&lt;&gt;"VACUUM"),"CDU",IF($H7759="FLUID CAT CRACKING","FCC",IF(OR($H7759="HYDROCRACKING",$H7759="RESID_HYDROCRACKING"),"Hydrocracker",IF($H7759="REFORMING","Reformer",""))))</f>
        <v/>
      </c>
      <c r="H7759" s="6" t="s">
        <v>43</v>
      </c>
      <c r="I7759" s="6" t="s">
        <v>1368</v>
      </c>
      <c r="J7759" s="6" t="s">
        <v>349</v>
      </c>
      <c r="K7759" s="10">
        <v>10.6808</v>
      </c>
      <c r="L7759" s="10">
        <v>20.54</v>
      </c>
      <c r="M7759" s="6" t="s">
        <v>386</v>
      </c>
    </row>
    <row r="7760" spans="1:13">
      <c r="A7760" s="6">
        <v>2026</v>
      </c>
      <c r="B7760" s="6">
        <v>5</v>
      </c>
      <c r="C7760" s="6" t="s">
        <v>63</v>
      </c>
      <c r="D7760" s="6" t="s">
        <v>462</v>
      </c>
      <c r="E7760" s="6" t="s">
        <v>438</v>
      </c>
      <c r="F7760" s="6" t="str">
        <f>IF($M7760="PADD I","PADD 1",IF($M7760="PADD II","PADD 2",IF($M7760="PADD III","PADD 3",IF($M7760="PADD IV","PADD 4",IF($M7760="PADD V","PADD 5","")))))</f>
        <v>PADD 4</v>
      </c>
      <c r="G7760" s="6">
        <f>IF(AND($H7760="ATMOS DISTILLATION",ISNUMBER(SEARCH("VPS",$I7760))=FALSE,LEFT($I7760,6)&lt;&gt;"VACUUM"),"CDU",IF($H7760="FLUID CAT CRACKING","FCC",IF(OR($H7760="HYDROCRACKING",$H7760="RESID_HYDROCRACKING"),"Hydrocracker",IF($H7760="REFORMING","Reformer",""))))</f>
        <v/>
      </c>
      <c r="H7760" s="6" t="s">
        <v>43</v>
      </c>
      <c r="I7760" s="6" t="s">
        <v>470</v>
      </c>
      <c r="J7760" s="6" t="s">
        <v>349</v>
      </c>
      <c r="K7760" s="10">
        <v>10.5</v>
      </c>
      <c r="L7760" s="10">
        <v>30</v>
      </c>
      <c r="M7760" s="6" t="s">
        <v>430</v>
      </c>
    </row>
    <row r="7761" spans="1:13">
      <c r="A7761" s="6">
        <v>2026</v>
      </c>
      <c r="B7761" s="6">
        <v>5</v>
      </c>
      <c r="C7761" s="6" t="s">
        <v>63</v>
      </c>
      <c r="D7761" s="6" t="s">
        <v>646</v>
      </c>
      <c r="E7761" s="6" t="s">
        <v>405</v>
      </c>
      <c r="F7761" s="6" t="str">
        <f>IF($M7761="PADD I","PADD 1",IF($M7761="PADD II","PADD 2",IF($M7761="PADD III","PADD 3",IF($M7761="PADD IV","PADD 4",IF($M7761="PADD V","PADD 5","")))))</f>
        <v>PADD 3</v>
      </c>
      <c r="G7761" s="6">
        <f>IF(AND($H7761="ATMOS DISTILLATION",ISNUMBER(SEARCH("VPS",$I7761))=FALSE,LEFT($I7761,6)&lt;&gt;"VACUUM"),"CDU",IF($H7761="FLUID CAT CRACKING","FCC",IF(OR($H7761="HYDROCRACKING",$H7761="RESID_HYDROCRACKING"),"Hydrocracker",IF($H7761="REFORMING","Reformer",""))))</f>
        <v/>
      </c>
      <c r="H7761" s="6" t="s">
        <v>43</v>
      </c>
      <c r="I7761" s="6" t="s">
        <v>647</v>
      </c>
      <c r="J7761" s="6" t="s">
        <v>345</v>
      </c>
      <c r="K7761" s="10">
        <v>10.45</v>
      </c>
      <c r="L7761" s="10">
        <v>55</v>
      </c>
      <c r="M7761" s="6" t="s">
        <v>371</v>
      </c>
    </row>
    <row r="7762" spans="1:13">
      <c r="A7762" s="6">
        <v>2026</v>
      </c>
      <c r="B7762" s="6">
        <v>5</v>
      </c>
      <c r="C7762" s="6" t="s">
        <v>63</v>
      </c>
      <c r="D7762" s="6" t="s">
        <v>53</v>
      </c>
      <c r="E7762" s="6" t="s">
        <v>543</v>
      </c>
      <c r="F7762" s="6" t="str">
        <f>IF($M7762="PADD I","PADD 1",IF($M7762="PADD II","PADD 2",IF($M7762="PADD III","PADD 3",IF($M7762="PADD IV","PADD 4",IF($M7762="PADD V","PADD 5","")))))</f>
        <v>PADD 5</v>
      </c>
      <c r="G7762" s="6">
        <f>IF(AND($H7762="ATMOS DISTILLATION",ISNUMBER(SEARCH("VPS",$I7762))=FALSE,LEFT($I7762,6)&lt;&gt;"VACUUM"),"CDU",IF($H7762="FLUID CAT CRACKING","FCC",IF(OR($H7762="HYDROCRACKING",$H7762="RESID_HYDROCRACKING"),"Hydrocracker",IF($H7762="REFORMING","Reformer",""))))</f>
        <v/>
      </c>
      <c r="H7762" s="6" t="s">
        <v>637</v>
      </c>
      <c r="I7762" s="6" t="s">
        <v>441</v>
      </c>
      <c r="J7762" s="6" t="s">
        <v>345</v>
      </c>
      <c r="K7762" s="10">
        <v>10.45</v>
      </c>
      <c r="L7762" s="10">
        <v>55</v>
      </c>
      <c r="M7762" s="6" t="s">
        <v>386</v>
      </c>
    </row>
    <row r="7763" spans="1:13">
      <c r="A7763" s="6">
        <v>2026</v>
      </c>
      <c r="B7763" s="6">
        <v>5</v>
      </c>
      <c r="C7763" s="6" t="s">
        <v>63</v>
      </c>
      <c r="D7763" s="6" t="s">
        <v>851</v>
      </c>
      <c r="E7763" s="6" t="s">
        <v>852</v>
      </c>
      <c r="F7763" s="6" t="str">
        <f>IF($M7763="PADD I","PADD 1",IF($M7763="PADD II","PADD 2",IF($M7763="PADD III","PADD 3",IF($M7763="PADD IV","PADD 4",IF($M7763="PADD V","PADD 5","")))))</f>
        <v>PADD 3</v>
      </c>
      <c r="G7763" s="6" t="str">
        <f>IF(AND($H7763="ATMOS DISTILLATION",ISNUMBER(SEARCH("VPS",$I7763))=FALSE,LEFT($I7763,6)&lt;&gt;"VACUUM"),"CDU",IF($H7763="FLUID CAT CRACKING","FCC",IF(OR($H7763="HYDROCRACKING",$H7763="RESID_HYDROCRACKING"),"Hydrocracker",IF($H7763="REFORMING","Reformer",""))))</f>
        <v>CDU</v>
      </c>
      <c r="H7763" s="6" t="s">
        <v>38</v>
      </c>
      <c r="I7763" s="6" t="s">
        <v>854</v>
      </c>
      <c r="J7763" s="6" t="s">
        <v>349</v>
      </c>
      <c r="K7763" s="10">
        <v>10.4</v>
      </c>
      <c r="L7763" s="10">
        <v>65</v>
      </c>
      <c r="M7763" s="6" t="s">
        <v>371</v>
      </c>
    </row>
    <row r="7764" spans="1:13">
      <c r="A7764" s="6">
        <v>2026</v>
      </c>
      <c r="B7764" s="6">
        <v>5</v>
      </c>
      <c r="C7764" s="6" t="s">
        <v>63</v>
      </c>
      <c r="D7764" s="6" t="s">
        <v>851</v>
      </c>
      <c r="E7764" s="6" t="s">
        <v>852</v>
      </c>
      <c r="F7764" s="6" t="str">
        <f>IF($M7764="PADD I","PADD 1",IF($M7764="PADD II","PADD 2",IF($M7764="PADD III","PADD 3",IF($M7764="PADD IV","PADD 4",IF($M7764="PADD V","PADD 5","")))))</f>
        <v>PADD 3</v>
      </c>
      <c r="G7764" s="6" t="str">
        <f>IF(AND($H7764="ATMOS DISTILLATION",ISNUMBER(SEARCH("VPS",$I7764))=FALSE,LEFT($I7764,6)&lt;&gt;"VACUUM"),"CDU",IF($H7764="FLUID CAT CRACKING","FCC",IF(OR($H7764="HYDROCRACKING",$H7764="RESID_HYDROCRACKING"),"Hydrocracker",IF($H7764="REFORMING","Reformer",""))))</f>
        <v>CDU</v>
      </c>
      <c r="H7764" s="6" t="s">
        <v>38</v>
      </c>
      <c r="I7764" s="6" t="s">
        <v>853</v>
      </c>
      <c r="J7764" s="6" t="s">
        <v>349</v>
      </c>
      <c r="K7764" s="10">
        <v>10.4</v>
      </c>
      <c r="L7764" s="10">
        <v>65</v>
      </c>
      <c r="M7764" s="6" t="s">
        <v>371</v>
      </c>
    </row>
    <row r="7765" spans="1:13">
      <c r="A7765" s="6">
        <v>2026</v>
      </c>
      <c r="B7765" s="6">
        <v>5</v>
      </c>
      <c r="C7765" s="6" t="s">
        <v>63</v>
      </c>
      <c r="D7765" s="6" t="s">
        <v>326</v>
      </c>
      <c r="E7765" s="6" t="s">
        <v>385</v>
      </c>
      <c r="F7765" s="6" t="str">
        <f>IF($M7765="PADD I","PADD 1",IF($M7765="PADD II","PADD 2",IF($M7765="PADD III","PADD 3",IF($M7765="PADD IV","PADD 4",IF($M7765="PADD V","PADD 5","")))))</f>
        <v>PADD 5</v>
      </c>
      <c r="G7765" s="6" t="str">
        <f>IF(AND($H7765="ATMOS DISTILLATION",ISNUMBER(SEARCH("VPS",$I7765))=FALSE,LEFT($I7765,6)&lt;&gt;"VACUUM"),"CDU",IF($H7765="FLUID CAT CRACKING","FCC",IF(OR($H7765="HYDROCRACKING",$H7765="RESID_HYDROCRACKING"),"Hydrocracker",IF($H7765="REFORMING","Reformer",""))))</f>
        <v>CDU</v>
      </c>
      <c r="H7765" s="6" t="s">
        <v>38</v>
      </c>
      <c r="I7765" s="6" t="s">
        <v>93</v>
      </c>
      <c r="J7765" s="6" t="s">
        <v>345</v>
      </c>
      <c r="K7765" s="10">
        <v>10.4</v>
      </c>
      <c r="L7765" s="10">
        <v>40</v>
      </c>
      <c r="M7765" s="6" t="s">
        <v>386</v>
      </c>
    </row>
    <row r="7766" spans="1:13">
      <c r="A7766" s="6">
        <v>2026</v>
      </c>
      <c r="B7766" s="6">
        <v>5</v>
      </c>
      <c r="C7766" s="6" t="s">
        <v>63</v>
      </c>
      <c r="D7766" s="6" t="s">
        <v>380</v>
      </c>
      <c r="E7766" s="6" t="s">
        <v>381</v>
      </c>
      <c r="F7766" s="6" t="str">
        <f>IF($M7766="PADD I","PADD 1",IF($M7766="PADD II","PADD 2",IF($M7766="PADD III","PADD 3",IF($M7766="PADD IV","PADD 4",IF($M7766="PADD V","PADD 5","")))))</f>
        <v>PADD 3</v>
      </c>
      <c r="G7766" s="6">
        <f>IF(AND($H7766="ATMOS DISTILLATION",ISNUMBER(SEARCH("VPS",$I7766))=FALSE,LEFT($I7766,6)&lt;&gt;"VACUUM"),"CDU",IF($H7766="FLUID CAT CRACKING","FCC",IF(OR($H7766="HYDROCRACKING",$H7766="RESID_HYDROCRACKING"),"Hydrocracker",IF($H7766="REFORMING","Reformer",""))))</f>
        <v/>
      </c>
      <c r="H7766" s="6" t="s">
        <v>637</v>
      </c>
      <c r="I7766" s="6" t="s">
        <v>1259</v>
      </c>
      <c r="J7766" s="6" t="s">
        <v>349</v>
      </c>
      <c r="K7766" s="10">
        <v>10</v>
      </c>
      <c r="L7766" s="10">
        <v>10</v>
      </c>
      <c r="M7766" s="6" t="s">
        <v>371</v>
      </c>
    </row>
    <row r="7767" spans="1:13">
      <c r="A7767" s="6">
        <v>2026</v>
      </c>
      <c r="B7767" s="6">
        <v>5</v>
      </c>
      <c r="C7767" s="6" t="s">
        <v>63</v>
      </c>
      <c r="D7767" s="6" t="s">
        <v>321</v>
      </c>
      <c r="E7767" s="6" t="s">
        <v>381</v>
      </c>
      <c r="F7767" s="6" t="str">
        <f>IF($M7767="PADD I","PADD 1",IF($M7767="PADD II","PADD 2",IF($M7767="PADD III","PADD 3",IF($M7767="PADD IV","PADD 4",IF($M7767="PADD V","PADD 5","")))))</f>
        <v>PADD 2</v>
      </c>
      <c r="G7767" s="6">
        <f>IF(AND($H7767="ATMOS DISTILLATION",ISNUMBER(SEARCH("VPS",$I7767))=FALSE,LEFT($I7767,6)&lt;&gt;"VACUUM"),"CDU",IF($H7767="FLUID CAT CRACKING","FCC",IF(OR($H7767="HYDROCRACKING",$H7767="RESID_HYDROCRACKING"),"Hydrocracker",IF($H7767="REFORMING","Reformer",""))))</f>
        <v/>
      </c>
      <c r="H7767" s="6" t="s">
        <v>435</v>
      </c>
      <c r="I7767" s="6" t="s">
        <v>441</v>
      </c>
      <c r="J7767" s="6" t="s">
        <v>345</v>
      </c>
      <c r="K7767" s="10">
        <v>10</v>
      </c>
      <c r="L7767" s="10">
        <v>10</v>
      </c>
      <c r="M7767" s="6" t="s">
        <v>375</v>
      </c>
    </row>
    <row r="7768" spans="1:13">
      <c r="A7768" s="6">
        <v>2026</v>
      </c>
      <c r="B7768" s="6">
        <v>5</v>
      </c>
      <c r="C7768" s="6" t="s">
        <v>63</v>
      </c>
      <c r="D7768" s="6" t="s">
        <v>610</v>
      </c>
      <c r="E7768" s="6" t="s">
        <v>611</v>
      </c>
      <c r="F7768" s="6" t="str">
        <f>IF($M7768="PADD I","PADD 1",IF($M7768="PADD II","PADD 2",IF($M7768="PADD III","PADD 3",IF($M7768="PADD IV","PADD 4",IF($M7768="PADD V","PADD 5","")))))</f>
        <v>PADD 2</v>
      </c>
      <c r="G7768" s="6" t="str">
        <f>IF(AND($H7768="ATMOS DISTILLATION",ISNUMBER(SEARCH("VPS",$I7768))=FALSE,LEFT($I7768,6)&lt;&gt;"VACUUM"),"CDU",IF($H7768="FLUID CAT CRACKING","FCC",IF(OR($H7768="HYDROCRACKING",$H7768="RESID_HYDROCRACKING"),"Hydrocracker",IF($H7768="REFORMING","Reformer",""))))</f>
        <v>CDU</v>
      </c>
      <c r="H7768" s="6" t="s">
        <v>38</v>
      </c>
      <c r="I7768" s="6" t="s">
        <v>374</v>
      </c>
      <c r="J7768" s="6" t="s">
        <v>345</v>
      </c>
      <c r="K7768" s="10">
        <v>9.880000000000001</v>
      </c>
      <c r="L7768" s="10">
        <v>76</v>
      </c>
      <c r="M7768" s="6" t="s">
        <v>375</v>
      </c>
    </row>
    <row r="7769" spans="1:13">
      <c r="A7769" s="6">
        <v>2026</v>
      </c>
      <c r="B7769" s="6">
        <v>5</v>
      </c>
      <c r="C7769" s="6" t="s">
        <v>63</v>
      </c>
      <c r="D7769" s="6" t="s">
        <v>788</v>
      </c>
      <c r="E7769" s="6" t="s">
        <v>405</v>
      </c>
      <c r="F7769" s="6" t="str">
        <f>IF($M7769="PADD I","PADD 1",IF($M7769="PADD II","PADD 2",IF($M7769="PADD III","PADD 3",IF($M7769="PADD IV","PADD 4",IF($M7769="PADD V","PADD 5","")))))</f>
        <v>PADD 3</v>
      </c>
      <c r="G7769" s="6" t="str">
        <f>IF(AND($H7769="ATMOS DISTILLATION",ISNUMBER(SEARCH("VPS",$I7769))=FALSE,LEFT($I7769,6)&lt;&gt;"VACUUM"),"CDU",IF($H7769="FLUID CAT CRACKING","FCC",IF(OR($H7769="HYDROCRACKING",$H7769="RESID_HYDROCRACKING"),"Hydrocracker",IF($H7769="REFORMING","Reformer",""))))</f>
        <v>Reformer</v>
      </c>
      <c r="H7769" s="6" t="s">
        <v>421</v>
      </c>
      <c r="I7769" s="6" t="s">
        <v>782</v>
      </c>
      <c r="J7769" s="6" t="s">
        <v>345</v>
      </c>
      <c r="K7769" s="10">
        <v>9.279999999999999</v>
      </c>
      <c r="L7769" s="10">
        <v>32</v>
      </c>
      <c r="M7769" s="6" t="s">
        <v>371</v>
      </c>
    </row>
    <row r="7770" spans="1:13">
      <c r="A7770" s="6">
        <v>2026</v>
      </c>
      <c r="B7770" s="6">
        <v>5</v>
      </c>
      <c r="C7770" s="6" t="s">
        <v>63</v>
      </c>
      <c r="D7770" s="6" t="s">
        <v>52</v>
      </c>
      <c r="E7770" s="6" t="s">
        <v>388</v>
      </c>
      <c r="F7770" s="6" t="str">
        <f>IF($M7770="PADD I","PADD 1",IF($M7770="PADD II","PADD 2",IF($M7770="PADD III","PADD 3",IF($M7770="PADD IV","PADD 4",IF($M7770="PADD V","PADD 5","")))))</f>
        <v>PADD 5</v>
      </c>
      <c r="G7770" s="6" t="str">
        <f>IF(AND($H7770="ATMOS DISTILLATION",ISNUMBER(SEARCH("VPS",$I7770))=FALSE,LEFT($I7770,6)&lt;&gt;"VACUUM"),"CDU",IF($H7770="FLUID CAT CRACKING","FCC",IF(OR($H7770="HYDROCRACKING",$H7770="RESID_HYDROCRACKING"),"Hydrocracker",IF($H7770="REFORMING","Reformer",""))))</f>
        <v>Hydrocracker</v>
      </c>
      <c r="H7770" s="6" t="s">
        <v>444</v>
      </c>
      <c r="I7770" s="6" t="s">
        <v>14</v>
      </c>
      <c r="J7770" s="6" t="s">
        <v>349</v>
      </c>
      <c r="K7770" s="10">
        <v>9.25</v>
      </c>
      <c r="L7770" s="10">
        <v>12.5</v>
      </c>
      <c r="M7770" s="6" t="s">
        <v>386</v>
      </c>
    </row>
    <row r="7771" spans="1:13">
      <c r="A7771" s="6">
        <v>2026</v>
      </c>
      <c r="B7771" s="6">
        <v>5</v>
      </c>
      <c r="C7771" s="6" t="s">
        <v>63</v>
      </c>
      <c r="D7771" s="6" t="s">
        <v>52</v>
      </c>
      <c r="E7771" s="6" t="s">
        <v>388</v>
      </c>
      <c r="F7771" s="6" t="str">
        <f>IF($M7771="PADD I","PADD 1",IF($M7771="PADD II","PADD 2",IF($M7771="PADD III","PADD 3",IF($M7771="PADD IV","PADD 4",IF($M7771="PADD V","PADD 5","")))))</f>
        <v>PADD 5</v>
      </c>
      <c r="G7771" s="6" t="str">
        <f>IF(AND($H7771="ATMOS DISTILLATION",ISNUMBER(SEARCH("VPS",$I7771))=FALSE,LEFT($I7771,6)&lt;&gt;"VACUUM"),"CDU",IF($H7771="FLUID CAT CRACKING","FCC",IF(OR($H7771="HYDROCRACKING",$H7771="RESID_HYDROCRACKING"),"Hydrocracker",IF($H7771="REFORMING","Reformer",""))))</f>
        <v>Reformer</v>
      </c>
      <c r="H7771" s="6" t="s">
        <v>421</v>
      </c>
      <c r="I7771" s="6" t="s">
        <v>725</v>
      </c>
      <c r="J7771" s="6" t="s">
        <v>349</v>
      </c>
      <c r="K7771" s="10">
        <v>8.880000000000001</v>
      </c>
      <c r="L7771" s="10">
        <v>12</v>
      </c>
      <c r="M7771" s="6" t="s">
        <v>386</v>
      </c>
    </row>
    <row r="7772" spans="1:13">
      <c r="A7772" s="6">
        <v>2026</v>
      </c>
      <c r="B7772" s="6">
        <v>5</v>
      </c>
      <c r="C7772" s="6" t="s">
        <v>63</v>
      </c>
      <c r="D7772" s="6" t="s">
        <v>437</v>
      </c>
      <c r="E7772" s="6" t="s">
        <v>438</v>
      </c>
      <c r="F7772" s="6" t="str">
        <f>IF($M7772="PADD I","PADD 1",IF($M7772="PADD II","PADD 2",IF($M7772="PADD III","PADD 3",IF($M7772="PADD IV","PADD 4",IF($M7772="PADD V","PADD 5","")))))</f>
        <v>PADD 4</v>
      </c>
      <c r="G7772" s="6" t="str">
        <f>IF(AND($H7772="ATMOS DISTILLATION",ISNUMBER(SEARCH("VPS",$I7772))=FALSE,LEFT($I7772,6)&lt;&gt;"VACUUM"),"CDU",IF($H7772="FLUID CAT CRACKING","FCC",IF(OR($H7772="HYDROCRACKING",$H7772="RESID_HYDROCRACKING"),"Hydrocracker",IF($H7772="REFORMING","Reformer",""))))</f>
        <v>CDU</v>
      </c>
      <c r="H7772" s="6" t="s">
        <v>38</v>
      </c>
      <c r="I7772" s="6" t="s">
        <v>439</v>
      </c>
      <c r="J7772" s="6" t="s">
        <v>345</v>
      </c>
      <c r="K7772" s="10">
        <v>8.74</v>
      </c>
      <c r="L7772" s="10">
        <v>38</v>
      </c>
      <c r="M7772" s="6" t="s">
        <v>430</v>
      </c>
    </row>
    <row r="7773" spans="1:13">
      <c r="A7773" s="6">
        <v>2026</v>
      </c>
      <c r="B7773" s="6">
        <v>5</v>
      </c>
      <c r="C7773" s="6" t="s">
        <v>63</v>
      </c>
      <c r="D7773" s="6" t="s">
        <v>346</v>
      </c>
      <c r="E7773" s="6" t="s">
        <v>383</v>
      </c>
      <c r="F7773" s="6" t="str">
        <f>IF($M7773="PADD I","PADD 1",IF($M7773="PADD II","PADD 2",IF($M7773="PADD III","PADD 3",IF($M7773="PADD IV","PADD 4",IF($M7773="PADD V","PADD 5","")))))</f>
        <v>PADD 2</v>
      </c>
      <c r="G7773" s="6" t="str">
        <f>IF(AND($H7773="ATMOS DISTILLATION",ISNUMBER(SEARCH("VPS",$I7773))=FALSE,LEFT($I7773,6)&lt;&gt;"VACUUM"),"CDU",IF($H7773="FLUID CAT CRACKING","FCC",IF(OR($H7773="HYDROCRACKING",$H7773="RESID_HYDROCRACKING"),"Hydrocracker",IF($H7773="REFORMING","Reformer",""))))</f>
        <v>Reformer</v>
      </c>
      <c r="H7773" s="6" t="s">
        <v>421</v>
      </c>
      <c r="I7773" s="6" t="s">
        <v>471</v>
      </c>
      <c r="J7773" s="6" t="s">
        <v>345</v>
      </c>
      <c r="K7773" s="10">
        <v>8.699999999999999</v>
      </c>
      <c r="L7773" s="10">
        <v>30</v>
      </c>
      <c r="M7773" s="6" t="s">
        <v>375</v>
      </c>
    </row>
    <row r="7774" spans="1:13">
      <c r="A7774" s="6">
        <v>2026</v>
      </c>
      <c r="B7774" s="6">
        <v>5</v>
      </c>
      <c r="C7774" s="6" t="s">
        <v>63</v>
      </c>
      <c r="D7774" s="6" t="s">
        <v>52</v>
      </c>
      <c r="E7774" s="6" t="s">
        <v>388</v>
      </c>
      <c r="F7774" s="6" t="str">
        <f>IF($M7774="PADD I","PADD 1",IF($M7774="PADD II","PADD 2",IF($M7774="PADD III","PADD 3",IF($M7774="PADD IV","PADD 4",IF($M7774="PADD V","PADD 5","")))))</f>
        <v>PADD 5</v>
      </c>
      <c r="G7774" s="6">
        <f>IF(AND($H7774="ATMOS DISTILLATION",ISNUMBER(SEARCH("VPS",$I7774))=FALSE,LEFT($I7774,6)&lt;&gt;"VACUUM"),"CDU",IF($H7774="FLUID CAT CRACKING","FCC",IF(OR($H7774="HYDROCRACKING",$H7774="RESID_HYDROCRACKING"),"Hydrocracker",IF($H7774="REFORMING","Reformer",""))))</f>
        <v/>
      </c>
      <c r="H7774" s="6" t="s">
        <v>43</v>
      </c>
      <c r="I7774" s="6" t="s">
        <v>787</v>
      </c>
      <c r="J7774" s="6" t="s">
        <v>349</v>
      </c>
      <c r="K7774" s="10">
        <v>8.51</v>
      </c>
      <c r="L7774" s="10">
        <v>11.5</v>
      </c>
      <c r="M7774" s="6" t="s">
        <v>386</v>
      </c>
    </row>
    <row r="7775" spans="1:13">
      <c r="A7775" s="6">
        <v>2026</v>
      </c>
      <c r="B7775" s="6">
        <v>5</v>
      </c>
      <c r="C7775" s="6" t="s">
        <v>63</v>
      </c>
      <c r="D7775" s="6" t="s">
        <v>526</v>
      </c>
      <c r="E7775" s="6" t="s">
        <v>405</v>
      </c>
      <c r="F7775" s="6" t="str">
        <f>IF($M7775="PADD I","PADD 1",IF($M7775="PADD II","PADD 2",IF($M7775="PADD III","PADD 3",IF($M7775="PADD IV","PADD 4",IF($M7775="PADD V","PADD 5","")))))</f>
        <v>PADD 3</v>
      </c>
      <c r="G7775" s="6" t="str">
        <f>IF(AND($H7775="ATMOS DISTILLATION",ISNUMBER(SEARCH("VPS",$I7775))=FALSE,LEFT($I7775,6)&lt;&gt;"VACUUM"),"CDU",IF($H7775="FLUID CAT CRACKING","FCC",IF(OR($H7775="HYDROCRACKING",$H7775="RESID_HYDROCRACKING"),"Hydrocracker",IF($H7775="REFORMING","Reformer",""))))</f>
        <v>Hydrocracker</v>
      </c>
      <c r="H7775" s="6" t="s">
        <v>444</v>
      </c>
      <c r="I7775" s="6" t="s">
        <v>527</v>
      </c>
      <c r="J7775" s="6" t="s">
        <v>345</v>
      </c>
      <c r="K7775" s="10">
        <v>8.16</v>
      </c>
      <c r="L7775" s="10">
        <v>17</v>
      </c>
      <c r="M7775" s="6" t="s">
        <v>371</v>
      </c>
    </row>
    <row r="7776" spans="1:13">
      <c r="A7776" s="6">
        <v>2026</v>
      </c>
      <c r="B7776" s="6">
        <v>5</v>
      </c>
      <c r="C7776" s="6" t="s">
        <v>63</v>
      </c>
      <c r="D7776" s="6" t="s">
        <v>774</v>
      </c>
      <c r="E7776" s="6" t="s">
        <v>775</v>
      </c>
      <c r="F7776" s="6" t="str">
        <f>IF($M7776="PADD I","PADD 1",IF($M7776="PADD II","PADD 2",IF($M7776="PADD III","PADD 3",IF($M7776="PADD IV","PADD 4",IF($M7776="PADD V","PADD 5","")))))</f>
        <v>PADD 1</v>
      </c>
      <c r="G7776" s="6">
        <f>IF(AND($H7776="ATMOS DISTILLATION",ISNUMBER(SEARCH("VPS",$I7776))=FALSE,LEFT($I7776,6)&lt;&gt;"VACUUM"),"CDU",IF($H7776="FLUID CAT CRACKING","FCC",IF(OR($H7776="HYDROCRACKING",$H7776="RESID_HYDROCRACKING"),"Hydrocracker",IF($H7776="REFORMING","Reformer",""))))</f>
        <v/>
      </c>
      <c r="H7776" s="6" t="s">
        <v>435</v>
      </c>
      <c r="I7776" s="6" t="s">
        <v>776</v>
      </c>
      <c r="J7776" s="6" t="s">
        <v>345</v>
      </c>
      <c r="K7776" s="10">
        <v>8</v>
      </c>
      <c r="L7776" s="10">
        <v>50</v>
      </c>
      <c r="M7776" s="6" t="s">
        <v>413</v>
      </c>
    </row>
    <row r="7777" spans="1:13">
      <c r="A7777" s="6">
        <v>2026</v>
      </c>
      <c r="B7777" s="6">
        <v>5</v>
      </c>
      <c r="C7777" s="6" t="s">
        <v>63</v>
      </c>
      <c r="D7777" s="6" t="s">
        <v>328</v>
      </c>
      <c r="E7777" s="6" t="s">
        <v>416</v>
      </c>
      <c r="F7777" s="6" t="str">
        <f>IF($M7777="PADD I","PADD 1",IF($M7777="PADD II","PADD 2",IF($M7777="PADD III","PADD 3",IF($M7777="PADD IV","PADD 4",IF($M7777="PADD V","PADD 5","")))))</f>
        <v>PADD 2</v>
      </c>
      <c r="G7777" s="6" t="str">
        <f>IF(AND($H7777="ATMOS DISTILLATION",ISNUMBER(SEARCH("VPS",$I7777))=FALSE,LEFT($I7777,6)&lt;&gt;"VACUUM"),"CDU",IF($H7777="FLUID CAT CRACKING","FCC",IF(OR($H7777="HYDROCRACKING",$H7777="RESID_HYDROCRACKING"),"Hydrocracker",IF($H7777="REFORMING","Reformer",""))))</f>
        <v>CDU</v>
      </c>
      <c r="H7777" s="6" t="s">
        <v>38</v>
      </c>
      <c r="I7777" s="6" t="s">
        <v>91</v>
      </c>
      <c r="J7777" s="6" t="s">
        <v>349</v>
      </c>
      <c r="K7777" s="10">
        <v>7.8</v>
      </c>
      <c r="L7777" s="10">
        <v>60</v>
      </c>
      <c r="M7777" s="6" t="s">
        <v>375</v>
      </c>
    </row>
    <row r="7778" spans="1:13">
      <c r="A7778" s="6">
        <v>2026</v>
      </c>
      <c r="B7778" s="6">
        <v>5</v>
      </c>
      <c r="C7778" s="6" t="s">
        <v>63</v>
      </c>
      <c r="D7778" s="6" t="s">
        <v>526</v>
      </c>
      <c r="E7778" s="6" t="s">
        <v>405</v>
      </c>
      <c r="F7778" s="6" t="str">
        <f>IF($M7778="PADD I","PADD 1",IF($M7778="PADD II","PADD 2",IF($M7778="PADD III","PADD 3",IF($M7778="PADD IV","PADD 4",IF($M7778="PADD V","PADD 5","")))))</f>
        <v>PADD 3</v>
      </c>
      <c r="G7778" s="6">
        <f>IF(AND($H7778="ATMOS DISTILLATION",ISNUMBER(SEARCH("VPS",$I7778))=FALSE,LEFT($I7778,6)&lt;&gt;"VACUUM"),"CDU",IF($H7778="FLUID CAT CRACKING","FCC",IF(OR($H7778="HYDROCRACKING",$H7778="RESID_HYDROCRACKING"),"Hydrocracker",IF($H7778="REFORMING","Reformer",""))))</f>
        <v/>
      </c>
      <c r="H7778" s="6" t="s">
        <v>435</v>
      </c>
      <c r="I7778" s="6" t="s">
        <v>954</v>
      </c>
      <c r="J7778" s="6" t="s">
        <v>345</v>
      </c>
      <c r="K7778" s="10">
        <v>7.8</v>
      </c>
      <c r="L7778" s="10">
        <v>30</v>
      </c>
      <c r="M7778" s="6" t="s">
        <v>371</v>
      </c>
    </row>
    <row r="7779" spans="1:13">
      <c r="A7779" s="6">
        <v>2026</v>
      </c>
      <c r="B7779" s="6">
        <v>5</v>
      </c>
      <c r="C7779" s="6" t="s">
        <v>63</v>
      </c>
      <c r="D7779" s="6" t="s">
        <v>53</v>
      </c>
      <c r="E7779" s="6" t="s">
        <v>543</v>
      </c>
      <c r="F7779" s="6" t="str">
        <f>IF($M7779="PADD I","PADD 1",IF($M7779="PADD II","PADD 2",IF($M7779="PADD III","PADD 3",IF($M7779="PADD IV","PADD 4",IF($M7779="PADD V","PADD 5","")))))</f>
        <v>PADD 5</v>
      </c>
      <c r="G7779" s="6" t="str">
        <f>IF(AND($H7779="ATMOS DISTILLATION",ISNUMBER(SEARCH("VPS",$I7779))=FALSE,LEFT($I7779,6)&lt;&gt;"VACUUM"),"CDU",IF($H7779="FLUID CAT CRACKING","FCC",IF(OR($H7779="HYDROCRACKING",$H7779="RESID_HYDROCRACKING"),"Hydrocracker",IF($H7779="REFORMING","Reformer",""))))</f>
        <v>CDU</v>
      </c>
      <c r="H7779" s="6" t="s">
        <v>38</v>
      </c>
      <c r="I7779" s="6" t="s">
        <v>81</v>
      </c>
      <c r="J7779" s="6" t="s">
        <v>349</v>
      </c>
      <c r="K7779" s="10">
        <v>7.6</v>
      </c>
      <c r="L7779" s="10">
        <v>40</v>
      </c>
      <c r="M7779" s="6" t="s">
        <v>386</v>
      </c>
    </row>
    <row r="7780" spans="1:13">
      <c r="A7780" s="6">
        <v>2026</v>
      </c>
      <c r="B7780" s="6">
        <v>5</v>
      </c>
      <c r="C7780" s="6" t="s">
        <v>63</v>
      </c>
      <c r="D7780" s="6" t="s">
        <v>328</v>
      </c>
      <c r="E7780" s="6" t="s">
        <v>416</v>
      </c>
      <c r="F7780" s="6" t="str">
        <f>IF($M7780="PADD I","PADD 1",IF($M7780="PADD II","PADD 2",IF($M7780="PADD III","PADD 3",IF($M7780="PADD IV","PADD 4",IF($M7780="PADD V","PADD 5","")))))</f>
        <v>PADD 2</v>
      </c>
      <c r="G7780" s="6" t="str">
        <f>IF(AND($H7780="ATMOS DISTILLATION",ISNUMBER(SEARCH("VPS",$I7780))=FALSE,LEFT($I7780,6)&lt;&gt;"VACUUM"),"CDU",IF($H7780="FLUID CAT CRACKING","FCC",IF(OR($H7780="HYDROCRACKING",$H7780="RESID_HYDROCRACKING"),"Hydrocracker",IF($H7780="REFORMING","Reformer",""))))</f>
        <v>FCC</v>
      </c>
      <c r="H7780" s="6" t="s">
        <v>376</v>
      </c>
      <c r="I7780" s="6" t="s">
        <v>1241</v>
      </c>
      <c r="J7780" s="6" t="s">
        <v>349</v>
      </c>
      <c r="K7780" s="10">
        <v>7.54</v>
      </c>
      <c r="L7780" s="10">
        <v>58</v>
      </c>
      <c r="M7780" s="6" t="s">
        <v>375</v>
      </c>
    </row>
    <row r="7781" spans="1:13">
      <c r="A7781" s="6">
        <v>2026</v>
      </c>
      <c r="B7781" s="6">
        <v>5</v>
      </c>
      <c r="C7781" s="6" t="s">
        <v>63</v>
      </c>
      <c r="D7781" s="6" t="s">
        <v>462</v>
      </c>
      <c r="E7781" s="6" t="s">
        <v>438</v>
      </c>
      <c r="F7781" s="6" t="str">
        <f>IF($M7781="PADD I","PADD 1",IF($M7781="PADD II","PADD 2",IF($M7781="PADD III","PADD 3",IF($M7781="PADD IV","PADD 4",IF($M7781="PADD V","PADD 5","")))))</f>
        <v>PADD 4</v>
      </c>
      <c r="G7781" s="6" t="str">
        <f>IF(AND($H7781="ATMOS DISTILLATION",ISNUMBER(SEARCH("VPS",$I7781))=FALSE,LEFT($I7781,6)&lt;&gt;"VACUUM"),"CDU",IF($H7781="FLUID CAT CRACKING","FCC",IF(OR($H7781="HYDROCRACKING",$H7781="RESID_HYDROCRACKING"),"Hydrocracker",IF($H7781="REFORMING","Reformer",""))))</f>
        <v>CDU</v>
      </c>
      <c r="H7781" s="6" t="s">
        <v>38</v>
      </c>
      <c r="I7781" s="6" t="s">
        <v>123</v>
      </c>
      <c r="J7781" s="6" t="s">
        <v>345</v>
      </c>
      <c r="K7781" s="10">
        <v>7.36</v>
      </c>
      <c r="L7781" s="10">
        <v>32</v>
      </c>
      <c r="M7781" s="6" t="s">
        <v>430</v>
      </c>
    </row>
    <row r="7782" spans="1:13">
      <c r="A7782" s="6">
        <v>2026</v>
      </c>
      <c r="B7782" s="6">
        <v>5</v>
      </c>
      <c r="C7782" s="6" t="s">
        <v>63</v>
      </c>
      <c r="D7782" s="6" t="s">
        <v>934</v>
      </c>
      <c r="E7782" s="6" t="s">
        <v>388</v>
      </c>
      <c r="F7782" s="6" t="str">
        <f>IF($M7782="PADD I","PADD 1",IF($M7782="PADD II","PADD 2",IF($M7782="PADD III","PADD 3",IF($M7782="PADD IV","PADD 4",IF($M7782="PADD V","PADD 5","")))))</f>
        <v>PADD 3</v>
      </c>
      <c r="G7782" s="6">
        <f>IF(AND($H7782="ATMOS DISTILLATION",ISNUMBER(SEARCH("VPS",$I7782))=FALSE,LEFT($I7782,6)&lt;&gt;"VACUUM"),"CDU",IF($H7782="FLUID CAT CRACKING","FCC",IF(OR($H7782="HYDROCRACKING",$H7782="RESID_HYDROCRACKING"),"Hydrocracker",IF($H7782="REFORMING","Reformer",""))))</f>
        <v/>
      </c>
      <c r="H7782" s="6" t="s">
        <v>43</v>
      </c>
      <c r="I7782" s="6" t="s">
        <v>458</v>
      </c>
      <c r="J7782" s="6" t="s">
        <v>349</v>
      </c>
      <c r="K7782" s="10">
        <v>7.25</v>
      </c>
      <c r="L7782" s="10">
        <v>25</v>
      </c>
      <c r="M7782" s="6" t="s">
        <v>371</v>
      </c>
    </row>
    <row r="7783" spans="1:13">
      <c r="A7783" s="6">
        <v>2026</v>
      </c>
      <c r="B7783" s="6">
        <v>5</v>
      </c>
      <c r="C7783" s="6" t="s">
        <v>63</v>
      </c>
      <c r="D7783" s="6" t="s">
        <v>526</v>
      </c>
      <c r="E7783" s="6" t="s">
        <v>405</v>
      </c>
      <c r="F7783" s="6" t="str">
        <f>IF($M7783="PADD I","PADD 1",IF($M7783="PADD II","PADD 2",IF($M7783="PADD III","PADD 3",IF($M7783="PADD IV","PADD 4",IF($M7783="PADD V","PADD 5","")))))</f>
        <v>PADD 3</v>
      </c>
      <c r="G7783" s="6" t="str">
        <f>IF(AND($H7783="ATMOS DISTILLATION",ISNUMBER(SEARCH("VPS",$I7783))=FALSE,LEFT($I7783,6)&lt;&gt;"VACUUM"),"CDU",IF($H7783="FLUID CAT CRACKING","FCC",IF(OR($H7783="HYDROCRACKING",$H7783="RESID_HYDROCRACKING"),"Hydrocracker",IF($H7783="REFORMING","Reformer",""))))</f>
        <v>Reformer</v>
      </c>
      <c r="H7783" s="6" t="s">
        <v>421</v>
      </c>
      <c r="I7783" s="6" t="s">
        <v>928</v>
      </c>
      <c r="J7783" s="6" t="s">
        <v>345</v>
      </c>
      <c r="K7783" s="10">
        <v>7.2</v>
      </c>
      <c r="L7783" s="10">
        <v>15</v>
      </c>
      <c r="M7783" s="6" t="s">
        <v>371</v>
      </c>
    </row>
    <row r="7784" spans="1:13">
      <c r="A7784" s="6">
        <v>2026</v>
      </c>
      <c r="B7784" s="6">
        <v>5</v>
      </c>
      <c r="C7784" s="6" t="s">
        <v>63</v>
      </c>
      <c r="D7784" s="6" t="s">
        <v>48</v>
      </c>
      <c r="E7784" s="6" t="s">
        <v>388</v>
      </c>
      <c r="F7784" s="6" t="str">
        <f>IF($M7784="PADD I","PADD 1",IF($M7784="PADD II","PADD 2",IF($M7784="PADD III","PADD 3",IF($M7784="PADD IV","PADD 4",IF($M7784="PADD V","PADD 5","")))))</f>
        <v>PADD 2</v>
      </c>
      <c r="G7784" s="6">
        <f>IF(AND($H7784="ATMOS DISTILLATION",ISNUMBER(SEARCH("VPS",$I7784))=FALSE,LEFT($I7784,6)&lt;&gt;"VACUUM"),"CDU",IF($H7784="FLUID CAT CRACKING","FCC",IF(OR($H7784="HYDROCRACKING",$H7784="RESID_HYDROCRACKING"),"Hydrocracker",IF($H7784="REFORMING","Reformer",""))))</f>
        <v/>
      </c>
      <c r="H7784" s="6" t="s">
        <v>435</v>
      </c>
      <c r="I7784" s="6" t="s">
        <v>631</v>
      </c>
      <c r="J7784" s="6" t="s">
        <v>349</v>
      </c>
      <c r="K7784" s="10">
        <v>7.2</v>
      </c>
      <c r="L7784" s="10">
        <v>15</v>
      </c>
      <c r="M7784" s="6" t="s">
        <v>375</v>
      </c>
    </row>
    <row r="7785" spans="1:13">
      <c r="A7785" s="6">
        <v>2026</v>
      </c>
      <c r="B7785" s="6">
        <v>5</v>
      </c>
      <c r="C7785" s="6" t="s">
        <v>63</v>
      </c>
      <c r="D7785" s="6" t="s">
        <v>48</v>
      </c>
      <c r="E7785" s="6" t="s">
        <v>388</v>
      </c>
      <c r="F7785" s="6" t="str">
        <f>IF($M7785="PADD I","PADD 1",IF($M7785="PADD II","PADD 2",IF($M7785="PADD III","PADD 3",IF($M7785="PADD IV","PADD 4",IF($M7785="PADD V","PADD 5","")))))</f>
        <v>PADD 2</v>
      </c>
      <c r="G7785" s="6">
        <f>IF(AND($H7785="ATMOS DISTILLATION",ISNUMBER(SEARCH("VPS",$I7785))=FALSE,LEFT($I7785,6)&lt;&gt;"VACUUM"),"CDU",IF($H7785="FLUID CAT CRACKING","FCC",IF(OR($H7785="HYDROCRACKING",$H7785="RESID_HYDROCRACKING"),"Hydrocracker",IF($H7785="REFORMING","Reformer",""))))</f>
        <v/>
      </c>
      <c r="H7785" s="6" t="s">
        <v>637</v>
      </c>
      <c r="I7785" s="6" t="s">
        <v>604</v>
      </c>
      <c r="J7785" s="6" t="s">
        <v>349</v>
      </c>
      <c r="K7785" s="10">
        <v>7.2</v>
      </c>
      <c r="L7785" s="10">
        <v>16</v>
      </c>
      <c r="M7785" s="6" t="s">
        <v>375</v>
      </c>
    </row>
    <row r="7786" spans="1:13">
      <c r="A7786" s="6">
        <v>2026</v>
      </c>
      <c r="B7786" s="6">
        <v>5</v>
      </c>
      <c r="C7786" s="6" t="s">
        <v>63</v>
      </c>
      <c r="D7786" s="6" t="s">
        <v>390</v>
      </c>
      <c r="E7786" s="6" t="s">
        <v>391</v>
      </c>
      <c r="F7786" s="6" t="str">
        <f>IF($M7786="PADD I","PADD 1",IF($M7786="PADD II","PADD 2",IF($M7786="PADD III","PADD 3",IF($M7786="PADD IV","PADD 4",IF($M7786="PADD V","PADD 5","")))))</f>
        <v>PADD 3</v>
      </c>
      <c r="G7786" s="6" t="str">
        <f>IF(AND($H7786="ATMOS DISTILLATION",ISNUMBER(SEARCH("VPS",$I7786))=FALSE,LEFT($I7786,6)&lt;&gt;"VACUUM"),"CDU",IF($H7786="FLUID CAT CRACKING","FCC",IF(OR($H7786="HYDROCRACKING",$H7786="RESID_HYDROCRACKING"),"Hydrocracker",IF($H7786="REFORMING","Reformer",""))))</f>
        <v>Reformer</v>
      </c>
      <c r="H7786" s="6" t="s">
        <v>421</v>
      </c>
      <c r="I7786" s="6" t="s">
        <v>1117</v>
      </c>
      <c r="J7786" s="6" t="s">
        <v>345</v>
      </c>
      <c r="K7786" s="10">
        <v>7.15</v>
      </c>
      <c r="L7786" s="10">
        <v>55</v>
      </c>
      <c r="M7786" s="6" t="s">
        <v>371</v>
      </c>
    </row>
    <row r="7787" spans="1:13">
      <c r="A7787" s="6">
        <v>2026</v>
      </c>
      <c r="B7787" s="6">
        <v>5</v>
      </c>
      <c r="C7787" s="6" t="s">
        <v>63</v>
      </c>
      <c r="D7787" s="6" t="s">
        <v>319</v>
      </c>
      <c r="E7787" s="6" t="s">
        <v>665</v>
      </c>
      <c r="F7787" s="6" t="str">
        <f>IF($M7787="PADD I","PADD 1",IF($M7787="PADD II","PADD 2",IF($M7787="PADD III","PADD 3",IF($M7787="PADD IV","PADD 4",IF($M7787="PADD V","PADD 5","")))))</f>
        <v>PADD 3</v>
      </c>
      <c r="G7787" s="6" t="str">
        <f>IF(AND($H7787="ATMOS DISTILLATION",ISNUMBER(SEARCH("VPS",$I7787))=FALSE,LEFT($I7787,6)&lt;&gt;"VACUUM"),"CDU",IF($H7787="FLUID CAT CRACKING","FCC",IF(OR($H7787="HYDROCRACKING",$H7787="RESID_HYDROCRACKING"),"Hydrocracker",IF($H7787="REFORMING","Reformer",""))))</f>
        <v>FCC</v>
      </c>
      <c r="H7787" s="6" t="s">
        <v>376</v>
      </c>
      <c r="I7787" s="6" t="s">
        <v>875</v>
      </c>
      <c r="J7787" s="6" t="s">
        <v>345</v>
      </c>
      <c r="K7787" s="10">
        <v>6.6</v>
      </c>
      <c r="L7787" s="10">
        <v>110</v>
      </c>
      <c r="M7787" s="6" t="s">
        <v>371</v>
      </c>
    </row>
    <row r="7788" spans="1:13">
      <c r="A7788" s="6">
        <v>2026</v>
      </c>
      <c r="B7788" s="6">
        <v>5</v>
      </c>
      <c r="C7788" s="6" t="s">
        <v>63</v>
      </c>
      <c r="D7788" s="6" t="s">
        <v>462</v>
      </c>
      <c r="E7788" s="6" t="s">
        <v>438</v>
      </c>
      <c r="F7788" s="6" t="str">
        <f>IF($M7788="PADD I","PADD 1",IF($M7788="PADD II","PADD 2",IF($M7788="PADD III","PADD 3",IF($M7788="PADD IV","PADD 4",IF($M7788="PADD V","PADD 5","")))))</f>
        <v>PADD 4</v>
      </c>
      <c r="G7788" s="6" t="str">
        <f>IF(AND($H7788="ATMOS DISTILLATION",ISNUMBER(SEARCH("VPS",$I7788))=FALSE,LEFT($I7788,6)&lt;&gt;"VACUUM"),"CDU",IF($H7788="FLUID CAT CRACKING","FCC",IF(OR($H7788="HYDROCRACKING",$H7788="RESID_HYDROCRACKING"),"Hydrocracker",IF($H7788="REFORMING","Reformer",""))))</f>
        <v>FCC</v>
      </c>
      <c r="H7788" s="6" t="s">
        <v>376</v>
      </c>
      <c r="I7788" s="6" t="s">
        <v>105</v>
      </c>
      <c r="J7788" s="6" t="s">
        <v>345</v>
      </c>
      <c r="K7788" s="10">
        <v>6.509</v>
      </c>
      <c r="L7788" s="10">
        <v>28.3</v>
      </c>
      <c r="M7788" s="6" t="s">
        <v>430</v>
      </c>
    </row>
    <row r="7789" spans="1:13">
      <c r="A7789" s="6">
        <v>2026</v>
      </c>
      <c r="B7789" s="6">
        <v>5</v>
      </c>
      <c r="C7789" s="6" t="s">
        <v>63</v>
      </c>
      <c r="D7789" s="6" t="s">
        <v>437</v>
      </c>
      <c r="E7789" s="6" t="s">
        <v>438</v>
      </c>
      <c r="F7789" s="6" t="str">
        <f>IF($M7789="PADD I","PADD 1",IF($M7789="PADD II","PADD 2",IF($M7789="PADD III","PADD 3",IF($M7789="PADD IV","PADD 4",IF($M7789="PADD V","PADD 5","")))))</f>
        <v>PADD 4</v>
      </c>
      <c r="G7789" s="6" t="str">
        <f>IF(AND($H7789="ATMOS DISTILLATION",ISNUMBER(SEARCH("VPS",$I7789))=FALSE,LEFT($I7789,6)&lt;&gt;"VACUUM"),"CDU",IF($H7789="FLUID CAT CRACKING","FCC",IF(OR($H7789="HYDROCRACKING",$H7789="RESID_HYDROCRACKING"),"Hydrocracker",IF($H7789="REFORMING","Reformer",""))))</f>
        <v>CDU</v>
      </c>
      <c r="H7789" s="6" t="s">
        <v>38</v>
      </c>
      <c r="I7789" s="6" t="s">
        <v>330</v>
      </c>
      <c r="J7789" s="6" t="s">
        <v>345</v>
      </c>
      <c r="K7789" s="10">
        <v>6.44</v>
      </c>
      <c r="L7789" s="10">
        <v>28</v>
      </c>
      <c r="M7789" s="6" t="s">
        <v>430</v>
      </c>
    </row>
    <row r="7790" spans="1:13">
      <c r="A7790" s="6">
        <v>2026</v>
      </c>
      <c r="B7790" s="6">
        <v>5</v>
      </c>
      <c r="C7790" s="6" t="s">
        <v>63</v>
      </c>
      <c r="D7790" s="6" t="s">
        <v>321</v>
      </c>
      <c r="E7790" s="6" t="s">
        <v>381</v>
      </c>
      <c r="F7790" s="6" t="str">
        <f>IF($M7790="PADD I","PADD 1",IF($M7790="PADD II","PADD 2",IF($M7790="PADD III","PADD 3",IF($M7790="PADD IV","PADD 4",IF($M7790="PADD V","PADD 5","")))))</f>
        <v>PADD 2</v>
      </c>
      <c r="G7790" s="6" t="str">
        <f>IF(AND($H7790="ATMOS DISTILLATION",ISNUMBER(SEARCH("VPS",$I7790))=FALSE,LEFT($I7790,6)&lt;&gt;"VACUUM"),"CDU",IF($H7790="FLUID CAT CRACKING","FCC",IF(OR($H7790="HYDROCRACKING",$H7790="RESID_HYDROCRACKING"),"Hydrocracker",IF($H7790="REFORMING","Reformer",""))))</f>
        <v>FCC</v>
      </c>
      <c r="H7790" s="6" t="s">
        <v>376</v>
      </c>
      <c r="I7790" s="6" t="s">
        <v>105</v>
      </c>
      <c r="J7790" s="6" t="s">
        <v>345</v>
      </c>
      <c r="K7790" s="10">
        <v>6.44</v>
      </c>
      <c r="L7790" s="10">
        <v>28</v>
      </c>
      <c r="M7790" s="6" t="s">
        <v>375</v>
      </c>
    </row>
    <row r="7791" spans="1:13">
      <c r="A7791" s="6">
        <v>2026</v>
      </c>
      <c r="B7791" s="6">
        <v>5</v>
      </c>
      <c r="C7791" s="6" t="s">
        <v>63</v>
      </c>
      <c r="D7791" s="6" t="s">
        <v>48</v>
      </c>
      <c r="E7791" s="6" t="s">
        <v>388</v>
      </c>
      <c r="F7791" s="6" t="str">
        <f>IF($M7791="PADD I","PADD 1",IF($M7791="PADD II","PADD 2",IF($M7791="PADD III","PADD 3",IF($M7791="PADD IV","PADD 4",IF($M7791="PADD V","PADD 5","")))))</f>
        <v>PADD 2</v>
      </c>
      <c r="G7791" s="6">
        <f>IF(AND($H7791="ATMOS DISTILLATION",ISNUMBER(SEARCH("VPS",$I7791))=FALSE,LEFT($I7791,6)&lt;&gt;"VACUUM"),"CDU",IF($H7791="FLUID CAT CRACKING","FCC",IF(OR($H7791="HYDROCRACKING",$H7791="RESID_HYDROCRACKING"),"Hydrocracker",IF($H7791="REFORMING","Reformer",""))))</f>
        <v/>
      </c>
      <c r="H7791" s="6" t="s">
        <v>435</v>
      </c>
      <c r="I7791" s="6" t="s">
        <v>754</v>
      </c>
      <c r="J7791" s="6" t="s">
        <v>349</v>
      </c>
      <c r="K7791" s="10">
        <v>6.3</v>
      </c>
      <c r="L7791" s="10">
        <v>15</v>
      </c>
      <c r="M7791" s="6" t="s">
        <v>375</v>
      </c>
    </row>
    <row r="7792" spans="1:13">
      <c r="A7792" s="6">
        <v>2026</v>
      </c>
      <c r="B7792" s="6">
        <v>5</v>
      </c>
      <c r="C7792" s="6" t="s">
        <v>63</v>
      </c>
      <c r="D7792" s="6" t="s">
        <v>526</v>
      </c>
      <c r="E7792" s="6" t="s">
        <v>405</v>
      </c>
      <c r="F7792" s="6" t="str">
        <f>IF($M7792="PADD I","PADD 1",IF($M7792="PADD II","PADD 2",IF($M7792="PADD III","PADD 3",IF($M7792="PADD IV","PADD 4",IF($M7792="PADD V","PADD 5","")))))</f>
        <v>PADD 3</v>
      </c>
      <c r="G7792" s="6" t="str">
        <f>IF(AND($H7792="ATMOS DISTILLATION",ISNUMBER(SEARCH("VPS",$I7792))=FALSE,LEFT($I7792,6)&lt;&gt;"VACUUM"),"CDU",IF($H7792="FLUID CAT CRACKING","FCC",IF(OR($H7792="HYDROCRACKING",$H7792="RESID_HYDROCRACKING"),"Hydrocracker",IF($H7792="REFORMING","Reformer",""))))</f>
        <v>FCC</v>
      </c>
      <c r="H7792" s="6" t="s">
        <v>376</v>
      </c>
      <c r="I7792" s="6" t="s">
        <v>344</v>
      </c>
      <c r="J7792" s="6" t="s">
        <v>345</v>
      </c>
      <c r="K7792" s="10">
        <v>6.3</v>
      </c>
      <c r="L7792" s="10">
        <v>15</v>
      </c>
      <c r="M7792" s="6" t="s">
        <v>371</v>
      </c>
    </row>
    <row r="7793" spans="1:13">
      <c r="A7793" s="6">
        <v>2026</v>
      </c>
      <c r="B7793" s="6">
        <v>5</v>
      </c>
      <c r="C7793" s="6" t="s">
        <v>63</v>
      </c>
      <c r="D7793" s="6" t="s">
        <v>390</v>
      </c>
      <c r="E7793" s="6" t="s">
        <v>391</v>
      </c>
      <c r="F7793" s="6" t="str">
        <f>IF($M7793="PADD I","PADD 1",IF($M7793="PADD II","PADD 2",IF($M7793="PADD III","PADD 3",IF($M7793="PADD IV","PADD 4",IF($M7793="PADD V","PADD 5","")))))</f>
        <v>PADD 3</v>
      </c>
      <c r="G7793" s="6" t="str">
        <f>IF(AND($H7793="ATMOS DISTILLATION",ISNUMBER(SEARCH("VPS",$I7793))=FALSE,LEFT($I7793,6)&lt;&gt;"VACUUM"),"CDU",IF($H7793="FLUID CAT CRACKING","FCC",IF(OR($H7793="HYDROCRACKING",$H7793="RESID_HYDROCRACKING"),"Hydrocracker",IF($H7793="REFORMING","Reformer",""))))</f>
        <v>Hydrocracker</v>
      </c>
      <c r="H7793" s="6" t="s">
        <v>444</v>
      </c>
      <c r="I7793" s="6" t="s">
        <v>1299</v>
      </c>
      <c r="J7793" s="6" t="s">
        <v>345</v>
      </c>
      <c r="K7793" s="10">
        <v>6.24</v>
      </c>
      <c r="L7793" s="10">
        <v>24</v>
      </c>
      <c r="M7793" s="6" t="s">
        <v>371</v>
      </c>
    </row>
    <row r="7794" spans="1:13">
      <c r="A7794" s="6">
        <v>2026</v>
      </c>
      <c r="B7794" s="6">
        <v>5</v>
      </c>
      <c r="C7794" s="6" t="s">
        <v>63</v>
      </c>
      <c r="D7794" s="6" t="s">
        <v>526</v>
      </c>
      <c r="E7794" s="6" t="s">
        <v>405</v>
      </c>
      <c r="F7794" s="6" t="str">
        <f>IF($M7794="PADD I","PADD 1",IF($M7794="PADD II","PADD 2",IF($M7794="PADD III","PADD 3",IF($M7794="PADD IV","PADD 4",IF($M7794="PADD V","PADD 5","")))))</f>
        <v>PADD 3</v>
      </c>
      <c r="G7794" s="6" t="str">
        <f>IF(AND($H7794="ATMOS DISTILLATION",ISNUMBER(SEARCH("VPS",$I7794))=FALSE,LEFT($I7794,6)&lt;&gt;"VACUUM"),"CDU",IF($H7794="FLUID CAT CRACKING","FCC",IF(OR($H7794="HYDROCRACKING",$H7794="RESID_HYDROCRACKING"),"Hydrocracker",IF($H7794="REFORMING","Reformer",""))))</f>
        <v>Hydrocracker</v>
      </c>
      <c r="H7794" s="6" t="s">
        <v>444</v>
      </c>
      <c r="I7794" s="6" t="s">
        <v>351</v>
      </c>
      <c r="J7794" s="6" t="s">
        <v>345</v>
      </c>
      <c r="K7794" s="10">
        <v>6.24</v>
      </c>
      <c r="L7794" s="10">
        <v>13</v>
      </c>
      <c r="M7794" s="6" t="s">
        <v>371</v>
      </c>
    </row>
    <row r="7795" spans="1:13">
      <c r="A7795" s="6">
        <v>2026</v>
      </c>
      <c r="B7795" s="6">
        <v>5</v>
      </c>
      <c r="C7795" s="6" t="s">
        <v>63</v>
      </c>
      <c r="D7795" s="6" t="s">
        <v>437</v>
      </c>
      <c r="E7795" s="6" t="s">
        <v>438</v>
      </c>
      <c r="F7795" s="6" t="str">
        <f>IF($M7795="PADD I","PADD 1",IF($M7795="PADD II","PADD 2",IF($M7795="PADD III","PADD 3",IF($M7795="PADD IV","PADD 4",IF($M7795="PADD V","PADD 5","")))))</f>
        <v>PADD 4</v>
      </c>
      <c r="G7795" s="6" t="str">
        <f>IF(AND($H7795="ATMOS DISTILLATION",ISNUMBER(SEARCH("VPS",$I7795))=FALSE,LEFT($I7795,6)&lt;&gt;"VACUUM"),"CDU",IF($H7795="FLUID CAT CRACKING","FCC",IF(OR($H7795="HYDROCRACKING",$H7795="RESID_HYDROCRACKING"),"Hydrocracker",IF($H7795="REFORMING","Reformer",""))))</f>
        <v>CDU</v>
      </c>
      <c r="H7795" s="6" t="s">
        <v>38</v>
      </c>
      <c r="I7795" s="6" t="s">
        <v>439</v>
      </c>
      <c r="J7795" s="6" t="s">
        <v>349</v>
      </c>
      <c r="K7795" s="10">
        <v>6.24</v>
      </c>
      <c r="L7795" s="10">
        <v>39</v>
      </c>
      <c r="M7795" s="6" t="s">
        <v>430</v>
      </c>
    </row>
    <row r="7796" spans="1:13">
      <c r="A7796" s="6">
        <v>2026</v>
      </c>
      <c r="B7796" s="6">
        <v>5</v>
      </c>
      <c r="C7796" s="6" t="s">
        <v>63</v>
      </c>
      <c r="D7796" s="6" t="s">
        <v>934</v>
      </c>
      <c r="E7796" s="6" t="s">
        <v>388</v>
      </c>
      <c r="F7796" s="6" t="str">
        <f>IF($M7796="PADD I","PADD 1",IF($M7796="PADD II","PADD 2",IF($M7796="PADD III","PADD 3",IF($M7796="PADD IV","PADD 4",IF($M7796="PADD V","PADD 5","")))))</f>
        <v>PADD 3</v>
      </c>
      <c r="G7796" s="6">
        <f>IF(AND($H7796="ATMOS DISTILLATION",ISNUMBER(SEARCH("VPS",$I7796))=FALSE,LEFT($I7796,6)&lt;&gt;"VACUUM"),"CDU",IF($H7796="FLUID CAT CRACKING","FCC",IF(OR($H7796="HYDROCRACKING",$H7796="RESID_HYDROCRACKING"),"Hydrocracker",IF($H7796="REFORMING","Reformer",""))))</f>
        <v/>
      </c>
      <c r="H7796" s="6" t="s">
        <v>460</v>
      </c>
      <c r="I7796" s="6" t="s">
        <v>461</v>
      </c>
      <c r="J7796" s="6" t="s">
        <v>349</v>
      </c>
      <c r="K7796" s="10">
        <v>6.1</v>
      </c>
      <c r="L7796" s="10">
        <v>10</v>
      </c>
      <c r="M7796" s="6" t="s">
        <v>371</v>
      </c>
    </row>
    <row r="7797" spans="1:13">
      <c r="A7797" s="6">
        <v>2026</v>
      </c>
      <c r="B7797" s="6">
        <v>5</v>
      </c>
      <c r="C7797" s="6" t="s">
        <v>63</v>
      </c>
      <c r="D7797" s="6" t="s">
        <v>429</v>
      </c>
      <c r="E7797" s="6" t="s">
        <v>388</v>
      </c>
      <c r="F7797" s="6" t="str">
        <f>IF($M7797="PADD I","PADD 1",IF($M7797="PADD II","PADD 2",IF($M7797="PADD III","PADD 3",IF($M7797="PADD IV","PADD 4",IF($M7797="PADD V","PADD 5","")))))</f>
        <v>PADD 4</v>
      </c>
      <c r="G7797" s="6" t="str">
        <f>IF(AND($H7797="ATMOS DISTILLATION",ISNUMBER(SEARCH("VPS",$I7797))=FALSE,LEFT($I7797,6)&lt;&gt;"VACUUM"),"CDU",IF($H7797="FLUID CAT CRACKING","FCC",IF(OR($H7797="HYDROCRACKING",$H7797="RESID_HYDROCRACKING"),"Hydrocracker",IF($H7797="REFORMING","Reformer",""))))</f>
        <v>FCC</v>
      </c>
      <c r="H7797" s="6" t="s">
        <v>376</v>
      </c>
      <c r="I7797" s="6" t="s">
        <v>105</v>
      </c>
      <c r="J7797" s="6" t="s">
        <v>345</v>
      </c>
      <c r="K7797" s="10">
        <v>6.072</v>
      </c>
      <c r="L7797" s="10">
        <v>26.4</v>
      </c>
      <c r="M7797" s="6" t="s">
        <v>430</v>
      </c>
    </row>
    <row r="7798" spans="1:13">
      <c r="A7798" s="6">
        <v>2026</v>
      </c>
      <c r="B7798" s="6">
        <v>5</v>
      </c>
      <c r="C7798" s="6" t="s">
        <v>63</v>
      </c>
      <c r="D7798" s="6" t="s">
        <v>326</v>
      </c>
      <c r="E7798" s="6" t="s">
        <v>385</v>
      </c>
      <c r="F7798" s="6" t="str">
        <f>IF($M7798="PADD I","PADD 1",IF($M7798="PADD II","PADD 2",IF($M7798="PADD III","PADD 3",IF($M7798="PADD IV","PADD 4",IF($M7798="PADD V","PADD 5","")))))</f>
        <v>PADD 5</v>
      </c>
      <c r="G7798" s="6" t="str">
        <f>IF(AND($H7798="ATMOS DISTILLATION",ISNUMBER(SEARCH("VPS",$I7798))=FALSE,LEFT($I7798,6)&lt;&gt;"VACUUM"),"CDU",IF($H7798="FLUID CAT CRACKING","FCC",IF(OR($H7798="HYDROCRACKING",$H7798="RESID_HYDROCRACKING"),"Hydrocracker",IF($H7798="REFORMING","Reformer",""))))</f>
        <v>FCC</v>
      </c>
      <c r="H7798" s="6" t="s">
        <v>376</v>
      </c>
      <c r="I7798" s="6" t="s">
        <v>504</v>
      </c>
      <c r="J7798" s="6" t="s">
        <v>345</v>
      </c>
      <c r="K7798" s="10">
        <v>6.058</v>
      </c>
      <c r="L7798" s="10">
        <v>23.3</v>
      </c>
      <c r="M7798" s="6" t="s">
        <v>386</v>
      </c>
    </row>
    <row r="7799" spans="1:13">
      <c r="A7799" s="6">
        <v>2026</v>
      </c>
      <c r="B7799" s="6">
        <v>5</v>
      </c>
      <c r="C7799" s="6" t="s">
        <v>63</v>
      </c>
      <c r="D7799" s="6" t="s">
        <v>1323</v>
      </c>
      <c r="E7799" s="6" t="s">
        <v>369</v>
      </c>
      <c r="F7799" s="6" t="str">
        <f>IF($M7799="PADD I","PADD 1",IF($M7799="PADD II","PADD 2",IF($M7799="PADD III","PADD 3",IF($M7799="PADD IV","PADD 4",IF($M7799="PADD V","PADD 5","")))))</f>
        <v>PADD 5</v>
      </c>
      <c r="G7799" s="6">
        <f>IF(AND($H7799="ATMOS DISTILLATION",ISNUMBER(SEARCH("VPS",$I7799))=FALSE,LEFT($I7799,6)&lt;&gt;"VACUUM"),"CDU",IF($H7799="FLUID CAT CRACKING","FCC",IF(OR($H7799="HYDROCRACKING",$H7799="RESID_HYDROCRACKING"),"Hydrocracker",IF($H7799="REFORMING","Reformer",""))))</f>
        <v/>
      </c>
      <c r="H7799" s="6" t="s">
        <v>378</v>
      </c>
      <c r="I7799" s="6" t="s">
        <v>431</v>
      </c>
      <c r="J7799" s="6" t="s">
        <v>345</v>
      </c>
      <c r="K7799" s="10">
        <v>6.045</v>
      </c>
      <c r="L7799" s="10">
        <v>46.5</v>
      </c>
      <c r="M7799" s="6" t="s">
        <v>386</v>
      </c>
    </row>
    <row r="7800" spans="1:13">
      <c r="A7800" s="6">
        <v>2026</v>
      </c>
      <c r="B7800" s="6">
        <v>5</v>
      </c>
      <c r="C7800" s="6" t="s">
        <v>63</v>
      </c>
      <c r="D7800" s="6" t="s">
        <v>526</v>
      </c>
      <c r="E7800" s="6" t="s">
        <v>405</v>
      </c>
      <c r="F7800" s="6" t="str">
        <f>IF($M7800="PADD I","PADD 1",IF($M7800="PADD II","PADD 2",IF($M7800="PADD III","PADD 3",IF($M7800="PADD IV","PADD 4",IF($M7800="PADD V","PADD 5","")))))</f>
        <v>PADD 3</v>
      </c>
      <c r="G7800" s="6">
        <f>IF(AND($H7800="ATMOS DISTILLATION",ISNUMBER(SEARCH("VPS",$I7800))=FALSE,LEFT($I7800,6)&lt;&gt;"VACUUM"),"CDU",IF($H7800="FLUID CAT CRACKING","FCC",IF(OR($H7800="HYDROCRACKING",$H7800="RESID_HYDROCRACKING"),"Hydrocracker",IF($H7800="REFORMING","Reformer",""))))</f>
        <v/>
      </c>
      <c r="H7800" s="6" t="s">
        <v>43</v>
      </c>
      <c r="I7800" s="6" t="s">
        <v>1222</v>
      </c>
      <c r="J7800" s="6" t="s">
        <v>349</v>
      </c>
      <c r="K7800" s="10">
        <v>5.85</v>
      </c>
      <c r="L7800" s="10">
        <v>45</v>
      </c>
      <c r="M7800" s="6" t="s">
        <v>371</v>
      </c>
    </row>
    <row r="7801" spans="1:13">
      <c r="A7801" s="6">
        <v>2026</v>
      </c>
      <c r="B7801" s="6">
        <v>5</v>
      </c>
      <c r="C7801" s="6" t="s">
        <v>63</v>
      </c>
      <c r="D7801" s="6" t="s">
        <v>48</v>
      </c>
      <c r="E7801" s="6" t="s">
        <v>388</v>
      </c>
      <c r="F7801" s="6" t="str">
        <f>IF($M7801="PADD I","PADD 1",IF($M7801="PADD II","PADD 2",IF($M7801="PADD III","PADD 3",IF($M7801="PADD IV","PADD 4",IF($M7801="PADD V","PADD 5","")))))</f>
        <v>PADD 2</v>
      </c>
      <c r="G7801" s="6">
        <f>IF(AND($H7801="ATMOS DISTILLATION",ISNUMBER(SEARCH("VPS",$I7801))=FALSE,LEFT($I7801,6)&lt;&gt;"VACUUM"),"CDU",IF($H7801="FLUID CAT CRACKING","FCC",IF(OR($H7801="HYDROCRACKING",$H7801="RESID_HYDROCRACKING"),"Hydrocracker",IF($H7801="REFORMING","Reformer",""))))</f>
        <v/>
      </c>
      <c r="H7801" s="6" t="s">
        <v>43</v>
      </c>
      <c r="I7801" s="6" t="s">
        <v>761</v>
      </c>
      <c r="J7801" s="6" t="s">
        <v>349</v>
      </c>
      <c r="K7801" s="10">
        <v>5.8</v>
      </c>
      <c r="L7801" s="10">
        <v>20</v>
      </c>
      <c r="M7801" s="6" t="s">
        <v>375</v>
      </c>
    </row>
    <row r="7802" spans="1:13">
      <c r="A7802" s="6">
        <v>2026</v>
      </c>
      <c r="B7802" s="6">
        <v>5</v>
      </c>
      <c r="C7802" s="6" t="s">
        <v>63</v>
      </c>
      <c r="D7802" s="6" t="s">
        <v>326</v>
      </c>
      <c r="E7802" s="6" t="s">
        <v>385</v>
      </c>
      <c r="F7802" s="6" t="str">
        <f>IF($M7802="PADD I","PADD 1",IF($M7802="PADD II","PADD 2",IF($M7802="PADD III","PADD 3",IF($M7802="PADD IV","PADD 4",IF($M7802="PADD V","PADD 5","")))))</f>
        <v>PADD 5</v>
      </c>
      <c r="G7802" s="6" t="str">
        <f>IF(AND($H7802="ATMOS DISTILLATION",ISNUMBER(SEARCH("VPS",$I7802))=FALSE,LEFT($I7802,6)&lt;&gt;"VACUUM"),"CDU",IF($H7802="FLUID CAT CRACKING","FCC",IF(OR($H7802="HYDROCRACKING",$H7802="RESID_HYDROCRACKING"),"Hydrocracker",IF($H7802="REFORMING","Reformer",""))))</f>
        <v>CDU</v>
      </c>
      <c r="H7802" s="6" t="s">
        <v>38</v>
      </c>
      <c r="I7802" s="6" t="s">
        <v>93</v>
      </c>
      <c r="J7802" s="6" t="s">
        <v>345</v>
      </c>
      <c r="K7802" s="10">
        <v>5.8</v>
      </c>
      <c r="L7802" s="10">
        <v>20</v>
      </c>
      <c r="M7802" s="6" t="s">
        <v>386</v>
      </c>
    </row>
    <row r="7803" spans="1:13">
      <c r="A7803" s="6">
        <v>2026</v>
      </c>
      <c r="B7803" s="6">
        <v>5</v>
      </c>
      <c r="C7803" s="6" t="s">
        <v>63</v>
      </c>
      <c r="D7803" s="6" t="s">
        <v>851</v>
      </c>
      <c r="E7803" s="6" t="s">
        <v>852</v>
      </c>
      <c r="F7803" s="6" t="str">
        <f>IF($M7803="PADD I","PADD 1",IF($M7803="PADD II","PADD 2",IF($M7803="PADD III","PADD 3",IF($M7803="PADD IV","PADD 4",IF($M7803="PADD V","PADD 5","")))))</f>
        <v>PADD 3</v>
      </c>
      <c r="G7803" s="6">
        <f>IF(AND($H7803="ATMOS DISTILLATION",ISNUMBER(SEARCH("VPS",$I7803))=FALSE,LEFT($I7803,6)&lt;&gt;"VACUUM"),"CDU",IF($H7803="FLUID CAT CRACKING","FCC",IF(OR($H7803="HYDROCRACKING",$H7803="RESID_HYDROCRACKING"),"Hydrocracker",IF($H7803="REFORMING","Reformer",""))))</f>
        <v/>
      </c>
      <c r="H7803" s="6" t="s">
        <v>378</v>
      </c>
      <c r="I7803" s="6" t="s">
        <v>860</v>
      </c>
      <c r="J7803" s="6" t="s">
        <v>349</v>
      </c>
      <c r="K7803" s="10">
        <v>5.76</v>
      </c>
      <c r="L7803" s="10">
        <v>36</v>
      </c>
      <c r="M7803" s="6" t="s">
        <v>371</v>
      </c>
    </row>
    <row r="7804" spans="1:13">
      <c r="A7804" s="6">
        <v>2026</v>
      </c>
      <c r="B7804" s="6">
        <v>5</v>
      </c>
      <c r="C7804" s="6" t="s">
        <v>63</v>
      </c>
      <c r="D7804" s="6" t="s">
        <v>670</v>
      </c>
      <c r="E7804" s="6" t="s">
        <v>405</v>
      </c>
      <c r="F7804" s="6" t="str">
        <f>IF($M7804="PADD I","PADD 1",IF($M7804="PADD II","PADD 2",IF($M7804="PADD III","PADD 3",IF($M7804="PADD IV","PADD 4",IF($M7804="PADD V","PADD 5","")))))</f>
        <v>PADD 2</v>
      </c>
      <c r="G7804" s="6" t="str">
        <f>IF(AND($H7804="ATMOS DISTILLATION",ISNUMBER(SEARCH("VPS",$I7804))=FALSE,LEFT($I7804,6)&lt;&gt;"VACUUM"),"CDU",IF($H7804="FLUID CAT CRACKING","FCC",IF(OR($H7804="HYDROCRACKING",$H7804="RESID_HYDROCRACKING"),"Hydrocracker",IF($H7804="REFORMING","Reformer",""))))</f>
        <v>Reformer</v>
      </c>
      <c r="H7804" s="6" t="s">
        <v>421</v>
      </c>
      <c r="I7804" s="6" t="s">
        <v>228</v>
      </c>
      <c r="J7804" s="6" t="s">
        <v>345</v>
      </c>
      <c r="K7804" s="10">
        <v>5.76</v>
      </c>
      <c r="L7804" s="10">
        <v>36</v>
      </c>
      <c r="M7804" s="6" t="s">
        <v>375</v>
      </c>
    </row>
    <row r="7805" spans="1:13">
      <c r="A7805" s="6">
        <v>2026</v>
      </c>
      <c r="B7805" s="6">
        <v>5</v>
      </c>
      <c r="C7805" s="6" t="s">
        <v>63</v>
      </c>
      <c r="D7805" s="6" t="s">
        <v>646</v>
      </c>
      <c r="E7805" s="6" t="s">
        <v>405</v>
      </c>
      <c r="F7805" s="6" t="str">
        <f>IF($M7805="PADD I","PADD 1",IF($M7805="PADD II","PADD 2",IF($M7805="PADD III","PADD 3",IF($M7805="PADD IV","PADD 4",IF($M7805="PADD V","PADD 5","")))))</f>
        <v>PADD 3</v>
      </c>
      <c r="G7805" s="6">
        <f>IF(AND($H7805="ATMOS DISTILLATION",ISNUMBER(SEARCH("VPS",$I7805))=FALSE,LEFT($I7805,6)&lt;&gt;"VACUUM"),"CDU",IF($H7805="FLUID CAT CRACKING","FCC",IF(OR($H7805="HYDROCRACKING",$H7805="RESID_HYDROCRACKING"),"Hydrocracker",IF($H7805="REFORMING","Reformer",""))))</f>
        <v/>
      </c>
      <c r="H7805" s="6" t="s">
        <v>43</v>
      </c>
      <c r="I7805" s="6" t="s">
        <v>1369</v>
      </c>
      <c r="J7805" s="6" t="s">
        <v>345</v>
      </c>
      <c r="K7805" s="10">
        <v>5.7</v>
      </c>
      <c r="L7805" s="10">
        <v>30</v>
      </c>
      <c r="M7805" s="6" t="s">
        <v>371</v>
      </c>
    </row>
    <row r="7806" spans="1:13">
      <c r="A7806" s="6">
        <v>2026</v>
      </c>
      <c r="B7806" s="6">
        <v>5</v>
      </c>
      <c r="C7806" s="6" t="s">
        <v>63</v>
      </c>
      <c r="D7806" s="6" t="s">
        <v>865</v>
      </c>
      <c r="E7806" s="6" t="s">
        <v>369</v>
      </c>
      <c r="F7806" s="6" t="str">
        <f>IF($M7806="PADD I","PADD 1",IF($M7806="PADD II","PADD 2",IF($M7806="PADD III","PADD 3",IF($M7806="PADD IV","PADD 4",IF($M7806="PADD V","PADD 5","")))))</f>
        <v>PADD 4</v>
      </c>
      <c r="G7806" s="6" t="str">
        <f>IF(AND($H7806="ATMOS DISTILLATION",ISNUMBER(SEARCH("VPS",$I7806))=FALSE,LEFT($I7806,6)&lt;&gt;"VACUUM"),"CDU",IF($H7806="FLUID CAT CRACKING","FCC",IF(OR($H7806="HYDROCRACKING",$H7806="RESID_HYDROCRACKING"),"Hydrocracker",IF($H7806="REFORMING","Reformer",""))))</f>
        <v>FCC</v>
      </c>
      <c r="H7806" s="6" t="s">
        <v>376</v>
      </c>
      <c r="I7806" s="6" t="s">
        <v>1370</v>
      </c>
      <c r="J7806" s="6" t="s">
        <v>345</v>
      </c>
      <c r="K7806" s="10">
        <v>5.626</v>
      </c>
      <c r="L7806" s="10">
        <v>19.4</v>
      </c>
      <c r="M7806" s="6" t="s">
        <v>430</v>
      </c>
    </row>
    <row r="7807" spans="1:13">
      <c r="A7807" s="6">
        <v>2026</v>
      </c>
      <c r="B7807" s="6">
        <v>5</v>
      </c>
      <c r="C7807" s="6" t="s">
        <v>63</v>
      </c>
      <c r="D7807" s="6" t="s">
        <v>462</v>
      </c>
      <c r="E7807" s="6" t="s">
        <v>438</v>
      </c>
      <c r="F7807" s="6" t="str">
        <f>IF($M7807="PADD I","PADD 1",IF($M7807="PADD II","PADD 2",IF($M7807="PADD III","PADD 3",IF($M7807="PADD IV","PADD 4",IF($M7807="PADD V","PADD 5","")))))</f>
        <v>PADD 4</v>
      </c>
      <c r="G7807" s="6" t="str">
        <f>IF(AND($H7807="ATMOS DISTILLATION",ISNUMBER(SEARCH("VPS",$I7807))=FALSE,LEFT($I7807,6)&lt;&gt;"VACUUM"),"CDU",IF($H7807="FLUID CAT CRACKING","FCC",IF(OR($H7807="HYDROCRACKING",$H7807="RESID_HYDROCRACKING"),"Hydrocracker",IF($H7807="REFORMING","Reformer",""))))</f>
        <v>CDU</v>
      </c>
      <c r="H7807" s="6" t="s">
        <v>38</v>
      </c>
      <c r="I7807" s="6" t="s">
        <v>123</v>
      </c>
      <c r="J7807" s="6" t="s">
        <v>349</v>
      </c>
      <c r="K7807" s="10">
        <v>5.392</v>
      </c>
      <c r="L7807" s="10">
        <v>33.7</v>
      </c>
      <c r="M7807" s="6" t="s">
        <v>430</v>
      </c>
    </row>
    <row r="7808" spans="1:13">
      <c r="A7808" s="6">
        <v>2026</v>
      </c>
      <c r="B7808" s="6">
        <v>5</v>
      </c>
      <c r="C7808" s="6" t="s">
        <v>63</v>
      </c>
      <c r="D7808" s="6" t="s">
        <v>462</v>
      </c>
      <c r="E7808" s="6" t="s">
        <v>438</v>
      </c>
      <c r="F7808" s="6" t="str">
        <f>IF($M7808="PADD I","PADD 1",IF($M7808="PADD II","PADD 2",IF($M7808="PADD III","PADD 3",IF($M7808="PADD IV","PADD 4",IF($M7808="PADD V","PADD 5","")))))</f>
        <v>PADD 4</v>
      </c>
      <c r="G7808" s="6" t="str">
        <f>IF(AND($H7808="ATMOS DISTILLATION",ISNUMBER(SEARCH("VPS",$I7808))=FALSE,LEFT($I7808,6)&lt;&gt;"VACUUM"),"CDU",IF($H7808="FLUID CAT CRACKING","FCC",IF(OR($H7808="HYDROCRACKING",$H7808="RESID_HYDROCRACKING"),"Hydrocracker",IF($H7808="REFORMING","Reformer",""))))</f>
        <v>FCC</v>
      </c>
      <c r="H7808" s="6" t="s">
        <v>376</v>
      </c>
      <c r="I7808" s="6" t="s">
        <v>105</v>
      </c>
      <c r="J7808" s="6" t="s">
        <v>349</v>
      </c>
      <c r="K7808" s="10">
        <v>5.377</v>
      </c>
      <c r="L7808" s="10">
        <v>28.3</v>
      </c>
      <c r="M7808" s="6" t="s">
        <v>430</v>
      </c>
    </row>
    <row r="7809" spans="1:13">
      <c r="A7809" s="6">
        <v>2026</v>
      </c>
      <c r="B7809" s="6">
        <v>5</v>
      </c>
      <c r="C7809" s="6" t="s">
        <v>63</v>
      </c>
      <c r="D7809" s="6" t="s">
        <v>602</v>
      </c>
      <c r="E7809" s="6" t="s">
        <v>369</v>
      </c>
      <c r="F7809" s="6" t="str">
        <f>IF($M7809="PADD I","PADD 1",IF($M7809="PADD II","PADD 2",IF($M7809="PADD III","PADD 3",IF($M7809="PADD IV","PADD 4",IF($M7809="PADD V","PADD 5","")))))</f>
        <v>PADD 2</v>
      </c>
      <c r="G7809" s="6">
        <f>IF(AND($H7809="ATMOS DISTILLATION",ISNUMBER(SEARCH("VPS",$I7809))=FALSE,LEFT($I7809,6)&lt;&gt;"VACUUM"),"CDU",IF($H7809="FLUID CAT CRACKING","FCC",IF(OR($H7809="HYDROCRACKING",$H7809="RESID_HYDROCRACKING"),"Hydrocracker",IF($H7809="REFORMING","Reformer",""))))</f>
        <v/>
      </c>
      <c r="H7809" s="6" t="s">
        <v>435</v>
      </c>
      <c r="I7809" s="6" t="s">
        <v>441</v>
      </c>
      <c r="J7809" s="6" t="s">
        <v>345</v>
      </c>
      <c r="K7809" s="10">
        <v>5.313</v>
      </c>
      <c r="L7809" s="10">
        <v>23.1</v>
      </c>
      <c r="M7809" s="6" t="s">
        <v>375</v>
      </c>
    </row>
    <row r="7810" spans="1:13">
      <c r="A7810" s="6">
        <v>2026</v>
      </c>
      <c r="B7810" s="6">
        <v>5</v>
      </c>
      <c r="C7810" s="6" t="s">
        <v>63</v>
      </c>
      <c r="D7810" s="6" t="s">
        <v>1043</v>
      </c>
      <c r="E7810" s="6" t="s">
        <v>388</v>
      </c>
      <c r="F7810" s="6" t="str">
        <f>IF($M7810="PADD I","PADD 1",IF($M7810="PADD II","PADD 2",IF($M7810="PADD III","PADD 3",IF($M7810="PADD IV","PADD 4",IF($M7810="PADD V","PADD 5","")))))</f>
        <v>PADD 2</v>
      </c>
      <c r="G7810" s="6">
        <f>IF(AND($H7810="ATMOS DISTILLATION",ISNUMBER(SEARCH("VPS",$I7810))=FALSE,LEFT($I7810,6)&lt;&gt;"VACUUM"),"CDU",IF($H7810="FLUID CAT CRACKING","FCC",IF(OR($H7810="HYDROCRACKING",$H7810="RESID_HYDROCRACKING"),"Hydrocracker",IF($H7810="REFORMING","Reformer",""))))</f>
        <v/>
      </c>
      <c r="H7810" s="6" t="s">
        <v>43</v>
      </c>
      <c r="I7810" s="6" t="s">
        <v>1056</v>
      </c>
      <c r="J7810" s="6" t="s">
        <v>349</v>
      </c>
      <c r="K7810" s="10">
        <v>5.25</v>
      </c>
      <c r="L7810" s="10">
        <v>15</v>
      </c>
      <c r="M7810" s="6" t="s">
        <v>375</v>
      </c>
    </row>
    <row r="7811" spans="1:13">
      <c r="A7811" s="6">
        <v>2026</v>
      </c>
      <c r="B7811" s="6">
        <v>5</v>
      </c>
      <c r="C7811" s="6" t="s">
        <v>63</v>
      </c>
      <c r="D7811" s="6" t="s">
        <v>321</v>
      </c>
      <c r="E7811" s="6" t="s">
        <v>381</v>
      </c>
      <c r="F7811" s="6" t="str">
        <f>IF($M7811="PADD I","PADD 1",IF($M7811="PADD II","PADD 2",IF($M7811="PADD III","PADD 3",IF($M7811="PADD IV","PADD 4",IF($M7811="PADD V","PADD 5","")))))</f>
        <v>PADD 2</v>
      </c>
      <c r="G7811" s="6" t="str">
        <f>IF(AND($H7811="ATMOS DISTILLATION",ISNUMBER(SEARCH("VPS",$I7811))=FALSE,LEFT($I7811,6)&lt;&gt;"VACUUM"),"CDU",IF($H7811="FLUID CAT CRACKING","FCC",IF(OR($H7811="HYDROCRACKING",$H7811="RESID_HYDROCRACKING"),"Hydrocracker",IF($H7811="REFORMING","Reformer",""))))</f>
        <v>Reformer</v>
      </c>
      <c r="H7811" s="6" t="s">
        <v>421</v>
      </c>
      <c r="I7811" s="6" t="s">
        <v>228</v>
      </c>
      <c r="J7811" s="6" t="s">
        <v>345</v>
      </c>
      <c r="K7811" s="10">
        <v>5.25</v>
      </c>
      <c r="L7811" s="10">
        <v>15</v>
      </c>
      <c r="M7811" s="6" t="s">
        <v>375</v>
      </c>
    </row>
    <row r="7812" spans="1:13">
      <c r="A7812" s="6">
        <v>2026</v>
      </c>
      <c r="B7812" s="6">
        <v>5</v>
      </c>
      <c r="C7812" s="6" t="s">
        <v>63</v>
      </c>
      <c r="D7812" s="6" t="s">
        <v>321</v>
      </c>
      <c r="E7812" s="6" t="s">
        <v>381</v>
      </c>
      <c r="F7812" s="6" t="str">
        <f>IF($M7812="PADD I","PADD 1",IF($M7812="PADD II","PADD 2",IF($M7812="PADD III","PADD 3",IF($M7812="PADD IV","PADD 4",IF($M7812="PADD V","PADD 5","")))))</f>
        <v>PADD 2</v>
      </c>
      <c r="G7812" s="6" t="str">
        <f>IF(AND($H7812="ATMOS DISTILLATION",ISNUMBER(SEARCH("VPS",$I7812))=FALSE,LEFT($I7812,6)&lt;&gt;"VACUUM"),"CDU",IF($H7812="FLUID CAT CRACKING","FCC",IF(OR($H7812="HYDROCRACKING",$H7812="RESID_HYDROCRACKING"),"Hydrocracker",IF($H7812="REFORMING","Reformer",""))))</f>
        <v>Reformer</v>
      </c>
      <c r="H7812" s="6" t="s">
        <v>421</v>
      </c>
      <c r="I7812" s="6" t="s">
        <v>228</v>
      </c>
      <c r="J7812" s="6" t="s">
        <v>345</v>
      </c>
      <c r="K7812" s="10">
        <v>5.2</v>
      </c>
      <c r="L7812" s="10">
        <v>20</v>
      </c>
      <c r="M7812" s="6" t="s">
        <v>375</v>
      </c>
    </row>
    <row r="7813" spans="1:13">
      <c r="A7813" s="6">
        <v>2026</v>
      </c>
      <c r="B7813" s="6">
        <v>5</v>
      </c>
      <c r="C7813" s="6" t="s">
        <v>63</v>
      </c>
      <c r="D7813" s="6" t="s">
        <v>328</v>
      </c>
      <c r="E7813" s="6" t="s">
        <v>416</v>
      </c>
      <c r="F7813" s="6" t="str">
        <f>IF($M7813="PADD I","PADD 1",IF($M7813="PADD II","PADD 2",IF($M7813="PADD III","PADD 3",IF($M7813="PADD IV","PADD 4",IF($M7813="PADD V","PADD 5","")))))</f>
        <v>PADD 2</v>
      </c>
      <c r="G7813" s="6">
        <f>IF(AND($H7813="ATMOS DISTILLATION",ISNUMBER(SEARCH("VPS",$I7813))=FALSE,LEFT($I7813,6)&lt;&gt;"VACUUM"),"CDU",IF($H7813="FLUID CAT CRACKING","FCC",IF(OR($H7813="HYDROCRACKING",$H7813="RESID_HYDROCRACKING"),"Hydrocracker",IF($H7813="REFORMING","Reformer",""))))</f>
        <v/>
      </c>
      <c r="H7813" s="6" t="s">
        <v>460</v>
      </c>
      <c r="I7813" s="6" t="s">
        <v>1363</v>
      </c>
      <c r="J7813" s="6" t="s">
        <v>349</v>
      </c>
      <c r="K7813" s="10">
        <v>5.184</v>
      </c>
      <c r="L7813" s="10">
        <v>16.2</v>
      </c>
      <c r="M7813" s="6" t="s">
        <v>375</v>
      </c>
    </row>
    <row r="7814" spans="1:13">
      <c r="A7814" s="6">
        <v>2026</v>
      </c>
      <c r="B7814" s="6">
        <v>5</v>
      </c>
      <c r="C7814" s="6" t="s">
        <v>63</v>
      </c>
      <c r="D7814" s="6" t="s">
        <v>934</v>
      </c>
      <c r="E7814" s="6" t="s">
        <v>388</v>
      </c>
      <c r="F7814" s="6" t="str">
        <f>IF($M7814="PADD I","PADD 1",IF($M7814="PADD II","PADD 2",IF($M7814="PADD III","PADD 3",IF($M7814="PADD IV","PADD 4",IF($M7814="PADD V","PADD 5","")))))</f>
        <v>PADD 3</v>
      </c>
      <c r="G7814" s="6">
        <f>IF(AND($H7814="ATMOS DISTILLATION",ISNUMBER(SEARCH("VPS",$I7814))=FALSE,LEFT($I7814,6)&lt;&gt;"VACUUM"),"CDU",IF($H7814="FLUID CAT CRACKING","FCC",IF(OR($H7814="HYDROCRACKING",$H7814="RESID_HYDROCRACKING"),"Hydrocracker",IF($H7814="REFORMING","Reformer",""))))</f>
        <v/>
      </c>
      <c r="H7814" s="6" t="s">
        <v>378</v>
      </c>
      <c r="I7814" s="6" t="s">
        <v>964</v>
      </c>
      <c r="J7814" s="6" t="s">
        <v>349</v>
      </c>
      <c r="K7814" s="10">
        <v>4.93</v>
      </c>
      <c r="L7814" s="10">
        <v>17</v>
      </c>
      <c r="M7814" s="6" t="s">
        <v>371</v>
      </c>
    </row>
    <row r="7815" spans="1:13">
      <c r="A7815" s="6">
        <v>2026</v>
      </c>
      <c r="B7815" s="6">
        <v>5</v>
      </c>
      <c r="C7815" s="6" t="s">
        <v>63</v>
      </c>
      <c r="D7815" s="6" t="s">
        <v>714</v>
      </c>
      <c r="E7815" s="6" t="s">
        <v>405</v>
      </c>
      <c r="F7815" s="6" t="str">
        <f>IF($M7815="PADD I","PADD 1",IF($M7815="PADD II","PADD 2",IF($M7815="PADD III","PADD 3",IF($M7815="PADD IV","PADD 4",IF($M7815="PADD V","PADD 5","")))))</f>
        <v>PADD 3</v>
      </c>
      <c r="G7815" s="6" t="str">
        <f>IF(AND($H7815="ATMOS DISTILLATION",ISNUMBER(SEARCH("VPS",$I7815))=FALSE,LEFT($I7815,6)&lt;&gt;"VACUUM"),"CDU",IF($H7815="FLUID CAT CRACKING","FCC",IF(OR($H7815="HYDROCRACKING",$H7815="RESID_HYDROCRACKING"),"Hydrocracker",IF($H7815="REFORMING","Reformer",""))))</f>
        <v>Hydrocracker</v>
      </c>
      <c r="H7815" s="6" t="s">
        <v>444</v>
      </c>
      <c r="I7815" s="6" t="s">
        <v>14</v>
      </c>
      <c r="J7815" s="6" t="s">
        <v>345</v>
      </c>
      <c r="K7815" s="10">
        <v>4.72</v>
      </c>
      <c r="L7815" s="10">
        <v>29.5</v>
      </c>
      <c r="M7815" s="6" t="s">
        <v>371</v>
      </c>
    </row>
    <row r="7816" spans="1:13">
      <c r="A7816" s="6">
        <v>2026</v>
      </c>
      <c r="B7816" s="6">
        <v>5</v>
      </c>
      <c r="C7816" s="6" t="s">
        <v>63</v>
      </c>
      <c r="D7816" s="6" t="s">
        <v>646</v>
      </c>
      <c r="E7816" s="6" t="s">
        <v>405</v>
      </c>
      <c r="F7816" s="6" t="str">
        <f>IF($M7816="PADD I","PADD 1",IF($M7816="PADD II","PADD 2",IF($M7816="PADD III","PADD 3",IF($M7816="PADD IV","PADD 4",IF($M7816="PADD V","PADD 5","")))))</f>
        <v>PADD 3</v>
      </c>
      <c r="G7816" s="6">
        <f>IF(AND($H7816="ATMOS DISTILLATION",ISNUMBER(SEARCH("VPS",$I7816))=FALSE,LEFT($I7816,6)&lt;&gt;"VACUUM"),"CDU",IF($H7816="FLUID CAT CRACKING","FCC",IF(OR($H7816="HYDROCRACKING",$H7816="RESID_HYDROCRACKING"),"Hydrocracker",IF($H7816="REFORMING","Reformer",""))))</f>
        <v/>
      </c>
      <c r="H7816" s="6" t="s">
        <v>435</v>
      </c>
      <c r="I7816" s="6" t="s">
        <v>441</v>
      </c>
      <c r="J7816" s="6" t="s">
        <v>345</v>
      </c>
      <c r="K7816" s="10">
        <v>4.68</v>
      </c>
      <c r="L7816" s="10">
        <v>18</v>
      </c>
      <c r="M7816" s="6" t="s">
        <v>371</v>
      </c>
    </row>
    <row r="7817" spans="1:13">
      <c r="A7817" s="6">
        <v>2026</v>
      </c>
      <c r="B7817" s="6">
        <v>5</v>
      </c>
      <c r="C7817" s="6" t="s">
        <v>63</v>
      </c>
      <c r="D7817" s="6" t="s">
        <v>714</v>
      </c>
      <c r="E7817" s="6" t="s">
        <v>405</v>
      </c>
      <c r="F7817" s="6" t="str">
        <f>IF($M7817="PADD I","PADD 1",IF($M7817="PADD II","PADD 2",IF($M7817="PADD III","PADD 3",IF($M7817="PADD IV","PADD 4",IF($M7817="PADD V","PADD 5","")))))</f>
        <v>PADD 3</v>
      </c>
      <c r="G7817" s="6" t="str">
        <f>IF(AND($H7817="ATMOS DISTILLATION",ISNUMBER(SEARCH("VPS",$I7817))=FALSE,LEFT($I7817,6)&lt;&gt;"VACUUM"),"CDU",IF($H7817="FLUID CAT CRACKING","FCC",IF(OR($H7817="HYDROCRACKING",$H7817="RESID_HYDROCRACKING"),"Hydrocracker",IF($H7817="REFORMING","Reformer",""))))</f>
        <v>Reformer</v>
      </c>
      <c r="H7817" s="6" t="s">
        <v>421</v>
      </c>
      <c r="I7817" s="6" t="s">
        <v>864</v>
      </c>
      <c r="J7817" s="6" t="s">
        <v>345</v>
      </c>
      <c r="K7817" s="10">
        <v>4.624</v>
      </c>
      <c r="L7817" s="10">
        <v>28.9</v>
      </c>
      <c r="M7817" s="6" t="s">
        <v>371</v>
      </c>
    </row>
    <row r="7818" spans="1:13">
      <c r="A7818" s="6">
        <v>2026</v>
      </c>
      <c r="B7818" s="6">
        <v>5</v>
      </c>
      <c r="C7818" s="6" t="s">
        <v>63</v>
      </c>
      <c r="D7818" s="6" t="s">
        <v>437</v>
      </c>
      <c r="E7818" s="6" t="s">
        <v>438</v>
      </c>
      <c r="F7818" s="6" t="str">
        <f>IF($M7818="PADD I","PADD 1",IF($M7818="PADD II","PADD 2",IF($M7818="PADD III","PADD 3",IF($M7818="PADD IV","PADD 4",IF($M7818="PADD V","PADD 5","")))))</f>
        <v>PADD 4</v>
      </c>
      <c r="G7818" s="6">
        <f>IF(AND($H7818="ATMOS DISTILLATION",ISNUMBER(SEARCH("VPS",$I7818))=FALSE,LEFT($I7818,6)&lt;&gt;"VACUUM"),"CDU",IF($H7818="FLUID CAT CRACKING","FCC",IF(OR($H7818="HYDROCRACKING",$H7818="RESID_HYDROCRACKING"),"Hydrocracker",IF($H7818="REFORMING","Reformer",""))))</f>
        <v/>
      </c>
      <c r="H7818" s="6" t="s">
        <v>378</v>
      </c>
      <c r="I7818" s="6" t="s">
        <v>494</v>
      </c>
      <c r="J7818" s="6" t="s">
        <v>345</v>
      </c>
      <c r="K7818" s="10">
        <v>4.6</v>
      </c>
      <c r="L7818" s="10">
        <v>20</v>
      </c>
      <c r="M7818" s="6" t="s">
        <v>430</v>
      </c>
    </row>
    <row r="7819" spans="1:13">
      <c r="A7819" s="6">
        <v>2026</v>
      </c>
      <c r="B7819" s="6">
        <v>5</v>
      </c>
      <c r="C7819" s="6" t="s">
        <v>63</v>
      </c>
      <c r="D7819" s="6" t="s">
        <v>1323</v>
      </c>
      <c r="E7819" s="6" t="s">
        <v>369</v>
      </c>
      <c r="F7819" s="6" t="str">
        <f>IF($M7819="PADD I","PADD 1",IF($M7819="PADD II","PADD 2",IF($M7819="PADD III","PADD 3",IF($M7819="PADD IV","PADD 4",IF($M7819="PADD V","PADD 5","")))))</f>
        <v>PADD 5</v>
      </c>
      <c r="G7819" s="6" t="str">
        <f>IF(AND($H7819="ATMOS DISTILLATION",ISNUMBER(SEARCH("VPS",$I7819))=FALSE,LEFT($I7819,6)&lt;&gt;"VACUUM"),"CDU",IF($H7819="FLUID CAT CRACKING","FCC",IF(OR($H7819="HYDROCRACKING",$H7819="RESID_HYDROCRACKING"),"Hydrocracker",IF($H7819="REFORMING","Reformer",""))))</f>
        <v>FCC</v>
      </c>
      <c r="H7819" s="6" t="s">
        <v>376</v>
      </c>
      <c r="I7819" s="6" t="s">
        <v>105</v>
      </c>
      <c r="J7819" s="6" t="s">
        <v>345</v>
      </c>
      <c r="K7819" s="10">
        <v>4.55</v>
      </c>
      <c r="L7819" s="10">
        <v>35</v>
      </c>
      <c r="M7819" s="6" t="s">
        <v>386</v>
      </c>
    </row>
    <row r="7820" spans="1:13">
      <c r="A7820" s="6">
        <v>2026</v>
      </c>
      <c r="B7820" s="6">
        <v>5</v>
      </c>
      <c r="C7820" s="6" t="s">
        <v>63</v>
      </c>
      <c r="D7820" s="6" t="s">
        <v>526</v>
      </c>
      <c r="E7820" s="6" t="s">
        <v>405</v>
      </c>
      <c r="F7820" s="6" t="str">
        <f>IF($M7820="PADD I","PADD 1",IF($M7820="PADD II","PADD 2",IF($M7820="PADD III","PADD 3",IF($M7820="PADD IV","PADD 4",IF($M7820="PADD V","PADD 5","")))))</f>
        <v>PADD 3</v>
      </c>
      <c r="G7820" s="6">
        <f>IF(AND($H7820="ATMOS DISTILLATION",ISNUMBER(SEARCH("VPS",$I7820))=FALSE,LEFT($I7820,6)&lt;&gt;"VACUUM"),"CDU",IF($H7820="FLUID CAT CRACKING","FCC",IF(OR($H7820="HYDROCRACKING",$H7820="RESID_HYDROCRACKING"),"Hydrocracker",IF($H7820="REFORMING","Reformer",""))))</f>
        <v/>
      </c>
      <c r="H7820" s="6" t="s">
        <v>435</v>
      </c>
      <c r="I7820" s="6" t="s">
        <v>686</v>
      </c>
      <c r="J7820" s="6" t="s">
        <v>345</v>
      </c>
      <c r="K7820" s="10">
        <v>4.55</v>
      </c>
      <c r="L7820" s="10">
        <v>17.5</v>
      </c>
      <c r="M7820" s="6" t="s">
        <v>371</v>
      </c>
    </row>
    <row r="7821" spans="1:13">
      <c r="A7821" s="6">
        <v>2026</v>
      </c>
      <c r="B7821" s="6">
        <v>5</v>
      </c>
      <c r="C7821" s="6" t="s">
        <v>63</v>
      </c>
      <c r="D7821" s="6" t="s">
        <v>526</v>
      </c>
      <c r="E7821" s="6" t="s">
        <v>405</v>
      </c>
      <c r="F7821" s="6" t="str">
        <f>IF($M7821="PADD I","PADD 1",IF($M7821="PADD II","PADD 2",IF($M7821="PADD III","PADD 3",IF($M7821="PADD IV","PADD 4",IF($M7821="PADD V","PADD 5","")))))</f>
        <v>PADD 3</v>
      </c>
      <c r="G7821" s="6" t="str">
        <f>IF(AND($H7821="ATMOS DISTILLATION",ISNUMBER(SEARCH("VPS",$I7821))=FALSE,LEFT($I7821,6)&lt;&gt;"VACUUM"),"CDU",IF($H7821="FLUID CAT CRACKING","FCC",IF(OR($H7821="HYDROCRACKING",$H7821="RESID_HYDROCRACKING"),"Hydrocracker",IF($H7821="REFORMING","Reformer",""))))</f>
        <v>FCC</v>
      </c>
      <c r="H7821" s="6" t="s">
        <v>376</v>
      </c>
      <c r="I7821" s="6" t="s">
        <v>344</v>
      </c>
      <c r="J7821" s="6" t="s">
        <v>345</v>
      </c>
      <c r="K7821" s="10">
        <v>4.5</v>
      </c>
      <c r="L7821" s="10">
        <v>75</v>
      </c>
      <c r="M7821" s="6" t="s">
        <v>371</v>
      </c>
    </row>
    <row r="7822" spans="1:13">
      <c r="A7822" s="6">
        <v>2026</v>
      </c>
      <c r="B7822" s="6">
        <v>5</v>
      </c>
      <c r="C7822" s="6" t="s">
        <v>63</v>
      </c>
      <c r="D7822" s="6" t="s">
        <v>321</v>
      </c>
      <c r="E7822" s="6" t="s">
        <v>381</v>
      </c>
      <c r="F7822" s="6" t="str">
        <f>IF($M7822="PADD I","PADD 1",IF($M7822="PADD II","PADD 2",IF($M7822="PADD III","PADD 3",IF($M7822="PADD IV","PADD 4",IF($M7822="PADD V","PADD 5","")))))</f>
        <v>PADD 2</v>
      </c>
      <c r="G7822" s="6" t="str">
        <f>IF(AND($H7822="ATMOS DISTILLATION",ISNUMBER(SEARCH("VPS",$I7822))=FALSE,LEFT($I7822,6)&lt;&gt;"VACUUM"),"CDU",IF($H7822="FLUID CAT CRACKING","FCC",IF(OR($H7822="HYDROCRACKING",$H7822="RESID_HYDROCRACKING"),"Hydrocracker",IF($H7822="REFORMING","Reformer",""))))</f>
        <v>FCC</v>
      </c>
      <c r="H7822" s="6" t="s">
        <v>376</v>
      </c>
      <c r="I7822" s="6" t="s">
        <v>105</v>
      </c>
      <c r="J7822" s="6" t="s">
        <v>345</v>
      </c>
      <c r="K7822" s="10">
        <v>4.5</v>
      </c>
      <c r="L7822" s="10">
        <v>10</v>
      </c>
      <c r="M7822" s="6" t="s">
        <v>375</v>
      </c>
    </row>
    <row r="7823" spans="1:13">
      <c r="A7823" s="6">
        <v>2026</v>
      </c>
      <c r="B7823" s="6">
        <v>5</v>
      </c>
      <c r="C7823" s="6" t="s">
        <v>63</v>
      </c>
      <c r="D7823" s="6" t="s">
        <v>48</v>
      </c>
      <c r="E7823" s="6" t="s">
        <v>388</v>
      </c>
      <c r="F7823" s="6" t="str">
        <f>IF($M7823="PADD I","PADD 1",IF($M7823="PADD II","PADD 2",IF($M7823="PADD III","PADD 3",IF($M7823="PADD IV","PADD 4",IF($M7823="PADD V","PADD 5","")))))</f>
        <v>PADD 2</v>
      </c>
      <c r="G7823" s="6">
        <f>IF(AND($H7823="ATMOS DISTILLATION",ISNUMBER(SEARCH("VPS",$I7823))=FALSE,LEFT($I7823,6)&lt;&gt;"VACUUM"),"CDU",IF($H7823="FLUID CAT CRACKING","FCC",IF(OR($H7823="HYDROCRACKING",$H7823="RESID_HYDROCRACKING"),"Hydrocracker",IF($H7823="REFORMING","Reformer",""))))</f>
        <v/>
      </c>
      <c r="H7823" s="6" t="s">
        <v>568</v>
      </c>
      <c r="I7823" s="6" t="s">
        <v>604</v>
      </c>
      <c r="J7823" s="6" t="s">
        <v>349</v>
      </c>
      <c r="K7823" s="10">
        <v>4.263</v>
      </c>
      <c r="L7823" s="10">
        <v>14.7</v>
      </c>
      <c r="M7823" s="6" t="s">
        <v>375</v>
      </c>
    </row>
    <row r="7824" spans="1:13">
      <c r="A7824" s="6">
        <v>2026</v>
      </c>
      <c r="B7824" s="6">
        <v>5</v>
      </c>
      <c r="C7824" s="6" t="s">
        <v>63</v>
      </c>
      <c r="D7824" s="6" t="s">
        <v>429</v>
      </c>
      <c r="E7824" s="6" t="s">
        <v>388</v>
      </c>
      <c r="F7824" s="6" t="str">
        <f>IF($M7824="PADD I","PADD 1",IF($M7824="PADD II","PADD 2",IF($M7824="PADD III","PADD 3",IF($M7824="PADD IV","PADD 4",IF($M7824="PADD V","PADD 5","")))))</f>
        <v>PADD 4</v>
      </c>
      <c r="G7824" s="6" t="str">
        <f>IF(AND($H7824="ATMOS DISTILLATION",ISNUMBER(SEARCH("VPS",$I7824))=FALSE,LEFT($I7824,6)&lt;&gt;"VACUUM"),"CDU",IF($H7824="FLUID CAT CRACKING","FCC",IF(OR($H7824="HYDROCRACKING",$H7824="RESID_HYDROCRACKING"),"Hydrocracker",IF($H7824="REFORMING","Reformer",""))))</f>
        <v>FCC</v>
      </c>
      <c r="H7824" s="6" t="s">
        <v>376</v>
      </c>
      <c r="I7824" s="6" t="s">
        <v>105</v>
      </c>
      <c r="J7824" s="6" t="s">
        <v>345</v>
      </c>
      <c r="K7824" s="10">
        <v>4.224</v>
      </c>
      <c r="L7824" s="10">
        <v>26.4</v>
      </c>
      <c r="M7824" s="6" t="s">
        <v>430</v>
      </c>
    </row>
    <row r="7825" spans="1:13">
      <c r="A7825" s="6">
        <v>2026</v>
      </c>
      <c r="B7825" s="6">
        <v>5</v>
      </c>
      <c r="C7825" s="6" t="s">
        <v>63</v>
      </c>
      <c r="D7825" s="6" t="s">
        <v>1323</v>
      </c>
      <c r="E7825" s="6" t="s">
        <v>369</v>
      </c>
      <c r="F7825" s="6" t="str">
        <f>IF($M7825="PADD I","PADD 1",IF($M7825="PADD II","PADD 2",IF($M7825="PADD III","PADD 3",IF($M7825="PADD IV","PADD 4",IF($M7825="PADD V","PADD 5","")))))</f>
        <v>PADD 5</v>
      </c>
      <c r="G7825" s="6">
        <f>IF(AND($H7825="ATMOS DISTILLATION",ISNUMBER(SEARCH("VPS",$I7825))=FALSE,LEFT($I7825,6)&lt;&gt;"VACUUM"),"CDU",IF($H7825="FLUID CAT CRACKING","FCC",IF(OR($H7825="HYDROCRACKING",$H7825="RESID_HYDROCRACKING"),"Hydrocracker",IF($H7825="REFORMING","Reformer",""))))</f>
        <v/>
      </c>
      <c r="H7825" s="6" t="s">
        <v>43</v>
      </c>
      <c r="I7825" s="6" t="s">
        <v>811</v>
      </c>
      <c r="J7825" s="6" t="s">
        <v>345</v>
      </c>
      <c r="K7825" s="10">
        <v>4.16</v>
      </c>
      <c r="L7825" s="10">
        <v>32</v>
      </c>
      <c r="M7825" s="6" t="s">
        <v>386</v>
      </c>
    </row>
    <row r="7826" spans="1:13">
      <c r="A7826" s="6">
        <v>2026</v>
      </c>
      <c r="B7826" s="6">
        <v>5</v>
      </c>
      <c r="C7826" s="6" t="s">
        <v>63</v>
      </c>
      <c r="D7826" s="6" t="s">
        <v>878</v>
      </c>
      <c r="E7826" s="6" t="s">
        <v>452</v>
      </c>
      <c r="F7826" s="6" t="str">
        <f>IF($M7826="PADD I","PADD 1",IF($M7826="PADD II","PADD 2",IF($M7826="PADD III","PADD 3",IF($M7826="PADD IV","PADD 4",IF($M7826="PADD V","PADD 5","")))))</f>
        <v>PADD 2</v>
      </c>
      <c r="G7826" s="6">
        <f>IF(AND($H7826="ATMOS DISTILLATION",ISNUMBER(SEARCH("VPS",$I7826))=FALSE,LEFT($I7826,6)&lt;&gt;"VACUUM"),"CDU",IF($H7826="FLUID CAT CRACKING","FCC",IF(OR($H7826="HYDROCRACKING",$H7826="RESID_HYDROCRACKING"),"Hydrocracker",IF($H7826="REFORMING","Reformer",""))))</f>
        <v/>
      </c>
      <c r="H7826" s="6" t="s">
        <v>435</v>
      </c>
      <c r="I7826" s="6" t="s">
        <v>441</v>
      </c>
      <c r="J7826" s="6" t="s">
        <v>345</v>
      </c>
      <c r="K7826" s="10">
        <v>4.08</v>
      </c>
      <c r="L7826" s="10">
        <v>8.5</v>
      </c>
      <c r="M7826" s="6" t="s">
        <v>375</v>
      </c>
    </row>
    <row r="7827" spans="1:13">
      <c r="A7827" s="6">
        <v>2026</v>
      </c>
      <c r="B7827" s="6">
        <v>5</v>
      </c>
      <c r="C7827" s="6" t="s">
        <v>63</v>
      </c>
      <c r="D7827" s="6" t="s">
        <v>662</v>
      </c>
      <c r="E7827" s="6" t="s">
        <v>552</v>
      </c>
      <c r="F7827" s="6" t="str">
        <f>IF($M7827="PADD I","PADD 1",IF($M7827="PADD II","PADD 2",IF($M7827="PADD III","PADD 3",IF($M7827="PADD IV","PADD 4",IF($M7827="PADD V","PADD 5","")))))</f>
        <v>PADD 3</v>
      </c>
      <c r="G7827" s="6" t="str">
        <f>IF(AND($H7827="ATMOS DISTILLATION",ISNUMBER(SEARCH("VPS",$I7827))=FALSE,LEFT($I7827,6)&lt;&gt;"VACUUM"),"CDU",IF($H7827="FLUID CAT CRACKING","FCC",IF(OR($H7827="HYDROCRACKING",$H7827="RESID_HYDROCRACKING"),"Hydrocracker",IF($H7827="REFORMING","Reformer",""))))</f>
        <v>FCC</v>
      </c>
      <c r="H7827" s="6" t="s">
        <v>376</v>
      </c>
      <c r="I7827" s="6" t="s">
        <v>105</v>
      </c>
      <c r="J7827" s="6" t="s">
        <v>345</v>
      </c>
      <c r="K7827" s="10">
        <v>4</v>
      </c>
      <c r="L7827" s="10">
        <v>25</v>
      </c>
      <c r="M7827" s="6" t="s">
        <v>371</v>
      </c>
    </row>
    <row r="7828" spans="1:13">
      <c r="A7828" s="6">
        <v>2026</v>
      </c>
      <c r="B7828" s="6">
        <v>5</v>
      </c>
      <c r="C7828" s="6" t="s">
        <v>63</v>
      </c>
      <c r="D7828" s="6" t="s">
        <v>429</v>
      </c>
      <c r="E7828" s="6" t="s">
        <v>388</v>
      </c>
      <c r="F7828" s="6" t="str">
        <f>IF($M7828="PADD I","PADD 1",IF($M7828="PADD II","PADD 2",IF($M7828="PADD III","PADD 3",IF($M7828="PADD IV","PADD 4",IF($M7828="PADD V","PADD 5","")))))</f>
        <v>PADD 4</v>
      </c>
      <c r="G7828" s="6">
        <f>IF(AND($H7828="ATMOS DISTILLATION",ISNUMBER(SEARCH("VPS",$I7828))=FALSE,LEFT($I7828,6)&lt;&gt;"VACUUM"),"CDU",IF($H7828="FLUID CAT CRACKING","FCC",IF(OR($H7828="HYDROCRACKING",$H7828="RESID_HYDROCRACKING"),"Hydrocracker",IF($H7828="REFORMING","Reformer",""))))</f>
        <v/>
      </c>
      <c r="H7828" s="6" t="s">
        <v>43</v>
      </c>
      <c r="I7828" s="6" t="s">
        <v>514</v>
      </c>
      <c r="J7828" s="6" t="s">
        <v>345</v>
      </c>
      <c r="K7828" s="10">
        <v>3.933</v>
      </c>
      <c r="L7828" s="10">
        <v>17.1</v>
      </c>
      <c r="M7828" s="6" t="s">
        <v>430</v>
      </c>
    </row>
    <row r="7829" spans="1:13">
      <c r="A7829" s="6">
        <v>2026</v>
      </c>
      <c r="B7829" s="6">
        <v>5</v>
      </c>
      <c r="C7829" s="6" t="s">
        <v>63</v>
      </c>
      <c r="D7829" s="6" t="s">
        <v>321</v>
      </c>
      <c r="E7829" s="6" t="s">
        <v>381</v>
      </c>
      <c r="F7829" s="6" t="str">
        <f>IF($M7829="PADD I","PADD 1",IF($M7829="PADD II","PADD 2",IF($M7829="PADD III","PADD 3",IF($M7829="PADD IV","PADD 4",IF($M7829="PADD V","PADD 5","")))))</f>
        <v>PADD 2</v>
      </c>
      <c r="G7829" s="6" t="str">
        <f>IF(AND($H7829="ATMOS DISTILLATION",ISNUMBER(SEARCH("VPS",$I7829))=FALSE,LEFT($I7829,6)&lt;&gt;"VACUUM"),"CDU",IF($H7829="FLUID CAT CRACKING","FCC",IF(OR($H7829="HYDROCRACKING",$H7829="RESID_HYDROCRACKING"),"Hydrocracker",IF($H7829="REFORMING","Reformer",""))))</f>
        <v>Reformer</v>
      </c>
      <c r="H7829" s="6" t="s">
        <v>421</v>
      </c>
      <c r="I7829" s="6" t="s">
        <v>228</v>
      </c>
      <c r="J7829" s="6" t="s">
        <v>345</v>
      </c>
      <c r="K7829" s="10">
        <v>3.9</v>
      </c>
      <c r="L7829" s="10">
        <v>10</v>
      </c>
      <c r="M7829" s="6" t="s">
        <v>375</v>
      </c>
    </row>
    <row r="7830" spans="1:13">
      <c r="A7830" s="6">
        <v>2026</v>
      </c>
      <c r="B7830" s="6">
        <v>5</v>
      </c>
      <c r="C7830" s="6" t="s">
        <v>63</v>
      </c>
      <c r="D7830" s="6" t="s">
        <v>646</v>
      </c>
      <c r="E7830" s="6" t="s">
        <v>405</v>
      </c>
      <c r="F7830" s="6" t="str">
        <f>IF($M7830="PADD I","PADD 1",IF($M7830="PADD II","PADD 2",IF($M7830="PADD III","PADD 3",IF($M7830="PADD IV","PADD 4",IF($M7830="PADD V","PADD 5","")))))</f>
        <v>PADD 3</v>
      </c>
      <c r="G7830" s="6">
        <f>IF(AND($H7830="ATMOS DISTILLATION",ISNUMBER(SEARCH("VPS",$I7830))=FALSE,LEFT($I7830,6)&lt;&gt;"VACUUM"),"CDU",IF($H7830="FLUID CAT CRACKING","FCC",IF(OR($H7830="HYDROCRACKING",$H7830="RESID_HYDROCRACKING"),"Hydrocracker",IF($H7830="REFORMING","Reformer",""))))</f>
        <v/>
      </c>
      <c r="H7830" s="6" t="s">
        <v>43</v>
      </c>
      <c r="I7830" s="6" t="s">
        <v>843</v>
      </c>
      <c r="J7830" s="6" t="s">
        <v>345</v>
      </c>
      <c r="K7830" s="10">
        <v>3.8</v>
      </c>
      <c r="L7830" s="10">
        <v>20</v>
      </c>
      <c r="M7830" s="6" t="s">
        <v>371</v>
      </c>
    </row>
    <row r="7831" spans="1:13">
      <c r="A7831" s="6">
        <v>2026</v>
      </c>
      <c r="B7831" s="6">
        <v>5</v>
      </c>
      <c r="C7831" s="6" t="s">
        <v>63</v>
      </c>
      <c r="D7831" s="6" t="s">
        <v>390</v>
      </c>
      <c r="E7831" s="6" t="s">
        <v>391</v>
      </c>
      <c r="F7831" s="6" t="str">
        <f>IF($M7831="PADD I","PADD 1",IF($M7831="PADD II","PADD 2",IF($M7831="PADD III","PADD 3",IF($M7831="PADD IV","PADD 4",IF($M7831="PADD V","PADD 5","")))))</f>
        <v>PADD 3</v>
      </c>
      <c r="G7831" s="6" t="str">
        <f>IF(AND($H7831="ATMOS DISTILLATION",ISNUMBER(SEARCH("VPS",$I7831))=FALSE,LEFT($I7831,6)&lt;&gt;"VACUUM"),"CDU",IF($H7831="FLUID CAT CRACKING","FCC",IF(OR($H7831="HYDROCRACKING",$H7831="RESID_HYDROCRACKING"),"Hydrocracker",IF($H7831="REFORMING","Reformer",""))))</f>
        <v>Hydrocracker</v>
      </c>
      <c r="H7831" s="6" t="s">
        <v>444</v>
      </c>
      <c r="I7831" s="6" t="s">
        <v>1263</v>
      </c>
      <c r="J7831" s="6" t="s">
        <v>345</v>
      </c>
      <c r="K7831" s="10">
        <v>3.77</v>
      </c>
      <c r="L7831" s="10">
        <v>29</v>
      </c>
      <c r="M7831" s="6" t="s">
        <v>371</v>
      </c>
    </row>
    <row r="7832" spans="1:13">
      <c r="A7832" s="6">
        <v>2026</v>
      </c>
      <c r="B7832" s="6">
        <v>5</v>
      </c>
      <c r="C7832" s="6" t="s">
        <v>63</v>
      </c>
      <c r="D7832" s="6" t="s">
        <v>446</v>
      </c>
      <c r="E7832" s="6" t="s">
        <v>391</v>
      </c>
      <c r="F7832" s="6" t="str">
        <f>IF($M7832="PADD I","PADD 1",IF($M7832="PADD II","PADD 2",IF($M7832="PADD III","PADD 3",IF($M7832="PADD IV","PADD 4",IF($M7832="PADD V","PADD 5","")))))</f>
        <v>PADD 3</v>
      </c>
      <c r="G7832" s="6">
        <f>IF(AND($H7832="ATMOS DISTILLATION",ISNUMBER(SEARCH("VPS",$I7832))=FALSE,LEFT($I7832,6)&lt;&gt;"VACUUM"),"CDU",IF($H7832="FLUID CAT CRACKING","FCC",IF(OR($H7832="HYDROCRACKING",$H7832="RESID_HYDROCRACKING"),"Hydrocracker",IF($H7832="REFORMING","Reformer",""))))</f>
        <v/>
      </c>
      <c r="H7832" s="6" t="s">
        <v>460</v>
      </c>
      <c r="I7832" s="6" t="s">
        <v>580</v>
      </c>
      <c r="J7832" s="6" t="s">
        <v>345</v>
      </c>
      <c r="K7832" s="10">
        <v>3.744</v>
      </c>
      <c r="L7832" s="10">
        <v>7.2</v>
      </c>
      <c r="M7832" s="6" t="s">
        <v>371</v>
      </c>
    </row>
    <row r="7833" spans="1:13">
      <c r="A7833" s="6">
        <v>2026</v>
      </c>
      <c r="B7833" s="6">
        <v>5</v>
      </c>
      <c r="C7833" s="6" t="s">
        <v>63</v>
      </c>
      <c r="D7833" s="6" t="s">
        <v>742</v>
      </c>
      <c r="E7833" s="6" t="s">
        <v>388</v>
      </c>
      <c r="F7833" s="6" t="str">
        <f>IF($M7833="PADD I","PADD 1",IF($M7833="PADD II","PADD 2",IF($M7833="PADD III","PADD 3",IF($M7833="PADD IV","PADD 4",IF($M7833="PADD V","PADD 5","")))))</f>
        <v>PADD 5</v>
      </c>
      <c r="G7833" s="6">
        <f>IF(AND($H7833="ATMOS DISTILLATION",ISNUMBER(SEARCH("VPS",$I7833))=FALSE,LEFT($I7833,6)&lt;&gt;"VACUUM"),"CDU",IF($H7833="FLUID CAT CRACKING","FCC",IF(OR($H7833="HYDROCRACKING",$H7833="RESID_HYDROCRACKING"),"Hydrocracker",IF($H7833="REFORMING","Reformer",""))))</f>
        <v/>
      </c>
      <c r="H7833" s="6" t="s">
        <v>568</v>
      </c>
      <c r="I7833" s="6" t="s">
        <v>768</v>
      </c>
      <c r="J7833" s="6" t="s">
        <v>349</v>
      </c>
      <c r="K7833" s="10">
        <v>3.5</v>
      </c>
      <c r="L7833" s="10">
        <v>3.5</v>
      </c>
      <c r="M7833" s="6" t="s">
        <v>386</v>
      </c>
    </row>
    <row r="7834" spans="1:13">
      <c r="A7834" s="6">
        <v>2026</v>
      </c>
      <c r="B7834" s="6">
        <v>5</v>
      </c>
      <c r="C7834" s="6" t="s">
        <v>63</v>
      </c>
      <c r="D7834" s="6" t="s">
        <v>500</v>
      </c>
      <c r="E7834" s="6" t="s">
        <v>388</v>
      </c>
      <c r="F7834" s="6" t="str">
        <f>IF($M7834="PADD I","PADD 1",IF($M7834="PADD II","PADD 2",IF($M7834="PADD III","PADD 3",IF($M7834="PADD IV","PADD 4",IF($M7834="PADD V","PADD 5","")))))</f>
        <v>PADD 2</v>
      </c>
      <c r="G7834" s="6" t="str">
        <f>IF(AND($H7834="ATMOS DISTILLATION",ISNUMBER(SEARCH("VPS",$I7834))=FALSE,LEFT($I7834,6)&lt;&gt;"VACUUM"),"CDU",IF($H7834="FLUID CAT CRACKING","FCC",IF(OR($H7834="HYDROCRACKING",$H7834="RESID_HYDROCRACKING"),"Hydrocracker",IF($H7834="REFORMING","Reformer",""))))</f>
        <v>FCC</v>
      </c>
      <c r="H7834" s="6" t="s">
        <v>376</v>
      </c>
      <c r="I7834" s="6" t="s">
        <v>105</v>
      </c>
      <c r="J7834" s="6" t="s">
        <v>345</v>
      </c>
      <c r="K7834" s="10">
        <v>3.38</v>
      </c>
      <c r="L7834" s="10">
        <v>26</v>
      </c>
      <c r="M7834" s="6" t="s">
        <v>375</v>
      </c>
    </row>
    <row r="7835" spans="1:13">
      <c r="A7835" s="6">
        <v>2026</v>
      </c>
      <c r="B7835" s="6">
        <v>5</v>
      </c>
      <c r="C7835" s="6" t="s">
        <v>63</v>
      </c>
      <c r="D7835" s="6" t="s">
        <v>390</v>
      </c>
      <c r="E7835" s="6" t="s">
        <v>391</v>
      </c>
      <c r="F7835" s="6" t="str">
        <f>IF($M7835="PADD I","PADD 1",IF($M7835="PADD II","PADD 2",IF($M7835="PADD III","PADD 3",IF($M7835="PADD IV","PADD 4",IF($M7835="PADD V","PADD 5","")))))</f>
        <v>PADD 3</v>
      </c>
      <c r="G7835" s="6">
        <f>IF(AND($H7835="ATMOS DISTILLATION",ISNUMBER(SEARCH("VPS",$I7835))=FALSE,LEFT($I7835,6)&lt;&gt;"VACUUM"),"CDU",IF($H7835="FLUID CAT CRACKING","FCC",IF(OR($H7835="HYDROCRACKING",$H7835="RESID_HYDROCRACKING"),"Hydrocracker",IF($H7835="REFORMING","Reformer",""))))</f>
        <v/>
      </c>
      <c r="H7835" s="6" t="s">
        <v>435</v>
      </c>
      <c r="I7835" s="6" t="s">
        <v>1137</v>
      </c>
      <c r="J7835" s="6" t="s">
        <v>345</v>
      </c>
      <c r="K7835" s="10">
        <v>3.15</v>
      </c>
      <c r="L7835" s="10">
        <v>105</v>
      </c>
      <c r="M7835" s="6" t="s">
        <v>371</v>
      </c>
    </row>
    <row r="7836" spans="1:13">
      <c r="A7836" s="6">
        <v>2026</v>
      </c>
      <c r="B7836" s="6">
        <v>5</v>
      </c>
      <c r="C7836" s="6" t="s">
        <v>63</v>
      </c>
      <c r="D7836" s="6" t="s">
        <v>531</v>
      </c>
      <c r="E7836" s="6" t="s">
        <v>532</v>
      </c>
      <c r="F7836" s="6" t="str">
        <f>IF($M7836="PADD I","PADD 1",IF($M7836="PADD II","PADD 2",IF($M7836="PADD III","PADD 3",IF($M7836="PADD IV","PADD 4",IF($M7836="PADD V","PADD 5","")))))</f>
        <v>PADD 5</v>
      </c>
      <c r="G7836" s="6" t="str">
        <f>IF(AND($H7836="ATMOS DISTILLATION",ISNUMBER(SEARCH("VPS",$I7836))=FALSE,LEFT($I7836,6)&lt;&gt;"VACUUM"),"CDU",IF($H7836="FLUID CAT CRACKING","FCC",IF(OR($H7836="HYDROCRACKING",$H7836="RESID_HYDROCRACKING"),"Hydrocracker",IF($H7836="REFORMING","Reformer",""))))</f>
        <v>Hydrocracker</v>
      </c>
      <c r="H7836" s="6" t="s">
        <v>444</v>
      </c>
      <c r="I7836" s="6" t="s">
        <v>14</v>
      </c>
      <c r="J7836" s="6" t="s">
        <v>345</v>
      </c>
      <c r="K7836" s="10">
        <v>3.12</v>
      </c>
      <c r="L7836" s="10">
        <v>24</v>
      </c>
      <c r="M7836" s="6" t="s">
        <v>386</v>
      </c>
    </row>
    <row r="7837" spans="1:13">
      <c r="A7837" s="6">
        <v>2026</v>
      </c>
      <c r="B7837" s="6">
        <v>5</v>
      </c>
      <c r="C7837" s="6" t="s">
        <v>63</v>
      </c>
      <c r="D7837" s="6" t="s">
        <v>52</v>
      </c>
      <c r="E7837" s="6" t="s">
        <v>388</v>
      </c>
      <c r="F7837" s="6" t="str">
        <f>IF($M7837="PADD I","PADD 1",IF($M7837="PADD II","PADD 2",IF($M7837="PADD III","PADD 3",IF($M7837="PADD IV","PADD 4",IF($M7837="PADD V","PADD 5","")))))</f>
        <v>PADD 5</v>
      </c>
      <c r="G7837" s="6">
        <f>IF(AND($H7837="ATMOS DISTILLATION",ISNUMBER(SEARCH("VPS",$I7837))=FALSE,LEFT($I7837,6)&lt;&gt;"VACUUM"),"CDU",IF($H7837="FLUID CAT CRACKING","FCC",IF(OR($H7837="HYDROCRACKING",$H7837="RESID_HYDROCRACKING"),"Hydrocracker",IF($H7837="REFORMING","Reformer",""))))</f>
        <v/>
      </c>
      <c r="H7837" s="6" t="s">
        <v>568</v>
      </c>
      <c r="I7837" s="6" t="s">
        <v>825</v>
      </c>
      <c r="J7837" s="6" t="s">
        <v>349</v>
      </c>
      <c r="K7837" s="10">
        <v>2.96</v>
      </c>
      <c r="L7837" s="10">
        <v>4</v>
      </c>
      <c r="M7837" s="6" t="s">
        <v>386</v>
      </c>
    </row>
    <row r="7838" spans="1:13">
      <c r="A7838" s="6">
        <v>2026</v>
      </c>
      <c r="B7838" s="6">
        <v>5</v>
      </c>
      <c r="C7838" s="6" t="s">
        <v>63</v>
      </c>
      <c r="D7838" s="6" t="s">
        <v>778</v>
      </c>
      <c r="E7838" s="6" t="s">
        <v>779</v>
      </c>
      <c r="F7838" s="6" t="str">
        <f>IF($M7838="PADD I","PADD 1",IF($M7838="PADD II","PADD 2",IF($M7838="PADD III","PADD 3",IF($M7838="PADD IV","PADD 4",IF($M7838="PADD V","PADD 5","")))))</f>
        <v>PADD 3</v>
      </c>
      <c r="G7838" s="6" t="str">
        <f>IF(AND($H7838="ATMOS DISTILLATION",ISNUMBER(SEARCH("VPS",$I7838))=FALSE,LEFT($I7838,6)&lt;&gt;"VACUUM"),"CDU",IF($H7838="FLUID CAT CRACKING","FCC",IF(OR($H7838="HYDROCRACKING",$H7838="RESID_HYDROCRACKING"),"Hydrocracker",IF($H7838="REFORMING","Reformer",""))))</f>
        <v>Reformer</v>
      </c>
      <c r="H7838" s="6" t="s">
        <v>421</v>
      </c>
      <c r="I7838" s="6" t="s">
        <v>804</v>
      </c>
      <c r="J7838" s="6" t="s">
        <v>345</v>
      </c>
      <c r="K7838" s="10">
        <v>2.88</v>
      </c>
      <c r="L7838" s="10">
        <v>48</v>
      </c>
      <c r="M7838" s="6" t="s">
        <v>371</v>
      </c>
    </row>
    <row r="7839" spans="1:13">
      <c r="A7839" s="6">
        <v>2026</v>
      </c>
      <c r="B7839" s="6">
        <v>5</v>
      </c>
      <c r="C7839" s="6" t="s">
        <v>63</v>
      </c>
      <c r="D7839" s="6" t="s">
        <v>576</v>
      </c>
      <c r="E7839" s="6" t="s">
        <v>369</v>
      </c>
      <c r="F7839" s="6" t="str">
        <f>IF($M7839="PADD I","PADD 1",IF($M7839="PADD II","PADD 2",IF($M7839="PADD III","PADD 3",IF($M7839="PADD IV","PADD 4",IF($M7839="PADD V","PADD 5","")))))</f>
        <v>PADD 3</v>
      </c>
      <c r="G7839" s="6" t="str">
        <f>IF(AND($H7839="ATMOS DISTILLATION",ISNUMBER(SEARCH("VPS",$I7839))=FALSE,LEFT($I7839,6)&lt;&gt;"VACUUM"),"CDU",IF($H7839="FLUID CAT CRACKING","FCC",IF(OR($H7839="HYDROCRACKING",$H7839="RESID_HYDROCRACKING"),"Hydrocracker",IF($H7839="REFORMING","Reformer",""))))</f>
        <v>FCC</v>
      </c>
      <c r="H7839" s="6" t="s">
        <v>376</v>
      </c>
      <c r="I7839" s="6" t="s">
        <v>105</v>
      </c>
      <c r="J7839" s="6" t="s">
        <v>345</v>
      </c>
      <c r="K7839" s="10">
        <v>2.784</v>
      </c>
      <c r="L7839" s="10">
        <v>46.4</v>
      </c>
      <c r="M7839" s="6" t="s">
        <v>371</v>
      </c>
    </row>
    <row r="7840" spans="1:13">
      <c r="A7840" s="6">
        <v>2026</v>
      </c>
      <c r="B7840" s="6">
        <v>5</v>
      </c>
      <c r="C7840" s="6" t="s">
        <v>63</v>
      </c>
      <c r="D7840" s="6" t="s">
        <v>500</v>
      </c>
      <c r="E7840" s="6" t="s">
        <v>388</v>
      </c>
      <c r="F7840" s="6" t="str">
        <f>IF($M7840="PADD I","PADD 1",IF($M7840="PADD II","PADD 2",IF($M7840="PADD III","PADD 3",IF($M7840="PADD IV","PADD 4",IF($M7840="PADD V","PADD 5","")))))</f>
        <v>PADD 2</v>
      </c>
      <c r="G7840" s="6" t="str">
        <f>IF(AND($H7840="ATMOS DISTILLATION",ISNUMBER(SEARCH("VPS",$I7840))=FALSE,LEFT($I7840,6)&lt;&gt;"VACUUM"),"CDU",IF($H7840="FLUID CAT CRACKING","FCC",IF(OR($H7840="HYDROCRACKING",$H7840="RESID_HYDROCRACKING"),"Hydrocracker",IF($H7840="REFORMING","Reformer",""))))</f>
        <v>CDU</v>
      </c>
      <c r="H7840" s="6" t="s">
        <v>38</v>
      </c>
      <c r="I7840" s="6" t="s">
        <v>530</v>
      </c>
      <c r="J7840" s="6" t="s">
        <v>345</v>
      </c>
      <c r="K7840" s="10">
        <v>2.76</v>
      </c>
      <c r="L7840" s="10">
        <v>92</v>
      </c>
      <c r="M7840" s="6" t="s">
        <v>375</v>
      </c>
    </row>
    <row r="7841" spans="1:13">
      <c r="A7841" s="6">
        <v>2026</v>
      </c>
      <c r="B7841" s="6">
        <v>5</v>
      </c>
      <c r="C7841" s="6" t="s">
        <v>63</v>
      </c>
      <c r="D7841" s="6" t="s">
        <v>615</v>
      </c>
      <c r="E7841" s="6" t="s">
        <v>405</v>
      </c>
      <c r="F7841" s="6" t="str">
        <f>IF($M7841="PADD I","PADD 1",IF($M7841="PADD II","PADD 2",IF($M7841="PADD III","PADD 3",IF($M7841="PADD IV","PADD 4",IF($M7841="PADD V","PADD 5","")))))</f>
        <v>PADD 5</v>
      </c>
      <c r="G7841" s="6">
        <f>IF(AND($H7841="ATMOS DISTILLATION",ISNUMBER(SEARCH("VPS",$I7841))=FALSE,LEFT($I7841,6)&lt;&gt;"VACUUM"),"CDU",IF($H7841="FLUID CAT CRACKING","FCC",IF(OR($H7841="HYDROCRACKING",$H7841="RESID_HYDROCRACKING"),"Hydrocracker",IF($H7841="REFORMING","Reformer",""))))</f>
        <v/>
      </c>
      <c r="H7841" s="6" t="s">
        <v>43</v>
      </c>
      <c r="I7841" s="6" t="s">
        <v>1185</v>
      </c>
      <c r="J7841" s="6" t="s">
        <v>349</v>
      </c>
      <c r="K7841" s="10">
        <v>2.76</v>
      </c>
      <c r="L7841" s="10">
        <v>12</v>
      </c>
      <c r="M7841" s="6" t="s">
        <v>386</v>
      </c>
    </row>
    <row r="7842" spans="1:13">
      <c r="A7842" s="6">
        <v>2026</v>
      </c>
      <c r="B7842" s="6">
        <v>5</v>
      </c>
      <c r="C7842" s="6" t="s">
        <v>63</v>
      </c>
      <c r="D7842" s="6" t="s">
        <v>722</v>
      </c>
      <c r="E7842" s="6" t="s">
        <v>452</v>
      </c>
      <c r="F7842" s="6" t="str">
        <f>IF($M7842="PADD I","PADD 1",IF($M7842="PADD II","PADD 2",IF($M7842="PADD III","PADD 3",IF($M7842="PADD IV","PADD 4",IF($M7842="PADD V","PADD 5","")))))</f>
        <v>PADD 4</v>
      </c>
      <c r="G7842" s="6" t="str">
        <f>IF(AND($H7842="ATMOS DISTILLATION",ISNUMBER(SEARCH("VPS",$I7842))=FALSE,LEFT($I7842,6)&lt;&gt;"VACUUM"),"CDU",IF($H7842="FLUID CAT CRACKING","FCC",IF(OR($H7842="HYDROCRACKING",$H7842="RESID_HYDROCRACKING"),"Hydrocracker",IF($H7842="REFORMING","Reformer",""))))</f>
        <v>FCC</v>
      </c>
      <c r="H7842" s="6" t="s">
        <v>376</v>
      </c>
      <c r="I7842" s="6" t="s">
        <v>428</v>
      </c>
      <c r="J7842" s="6" t="s">
        <v>345</v>
      </c>
      <c r="K7842" s="10">
        <v>2.72</v>
      </c>
      <c r="L7842" s="10">
        <v>8.5</v>
      </c>
      <c r="M7842" s="6" t="s">
        <v>430</v>
      </c>
    </row>
    <row r="7843" spans="1:13">
      <c r="A7843" s="6">
        <v>2026</v>
      </c>
      <c r="B7843" s="6">
        <v>5</v>
      </c>
      <c r="C7843" s="6" t="s">
        <v>63</v>
      </c>
      <c r="D7843" s="6" t="s">
        <v>646</v>
      </c>
      <c r="E7843" s="6" t="s">
        <v>405</v>
      </c>
      <c r="F7843" s="6" t="str">
        <f>IF($M7843="PADD I","PADD 1",IF($M7843="PADD II","PADD 2",IF($M7843="PADD III","PADD 3",IF($M7843="PADD IV","PADD 4",IF($M7843="PADD V","PADD 5","")))))</f>
        <v>PADD 3</v>
      </c>
      <c r="G7843" s="6">
        <f>IF(AND($H7843="ATMOS DISTILLATION",ISNUMBER(SEARCH("VPS",$I7843))=FALSE,LEFT($I7843,6)&lt;&gt;"VACUUM"),"CDU",IF($H7843="FLUID CAT CRACKING","FCC",IF(OR($H7843="HYDROCRACKING",$H7843="RESID_HYDROCRACKING"),"Hydrocracker",IF($H7843="REFORMING","Reformer",""))))</f>
        <v/>
      </c>
      <c r="H7843" s="6" t="s">
        <v>43</v>
      </c>
      <c r="I7843" s="6" t="s">
        <v>1371</v>
      </c>
      <c r="J7843" s="6" t="s">
        <v>345</v>
      </c>
      <c r="K7843" s="10">
        <v>2.66</v>
      </c>
      <c r="L7843" s="10">
        <v>14</v>
      </c>
      <c r="M7843" s="6" t="s">
        <v>371</v>
      </c>
    </row>
    <row r="7844" spans="1:13">
      <c r="A7844" s="6">
        <v>2026</v>
      </c>
      <c r="B7844" s="6">
        <v>5</v>
      </c>
      <c r="C7844" s="6" t="s">
        <v>63</v>
      </c>
      <c r="D7844" s="6" t="s">
        <v>462</v>
      </c>
      <c r="E7844" s="6" t="s">
        <v>438</v>
      </c>
      <c r="F7844" s="6" t="str">
        <f>IF($M7844="PADD I","PADD 1",IF($M7844="PADD II","PADD 2",IF($M7844="PADD III","PADD 3",IF($M7844="PADD IV","PADD 4",IF($M7844="PADD V","PADD 5","")))))</f>
        <v>PADD 4</v>
      </c>
      <c r="G7844" s="6">
        <f>IF(AND($H7844="ATMOS DISTILLATION",ISNUMBER(SEARCH("VPS",$I7844))=FALSE,LEFT($I7844,6)&lt;&gt;"VACUUM"),"CDU",IF($H7844="FLUID CAT CRACKING","FCC",IF(OR($H7844="HYDROCRACKING",$H7844="RESID_HYDROCRACKING"),"Hydrocracker",IF($H7844="REFORMING","Reformer",""))))</f>
        <v/>
      </c>
      <c r="H7844" s="6" t="s">
        <v>43</v>
      </c>
      <c r="I7844" s="6" t="s">
        <v>495</v>
      </c>
      <c r="J7844" s="6" t="s">
        <v>345</v>
      </c>
      <c r="K7844" s="10">
        <v>2.6</v>
      </c>
      <c r="L7844" s="10">
        <v>20</v>
      </c>
      <c r="M7844" s="6" t="s">
        <v>430</v>
      </c>
    </row>
    <row r="7845" spans="1:13">
      <c r="A7845" s="6">
        <v>2026</v>
      </c>
      <c r="B7845" s="6">
        <v>5</v>
      </c>
      <c r="C7845" s="6" t="s">
        <v>63</v>
      </c>
      <c r="D7845" s="6" t="s">
        <v>1323</v>
      </c>
      <c r="E7845" s="6" t="s">
        <v>369</v>
      </c>
      <c r="F7845" s="6" t="str">
        <f>IF($M7845="PADD I","PADD 1",IF($M7845="PADD II","PADD 2",IF($M7845="PADD III","PADD 3",IF($M7845="PADD IV","PADD 4",IF($M7845="PADD V","PADD 5","")))))</f>
        <v>PADD 5</v>
      </c>
      <c r="G7845" s="6">
        <f>IF(AND($H7845="ATMOS DISTILLATION",ISNUMBER(SEARCH("VPS",$I7845))=FALSE,LEFT($I7845,6)&lt;&gt;"VACUUM"),"CDU",IF($H7845="FLUID CAT CRACKING","FCC",IF(OR($H7845="HYDROCRACKING",$H7845="RESID_HYDROCRACKING"),"Hydrocracker",IF($H7845="REFORMING","Reformer",""))))</f>
        <v/>
      </c>
      <c r="H7845" s="6" t="s">
        <v>43</v>
      </c>
      <c r="I7845" s="6" t="s">
        <v>458</v>
      </c>
      <c r="J7845" s="6" t="s">
        <v>345</v>
      </c>
      <c r="K7845" s="10">
        <v>2.6</v>
      </c>
      <c r="L7845" s="10">
        <v>20</v>
      </c>
      <c r="M7845" s="6" t="s">
        <v>386</v>
      </c>
    </row>
    <row r="7846" spans="1:13">
      <c r="A7846" s="6">
        <v>2026</v>
      </c>
      <c r="B7846" s="6">
        <v>5</v>
      </c>
      <c r="C7846" s="6" t="s">
        <v>63</v>
      </c>
      <c r="D7846" s="6" t="s">
        <v>576</v>
      </c>
      <c r="E7846" s="6" t="s">
        <v>369</v>
      </c>
      <c r="F7846" s="6" t="str">
        <f>IF($M7846="PADD I","PADD 1",IF($M7846="PADD II","PADD 2",IF($M7846="PADD III","PADD 3",IF($M7846="PADD IV","PADD 4",IF($M7846="PADD V","PADD 5","")))))</f>
        <v>PADD 3</v>
      </c>
      <c r="G7846" s="6">
        <f>IF(AND($H7846="ATMOS DISTILLATION",ISNUMBER(SEARCH("VPS",$I7846))=FALSE,LEFT($I7846,6)&lt;&gt;"VACUUM"),"CDU",IF($H7846="FLUID CAT CRACKING","FCC",IF(OR($H7846="HYDROCRACKING",$H7846="RESID_HYDROCRACKING"),"Hydrocracker",IF($H7846="REFORMING","Reformer",""))))</f>
        <v/>
      </c>
      <c r="H7846" s="6" t="s">
        <v>568</v>
      </c>
      <c r="I7846" s="6" t="s">
        <v>604</v>
      </c>
      <c r="J7846" s="6" t="s">
        <v>345</v>
      </c>
      <c r="K7846" s="10">
        <v>2.5</v>
      </c>
      <c r="L7846" s="10">
        <v>25</v>
      </c>
      <c r="M7846" s="6" t="s">
        <v>371</v>
      </c>
    </row>
    <row r="7847" spans="1:13">
      <c r="A7847" s="6">
        <v>2026</v>
      </c>
      <c r="B7847" s="6">
        <v>5</v>
      </c>
      <c r="C7847" s="6" t="s">
        <v>63</v>
      </c>
      <c r="D7847" s="6" t="s">
        <v>1043</v>
      </c>
      <c r="E7847" s="6" t="s">
        <v>388</v>
      </c>
      <c r="F7847" s="6" t="str">
        <f>IF($M7847="PADD I","PADD 1",IF($M7847="PADD II","PADD 2",IF($M7847="PADD III","PADD 3",IF($M7847="PADD IV","PADD 4",IF($M7847="PADD V","PADD 5","")))))</f>
        <v>PADD 2</v>
      </c>
      <c r="G7847" s="6">
        <f>IF(AND($H7847="ATMOS DISTILLATION",ISNUMBER(SEARCH("VPS",$I7847))=FALSE,LEFT($I7847,6)&lt;&gt;"VACUUM"),"CDU",IF($H7847="FLUID CAT CRACKING","FCC",IF(OR($H7847="HYDROCRACKING",$H7847="RESID_HYDROCRACKING"),"Hydrocracker",IF($H7847="REFORMING","Reformer",""))))</f>
        <v/>
      </c>
      <c r="H7847" s="6" t="s">
        <v>43</v>
      </c>
      <c r="I7847" s="6" t="s">
        <v>1052</v>
      </c>
      <c r="J7847" s="6" t="s">
        <v>345</v>
      </c>
      <c r="K7847" s="10">
        <v>2.38</v>
      </c>
      <c r="L7847" s="10">
        <v>23.8</v>
      </c>
      <c r="M7847" s="6" t="s">
        <v>375</v>
      </c>
    </row>
    <row r="7848" spans="1:13">
      <c r="A7848" s="6">
        <v>2026</v>
      </c>
      <c r="B7848" s="6">
        <v>5</v>
      </c>
      <c r="C7848" s="6" t="s">
        <v>63</v>
      </c>
      <c r="D7848" s="6" t="s">
        <v>462</v>
      </c>
      <c r="E7848" s="6" t="s">
        <v>438</v>
      </c>
      <c r="F7848" s="6" t="str">
        <f>IF($M7848="PADD I","PADD 1",IF($M7848="PADD II","PADD 2",IF($M7848="PADD III","PADD 3",IF($M7848="PADD IV","PADD 4",IF($M7848="PADD V","PADD 5","")))))</f>
        <v>PADD 4</v>
      </c>
      <c r="G7848" s="6">
        <f>IF(AND($H7848="ATMOS DISTILLATION",ISNUMBER(SEARCH("VPS",$I7848))=FALSE,LEFT($I7848,6)&lt;&gt;"VACUUM"),"CDU",IF($H7848="FLUID CAT CRACKING","FCC",IF(OR($H7848="HYDROCRACKING",$H7848="RESID_HYDROCRACKING"),"Hydrocracker",IF($H7848="REFORMING","Reformer",""))))</f>
        <v/>
      </c>
      <c r="H7848" s="6" t="s">
        <v>378</v>
      </c>
      <c r="I7848" s="6" t="s">
        <v>555</v>
      </c>
      <c r="J7848" s="6" t="s">
        <v>345</v>
      </c>
      <c r="K7848" s="10">
        <v>2.3</v>
      </c>
      <c r="L7848" s="10">
        <v>10</v>
      </c>
      <c r="M7848" s="6" t="s">
        <v>430</v>
      </c>
    </row>
    <row r="7849" spans="1:13">
      <c r="A7849" s="6">
        <v>2026</v>
      </c>
      <c r="B7849" s="6">
        <v>5</v>
      </c>
      <c r="C7849" s="6" t="s">
        <v>63</v>
      </c>
      <c r="D7849" s="6" t="s">
        <v>437</v>
      </c>
      <c r="E7849" s="6" t="s">
        <v>438</v>
      </c>
      <c r="F7849" s="6" t="str">
        <f>IF($M7849="PADD I","PADD 1",IF($M7849="PADD II","PADD 2",IF($M7849="PADD III","PADD 3",IF($M7849="PADD IV","PADD 4",IF($M7849="PADD V","PADD 5","")))))</f>
        <v>PADD 4</v>
      </c>
      <c r="G7849" s="6" t="str">
        <f>IF(AND($H7849="ATMOS DISTILLATION",ISNUMBER(SEARCH("VPS",$I7849))=FALSE,LEFT($I7849,6)&lt;&gt;"VACUUM"),"CDU",IF($H7849="FLUID CAT CRACKING","FCC",IF(OR($H7849="HYDROCRACKING",$H7849="RESID_HYDROCRACKING"),"Hydrocracker",IF($H7849="REFORMING","Reformer",""))))</f>
        <v>Reformer</v>
      </c>
      <c r="H7849" s="6" t="s">
        <v>421</v>
      </c>
      <c r="I7849" s="6" t="s">
        <v>557</v>
      </c>
      <c r="J7849" s="6" t="s">
        <v>345</v>
      </c>
      <c r="K7849" s="10">
        <v>2.3</v>
      </c>
      <c r="L7849" s="10">
        <v>10</v>
      </c>
      <c r="M7849" s="6" t="s">
        <v>430</v>
      </c>
    </row>
    <row r="7850" spans="1:13">
      <c r="A7850" s="6">
        <v>2026</v>
      </c>
      <c r="B7850" s="6">
        <v>5</v>
      </c>
      <c r="C7850" s="6" t="s">
        <v>63</v>
      </c>
      <c r="D7850" s="6" t="s">
        <v>646</v>
      </c>
      <c r="E7850" s="6" t="s">
        <v>405</v>
      </c>
      <c r="F7850" s="6" t="str">
        <f>IF($M7850="PADD I","PADD 1",IF($M7850="PADD II","PADD 2",IF($M7850="PADD III","PADD 3",IF($M7850="PADD IV","PADD 4",IF($M7850="PADD V","PADD 5","")))))</f>
        <v>PADD 3</v>
      </c>
      <c r="G7850" s="6">
        <f>IF(AND($H7850="ATMOS DISTILLATION",ISNUMBER(SEARCH("VPS",$I7850))=FALSE,LEFT($I7850,6)&lt;&gt;"VACUUM"),"CDU",IF($H7850="FLUID CAT CRACKING","FCC",IF(OR($H7850="HYDROCRACKING",$H7850="RESID_HYDROCRACKING"),"Hydrocracker",IF($H7850="REFORMING","Reformer",""))))</f>
        <v/>
      </c>
      <c r="H7850" s="6" t="s">
        <v>43</v>
      </c>
      <c r="I7850" s="6" t="s">
        <v>1372</v>
      </c>
      <c r="J7850" s="6" t="s">
        <v>345</v>
      </c>
      <c r="K7850" s="10">
        <v>2.28</v>
      </c>
      <c r="L7850" s="10">
        <v>12</v>
      </c>
      <c r="M7850" s="6" t="s">
        <v>371</v>
      </c>
    </row>
    <row r="7851" spans="1:13">
      <c r="A7851" s="6">
        <v>2026</v>
      </c>
      <c r="B7851" s="6">
        <v>5</v>
      </c>
      <c r="C7851" s="6" t="s">
        <v>63</v>
      </c>
      <c r="D7851" s="6" t="s">
        <v>1323</v>
      </c>
      <c r="E7851" s="6" t="s">
        <v>369</v>
      </c>
      <c r="F7851" s="6" t="str">
        <f>IF($M7851="PADD I","PADD 1",IF($M7851="PADD II","PADD 2",IF($M7851="PADD III","PADD 3",IF($M7851="PADD IV","PADD 4",IF($M7851="PADD V","PADD 5","")))))</f>
        <v>PADD 5</v>
      </c>
      <c r="G7851" s="6">
        <f>IF(AND($H7851="ATMOS DISTILLATION",ISNUMBER(SEARCH("VPS",$I7851))=FALSE,LEFT($I7851,6)&lt;&gt;"VACUUM"),"CDU",IF($H7851="FLUID CAT CRACKING","FCC",IF(OR($H7851="HYDROCRACKING",$H7851="RESID_HYDROCRACKING"),"Hydrocracker",IF($H7851="REFORMING","Reformer",""))))</f>
        <v/>
      </c>
      <c r="H7851" s="6" t="s">
        <v>43</v>
      </c>
      <c r="I7851" s="6" t="s">
        <v>1373</v>
      </c>
      <c r="J7851" s="6" t="s">
        <v>345</v>
      </c>
      <c r="K7851" s="10">
        <v>2.21</v>
      </c>
      <c r="L7851" s="10">
        <v>17</v>
      </c>
      <c r="M7851" s="6" t="s">
        <v>386</v>
      </c>
    </row>
    <row r="7852" spans="1:13">
      <c r="A7852" s="6">
        <v>2026</v>
      </c>
      <c r="B7852" s="6">
        <v>5</v>
      </c>
      <c r="C7852" s="6" t="s">
        <v>63</v>
      </c>
      <c r="D7852" s="6" t="s">
        <v>1315</v>
      </c>
      <c r="E7852" s="6" t="s">
        <v>1316</v>
      </c>
      <c r="F7852" s="6" t="str">
        <f>IF($M7852="PADD I","PADD 1",IF($M7852="PADD II","PADD 2",IF($M7852="PADD III","PADD 3",IF($M7852="PADD IV","PADD 4",IF($M7852="PADD V","PADD 5","")))))</f>
        <v>PADD 1</v>
      </c>
      <c r="G7852" s="6" t="str">
        <f>IF(AND($H7852="ATMOS DISTILLATION",ISNUMBER(SEARCH("VPS",$I7852))=FALSE,LEFT($I7852,6)&lt;&gt;"VACUUM"),"CDU",IF($H7852="FLUID CAT CRACKING","FCC",IF(OR($H7852="HYDROCRACKING",$H7852="RESID_HYDROCRACKING"),"Hydrocracker",IF($H7852="REFORMING","Reformer",""))))</f>
        <v>Reformer</v>
      </c>
      <c r="H7852" s="6" t="s">
        <v>421</v>
      </c>
      <c r="I7852" s="6" t="s">
        <v>571</v>
      </c>
      <c r="J7852" s="6" t="s">
        <v>345</v>
      </c>
      <c r="K7852" s="10">
        <v>2.2</v>
      </c>
      <c r="L7852" s="10">
        <v>2.2</v>
      </c>
      <c r="M7852" s="6" t="s">
        <v>413</v>
      </c>
    </row>
    <row r="7853" spans="1:13">
      <c r="A7853" s="6">
        <v>2026</v>
      </c>
      <c r="B7853" s="6">
        <v>5</v>
      </c>
      <c r="C7853" s="6" t="s">
        <v>63</v>
      </c>
      <c r="D7853" s="6" t="s">
        <v>1323</v>
      </c>
      <c r="E7853" s="6" t="s">
        <v>369</v>
      </c>
      <c r="F7853" s="6" t="str">
        <f>IF($M7853="PADD I","PADD 1",IF($M7853="PADD II","PADD 2",IF($M7853="PADD III","PADD 3",IF($M7853="PADD IV","PADD 4",IF($M7853="PADD V","PADD 5","")))))</f>
        <v>PADD 5</v>
      </c>
      <c r="G7853" s="6" t="str">
        <f>IF(AND($H7853="ATMOS DISTILLATION",ISNUMBER(SEARCH("VPS",$I7853))=FALSE,LEFT($I7853,6)&lt;&gt;"VACUUM"),"CDU",IF($H7853="FLUID CAT CRACKING","FCC",IF(OR($H7853="HYDROCRACKING",$H7853="RESID_HYDROCRACKING"),"Hydrocracker",IF($H7853="REFORMING","Reformer",""))))</f>
        <v>Reformer</v>
      </c>
      <c r="H7853" s="6" t="s">
        <v>421</v>
      </c>
      <c r="I7853" s="6" t="s">
        <v>1103</v>
      </c>
      <c r="J7853" s="6" t="s">
        <v>345</v>
      </c>
      <c r="K7853" s="10">
        <v>2.08</v>
      </c>
      <c r="L7853" s="10">
        <v>16</v>
      </c>
      <c r="M7853" s="6" t="s">
        <v>386</v>
      </c>
    </row>
    <row r="7854" spans="1:13">
      <c r="A7854" s="6">
        <v>2026</v>
      </c>
      <c r="B7854" s="6">
        <v>5</v>
      </c>
      <c r="C7854" s="6" t="s">
        <v>63</v>
      </c>
      <c r="D7854" s="6" t="s">
        <v>420</v>
      </c>
      <c r="E7854" s="6" t="s">
        <v>373</v>
      </c>
      <c r="F7854" s="6" t="str">
        <f>IF($M7854="PADD I","PADD 1",IF($M7854="PADD II","PADD 2",IF($M7854="PADD III","PADD 3",IF($M7854="PADD IV","PADD 4",IF($M7854="PADD V","PADD 5","")))))</f>
        <v>PADD 2</v>
      </c>
      <c r="G7854" s="6" t="str">
        <f>IF(AND($H7854="ATMOS DISTILLATION",ISNUMBER(SEARCH("VPS",$I7854))=FALSE,LEFT($I7854,6)&lt;&gt;"VACUUM"),"CDU",IF($H7854="FLUID CAT CRACKING","FCC",IF(OR($H7854="HYDROCRACKING",$H7854="RESID_HYDROCRACKING"),"Hydrocracker",IF($H7854="REFORMING","Reformer",""))))</f>
        <v>Reformer</v>
      </c>
      <c r="H7854" s="6" t="s">
        <v>421</v>
      </c>
      <c r="I7854" s="6" t="s">
        <v>571</v>
      </c>
      <c r="J7854" s="6" t="s">
        <v>345</v>
      </c>
      <c r="K7854" s="10">
        <v>2.08</v>
      </c>
      <c r="L7854" s="10">
        <v>8</v>
      </c>
      <c r="M7854" s="6" t="s">
        <v>375</v>
      </c>
    </row>
    <row r="7855" spans="1:13">
      <c r="A7855" s="6">
        <v>2026</v>
      </c>
      <c r="B7855" s="6">
        <v>5</v>
      </c>
      <c r="C7855" s="6" t="s">
        <v>63</v>
      </c>
      <c r="D7855" s="6" t="s">
        <v>500</v>
      </c>
      <c r="E7855" s="6" t="s">
        <v>388</v>
      </c>
      <c r="F7855" s="6" t="str">
        <f>IF($M7855="PADD I","PADD 1",IF($M7855="PADD II","PADD 2",IF($M7855="PADD III","PADD 3",IF($M7855="PADD IV","PADD 4",IF($M7855="PADD V","PADD 5","")))))</f>
        <v>PADD 2</v>
      </c>
      <c r="G7855" s="6">
        <f>IF(AND($H7855="ATMOS DISTILLATION",ISNUMBER(SEARCH("VPS",$I7855))=FALSE,LEFT($I7855,6)&lt;&gt;"VACUUM"),"CDU",IF($H7855="FLUID CAT CRACKING","FCC",IF(OR($H7855="HYDROCRACKING",$H7855="RESID_HYDROCRACKING"),"Hydrocracker",IF($H7855="REFORMING","Reformer",""))))</f>
        <v/>
      </c>
      <c r="H7855" s="6" t="s">
        <v>43</v>
      </c>
      <c r="I7855" s="6" t="s">
        <v>501</v>
      </c>
      <c r="J7855" s="6" t="s">
        <v>345</v>
      </c>
      <c r="K7855" s="10">
        <v>2</v>
      </c>
      <c r="L7855" s="10">
        <v>20</v>
      </c>
      <c r="M7855" s="6" t="s">
        <v>375</v>
      </c>
    </row>
    <row r="7856" spans="1:13">
      <c r="A7856" s="6">
        <v>2026</v>
      </c>
      <c r="B7856" s="6">
        <v>5</v>
      </c>
      <c r="C7856" s="6" t="s">
        <v>63</v>
      </c>
      <c r="D7856" s="6" t="s">
        <v>437</v>
      </c>
      <c r="E7856" s="6" t="s">
        <v>438</v>
      </c>
      <c r="F7856" s="6" t="str">
        <f>IF($M7856="PADD I","PADD 1",IF($M7856="PADD II","PADD 2",IF($M7856="PADD III","PADD 3",IF($M7856="PADD IV","PADD 4",IF($M7856="PADD V","PADD 5","")))))</f>
        <v>PADD 4</v>
      </c>
      <c r="G7856" s="6" t="str">
        <f>IF(AND($H7856="ATMOS DISTILLATION",ISNUMBER(SEARCH("VPS",$I7856))=FALSE,LEFT($I7856,6)&lt;&gt;"VACUUM"),"CDU",IF($H7856="FLUID CAT CRACKING","FCC",IF(OR($H7856="HYDROCRACKING",$H7856="RESID_HYDROCRACKING"),"Hydrocracker",IF($H7856="REFORMING","Reformer",""))))</f>
        <v>FCC</v>
      </c>
      <c r="H7856" s="6" t="s">
        <v>376</v>
      </c>
      <c r="I7856" s="6" t="s">
        <v>428</v>
      </c>
      <c r="J7856" s="6" t="s">
        <v>345</v>
      </c>
      <c r="K7856" s="10">
        <v>1.955</v>
      </c>
      <c r="L7856" s="10">
        <v>8.5</v>
      </c>
      <c r="M7856" s="6" t="s">
        <v>430</v>
      </c>
    </row>
    <row r="7857" spans="1:13">
      <c r="A7857" s="6">
        <v>2026</v>
      </c>
      <c r="B7857" s="6">
        <v>5</v>
      </c>
      <c r="C7857" s="6" t="s">
        <v>63</v>
      </c>
      <c r="D7857" s="6" t="s">
        <v>722</v>
      </c>
      <c r="E7857" s="6" t="s">
        <v>452</v>
      </c>
      <c r="F7857" s="6" t="str">
        <f>IF($M7857="PADD I","PADD 1",IF($M7857="PADD II","PADD 2",IF($M7857="PADD III","PADD 3",IF($M7857="PADD IV","PADD 4",IF($M7857="PADD V","PADD 5","")))))</f>
        <v>PADD 4</v>
      </c>
      <c r="G7857" s="6" t="str">
        <f>IF(AND($H7857="ATMOS DISTILLATION",ISNUMBER(SEARCH("VPS",$I7857))=FALSE,LEFT($I7857,6)&lt;&gt;"VACUUM"),"CDU",IF($H7857="FLUID CAT CRACKING","FCC",IF(OR($H7857="HYDROCRACKING",$H7857="RESID_HYDROCRACKING"),"Hydrocracker",IF($H7857="REFORMING","Reformer",""))))</f>
        <v>Hydrocracker</v>
      </c>
      <c r="H7857" s="6" t="s">
        <v>444</v>
      </c>
      <c r="I7857" s="6" t="s">
        <v>1147</v>
      </c>
      <c r="J7857" s="6" t="s">
        <v>349</v>
      </c>
      <c r="K7857" s="10">
        <v>1.95</v>
      </c>
      <c r="L7857" s="10">
        <v>15</v>
      </c>
      <c r="M7857" s="6" t="s">
        <v>430</v>
      </c>
    </row>
    <row r="7858" spans="1:13">
      <c r="A7858" s="6">
        <v>2026</v>
      </c>
      <c r="B7858" s="6">
        <v>5</v>
      </c>
      <c r="C7858" s="6" t="s">
        <v>63</v>
      </c>
      <c r="D7858" s="6" t="s">
        <v>321</v>
      </c>
      <c r="E7858" s="6" t="s">
        <v>381</v>
      </c>
      <c r="F7858" s="6" t="str">
        <f>IF($M7858="PADD I","PADD 1",IF($M7858="PADD II","PADD 2",IF($M7858="PADD III","PADD 3",IF($M7858="PADD IV","PADD 4",IF($M7858="PADD V","PADD 5","")))))</f>
        <v>PADD 2</v>
      </c>
      <c r="G7858" s="6" t="str">
        <f>IF(AND($H7858="ATMOS DISTILLATION",ISNUMBER(SEARCH("VPS",$I7858))=FALSE,LEFT($I7858,6)&lt;&gt;"VACUUM"),"CDU",IF($H7858="FLUID CAT CRACKING","FCC",IF(OR($H7858="HYDROCRACKING",$H7858="RESID_HYDROCRACKING"),"Hydrocracker",IF($H7858="REFORMING","Reformer",""))))</f>
        <v>CDU</v>
      </c>
      <c r="H7858" s="6" t="s">
        <v>38</v>
      </c>
      <c r="I7858" s="6" t="s">
        <v>81</v>
      </c>
      <c r="J7858" s="6" t="s">
        <v>345</v>
      </c>
      <c r="K7858" s="10">
        <v>1.95</v>
      </c>
      <c r="L7858" s="10">
        <v>15</v>
      </c>
      <c r="M7858" s="6" t="s">
        <v>375</v>
      </c>
    </row>
    <row r="7859" spans="1:13">
      <c r="A7859" s="6">
        <v>2026</v>
      </c>
      <c r="B7859" s="6">
        <v>5</v>
      </c>
      <c r="C7859" s="6" t="s">
        <v>63</v>
      </c>
      <c r="D7859" s="6" t="s">
        <v>462</v>
      </c>
      <c r="E7859" s="6" t="s">
        <v>438</v>
      </c>
      <c r="F7859" s="6" t="str">
        <f>IF($M7859="PADD I","PADD 1",IF($M7859="PADD II","PADD 2",IF($M7859="PADD III","PADD 3",IF($M7859="PADD IV","PADD 4",IF($M7859="PADD V","PADD 5","")))))</f>
        <v>PADD 4</v>
      </c>
      <c r="G7859" s="6">
        <f>IF(AND($H7859="ATMOS DISTILLATION",ISNUMBER(SEARCH("VPS",$I7859))=FALSE,LEFT($I7859,6)&lt;&gt;"VACUUM"),"CDU",IF($H7859="FLUID CAT CRACKING","FCC",IF(OR($H7859="HYDROCRACKING",$H7859="RESID_HYDROCRACKING"),"Hydrocracker",IF($H7859="REFORMING","Reformer",""))))</f>
        <v/>
      </c>
      <c r="H7859" s="6" t="s">
        <v>378</v>
      </c>
      <c r="I7859" s="6" t="s">
        <v>555</v>
      </c>
      <c r="J7859" s="6" t="s">
        <v>345</v>
      </c>
      <c r="K7859" s="10">
        <v>1.9274</v>
      </c>
      <c r="L7859" s="10">
        <v>8.380000000000001</v>
      </c>
      <c r="M7859" s="6" t="s">
        <v>430</v>
      </c>
    </row>
    <row r="7860" spans="1:13">
      <c r="A7860" s="6">
        <v>2026</v>
      </c>
      <c r="B7860" s="6">
        <v>5</v>
      </c>
      <c r="C7860" s="6" t="s">
        <v>63</v>
      </c>
      <c r="D7860" s="6" t="s">
        <v>48</v>
      </c>
      <c r="E7860" s="6" t="s">
        <v>388</v>
      </c>
      <c r="F7860" s="6" t="str">
        <f>IF($M7860="PADD I","PADD 1",IF($M7860="PADD II","PADD 2",IF($M7860="PADD III","PADD 3",IF($M7860="PADD IV","PADD 4",IF($M7860="PADD V","PADD 5","")))))</f>
        <v>PADD 2</v>
      </c>
      <c r="G7860" s="6">
        <f>IF(AND($H7860="ATMOS DISTILLATION",ISNUMBER(SEARCH("VPS",$I7860))=FALSE,LEFT($I7860,6)&lt;&gt;"VACUUM"),"CDU",IF($H7860="FLUID CAT CRACKING","FCC",IF(OR($H7860="HYDROCRACKING",$H7860="RESID_HYDROCRACKING"),"Hydrocracker",IF($H7860="REFORMING","Reformer",""))))</f>
        <v/>
      </c>
      <c r="H7860" s="6" t="s">
        <v>435</v>
      </c>
      <c r="I7860" s="6" t="s">
        <v>754</v>
      </c>
      <c r="J7860" s="6" t="s">
        <v>345</v>
      </c>
      <c r="K7860" s="10">
        <v>1.85</v>
      </c>
      <c r="L7860" s="10">
        <v>18.5</v>
      </c>
      <c r="M7860" s="6" t="s">
        <v>375</v>
      </c>
    </row>
    <row r="7861" spans="1:13">
      <c r="A7861" s="6">
        <v>2026</v>
      </c>
      <c r="B7861" s="6">
        <v>5</v>
      </c>
      <c r="C7861" s="6" t="s">
        <v>63</v>
      </c>
      <c r="D7861" s="6" t="s">
        <v>321</v>
      </c>
      <c r="E7861" s="6" t="s">
        <v>381</v>
      </c>
      <c r="F7861" s="6" t="str">
        <f>IF($M7861="PADD I","PADD 1",IF($M7861="PADD II","PADD 2",IF($M7861="PADD III","PADD 3",IF($M7861="PADD IV","PADD 4",IF($M7861="PADD V","PADD 5","")))))</f>
        <v>PADD 2</v>
      </c>
      <c r="G7861" s="6" t="str">
        <f>IF(AND($H7861="ATMOS DISTILLATION",ISNUMBER(SEARCH("VPS",$I7861))=FALSE,LEFT($I7861,6)&lt;&gt;"VACUUM"),"CDU",IF($H7861="FLUID CAT CRACKING","FCC",IF(OR($H7861="HYDROCRACKING",$H7861="RESID_HYDROCRACKING"),"Hydrocracker",IF($H7861="REFORMING","Reformer",""))))</f>
        <v>FCC</v>
      </c>
      <c r="H7861" s="6" t="s">
        <v>376</v>
      </c>
      <c r="I7861" s="6" t="s">
        <v>105</v>
      </c>
      <c r="J7861" s="6" t="s">
        <v>345</v>
      </c>
      <c r="K7861" s="10">
        <v>1.8</v>
      </c>
      <c r="L7861" s="10">
        <v>30</v>
      </c>
      <c r="M7861" s="6" t="s">
        <v>375</v>
      </c>
    </row>
    <row r="7862" spans="1:13">
      <c r="A7862" s="6">
        <v>2026</v>
      </c>
      <c r="B7862" s="6">
        <v>5</v>
      </c>
      <c r="C7862" s="6" t="s">
        <v>63</v>
      </c>
      <c r="D7862" s="6" t="s">
        <v>722</v>
      </c>
      <c r="E7862" s="6" t="s">
        <v>452</v>
      </c>
      <c r="F7862" s="6" t="str">
        <f>IF($M7862="PADD I","PADD 1",IF($M7862="PADD II","PADD 2",IF($M7862="PADD III","PADD 3",IF($M7862="PADD IV","PADD 4",IF($M7862="PADD V","PADD 5","")))))</f>
        <v>PADD 4</v>
      </c>
      <c r="G7862" s="6">
        <f>IF(AND($H7862="ATMOS DISTILLATION",ISNUMBER(SEARCH("VPS",$I7862))=FALSE,LEFT($I7862,6)&lt;&gt;"VACUUM"),"CDU",IF($H7862="FLUID CAT CRACKING","FCC",IF(OR($H7862="HYDROCRACKING",$H7862="RESID_HYDROCRACKING"),"Hydrocracker",IF($H7862="REFORMING","Reformer",""))))</f>
        <v/>
      </c>
      <c r="H7862" s="6" t="s">
        <v>43</v>
      </c>
      <c r="I7862" s="6" t="s">
        <v>1362</v>
      </c>
      <c r="J7862" s="6" t="s">
        <v>349</v>
      </c>
      <c r="K7862" s="10">
        <v>1.625</v>
      </c>
      <c r="L7862" s="10">
        <v>12.5</v>
      </c>
      <c r="M7862" s="6" t="s">
        <v>430</v>
      </c>
    </row>
    <row r="7863" spans="1:13">
      <c r="A7863" s="6">
        <v>2026</v>
      </c>
      <c r="B7863" s="6">
        <v>5</v>
      </c>
      <c r="C7863" s="6" t="s">
        <v>63</v>
      </c>
      <c r="D7863" s="6" t="s">
        <v>437</v>
      </c>
      <c r="E7863" s="6" t="s">
        <v>438</v>
      </c>
      <c r="F7863" s="6" t="str">
        <f>IF($M7863="PADD I","PADD 1",IF($M7863="PADD II","PADD 2",IF($M7863="PADD III","PADD 3",IF($M7863="PADD IV","PADD 4",IF($M7863="PADD V","PADD 5","")))))</f>
        <v>PADD 4</v>
      </c>
      <c r="G7863" s="6">
        <f>IF(AND($H7863="ATMOS DISTILLATION",ISNUMBER(SEARCH("VPS",$I7863))=FALSE,LEFT($I7863,6)&lt;&gt;"VACUUM"),"CDU",IF($H7863="FLUID CAT CRACKING","FCC",IF(OR($H7863="HYDROCRACKING",$H7863="RESID_HYDROCRACKING"),"Hydrocracker",IF($H7863="REFORMING","Reformer",""))))</f>
        <v/>
      </c>
      <c r="H7863" s="6" t="s">
        <v>378</v>
      </c>
      <c r="I7863" s="6" t="s">
        <v>556</v>
      </c>
      <c r="J7863" s="6" t="s">
        <v>345</v>
      </c>
      <c r="K7863" s="10">
        <v>1.6</v>
      </c>
      <c r="L7863" s="10">
        <v>10</v>
      </c>
      <c r="M7863" s="6" t="s">
        <v>430</v>
      </c>
    </row>
    <row r="7864" spans="1:13">
      <c r="A7864" s="6">
        <v>2026</v>
      </c>
      <c r="B7864" s="6">
        <v>5</v>
      </c>
      <c r="C7864" s="6" t="s">
        <v>63</v>
      </c>
      <c r="D7864" s="6" t="s">
        <v>462</v>
      </c>
      <c r="E7864" s="6" t="s">
        <v>438</v>
      </c>
      <c r="F7864" s="6" t="str">
        <f>IF($M7864="PADD I","PADD 1",IF($M7864="PADD II","PADD 2",IF($M7864="PADD III","PADD 3",IF($M7864="PADD IV","PADD 4",IF($M7864="PADD V","PADD 5","")))))</f>
        <v>PADD 4</v>
      </c>
      <c r="G7864" s="6">
        <f>IF(AND($H7864="ATMOS DISTILLATION",ISNUMBER(SEARCH("VPS",$I7864))=FALSE,LEFT($I7864,6)&lt;&gt;"VACUUM"),"CDU",IF($H7864="FLUID CAT CRACKING","FCC",IF(OR($H7864="HYDROCRACKING",$H7864="RESID_HYDROCRACKING"),"Hydrocracker",IF($H7864="REFORMING","Reformer",""))))</f>
        <v/>
      </c>
      <c r="H7864" s="6" t="s">
        <v>43</v>
      </c>
      <c r="I7864" s="6" t="s">
        <v>535</v>
      </c>
      <c r="J7864" s="6" t="s">
        <v>345</v>
      </c>
      <c r="K7864" s="10">
        <v>1.56</v>
      </c>
      <c r="L7864" s="10">
        <v>12</v>
      </c>
      <c r="M7864" s="6" t="s">
        <v>430</v>
      </c>
    </row>
    <row r="7865" spans="1:13">
      <c r="A7865" s="6">
        <v>2026</v>
      </c>
      <c r="B7865" s="6">
        <v>5</v>
      </c>
      <c r="C7865" s="6" t="s">
        <v>63</v>
      </c>
      <c r="D7865" s="6" t="s">
        <v>1043</v>
      </c>
      <c r="E7865" s="6" t="s">
        <v>388</v>
      </c>
      <c r="F7865" s="6" t="str">
        <f>IF($M7865="PADD I","PADD 1",IF($M7865="PADD II","PADD 2",IF($M7865="PADD III","PADD 3",IF($M7865="PADD IV","PADD 4",IF($M7865="PADD V","PADD 5","")))))</f>
        <v>PADD 2</v>
      </c>
      <c r="G7865" s="6">
        <f>IF(AND($H7865="ATMOS DISTILLATION",ISNUMBER(SEARCH("VPS",$I7865))=FALSE,LEFT($I7865,6)&lt;&gt;"VACUUM"),"CDU",IF($H7865="FLUID CAT CRACKING","FCC",IF(OR($H7865="HYDROCRACKING",$H7865="RESID_HYDROCRACKING"),"Hydrocracker",IF($H7865="REFORMING","Reformer",""))))</f>
        <v/>
      </c>
      <c r="H7865" s="6" t="s">
        <v>43</v>
      </c>
      <c r="I7865" s="6" t="s">
        <v>464</v>
      </c>
      <c r="J7865" s="6" t="s">
        <v>345</v>
      </c>
      <c r="K7865" s="10">
        <v>1.505</v>
      </c>
      <c r="L7865" s="10">
        <v>4.3</v>
      </c>
      <c r="M7865" s="6" t="s">
        <v>375</v>
      </c>
    </row>
    <row r="7866" spans="1:13">
      <c r="A7866" s="6">
        <v>2026</v>
      </c>
      <c r="B7866" s="6">
        <v>5</v>
      </c>
      <c r="C7866" s="6" t="s">
        <v>63</v>
      </c>
      <c r="D7866" s="6" t="s">
        <v>670</v>
      </c>
      <c r="E7866" s="6" t="s">
        <v>405</v>
      </c>
      <c r="F7866" s="6" t="str">
        <f>IF($M7866="PADD I","PADD 1",IF($M7866="PADD II","PADD 2",IF($M7866="PADD III","PADD 3",IF($M7866="PADD IV","PADD 4",IF($M7866="PADD V","PADD 5","")))))</f>
        <v>PADD 2</v>
      </c>
      <c r="G7866" s="6" t="str">
        <f>IF(AND($H7866="ATMOS DISTILLATION",ISNUMBER(SEARCH("VPS",$I7866))=FALSE,LEFT($I7866,6)&lt;&gt;"VACUUM"),"CDU",IF($H7866="FLUID CAT CRACKING","FCC",IF(OR($H7866="HYDROCRACKING",$H7866="RESID_HYDROCRACKING"),"Hydrocracker",IF($H7866="REFORMING","Reformer",""))))</f>
        <v>Hydrocracker</v>
      </c>
      <c r="H7866" s="6" t="s">
        <v>444</v>
      </c>
      <c r="I7866" s="6" t="s">
        <v>1318</v>
      </c>
      <c r="J7866" s="6" t="s">
        <v>345</v>
      </c>
      <c r="K7866" s="10">
        <v>1.47</v>
      </c>
      <c r="L7866" s="10">
        <v>24.5</v>
      </c>
      <c r="M7866" s="6" t="s">
        <v>375</v>
      </c>
    </row>
    <row r="7867" spans="1:13">
      <c r="A7867" s="6">
        <v>2026</v>
      </c>
      <c r="B7867" s="6">
        <v>5</v>
      </c>
      <c r="C7867" s="6" t="s">
        <v>63</v>
      </c>
      <c r="D7867" s="6" t="s">
        <v>462</v>
      </c>
      <c r="E7867" s="6" t="s">
        <v>438</v>
      </c>
      <c r="F7867" s="6" t="str">
        <f>IF($M7867="PADD I","PADD 1",IF($M7867="PADD II","PADD 2",IF($M7867="PADD III","PADD 3",IF($M7867="PADD IV","PADD 4",IF($M7867="PADD V","PADD 5","")))))</f>
        <v>PADD 4</v>
      </c>
      <c r="G7867" s="6" t="str">
        <f>IF(AND($H7867="ATMOS DISTILLATION",ISNUMBER(SEARCH("VPS",$I7867))=FALSE,LEFT($I7867,6)&lt;&gt;"VACUUM"),"CDU",IF($H7867="FLUID CAT CRACKING","FCC",IF(OR($H7867="HYDROCRACKING",$H7867="RESID_HYDROCRACKING"),"Hydrocracker",IF($H7867="REFORMING","Reformer",""))))</f>
        <v>Reformer</v>
      </c>
      <c r="H7867" s="6" t="s">
        <v>421</v>
      </c>
      <c r="I7867" s="6" t="s">
        <v>559</v>
      </c>
      <c r="J7867" s="6" t="s">
        <v>345</v>
      </c>
      <c r="K7867" s="10">
        <v>1.3</v>
      </c>
      <c r="L7867" s="10">
        <v>10</v>
      </c>
      <c r="M7867" s="6" t="s">
        <v>430</v>
      </c>
    </row>
    <row r="7868" spans="1:13">
      <c r="A7868" s="6">
        <v>2026</v>
      </c>
      <c r="B7868" s="6">
        <v>5</v>
      </c>
      <c r="C7868" s="6" t="s">
        <v>63</v>
      </c>
      <c r="D7868" s="6" t="s">
        <v>462</v>
      </c>
      <c r="E7868" s="6" t="s">
        <v>438</v>
      </c>
      <c r="F7868" s="6" t="str">
        <f>IF($M7868="PADD I","PADD 1",IF($M7868="PADD II","PADD 2",IF($M7868="PADD III","PADD 3",IF($M7868="PADD IV","PADD 4",IF($M7868="PADD V","PADD 5","")))))</f>
        <v>PADD 4</v>
      </c>
      <c r="G7868" s="6">
        <f>IF(AND($H7868="ATMOS DISTILLATION",ISNUMBER(SEARCH("VPS",$I7868))=FALSE,LEFT($I7868,6)&lt;&gt;"VACUUM"),"CDU",IF($H7868="FLUID CAT CRACKING","FCC",IF(OR($H7868="HYDROCRACKING",$H7868="RESID_HYDROCRACKING"),"Hydrocracker",IF($H7868="REFORMING","Reformer",""))))</f>
        <v/>
      </c>
      <c r="H7868" s="6" t="s">
        <v>43</v>
      </c>
      <c r="I7868" s="6" t="s">
        <v>558</v>
      </c>
      <c r="J7868" s="6" t="s">
        <v>345</v>
      </c>
      <c r="K7868" s="10">
        <v>1.3</v>
      </c>
      <c r="L7868" s="10">
        <v>10</v>
      </c>
      <c r="M7868" s="6" t="s">
        <v>430</v>
      </c>
    </row>
    <row r="7869" spans="1:13">
      <c r="A7869" s="6">
        <v>2026</v>
      </c>
      <c r="B7869" s="6">
        <v>5</v>
      </c>
      <c r="C7869" s="6" t="s">
        <v>63</v>
      </c>
      <c r="D7869" s="6" t="s">
        <v>462</v>
      </c>
      <c r="E7869" s="6" t="s">
        <v>438</v>
      </c>
      <c r="F7869" s="6" t="str">
        <f>IF($M7869="PADD I","PADD 1",IF($M7869="PADD II","PADD 2",IF($M7869="PADD III","PADD 3",IF($M7869="PADD IV","PADD 4",IF($M7869="PADD V","PADD 5","")))))</f>
        <v>PADD 4</v>
      </c>
      <c r="G7869" s="6">
        <f>IF(AND($H7869="ATMOS DISTILLATION",ISNUMBER(SEARCH("VPS",$I7869))=FALSE,LEFT($I7869,6)&lt;&gt;"VACUUM"),"CDU",IF($H7869="FLUID CAT CRACKING","FCC",IF(OR($H7869="HYDROCRACKING",$H7869="RESID_HYDROCRACKING"),"Hydrocracker",IF($H7869="REFORMING","Reformer",""))))</f>
        <v/>
      </c>
      <c r="H7869" s="6" t="s">
        <v>43</v>
      </c>
      <c r="I7869" s="6" t="s">
        <v>493</v>
      </c>
      <c r="J7869" s="6" t="s">
        <v>345</v>
      </c>
      <c r="K7869" s="10">
        <v>1.3</v>
      </c>
      <c r="L7869" s="10">
        <v>10</v>
      </c>
      <c r="M7869" s="6" t="s">
        <v>430</v>
      </c>
    </row>
    <row r="7870" spans="1:13">
      <c r="A7870" s="6">
        <v>2026</v>
      </c>
      <c r="B7870" s="6">
        <v>5</v>
      </c>
      <c r="C7870" s="6" t="s">
        <v>63</v>
      </c>
      <c r="D7870" s="6" t="s">
        <v>437</v>
      </c>
      <c r="E7870" s="6" t="s">
        <v>438</v>
      </c>
      <c r="F7870" s="6" t="str">
        <f>IF($M7870="PADD I","PADD 1",IF($M7870="PADD II","PADD 2",IF($M7870="PADD III","PADD 3",IF($M7870="PADD IV","PADD 4",IF($M7870="PADD V","PADD 5","")))))</f>
        <v>PADD 4</v>
      </c>
      <c r="G7870" s="6">
        <f>IF(AND($H7870="ATMOS DISTILLATION",ISNUMBER(SEARCH("VPS",$I7870))=FALSE,LEFT($I7870,6)&lt;&gt;"VACUUM"),"CDU",IF($H7870="FLUID CAT CRACKING","FCC",IF(OR($H7870="HYDROCRACKING",$H7870="RESID_HYDROCRACKING"),"Hydrocracker",IF($H7870="REFORMING","Reformer",""))))</f>
        <v/>
      </c>
      <c r="H7870" s="6" t="s">
        <v>43</v>
      </c>
      <c r="I7870" s="6" t="s">
        <v>493</v>
      </c>
      <c r="J7870" s="6" t="s">
        <v>345</v>
      </c>
      <c r="K7870" s="10">
        <v>1.3</v>
      </c>
      <c r="L7870" s="10">
        <v>10</v>
      </c>
      <c r="M7870" s="6" t="s">
        <v>430</v>
      </c>
    </row>
    <row r="7871" spans="1:13">
      <c r="A7871" s="6">
        <v>2026</v>
      </c>
      <c r="B7871" s="6">
        <v>5</v>
      </c>
      <c r="C7871" s="6" t="s">
        <v>63</v>
      </c>
      <c r="D7871" s="6" t="s">
        <v>722</v>
      </c>
      <c r="E7871" s="6" t="s">
        <v>452</v>
      </c>
      <c r="F7871" s="6" t="str">
        <f>IF($M7871="PADD I","PADD 1",IF($M7871="PADD II","PADD 2",IF($M7871="PADD III","PADD 3",IF($M7871="PADD IV","PADD 4",IF($M7871="PADD V","PADD 5","")))))</f>
        <v>PADD 4</v>
      </c>
      <c r="G7871" s="6">
        <f>IF(AND($H7871="ATMOS DISTILLATION",ISNUMBER(SEARCH("VPS",$I7871))=FALSE,LEFT($I7871,6)&lt;&gt;"VACUUM"),"CDU",IF($H7871="FLUID CAT CRACKING","FCC",IF(OR($H7871="HYDROCRACKING",$H7871="RESID_HYDROCRACKING"),"Hydrocracker",IF($H7871="REFORMING","Reformer",""))))</f>
        <v/>
      </c>
      <c r="H7871" s="6" t="s">
        <v>43</v>
      </c>
      <c r="I7871" s="6" t="s">
        <v>1364</v>
      </c>
      <c r="J7871" s="6" t="s">
        <v>349</v>
      </c>
      <c r="K7871" s="10">
        <v>1.3</v>
      </c>
      <c r="L7871" s="10">
        <v>10</v>
      </c>
      <c r="M7871" s="6" t="s">
        <v>430</v>
      </c>
    </row>
    <row r="7872" spans="1:13">
      <c r="A7872" s="6">
        <v>2026</v>
      </c>
      <c r="B7872" s="6">
        <v>5</v>
      </c>
      <c r="C7872" s="6" t="s">
        <v>63</v>
      </c>
      <c r="D7872" s="6" t="s">
        <v>1043</v>
      </c>
      <c r="E7872" s="6" t="s">
        <v>388</v>
      </c>
      <c r="F7872" s="6" t="str">
        <f>IF($M7872="PADD I","PADD 1",IF($M7872="PADD II","PADD 2",IF($M7872="PADD III","PADD 3",IF($M7872="PADD IV","PADD 4",IF($M7872="PADD V","PADD 5","")))))</f>
        <v>PADD 2</v>
      </c>
      <c r="G7872" s="6" t="str">
        <f>IF(AND($H7872="ATMOS DISTILLATION",ISNUMBER(SEARCH("VPS",$I7872))=FALSE,LEFT($I7872,6)&lt;&gt;"VACUUM"),"CDU",IF($H7872="FLUID CAT CRACKING","FCC",IF(OR($H7872="HYDROCRACKING",$H7872="RESID_HYDROCRACKING"),"Hydrocracker",IF($H7872="REFORMING","Reformer",""))))</f>
        <v>Reformer</v>
      </c>
      <c r="H7872" s="6" t="s">
        <v>421</v>
      </c>
      <c r="I7872" s="6" t="s">
        <v>916</v>
      </c>
      <c r="J7872" s="6" t="s">
        <v>345</v>
      </c>
      <c r="K7872" s="10">
        <v>1.25</v>
      </c>
      <c r="L7872" s="10">
        <v>12.5</v>
      </c>
      <c r="M7872" s="6" t="s">
        <v>375</v>
      </c>
    </row>
    <row r="7873" spans="1:13">
      <c r="A7873" s="6">
        <v>2026</v>
      </c>
      <c r="B7873" s="6">
        <v>5</v>
      </c>
      <c r="C7873" s="6" t="s">
        <v>63</v>
      </c>
      <c r="D7873" s="6" t="s">
        <v>531</v>
      </c>
      <c r="E7873" s="6" t="s">
        <v>532</v>
      </c>
      <c r="F7873" s="6" t="str">
        <f>IF($M7873="PADD I","PADD 1",IF($M7873="PADD II","PADD 2",IF($M7873="PADD III","PADD 3",IF($M7873="PADD IV","PADD 4",IF($M7873="PADD V","PADD 5","")))))</f>
        <v>PADD 5</v>
      </c>
      <c r="G7873" s="6">
        <f>IF(AND($H7873="ATMOS DISTILLATION",ISNUMBER(SEARCH("VPS",$I7873))=FALSE,LEFT($I7873,6)&lt;&gt;"VACUUM"),"CDU",IF($H7873="FLUID CAT CRACKING","FCC",IF(OR($H7873="HYDROCRACKING",$H7873="RESID_HYDROCRACKING"),"Hydrocracker",IF($H7873="REFORMING","Reformer",""))))</f>
        <v/>
      </c>
      <c r="H7873" s="6" t="s">
        <v>43</v>
      </c>
      <c r="I7873" s="6" t="s">
        <v>618</v>
      </c>
      <c r="J7873" s="6" t="s">
        <v>349</v>
      </c>
      <c r="K7873" s="10">
        <v>1.2</v>
      </c>
      <c r="L7873" s="10">
        <v>20</v>
      </c>
      <c r="M7873" s="6" t="s">
        <v>386</v>
      </c>
    </row>
    <row r="7874" spans="1:13">
      <c r="A7874" s="6">
        <v>2026</v>
      </c>
      <c r="B7874" s="6">
        <v>5</v>
      </c>
      <c r="C7874" s="6" t="s">
        <v>63</v>
      </c>
      <c r="D7874" s="6" t="s">
        <v>646</v>
      </c>
      <c r="E7874" s="6" t="s">
        <v>405</v>
      </c>
      <c r="F7874" s="6" t="str">
        <f>IF($M7874="PADD I","PADD 1",IF($M7874="PADD II","PADD 2",IF($M7874="PADD III","PADD 3",IF($M7874="PADD IV","PADD 4",IF($M7874="PADD V","PADD 5","")))))</f>
        <v>PADD 3</v>
      </c>
      <c r="G7874" s="6" t="str">
        <f>IF(AND($H7874="ATMOS DISTILLATION",ISNUMBER(SEARCH("VPS",$I7874))=FALSE,LEFT($I7874,6)&lt;&gt;"VACUUM"),"CDU",IF($H7874="FLUID CAT CRACKING","FCC",IF(OR($H7874="HYDROCRACKING",$H7874="RESID_HYDROCRACKING"),"Hydrocracker",IF($H7874="REFORMING","Reformer",""))))</f>
        <v>CDU</v>
      </c>
      <c r="H7874" s="6" t="s">
        <v>38</v>
      </c>
      <c r="I7874" s="6" t="s">
        <v>126</v>
      </c>
      <c r="J7874" s="6" t="s">
        <v>345</v>
      </c>
      <c r="K7874" s="10">
        <v>1.2</v>
      </c>
      <c r="L7874" s="10">
        <v>40</v>
      </c>
      <c r="M7874" s="6" t="s">
        <v>371</v>
      </c>
    </row>
    <row r="7875" spans="1:13">
      <c r="A7875" s="6">
        <v>2026</v>
      </c>
      <c r="B7875" s="6">
        <v>5</v>
      </c>
      <c r="C7875" s="6" t="s">
        <v>63</v>
      </c>
      <c r="D7875" s="6" t="s">
        <v>722</v>
      </c>
      <c r="E7875" s="6" t="s">
        <v>452</v>
      </c>
      <c r="F7875" s="6" t="str">
        <f>IF($M7875="PADD I","PADD 1",IF($M7875="PADD II","PADD 2",IF($M7875="PADD III","PADD 3",IF($M7875="PADD IV","PADD 4",IF($M7875="PADD V","PADD 5","")))))</f>
        <v>PADD 4</v>
      </c>
      <c r="G7875" s="6" t="str">
        <f>IF(AND($H7875="ATMOS DISTILLATION",ISNUMBER(SEARCH("VPS",$I7875))=FALSE,LEFT($I7875,6)&lt;&gt;"VACUUM"),"CDU",IF($H7875="FLUID CAT CRACKING","FCC",IF(OR($H7875="HYDROCRACKING",$H7875="RESID_HYDROCRACKING"),"Hydrocracker",IF($H7875="REFORMING","Reformer",""))))</f>
        <v>FCC</v>
      </c>
      <c r="H7875" s="6" t="s">
        <v>376</v>
      </c>
      <c r="I7875" s="6" t="s">
        <v>1106</v>
      </c>
      <c r="J7875" s="6" t="s">
        <v>349</v>
      </c>
      <c r="K7875" s="10">
        <v>1.157</v>
      </c>
      <c r="L7875" s="10">
        <v>8.9</v>
      </c>
      <c r="M7875" s="6" t="s">
        <v>430</v>
      </c>
    </row>
    <row r="7876" spans="1:13">
      <c r="A7876" s="6">
        <v>2026</v>
      </c>
      <c r="B7876" s="6">
        <v>5</v>
      </c>
      <c r="C7876" s="6" t="s">
        <v>63</v>
      </c>
      <c r="D7876" s="6" t="s">
        <v>1323</v>
      </c>
      <c r="E7876" s="6" t="s">
        <v>369</v>
      </c>
      <c r="F7876" s="6" t="str">
        <f>IF($M7876="PADD I","PADD 1",IF($M7876="PADD II","PADD 2",IF($M7876="PADD III","PADD 3",IF($M7876="PADD IV","PADD 4",IF($M7876="PADD V","PADD 5","")))))</f>
        <v>PADD 5</v>
      </c>
      <c r="G7876" s="6">
        <f>IF(AND($H7876="ATMOS DISTILLATION",ISNUMBER(SEARCH("VPS",$I7876))=FALSE,LEFT($I7876,6)&lt;&gt;"VACUUM"),"CDU",IF($H7876="FLUID CAT CRACKING","FCC",IF(OR($H7876="HYDROCRACKING",$H7876="RESID_HYDROCRACKING"),"Hydrocracker",IF($H7876="REFORMING","Reformer",""))))</f>
        <v/>
      </c>
      <c r="H7876" s="6" t="s">
        <v>460</v>
      </c>
      <c r="I7876" s="6" t="s">
        <v>616</v>
      </c>
      <c r="J7876" s="6" t="s">
        <v>345</v>
      </c>
      <c r="K7876" s="10">
        <v>1.105</v>
      </c>
      <c r="L7876" s="10">
        <v>8.5</v>
      </c>
      <c r="M7876" s="6" t="s">
        <v>386</v>
      </c>
    </row>
    <row r="7877" spans="1:13">
      <c r="A7877" s="6">
        <v>2026</v>
      </c>
      <c r="B7877" s="6">
        <v>5</v>
      </c>
      <c r="C7877" s="6" t="s">
        <v>63</v>
      </c>
      <c r="D7877" s="6" t="s">
        <v>722</v>
      </c>
      <c r="E7877" s="6" t="s">
        <v>452</v>
      </c>
      <c r="F7877" s="6" t="str">
        <f>IF($M7877="PADD I","PADD 1",IF($M7877="PADD II","PADD 2",IF($M7877="PADD III","PADD 3",IF($M7877="PADD IV","PADD 4",IF($M7877="PADD V","PADD 5","")))))</f>
        <v>PADD 4</v>
      </c>
      <c r="G7877" s="6" t="str">
        <f>IF(AND($H7877="ATMOS DISTILLATION",ISNUMBER(SEARCH("VPS",$I7877))=FALSE,LEFT($I7877,6)&lt;&gt;"VACUUM"),"CDU",IF($H7877="FLUID CAT CRACKING","FCC",IF(OR($H7877="HYDROCRACKING",$H7877="RESID_HYDROCRACKING"),"Hydrocracker",IF($H7877="REFORMING","Reformer",""))))</f>
        <v>Reformer</v>
      </c>
      <c r="H7877" s="6" t="s">
        <v>421</v>
      </c>
      <c r="I7877" s="6" t="s">
        <v>1107</v>
      </c>
      <c r="J7877" s="6" t="s">
        <v>349</v>
      </c>
      <c r="K7877" s="10">
        <v>1.04</v>
      </c>
      <c r="L7877" s="10">
        <v>8</v>
      </c>
      <c r="M7877" s="6" t="s">
        <v>430</v>
      </c>
    </row>
    <row r="7878" spans="1:13">
      <c r="A7878" s="6">
        <v>2026</v>
      </c>
      <c r="B7878" s="6">
        <v>5</v>
      </c>
      <c r="C7878" s="6" t="s">
        <v>63</v>
      </c>
      <c r="D7878" s="6" t="s">
        <v>324</v>
      </c>
      <c r="E7878" s="6" t="s">
        <v>388</v>
      </c>
      <c r="F7878" s="6" t="str">
        <f>IF($M7878="PADD I","PADD 1",IF($M7878="PADD II","PADD 2",IF($M7878="PADD III","PADD 3",IF($M7878="PADD IV","PADD 4",IF($M7878="PADD V","PADD 5","")))))</f>
        <v>PADD 3</v>
      </c>
      <c r="G7878" s="6">
        <f>IF(AND($H7878="ATMOS DISTILLATION",ISNUMBER(SEARCH("VPS",$I7878))=FALSE,LEFT($I7878,6)&lt;&gt;"VACUUM"),"CDU",IF($H7878="FLUID CAT CRACKING","FCC",IF(OR($H7878="HYDROCRACKING",$H7878="RESID_HYDROCRACKING"),"Hydrocracker",IF($H7878="REFORMING","Reformer",""))))</f>
        <v/>
      </c>
      <c r="H7878" s="6" t="s">
        <v>435</v>
      </c>
      <c r="I7878" s="6" t="s">
        <v>962</v>
      </c>
      <c r="J7878" s="6" t="s">
        <v>345</v>
      </c>
      <c r="K7878" s="10">
        <v>1.035</v>
      </c>
      <c r="L7878" s="10">
        <v>34.5</v>
      </c>
      <c r="M7878" s="6" t="s">
        <v>371</v>
      </c>
    </row>
    <row r="7879" spans="1:13">
      <c r="A7879" s="6">
        <v>2026</v>
      </c>
      <c r="B7879" s="6">
        <v>5</v>
      </c>
      <c r="C7879" s="6" t="s">
        <v>63</v>
      </c>
      <c r="D7879" s="6" t="s">
        <v>576</v>
      </c>
      <c r="E7879" s="6" t="s">
        <v>369</v>
      </c>
      <c r="F7879" s="6" t="str">
        <f>IF($M7879="PADD I","PADD 1",IF($M7879="PADD II","PADD 2",IF($M7879="PADD III","PADD 3",IF($M7879="PADD IV","PADD 4",IF($M7879="PADD V","PADD 5","")))))</f>
        <v>PADD 3</v>
      </c>
      <c r="G7879" s="6" t="str">
        <f>IF(AND($H7879="ATMOS DISTILLATION",ISNUMBER(SEARCH("VPS",$I7879))=FALSE,LEFT($I7879,6)&lt;&gt;"VACUUM"),"CDU",IF($H7879="FLUID CAT CRACKING","FCC",IF(OR($H7879="HYDROCRACKING",$H7879="RESID_HYDROCRACKING"),"Hydrocracker",IF($H7879="REFORMING","Reformer",""))))</f>
        <v>Reformer</v>
      </c>
      <c r="H7879" s="6" t="s">
        <v>421</v>
      </c>
      <c r="I7879" s="6" t="s">
        <v>876</v>
      </c>
      <c r="J7879" s="6" t="s">
        <v>345</v>
      </c>
      <c r="K7879" s="10">
        <v>1.02</v>
      </c>
      <c r="L7879" s="10">
        <v>34</v>
      </c>
      <c r="M7879" s="6" t="s">
        <v>371</v>
      </c>
    </row>
    <row r="7880" spans="1:13">
      <c r="A7880" s="6">
        <v>2026</v>
      </c>
      <c r="B7880" s="6">
        <v>5</v>
      </c>
      <c r="C7880" s="6" t="s">
        <v>63</v>
      </c>
      <c r="D7880" s="6" t="s">
        <v>526</v>
      </c>
      <c r="E7880" s="6" t="s">
        <v>405</v>
      </c>
      <c r="F7880" s="6" t="str">
        <f>IF($M7880="PADD I","PADD 1",IF($M7880="PADD II","PADD 2",IF($M7880="PADD III","PADD 3",IF($M7880="PADD IV","PADD 4",IF($M7880="PADD V","PADD 5","")))))</f>
        <v>PADD 3</v>
      </c>
      <c r="G7880" s="6">
        <f>IF(AND($H7880="ATMOS DISTILLATION",ISNUMBER(SEARCH("VPS",$I7880))=FALSE,LEFT($I7880,6)&lt;&gt;"VACUUM"),"CDU",IF($H7880="FLUID CAT CRACKING","FCC",IF(OR($H7880="HYDROCRACKING",$H7880="RESID_HYDROCRACKING"),"Hydrocracker",IF($H7880="REFORMING","Reformer",""))))</f>
        <v/>
      </c>
      <c r="H7880" s="6" t="s">
        <v>460</v>
      </c>
      <c r="I7880" s="6" t="s">
        <v>1366</v>
      </c>
      <c r="J7880" s="6" t="s">
        <v>345</v>
      </c>
      <c r="K7880" s="10">
        <v>1.014</v>
      </c>
      <c r="L7880" s="10">
        <v>16.9</v>
      </c>
      <c r="M7880" s="6" t="s">
        <v>371</v>
      </c>
    </row>
    <row r="7881" spans="1:13">
      <c r="A7881" s="6">
        <v>2026</v>
      </c>
      <c r="B7881" s="6">
        <v>5</v>
      </c>
      <c r="C7881" s="6" t="s">
        <v>63</v>
      </c>
      <c r="D7881" s="6" t="s">
        <v>420</v>
      </c>
      <c r="E7881" s="6" t="s">
        <v>373</v>
      </c>
      <c r="F7881" s="6" t="str">
        <f>IF($M7881="PADD I","PADD 1",IF($M7881="PADD II","PADD 2",IF($M7881="PADD III","PADD 3",IF($M7881="PADD IV","PADD 4",IF($M7881="PADD V","PADD 5","")))))</f>
        <v>PADD 2</v>
      </c>
      <c r="G7881" s="6">
        <f>IF(AND($H7881="ATMOS DISTILLATION",ISNUMBER(SEARCH("VPS",$I7881))=FALSE,LEFT($I7881,6)&lt;&gt;"VACUUM"),"CDU",IF($H7881="FLUID CAT CRACKING","FCC",IF(OR($H7881="HYDROCRACKING",$H7881="RESID_HYDROCRACKING"),"Hydrocracker",IF($H7881="REFORMING","Reformer",""))))</f>
        <v/>
      </c>
      <c r="H7881" s="6" t="s">
        <v>460</v>
      </c>
      <c r="I7881" s="6" t="s">
        <v>616</v>
      </c>
      <c r="J7881" s="6" t="s">
        <v>345</v>
      </c>
      <c r="K7881" s="10">
        <v>0.825</v>
      </c>
      <c r="L7881" s="10">
        <v>1.5</v>
      </c>
      <c r="M7881" s="6" t="s">
        <v>375</v>
      </c>
    </row>
    <row r="7882" spans="1:13">
      <c r="A7882" s="6">
        <v>2026</v>
      </c>
      <c r="B7882" s="6">
        <v>5</v>
      </c>
      <c r="C7882" s="6" t="s">
        <v>63</v>
      </c>
      <c r="D7882" s="6" t="s">
        <v>48</v>
      </c>
      <c r="E7882" s="6" t="s">
        <v>388</v>
      </c>
      <c r="F7882" s="6" t="str">
        <f>IF($M7882="PADD I","PADD 1",IF($M7882="PADD II","PADD 2",IF($M7882="PADD III","PADD 3",IF($M7882="PADD IV","PADD 4",IF($M7882="PADD V","PADD 5","")))))</f>
        <v>PADD 2</v>
      </c>
      <c r="G7882" s="6">
        <f>IF(AND($H7882="ATMOS DISTILLATION",ISNUMBER(SEARCH("VPS",$I7882))=FALSE,LEFT($I7882,6)&lt;&gt;"VACUUM"),"CDU",IF($H7882="FLUID CAT CRACKING","FCC",IF(OR($H7882="HYDROCRACKING",$H7882="RESID_HYDROCRACKING"),"Hydrocracker",IF($H7882="REFORMING","Reformer",""))))</f>
        <v/>
      </c>
      <c r="H7882" s="6" t="s">
        <v>435</v>
      </c>
      <c r="I7882" s="6" t="s">
        <v>631</v>
      </c>
      <c r="J7882" s="6" t="s">
        <v>345</v>
      </c>
      <c r="K7882" s="10">
        <v>0.72</v>
      </c>
      <c r="L7882" s="10">
        <v>12</v>
      </c>
      <c r="M7882" s="6" t="s">
        <v>375</v>
      </c>
    </row>
    <row r="7883" spans="1:13">
      <c r="A7883" s="6">
        <v>2026</v>
      </c>
      <c r="B7883" s="6">
        <v>5</v>
      </c>
      <c r="C7883" s="6" t="s">
        <v>63</v>
      </c>
      <c r="D7883" s="6" t="s">
        <v>500</v>
      </c>
      <c r="E7883" s="6" t="s">
        <v>388</v>
      </c>
      <c r="F7883" s="6" t="str">
        <f>IF($M7883="PADD I","PADD 1",IF($M7883="PADD II","PADD 2",IF($M7883="PADD III","PADD 3",IF($M7883="PADD IV","PADD 4",IF($M7883="PADD V","PADD 5","")))))</f>
        <v>PADD 2</v>
      </c>
      <c r="G7883" s="6">
        <f>IF(AND($H7883="ATMOS DISTILLATION",ISNUMBER(SEARCH("VPS",$I7883))=FALSE,LEFT($I7883,6)&lt;&gt;"VACUUM"),"CDU",IF($H7883="FLUID CAT CRACKING","FCC",IF(OR($H7883="HYDROCRACKING",$H7883="RESID_HYDROCRACKING"),"Hydrocracker",IF($H7883="REFORMING","Reformer",""))))</f>
        <v/>
      </c>
      <c r="H7883" s="6" t="s">
        <v>43</v>
      </c>
      <c r="I7883" s="6" t="s">
        <v>520</v>
      </c>
      <c r="J7883" s="6" t="s">
        <v>345</v>
      </c>
      <c r="K7883" s="10">
        <v>0.705</v>
      </c>
      <c r="L7883" s="10">
        <v>23.5</v>
      </c>
      <c r="M7883" s="6" t="s">
        <v>375</v>
      </c>
    </row>
    <row r="7884" spans="1:13">
      <c r="A7884" s="6">
        <v>2026</v>
      </c>
      <c r="B7884" s="6">
        <v>5</v>
      </c>
      <c r="C7884" s="6" t="s">
        <v>63</v>
      </c>
      <c r="D7884" s="6" t="s">
        <v>500</v>
      </c>
      <c r="E7884" s="6" t="s">
        <v>388</v>
      </c>
      <c r="F7884" s="6" t="str">
        <f>IF($M7884="PADD I","PADD 1",IF($M7884="PADD II","PADD 2",IF($M7884="PADD III","PADD 3",IF($M7884="PADD IV","PADD 4",IF($M7884="PADD V","PADD 5","")))))</f>
        <v>PADD 2</v>
      </c>
      <c r="G7884" s="6" t="str">
        <f>IF(AND($H7884="ATMOS DISTILLATION",ISNUMBER(SEARCH("VPS",$I7884))=FALSE,LEFT($I7884,6)&lt;&gt;"VACUUM"),"CDU",IF($H7884="FLUID CAT CRACKING","FCC",IF(OR($H7884="HYDROCRACKING",$H7884="RESID_HYDROCRACKING"),"Hydrocracker",IF($H7884="REFORMING","Reformer",""))))</f>
        <v>Reformer</v>
      </c>
      <c r="H7884" s="6" t="s">
        <v>421</v>
      </c>
      <c r="I7884" s="6" t="s">
        <v>539</v>
      </c>
      <c r="J7884" s="6" t="s">
        <v>345</v>
      </c>
      <c r="K7884" s="10">
        <v>0.645</v>
      </c>
      <c r="L7884" s="10">
        <v>21.5</v>
      </c>
      <c r="M7884" s="6" t="s">
        <v>375</v>
      </c>
    </row>
    <row r="7885" spans="1:13">
      <c r="A7885" s="6">
        <v>2026</v>
      </c>
      <c r="B7885" s="6">
        <v>5</v>
      </c>
      <c r="C7885" s="6" t="s">
        <v>63</v>
      </c>
      <c r="D7885" s="6" t="s">
        <v>500</v>
      </c>
      <c r="E7885" s="6" t="s">
        <v>388</v>
      </c>
      <c r="F7885" s="6" t="str">
        <f>IF($M7885="PADD I","PADD 1",IF($M7885="PADD II","PADD 2",IF($M7885="PADD III","PADD 3",IF($M7885="PADD IV","PADD 4",IF($M7885="PADD V","PADD 5","")))))</f>
        <v>PADD 2</v>
      </c>
      <c r="G7885" s="6">
        <f>IF(AND($H7885="ATMOS DISTILLATION",ISNUMBER(SEARCH("VPS",$I7885))=FALSE,LEFT($I7885,6)&lt;&gt;"VACUUM"),"CDU",IF($H7885="FLUID CAT CRACKING","FCC",IF(OR($H7885="HYDROCRACKING",$H7885="RESID_HYDROCRACKING"),"Hydrocracker",IF($H7885="REFORMING","Reformer",""))))</f>
        <v/>
      </c>
      <c r="H7885" s="6" t="s">
        <v>43</v>
      </c>
      <c r="I7885" s="6" t="s">
        <v>520</v>
      </c>
      <c r="J7885" s="6" t="s">
        <v>345</v>
      </c>
      <c r="K7885" s="10">
        <v>0.6</v>
      </c>
      <c r="L7885" s="10">
        <v>20</v>
      </c>
      <c r="M7885" s="6" t="s">
        <v>375</v>
      </c>
    </row>
    <row r="7886" spans="1:13">
      <c r="A7886" s="6">
        <v>2026</v>
      </c>
      <c r="B7886" s="6">
        <v>5</v>
      </c>
      <c r="C7886" s="6" t="s">
        <v>63</v>
      </c>
      <c r="D7886" s="6" t="s">
        <v>334</v>
      </c>
      <c r="E7886" s="6" t="s">
        <v>552</v>
      </c>
      <c r="F7886" s="6" t="str">
        <f>IF($M7886="PADD I","PADD 1",IF($M7886="PADD II","PADD 2",IF($M7886="PADD III","PADD 3",IF($M7886="PADD IV","PADD 4",IF($M7886="PADD V","PADD 5","")))))</f>
        <v>PADD 3</v>
      </c>
      <c r="G7886" s="6" t="str">
        <f>IF(AND($H7886="ATMOS DISTILLATION",ISNUMBER(SEARCH("VPS",$I7886))=FALSE,LEFT($I7886,6)&lt;&gt;"VACUUM"),"CDU",IF($H7886="FLUID CAT CRACKING","FCC",IF(OR($H7886="HYDROCRACKING",$H7886="RESID_HYDROCRACKING"),"Hydrocracker",IF($H7886="REFORMING","Reformer",""))))</f>
        <v>FCC</v>
      </c>
      <c r="H7886" s="6" t="s">
        <v>376</v>
      </c>
      <c r="I7886" s="6" t="s">
        <v>613</v>
      </c>
      <c r="J7886" s="6" t="s">
        <v>345</v>
      </c>
      <c r="K7886" s="10">
        <v>0.6</v>
      </c>
      <c r="L7886" s="10">
        <v>20</v>
      </c>
      <c r="M7886" s="6" t="s">
        <v>371</v>
      </c>
    </row>
    <row r="7887" spans="1:13">
      <c r="A7887" s="6">
        <v>2026</v>
      </c>
      <c r="B7887" s="6">
        <v>5</v>
      </c>
      <c r="C7887" s="6" t="s">
        <v>63</v>
      </c>
      <c r="D7887" s="6" t="s">
        <v>319</v>
      </c>
      <c r="E7887" s="6" t="s">
        <v>665</v>
      </c>
      <c r="F7887" s="6" t="str">
        <f>IF($M7887="PADD I","PADD 1",IF($M7887="PADD II","PADD 2",IF($M7887="PADD III","PADD 3",IF($M7887="PADD IV","PADD 4",IF($M7887="PADD V","PADD 5","")))))</f>
        <v>PADD 3</v>
      </c>
      <c r="G7887" s="6" t="str">
        <f>IF(AND($H7887="ATMOS DISTILLATION",ISNUMBER(SEARCH("VPS",$I7887))=FALSE,LEFT($I7887,6)&lt;&gt;"VACUUM"),"CDU",IF($H7887="FLUID CAT CRACKING","FCC",IF(OR($H7887="HYDROCRACKING",$H7887="RESID_HYDROCRACKING"),"Hydrocracker",IF($H7887="REFORMING","Reformer",""))))</f>
        <v>FCC</v>
      </c>
      <c r="H7887" s="6" t="s">
        <v>376</v>
      </c>
      <c r="I7887" s="6" t="s">
        <v>875</v>
      </c>
      <c r="J7887" s="6" t="s">
        <v>345</v>
      </c>
      <c r="K7887" s="10">
        <v>0.6</v>
      </c>
      <c r="L7887" s="10">
        <v>20</v>
      </c>
      <c r="M7887" s="6" t="s">
        <v>371</v>
      </c>
    </row>
    <row r="7888" spans="1:13">
      <c r="A7888" s="6">
        <v>2026</v>
      </c>
      <c r="B7888" s="6">
        <v>5</v>
      </c>
      <c r="C7888" s="6" t="s">
        <v>63</v>
      </c>
      <c r="D7888" s="6" t="s">
        <v>500</v>
      </c>
      <c r="E7888" s="6" t="s">
        <v>388</v>
      </c>
      <c r="F7888" s="6" t="str">
        <f>IF($M7888="PADD I","PADD 1",IF($M7888="PADD II","PADD 2",IF($M7888="PADD III","PADD 3",IF($M7888="PADD IV","PADD 4",IF($M7888="PADD V","PADD 5","")))))</f>
        <v>PADD 2</v>
      </c>
      <c r="G7888" s="6" t="str">
        <f>IF(AND($H7888="ATMOS DISTILLATION",ISNUMBER(SEARCH("VPS",$I7888))=FALSE,LEFT($I7888,6)&lt;&gt;"VACUUM"),"CDU",IF($H7888="FLUID CAT CRACKING","FCC",IF(OR($H7888="HYDROCRACKING",$H7888="RESID_HYDROCRACKING"),"Hydrocracker",IF($H7888="REFORMING","Reformer",""))))</f>
        <v>Reformer</v>
      </c>
      <c r="H7888" s="6" t="s">
        <v>421</v>
      </c>
      <c r="I7888" s="6" t="s">
        <v>539</v>
      </c>
      <c r="J7888" s="6" t="s">
        <v>345</v>
      </c>
      <c r="K7888" s="10">
        <v>0.57</v>
      </c>
      <c r="L7888" s="10">
        <v>19</v>
      </c>
      <c r="M7888" s="6" t="s">
        <v>375</v>
      </c>
    </row>
    <row r="7889" spans="1:13">
      <c r="A7889" s="6">
        <v>2026</v>
      </c>
      <c r="B7889" s="6">
        <v>5</v>
      </c>
      <c r="C7889" s="6" t="s">
        <v>63</v>
      </c>
      <c r="D7889" s="6" t="s">
        <v>646</v>
      </c>
      <c r="E7889" s="6" t="s">
        <v>405</v>
      </c>
      <c r="F7889" s="6" t="str">
        <f>IF($M7889="PADD I","PADD 1",IF($M7889="PADD II","PADD 2",IF($M7889="PADD III","PADD 3",IF($M7889="PADD IV","PADD 4",IF($M7889="PADD V","PADD 5","")))))</f>
        <v>PADD 3</v>
      </c>
      <c r="G7889" s="6">
        <f>IF(AND($H7889="ATMOS DISTILLATION",ISNUMBER(SEARCH("VPS",$I7889))=FALSE,LEFT($I7889,6)&lt;&gt;"VACUUM"),"CDU",IF($H7889="FLUID CAT CRACKING","FCC",IF(OR($H7889="HYDROCRACKING",$H7889="RESID_HYDROCRACKING"),"Hydrocracker",IF($H7889="REFORMING","Reformer",""))))</f>
        <v/>
      </c>
      <c r="H7889" s="6" t="s">
        <v>435</v>
      </c>
      <c r="I7889" s="6" t="s">
        <v>441</v>
      </c>
      <c r="J7889" s="6" t="s">
        <v>345</v>
      </c>
      <c r="K7889" s="10">
        <v>0.54</v>
      </c>
      <c r="L7889" s="10">
        <v>18</v>
      </c>
      <c r="M7889" s="6" t="s">
        <v>371</v>
      </c>
    </row>
    <row r="7890" spans="1:13">
      <c r="A7890" s="6">
        <v>2026</v>
      </c>
      <c r="B7890" s="6">
        <v>5</v>
      </c>
      <c r="C7890" s="6" t="s">
        <v>63</v>
      </c>
      <c r="D7890" s="6" t="s">
        <v>722</v>
      </c>
      <c r="E7890" s="6" t="s">
        <v>452</v>
      </c>
      <c r="F7890" s="6" t="str">
        <f>IF($M7890="PADD I","PADD 1",IF($M7890="PADD II","PADD 2",IF($M7890="PADD III","PADD 3",IF($M7890="PADD IV","PADD 4",IF($M7890="PADD V","PADD 5","")))))</f>
        <v>PADD 4</v>
      </c>
      <c r="G7890" s="6">
        <f>IF(AND($H7890="ATMOS DISTILLATION",ISNUMBER(SEARCH("VPS",$I7890))=FALSE,LEFT($I7890,6)&lt;&gt;"VACUUM"),"CDU",IF($H7890="FLUID CAT CRACKING","FCC",IF(OR($H7890="HYDROCRACKING",$H7890="RESID_HYDROCRACKING"),"Hydrocracker",IF($H7890="REFORMING","Reformer",""))))</f>
        <v/>
      </c>
      <c r="H7890" s="6" t="s">
        <v>568</v>
      </c>
      <c r="I7890" s="6" t="s">
        <v>1367</v>
      </c>
      <c r="J7890" s="6" t="s">
        <v>349</v>
      </c>
      <c r="K7890" s="10">
        <v>0.39</v>
      </c>
      <c r="L7890" s="10">
        <v>3</v>
      </c>
      <c r="M7890" s="6" t="s">
        <v>430</v>
      </c>
    </row>
    <row r="7891" spans="1:13">
      <c r="A7891" s="6">
        <v>2026</v>
      </c>
      <c r="B7891" s="6">
        <v>5</v>
      </c>
      <c r="C7891" s="6" t="s">
        <v>63</v>
      </c>
      <c r="D7891" s="6" t="s">
        <v>722</v>
      </c>
      <c r="E7891" s="6" t="s">
        <v>452</v>
      </c>
      <c r="F7891" s="6" t="str">
        <f>IF($M7891="PADD I","PADD 1",IF($M7891="PADD II","PADD 2",IF($M7891="PADD III","PADD 3",IF($M7891="PADD IV","PADD 4",IF($M7891="PADD V","PADD 5","")))))</f>
        <v>PADD 4</v>
      </c>
      <c r="G7891" s="6">
        <f>IF(AND($H7891="ATMOS DISTILLATION",ISNUMBER(SEARCH("VPS",$I7891))=FALSE,LEFT($I7891,6)&lt;&gt;"VACUUM"),"CDU",IF($H7891="FLUID CAT CRACKING","FCC",IF(OR($H7891="HYDROCRACKING",$H7891="RESID_HYDROCRACKING"),"Hydrocracker",IF($H7891="REFORMING","Reformer",""))))</f>
        <v/>
      </c>
      <c r="H7891" s="6" t="s">
        <v>460</v>
      </c>
      <c r="I7891" s="6" t="s">
        <v>1109</v>
      </c>
      <c r="J7891" s="6" t="s">
        <v>349</v>
      </c>
      <c r="K7891" s="10">
        <v>0.377</v>
      </c>
      <c r="L7891" s="10">
        <v>2.9</v>
      </c>
      <c r="M7891" s="6" t="s">
        <v>430</v>
      </c>
    </row>
    <row r="7892" spans="1:13">
      <c r="A7892" s="6">
        <v>2026</v>
      </c>
      <c r="B7892" s="6">
        <v>6</v>
      </c>
      <c r="C7892" s="6" t="s">
        <v>64</v>
      </c>
      <c r="D7892" s="6" t="s">
        <v>612</v>
      </c>
      <c r="E7892" s="6" t="s">
        <v>416</v>
      </c>
      <c r="F7892" s="6" t="str">
        <f>IF($M7892="PADD I","PADD 1",IF($M7892="PADD II","PADD 2",IF($M7892="PADD III","PADD 3",IF($M7892="PADD IV","PADD 4",IF($M7892="PADD V","PADD 5","")))))</f>
        <v>PADD 3</v>
      </c>
      <c r="G7892" s="6" t="str">
        <f>IF(AND($H7892="ATMOS DISTILLATION",ISNUMBER(SEARCH("VPS",$I7892))=FALSE,LEFT($I7892,6)&lt;&gt;"VACUUM"),"CDU",IF($H7892="FLUID CAT CRACKING","FCC",IF(OR($H7892="HYDROCRACKING",$H7892="RESID_HYDROCRACKING"),"Hydrocracker",IF($H7892="REFORMING","Reformer",""))))</f>
        <v>CDU</v>
      </c>
      <c r="H7892" s="6" t="s">
        <v>38</v>
      </c>
      <c r="I7892" s="6" t="s">
        <v>81</v>
      </c>
      <c r="J7892" s="6" t="s">
        <v>345</v>
      </c>
      <c r="K7892" s="10">
        <v>103.95</v>
      </c>
      <c r="L7892" s="10">
        <v>165</v>
      </c>
      <c r="M7892" s="6" t="s">
        <v>371</v>
      </c>
    </row>
    <row r="7893" spans="1:13">
      <c r="A7893" s="6">
        <v>2026</v>
      </c>
      <c r="B7893" s="6">
        <v>6</v>
      </c>
      <c r="C7893" s="6" t="s">
        <v>64</v>
      </c>
      <c r="D7893" s="6" t="s">
        <v>40</v>
      </c>
      <c r="E7893" s="6" t="s">
        <v>736</v>
      </c>
      <c r="F7893" s="6" t="str">
        <f>IF($M7893="PADD I","PADD 1",IF($M7893="PADD II","PADD 2",IF($M7893="PADD III","PADD 3",IF($M7893="PADD IV","PADD 4",IF($M7893="PADD V","PADD 5","")))))</f>
        <v>PADD 1</v>
      </c>
      <c r="G7893" s="6" t="str">
        <f>IF(AND($H7893="ATMOS DISTILLATION",ISNUMBER(SEARCH("VPS",$I7893))=FALSE,LEFT($I7893,6)&lt;&gt;"VACUUM"),"CDU",IF($H7893="FLUID CAT CRACKING","FCC",IF(OR($H7893="HYDROCRACKING",$H7893="RESID_HYDROCRACKING"),"Hydrocracker",IF($H7893="REFORMING","Reformer",""))))</f>
        <v>CDU</v>
      </c>
      <c r="H7893" s="6" t="s">
        <v>38</v>
      </c>
      <c r="I7893" s="6" t="s">
        <v>980</v>
      </c>
      <c r="J7893" s="6" t="s">
        <v>345</v>
      </c>
      <c r="K7893" s="10">
        <v>52</v>
      </c>
      <c r="L7893" s="10">
        <v>104</v>
      </c>
      <c r="M7893" s="6" t="s">
        <v>413</v>
      </c>
    </row>
    <row r="7894" spans="1:13">
      <c r="A7894" s="6">
        <v>2026</v>
      </c>
      <c r="B7894" s="6">
        <v>6</v>
      </c>
      <c r="C7894" s="6" t="s">
        <v>64</v>
      </c>
      <c r="D7894" s="6" t="s">
        <v>42</v>
      </c>
      <c r="E7894" s="6" t="s">
        <v>405</v>
      </c>
      <c r="F7894" s="6" t="str">
        <f>IF($M7894="PADD I","PADD 1",IF($M7894="PADD II","PADD 2",IF($M7894="PADD III","PADD 3",IF($M7894="PADD IV","PADD 4",IF($M7894="PADD V","PADD 5","")))))</f>
        <v>PADD 3</v>
      </c>
      <c r="G7894" s="6">
        <f>IF(AND($H7894="ATMOS DISTILLATION",ISNUMBER(SEARCH("VPS",$I7894))=FALSE,LEFT($I7894,6)&lt;&gt;"VACUUM"),"CDU",IF($H7894="FLUID CAT CRACKING","FCC",IF(OR($H7894="HYDROCRACKING",$H7894="RESID_HYDROCRACKING"),"Hydrocracker",IF($H7894="REFORMING","Reformer",""))))</f>
        <v/>
      </c>
      <c r="H7894" s="6" t="s">
        <v>43</v>
      </c>
      <c r="I7894" s="6" t="s">
        <v>1088</v>
      </c>
      <c r="J7894" s="6" t="s">
        <v>345</v>
      </c>
      <c r="K7894" s="10">
        <v>51.7</v>
      </c>
      <c r="L7894" s="10">
        <v>110</v>
      </c>
      <c r="M7894" s="6" t="s">
        <v>371</v>
      </c>
    </row>
    <row r="7895" spans="1:13">
      <c r="A7895" s="6">
        <v>2026</v>
      </c>
      <c r="B7895" s="6">
        <v>6</v>
      </c>
      <c r="C7895" s="6" t="s">
        <v>64</v>
      </c>
      <c r="D7895" s="6" t="s">
        <v>40</v>
      </c>
      <c r="E7895" s="6" t="s">
        <v>736</v>
      </c>
      <c r="F7895" s="6" t="str">
        <f>IF($M7895="PADD I","PADD 1",IF($M7895="PADD II","PADD 2",IF($M7895="PADD III","PADD 3",IF($M7895="PADD IV","PADD 4",IF($M7895="PADD V","PADD 5","")))))</f>
        <v>PADD 1</v>
      </c>
      <c r="G7895" s="6" t="str">
        <f>IF(AND($H7895="ATMOS DISTILLATION",ISNUMBER(SEARCH("VPS",$I7895))=FALSE,LEFT($I7895,6)&lt;&gt;"VACUUM"),"CDU",IF($H7895="FLUID CAT CRACKING","FCC",IF(OR($H7895="HYDROCRACKING",$H7895="RESID_HYDROCRACKING"),"Hydrocracker",IF($H7895="REFORMING","Reformer",""))))</f>
        <v>CDU</v>
      </c>
      <c r="H7895" s="6" t="s">
        <v>38</v>
      </c>
      <c r="I7895" s="6" t="s">
        <v>989</v>
      </c>
      <c r="J7895" s="6" t="s">
        <v>345</v>
      </c>
      <c r="K7895" s="10">
        <v>48.88</v>
      </c>
      <c r="L7895" s="10">
        <v>104</v>
      </c>
      <c r="M7895" s="6" t="s">
        <v>413</v>
      </c>
    </row>
    <row r="7896" spans="1:13">
      <c r="A7896" s="6">
        <v>2026</v>
      </c>
      <c r="B7896" s="6">
        <v>6</v>
      </c>
      <c r="C7896" s="6" t="s">
        <v>64</v>
      </c>
      <c r="D7896" s="6" t="s">
        <v>526</v>
      </c>
      <c r="E7896" s="6" t="s">
        <v>405</v>
      </c>
      <c r="F7896" s="6" t="str">
        <f>IF($M7896="PADD I","PADD 1",IF($M7896="PADD II","PADD 2",IF($M7896="PADD III","PADD 3",IF($M7896="PADD IV","PADD 4",IF($M7896="PADD V","PADD 5","")))))</f>
        <v>PADD 3</v>
      </c>
      <c r="G7896" s="6">
        <f>IF(AND($H7896="ATMOS DISTILLATION",ISNUMBER(SEARCH("VPS",$I7896))=FALSE,LEFT($I7896,6)&lt;&gt;"VACUUM"),"CDU",IF($H7896="FLUID CAT CRACKING","FCC",IF(OR($H7896="HYDROCRACKING",$H7896="RESID_HYDROCRACKING"),"Hydrocracker",IF($H7896="REFORMING","Reformer",""))))</f>
        <v/>
      </c>
      <c r="H7896" s="6" t="s">
        <v>43</v>
      </c>
      <c r="I7896" s="6" t="s">
        <v>1076</v>
      </c>
      <c r="J7896" s="6" t="s">
        <v>345</v>
      </c>
      <c r="K7896" s="10">
        <v>47</v>
      </c>
      <c r="L7896" s="10">
        <v>47</v>
      </c>
      <c r="M7896" s="6" t="s">
        <v>371</v>
      </c>
    </row>
    <row r="7897" spans="1:13">
      <c r="A7897" s="6">
        <v>2026</v>
      </c>
      <c r="B7897" s="6">
        <v>6</v>
      </c>
      <c r="C7897" s="6" t="s">
        <v>64</v>
      </c>
      <c r="D7897" s="6" t="s">
        <v>44</v>
      </c>
      <c r="E7897" s="6" t="s">
        <v>1339</v>
      </c>
      <c r="F7897" s="6" t="str">
        <f>IF($M7897="PADD I","PADD 1",IF($M7897="PADD II","PADD 2",IF($M7897="PADD III","PADD 3",IF($M7897="PADD IV","PADD 4",IF($M7897="PADD V","PADD 5","")))))</f>
        <v>PADD 5</v>
      </c>
      <c r="G7897" s="6" t="str">
        <f>IF(AND($H7897="ATMOS DISTILLATION",ISNUMBER(SEARCH("VPS",$I7897))=FALSE,LEFT($I7897,6)&lt;&gt;"VACUUM"),"CDU",IF($H7897="FLUID CAT CRACKING","FCC",IF(OR($H7897="HYDROCRACKING",$H7897="RESID_HYDROCRACKING"),"Hydrocracker",IF($H7897="REFORMING","Reformer",""))))</f>
        <v>CDU</v>
      </c>
      <c r="H7897" s="6" t="s">
        <v>38</v>
      </c>
      <c r="I7897" s="6" t="s">
        <v>1374</v>
      </c>
      <c r="J7897" s="6" t="s">
        <v>349</v>
      </c>
      <c r="K7897" s="10">
        <v>45</v>
      </c>
      <c r="L7897" s="10">
        <v>90</v>
      </c>
      <c r="M7897" s="6" t="s">
        <v>386</v>
      </c>
    </row>
    <row r="7898" spans="1:13">
      <c r="A7898" s="6">
        <v>2026</v>
      </c>
      <c r="B7898" s="6">
        <v>6</v>
      </c>
      <c r="C7898" s="6" t="s">
        <v>64</v>
      </c>
      <c r="D7898" s="6" t="s">
        <v>408</v>
      </c>
      <c r="E7898" s="6" t="s">
        <v>409</v>
      </c>
      <c r="F7898" s="6" t="str">
        <f>IF($M7898="PADD I","PADD 1",IF($M7898="PADD II","PADD 2",IF($M7898="PADD III","PADD 3",IF($M7898="PADD IV","PADD 4",IF($M7898="PADD V","PADD 5","")))))</f>
        <v>PADD 3</v>
      </c>
      <c r="G7898" s="6" t="str">
        <f>IF(AND($H7898="ATMOS DISTILLATION",ISNUMBER(SEARCH("VPS",$I7898))=FALSE,LEFT($I7898,6)&lt;&gt;"VACUUM"),"CDU",IF($H7898="FLUID CAT CRACKING","FCC",IF(OR($H7898="HYDROCRACKING",$H7898="RESID_HYDROCRACKING"),"Hydrocracker",IF($H7898="REFORMING","Reformer",""))))</f>
        <v>CDU</v>
      </c>
      <c r="H7898" s="6" t="s">
        <v>38</v>
      </c>
      <c r="I7898" s="6" t="s">
        <v>410</v>
      </c>
      <c r="J7898" s="6" t="s">
        <v>345</v>
      </c>
      <c r="K7898" s="10">
        <v>40.5</v>
      </c>
      <c r="L7898" s="10">
        <v>150</v>
      </c>
      <c r="M7898" s="6" t="s">
        <v>371</v>
      </c>
    </row>
    <row r="7899" spans="1:13">
      <c r="A7899" s="6">
        <v>2026</v>
      </c>
      <c r="B7899" s="6">
        <v>6</v>
      </c>
      <c r="C7899" s="6" t="s">
        <v>64</v>
      </c>
      <c r="D7899" s="6" t="s">
        <v>612</v>
      </c>
      <c r="E7899" s="6" t="s">
        <v>416</v>
      </c>
      <c r="F7899" s="6" t="str">
        <f>IF($M7899="PADD I","PADD 1",IF($M7899="PADD II","PADD 2",IF($M7899="PADD III","PADD 3",IF($M7899="PADD IV","PADD 4",IF($M7899="PADD V","PADD 5","")))))</f>
        <v>PADD 3</v>
      </c>
      <c r="G7899" s="6">
        <f>IF(AND($H7899="ATMOS DISTILLATION",ISNUMBER(SEARCH("VPS",$I7899))=FALSE,LEFT($I7899,6)&lt;&gt;"VACUUM"),"CDU",IF($H7899="FLUID CAT CRACKING","FCC",IF(OR($H7899="HYDROCRACKING",$H7899="RESID_HYDROCRACKING"),"Hydrocracker",IF($H7899="REFORMING","Reformer",""))))</f>
        <v/>
      </c>
      <c r="H7899" s="6" t="s">
        <v>378</v>
      </c>
      <c r="I7899" s="6" t="s">
        <v>431</v>
      </c>
      <c r="J7899" s="6" t="s">
        <v>345</v>
      </c>
      <c r="K7899" s="10">
        <v>40</v>
      </c>
      <c r="L7899" s="10">
        <v>80</v>
      </c>
      <c r="M7899" s="6" t="s">
        <v>371</v>
      </c>
    </row>
    <row r="7900" spans="1:13">
      <c r="A7900" s="6">
        <v>2026</v>
      </c>
      <c r="B7900" s="6">
        <v>6</v>
      </c>
      <c r="C7900" s="6" t="s">
        <v>64</v>
      </c>
      <c r="D7900" s="6" t="s">
        <v>387</v>
      </c>
      <c r="E7900" s="6" t="s">
        <v>388</v>
      </c>
      <c r="F7900" s="6" t="str">
        <f>IF($M7900="PADD I","PADD 1",IF($M7900="PADD II","PADD 2",IF($M7900="PADD III","PADD 3",IF($M7900="PADD IV","PADD 4",IF($M7900="PADD V","PADD 5","")))))</f>
        <v>PADD 3</v>
      </c>
      <c r="G7900" s="6" t="str">
        <f>IF(AND($H7900="ATMOS DISTILLATION",ISNUMBER(SEARCH("VPS",$I7900))=FALSE,LEFT($I7900,6)&lt;&gt;"VACUUM"),"CDU",IF($H7900="FLUID CAT CRACKING","FCC",IF(OR($H7900="HYDROCRACKING",$H7900="RESID_HYDROCRACKING"),"Hydrocracker",IF($H7900="REFORMING","Reformer",""))))</f>
        <v>Reformer</v>
      </c>
      <c r="H7900" s="6" t="s">
        <v>421</v>
      </c>
      <c r="I7900" s="6" t="s">
        <v>583</v>
      </c>
      <c r="J7900" s="6" t="s">
        <v>345</v>
      </c>
      <c r="K7900" s="10">
        <v>32.5</v>
      </c>
      <c r="L7900" s="10">
        <v>65</v>
      </c>
      <c r="M7900" s="6" t="s">
        <v>371</v>
      </c>
    </row>
    <row r="7901" spans="1:13">
      <c r="A7901" s="6">
        <v>2026</v>
      </c>
      <c r="B7901" s="6">
        <v>6</v>
      </c>
      <c r="C7901" s="6" t="s">
        <v>64</v>
      </c>
      <c r="D7901" s="6" t="s">
        <v>40</v>
      </c>
      <c r="E7901" s="6" t="s">
        <v>736</v>
      </c>
      <c r="F7901" s="6" t="str">
        <f>IF($M7901="PADD I","PADD 1",IF($M7901="PADD II","PADD 2",IF($M7901="PADD III","PADD 3",IF($M7901="PADD IV","PADD 4",IF($M7901="PADD V","PADD 5","")))))</f>
        <v>PADD 1</v>
      </c>
      <c r="G7901" s="6">
        <f>IF(AND($H7901="ATMOS DISTILLATION",ISNUMBER(SEARCH("VPS",$I7901))=FALSE,LEFT($I7901,6)&lt;&gt;"VACUUM"),"CDU",IF($H7901="FLUID CAT CRACKING","FCC",IF(OR($H7901="HYDROCRACKING",$H7901="RESID_HYDROCRACKING"),"Hydrocracker",IF($H7901="REFORMING","Reformer",""))))</f>
        <v/>
      </c>
      <c r="H7901" s="6" t="s">
        <v>43</v>
      </c>
      <c r="I7901" s="6" t="s">
        <v>994</v>
      </c>
      <c r="J7901" s="6" t="s">
        <v>345</v>
      </c>
      <c r="K7901" s="10">
        <v>32.5</v>
      </c>
      <c r="L7901" s="10">
        <v>65</v>
      </c>
      <c r="M7901" s="6" t="s">
        <v>413</v>
      </c>
    </row>
    <row r="7902" spans="1:13">
      <c r="A7902" s="6">
        <v>2026</v>
      </c>
      <c r="B7902" s="6">
        <v>6</v>
      </c>
      <c r="C7902" s="6" t="s">
        <v>64</v>
      </c>
      <c r="D7902" s="6" t="s">
        <v>40</v>
      </c>
      <c r="E7902" s="6" t="s">
        <v>736</v>
      </c>
      <c r="F7902" s="6" t="str">
        <f>IF($M7902="PADD I","PADD 1",IF($M7902="PADD II","PADD 2",IF($M7902="PADD III","PADD 3",IF($M7902="PADD IV","PADD 4",IF($M7902="PADD V","PADD 5","")))))</f>
        <v>PADD 1</v>
      </c>
      <c r="G7902" s="6" t="str">
        <f>IF(AND($H7902="ATMOS DISTILLATION",ISNUMBER(SEARCH("VPS",$I7902))=FALSE,LEFT($I7902,6)&lt;&gt;"VACUUM"),"CDU",IF($H7902="FLUID CAT CRACKING","FCC",IF(OR($H7902="HYDROCRACKING",$H7902="RESID_HYDROCRACKING"),"Hydrocracker",IF($H7902="REFORMING","Reformer",""))))</f>
        <v>FCC</v>
      </c>
      <c r="H7902" s="6" t="s">
        <v>376</v>
      </c>
      <c r="I7902" s="6" t="s">
        <v>737</v>
      </c>
      <c r="J7902" s="6" t="s">
        <v>345</v>
      </c>
      <c r="K7902" s="10">
        <v>31.96</v>
      </c>
      <c r="L7902" s="10">
        <v>68</v>
      </c>
      <c r="M7902" s="6" t="s">
        <v>413</v>
      </c>
    </row>
    <row r="7903" spans="1:13">
      <c r="A7903" s="6">
        <v>2026</v>
      </c>
      <c r="B7903" s="6">
        <v>6</v>
      </c>
      <c r="C7903" s="6" t="s">
        <v>64</v>
      </c>
      <c r="D7903" s="6" t="s">
        <v>40</v>
      </c>
      <c r="E7903" s="6" t="s">
        <v>736</v>
      </c>
      <c r="F7903" s="6" t="str">
        <f>IF($M7903="PADD I","PADD 1",IF($M7903="PADD II","PADD 2",IF($M7903="PADD III","PADD 3",IF($M7903="PADD IV","PADD 4",IF($M7903="PADD V","PADD 5","")))))</f>
        <v>PADD 1</v>
      </c>
      <c r="G7903" s="6">
        <f>IF(AND($H7903="ATMOS DISTILLATION",ISNUMBER(SEARCH("VPS",$I7903))=FALSE,LEFT($I7903,6)&lt;&gt;"VACUUM"),"CDU",IF($H7903="FLUID CAT CRACKING","FCC",IF(OR($H7903="HYDROCRACKING",$H7903="RESID_HYDROCRACKING"),"Hydrocracker",IF($H7903="REFORMING","Reformer",""))))</f>
        <v/>
      </c>
      <c r="H7903" s="6" t="s">
        <v>43</v>
      </c>
      <c r="I7903" s="6" t="s">
        <v>493</v>
      </c>
      <c r="J7903" s="6" t="s">
        <v>345</v>
      </c>
      <c r="K7903" s="10">
        <v>30</v>
      </c>
      <c r="L7903" s="10">
        <v>60</v>
      </c>
      <c r="M7903" s="6" t="s">
        <v>413</v>
      </c>
    </row>
    <row r="7904" spans="1:13">
      <c r="A7904" s="6">
        <v>2026</v>
      </c>
      <c r="B7904" s="6">
        <v>6</v>
      </c>
      <c r="C7904" s="6" t="s">
        <v>64</v>
      </c>
      <c r="D7904" s="6" t="s">
        <v>335</v>
      </c>
      <c r="E7904" s="6" t="s">
        <v>369</v>
      </c>
      <c r="F7904" s="6" t="str">
        <f>IF($M7904="PADD I","PADD 1",IF($M7904="PADD II","PADD 2",IF($M7904="PADD III","PADD 3",IF($M7904="PADD IV","PADD 4",IF($M7904="PADD V","PADD 5","")))))</f>
        <v>PADD 3</v>
      </c>
      <c r="G7904" s="6" t="str">
        <f>IF(AND($H7904="ATMOS DISTILLATION",ISNUMBER(SEARCH("VPS",$I7904))=FALSE,LEFT($I7904,6)&lt;&gt;"VACUUM"),"CDU",IF($H7904="FLUID CAT CRACKING","FCC",IF(OR($H7904="HYDROCRACKING",$H7904="RESID_HYDROCRACKING"),"Hydrocracker",IF($H7904="REFORMING","Reformer",""))))</f>
        <v>FCC</v>
      </c>
      <c r="H7904" s="6" t="s">
        <v>376</v>
      </c>
      <c r="I7904" s="6" t="s">
        <v>472</v>
      </c>
      <c r="J7904" s="6" t="s">
        <v>345</v>
      </c>
      <c r="K7904" s="10">
        <v>30</v>
      </c>
      <c r="L7904" s="10">
        <v>30</v>
      </c>
      <c r="M7904" s="6" t="s">
        <v>371</v>
      </c>
    </row>
    <row r="7905" spans="1:13">
      <c r="A7905" s="6">
        <v>2026</v>
      </c>
      <c r="B7905" s="6">
        <v>6</v>
      </c>
      <c r="C7905" s="6" t="s">
        <v>64</v>
      </c>
      <c r="D7905" s="6" t="s">
        <v>1063</v>
      </c>
      <c r="E7905" s="6" t="s">
        <v>388</v>
      </c>
      <c r="F7905" s="6" t="str">
        <f>IF($M7905="PADD I","PADD 1",IF($M7905="PADD II","PADD 2",IF($M7905="PADD III","PADD 3",IF($M7905="PADD IV","PADD 4",IF($M7905="PADD V","PADD 5","")))))</f>
        <v>PADD 2</v>
      </c>
      <c r="G7905" s="6">
        <f>IF(AND($H7905="ATMOS DISTILLATION",ISNUMBER(SEARCH("VPS",$I7905))=FALSE,LEFT($I7905,6)&lt;&gt;"VACUUM"),"CDU",IF($H7905="FLUID CAT CRACKING","FCC",IF(OR($H7905="HYDROCRACKING",$H7905="RESID_HYDROCRACKING"),"Hydrocracker",IF($H7905="REFORMING","Reformer",""))))</f>
        <v/>
      </c>
      <c r="H7905" s="6" t="s">
        <v>43</v>
      </c>
      <c r="I7905" s="6" t="s">
        <v>493</v>
      </c>
      <c r="J7905" s="6" t="s">
        <v>345</v>
      </c>
      <c r="K7905" s="10">
        <v>29.58</v>
      </c>
      <c r="L7905" s="10">
        <v>34</v>
      </c>
      <c r="M7905" s="6" t="s">
        <v>375</v>
      </c>
    </row>
    <row r="7906" spans="1:13">
      <c r="A7906" s="6">
        <v>2026</v>
      </c>
      <c r="B7906" s="6">
        <v>6</v>
      </c>
      <c r="C7906" s="6" t="s">
        <v>64</v>
      </c>
      <c r="D7906" s="6" t="s">
        <v>40</v>
      </c>
      <c r="E7906" s="6" t="s">
        <v>736</v>
      </c>
      <c r="F7906" s="6" t="str">
        <f>IF($M7906="PADD I","PADD 1",IF($M7906="PADD II","PADD 2",IF($M7906="PADD III","PADD 3",IF($M7906="PADD IV","PADD 4",IF($M7906="PADD V","PADD 5","")))))</f>
        <v>PADD 1</v>
      </c>
      <c r="G7906" s="6" t="str">
        <f>IF(AND($H7906="ATMOS DISTILLATION",ISNUMBER(SEARCH("VPS",$I7906))=FALSE,LEFT($I7906,6)&lt;&gt;"VACUUM"),"CDU",IF($H7906="FLUID CAT CRACKING","FCC",IF(OR($H7906="HYDROCRACKING",$H7906="RESID_HYDROCRACKING"),"Hydrocracker",IF($H7906="REFORMING","Reformer",""))))</f>
        <v>Reformer</v>
      </c>
      <c r="H7906" s="6" t="s">
        <v>421</v>
      </c>
      <c r="I7906" s="6" t="s">
        <v>782</v>
      </c>
      <c r="J7906" s="6" t="s">
        <v>345</v>
      </c>
      <c r="K7906" s="10">
        <v>28.2</v>
      </c>
      <c r="L7906" s="10">
        <v>60</v>
      </c>
      <c r="M7906" s="6" t="s">
        <v>413</v>
      </c>
    </row>
    <row r="7907" spans="1:13">
      <c r="A7907" s="6">
        <v>2026</v>
      </c>
      <c r="B7907" s="6">
        <v>6</v>
      </c>
      <c r="C7907" s="6" t="s">
        <v>64</v>
      </c>
      <c r="D7907" s="6" t="s">
        <v>44</v>
      </c>
      <c r="E7907" s="6" t="s">
        <v>1339</v>
      </c>
      <c r="F7907" s="6" t="str">
        <f>IF($M7907="PADD I","PADD 1",IF($M7907="PADD II","PADD 2",IF($M7907="PADD III","PADD 3",IF($M7907="PADD IV","PADD 4",IF($M7907="PADD V","PADD 5","")))))</f>
        <v>PADD 5</v>
      </c>
      <c r="G7907" s="6" t="str">
        <f>IF(AND($H7907="ATMOS DISTILLATION",ISNUMBER(SEARCH("VPS",$I7907))=FALSE,LEFT($I7907,6)&lt;&gt;"VACUUM"),"CDU",IF($H7907="FLUID CAT CRACKING","FCC",IF(OR($H7907="HYDROCRACKING",$H7907="RESID_HYDROCRACKING"),"Hydrocracker",IF($H7907="REFORMING","Reformer",""))))</f>
        <v>CDU</v>
      </c>
      <c r="H7907" s="6" t="s">
        <v>38</v>
      </c>
      <c r="I7907" s="6" t="s">
        <v>1375</v>
      </c>
      <c r="J7907" s="6" t="s">
        <v>349</v>
      </c>
      <c r="K7907" s="10">
        <v>27</v>
      </c>
      <c r="L7907" s="10">
        <v>54</v>
      </c>
      <c r="M7907" s="6" t="s">
        <v>386</v>
      </c>
    </row>
    <row r="7908" spans="1:13">
      <c r="A7908" s="6">
        <v>2026</v>
      </c>
      <c r="B7908" s="6">
        <v>6</v>
      </c>
      <c r="C7908" s="6" t="s">
        <v>64</v>
      </c>
      <c r="D7908" s="6" t="s">
        <v>851</v>
      </c>
      <c r="E7908" s="6" t="s">
        <v>852</v>
      </c>
      <c r="F7908" s="6" t="str">
        <f>IF($M7908="PADD I","PADD 1",IF($M7908="PADD II","PADD 2",IF($M7908="PADD III","PADD 3",IF($M7908="PADD IV","PADD 4",IF($M7908="PADD V","PADD 5","")))))</f>
        <v>PADD 3</v>
      </c>
      <c r="G7908" s="6" t="str">
        <f>IF(AND($H7908="ATMOS DISTILLATION",ISNUMBER(SEARCH("VPS",$I7908))=FALSE,LEFT($I7908,6)&lt;&gt;"VACUUM"),"CDU",IF($H7908="FLUID CAT CRACKING","FCC",IF(OR($H7908="HYDROCRACKING",$H7908="RESID_HYDROCRACKING"),"Hydrocracker",IF($H7908="REFORMING","Reformer",""))))</f>
        <v>CDU</v>
      </c>
      <c r="H7908" s="6" t="s">
        <v>38</v>
      </c>
      <c r="I7908" s="6" t="s">
        <v>853</v>
      </c>
      <c r="J7908" s="6" t="s">
        <v>349</v>
      </c>
      <c r="K7908" s="10">
        <v>24.05</v>
      </c>
      <c r="L7908" s="10">
        <v>65</v>
      </c>
      <c r="M7908" s="6" t="s">
        <v>371</v>
      </c>
    </row>
    <row r="7909" spans="1:13">
      <c r="A7909" s="6">
        <v>2026</v>
      </c>
      <c r="B7909" s="6">
        <v>6</v>
      </c>
      <c r="C7909" s="6" t="s">
        <v>64</v>
      </c>
      <c r="D7909" s="6" t="s">
        <v>408</v>
      </c>
      <c r="E7909" s="6" t="s">
        <v>409</v>
      </c>
      <c r="F7909" s="6" t="str">
        <f>IF($M7909="PADD I","PADD 1",IF($M7909="PADD II","PADD 2",IF($M7909="PADD III","PADD 3",IF($M7909="PADD IV","PADD 4",IF($M7909="PADD V","PADD 5","")))))</f>
        <v>PADD 3</v>
      </c>
      <c r="G7909" s="6" t="str">
        <f>IF(AND($H7909="ATMOS DISTILLATION",ISNUMBER(SEARCH("VPS",$I7909))=FALSE,LEFT($I7909,6)&lt;&gt;"VACUUM"),"CDU",IF($H7909="FLUID CAT CRACKING","FCC",IF(OR($H7909="HYDROCRACKING",$H7909="RESID_HYDROCRACKING"),"Hydrocracker",IF($H7909="REFORMING","Reformer",""))))</f>
        <v>CDU</v>
      </c>
      <c r="H7909" s="6" t="s">
        <v>38</v>
      </c>
      <c r="I7909" s="6" t="s">
        <v>410</v>
      </c>
      <c r="J7909" s="6" t="s">
        <v>345</v>
      </c>
      <c r="K7909" s="10">
        <v>24</v>
      </c>
      <c r="L7909" s="10">
        <v>80</v>
      </c>
      <c r="M7909" s="6" t="s">
        <v>371</v>
      </c>
    </row>
    <row r="7910" spans="1:13">
      <c r="A7910" s="6">
        <v>2026</v>
      </c>
      <c r="B7910" s="6">
        <v>6</v>
      </c>
      <c r="C7910" s="6" t="s">
        <v>64</v>
      </c>
      <c r="D7910" s="6" t="s">
        <v>484</v>
      </c>
      <c r="E7910" s="6" t="s">
        <v>409</v>
      </c>
      <c r="F7910" s="6" t="str">
        <f>IF($M7910="PADD I","PADD 1",IF($M7910="PADD II","PADD 2",IF($M7910="PADD III","PADD 3",IF($M7910="PADD IV","PADD 4",IF($M7910="PADD V","PADD 5","")))))</f>
        <v>PADD 3</v>
      </c>
      <c r="G7910" s="6">
        <f>IF(AND($H7910="ATMOS DISTILLATION",ISNUMBER(SEARCH("VPS",$I7910))=FALSE,LEFT($I7910,6)&lt;&gt;"VACUUM"),"CDU",IF($H7910="FLUID CAT CRACKING","FCC",IF(OR($H7910="HYDROCRACKING",$H7910="RESID_HYDROCRACKING"),"Hydrocracker",IF($H7910="REFORMING","Reformer",""))))</f>
        <v/>
      </c>
      <c r="H7910" s="6" t="s">
        <v>43</v>
      </c>
      <c r="I7910" s="6" t="s">
        <v>501</v>
      </c>
      <c r="J7910" s="6" t="s">
        <v>345</v>
      </c>
      <c r="K7910" s="10">
        <v>21.385</v>
      </c>
      <c r="L7910" s="10">
        <v>45.5</v>
      </c>
      <c r="M7910" s="6" t="s">
        <v>371</v>
      </c>
    </row>
    <row r="7911" spans="1:13">
      <c r="A7911" s="6">
        <v>2026</v>
      </c>
      <c r="B7911" s="6">
        <v>6</v>
      </c>
      <c r="C7911" s="6" t="s">
        <v>64</v>
      </c>
      <c r="D7911" s="6" t="s">
        <v>408</v>
      </c>
      <c r="E7911" s="6" t="s">
        <v>409</v>
      </c>
      <c r="F7911" s="6" t="str">
        <f>IF($M7911="PADD I","PADD 1",IF($M7911="PADD II","PADD 2",IF($M7911="PADD III","PADD 3",IF($M7911="PADD IV","PADD 4",IF($M7911="PADD V","PADD 5","")))))</f>
        <v>PADD 3</v>
      </c>
      <c r="G7911" s="6" t="str">
        <f>IF(AND($H7911="ATMOS DISTILLATION",ISNUMBER(SEARCH("VPS",$I7911))=FALSE,LEFT($I7911,6)&lt;&gt;"VACUUM"),"CDU",IF($H7911="FLUID CAT CRACKING","FCC",IF(OR($H7911="HYDROCRACKING",$H7911="RESID_HYDROCRACKING"),"Hydrocracker",IF($H7911="REFORMING","Reformer",""))))</f>
        <v>FCC</v>
      </c>
      <c r="H7911" s="6" t="s">
        <v>376</v>
      </c>
      <c r="I7911" s="6" t="s">
        <v>426</v>
      </c>
      <c r="J7911" s="6" t="s">
        <v>345</v>
      </c>
      <c r="K7911" s="10">
        <v>20.52</v>
      </c>
      <c r="L7911" s="10">
        <v>76</v>
      </c>
      <c r="M7911" s="6" t="s">
        <v>371</v>
      </c>
    </row>
    <row r="7912" spans="1:13">
      <c r="A7912" s="6">
        <v>2026</v>
      </c>
      <c r="B7912" s="6">
        <v>6</v>
      </c>
      <c r="C7912" s="6" t="s">
        <v>64</v>
      </c>
      <c r="D7912" s="6" t="s">
        <v>44</v>
      </c>
      <c r="E7912" s="6" t="s">
        <v>1339</v>
      </c>
      <c r="F7912" s="6" t="str">
        <f>IF($M7912="PADD I","PADD 1",IF($M7912="PADD II","PADD 2",IF($M7912="PADD III","PADD 3",IF($M7912="PADD IV","PADD 4",IF($M7912="PADD V","PADD 5","")))))</f>
        <v>PADD 5</v>
      </c>
      <c r="G7912" s="6">
        <f>IF(AND($H7912="ATMOS DISTILLATION",ISNUMBER(SEARCH("VPS",$I7912))=FALSE,LEFT($I7912,6)&lt;&gt;"VACUUM"),"CDU",IF($H7912="FLUID CAT CRACKING","FCC",IF(OR($H7912="HYDROCRACKING",$H7912="RESID_HYDROCRACKING"),"Hydrocracker",IF($H7912="REFORMING","Reformer",""))))</f>
        <v/>
      </c>
      <c r="H7912" s="6" t="s">
        <v>378</v>
      </c>
      <c r="I7912" s="6" t="s">
        <v>1340</v>
      </c>
      <c r="J7912" s="6" t="s">
        <v>349</v>
      </c>
      <c r="K7912" s="10">
        <v>20</v>
      </c>
      <c r="L7912" s="10">
        <v>40</v>
      </c>
      <c r="M7912" s="6" t="s">
        <v>386</v>
      </c>
    </row>
    <row r="7913" spans="1:13">
      <c r="A7913" s="6">
        <v>2026</v>
      </c>
      <c r="B7913" s="6">
        <v>6</v>
      </c>
      <c r="C7913" s="6" t="s">
        <v>64</v>
      </c>
      <c r="D7913" s="6" t="s">
        <v>40</v>
      </c>
      <c r="E7913" s="6" t="s">
        <v>736</v>
      </c>
      <c r="F7913" s="6" t="str">
        <f>IF($M7913="PADD I","PADD 1",IF($M7913="PADD II","PADD 2",IF($M7913="PADD III","PADD 3",IF($M7913="PADD IV","PADD 4",IF($M7913="PADD V","PADD 5","")))))</f>
        <v>PADD 1</v>
      </c>
      <c r="G7913" s="6">
        <f>IF(AND($H7913="ATMOS DISTILLATION",ISNUMBER(SEARCH("VPS",$I7913))=FALSE,LEFT($I7913,6)&lt;&gt;"VACUUM"),"CDU",IF($H7913="FLUID CAT CRACKING","FCC",IF(OR($H7913="HYDROCRACKING",$H7913="RESID_HYDROCRACKING"),"Hydrocracker",IF($H7913="REFORMING","Reformer",""))))</f>
        <v/>
      </c>
      <c r="H7913" s="6" t="s">
        <v>43</v>
      </c>
      <c r="I7913" s="6" t="s">
        <v>1003</v>
      </c>
      <c r="J7913" s="6" t="s">
        <v>345</v>
      </c>
      <c r="K7913" s="10">
        <v>20</v>
      </c>
      <c r="L7913" s="10">
        <v>40</v>
      </c>
      <c r="M7913" s="6" t="s">
        <v>413</v>
      </c>
    </row>
    <row r="7914" spans="1:13">
      <c r="A7914" s="6">
        <v>2026</v>
      </c>
      <c r="B7914" s="6">
        <v>6</v>
      </c>
      <c r="C7914" s="6" t="s">
        <v>64</v>
      </c>
      <c r="D7914" s="6" t="s">
        <v>484</v>
      </c>
      <c r="E7914" s="6" t="s">
        <v>409</v>
      </c>
      <c r="F7914" s="6" t="str">
        <f>IF($M7914="PADD I","PADD 1",IF($M7914="PADD II","PADD 2",IF($M7914="PADD III","PADD 3",IF($M7914="PADD IV","PADD 4",IF($M7914="PADD V","PADD 5","")))))</f>
        <v>PADD 3</v>
      </c>
      <c r="G7914" s="6">
        <f>IF(AND($H7914="ATMOS DISTILLATION",ISNUMBER(SEARCH("VPS",$I7914))=FALSE,LEFT($I7914,6)&lt;&gt;"VACUUM"),"CDU",IF($H7914="FLUID CAT CRACKING","FCC",IF(OR($H7914="HYDROCRACKING",$H7914="RESID_HYDROCRACKING"),"Hydrocracker",IF($H7914="REFORMING","Reformer",""))))</f>
        <v/>
      </c>
      <c r="H7914" s="6" t="s">
        <v>43</v>
      </c>
      <c r="I7914" s="6" t="s">
        <v>485</v>
      </c>
      <c r="J7914" s="6" t="s">
        <v>345</v>
      </c>
      <c r="K7914" s="10">
        <v>19.8</v>
      </c>
      <c r="L7914" s="10">
        <v>66</v>
      </c>
      <c r="M7914" s="6" t="s">
        <v>371</v>
      </c>
    </row>
    <row r="7915" spans="1:13">
      <c r="A7915" s="6">
        <v>2026</v>
      </c>
      <c r="B7915" s="6">
        <v>6</v>
      </c>
      <c r="C7915" s="6" t="s">
        <v>64</v>
      </c>
      <c r="D7915" s="6" t="s">
        <v>851</v>
      </c>
      <c r="E7915" s="6" t="s">
        <v>852</v>
      </c>
      <c r="F7915" s="6" t="str">
        <f>IF($M7915="PADD I","PADD 1",IF($M7915="PADD II","PADD 2",IF($M7915="PADD III","PADD 3",IF($M7915="PADD IV","PADD 4",IF($M7915="PADD V","PADD 5","")))))</f>
        <v>PADD 3</v>
      </c>
      <c r="G7915" s="6" t="str">
        <f>IF(AND($H7915="ATMOS DISTILLATION",ISNUMBER(SEARCH("VPS",$I7915))=FALSE,LEFT($I7915,6)&lt;&gt;"VACUUM"),"CDU",IF($H7915="FLUID CAT CRACKING","FCC",IF(OR($H7915="HYDROCRACKING",$H7915="RESID_HYDROCRACKING"),"Hydrocracker",IF($H7915="REFORMING","Reformer",""))))</f>
        <v>CDU</v>
      </c>
      <c r="H7915" s="6" t="s">
        <v>38</v>
      </c>
      <c r="I7915" s="6" t="s">
        <v>854</v>
      </c>
      <c r="J7915" s="6" t="s">
        <v>349</v>
      </c>
      <c r="K7915" s="10">
        <v>19.5</v>
      </c>
      <c r="L7915" s="10">
        <v>65</v>
      </c>
      <c r="M7915" s="6" t="s">
        <v>371</v>
      </c>
    </row>
    <row r="7916" spans="1:13">
      <c r="A7916" s="6">
        <v>2026</v>
      </c>
      <c r="B7916" s="6">
        <v>6</v>
      </c>
      <c r="C7916" s="6" t="s">
        <v>64</v>
      </c>
      <c r="D7916" s="6" t="s">
        <v>321</v>
      </c>
      <c r="E7916" s="6" t="s">
        <v>381</v>
      </c>
      <c r="F7916" s="6" t="str">
        <f>IF($M7916="PADD I","PADD 1",IF($M7916="PADD II","PADD 2",IF($M7916="PADD III","PADD 3",IF($M7916="PADD IV","PADD 4",IF($M7916="PADD V","PADD 5","")))))</f>
        <v>PADD 2</v>
      </c>
      <c r="G7916" s="6" t="str">
        <f>IF(AND($H7916="ATMOS DISTILLATION",ISNUMBER(SEARCH("VPS",$I7916))=FALSE,LEFT($I7916,6)&lt;&gt;"VACUUM"),"CDU",IF($H7916="FLUID CAT CRACKING","FCC",IF(OR($H7916="HYDROCRACKING",$H7916="RESID_HYDROCRACKING"),"Hydrocracker",IF($H7916="REFORMING","Reformer",""))))</f>
        <v>FCC</v>
      </c>
      <c r="H7916" s="6" t="s">
        <v>376</v>
      </c>
      <c r="I7916" s="6" t="s">
        <v>105</v>
      </c>
      <c r="J7916" s="6" t="s">
        <v>345</v>
      </c>
      <c r="K7916" s="10">
        <v>18.9</v>
      </c>
      <c r="L7916" s="10">
        <v>30</v>
      </c>
      <c r="M7916" s="6" t="s">
        <v>375</v>
      </c>
    </row>
    <row r="7917" spans="1:13">
      <c r="A7917" s="6">
        <v>2026</v>
      </c>
      <c r="B7917" s="6">
        <v>6</v>
      </c>
      <c r="C7917" s="6" t="s">
        <v>64</v>
      </c>
      <c r="D7917" s="6" t="s">
        <v>346</v>
      </c>
      <c r="E7917" s="6" t="s">
        <v>383</v>
      </c>
      <c r="F7917" s="6" t="str">
        <f>IF($M7917="PADD I","PADD 1",IF($M7917="PADD II","PADD 2",IF($M7917="PADD III","PADD 3",IF($M7917="PADD IV","PADD 4",IF($M7917="PADD V","PADD 5","")))))</f>
        <v>PADD 2</v>
      </c>
      <c r="G7917" s="6" t="str">
        <f>IF(AND($H7917="ATMOS DISTILLATION",ISNUMBER(SEARCH("VPS",$I7917))=FALSE,LEFT($I7917,6)&lt;&gt;"VACUUM"),"CDU",IF($H7917="FLUID CAT CRACKING","FCC",IF(OR($H7917="HYDROCRACKING",$H7917="RESID_HYDROCRACKING"),"Hydrocracker",IF($H7917="REFORMING","Reformer",""))))</f>
        <v>FCC</v>
      </c>
      <c r="H7917" s="6" t="s">
        <v>376</v>
      </c>
      <c r="I7917" s="6" t="s">
        <v>105</v>
      </c>
      <c r="J7917" s="6" t="s">
        <v>345</v>
      </c>
      <c r="K7917" s="10">
        <v>18.86</v>
      </c>
      <c r="L7917" s="10">
        <v>82</v>
      </c>
      <c r="M7917" s="6" t="s">
        <v>375</v>
      </c>
    </row>
    <row r="7918" spans="1:13">
      <c r="A7918" s="6">
        <v>2026</v>
      </c>
      <c r="B7918" s="6">
        <v>6</v>
      </c>
      <c r="C7918" s="6" t="s">
        <v>64</v>
      </c>
      <c r="D7918" s="6" t="s">
        <v>526</v>
      </c>
      <c r="E7918" s="6" t="s">
        <v>405</v>
      </c>
      <c r="F7918" s="6" t="str">
        <f>IF($M7918="PADD I","PADD 1",IF($M7918="PADD II","PADD 2",IF($M7918="PADD III","PADD 3",IF($M7918="PADD IV","PADD 4",IF($M7918="PADD V","PADD 5","")))))</f>
        <v>PADD 3</v>
      </c>
      <c r="G7918" s="6">
        <f>IF(AND($H7918="ATMOS DISTILLATION",ISNUMBER(SEARCH("VPS",$I7918))=FALSE,LEFT($I7918,6)&lt;&gt;"VACUUM"),"CDU",IF($H7918="FLUID CAT CRACKING","FCC",IF(OR($H7918="HYDROCRACKING",$H7918="RESID_HYDROCRACKING"),"Hydrocracker",IF($H7918="REFORMING","Reformer",""))))</f>
        <v/>
      </c>
      <c r="H7918" s="6" t="s">
        <v>43</v>
      </c>
      <c r="I7918" s="6" t="s">
        <v>1226</v>
      </c>
      <c r="J7918" s="6" t="s">
        <v>345</v>
      </c>
      <c r="K7918" s="10">
        <v>18.5</v>
      </c>
      <c r="L7918" s="10">
        <v>18.5</v>
      </c>
      <c r="M7918" s="6" t="s">
        <v>371</v>
      </c>
    </row>
    <row r="7919" spans="1:13">
      <c r="A7919" s="6">
        <v>2026</v>
      </c>
      <c r="B7919" s="6">
        <v>6</v>
      </c>
      <c r="C7919" s="6" t="s">
        <v>64</v>
      </c>
      <c r="D7919" s="6" t="s">
        <v>408</v>
      </c>
      <c r="E7919" s="6" t="s">
        <v>409</v>
      </c>
      <c r="F7919" s="6" t="str">
        <f>IF($M7919="PADD I","PADD 1",IF($M7919="PADD II","PADD 2",IF($M7919="PADD III","PADD 3",IF($M7919="PADD IV","PADD 4",IF($M7919="PADD V","PADD 5","")))))</f>
        <v>PADD 3</v>
      </c>
      <c r="G7919" s="6">
        <f>IF(AND($H7919="ATMOS DISTILLATION",ISNUMBER(SEARCH("VPS",$I7919))=FALSE,LEFT($I7919,6)&lt;&gt;"VACUUM"),"CDU",IF($H7919="FLUID CAT CRACKING","FCC",IF(OR($H7919="HYDROCRACKING",$H7919="RESID_HYDROCRACKING"),"Hydrocracker",IF($H7919="REFORMING","Reformer",""))))</f>
        <v/>
      </c>
      <c r="H7919" s="6" t="s">
        <v>43</v>
      </c>
      <c r="I7919" s="6" t="s">
        <v>464</v>
      </c>
      <c r="J7919" s="6" t="s">
        <v>345</v>
      </c>
      <c r="K7919" s="10">
        <v>18.5</v>
      </c>
      <c r="L7919" s="10">
        <v>50</v>
      </c>
      <c r="M7919" s="6" t="s">
        <v>371</v>
      </c>
    </row>
    <row r="7920" spans="1:13">
      <c r="A7920" s="6">
        <v>2026</v>
      </c>
      <c r="B7920" s="6">
        <v>6</v>
      </c>
      <c r="C7920" s="6" t="s">
        <v>64</v>
      </c>
      <c r="D7920" s="6" t="s">
        <v>329</v>
      </c>
      <c r="E7920" s="6" t="s">
        <v>427</v>
      </c>
      <c r="F7920" s="6" t="str">
        <f>IF($M7920="PADD I","PADD 1",IF($M7920="PADD II","PADD 2",IF($M7920="PADD III","PADD 3",IF($M7920="PADD IV","PADD 4",IF($M7920="PADD V","PADD 5","")))))</f>
        <v>PADD 3</v>
      </c>
      <c r="G7920" s="6" t="str">
        <f>IF(AND($H7920="ATMOS DISTILLATION",ISNUMBER(SEARCH("VPS",$I7920))=FALSE,LEFT($I7920,6)&lt;&gt;"VACUUM"),"CDU",IF($H7920="FLUID CAT CRACKING","FCC",IF(OR($H7920="HYDROCRACKING",$H7920="RESID_HYDROCRACKING"),"Hydrocracker",IF($H7920="REFORMING","Reformer",""))))</f>
        <v>Reformer</v>
      </c>
      <c r="H7920" s="6" t="s">
        <v>421</v>
      </c>
      <c r="I7920" s="6" t="s">
        <v>1162</v>
      </c>
      <c r="J7920" s="6" t="s">
        <v>345</v>
      </c>
      <c r="K7920" s="10">
        <v>17.5</v>
      </c>
      <c r="L7920" s="10">
        <v>17.5</v>
      </c>
      <c r="M7920" s="6" t="s">
        <v>371</v>
      </c>
    </row>
    <row r="7921" spans="1:13">
      <c r="A7921" s="6">
        <v>2026</v>
      </c>
      <c r="B7921" s="6">
        <v>6</v>
      </c>
      <c r="C7921" s="6" t="s">
        <v>64</v>
      </c>
      <c r="D7921" s="6" t="s">
        <v>408</v>
      </c>
      <c r="E7921" s="6" t="s">
        <v>409</v>
      </c>
      <c r="F7921" s="6" t="str">
        <f>IF($M7921="PADD I","PADD 1",IF($M7921="PADD II","PADD 2",IF($M7921="PADD III","PADD 3",IF($M7921="PADD IV","PADD 4",IF($M7921="PADD V","PADD 5","")))))</f>
        <v>PADD 3</v>
      </c>
      <c r="G7921" s="6">
        <f>IF(AND($H7921="ATMOS DISTILLATION",ISNUMBER(SEARCH("VPS",$I7921))=FALSE,LEFT($I7921,6)&lt;&gt;"VACUUM"),"CDU",IF($H7921="FLUID CAT CRACKING","FCC",IF(OR($H7921="HYDROCRACKING",$H7921="RESID_HYDROCRACKING"),"Hydrocracker",IF($H7921="REFORMING","Reformer",""))))</f>
        <v/>
      </c>
      <c r="H7921" s="6" t="s">
        <v>435</v>
      </c>
      <c r="I7921" s="6" t="s">
        <v>459</v>
      </c>
      <c r="J7921" s="6" t="s">
        <v>345</v>
      </c>
      <c r="K7921" s="10">
        <v>16.2</v>
      </c>
      <c r="L7921" s="10">
        <v>60</v>
      </c>
      <c r="M7921" s="6" t="s">
        <v>371</v>
      </c>
    </row>
    <row r="7922" spans="1:13">
      <c r="A7922" s="6">
        <v>2026</v>
      </c>
      <c r="B7922" s="6">
        <v>6</v>
      </c>
      <c r="C7922" s="6" t="s">
        <v>64</v>
      </c>
      <c r="D7922" s="6" t="s">
        <v>408</v>
      </c>
      <c r="E7922" s="6" t="s">
        <v>409</v>
      </c>
      <c r="F7922" s="6" t="str">
        <f>IF($M7922="PADD I","PADD 1",IF($M7922="PADD II","PADD 2",IF($M7922="PADD III","PADD 3",IF($M7922="PADD IV","PADD 4",IF($M7922="PADD V","PADD 5","")))))</f>
        <v>PADD 3</v>
      </c>
      <c r="G7922" s="6">
        <f>IF(AND($H7922="ATMOS DISTILLATION",ISNUMBER(SEARCH("VPS",$I7922))=FALSE,LEFT($I7922,6)&lt;&gt;"VACUUM"),"CDU",IF($H7922="FLUID CAT CRACKING","FCC",IF(OR($H7922="HYDROCRACKING",$H7922="RESID_HYDROCRACKING"),"Hydrocracker",IF($H7922="REFORMING","Reformer",""))))</f>
        <v/>
      </c>
      <c r="H7922" s="6" t="s">
        <v>378</v>
      </c>
      <c r="I7922" s="6" t="s">
        <v>489</v>
      </c>
      <c r="J7922" s="6" t="s">
        <v>345</v>
      </c>
      <c r="K7922" s="10">
        <v>16.2</v>
      </c>
      <c r="L7922" s="10">
        <v>60</v>
      </c>
      <c r="M7922" s="6" t="s">
        <v>371</v>
      </c>
    </row>
    <row r="7923" spans="1:13">
      <c r="A7923" s="6">
        <v>2026</v>
      </c>
      <c r="B7923" s="6">
        <v>6</v>
      </c>
      <c r="C7923" s="6" t="s">
        <v>64</v>
      </c>
      <c r="D7923" s="6" t="s">
        <v>346</v>
      </c>
      <c r="E7923" s="6" t="s">
        <v>383</v>
      </c>
      <c r="F7923" s="6" t="str">
        <f>IF($M7923="PADD I","PADD 1",IF($M7923="PADD II","PADD 2",IF($M7923="PADD III","PADD 3",IF($M7923="PADD IV","PADD 4",IF($M7923="PADD V","PADD 5","")))))</f>
        <v>PADD 2</v>
      </c>
      <c r="G7923" s="6" t="str">
        <f>IF(AND($H7923="ATMOS DISTILLATION",ISNUMBER(SEARCH("VPS",$I7923))=FALSE,LEFT($I7923,6)&lt;&gt;"VACUUM"),"CDU",IF($H7923="FLUID CAT CRACKING","FCC",IF(OR($H7923="HYDROCRACKING",$H7923="RESID_HYDROCRACKING"),"Hydrocracker",IF($H7923="REFORMING","Reformer",""))))</f>
        <v>FCC</v>
      </c>
      <c r="H7923" s="6" t="s">
        <v>376</v>
      </c>
      <c r="I7923" s="6" t="s">
        <v>105</v>
      </c>
      <c r="J7923" s="6" t="s">
        <v>345</v>
      </c>
      <c r="K7923" s="10">
        <v>15.8</v>
      </c>
      <c r="L7923" s="10">
        <v>79</v>
      </c>
      <c r="M7923" s="6" t="s">
        <v>375</v>
      </c>
    </row>
    <row r="7924" spans="1:13">
      <c r="A7924" s="6">
        <v>2026</v>
      </c>
      <c r="B7924" s="6">
        <v>6</v>
      </c>
      <c r="C7924" s="6" t="s">
        <v>64</v>
      </c>
      <c r="D7924" s="6" t="s">
        <v>408</v>
      </c>
      <c r="E7924" s="6" t="s">
        <v>409</v>
      </c>
      <c r="F7924" s="6" t="str">
        <f>IF($M7924="PADD I","PADD 1",IF($M7924="PADD II","PADD 2",IF($M7924="PADD III","PADD 3",IF($M7924="PADD IV","PADD 4",IF($M7924="PADD V","PADD 5","")))))</f>
        <v>PADD 3</v>
      </c>
      <c r="G7924" s="6">
        <f>IF(AND($H7924="ATMOS DISTILLATION",ISNUMBER(SEARCH("VPS",$I7924))=FALSE,LEFT($I7924,6)&lt;&gt;"VACUUM"),"CDU",IF($H7924="FLUID CAT CRACKING","FCC",IF(OR($H7924="HYDROCRACKING",$H7924="RESID_HYDROCRACKING"),"Hydrocracker",IF($H7924="REFORMING","Reformer",""))))</f>
        <v/>
      </c>
      <c r="H7924" s="6" t="s">
        <v>378</v>
      </c>
      <c r="I7924" s="6" t="s">
        <v>506</v>
      </c>
      <c r="J7924" s="6" t="s">
        <v>345</v>
      </c>
      <c r="K7924" s="10">
        <v>15.6</v>
      </c>
      <c r="L7924" s="10">
        <v>52</v>
      </c>
      <c r="M7924" s="6" t="s">
        <v>371</v>
      </c>
    </row>
    <row r="7925" spans="1:13">
      <c r="A7925" s="6">
        <v>2026</v>
      </c>
      <c r="B7925" s="6">
        <v>6</v>
      </c>
      <c r="C7925" s="6" t="s">
        <v>64</v>
      </c>
      <c r="D7925" s="6" t="s">
        <v>408</v>
      </c>
      <c r="E7925" s="6" t="s">
        <v>409</v>
      </c>
      <c r="F7925" s="6" t="str">
        <f>IF($M7925="PADD I","PADD 1",IF($M7925="PADD II","PADD 2",IF($M7925="PADD III","PADD 3",IF($M7925="PADD IV","PADD 4",IF($M7925="PADD V","PADD 5","")))))</f>
        <v>PADD 3</v>
      </c>
      <c r="G7925" s="6">
        <f>IF(AND($H7925="ATMOS DISTILLATION",ISNUMBER(SEARCH("VPS",$I7925))=FALSE,LEFT($I7925,6)&lt;&gt;"VACUUM"),"CDU",IF($H7925="FLUID CAT CRACKING","FCC",IF(OR($H7925="HYDROCRACKING",$H7925="RESID_HYDROCRACKING"),"Hydrocracker",IF($H7925="REFORMING","Reformer",""))))</f>
        <v/>
      </c>
      <c r="H7925" s="6" t="s">
        <v>43</v>
      </c>
      <c r="I7925" s="6" t="s">
        <v>478</v>
      </c>
      <c r="J7925" s="6" t="s">
        <v>345</v>
      </c>
      <c r="K7925" s="10">
        <v>15.54</v>
      </c>
      <c r="L7925" s="10">
        <v>42</v>
      </c>
      <c r="M7925" s="6" t="s">
        <v>371</v>
      </c>
    </row>
    <row r="7926" spans="1:13">
      <c r="A7926" s="6">
        <v>2026</v>
      </c>
      <c r="B7926" s="6">
        <v>6</v>
      </c>
      <c r="C7926" s="6" t="s">
        <v>64</v>
      </c>
      <c r="D7926" s="6" t="s">
        <v>542</v>
      </c>
      <c r="E7926" s="6" t="s">
        <v>543</v>
      </c>
      <c r="F7926" s="6" t="str">
        <f>IF($M7926="PADD I","PADD 1",IF($M7926="PADD II","PADD 2",IF($M7926="PADD III","PADD 3",IF($M7926="PADD IV","PADD 4",IF($M7926="PADD V","PADD 5","")))))</f>
        <v>PADD 2</v>
      </c>
      <c r="G7926" s="6" t="str">
        <f>IF(AND($H7926="ATMOS DISTILLATION",ISNUMBER(SEARCH("VPS",$I7926))=FALSE,LEFT($I7926,6)&lt;&gt;"VACUUM"),"CDU",IF($H7926="FLUID CAT CRACKING","FCC",IF(OR($H7926="HYDROCRACKING",$H7926="RESID_HYDROCRACKING"),"Hydrocracker",IF($H7926="REFORMING","Reformer",""))))</f>
        <v>CDU</v>
      </c>
      <c r="H7926" s="6" t="s">
        <v>38</v>
      </c>
      <c r="I7926" s="6" t="s">
        <v>1115</v>
      </c>
      <c r="J7926" s="6" t="s">
        <v>345</v>
      </c>
      <c r="K7926" s="10">
        <v>15.3</v>
      </c>
      <c r="L7926" s="10">
        <v>90</v>
      </c>
      <c r="M7926" s="6" t="s">
        <v>375</v>
      </c>
    </row>
    <row r="7927" spans="1:13">
      <c r="A7927" s="6">
        <v>2026</v>
      </c>
      <c r="B7927" s="6">
        <v>6</v>
      </c>
      <c r="C7927" s="6" t="s">
        <v>64</v>
      </c>
      <c r="D7927" s="6" t="s">
        <v>408</v>
      </c>
      <c r="E7927" s="6" t="s">
        <v>409</v>
      </c>
      <c r="F7927" s="6" t="str">
        <f>IF($M7927="PADD I","PADD 1",IF($M7927="PADD II","PADD 2",IF($M7927="PADD III","PADD 3",IF($M7927="PADD IV","PADD 4",IF($M7927="PADD V","PADD 5","")))))</f>
        <v>PADD 3</v>
      </c>
      <c r="G7927" s="6" t="str">
        <f>IF(AND($H7927="ATMOS DISTILLATION",ISNUMBER(SEARCH("VPS",$I7927))=FALSE,LEFT($I7927,6)&lt;&gt;"VACUUM"),"CDU",IF($H7927="FLUID CAT CRACKING","FCC",IF(OR($H7927="HYDROCRACKING",$H7927="RESID_HYDROCRACKING"),"Hydrocracker",IF($H7927="REFORMING","Reformer",""))))</f>
        <v>Reformer</v>
      </c>
      <c r="H7927" s="6" t="s">
        <v>421</v>
      </c>
      <c r="I7927" s="6" t="s">
        <v>533</v>
      </c>
      <c r="J7927" s="6" t="s">
        <v>345</v>
      </c>
      <c r="K7927" s="10">
        <v>15.05</v>
      </c>
      <c r="L7927" s="10">
        <v>35</v>
      </c>
      <c r="M7927" s="6" t="s">
        <v>371</v>
      </c>
    </row>
    <row r="7928" spans="1:13">
      <c r="A7928" s="6">
        <v>2026</v>
      </c>
      <c r="B7928" s="6">
        <v>6</v>
      </c>
      <c r="C7928" s="6" t="s">
        <v>64</v>
      </c>
      <c r="D7928" s="6" t="s">
        <v>40</v>
      </c>
      <c r="E7928" s="6" t="s">
        <v>736</v>
      </c>
      <c r="F7928" s="6" t="str">
        <f>IF($M7928="PADD I","PADD 1",IF($M7928="PADD II","PADD 2",IF($M7928="PADD III","PADD 3",IF($M7928="PADD IV","PADD 4",IF($M7928="PADD V","PADD 5","")))))</f>
        <v>PADD 1</v>
      </c>
      <c r="G7928" s="6">
        <f>IF(AND($H7928="ATMOS DISTILLATION",ISNUMBER(SEARCH("VPS",$I7928))=FALSE,LEFT($I7928,6)&lt;&gt;"VACUUM"),"CDU",IF($H7928="FLUID CAT CRACKING","FCC",IF(OR($H7928="HYDROCRACKING",$H7928="RESID_HYDROCRACKING"),"Hydrocracker",IF($H7928="REFORMING","Reformer",""))))</f>
        <v/>
      </c>
      <c r="H7928" s="6" t="s">
        <v>43</v>
      </c>
      <c r="I7928" s="6" t="s">
        <v>1014</v>
      </c>
      <c r="J7928" s="6" t="s">
        <v>345</v>
      </c>
      <c r="K7928" s="10">
        <v>14</v>
      </c>
      <c r="L7928" s="10">
        <v>28</v>
      </c>
      <c r="M7928" s="6" t="s">
        <v>413</v>
      </c>
    </row>
    <row r="7929" spans="1:13">
      <c r="A7929" s="6">
        <v>2026</v>
      </c>
      <c r="B7929" s="6">
        <v>6</v>
      </c>
      <c r="C7929" s="6" t="s">
        <v>64</v>
      </c>
      <c r="D7929" s="6" t="s">
        <v>408</v>
      </c>
      <c r="E7929" s="6" t="s">
        <v>409</v>
      </c>
      <c r="F7929" s="6" t="str">
        <f>IF($M7929="PADD I","PADD 1",IF($M7929="PADD II","PADD 2",IF($M7929="PADD III","PADD 3",IF($M7929="PADD IV","PADD 4",IF($M7929="PADD V","PADD 5","")))))</f>
        <v>PADD 3</v>
      </c>
      <c r="G7929" s="6">
        <f>IF(AND($H7929="ATMOS DISTILLATION",ISNUMBER(SEARCH("VPS",$I7929))=FALSE,LEFT($I7929,6)&lt;&gt;"VACUUM"),"CDU",IF($H7929="FLUID CAT CRACKING","FCC",IF(OR($H7929="HYDROCRACKING",$H7929="RESID_HYDROCRACKING"),"Hydrocracker",IF($H7929="REFORMING","Reformer",""))))</f>
        <v/>
      </c>
      <c r="H7929" s="6" t="s">
        <v>378</v>
      </c>
      <c r="I7929" s="6" t="s">
        <v>506</v>
      </c>
      <c r="J7929" s="6" t="s">
        <v>345</v>
      </c>
      <c r="K7929" s="10">
        <v>13.77</v>
      </c>
      <c r="L7929" s="10">
        <v>51</v>
      </c>
      <c r="M7929" s="6" t="s">
        <v>371</v>
      </c>
    </row>
    <row r="7930" spans="1:13">
      <c r="A7930" s="6">
        <v>2026</v>
      </c>
      <c r="B7930" s="6">
        <v>6</v>
      </c>
      <c r="C7930" s="6" t="s">
        <v>64</v>
      </c>
      <c r="D7930" s="6" t="s">
        <v>612</v>
      </c>
      <c r="E7930" s="6" t="s">
        <v>416</v>
      </c>
      <c r="F7930" s="6" t="str">
        <f>IF($M7930="PADD I","PADD 1",IF($M7930="PADD II","PADD 2",IF($M7930="PADD III","PADD 3",IF($M7930="PADD IV","PADD 4",IF($M7930="PADD V","PADD 5","")))))</f>
        <v>PADD 3</v>
      </c>
      <c r="G7930" s="6">
        <f>IF(AND($H7930="ATMOS DISTILLATION",ISNUMBER(SEARCH("VPS",$I7930))=FALSE,LEFT($I7930,6)&lt;&gt;"VACUUM"),"CDU",IF($H7930="FLUID CAT CRACKING","FCC",IF(OR($H7930="HYDROCRACKING",$H7930="RESID_HYDROCRACKING"),"Hydrocracker",IF($H7930="REFORMING","Reformer",""))))</f>
        <v/>
      </c>
      <c r="H7930" s="6" t="s">
        <v>435</v>
      </c>
      <c r="I7930" s="6" t="s">
        <v>441</v>
      </c>
      <c r="J7930" s="6" t="s">
        <v>345</v>
      </c>
      <c r="K7930" s="10">
        <v>11.88</v>
      </c>
      <c r="L7930" s="10">
        <v>44</v>
      </c>
      <c r="M7930" s="6" t="s">
        <v>371</v>
      </c>
    </row>
    <row r="7931" spans="1:13">
      <c r="A7931" s="6">
        <v>2026</v>
      </c>
      <c r="B7931" s="6">
        <v>6</v>
      </c>
      <c r="C7931" s="6" t="s">
        <v>64</v>
      </c>
      <c r="D7931" s="6" t="s">
        <v>408</v>
      </c>
      <c r="E7931" s="6" t="s">
        <v>409</v>
      </c>
      <c r="F7931" s="6" t="str">
        <f>IF($M7931="PADD I","PADD 1",IF($M7931="PADD II","PADD 2",IF($M7931="PADD III","PADD 3",IF($M7931="PADD IV","PADD 4",IF($M7931="PADD V","PADD 5","")))))</f>
        <v>PADD 3</v>
      </c>
      <c r="G7931" s="6">
        <f>IF(AND($H7931="ATMOS DISTILLATION",ISNUMBER(SEARCH("VPS",$I7931))=FALSE,LEFT($I7931,6)&lt;&gt;"VACUUM"),"CDU",IF($H7931="FLUID CAT CRACKING","FCC",IF(OR($H7931="HYDROCRACKING",$H7931="RESID_HYDROCRACKING"),"Hydrocracker",IF($H7931="REFORMING","Reformer",""))))</f>
        <v/>
      </c>
      <c r="H7931" s="6" t="s">
        <v>43</v>
      </c>
      <c r="I7931" s="6" t="s">
        <v>497</v>
      </c>
      <c r="J7931" s="6" t="s">
        <v>345</v>
      </c>
      <c r="K7931" s="10">
        <v>11.47</v>
      </c>
      <c r="L7931" s="10">
        <v>31</v>
      </c>
      <c r="M7931" s="6" t="s">
        <v>371</v>
      </c>
    </row>
    <row r="7932" spans="1:13">
      <c r="A7932" s="6">
        <v>2026</v>
      </c>
      <c r="B7932" s="6">
        <v>6</v>
      </c>
      <c r="C7932" s="6" t="s">
        <v>64</v>
      </c>
      <c r="D7932" s="6" t="s">
        <v>40</v>
      </c>
      <c r="E7932" s="6" t="s">
        <v>736</v>
      </c>
      <c r="F7932" s="6" t="str">
        <f>IF($M7932="PADD I","PADD 1",IF($M7932="PADD II","PADD 2",IF($M7932="PADD III","PADD 3",IF($M7932="PADD IV","PADD 4",IF($M7932="PADD V","PADD 5","")))))</f>
        <v>PADD 1</v>
      </c>
      <c r="G7932" s="6" t="str">
        <f>IF(AND($H7932="ATMOS DISTILLATION",ISNUMBER(SEARCH("VPS",$I7932))=FALSE,LEFT($I7932,6)&lt;&gt;"VACUUM"),"CDU",IF($H7932="FLUID CAT CRACKING","FCC",IF(OR($H7932="HYDROCRACKING",$H7932="RESID_HYDROCRACKING"),"Hydrocracker",IF($H7932="REFORMING","Reformer",""))))</f>
        <v>Hydrocracker</v>
      </c>
      <c r="H7932" s="6" t="s">
        <v>444</v>
      </c>
      <c r="I7932" s="6" t="s">
        <v>445</v>
      </c>
      <c r="J7932" s="6" t="s">
        <v>345</v>
      </c>
      <c r="K7932" s="10">
        <v>11.28</v>
      </c>
      <c r="L7932" s="10">
        <v>24</v>
      </c>
      <c r="M7932" s="6" t="s">
        <v>413</v>
      </c>
    </row>
    <row r="7933" spans="1:13">
      <c r="A7933" s="6">
        <v>2026</v>
      </c>
      <c r="B7933" s="6">
        <v>6</v>
      </c>
      <c r="C7933" s="6" t="s">
        <v>64</v>
      </c>
      <c r="D7933" s="6" t="s">
        <v>748</v>
      </c>
      <c r="E7933" s="6" t="s">
        <v>388</v>
      </c>
      <c r="F7933" s="6" t="str">
        <f>IF($M7933="PADD I","PADD 1",IF($M7933="PADD II","PADD 2",IF($M7933="PADD III","PADD 3",IF($M7933="PADD IV","PADD 4",IF($M7933="PADD V","PADD 5","")))))</f>
        <v>PADD 3</v>
      </c>
      <c r="G7933" s="6" t="str">
        <f>IF(AND($H7933="ATMOS DISTILLATION",ISNUMBER(SEARCH("VPS",$I7933))=FALSE,LEFT($I7933,6)&lt;&gt;"VACUUM"),"CDU",IF($H7933="FLUID CAT CRACKING","FCC",IF(OR($H7933="HYDROCRACKING",$H7933="RESID_HYDROCRACKING"),"Hydrocracker",IF($H7933="REFORMING","Reformer",""))))</f>
        <v>CDU</v>
      </c>
      <c r="H7933" s="6" t="s">
        <v>38</v>
      </c>
      <c r="I7933" s="6" t="s">
        <v>749</v>
      </c>
      <c r="J7933" s="6" t="s">
        <v>345</v>
      </c>
      <c r="K7933" s="10">
        <v>11.2</v>
      </c>
      <c r="L7933" s="10">
        <v>56</v>
      </c>
      <c r="M7933" s="6" t="s">
        <v>371</v>
      </c>
    </row>
    <row r="7934" spans="1:13">
      <c r="A7934" s="6">
        <v>2026</v>
      </c>
      <c r="B7934" s="6">
        <v>6</v>
      </c>
      <c r="C7934" s="6" t="s">
        <v>64</v>
      </c>
      <c r="D7934" s="6" t="s">
        <v>40</v>
      </c>
      <c r="E7934" s="6" t="s">
        <v>736</v>
      </c>
      <c r="F7934" s="6" t="str">
        <f>IF($M7934="PADD I","PADD 1",IF($M7934="PADD II","PADD 2",IF($M7934="PADD III","PADD 3",IF($M7934="PADD IV","PADD 4",IF($M7934="PADD V","PADD 5","")))))</f>
        <v>PADD 1</v>
      </c>
      <c r="G7934" s="6">
        <f>IF(AND($H7934="ATMOS DISTILLATION",ISNUMBER(SEARCH("VPS",$I7934))=FALSE,LEFT($I7934,6)&lt;&gt;"VACUUM"),"CDU",IF($H7934="FLUID CAT CRACKING","FCC",IF(OR($H7934="HYDROCRACKING",$H7934="RESID_HYDROCRACKING"),"Hydrocracker",IF($H7934="REFORMING","Reformer",""))))</f>
        <v/>
      </c>
      <c r="H7934" s="6" t="s">
        <v>43</v>
      </c>
      <c r="I7934" s="6" t="s">
        <v>1011</v>
      </c>
      <c r="J7934" s="6" t="s">
        <v>345</v>
      </c>
      <c r="K7934" s="10">
        <v>11.18</v>
      </c>
      <c r="L7934" s="10">
        <v>26</v>
      </c>
      <c r="M7934" s="6" t="s">
        <v>413</v>
      </c>
    </row>
    <row r="7935" spans="1:13">
      <c r="A7935" s="6">
        <v>2026</v>
      </c>
      <c r="B7935" s="6">
        <v>6</v>
      </c>
      <c r="C7935" s="6" t="s">
        <v>64</v>
      </c>
      <c r="D7935" s="6" t="s">
        <v>408</v>
      </c>
      <c r="E7935" s="6" t="s">
        <v>409</v>
      </c>
      <c r="F7935" s="6" t="str">
        <f>IF($M7935="PADD I","PADD 1",IF($M7935="PADD II","PADD 2",IF($M7935="PADD III","PADD 3",IF($M7935="PADD IV","PADD 4",IF($M7935="PADD V","PADD 5","")))))</f>
        <v>PADD 3</v>
      </c>
      <c r="G7935" s="6">
        <f>IF(AND($H7935="ATMOS DISTILLATION",ISNUMBER(SEARCH("VPS",$I7935))=FALSE,LEFT($I7935,6)&lt;&gt;"VACUUM"),"CDU",IF($H7935="FLUID CAT CRACKING","FCC",IF(OR($H7935="HYDROCRACKING",$H7935="RESID_HYDROCRACKING"),"Hydrocracker",IF($H7935="REFORMING","Reformer",""))))</f>
        <v/>
      </c>
      <c r="H7935" s="6" t="s">
        <v>43</v>
      </c>
      <c r="I7935" s="6" t="s">
        <v>502</v>
      </c>
      <c r="J7935" s="6" t="s">
        <v>345</v>
      </c>
      <c r="K7935" s="10">
        <v>11.1</v>
      </c>
      <c r="L7935" s="10">
        <v>30</v>
      </c>
      <c r="M7935" s="6" t="s">
        <v>371</v>
      </c>
    </row>
    <row r="7936" spans="1:13">
      <c r="A7936" s="6">
        <v>2026</v>
      </c>
      <c r="B7936" s="6">
        <v>6</v>
      </c>
      <c r="C7936" s="6" t="s">
        <v>64</v>
      </c>
      <c r="D7936" s="6" t="s">
        <v>851</v>
      </c>
      <c r="E7936" s="6" t="s">
        <v>852</v>
      </c>
      <c r="F7936" s="6" t="str">
        <f>IF($M7936="PADD I","PADD 1",IF($M7936="PADD II","PADD 2",IF($M7936="PADD III","PADD 3",IF($M7936="PADD IV","PADD 4",IF($M7936="PADD V","PADD 5","")))))</f>
        <v>PADD 3</v>
      </c>
      <c r="G7936" s="6">
        <f>IF(AND($H7936="ATMOS DISTILLATION",ISNUMBER(SEARCH("VPS",$I7936))=FALSE,LEFT($I7936,6)&lt;&gt;"VACUUM"),"CDU",IF($H7936="FLUID CAT CRACKING","FCC",IF(OR($H7936="HYDROCRACKING",$H7936="RESID_HYDROCRACKING"),"Hydrocracker",IF($H7936="REFORMING","Reformer",""))))</f>
        <v/>
      </c>
      <c r="H7936" s="6" t="s">
        <v>378</v>
      </c>
      <c r="I7936" s="6" t="s">
        <v>860</v>
      </c>
      <c r="J7936" s="6" t="s">
        <v>349</v>
      </c>
      <c r="K7936" s="10">
        <v>10.8</v>
      </c>
      <c r="L7936" s="10">
        <v>36</v>
      </c>
      <c r="M7936" s="6" t="s">
        <v>371</v>
      </c>
    </row>
    <row r="7937" spans="1:13">
      <c r="A7937" s="6">
        <v>2026</v>
      </c>
      <c r="B7937" s="6">
        <v>6</v>
      </c>
      <c r="C7937" s="6" t="s">
        <v>64</v>
      </c>
      <c r="D7937" s="6" t="s">
        <v>40</v>
      </c>
      <c r="E7937" s="6" t="s">
        <v>736</v>
      </c>
      <c r="F7937" s="6" t="str">
        <f>IF($M7937="PADD I","PADD 1",IF($M7937="PADD II","PADD 2",IF($M7937="PADD III","PADD 3",IF($M7937="PADD IV","PADD 4",IF($M7937="PADD V","PADD 5","")))))</f>
        <v>PADD 1</v>
      </c>
      <c r="G7937" s="6">
        <f>IF(AND($H7937="ATMOS DISTILLATION",ISNUMBER(SEARCH("VPS",$I7937))=FALSE,LEFT($I7937,6)&lt;&gt;"VACUUM"),"CDU",IF($H7937="FLUID CAT CRACKING","FCC",IF(OR($H7937="HYDROCRACKING",$H7937="RESID_HYDROCRACKING"),"Hydrocracker",IF($H7937="REFORMING","Reformer",""))))</f>
        <v/>
      </c>
      <c r="H7937" s="6" t="s">
        <v>378</v>
      </c>
      <c r="I7937" s="6" t="s">
        <v>963</v>
      </c>
      <c r="J7937" s="6" t="s">
        <v>345</v>
      </c>
      <c r="K7937" s="10">
        <v>10.4619</v>
      </c>
      <c r="L7937" s="10">
        <v>24.33</v>
      </c>
      <c r="M7937" s="6" t="s">
        <v>413</v>
      </c>
    </row>
    <row r="7938" spans="1:13">
      <c r="A7938" s="6">
        <v>2026</v>
      </c>
      <c r="B7938" s="6">
        <v>6</v>
      </c>
      <c r="C7938" s="6" t="s">
        <v>64</v>
      </c>
      <c r="D7938" s="6" t="s">
        <v>40</v>
      </c>
      <c r="E7938" s="6" t="s">
        <v>736</v>
      </c>
      <c r="F7938" s="6" t="str">
        <f>IF($M7938="PADD I","PADD 1",IF($M7938="PADD II","PADD 2",IF($M7938="PADD III","PADD 3",IF($M7938="PADD IV","PADD 4",IF($M7938="PADD V","PADD 5","")))))</f>
        <v>PADD 1</v>
      </c>
      <c r="G7938" s="6">
        <f>IF(AND($H7938="ATMOS DISTILLATION",ISNUMBER(SEARCH("VPS",$I7938))=FALSE,LEFT($I7938,6)&lt;&gt;"VACUUM"),"CDU",IF($H7938="FLUID CAT CRACKING","FCC",IF(OR($H7938="HYDROCRACKING",$H7938="RESID_HYDROCRACKING"),"Hydrocracker",IF($H7938="REFORMING","Reformer",""))))</f>
        <v/>
      </c>
      <c r="H7938" s="6" t="s">
        <v>378</v>
      </c>
      <c r="I7938" s="6" t="s">
        <v>1009</v>
      </c>
      <c r="J7938" s="6" t="s">
        <v>345</v>
      </c>
      <c r="K7938" s="10">
        <v>10.4619</v>
      </c>
      <c r="L7938" s="10">
        <v>24.33</v>
      </c>
      <c r="M7938" s="6" t="s">
        <v>413</v>
      </c>
    </row>
    <row r="7939" spans="1:13">
      <c r="A7939" s="6">
        <v>2026</v>
      </c>
      <c r="B7939" s="6">
        <v>6</v>
      </c>
      <c r="C7939" s="6" t="s">
        <v>64</v>
      </c>
      <c r="D7939" s="6" t="s">
        <v>40</v>
      </c>
      <c r="E7939" s="6" t="s">
        <v>736</v>
      </c>
      <c r="F7939" s="6" t="str">
        <f>IF($M7939="PADD I","PADD 1",IF($M7939="PADD II","PADD 2",IF($M7939="PADD III","PADD 3",IF($M7939="PADD IV","PADD 4",IF($M7939="PADD V","PADD 5","")))))</f>
        <v>PADD 1</v>
      </c>
      <c r="G7939" s="6">
        <f>IF(AND($H7939="ATMOS DISTILLATION",ISNUMBER(SEARCH("VPS",$I7939))=FALSE,LEFT($I7939,6)&lt;&gt;"VACUUM"),"CDU",IF($H7939="FLUID CAT CRACKING","FCC",IF(OR($H7939="HYDROCRACKING",$H7939="RESID_HYDROCRACKING"),"Hydrocracker",IF($H7939="REFORMING","Reformer",""))))</f>
        <v/>
      </c>
      <c r="H7939" s="6" t="s">
        <v>378</v>
      </c>
      <c r="I7939" s="6" t="s">
        <v>1010</v>
      </c>
      <c r="J7939" s="6" t="s">
        <v>345</v>
      </c>
      <c r="K7939" s="10">
        <v>10.4619</v>
      </c>
      <c r="L7939" s="10">
        <v>24.33</v>
      </c>
      <c r="M7939" s="6" t="s">
        <v>413</v>
      </c>
    </row>
    <row r="7940" spans="1:13">
      <c r="A7940" s="6">
        <v>2026</v>
      </c>
      <c r="B7940" s="6">
        <v>6</v>
      </c>
      <c r="C7940" s="6" t="s">
        <v>64</v>
      </c>
      <c r="D7940" s="6" t="s">
        <v>415</v>
      </c>
      <c r="E7940" s="6" t="s">
        <v>416</v>
      </c>
      <c r="F7940" s="6" t="str">
        <f>IF($M7940="PADD I","PADD 1",IF($M7940="PADD II","PADD 2",IF($M7940="PADD III","PADD 3",IF($M7940="PADD IV","PADD 4",IF($M7940="PADD V","PADD 5","")))))</f>
        <v>PADD 3</v>
      </c>
      <c r="G7940" s="6">
        <f>IF(AND($H7940="ATMOS DISTILLATION",ISNUMBER(SEARCH("VPS",$I7940))=FALSE,LEFT($I7940,6)&lt;&gt;"VACUUM"),"CDU",IF($H7940="FLUID CAT CRACKING","FCC",IF(OR($H7940="HYDROCRACKING",$H7940="RESID_HYDROCRACKING"),"Hydrocracker",IF($H7940="REFORMING","Reformer",""))))</f>
        <v/>
      </c>
      <c r="H7940" s="6" t="s">
        <v>378</v>
      </c>
      <c r="I7940" s="6" t="s">
        <v>417</v>
      </c>
      <c r="J7940" s="6" t="s">
        <v>345</v>
      </c>
      <c r="K7940" s="10">
        <v>10</v>
      </c>
      <c r="L7940" s="10">
        <v>50</v>
      </c>
      <c r="M7940" s="6" t="s">
        <v>371</v>
      </c>
    </row>
    <row r="7941" spans="1:13">
      <c r="A7941" s="6">
        <v>2026</v>
      </c>
      <c r="B7941" s="6">
        <v>6</v>
      </c>
      <c r="C7941" s="6" t="s">
        <v>64</v>
      </c>
      <c r="D7941" s="6" t="s">
        <v>321</v>
      </c>
      <c r="E7941" s="6" t="s">
        <v>381</v>
      </c>
      <c r="F7941" s="6" t="str">
        <f>IF($M7941="PADD I","PADD 1",IF($M7941="PADD II","PADD 2",IF($M7941="PADD III","PADD 3",IF($M7941="PADD IV","PADD 4",IF($M7941="PADD V","PADD 5","")))))</f>
        <v>PADD 2</v>
      </c>
      <c r="G7941" s="6">
        <f>IF(AND($H7941="ATMOS DISTILLATION",ISNUMBER(SEARCH("VPS",$I7941))=FALSE,LEFT($I7941,6)&lt;&gt;"VACUUM"),"CDU",IF($H7941="FLUID CAT CRACKING","FCC",IF(OR($H7941="HYDROCRACKING",$H7941="RESID_HYDROCRACKING"),"Hydrocracker",IF($H7941="REFORMING","Reformer",""))))</f>
        <v/>
      </c>
      <c r="H7941" s="6" t="s">
        <v>435</v>
      </c>
      <c r="I7941" s="6" t="s">
        <v>441</v>
      </c>
      <c r="J7941" s="6" t="s">
        <v>345</v>
      </c>
      <c r="K7941" s="10">
        <v>9.4</v>
      </c>
      <c r="L7941" s="10">
        <v>47</v>
      </c>
      <c r="M7941" s="6" t="s">
        <v>375</v>
      </c>
    </row>
    <row r="7942" spans="1:13">
      <c r="A7942" s="6">
        <v>2026</v>
      </c>
      <c r="B7942" s="6">
        <v>6</v>
      </c>
      <c r="C7942" s="6" t="s">
        <v>64</v>
      </c>
      <c r="D7942" s="6" t="s">
        <v>408</v>
      </c>
      <c r="E7942" s="6" t="s">
        <v>409</v>
      </c>
      <c r="F7942" s="6" t="str">
        <f>IF($M7942="PADD I","PADD 1",IF($M7942="PADD II","PADD 2",IF($M7942="PADD III","PADD 3",IF($M7942="PADD IV","PADD 4",IF($M7942="PADD V","PADD 5","")))))</f>
        <v>PADD 3</v>
      </c>
      <c r="G7942" s="6">
        <f>IF(AND($H7942="ATMOS DISTILLATION",ISNUMBER(SEARCH("VPS",$I7942))=FALSE,LEFT($I7942,6)&lt;&gt;"VACUUM"),"CDU",IF($H7942="FLUID CAT CRACKING","FCC",IF(OR($H7942="HYDROCRACKING",$H7942="RESID_HYDROCRACKING"),"Hydrocracker",IF($H7942="REFORMING","Reformer",""))))</f>
        <v/>
      </c>
      <c r="H7942" s="6" t="s">
        <v>43</v>
      </c>
      <c r="I7942" s="6" t="s">
        <v>517</v>
      </c>
      <c r="J7942" s="6" t="s">
        <v>345</v>
      </c>
      <c r="K7942" s="10">
        <v>8.880000000000001</v>
      </c>
      <c r="L7942" s="10">
        <v>24</v>
      </c>
      <c r="M7942" s="6" t="s">
        <v>371</v>
      </c>
    </row>
    <row r="7943" spans="1:13">
      <c r="A7943" s="6">
        <v>2026</v>
      </c>
      <c r="B7943" s="6">
        <v>6</v>
      </c>
      <c r="C7943" s="6" t="s">
        <v>64</v>
      </c>
      <c r="D7943" s="6" t="s">
        <v>321</v>
      </c>
      <c r="E7943" s="6" t="s">
        <v>381</v>
      </c>
      <c r="F7943" s="6" t="str">
        <f>IF($M7943="PADD I","PADD 1",IF($M7943="PADD II","PADD 2",IF($M7943="PADD III","PADD 3",IF($M7943="PADD IV","PADD 4",IF($M7943="PADD V","PADD 5","")))))</f>
        <v>PADD 2</v>
      </c>
      <c r="G7943" s="6" t="str">
        <f>IF(AND($H7943="ATMOS DISTILLATION",ISNUMBER(SEARCH("VPS",$I7943))=FALSE,LEFT($I7943,6)&lt;&gt;"VACUUM"),"CDU",IF($H7943="FLUID CAT CRACKING","FCC",IF(OR($H7943="HYDROCRACKING",$H7943="RESID_HYDROCRACKING"),"Hydrocracker",IF($H7943="REFORMING","Reformer",""))))</f>
        <v>CDU</v>
      </c>
      <c r="H7943" s="6" t="s">
        <v>38</v>
      </c>
      <c r="I7943" s="6" t="s">
        <v>81</v>
      </c>
      <c r="J7943" s="6" t="s">
        <v>345</v>
      </c>
      <c r="K7943" s="10">
        <v>8.550000000000001</v>
      </c>
      <c r="L7943" s="10">
        <v>15</v>
      </c>
      <c r="M7943" s="6" t="s">
        <v>375</v>
      </c>
    </row>
    <row r="7944" spans="1:13">
      <c r="A7944" s="6">
        <v>2026</v>
      </c>
      <c r="B7944" s="6">
        <v>6</v>
      </c>
      <c r="C7944" s="6" t="s">
        <v>64</v>
      </c>
      <c r="D7944" s="6" t="s">
        <v>48</v>
      </c>
      <c r="E7944" s="6" t="s">
        <v>388</v>
      </c>
      <c r="F7944" s="6" t="str">
        <f>IF($M7944="PADD I","PADD 1",IF($M7944="PADD II","PADD 2",IF($M7944="PADD III","PADD 3",IF($M7944="PADD IV","PADD 4",IF($M7944="PADD V","PADD 5","")))))</f>
        <v>PADD 2</v>
      </c>
      <c r="G7944" s="6" t="str">
        <f>IF(AND($H7944="ATMOS DISTILLATION",ISNUMBER(SEARCH("VPS",$I7944))=FALSE,LEFT($I7944,6)&lt;&gt;"VACUUM"),"CDU",IF($H7944="FLUID CAT CRACKING","FCC",IF(OR($H7944="HYDROCRACKING",$H7944="RESID_HYDROCRACKING"),"Hydrocracker",IF($H7944="REFORMING","Reformer",""))))</f>
        <v>Reformer</v>
      </c>
      <c r="H7944" s="6" t="s">
        <v>421</v>
      </c>
      <c r="I7944" s="6" t="s">
        <v>721</v>
      </c>
      <c r="J7944" s="6" t="s">
        <v>345</v>
      </c>
      <c r="K7944" s="10">
        <v>7.31</v>
      </c>
      <c r="L7944" s="10">
        <v>43</v>
      </c>
      <c r="M7944" s="6" t="s">
        <v>375</v>
      </c>
    </row>
    <row r="7945" spans="1:13">
      <c r="A7945" s="6">
        <v>2026</v>
      </c>
      <c r="B7945" s="6">
        <v>6</v>
      </c>
      <c r="C7945" s="6" t="s">
        <v>64</v>
      </c>
      <c r="D7945" s="6" t="s">
        <v>542</v>
      </c>
      <c r="E7945" s="6" t="s">
        <v>543</v>
      </c>
      <c r="F7945" s="6" t="str">
        <f>IF($M7945="PADD I","PADD 1",IF($M7945="PADD II","PADD 2",IF($M7945="PADD III","PADD 3",IF($M7945="PADD IV","PADD 4",IF($M7945="PADD V","PADD 5","")))))</f>
        <v>PADD 2</v>
      </c>
      <c r="G7945" s="6">
        <f>IF(AND($H7945="ATMOS DISTILLATION",ISNUMBER(SEARCH("VPS",$I7945))=FALSE,LEFT($I7945,6)&lt;&gt;"VACUUM"),"CDU",IF($H7945="FLUID CAT CRACKING","FCC",IF(OR($H7945="HYDROCRACKING",$H7945="RESID_HYDROCRACKING"),"Hydrocracker",IF($H7945="REFORMING","Reformer",""))))</f>
        <v/>
      </c>
      <c r="H7945" s="6" t="s">
        <v>43</v>
      </c>
      <c r="I7945" s="6" t="s">
        <v>1006</v>
      </c>
      <c r="J7945" s="6" t="s">
        <v>349</v>
      </c>
      <c r="K7945" s="10">
        <v>7.2</v>
      </c>
      <c r="L7945" s="10">
        <v>36</v>
      </c>
      <c r="M7945" s="6" t="s">
        <v>375</v>
      </c>
    </row>
    <row r="7946" spans="1:13">
      <c r="A7946" s="6">
        <v>2026</v>
      </c>
      <c r="B7946" s="6">
        <v>6</v>
      </c>
      <c r="C7946" s="6" t="s">
        <v>64</v>
      </c>
      <c r="D7946" s="6" t="s">
        <v>40</v>
      </c>
      <c r="E7946" s="6" t="s">
        <v>736</v>
      </c>
      <c r="F7946" s="6" t="str">
        <f>IF($M7946="PADD I","PADD 1",IF($M7946="PADD II","PADD 2",IF($M7946="PADD III","PADD 3",IF($M7946="PADD IV","PADD 4",IF($M7946="PADD V","PADD 5","")))))</f>
        <v>PADD 1</v>
      </c>
      <c r="G7946" s="6">
        <f>IF(AND($H7946="ATMOS DISTILLATION",ISNUMBER(SEARCH("VPS",$I7946))=FALSE,LEFT($I7946,6)&lt;&gt;"VACUUM"),"CDU",IF($H7946="FLUID CAT CRACKING","FCC",IF(OR($H7946="HYDROCRACKING",$H7946="RESID_HYDROCRACKING"),"Hydrocracker",IF($H7946="REFORMING","Reformer",""))))</f>
        <v/>
      </c>
      <c r="H7946" s="6" t="s">
        <v>637</v>
      </c>
      <c r="I7946" s="6" t="s">
        <v>1019</v>
      </c>
      <c r="J7946" s="6" t="s">
        <v>345</v>
      </c>
      <c r="K7946" s="10">
        <v>7</v>
      </c>
      <c r="L7946" s="10">
        <v>14</v>
      </c>
      <c r="M7946" s="6" t="s">
        <v>413</v>
      </c>
    </row>
    <row r="7947" spans="1:13">
      <c r="A7947" s="6">
        <v>2026</v>
      </c>
      <c r="B7947" s="6">
        <v>6</v>
      </c>
      <c r="C7947" s="6" t="s">
        <v>64</v>
      </c>
      <c r="D7947" s="6" t="s">
        <v>346</v>
      </c>
      <c r="E7947" s="6" t="s">
        <v>383</v>
      </c>
      <c r="F7947" s="6" t="str">
        <f>IF($M7947="PADD I","PADD 1",IF($M7947="PADD II","PADD 2",IF($M7947="PADD III","PADD 3",IF($M7947="PADD IV","PADD 4",IF($M7947="PADD V","PADD 5","")))))</f>
        <v>PADD 2</v>
      </c>
      <c r="G7947" s="6" t="str">
        <f>IF(AND($H7947="ATMOS DISTILLATION",ISNUMBER(SEARCH("VPS",$I7947))=FALSE,LEFT($I7947,6)&lt;&gt;"VACUUM"),"CDU",IF($H7947="FLUID CAT CRACKING","FCC",IF(OR($H7947="HYDROCRACKING",$H7947="RESID_HYDROCRACKING"),"Hydrocracker",IF($H7947="REFORMING","Reformer",""))))</f>
        <v>Reformer</v>
      </c>
      <c r="H7947" s="6" t="s">
        <v>421</v>
      </c>
      <c r="I7947" s="6" t="s">
        <v>471</v>
      </c>
      <c r="J7947" s="6" t="s">
        <v>345</v>
      </c>
      <c r="K7947" s="10">
        <v>6.9</v>
      </c>
      <c r="L7947" s="10">
        <v>30</v>
      </c>
      <c r="M7947" s="6" t="s">
        <v>375</v>
      </c>
    </row>
    <row r="7948" spans="1:13">
      <c r="A7948" s="6">
        <v>2026</v>
      </c>
      <c r="B7948" s="6">
        <v>6</v>
      </c>
      <c r="C7948" s="6" t="s">
        <v>64</v>
      </c>
      <c r="D7948" s="6" t="s">
        <v>44</v>
      </c>
      <c r="E7948" s="6" t="s">
        <v>1339</v>
      </c>
      <c r="F7948" s="6" t="str">
        <f>IF($M7948="PADD I","PADD 1",IF($M7948="PADD II","PADD 2",IF($M7948="PADD III","PADD 3",IF($M7948="PADD IV","PADD 4",IF($M7948="PADD V","PADD 5","")))))</f>
        <v>PADD 5</v>
      </c>
      <c r="G7948" s="6" t="str">
        <f>IF(AND($H7948="ATMOS DISTILLATION",ISNUMBER(SEARCH("VPS",$I7948))=FALSE,LEFT($I7948,6)&lt;&gt;"VACUUM"),"CDU",IF($H7948="FLUID CAT CRACKING","FCC",IF(OR($H7948="HYDROCRACKING",$H7948="RESID_HYDROCRACKING"),"Hydrocracker",IF($H7948="REFORMING","Reformer",""))))</f>
        <v>Hydrocracker</v>
      </c>
      <c r="H7948" s="6" t="s">
        <v>444</v>
      </c>
      <c r="I7948" s="6" t="s">
        <v>1376</v>
      </c>
      <c r="J7948" s="6" t="s">
        <v>349</v>
      </c>
      <c r="K7948" s="10">
        <v>6.5</v>
      </c>
      <c r="L7948" s="10">
        <v>13</v>
      </c>
      <c r="M7948" s="6" t="s">
        <v>386</v>
      </c>
    </row>
    <row r="7949" spans="1:13">
      <c r="A7949" s="6">
        <v>2026</v>
      </c>
      <c r="B7949" s="6">
        <v>6</v>
      </c>
      <c r="C7949" s="6" t="s">
        <v>64</v>
      </c>
      <c r="D7949" s="6" t="s">
        <v>44</v>
      </c>
      <c r="E7949" s="6" t="s">
        <v>1339</v>
      </c>
      <c r="F7949" s="6" t="str">
        <f>IF($M7949="PADD I","PADD 1",IF($M7949="PADD II","PADD 2",IF($M7949="PADD III","PADD 3",IF($M7949="PADD IV","PADD 4",IF($M7949="PADD V","PADD 5","")))))</f>
        <v>PADD 5</v>
      </c>
      <c r="G7949" s="6" t="str">
        <f>IF(AND($H7949="ATMOS DISTILLATION",ISNUMBER(SEARCH("VPS",$I7949))=FALSE,LEFT($I7949,6)&lt;&gt;"VACUUM"),"CDU",IF($H7949="FLUID CAT CRACKING","FCC",IF(OR($H7949="HYDROCRACKING",$H7949="RESID_HYDROCRACKING"),"Hydrocracker",IF($H7949="REFORMING","Reformer",""))))</f>
        <v>Reformer</v>
      </c>
      <c r="H7949" s="6" t="s">
        <v>421</v>
      </c>
      <c r="I7949" s="6" t="s">
        <v>1377</v>
      </c>
      <c r="J7949" s="6" t="s">
        <v>349</v>
      </c>
      <c r="K7949" s="10">
        <v>6.5</v>
      </c>
      <c r="L7949" s="10">
        <v>13</v>
      </c>
      <c r="M7949" s="6" t="s">
        <v>386</v>
      </c>
    </row>
    <row r="7950" spans="1:13">
      <c r="A7950" s="6">
        <v>2026</v>
      </c>
      <c r="B7950" s="6">
        <v>6</v>
      </c>
      <c r="C7950" s="6" t="s">
        <v>64</v>
      </c>
      <c r="D7950" s="6" t="s">
        <v>321</v>
      </c>
      <c r="E7950" s="6" t="s">
        <v>381</v>
      </c>
      <c r="F7950" s="6" t="str">
        <f>IF($M7950="PADD I","PADD 1",IF($M7950="PADD II","PADD 2",IF($M7950="PADD III","PADD 3",IF($M7950="PADD IV","PADD 4",IF($M7950="PADD V","PADD 5","")))))</f>
        <v>PADD 2</v>
      </c>
      <c r="G7950" s="6" t="str">
        <f>IF(AND($H7950="ATMOS DISTILLATION",ISNUMBER(SEARCH("VPS",$I7950))=FALSE,LEFT($I7950,6)&lt;&gt;"VACUUM"),"CDU",IF($H7950="FLUID CAT CRACKING","FCC",IF(OR($H7950="HYDROCRACKING",$H7950="RESID_HYDROCRACKING"),"Hydrocracker",IF($H7950="REFORMING","Reformer",""))))</f>
        <v>Reformer</v>
      </c>
      <c r="H7950" s="6" t="s">
        <v>421</v>
      </c>
      <c r="I7950" s="6" t="s">
        <v>228</v>
      </c>
      <c r="J7950" s="6" t="s">
        <v>345</v>
      </c>
      <c r="K7950" s="10">
        <v>6.3</v>
      </c>
      <c r="L7950" s="10">
        <v>10</v>
      </c>
      <c r="M7950" s="6" t="s">
        <v>375</v>
      </c>
    </row>
    <row r="7951" spans="1:13">
      <c r="A7951" s="6">
        <v>2026</v>
      </c>
      <c r="B7951" s="6">
        <v>6</v>
      </c>
      <c r="C7951" s="6" t="s">
        <v>64</v>
      </c>
      <c r="D7951" s="6" t="s">
        <v>40</v>
      </c>
      <c r="E7951" s="6" t="s">
        <v>736</v>
      </c>
      <c r="F7951" s="6" t="str">
        <f>IF($M7951="PADD I","PADD 1",IF($M7951="PADD II","PADD 2",IF($M7951="PADD III","PADD 3",IF($M7951="PADD IV","PADD 4",IF($M7951="PADD V","PADD 5","")))))</f>
        <v>PADD 1</v>
      </c>
      <c r="G7951" s="6">
        <f>IF(AND($H7951="ATMOS DISTILLATION",ISNUMBER(SEARCH("VPS",$I7951))=FALSE,LEFT($I7951,6)&lt;&gt;"VACUUM"),"CDU",IF($H7951="FLUID CAT CRACKING","FCC",IF(OR($H7951="HYDROCRACKING",$H7951="RESID_HYDROCRACKING"),"Hydrocracker",IF($H7951="REFORMING","Reformer",""))))</f>
        <v/>
      </c>
      <c r="H7951" s="6" t="s">
        <v>43</v>
      </c>
      <c r="I7951" s="6" t="s">
        <v>1021</v>
      </c>
      <c r="J7951" s="6" t="s">
        <v>345</v>
      </c>
      <c r="K7951" s="10">
        <v>5.75</v>
      </c>
      <c r="L7951" s="10">
        <v>11.5</v>
      </c>
      <c r="M7951" s="6" t="s">
        <v>413</v>
      </c>
    </row>
    <row r="7952" spans="1:13">
      <c r="A7952" s="6">
        <v>2026</v>
      </c>
      <c r="B7952" s="6">
        <v>6</v>
      </c>
      <c r="C7952" s="6" t="s">
        <v>64</v>
      </c>
      <c r="D7952" s="6" t="s">
        <v>40</v>
      </c>
      <c r="E7952" s="6" t="s">
        <v>736</v>
      </c>
      <c r="F7952" s="6" t="str">
        <f>IF($M7952="PADD I","PADD 1",IF($M7952="PADD II","PADD 2",IF($M7952="PADD III","PADD 3",IF($M7952="PADD IV","PADD 4",IF($M7952="PADD V","PADD 5","")))))</f>
        <v>PADD 1</v>
      </c>
      <c r="G7952" s="6">
        <f>IF(AND($H7952="ATMOS DISTILLATION",ISNUMBER(SEARCH("VPS",$I7952))=FALSE,LEFT($I7952,6)&lt;&gt;"VACUUM"),"CDU",IF($H7952="FLUID CAT CRACKING","FCC",IF(OR($H7952="HYDROCRACKING",$H7952="RESID_HYDROCRACKING"),"Hydrocracker",IF($H7952="REFORMING","Reformer",""))))</f>
        <v/>
      </c>
      <c r="H7952" s="6" t="s">
        <v>460</v>
      </c>
      <c r="I7952" s="6" t="s">
        <v>760</v>
      </c>
      <c r="J7952" s="6" t="s">
        <v>345</v>
      </c>
      <c r="K7952" s="10">
        <v>5.64</v>
      </c>
      <c r="L7952" s="10">
        <v>12</v>
      </c>
      <c r="M7952" s="6" t="s">
        <v>413</v>
      </c>
    </row>
    <row r="7953" spans="1:13">
      <c r="A7953" s="6">
        <v>2026</v>
      </c>
      <c r="B7953" s="6">
        <v>6</v>
      </c>
      <c r="C7953" s="6" t="s">
        <v>64</v>
      </c>
      <c r="D7953" s="6" t="s">
        <v>44</v>
      </c>
      <c r="E7953" s="6" t="s">
        <v>1339</v>
      </c>
      <c r="F7953" s="6" t="str">
        <f>IF($M7953="PADD I","PADD 1",IF($M7953="PADD II","PADD 2",IF($M7953="PADD III","PADD 3",IF($M7953="PADD IV","PADD 4",IF($M7953="PADD V","PADD 5","")))))</f>
        <v>PADD 5</v>
      </c>
      <c r="G7953" s="6" t="str">
        <f>IF(AND($H7953="ATMOS DISTILLATION",ISNUMBER(SEARCH("VPS",$I7953))=FALSE,LEFT($I7953,6)&lt;&gt;"VACUUM"),"CDU",IF($H7953="FLUID CAT CRACKING","FCC",IF(OR($H7953="HYDROCRACKING",$H7953="RESID_HYDROCRACKING"),"Hydrocracker",IF($H7953="REFORMING","Reformer",""))))</f>
        <v>CDU</v>
      </c>
      <c r="H7953" s="6" t="s">
        <v>38</v>
      </c>
      <c r="I7953" s="6" t="s">
        <v>1378</v>
      </c>
      <c r="J7953" s="6" t="s">
        <v>349</v>
      </c>
      <c r="K7953" s="10">
        <v>5.5</v>
      </c>
      <c r="L7953" s="10">
        <v>11</v>
      </c>
      <c r="M7953" s="6" t="s">
        <v>386</v>
      </c>
    </row>
    <row r="7954" spans="1:13">
      <c r="A7954" s="6">
        <v>2026</v>
      </c>
      <c r="B7954" s="6">
        <v>6</v>
      </c>
      <c r="C7954" s="6" t="s">
        <v>64</v>
      </c>
      <c r="D7954" s="6" t="s">
        <v>408</v>
      </c>
      <c r="E7954" s="6" t="s">
        <v>409</v>
      </c>
      <c r="F7954" s="6" t="str">
        <f>IF($M7954="PADD I","PADD 1",IF($M7954="PADD II","PADD 2",IF($M7954="PADD III","PADD 3",IF($M7954="PADD IV","PADD 4",IF($M7954="PADD V","PADD 5","")))))</f>
        <v>PADD 3</v>
      </c>
      <c r="G7954" s="6">
        <f>IF(AND($H7954="ATMOS DISTILLATION",ISNUMBER(SEARCH("VPS",$I7954))=FALSE,LEFT($I7954,6)&lt;&gt;"VACUUM"),"CDU",IF($H7954="FLUID CAT CRACKING","FCC",IF(OR($H7954="HYDROCRACKING",$H7954="RESID_HYDROCRACKING"),"Hydrocracker",IF($H7954="REFORMING","Reformer",""))))</f>
        <v/>
      </c>
      <c r="H7954" s="6" t="s">
        <v>568</v>
      </c>
      <c r="I7954" s="6" t="s">
        <v>569</v>
      </c>
      <c r="J7954" s="6" t="s">
        <v>345</v>
      </c>
      <c r="K7954" s="10">
        <v>4.995</v>
      </c>
      <c r="L7954" s="10">
        <v>13.5</v>
      </c>
      <c r="M7954" s="6" t="s">
        <v>371</v>
      </c>
    </row>
    <row r="7955" spans="1:13">
      <c r="A7955" s="6">
        <v>2026</v>
      </c>
      <c r="B7955" s="6">
        <v>6</v>
      </c>
      <c r="C7955" s="6" t="s">
        <v>64</v>
      </c>
      <c r="D7955" s="6" t="s">
        <v>722</v>
      </c>
      <c r="E7955" s="6" t="s">
        <v>452</v>
      </c>
      <c r="F7955" s="6" t="str">
        <f>IF($M7955="PADD I","PADD 1",IF($M7955="PADD II","PADD 2",IF($M7955="PADD III","PADD 3",IF($M7955="PADD IV","PADD 4",IF($M7955="PADD V","PADD 5","")))))</f>
        <v>PADD 4</v>
      </c>
      <c r="G7955" s="6" t="str">
        <f>IF(AND($H7955="ATMOS DISTILLATION",ISNUMBER(SEARCH("VPS",$I7955))=FALSE,LEFT($I7955,6)&lt;&gt;"VACUUM"),"CDU",IF($H7955="FLUID CAT CRACKING","FCC",IF(OR($H7955="HYDROCRACKING",$H7955="RESID_HYDROCRACKING"),"Hydrocracker",IF($H7955="REFORMING","Reformer",""))))</f>
        <v>FCC</v>
      </c>
      <c r="H7955" s="6" t="s">
        <v>376</v>
      </c>
      <c r="I7955" s="6" t="s">
        <v>1106</v>
      </c>
      <c r="J7955" s="6" t="s">
        <v>345</v>
      </c>
      <c r="K7955" s="10">
        <v>4.5</v>
      </c>
      <c r="L7955" s="10">
        <v>9</v>
      </c>
      <c r="M7955" s="6" t="s">
        <v>430</v>
      </c>
    </row>
    <row r="7956" spans="1:13">
      <c r="A7956" s="6">
        <v>2026</v>
      </c>
      <c r="B7956" s="6">
        <v>6</v>
      </c>
      <c r="C7956" s="6" t="s">
        <v>64</v>
      </c>
      <c r="D7956" s="6" t="s">
        <v>387</v>
      </c>
      <c r="E7956" s="6" t="s">
        <v>388</v>
      </c>
      <c r="F7956" s="6" t="str">
        <f>IF($M7956="PADD I","PADD 1",IF($M7956="PADD II","PADD 2",IF($M7956="PADD III","PADD 3",IF($M7956="PADD IV","PADD 4",IF($M7956="PADD V","PADD 5","")))))</f>
        <v>PADD 3</v>
      </c>
      <c r="G7956" s="6" t="str">
        <f>IF(AND($H7956="ATMOS DISTILLATION",ISNUMBER(SEARCH("VPS",$I7956))=FALSE,LEFT($I7956,6)&lt;&gt;"VACUUM"),"CDU",IF($H7956="FLUID CAT CRACKING","FCC",IF(OR($H7956="HYDROCRACKING",$H7956="RESID_HYDROCRACKING"),"Hydrocracker",IF($H7956="REFORMING","Reformer",""))))</f>
        <v>FCC</v>
      </c>
      <c r="H7956" s="6" t="s">
        <v>376</v>
      </c>
      <c r="I7956" s="6" t="s">
        <v>472</v>
      </c>
      <c r="J7956" s="6" t="s">
        <v>345</v>
      </c>
      <c r="K7956" s="10">
        <v>4.2</v>
      </c>
      <c r="L7956" s="10">
        <v>140</v>
      </c>
      <c r="M7956" s="6" t="s">
        <v>371</v>
      </c>
    </row>
    <row r="7957" spans="1:13">
      <c r="A7957" s="6">
        <v>2026</v>
      </c>
      <c r="B7957" s="6">
        <v>6</v>
      </c>
      <c r="C7957" s="6" t="s">
        <v>64</v>
      </c>
      <c r="D7957" s="6" t="s">
        <v>1224</v>
      </c>
      <c r="E7957" s="6" t="s">
        <v>681</v>
      </c>
      <c r="F7957" s="6" t="str">
        <f>IF($M7957="PADD I","PADD 1",IF($M7957="PADD II","PADD 2",IF($M7957="PADD III","PADD 3",IF($M7957="PADD IV","PADD 4",IF($M7957="PADD V","PADD 5","")))))</f>
        <v>PADD 3</v>
      </c>
      <c r="G7957" s="6" t="str">
        <f>IF(AND($H7957="ATMOS DISTILLATION",ISNUMBER(SEARCH("VPS",$I7957))=FALSE,LEFT($I7957,6)&lt;&gt;"VACUUM"),"CDU",IF($H7957="FLUID CAT CRACKING","FCC",IF(OR($H7957="HYDROCRACKING",$H7957="RESID_HYDROCRACKING"),"Hydrocracker",IF($H7957="REFORMING","Reformer",""))))</f>
        <v>Reformer</v>
      </c>
      <c r="H7957" s="6" t="s">
        <v>421</v>
      </c>
      <c r="I7957" s="6" t="s">
        <v>15</v>
      </c>
      <c r="J7957" s="6" t="s">
        <v>345</v>
      </c>
      <c r="K7957" s="10">
        <v>4.08</v>
      </c>
      <c r="L7957" s="10">
        <v>24</v>
      </c>
      <c r="M7957" s="6" t="s">
        <v>371</v>
      </c>
    </row>
    <row r="7958" spans="1:13">
      <c r="A7958" s="6">
        <v>2026</v>
      </c>
      <c r="B7958" s="6">
        <v>6</v>
      </c>
      <c r="C7958" s="6" t="s">
        <v>64</v>
      </c>
      <c r="D7958" s="6" t="s">
        <v>646</v>
      </c>
      <c r="E7958" s="6" t="s">
        <v>405</v>
      </c>
      <c r="F7958" s="6" t="str">
        <f>IF($M7958="PADD I","PADD 1",IF($M7958="PADD II","PADD 2",IF($M7958="PADD III","PADD 3",IF($M7958="PADD IV","PADD 4",IF($M7958="PADD V","PADD 5","")))))</f>
        <v>PADD 3</v>
      </c>
      <c r="G7958" s="6" t="str">
        <f>IF(AND($H7958="ATMOS DISTILLATION",ISNUMBER(SEARCH("VPS",$I7958))=FALSE,LEFT($I7958,6)&lt;&gt;"VACUUM"),"CDU",IF($H7958="FLUID CAT CRACKING","FCC",IF(OR($H7958="HYDROCRACKING",$H7958="RESID_HYDROCRACKING"),"Hydrocracker",IF($H7958="REFORMING","Reformer",""))))</f>
        <v>CDU</v>
      </c>
      <c r="H7958" s="6" t="s">
        <v>38</v>
      </c>
      <c r="I7958" s="6" t="s">
        <v>126</v>
      </c>
      <c r="J7958" s="6" t="s">
        <v>345</v>
      </c>
      <c r="K7958" s="10">
        <v>4</v>
      </c>
      <c r="L7958" s="10">
        <v>40</v>
      </c>
      <c r="M7958" s="6" t="s">
        <v>371</v>
      </c>
    </row>
    <row r="7959" spans="1:13">
      <c r="A7959" s="6">
        <v>2026</v>
      </c>
      <c r="B7959" s="6">
        <v>6</v>
      </c>
      <c r="C7959" s="6" t="s">
        <v>64</v>
      </c>
      <c r="D7959" s="6" t="s">
        <v>387</v>
      </c>
      <c r="E7959" s="6" t="s">
        <v>388</v>
      </c>
      <c r="F7959" s="6" t="str">
        <f>IF($M7959="PADD I","PADD 1",IF($M7959="PADD II","PADD 2",IF($M7959="PADD III","PADD 3",IF($M7959="PADD IV","PADD 4",IF($M7959="PADD V","PADD 5","")))))</f>
        <v>PADD 3</v>
      </c>
      <c r="G7959" s="6">
        <f>IF(AND($H7959="ATMOS DISTILLATION",ISNUMBER(SEARCH("VPS",$I7959))=FALSE,LEFT($I7959,6)&lt;&gt;"VACUUM"),"CDU",IF($H7959="FLUID CAT CRACKING","FCC",IF(OR($H7959="HYDROCRACKING",$H7959="RESID_HYDROCRACKING"),"Hydrocracker",IF($H7959="REFORMING","Reformer",""))))</f>
        <v/>
      </c>
      <c r="H7959" s="6" t="s">
        <v>378</v>
      </c>
      <c r="I7959" s="6" t="s">
        <v>442</v>
      </c>
      <c r="J7959" s="6" t="s">
        <v>345</v>
      </c>
      <c r="K7959" s="10">
        <v>3.84</v>
      </c>
      <c r="L7959" s="10">
        <v>128</v>
      </c>
      <c r="M7959" s="6" t="s">
        <v>371</v>
      </c>
    </row>
    <row r="7960" spans="1:13">
      <c r="A7960" s="6">
        <v>2026</v>
      </c>
      <c r="B7960" s="6">
        <v>6</v>
      </c>
      <c r="C7960" s="6" t="s">
        <v>64</v>
      </c>
      <c r="D7960" s="6" t="s">
        <v>801</v>
      </c>
      <c r="E7960" s="6" t="s">
        <v>779</v>
      </c>
      <c r="F7960" s="6" t="str">
        <f>IF($M7960="PADD I","PADD 1",IF($M7960="PADD II","PADD 2",IF($M7960="PADD III","PADD 3",IF($M7960="PADD IV","PADD 4",IF($M7960="PADD V","PADD 5","")))))</f>
        <v>PADD 2</v>
      </c>
      <c r="G7960" s="6" t="str">
        <f>IF(AND($H7960="ATMOS DISTILLATION",ISNUMBER(SEARCH("VPS",$I7960))=FALSE,LEFT($I7960,6)&lt;&gt;"VACUUM"),"CDU",IF($H7960="FLUID CAT CRACKING","FCC",IF(OR($H7960="HYDROCRACKING",$H7960="RESID_HYDROCRACKING"),"Hydrocracker",IF($H7960="REFORMING","Reformer",""))))</f>
        <v>Hydrocracker</v>
      </c>
      <c r="H7960" s="6" t="s">
        <v>444</v>
      </c>
      <c r="I7960" s="6" t="s">
        <v>992</v>
      </c>
      <c r="J7960" s="6" t="s">
        <v>345</v>
      </c>
      <c r="K7960" s="10">
        <v>3.6</v>
      </c>
      <c r="L7960" s="10">
        <v>36</v>
      </c>
      <c r="M7960" s="6" t="s">
        <v>375</v>
      </c>
    </row>
    <row r="7961" spans="1:13">
      <c r="A7961" s="6">
        <v>2026</v>
      </c>
      <c r="B7961" s="6">
        <v>6</v>
      </c>
      <c r="C7961" s="6" t="s">
        <v>64</v>
      </c>
      <c r="D7961" s="6" t="s">
        <v>742</v>
      </c>
      <c r="E7961" s="6" t="s">
        <v>388</v>
      </c>
      <c r="F7961" s="6" t="str">
        <f>IF($M7961="PADD I","PADD 1",IF($M7961="PADD II","PADD 2",IF($M7961="PADD III","PADD 3",IF($M7961="PADD IV","PADD 4",IF($M7961="PADD V","PADD 5","")))))</f>
        <v>PADD 5</v>
      </c>
      <c r="G7961" s="6">
        <f>IF(AND($H7961="ATMOS DISTILLATION",ISNUMBER(SEARCH("VPS",$I7961))=FALSE,LEFT($I7961,6)&lt;&gt;"VACUUM"),"CDU",IF($H7961="FLUID CAT CRACKING","FCC",IF(OR($H7961="HYDROCRACKING",$H7961="RESID_HYDROCRACKING"),"Hydrocracker",IF($H7961="REFORMING","Reformer",""))))</f>
        <v/>
      </c>
      <c r="H7961" s="6" t="s">
        <v>568</v>
      </c>
      <c r="I7961" s="6" t="s">
        <v>768</v>
      </c>
      <c r="J7961" s="6" t="s">
        <v>349</v>
      </c>
      <c r="K7961" s="10">
        <v>3.5</v>
      </c>
      <c r="L7961" s="10">
        <v>3.5</v>
      </c>
      <c r="M7961" s="6" t="s">
        <v>386</v>
      </c>
    </row>
    <row r="7962" spans="1:13">
      <c r="A7962" s="6">
        <v>2026</v>
      </c>
      <c r="B7962" s="6">
        <v>6</v>
      </c>
      <c r="C7962" s="6" t="s">
        <v>64</v>
      </c>
      <c r="D7962" s="6" t="s">
        <v>415</v>
      </c>
      <c r="E7962" s="6" t="s">
        <v>416</v>
      </c>
      <c r="F7962" s="6" t="str">
        <f>IF($M7962="PADD I","PADD 1",IF($M7962="PADD II","PADD 2",IF($M7962="PADD III","PADD 3",IF($M7962="PADD IV","PADD 4",IF($M7962="PADD V","PADD 5","")))))</f>
        <v>PADD 3</v>
      </c>
      <c r="G7962" s="6">
        <f>IF(AND($H7962="ATMOS DISTILLATION",ISNUMBER(SEARCH("VPS",$I7962))=FALSE,LEFT($I7962,6)&lt;&gt;"VACUUM"),"CDU",IF($H7962="FLUID CAT CRACKING","FCC",IF(OR($H7962="HYDROCRACKING",$H7962="RESID_HYDROCRACKING"),"Hydrocracker",IF($H7962="REFORMING","Reformer",""))))</f>
        <v/>
      </c>
      <c r="H7962" s="6" t="s">
        <v>378</v>
      </c>
      <c r="I7962" s="6" t="s">
        <v>417</v>
      </c>
      <c r="J7962" s="6" t="s">
        <v>345</v>
      </c>
      <c r="K7962" s="10">
        <v>3.5</v>
      </c>
      <c r="L7962" s="10">
        <v>50</v>
      </c>
      <c r="M7962" s="6" t="s">
        <v>371</v>
      </c>
    </row>
    <row r="7963" spans="1:13">
      <c r="A7963" s="6">
        <v>2026</v>
      </c>
      <c r="B7963" s="6">
        <v>6</v>
      </c>
      <c r="C7963" s="6" t="s">
        <v>64</v>
      </c>
      <c r="D7963" s="6" t="s">
        <v>484</v>
      </c>
      <c r="E7963" s="6" t="s">
        <v>409</v>
      </c>
      <c r="F7963" s="6" t="str">
        <f>IF($M7963="PADD I","PADD 1",IF($M7963="PADD II","PADD 2",IF($M7963="PADD III","PADD 3",IF($M7963="PADD IV","PADD 4",IF($M7963="PADD V","PADD 5","")))))</f>
        <v>PADD 3</v>
      </c>
      <c r="G7963" s="6">
        <f>IF(AND($H7963="ATMOS DISTILLATION",ISNUMBER(SEARCH("VPS",$I7963))=FALSE,LEFT($I7963,6)&lt;&gt;"VACUUM"),"CDU",IF($H7963="FLUID CAT CRACKING","FCC",IF(OR($H7963="HYDROCRACKING",$H7963="RESID_HYDROCRACKING"),"Hydrocracker",IF($H7963="REFORMING","Reformer",""))))</f>
        <v/>
      </c>
      <c r="H7963" s="6" t="s">
        <v>43</v>
      </c>
      <c r="I7963" s="6" t="s">
        <v>493</v>
      </c>
      <c r="J7963" s="6" t="s">
        <v>345</v>
      </c>
      <c r="K7963" s="10">
        <v>3</v>
      </c>
      <c r="L7963" s="10">
        <v>10</v>
      </c>
      <c r="M7963" s="6" t="s">
        <v>371</v>
      </c>
    </row>
    <row r="7964" spans="1:13">
      <c r="A7964" s="6">
        <v>2026</v>
      </c>
      <c r="B7964" s="6">
        <v>6</v>
      </c>
      <c r="C7964" s="6" t="s">
        <v>64</v>
      </c>
      <c r="D7964" s="6" t="s">
        <v>1209</v>
      </c>
      <c r="E7964" s="6" t="s">
        <v>1210</v>
      </c>
      <c r="F7964" s="6" t="str">
        <f>IF($M7964="PADD I","PADD 1",IF($M7964="PADD II","PADD 2",IF($M7964="PADD III","PADD 3",IF($M7964="PADD IV","PADD 4",IF($M7964="PADD V","PADD 5","")))))</f>
        <v>PADD 5</v>
      </c>
      <c r="G7964" s="6" t="str">
        <f>IF(AND($H7964="ATMOS DISTILLATION",ISNUMBER(SEARCH("VPS",$I7964))=FALSE,LEFT($I7964,6)&lt;&gt;"VACUUM"),"CDU",IF($H7964="FLUID CAT CRACKING","FCC",IF(OR($H7964="HYDROCRACKING",$H7964="RESID_HYDROCRACKING"),"Hydrocracker",IF($H7964="REFORMING","Reformer",""))))</f>
        <v>CDU</v>
      </c>
      <c r="H7964" s="6" t="s">
        <v>38</v>
      </c>
      <c r="I7964" s="6" t="s">
        <v>1379</v>
      </c>
      <c r="J7964" s="6" t="s">
        <v>349</v>
      </c>
      <c r="K7964" s="10">
        <v>2.8</v>
      </c>
      <c r="L7964" s="10">
        <v>7</v>
      </c>
      <c r="M7964" s="6" t="s">
        <v>386</v>
      </c>
    </row>
    <row r="7965" spans="1:13">
      <c r="A7965" s="6">
        <v>2026</v>
      </c>
      <c r="B7965" s="6">
        <v>6</v>
      </c>
      <c r="C7965" s="6" t="s">
        <v>64</v>
      </c>
      <c r="D7965" s="6" t="s">
        <v>1209</v>
      </c>
      <c r="E7965" s="6" t="s">
        <v>1210</v>
      </c>
      <c r="F7965" s="6" t="str">
        <f>IF($M7965="PADD I","PADD 1",IF($M7965="PADD II","PADD 2",IF($M7965="PADD III","PADD 3",IF($M7965="PADD IV","PADD 4",IF($M7965="PADD V","PADD 5","")))))</f>
        <v>PADD 5</v>
      </c>
      <c r="G7965" s="6" t="str">
        <f>IF(AND($H7965="ATMOS DISTILLATION",ISNUMBER(SEARCH("VPS",$I7965))=FALSE,LEFT($I7965,6)&lt;&gt;"VACUUM"),"CDU",IF($H7965="FLUID CAT CRACKING","FCC",IF(OR($H7965="HYDROCRACKING",$H7965="RESID_HYDROCRACKING"),"Hydrocracker",IF($H7965="REFORMING","Reformer",""))))</f>
        <v>CDU</v>
      </c>
      <c r="H7965" s="6" t="s">
        <v>38</v>
      </c>
      <c r="I7965" s="6" t="s">
        <v>1211</v>
      </c>
      <c r="J7965" s="6" t="s">
        <v>349</v>
      </c>
      <c r="K7965" s="10">
        <v>2.8</v>
      </c>
      <c r="L7965" s="10">
        <v>7</v>
      </c>
      <c r="M7965" s="6" t="s">
        <v>386</v>
      </c>
    </row>
    <row r="7966" spans="1:13">
      <c r="A7966" s="6">
        <v>2026</v>
      </c>
      <c r="B7966" s="6">
        <v>6</v>
      </c>
      <c r="C7966" s="6" t="s">
        <v>64</v>
      </c>
      <c r="D7966" s="6" t="s">
        <v>331</v>
      </c>
      <c r="E7966" s="6" t="s">
        <v>373</v>
      </c>
      <c r="F7966" s="6" t="str">
        <f>IF($M7966="PADD I","PADD 1",IF($M7966="PADD II","PADD 2",IF($M7966="PADD III","PADD 3",IF($M7966="PADD IV","PADD 4",IF($M7966="PADD V","PADD 5","")))))</f>
        <v>PADD 2</v>
      </c>
      <c r="G7966" s="6" t="str">
        <f>IF(AND($H7966="ATMOS DISTILLATION",ISNUMBER(SEARCH("VPS",$I7966))=FALSE,LEFT($I7966,6)&lt;&gt;"VACUUM"),"CDU",IF($H7966="FLUID CAT CRACKING","FCC",IF(OR($H7966="HYDROCRACKING",$H7966="RESID_HYDROCRACKING"),"Hydrocracker",IF($H7966="REFORMING","Reformer",""))))</f>
        <v>Reformer</v>
      </c>
      <c r="H7966" s="6" t="s">
        <v>421</v>
      </c>
      <c r="I7966" s="6" t="s">
        <v>916</v>
      </c>
      <c r="J7966" s="6" t="s">
        <v>345</v>
      </c>
      <c r="K7966" s="10">
        <v>2.8</v>
      </c>
      <c r="L7966" s="10">
        <v>40</v>
      </c>
      <c r="M7966" s="6" t="s">
        <v>375</v>
      </c>
    </row>
    <row r="7967" spans="1:13">
      <c r="A7967" s="6">
        <v>2026</v>
      </c>
      <c r="B7967" s="6">
        <v>6</v>
      </c>
      <c r="C7967" s="6" t="s">
        <v>64</v>
      </c>
      <c r="D7967" s="6" t="s">
        <v>762</v>
      </c>
      <c r="E7967" s="6" t="s">
        <v>763</v>
      </c>
      <c r="F7967" s="6" t="str">
        <f>IF($M7967="PADD I","PADD 1",IF($M7967="PADD II","PADD 2",IF($M7967="PADD III","PADD 3",IF($M7967="PADD IV","PADD 4",IF($M7967="PADD V","PADD 5","")))))</f>
        <v>PADD 2</v>
      </c>
      <c r="G7967" s="6" t="str">
        <f>IF(AND($H7967="ATMOS DISTILLATION",ISNUMBER(SEARCH("VPS",$I7967))=FALSE,LEFT($I7967,6)&lt;&gt;"VACUUM"),"CDU",IF($H7967="FLUID CAT CRACKING","FCC",IF(OR($H7967="HYDROCRACKING",$H7967="RESID_HYDROCRACKING"),"Hydrocracker",IF($H7967="REFORMING","Reformer",""))))</f>
        <v>FCC</v>
      </c>
      <c r="H7967" s="6" t="s">
        <v>376</v>
      </c>
      <c r="I7967" s="6" t="s">
        <v>105</v>
      </c>
      <c r="J7967" s="6" t="s">
        <v>345</v>
      </c>
      <c r="K7967" s="10">
        <v>2.665</v>
      </c>
      <c r="L7967" s="10">
        <v>20.5</v>
      </c>
      <c r="M7967" s="6" t="s">
        <v>375</v>
      </c>
    </row>
    <row r="7968" spans="1:13">
      <c r="A7968" s="6">
        <v>2026</v>
      </c>
      <c r="B7968" s="6">
        <v>6</v>
      </c>
      <c r="C7968" s="6" t="s">
        <v>64</v>
      </c>
      <c r="D7968" s="6" t="s">
        <v>878</v>
      </c>
      <c r="E7968" s="6" t="s">
        <v>452</v>
      </c>
      <c r="F7968" s="6" t="str">
        <f>IF($M7968="PADD I","PADD 1",IF($M7968="PADD II","PADD 2",IF($M7968="PADD III","PADD 3",IF($M7968="PADD IV","PADD 4",IF($M7968="PADD V","PADD 5","")))))</f>
        <v>PADD 2</v>
      </c>
      <c r="G7968" s="6">
        <f>IF(AND($H7968="ATMOS DISTILLATION",ISNUMBER(SEARCH("VPS",$I7968))=FALSE,LEFT($I7968,6)&lt;&gt;"VACUUM"),"CDU",IF($H7968="FLUID CAT CRACKING","FCC",IF(OR($H7968="HYDROCRACKING",$H7968="RESID_HYDROCRACKING"),"Hydrocracker",IF($H7968="REFORMING","Reformer",""))))</f>
        <v/>
      </c>
      <c r="H7968" s="6" t="s">
        <v>435</v>
      </c>
      <c r="I7968" s="6" t="s">
        <v>441</v>
      </c>
      <c r="J7968" s="6" t="s">
        <v>345</v>
      </c>
      <c r="K7968" s="10">
        <v>2.55</v>
      </c>
      <c r="L7968" s="10">
        <v>8.5</v>
      </c>
      <c r="M7968" s="6" t="s">
        <v>375</v>
      </c>
    </row>
    <row r="7969" spans="1:13">
      <c r="A7969" s="6">
        <v>2026</v>
      </c>
      <c r="B7969" s="6">
        <v>6</v>
      </c>
      <c r="C7969" s="6" t="s">
        <v>64</v>
      </c>
      <c r="D7969" s="6" t="s">
        <v>1315</v>
      </c>
      <c r="E7969" s="6" t="s">
        <v>1316</v>
      </c>
      <c r="F7969" s="6" t="str">
        <f>IF($M7969="PADD I","PADD 1",IF($M7969="PADD II","PADD 2",IF($M7969="PADD III","PADD 3",IF($M7969="PADD IV","PADD 4",IF($M7969="PADD V","PADD 5","")))))</f>
        <v>PADD 1</v>
      </c>
      <c r="G7969" s="6" t="str">
        <f>IF(AND($H7969="ATMOS DISTILLATION",ISNUMBER(SEARCH("VPS",$I7969))=FALSE,LEFT($I7969,6)&lt;&gt;"VACUUM"),"CDU",IF($H7969="FLUID CAT CRACKING","FCC",IF(OR($H7969="HYDROCRACKING",$H7969="RESID_HYDROCRACKING"),"Hydrocracker",IF($H7969="REFORMING","Reformer",""))))</f>
        <v>Reformer</v>
      </c>
      <c r="H7969" s="6" t="s">
        <v>421</v>
      </c>
      <c r="I7969" s="6" t="s">
        <v>571</v>
      </c>
      <c r="J7969" s="6" t="s">
        <v>345</v>
      </c>
      <c r="K7969" s="10">
        <v>2.2</v>
      </c>
      <c r="L7969" s="10">
        <v>2.2</v>
      </c>
      <c r="M7969" s="6" t="s">
        <v>413</v>
      </c>
    </row>
    <row r="7970" spans="1:13">
      <c r="A7970" s="6">
        <v>2026</v>
      </c>
      <c r="B7970" s="6">
        <v>6</v>
      </c>
      <c r="C7970" s="6" t="s">
        <v>64</v>
      </c>
      <c r="D7970" s="6" t="s">
        <v>40</v>
      </c>
      <c r="E7970" s="6" t="s">
        <v>736</v>
      </c>
      <c r="F7970" s="6" t="str">
        <f>IF($M7970="PADD I","PADD 1",IF($M7970="PADD II","PADD 2",IF($M7970="PADD III","PADD 3",IF($M7970="PADD IV","PADD 4",IF($M7970="PADD V","PADD 5","")))))</f>
        <v>PADD 1</v>
      </c>
      <c r="G7970" s="6">
        <f>IF(AND($H7970="ATMOS DISTILLATION",ISNUMBER(SEARCH("VPS",$I7970))=FALSE,LEFT($I7970,6)&lt;&gt;"VACUUM"),"CDU",IF($H7970="FLUID CAT CRACKING","FCC",IF(OR($H7970="HYDROCRACKING",$H7970="RESID_HYDROCRACKING"),"Hydrocracker",IF($H7970="REFORMING","Reformer",""))))</f>
        <v/>
      </c>
      <c r="H7970" s="6" t="s">
        <v>43</v>
      </c>
      <c r="I7970" s="6" t="s">
        <v>1029</v>
      </c>
      <c r="J7970" s="6" t="s">
        <v>345</v>
      </c>
      <c r="K7970" s="10">
        <v>2.1</v>
      </c>
      <c r="L7970" s="10">
        <v>4.2</v>
      </c>
      <c r="M7970" s="6" t="s">
        <v>413</v>
      </c>
    </row>
    <row r="7971" spans="1:13">
      <c r="A7971" s="6">
        <v>2026</v>
      </c>
      <c r="B7971" s="6">
        <v>6</v>
      </c>
      <c r="C7971" s="6" t="s">
        <v>64</v>
      </c>
      <c r="D7971" s="6" t="s">
        <v>437</v>
      </c>
      <c r="E7971" s="6" t="s">
        <v>438</v>
      </c>
      <c r="F7971" s="6" t="str">
        <f>IF($M7971="PADD I","PADD 1",IF($M7971="PADD II","PADD 2",IF($M7971="PADD III","PADD 3",IF($M7971="PADD IV","PADD 4",IF($M7971="PADD V","PADD 5","")))))</f>
        <v>PADD 4</v>
      </c>
      <c r="G7971" s="6">
        <f>IF(AND($H7971="ATMOS DISTILLATION",ISNUMBER(SEARCH("VPS",$I7971))=FALSE,LEFT($I7971,6)&lt;&gt;"VACUUM"),"CDU",IF($H7971="FLUID CAT CRACKING","FCC",IF(OR($H7971="HYDROCRACKING",$H7971="RESID_HYDROCRACKING"),"Hydrocracker",IF($H7971="REFORMING","Reformer",""))))</f>
        <v/>
      </c>
      <c r="H7971" s="6" t="s">
        <v>43</v>
      </c>
      <c r="I7971" s="6" t="s">
        <v>493</v>
      </c>
      <c r="J7971" s="6" t="s">
        <v>345</v>
      </c>
      <c r="K7971" s="10">
        <v>2.1</v>
      </c>
      <c r="L7971" s="10">
        <v>21</v>
      </c>
      <c r="M7971" s="6" t="s">
        <v>430</v>
      </c>
    </row>
    <row r="7972" spans="1:13">
      <c r="A7972" s="6">
        <v>2026</v>
      </c>
      <c r="B7972" s="6">
        <v>6</v>
      </c>
      <c r="C7972" s="6" t="s">
        <v>64</v>
      </c>
      <c r="D7972" s="6" t="s">
        <v>408</v>
      </c>
      <c r="E7972" s="6" t="s">
        <v>409</v>
      </c>
      <c r="F7972" s="6" t="str">
        <f>IF($M7972="PADD I","PADD 1",IF($M7972="PADD II","PADD 2",IF($M7972="PADD III","PADD 3",IF($M7972="PADD IV","PADD 4",IF($M7972="PADD V","PADD 5","")))))</f>
        <v>PADD 3</v>
      </c>
      <c r="G7972" s="6">
        <f>IF(AND($H7972="ATMOS DISTILLATION",ISNUMBER(SEARCH("VPS",$I7972))=FALSE,LEFT($I7972,6)&lt;&gt;"VACUUM"),"CDU",IF($H7972="FLUID CAT CRACKING","FCC",IF(OR($H7972="HYDROCRACKING",$H7972="RESID_HYDROCRACKING"),"Hydrocracker",IF($H7972="REFORMING","Reformer",""))))</f>
        <v/>
      </c>
      <c r="H7972" s="6" t="s">
        <v>460</v>
      </c>
      <c r="I7972" s="6" t="s">
        <v>606</v>
      </c>
      <c r="J7972" s="6" t="s">
        <v>345</v>
      </c>
      <c r="K7972" s="10">
        <v>1.85</v>
      </c>
      <c r="L7972" s="10">
        <v>5</v>
      </c>
      <c r="M7972" s="6" t="s">
        <v>371</v>
      </c>
    </row>
    <row r="7973" spans="1:13">
      <c r="A7973" s="6">
        <v>2026</v>
      </c>
      <c r="B7973" s="6">
        <v>6</v>
      </c>
      <c r="C7973" s="6" t="s">
        <v>64</v>
      </c>
      <c r="D7973" s="6" t="s">
        <v>646</v>
      </c>
      <c r="E7973" s="6" t="s">
        <v>405</v>
      </c>
      <c r="F7973" s="6" t="str">
        <f>IF($M7973="PADD I","PADD 1",IF($M7973="PADD II","PADD 2",IF($M7973="PADD III","PADD 3",IF($M7973="PADD IV","PADD 4",IF($M7973="PADD V","PADD 5","")))))</f>
        <v>PADD 3</v>
      </c>
      <c r="G7973" s="6">
        <f>IF(AND($H7973="ATMOS DISTILLATION",ISNUMBER(SEARCH("VPS",$I7973))=FALSE,LEFT($I7973,6)&lt;&gt;"VACUUM"),"CDU",IF($H7973="FLUID CAT CRACKING","FCC",IF(OR($H7973="HYDROCRACKING",$H7973="RESID_HYDROCRACKING"),"Hydrocracker",IF($H7973="REFORMING","Reformer",""))))</f>
        <v/>
      </c>
      <c r="H7973" s="6" t="s">
        <v>435</v>
      </c>
      <c r="I7973" s="6" t="s">
        <v>441</v>
      </c>
      <c r="J7973" s="6" t="s">
        <v>345</v>
      </c>
      <c r="K7973" s="10">
        <v>1.8</v>
      </c>
      <c r="L7973" s="10">
        <v>18</v>
      </c>
      <c r="M7973" s="6" t="s">
        <v>371</v>
      </c>
    </row>
    <row r="7974" spans="1:13">
      <c r="A7974" s="6">
        <v>2026</v>
      </c>
      <c r="B7974" s="6">
        <v>6</v>
      </c>
      <c r="C7974" s="6" t="s">
        <v>64</v>
      </c>
      <c r="D7974" s="6" t="s">
        <v>321</v>
      </c>
      <c r="E7974" s="6" t="s">
        <v>381</v>
      </c>
      <c r="F7974" s="6" t="str">
        <f>IF($M7974="PADD I","PADD 1",IF($M7974="PADD II","PADD 2",IF($M7974="PADD III","PADD 3",IF($M7974="PADD IV","PADD 4",IF($M7974="PADD V","PADD 5","")))))</f>
        <v>PADD 2</v>
      </c>
      <c r="G7974" s="6">
        <f>IF(AND($H7974="ATMOS DISTILLATION",ISNUMBER(SEARCH("VPS",$I7974))=FALSE,LEFT($I7974,6)&lt;&gt;"VACUUM"),"CDU",IF($H7974="FLUID CAT CRACKING","FCC",IF(OR($H7974="HYDROCRACKING",$H7974="RESID_HYDROCRACKING"),"Hydrocracker",IF($H7974="REFORMING","Reformer",""))))</f>
        <v/>
      </c>
      <c r="H7974" s="6" t="s">
        <v>435</v>
      </c>
      <c r="I7974" s="6" t="s">
        <v>441</v>
      </c>
      <c r="J7974" s="6" t="s">
        <v>345</v>
      </c>
      <c r="K7974" s="10">
        <v>1.7</v>
      </c>
      <c r="L7974" s="10">
        <v>10</v>
      </c>
      <c r="M7974" s="6" t="s">
        <v>375</v>
      </c>
    </row>
    <row r="7975" spans="1:13">
      <c r="A7975" s="6">
        <v>2026</v>
      </c>
      <c r="B7975" s="6">
        <v>6</v>
      </c>
      <c r="C7975" s="6" t="s">
        <v>64</v>
      </c>
      <c r="D7975" s="6" t="s">
        <v>380</v>
      </c>
      <c r="E7975" s="6" t="s">
        <v>381</v>
      </c>
      <c r="F7975" s="6" t="str">
        <f>IF($M7975="PADD I","PADD 1",IF($M7975="PADD II","PADD 2",IF($M7975="PADD III","PADD 3",IF($M7975="PADD IV","PADD 4",IF($M7975="PADD V","PADD 5","")))))</f>
        <v>PADD 3</v>
      </c>
      <c r="G7975" s="6">
        <f>IF(AND($H7975="ATMOS DISTILLATION",ISNUMBER(SEARCH("VPS",$I7975))=FALSE,LEFT($I7975,6)&lt;&gt;"VACUUM"),"CDU",IF($H7975="FLUID CAT CRACKING","FCC",IF(OR($H7975="HYDROCRACKING",$H7975="RESID_HYDROCRACKING"),"Hydrocracker",IF($H7975="REFORMING","Reformer",""))))</f>
        <v/>
      </c>
      <c r="H7975" s="6" t="s">
        <v>637</v>
      </c>
      <c r="I7975" s="6" t="s">
        <v>1259</v>
      </c>
      <c r="J7975" s="6" t="s">
        <v>349</v>
      </c>
      <c r="K7975" s="10">
        <v>1.3</v>
      </c>
      <c r="L7975" s="10">
        <v>10</v>
      </c>
      <c r="M7975" s="6" t="s">
        <v>371</v>
      </c>
    </row>
    <row r="7976" spans="1:13">
      <c r="A7976" s="6">
        <v>2026</v>
      </c>
      <c r="B7976" s="6">
        <v>6</v>
      </c>
      <c r="C7976" s="6" t="s">
        <v>64</v>
      </c>
      <c r="D7976" s="6" t="s">
        <v>48</v>
      </c>
      <c r="E7976" s="6" t="s">
        <v>388</v>
      </c>
      <c r="F7976" s="6" t="str">
        <f>IF($M7976="PADD I","PADD 1",IF($M7976="PADD II","PADD 2",IF($M7976="PADD III","PADD 3",IF($M7976="PADD IV","PADD 4",IF($M7976="PADD V","PADD 5","")))))</f>
        <v>PADD 2</v>
      </c>
      <c r="G7976" s="6" t="str">
        <f>IF(AND($H7976="ATMOS DISTILLATION",ISNUMBER(SEARCH("VPS",$I7976))=FALSE,LEFT($I7976,6)&lt;&gt;"VACUUM"),"CDU",IF($H7976="FLUID CAT CRACKING","FCC",IF(OR($H7976="HYDROCRACKING",$H7976="RESID_HYDROCRACKING"),"Hydrocracker",IF($H7976="REFORMING","Reformer",""))))</f>
        <v>Reformer</v>
      </c>
      <c r="H7976" s="6" t="s">
        <v>421</v>
      </c>
      <c r="I7976" s="6" t="s">
        <v>721</v>
      </c>
      <c r="J7976" s="6" t="s">
        <v>345</v>
      </c>
      <c r="K7976" s="10">
        <v>1.17</v>
      </c>
      <c r="L7976" s="10">
        <v>39</v>
      </c>
      <c r="M7976" s="6" t="s">
        <v>375</v>
      </c>
    </row>
    <row r="7977" spans="1:13">
      <c r="A7977" s="6">
        <v>2026</v>
      </c>
      <c r="B7977" s="6">
        <v>6</v>
      </c>
      <c r="C7977" s="6" t="s">
        <v>64</v>
      </c>
      <c r="D7977" s="6" t="s">
        <v>563</v>
      </c>
      <c r="E7977" s="6" t="s">
        <v>396</v>
      </c>
      <c r="F7977" s="6" t="str">
        <f>IF($M7977="PADD I","PADD 1",IF($M7977="PADD II","PADD 2",IF($M7977="PADD III","PADD 3",IF($M7977="PADD IV","PADD 4",IF($M7977="PADD V","PADD 5","")))))</f>
        <v>PADD 3</v>
      </c>
      <c r="G7977" s="6">
        <f>IF(AND($H7977="ATMOS DISTILLATION",ISNUMBER(SEARCH("VPS",$I7977))=FALSE,LEFT($I7977,6)&lt;&gt;"VACUUM"),"CDU",IF($H7977="FLUID CAT CRACKING","FCC",IF(OR($H7977="HYDROCRACKING",$H7977="RESID_HYDROCRACKING"),"Hydrocracker",IF($H7977="REFORMING","Reformer",""))))</f>
        <v/>
      </c>
      <c r="H7977" s="6" t="s">
        <v>43</v>
      </c>
      <c r="I7977" s="6" t="s">
        <v>449</v>
      </c>
      <c r="J7977" s="6" t="s">
        <v>345</v>
      </c>
      <c r="K7977" s="10">
        <v>1.155</v>
      </c>
      <c r="L7977" s="10">
        <v>38.5</v>
      </c>
      <c r="M7977" s="6" t="s">
        <v>371</v>
      </c>
    </row>
    <row r="7978" spans="1:13">
      <c r="A7978" s="6">
        <v>2026</v>
      </c>
      <c r="B7978" s="6">
        <v>7</v>
      </c>
      <c r="C7978" s="6" t="s">
        <v>65</v>
      </c>
      <c r="D7978" s="6" t="s">
        <v>40</v>
      </c>
      <c r="E7978" s="6" t="s">
        <v>736</v>
      </c>
      <c r="F7978" s="6" t="str">
        <f>IF($M7978="PADD I","PADD 1",IF($M7978="PADD II","PADD 2",IF($M7978="PADD III","PADD 3",IF($M7978="PADD IV","PADD 4",IF($M7978="PADD V","PADD 5","")))))</f>
        <v>PADD 1</v>
      </c>
      <c r="G7978" s="6" t="str">
        <f>IF(AND($H7978="ATMOS DISTILLATION",ISNUMBER(SEARCH("VPS",$I7978))=FALSE,LEFT($I7978,6)&lt;&gt;"VACUUM"),"CDU",IF($H7978="FLUID CAT CRACKING","FCC",IF(OR($H7978="HYDROCRACKING",$H7978="RESID_HYDROCRACKING"),"Hydrocracker",IF($H7978="REFORMING","Reformer",""))))</f>
        <v>CDU</v>
      </c>
      <c r="H7978" s="6" t="s">
        <v>38</v>
      </c>
      <c r="I7978" s="6" t="s">
        <v>980</v>
      </c>
      <c r="J7978" s="6" t="s">
        <v>345</v>
      </c>
      <c r="K7978" s="10">
        <v>104</v>
      </c>
      <c r="L7978" s="10">
        <v>104</v>
      </c>
      <c r="M7978" s="6" t="s">
        <v>413</v>
      </c>
    </row>
    <row r="7979" spans="1:13">
      <c r="A7979" s="6">
        <v>2026</v>
      </c>
      <c r="B7979" s="6">
        <v>7</v>
      </c>
      <c r="C7979" s="6" t="s">
        <v>65</v>
      </c>
      <c r="D7979" s="6" t="s">
        <v>40</v>
      </c>
      <c r="E7979" s="6" t="s">
        <v>736</v>
      </c>
      <c r="F7979" s="6" t="str">
        <f>IF($M7979="PADD I","PADD 1",IF($M7979="PADD II","PADD 2",IF($M7979="PADD III","PADD 3",IF($M7979="PADD IV","PADD 4",IF($M7979="PADD V","PADD 5","")))))</f>
        <v>PADD 1</v>
      </c>
      <c r="G7979" s="6" t="str">
        <f>IF(AND($H7979="ATMOS DISTILLATION",ISNUMBER(SEARCH("VPS",$I7979))=FALSE,LEFT($I7979,6)&lt;&gt;"VACUUM"),"CDU",IF($H7979="FLUID CAT CRACKING","FCC",IF(OR($H7979="HYDROCRACKING",$H7979="RESID_HYDROCRACKING"),"Hydrocracker",IF($H7979="REFORMING","Reformer",""))))</f>
        <v>CDU</v>
      </c>
      <c r="H7979" s="6" t="s">
        <v>38</v>
      </c>
      <c r="I7979" s="6" t="s">
        <v>989</v>
      </c>
      <c r="J7979" s="6" t="s">
        <v>345</v>
      </c>
      <c r="K7979" s="10">
        <v>104</v>
      </c>
      <c r="L7979" s="10">
        <v>104</v>
      </c>
      <c r="M7979" s="6" t="s">
        <v>413</v>
      </c>
    </row>
    <row r="7980" spans="1:13">
      <c r="A7980" s="6">
        <v>2026</v>
      </c>
      <c r="B7980" s="6">
        <v>7</v>
      </c>
      <c r="C7980" s="6" t="s">
        <v>65</v>
      </c>
      <c r="D7980" s="6" t="s">
        <v>40</v>
      </c>
      <c r="E7980" s="6" t="s">
        <v>736</v>
      </c>
      <c r="F7980" s="6" t="str">
        <f>IF($M7980="PADD I","PADD 1",IF($M7980="PADD II","PADD 2",IF($M7980="PADD III","PADD 3",IF($M7980="PADD IV","PADD 4",IF($M7980="PADD V","PADD 5","")))))</f>
        <v>PADD 1</v>
      </c>
      <c r="G7980" s="6" t="str">
        <f>IF(AND($H7980="ATMOS DISTILLATION",ISNUMBER(SEARCH("VPS",$I7980))=FALSE,LEFT($I7980,6)&lt;&gt;"VACUUM"),"CDU",IF($H7980="FLUID CAT CRACKING","FCC",IF(OR($H7980="HYDROCRACKING",$H7980="RESID_HYDROCRACKING"),"Hydrocracker",IF($H7980="REFORMING","Reformer",""))))</f>
        <v>FCC</v>
      </c>
      <c r="H7980" s="6" t="s">
        <v>376</v>
      </c>
      <c r="I7980" s="6" t="s">
        <v>737</v>
      </c>
      <c r="J7980" s="6" t="s">
        <v>345</v>
      </c>
      <c r="K7980" s="10">
        <v>68</v>
      </c>
      <c r="L7980" s="10">
        <v>68</v>
      </c>
      <c r="M7980" s="6" t="s">
        <v>413</v>
      </c>
    </row>
    <row r="7981" spans="1:13">
      <c r="A7981" s="6">
        <v>2026</v>
      </c>
      <c r="B7981" s="6">
        <v>7</v>
      </c>
      <c r="C7981" s="6" t="s">
        <v>65</v>
      </c>
      <c r="D7981" s="6" t="s">
        <v>40</v>
      </c>
      <c r="E7981" s="6" t="s">
        <v>736</v>
      </c>
      <c r="F7981" s="6" t="str">
        <f>IF($M7981="PADD I","PADD 1",IF($M7981="PADD II","PADD 2",IF($M7981="PADD III","PADD 3",IF($M7981="PADD IV","PADD 4",IF($M7981="PADD V","PADD 5","")))))</f>
        <v>PADD 1</v>
      </c>
      <c r="G7981" s="6">
        <f>IF(AND($H7981="ATMOS DISTILLATION",ISNUMBER(SEARCH("VPS",$I7981))=FALSE,LEFT($I7981,6)&lt;&gt;"VACUUM"),"CDU",IF($H7981="FLUID CAT CRACKING","FCC",IF(OR($H7981="HYDROCRACKING",$H7981="RESID_HYDROCRACKING"),"Hydrocracker",IF($H7981="REFORMING","Reformer",""))))</f>
        <v/>
      </c>
      <c r="H7981" s="6" t="s">
        <v>43</v>
      </c>
      <c r="I7981" s="6" t="s">
        <v>994</v>
      </c>
      <c r="J7981" s="6" t="s">
        <v>345</v>
      </c>
      <c r="K7981" s="10">
        <v>65</v>
      </c>
      <c r="L7981" s="10">
        <v>65</v>
      </c>
      <c r="M7981" s="6" t="s">
        <v>413</v>
      </c>
    </row>
    <row r="7982" spans="1:13">
      <c r="A7982" s="6">
        <v>2026</v>
      </c>
      <c r="B7982" s="6">
        <v>7</v>
      </c>
      <c r="C7982" s="6" t="s">
        <v>65</v>
      </c>
      <c r="D7982" s="6" t="s">
        <v>40</v>
      </c>
      <c r="E7982" s="6" t="s">
        <v>736</v>
      </c>
      <c r="F7982" s="6" t="str">
        <f>IF($M7982="PADD I","PADD 1",IF($M7982="PADD II","PADD 2",IF($M7982="PADD III","PADD 3",IF($M7982="PADD IV","PADD 4",IF($M7982="PADD V","PADD 5","")))))</f>
        <v>PADD 1</v>
      </c>
      <c r="G7982" s="6">
        <f>IF(AND($H7982="ATMOS DISTILLATION",ISNUMBER(SEARCH("VPS",$I7982))=FALSE,LEFT($I7982,6)&lt;&gt;"VACUUM"),"CDU",IF($H7982="FLUID CAT CRACKING","FCC",IF(OR($H7982="HYDROCRACKING",$H7982="RESID_HYDROCRACKING"),"Hydrocracker",IF($H7982="REFORMING","Reformer",""))))</f>
        <v/>
      </c>
      <c r="H7982" s="6" t="s">
        <v>43</v>
      </c>
      <c r="I7982" s="6" t="s">
        <v>493</v>
      </c>
      <c r="J7982" s="6" t="s">
        <v>345</v>
      </c>
      <c r="K7982" s="10">
        <v>60</v>
      </c>
      <c r="L7982" s="10">
        <v>60</v>
      </c>
      <c r="M7982" s="6" t="s">
        <v>413</v>
      </c>
    </row>
    <row r="7983" spans="1:13">
      <c r="A7983" s="6">
        <v>2026</v>
      </c>
      <c r="B7983" s="6">
        <v>7</v>
      </c>
      <c r="C7983" s="6" t="s">
        <v>65</v>
      </c>
      <c r="D7983" s="6" t="s">
        <v>40</v>
      </c>
      <c r="E7983" s="6" t="s">
        <v>736</v>
      </c>
      <c r="F7983" s="6" t="str">
        <f>IF($M7983="PADD I","PADD 1",IF($M7983="PADD II","PADD 2",IF($M7983="PADD III","PADD 3",IF($M7983="PADD IV","PADD 4",IF($M7983="PADD V","PADD 5","")))))</f>
        <v>PADD 1</v>
      </c>
      <c r="G7983" s="6" t="str">
        <f>IF(AND($H7983="ATMOS DISTILLATION",ISNUMBER(SEARCH("VPS",$I7983))=FALSE,LEFT($I7983,6)&lt;&gt;"VACUUM"),"CDU",IF($H7983="FLUID CAT CRACKING","FCC",IF(OR($H7983="HYDROCRACKING",$H7983="RESID_HYDROCRACKING"),"Hydrocracker",IF($H7983="REFORMING","Reformer",""))))</f>
        <v>Reformer</v>
      </c>
      <c r="H7983" s="6" t="s">
        <v>421</v>
      </c>
      <c r="I7983" s="6" t="s">
        <v>782</v>
      </c>
      <c r="J7983" s="6" t="s">
        <v>345</v>
      </c>
      <c r="K7983" s="10">
        <v>60</v>
      </c>
      <c r="L7983" s="10">
        <v>60</v>
      </c>
      <c r="M7983" s="6" t="s">
        <v>413</v>
      </c>
    </row>
    <row r="7984" spans="1:13">
      <c r="A7984" s="6">
        <v>2026</v>
      </c>
      <c r="B7984" s="6">
        <v>7</v>
      </c>
      <c r="C7984" s="6" t="s">
        <v>65</v>
      </c>
      <c r="D7984" s="6" t="s">
        <v>333</v>
      </c>
      <c r="E7984" s="6" t="s">
        <v>381</v>
      </c>
      <c r="F7984" s="6" t="str">
        <f>IF($M7984="PADD I","PADD 1",IF($M7984="PADD II","PADD 2",IF($M7984="PADD III","PADD 3",IF($M7984="PADD IV","PADD 4",IF($M7984="PADD V","PADD 5","")))))</f>
        <v>PADD 3</v>
      </c>
      <c r="G7984" s="6" t="str">
        <f>IF(AND($H7984="ATMOS DISTILLATION",ISNUMBER(SEARCH("VPS",$I7984))=FALSE,LEFT($I7984,6)&lt;&gt;"VACUUM"),"CDU",IF($H7984="FLUID CAT CRACKING","FCC",IF(OR($H7984="HYDROCRACKING",$H7984="RESID_HYDROCRACKING"),"Hydrocracker",IF($H7984="REFORMING","Reformer",""))))</f>
        <v>CDU</v>
      </c>
      <c r="H7984" s="6" t="s">
        <v>38</v>
      </c>
      <c r="I7984" s="6" t="s">
        <v>679</v>
      </c>
      <c r="J7984" s="6" t="s">
        <v>349</v>
      </c>
      <c r="K7984" s="10">
        <v>50</v>
      </c>
      <c r="L7984" s="10">
        <v>50</v>
      </c>
      <c r="M7984" s="6" t="s">
        <v>371</v>
      </c>
    </row>
    <row r="7985" spans="1:13">
      <c r="A7985" s="6">
        <v>2026</v>
      </c>
      <c r="B7985" s="6">
        <v>7</v>
      </c>
      <c r="C7985" s="6" t="s">
        <v>65</v>
      </c>
      <c r="D7985" s="6" t="s">
        <v>526</v>
      </c>
      <c r="E7985" s="6" t="s">
        <v>405</v>
      </c>
      <c r="F7985" s="6" t="str">
        <f>IF($M7985="PADD I","PADD 1",IF($M7985="PADD II","PADD 2",IF($M7985="PADD III","PADD 3",IF($M7985="PADD IV","PADD 4",IF($M7985="PADD V","PADD 5","")))))</f>
        <v>PADD 3</v>
      </c>
      <c r="G7985" s="6">
        <f>IF(AND($H7985="ATMOS DISTILLATION",ISNUMBER(SEARCH("VPS",$I7985))=FALSE,LEFT($I7985,6)&lt;&gt;"VACUUM"),"CDU",IF($H7985="FLUID CAT CRACKING","FCC",IF(OR($H7985="HYDROCRACKING",$H7985="RESID_HYDROCRACKING"),"Hydrocracker",IF($H7985="REFORMING","Reformer",""))))</f>
        <v/>
      </c>
      <c r="H7985" s="6" t="s">
        <v>43</v>
      </c>
      <c r="I7985" s="6" t="s">
        <v>1076</v>
      </c>
      <c r="J7985" s="6" t="s">
        <v>345</v>
      </c>
      <c r="K7985" s="10">
        <v>47</v>
      </c>
      <c r="L7985" s="10">
        <v>47</v>
      </c>
      <c r="M7985" s="6" t="s">
        <v>371</v>
      </c>
    </row>
    <row r="7986" spans="1:13">
      <c r="A7986" s="6">
        <v>2026</v>
      </c>
      <c r="B7986" s="6">
        <v>7</v>
      </c>
      <c r="C7986" s="6" t="s">
        <v>65</v>
      </c>
      <c r="D7986" s="6" t="s">
        <v>44</v>
      </c>
      <c r="E7986" s="6" t="s">
        <v>1339</v>
      </c>
      <c r="F7986" s="6" t="str">
        <f>IF($M7986="PADD I","PADD 1",IF($M7986="PADD II","PADD 2",IF($M7986="PADD III","PADD 3",IF($M7986="PADD IV","PADD 4",IF($M7986="PADD V","PADD 5","")))))</f>
        <v>PADD 5</v>
      </c>
      <c r="G7986" s="6" t="str">
        <f>IF(AND($H7986="ATMOS DISTILLATION",ISNUMBER(SEARCH("VPS",$I7986))=FALSE,LEFT($I7986,6)&lt;&gt;"VACUUM"),"CDU",IF($H7986="FLUID CAT CRACKING","FCC",IF(OR($H7986="HYDROCRACKING",$H7986="RESID_HYDROCRACKING"),"Hydrocracker",IF($H7986="REFORMING","Reformer",""))))</f>
        <v>CDU</v>
      </c>
      <c r="H7986" s="6" t="s">
        <v>38</v>
      </c>
      <c r="I7986" s="6" t="s">
        <v>1374</v>
      </c>
      <c r="J7986" s="6" t="s">
        <v>349</v>
      </c>
      <c r="K7986" s="10">
        <v>43.2</v>
      </c>
      <c r="L7986" s="10">
        <v>90</v>
      </c>
      <c r="M7986" s="6" t="s">
        <v>386</v>
      </c>
    </row>
    <row r="7987" spans="1:13">
      <c r="A7987" s="6">
        <v>2026</v>
      </c>
      <c r="B7987" s="6">
        <v>7</v>
      </c>
      <c r="C7987" s="6" t="s">
        <v>65</v>
      </c>
      <c r="D7987" s="6" t="s">
        <v>542</v>
      </c>
      <c r="E7987" s="6" t="s">
        <v>543</v>
      </c>
      <c r="F7987" s="6" t="str">
        <f>IF($M7987="PADD I","PADD 1",IF($M7987="PADD II","PADD 2",IF($M7987="PADD III","PADD 3",IF($M7987="PADD IV","PADD 4",IF($M7987="PADD V","PADD 5","")))))</f>
        <v>PADD 2</v>
      </c>
      <c r="G7987" s="6">
        <f>IF(AND($H7987="ATMOS DISTILLATION",ISNUMBER(SEARCH("VPS",$I7987))=FALSE,LEFT($I7987,6)&lt;&gt;"VACUUM"),"CDU",IF($H7987="FLUID CAT CRACKING","FCC",IF(OR($H7987="HYDROCRACKING",$H7987="RESID_HYDROCRACKING"),"Hydrocracker",IF($H7987="REFORMING","Reformer",""))))</f>
        <v/>
      </c>
      <c r="H7987" s="6" t="s">
        <v>43</v>
      </c>
      <c r="I7987" s="6" t="s">
        <v>1006</v>
      </c>
      <c r="J7987" s="6" t="s">
        <v>349</v>
      </c>
      <c r="K7987" s="10">
        <v>36</v>
      </c>
      <c r="L7987" s="10">
        <v>36</v>
      </c>
      <c r="M7987" s="6" t="s">
        <v>375</v>
      </c>
    </row>
    <row r="7988" spans="1:13">
      <c r="A7988" s="6">
        <v>2026</v>
      </c>
      <c r="B7988" s="6">
        <v>7</v>
      </c>
      <c r="C7988" s="6" t="s">
        <v>65</v>
      </c>
      <c r="D7988" s="6" t="s">
        <v>40</v>
      </c>
      <c r="E7988" s="6" t="s">
        <v>736</v>
      </c>
      <c r="F7988" s="6" t="str">
        <f>IF($M7988="PADD I","PADD 1",IF($M7988="PADD II","PADD 2",IF($M7988="PADD III","PADD 3",IF($M7988="PADD IV","PADD 4",IF($M7988="PADD V","PADD 5","")))))</f>
        <v>PADD 1</v>
      </c>
      <c r="G7988" s="6">
        <f>IF(AND($H7988="ATMOS DISTILLATION",ISNUMBER(SEARCH("VPS",$I7988))=FALSE,LEFT($I7988,6)&lt;&gt;"VACUUM"),"CDU",IF($H7988="FLUID CAT CRACKING","FCC",IF(OR($H7988="HYDROCRACKING",$H7988="RESID_HYDROCRACKING"),"Hydrocracker",IF($H7988="REFORMING","Reformer",""))))</f>
        <v/>
      </c>
      <c r="H7988" s="6" t="s">
        <v>43</v>
      </c>
      <c r="I7988" s="6" t="s">
        <v>1014</v>
      </c>
      <c r="J7988" s="6" t="s">
        <v>345</v>
      </c>
      <c r="K7988" s="10">
        <v>28</v>
      </c>
      <c r="L7988" s="10">
        <v>28</v>
      </c>
      <c r="M7988" s="6" t="s">
        <v>413</v>
      </c>
    </row>
    <row r="7989" spans="1:13">
      <c r="A7989" s="6">
        <v>2026</v>
      </c>
      <c r="B7989" s="6">
        <v>7</v>
      </c>
      <c r="C7989" s="6" t="s">
        <v>65</v>
      </c>
      <c r="D7989" s="6" t="s">
        <v>40</v>
      </c>
      <c r="E7989" s="6" t="s">
        <v>736</v>
      </c>
      <c r="F7989" s="6" t="str">
        <f>IF($M7989="PADD I","PADD 1",IF($M7989="PADD II","PADD 2",IF($M7989="PADD III","PADD 3",IF($M7989="PADD IV","PADD 4",IF($M7989="PADD V","PADD 5","")))))</f>
        <v>PADD 1</v>
      </c>
      <c r="G7989" s="6">
        <f>IF(AND($H7989="ATMOS DISTILLATION",ISNUMBER(SEARCH("VPS",$I7989))=FALSE,LEFT($I7989,6)&lt;&gt;"VACUUM"),"CDU",IF($H7989="FLUID CAT CRACKING","FCC",IF(OR($H7989="HYDROCRACKING",$H7989="RESID_HYDROCRACKING"),"Hydrocracker",IF($H7989="REFORMING","Reformer",""))))</f>
        <v/>
      </c>
      <c r="H7989" s="6" t="s">
        <v>43</v>
      </c>
      <c r="I7989" s="6" t="s">
        <v>1011</v>
      </c>
      <c r="J7989" s="6" t="s">
        <v>345</v>
      </c>
      <c r="K7989" s="10">
        <v>26</v>
      </c>
      <c r="L7989" s="10">
        <v>26</v>
      </c>
      <c r="M7989" s="6" t="s">
        <v>413</v>
      </c>
    </row>
    <row r="7990" spans="1:13">
      <c r="A7990" s="6">
        <v>2026</v>
      </c>
      <c r="B7990" s="6">
        <v>7</v>
      </c>
      <c r="C7990" s="6" t="s">
        <v>65</v>
      </c>
      <c r="D7990" s="6" t="s">
        <v>44</v>
      </c>
      <c r="E7990" s="6" t="s">
        <v>1339</v>
      </c>
      <c r="F7990" s="6" t="str">
        <f>IF($M7990="PADD I","PADD 1",IF($M7990="PADD II","PADD 2",IF($M7990="PADD III","PADD 3",IF($M7990="PADD IV","PADD 4",IF($M7990="PADD V","PADD 5","")))))</f>
        <v>PADD 5</v>
      </c>
      <c r="G7990" s="6" t="str">
        <f>IF(AND($H7990="ATMOS DISTILLATION",ISNUMBER(SEARCH("VPS",$I7990))=FALSE,LEFT($I7990,6)&lt;&gt;"VACUUM"),"CDU",IF($H7990="FLUID CAT CRACKING","FCC",IF(OR($H7990="HYDROCRACKING",$H7990="RESID_HYDROCRACKING"),"Hydrocracker",IF($H7990="REFORMING","Reformer",""))))</f>
        <v>CDU</v>
      </c>
      <c r="H7990" s="6" t="s">
        <v>38</v>
      </c>
      <c r="I7990" s="6" t="s">
        <v>1375</v>
      </c>
      <c r="J7990" s="6" t="s">
        <v>349</v>
      </c>
      <c r="K7990" s="10">
        <v>25.92</v>
      </c>
      <c r="L7990" s="10">
        <v>54</v>
      </c>
      <c r="M7990" s="6" t="s">
        <v>386</v>
      </c>
    </row>
    <row r="7991" spans="1:13">
      <c r="A7991" s="6">
        <v>2026</v>
      </c>
      <c r="B7991" s="6">
        <v>7</v>
      </c>
      <c r="C7991" s="6" t="s">
        <v>65</v>
      </c>
      <c r="D7991" s="6" t="s">
        <v>333</v>
      </c>
      <c r="E7991" s="6" t="s">
        <v>381</v>
      </c>
      <c r="F7991" s="6" t="str">
        <f>IF($M7991="PADD I","PADD 1",IF($M7991="PADD II","PADD 2",IF($M7991="PADD III","PADD 3",IF($M7991="PADD IV","PADD 4",IF($M7991="PADD V","PADD 5","")))))</f>
        <v>PADD 3</v>
      </c>
      <c r="G7991" s="6">
        <f>IF(AND($H7991="ATMOS DISTILLATION",ISNUMBER(SEARCH("VPS",$I7991))=FALSE,LEFT($I7991,6)&lt;&gt;"VACUUM"),"CDU",IF($H7991="FLUID CAT CRACKING","FCC",IF(OR($H7991="HYDROCRACKING",$H7991="RESID_HYDROCRACKING"),"Hydrocracker",IF($H7991="REFORMING","Reformer",""))))</f>
        <v/>
      </c>
      <c r="H7991" s="6" t="s">
        <v>435</v>
      </c>
      <c r="I7991" s="6" t="s">
        <v>441</v>
      </c>
      <c r="J7991" s="6" t="s">
        <v>349</v>
      </c>
      <c r="K7991" s="10">
        <v>25</v>
      </c>
      <c r="L7991" s="10">
        <v>25</v>
      </c>
      <c r="M7991" s="6" t="s">
        <v>371</v>
      </c>
    </row>
    <row r="7992" spans="1:13">
      <c r="A7992" s="6">
        <v>2026</v>
      </c>
      <c r="B7992" s="6">
        <v>7</v>
      </c>
      <c r="C7992" s="6" t="s">
        <v>65</v>
      </c>
      <c r="D7992" s="6" t="s">
        <v>40</v>
      </c>
      <c r="E7992" s="6" t="s">
        <v>736</v>
      </c>
      <c r="F7992" s="6" t="str">
        <f>IF($M7992="PADD I","PADD 1",IF($M7992="PADD II","PADD 2",IF($M7992="PADD III","PADD 3",IF($M7992="PADD IV","PADD 4",IF($M7992="PADD V","PADD 5","")))))</f>
        <v>PADD 1</v>
      </c>
      <c r="G7992" s="6">
        <f>IF(AND($H7992="ATMOS DISTILLATION",ISNUMBER(SEARCH("VPS",$I7992))=FALSE,LEFT($I7992,6)&lt;&gt;"VACUUM"),"CDU",IF($H7992="FLUID CAT CRACKING","FCC",IF(OR($H7992="HYDROCRACKING",$H7992="RESID_HYDROCRACKING"),"Hydrocracker",IF($H7992="REFORMING","Reformer",""))))</f>
        <v/>
      </c>
      <c r="H7992" s="6" t="s">
        <v>378</v>
      </c>
      <c r="I7992" s="6" t="s">
        <v>963</v>
      </c>
      <c r="J7992" s="6" t="s">
        <v>345</v>
      </c>
      <c r="K7992" s="10">
        <v>24.33</v>
      </c>
      <c r="L7992" s="10">
        <v>24.33</v>
      </c>
      <c r="M7992" s="6" t="s">
        <v>413</v>
      </c>
    </row>
    <row r="7993" spans="1:13">
      <c r="A7993" s="6">
        <v>2026</v>
      </c>
      <c r="B7993" s="6">
        <v>7</v>
      </c>
      <c r="C7993" s="6" t="s">
        <v>65</v>
      </c>
      <c r="D7993" s="6" t="s">
        <v>40</v>
      </c>
      <c r="E7993" s="6" t="s">
        <v>736</v>
      </c>
      <c r="F7993" s="6" t="str">
        <f>IF($M7993="PADD I","PADD 1",IF($M7993="PADD II","PADD 2",IF($M7993="PADD III","PADD 3",IF($M7993="PADD IV","PADD 4",IF($M7993="PADD V","PADD 5","")))))</f>
        <v>PADD 1</v>
      </c>
      <c r="G7993" s="6">
        <f>IF(AND($H7993="ATMOS DISTILLATION",ISNUMBER(SEARCH("VPS",$I7993))=FALSE,LEFT($I7993,6)&lt;&gt;"VACUUM"),"CDU",IF($H7993="FLUID CAT CRACKING","FCC",IF(OR($H7993="HYDROCRACKING",$H7993="RESID_HYDROCRACKING"),"Hydrocracker",IF($H7993="REFORMING","Reformer",""))))</f>
        <v/>
      </c>
      <c r="H7993" s="6" t="s">
        <v>378</v>
      </c>
      <c r="I7993" s="6" t="s">
        <v>1009</v>
      </c>
      <c r="J7993" s="6" t="s">
        <v>345</v>
      </c>
      <c r="K7993" s="10">
        <v>24.33</v>
      </c>
      <c r="L7993" s="10">
        <v>24.33</v>
      </c>
      <c r="M7993" s="6" t="s">
        <v>413</v>
      </c>
    </row>
    <row r="7994" spans="1:13">
      <c r="A7994" s="6">
        <v>2026</v>
      </c>
      <c r="B7994" s="6">
        <v>7</v>
      </c>
      <c r="C7994" s="6" t="s">
        <v>65</v>
      </c>
      <c r="D7994" s="6" t="s">
        <v>40</v>
      </c>
      <c r="E7994" s="6" t="s">
        <v>736</v>
      </c>
      <c r="F7994" s="6" t="str">
        <f>IF($M7994="PADD I","PADD 1",IF($M7994="PADD II","PADD 2",IF($M7994="PADD III","PADD 3",IF($M7994="PADD IV","PADD 4",IF($M7994="PADD V","PADD 5","")))))</f>
        <v>PADD 1</v>
      </c>
      <c r="G7994" s="6">
        <f>IF(AND($H7994="ATMOS DISTILLATION",ISNUMBER(SEARCH("VPS",$I7994))=FALSE,LEFT($I7994,6)&lt;&gt;"VACUUM"),"CDU",IF($H7994="FLUID CAT CRACKING","FCC",IF(OR($H7994="HYDROCRACKING",$H7994="RESID_HYDROCRACKING"),"Hydrocracker",IF($H7994="REFORMING","Reformer",""))))</f>
        <v/>
      </c>
      <c r="H7994" s="6" t="s">
        <v>378</v>
      </c>
      <c r="I7994" s="6" t="s">
        <v>1010</v>
      </c>
      <c r="J7994" s="6" t="s">
        <v>345</v>
      </c>
      <c r="K7994" s="10">
        <v>24.33</v>
      </c>
      <c r="L7994" s="10">
        <v>24.33</v>
      </c>
      <c r="M7994" s="6" t="s">
        <v>413</v>
      </c>
    </row>
    <row r="7995" spans="1:13">
      <c r="A7995" s="6">
        <v>2026</v>
      </c>
      <c r="B7995" s="6">
        <v>7</v>
      </c>
      <c r="C7995" s="6" t="s">
        <v>65</v>
      </c>
      <c r="D7995" s="6" t="s">
        <v>40</v>
      </c>
      <c r="E7995" s="6" t="s">
        <v>736</v>
      </c>
      <c r="F7995" s="6" t="str">
        <f>IF($M7995="PADD I","PADD 1",IF($M7995="PADD II","PADD 2",IF($M7995="PADD III","PADD 3",IF($M7995="PADD IV","PADD 4",IF($M7995="PADD V","PADD 5","")))))</f>
        <v>PADD 1</v>
      </c>
      <c r="G7995" s="6" t="str">
        <f>IF(AND($H7995="ATMOS DISTILLATION",ISNUMBER(SEARCH("VPS",$I7995))=FALSE,LEFT($I7995,6)&lt;&gt;"VACUUM"),"CDU",IF($H7995="FLUID CAT CRACKING","FCC",IF(OR($H7995="HYDROCRACKING",$H7995="RESID_HYDROCRACKING"),"Hydrocracker",IF($H7995="REFORMING","Reformer",""))))</f>
        <v>Hydrocracker</v>
      </c>
      <c r="H7995" s="6" t="s">
        <v>444</v>
      </c>
      <c r="I7995" s="6" t="s">
        <v>445</v>
      </c>
      <c r="J7995" s="6" t="s">
        <v>345</v>
      </c>
      <c r="K7995" s="10">
        <v>24</v>
      </c>
      <c r="L7995" s="10">
        <v>24</v>
      </c>
      <c r="M7995" s="6" t="s">
        <v>413</v>
      </c>
    </row>
    <row r="7996" spans="1:13">
      <c r="A7996" s="6">
        <v>2026</v>
      </c>
      <c r="B7996" s="6">
        <v>7</v>
      </c>
      <c r="C7996" s="6" t="s">
        <v>65</v>
      </c>
      <c r="D7996" s="6" t="s">
        <v>772</v>
      </c>
      <c r="E7996" s="6" t="s">
        <v>405</v>
      </c>
      <c r="F7996" s="6" t="str">
        <f>IF($M7996="PADD I","PADD 1",IF($M7996="PADD II","PADD 2",IF($M7996="PADD III","PADD 3",IF($M7996="PADD IV","PADD 4",IF($M7996="PADD V","PADD 5","")))))</f>
        <v>PADD 3</v>
      </c>
      <c r="G7996" s="6" t="str">
        <f>IF(AND($H7996="ATMOS DISTILLATION",ISNUMBER(SEARCH("VPS",$I7996))=FALSE,LEFT($I7996,6)&lt;&gt;"VACUUM"),"CDU",IF($H7996="FLUID CAT CRACKING","FCC",IF(OR($H7996="HYDROCRACKING",$H7996="RESID_HYDROCRACKING"),"Hydrocracker",IF($H7996="REFORMING","Reformer",""))))</f>
        <v>CDU</v>
      </c>
      <c r="H7996" s="6" t="s">
        <v>38</v>
      </c>
      <c r="I7996" s="6" t="s">
        <v>1097</v>
      </c>
      <c r="J7996" s="6" t="s">
        <v>349</v>
      </c>
      <c r="K7996" s="10">
        <v>22.692</v>
      </c>
      <c r="L7996" s="10">
        <v>37.2</v>
      </c>
      <c r="M7996" s="6" t="s">
        <v>371</v>
      </c>
    </row>
    <row r="7997" spans="1:13">
      <c r="A7997" s="6">
        <v>2026</v>
      </c>
      <c r="B7997" s="6">
        <v>7</v>
      </c>
      <c r="C7997" s="6" t="s">
        <v>65</v>
      </c>
      <c r="D7997" s="6" t="s">
        <v>44</v>
      </c>
      <c r="E7997" s="6" t="s">
        <v>1339</v>
      </c>
      <c r="F7997" s="6" t="str">
        <f>IF($M7997="PADD I","PADD 1",IF($M7997="PADD II","PADD 2",IF($M7997="PADD III","PADD 3",IF($M7997="PADD IV","PADD 4",IF($M7997="PADD V","PADD 5","")))))</f>
        <v>PADD 5</v>
      </c>
      <c r="G7997" s="6">
        <f>IF(AND($H7997="ATMOS DISTILLATION",ISNUMBER(SEARCH("VPS",$I7997))=FALSE,LEFT($I7997,6)&lt;&gt;"VACUUM"),"CDU",IF($H7997="FLUID CAT CRACKING","FCC",IF(OR($H7997="HYDROCRACKING",$H7997="RESID_HYDROCRACKING"),"Hydrocracker",IF($H7997="REFORMING","Reformer",""))))</f>
        <v/>
      </c>
      <c r="H7997" s="6" t="s">
        <v>378</v>
      </c>
      <c r="I7997" s="6" t="s">
        <v>1340</v>
      </c>
      <c r="J7997" s="6" t="s">
        <v>349</v>
      </c>
      <c r="K7997" s="10">
        <v>19.2</v>
      </c>
      <c r="L7997" s="10">
        <v>40</v>
      </c>
      <c r="M7997" s="6" t="s">
        <v>386</v>
      </c>
    </row>
    <row r="7998" spans="1:13">
      <c r="A7998" s="6">
        <v>2026</v>
      </c>
      <c r="B7998" s="6">
        <v>7</v>
      </c>
      <c r="C7998" s="6" t="s">
        <v>65</v>
      </c>
      <c r="D7998" s="6" t="s">
        <v>526</v>
      </c>
      <c r="E7998" s="6" t="s">
        <v>405</v>
      </c>
      <c r="F7998" s="6" t="str">
        <f>IF($M7998="PADD I","PADD 1",IF($M7998="PADD II","PADD 2",IF($M7998="PADD III","PADD 3",IF($M7998="PADD IV","PADD 4",IF($M7998="PADD V","PADD 5","")))))</f>
        <v>PADD 3</v>
      </c>
      <c r="G7998" s="6">
        <f>IF(AND($H7998="ATMOS DISTILLATION",ISNUMBER(SEARCH("VPS",$I7998))=FALSE,LEFT($I7998,6)&lt;&gt;"VACUUM"),"CDU",IF($H7998="FLUID CAT CRACKING","FCC",IF(OR($H7998="HYDROCRACKING",$H7998="RESID_HYDROCRACKING"),"Hydrocracker",IF($H7998="REFORMING","Reformer",""))))</f>
        <v/>
      </c>
      <c r="H7998" s="6" t="s">
        <v>43</v>
      </c>
      <c r="I7998" s="6" t="s">
        <v>1226</v>
      </c>
      <c r="J7998" s="6" t="s">
        <v>345</v>
      </c>
      <c r="K7998" s="10">
        <v>18.5</v>
      </c>
      <c r="L7998" s="10">
        <v>18.5</v>
      </c>
      <c r="M7998" s="6" t="s">
        <v>371</v>
      </c>
    </row>
    <row r="7999" spans="1:13">
      <c r="A7999" s="6">
        <v>2026</v>
      </c>
      <c r="B7999" s="6">
        <v>7</v>
      </c>
      <c r="C7999" s="6" t="s">
        <v>65</v>
      </c>
      <c r="D7999" s="6" t="s">
        <v>772</v>
      </c>
      <c r="E7999" s="6" t="s">
        <v>405</v>
      </c>
      <c r="F7999" s="6" t="str">
        <f>IF($M7999="PADD I","PADD 1",IF($M7999="PADD II","PADD 2",IF($M7999="PADD III","PADD 3",IF($M7999="PADD IV","PADD 4",IF($M7999="PADD V","PADD 5","")))))</f>
        <v>PADD 3</v>
      </c>
      <c r="G7999" s="6">
        <f>IF(AND($H7999="ATMOS DISTILLATION",ISNUMBER(SEARCH("VPS",$I7999))=FALSE,LEFT($I7999,6)&lt;&gt;"VACUUM"),"CDU",IF($H7999="FLUID CAT CRACKING","FCC",IF(OR($H7999="HYDROCRACKING",$H7999="RESID_HYDROCRACKING"),"Hydrocracker",IF($H7999="REFORMING","Reformer",""))))</f>
        <v/>
      </c>
      <c r="H7999" s="6" t="s">
        <v>378</v>
      </c>
      <c r="I7999" s="6" t="s">
        <v>431</v>
      </c>
      <c r="J7999" s="6" t="s">
        <v>349</v>
      </c>
      <c r="K7999" s="10">
        <v>18.3</v>
      </c>
      <c r="L7999" s="10">
        <v>30</v>
      </c>
      <c r="M7999" s="6" t="s">
        <v>371</v>
      </c>
    </row>
    <row r="8000" spans="1:13">
      <c r="A8000" s="6">
        <v>2026</v>
      </c>
      <c r="B8000" s="6">
        <v>7</v>
      </c>
      <c r="C8000" s="6" t="s">
        <v>65</v>
      </c>
      <c r="D8000" s="6" t="s">
        <v>329</v>
      </c>
      <c r="E8000" s="6" t="s">
        <v>427</v>
      </c>
      <c r="F8000" s="6" t="str">
        <f>IF($M8000="PADD I","PADD 1",IF($M8000="PADD II","PADD 2",IF($M8000="PADD III","PADD 3",IF($M8000="PADD IV","PADD 4",IF($M8000="PADD V","PADD 5","")))))</f>
        <v>PADD 3</v>
      </c>
      <c r="G8000" s="6" t="str">
        <f>IF(AND($H8000="ATMOS DISTILLATION",ISNUMBER(SEARCH("VPS",$I8000))=FALSE,LEFT($I8000,6)&lt;&gt;"VACUUM"),"CDU",IF($H8000="FLUID CAT CRACKING","FCC",IF(OR($H8000="HYDROCRACKING",$H8000="RESID_HYDROCRACKING"),"Hydrocracker",IF($H8000="REFORMING","Reformer",""))))</f>
        <v>Reformer</v>
      </c>
      <c r="H8000" s="6" t="s">
        <v>421</v>
      </c>
      <c r="I8000" s="6" t="s">
        <v>1162</v>
      </c>
      <c r="J8000" s="6" t="s">
        <v>345</v>
      </c>
      <c r="K8000" s="10">
        <v>17.5</v>
      </c>
      <c r="L8000" s="10">
        <v>17.5</v>
      </c>
      <c r="M8000" s="6" t="s">
        <v>371</v>
      </c>
    </row>
    <row r="8001" spans="1:13">
      <c r="A8001" s="6">
        <v>2026</v>
      </c>
      <c r="B8001" s="6">
        <v>7</v>
      </c>
      <c r="C8001" s="6" t="s">
        <v>65</v>
      </c>
      <c r="D8001" s="6" t="s">
        <v>408</v>
      </c>
      <c r="E8001" s="6" t="s">
        <v>409</v>
      </c>
      <c r="F8001" s="6" t="str">
        <f>IF($M8001="PADD I","PADD 1",IF($M8001="PADD II","PADD 2",IF($M8001="PADD III","PADD 3",IF($M8001="PADD IV","PADD 4",IF($M8001="PADD V","PADD 5","")))))</f>
        <v>PADD 3</v>
      </c>
      <c r="G8001" s="6" t="str">
        <f>IF(AND($H8001="ATMOS DISTILLATION",ISNUMBER(SEARCH("VPS",$I8001))=FALSE,LEFT($I8001,6)&lt;&gt;"VACUUM"),"CDU",IF($H8001="FLUID CAT CRACKING","FCC",IF(OR($H8001="HYDROCRACKING",$H8001="RESID_HYDROCRACKING"),"Hydrocracker",IF($H8001="REFORMING","Reformer",""))))</f>
        <v>CDU</v>
      </c>
      <c r="H8001" s="6" t="s">
        <v>38</v>
      </c>
      <c r="I8001" s="6" t="s">
        <v>410</v>
      </c>
      <c r="J8001" s="6" t="s">
        <v>345</v>
      </c>
      <c r="K8001" s="10">
        <v>15.2</v>
      </c>
      <c r="L8001" s="10">
        <v>80</v>
      </c>
      <c r="M8001" s="6" t="s">
        <v>371</v>
      </c>
    </row>
    <row r="8002" spans="1:13">
      <c r="A8002" s="6">
        <v>2026</v>
      </c>
      <c r="B8002" s="6">
        <v>7</v>
      </c>
      <c r="C8002" s="6" t="s">
        <v>65</v>
      </c>
      <c r="D8002" s="6" t="s">
        <v>40</v>
      </c>
      <c r="E8002" s="6" t="s">
        <v>736</v>
      </c>
      <c r="F8002" s="6" t="str">
        <f>IF($M8002="PADD I","PADD 1",IF($M8002="PADD II","PADD 2",IF($M8002="PADD III","PADD 3",IF($M8002="PADD IV","PADD 4",IF($M8002="PADD V","PADD 5","")))))</f>
        <v>PADD 1</v>
      </c>
      <c r="G8002" s="6">
        <f>IF(AND($H8002="ATMOS DISTILLATION",ISNUMBER(SEARCH("VPS",$I8002))=FALSE,LEFT($I8002,6)&lt;&gt;"VACUUM"),"CDU",IF($H8002="FLUID CAT CRACKING","FCC",IF(OR($H8002="HYDROCRACKING",$H8002="RESID_HYDROCRACKING"),"Hydrocracker",IF($H8002="REFORMING","Reformer",""))))</f>
        <v/>
      </c>
      <c r="H8002" s="6" t="s">
        <v>637</v>
      </c>
      <c r="I8002" s="6" t="s">
        <v>1019</v>
      </c>
      <c r="J8002" s="6" t="s">
        <v>345</v>
      </c>
      <c r="K8002" s="10">
        <v>14</v>
      </c>
      <c r="L8002" s="10">
        <v>14</v>
      </c>
      <c r="M8002" s="6" t="s">
        <v>413</v>
      </c>
    </row>
    <row r="8003" spans="1:13">
      <c r="A8003" s="6">
        <v>2026</v>
      </c>
      <c r="B8003" s="6">
        <v>7</v>
      </c>
      <c r="C8003" s="6" t="s">
        <v>65</v>
      </c>
      <c r="D8003" s="6" t="s">
        <v>48</v>
      </c>
      <c r="E8003" s="6" t="s">
        <v>388</v>
      </c>
      <c r="F8003" s="6" t="str">
        <f>IF($M8003="PADD I","PADD 1",IF($M8003="PADD II","PADD 2",IF($M8003="PADD III","PADD 3",IF($M8003="PADD IV","PADD 4",IF($M8003="PADD V","PADD 5","")))))</f>
        <v>PADD 2</v>
      </c>
      <c r="G8003" s="6" t="str">
        <f>IF(AND($H8003="ATMOS DISTILLATION",ISNUMBER(SEARCH("VPS",$I8003))=FALSE,LEFT($I8003,6)&lt;&gt;"VACUUM"),"CDU",IF($H8003="FLUID CAT CRACKING","FCC",IF(OR($H8003="HYDROCRACKING",$H8003="RESID_HYDROCRACKING"),"Hydrocracker",IF($H8003="REFORMING","Reformer",""))))</f>
        <v>Reformer</v>
      </c>
      <c r="H8003" s="6" t="s">
        <v>421</v>
      </c>
      <c r="I8003" s="6" t="s">
        <v>721</v>
      </c>
      <c r="J8003" s="6" t="s">
        <v>345</v>
      </c>
      <c r="K8003" s="10">
        <v>13.76</v>
      </c>
      <c r="L8003" s="10">
        <v>43</v>
      </c>
      <c r="M8003" s="6" t="s">
        <v>375</v>
      </c>
    </row>
    <row r="8004" spans="1:13">
      <c r="A8004" s="6">
        <v>2026</v>
      </c>
      <c r="B8004" s="6">
        <v>7</v>
      </c>
      <c r="C8004" s="6" t="s">
        <v>65</v>
      </c>
      <c r="D8004" s="6" t="s">
        <v>484</v>
      </c>
      <c r="E8004" s="6" t="s">
        <v>409</v>
      </c>
      <c r="F8004" s="6" t="str">
        <f>IF($M8004="PADD I","PADD 1",IF($M8004="PADD II","PADD 2",IF($M8004="PADD III","PADD 3",IF($M8004="PADD IV","PADD 4",IF($M8004="PADD V","PADD 5","")))))</f>
        <v>PADD 3</v>
      </c>
      <c r="G8004" s="6">
        <f>IF(AND($H8004="ATMOS DISTILLATION",ISNUMBER(SEARCH("VPS",$I8004))=FALSE,LEFT($I8004,6)&lt;&gt;"VACUUM"),"CDU",IF($H8004="FLUID CAT CRACKING","FCC",IF(OR($H8004="HYDROCRACKING",$H8004="RESID_HYDROCRACKING"),"Hydrocracker",IF($H8004="REFORMING","Reformer",""))))</f>
        <v/>
      </c>
      <c r="H8004" s="6" t="s">
        <v>43</v>
      </c>
      <c r="I8004" s="6" t="s">
        <v>485</v>
      </c>
      <c r="J8004" s="6" t="s">
        <v>345</v>
      </c>
      <c r="K8004" s="10">
        <v>12.54</v>
      </c>
      <c r="L8004" s="10">
        <v>66</v>
      </c>
      <c r="M8004" s="6" t="s">
        <v>371</v>
      </c>
    </row>
    <row r="8005" spans="1:13">
      <c r="A8005" s="6">
        <v>2026</v>
      </c>
      <c r="B8005" s="6">
        <v>7</v>
      </c>
      <c r="C8005" s="6" t="s">
        <v>65</v>
      </c>
      <c r="D8005" s="6" t="s">
        <v>40</v>
      </c>
      <c r="E8005" s="6" t="s">
        <v>736</v>
      </c>
      <c r="F8005" s="6" t="str">
        <f>IF($M8005="PADD I","PADD 1",IF($M8005="PADD II","PADD 2",IF($M8005="PADD III","PADD 3",IF($M8005="PADD IV","PADD 4",IF($M8005="PADD V","PADD 5","")))))</f>
        <v>PADD 1</v>
      </c>
      <c r="G8005" s="6">
        <f>IF(AND($H8005="ATMOS DISTILLATION",ISNUMBER(SEARCH("VPS",$I8005))=FALSE,LEFT($I8005,6)&lt;&gt;"VACUUM"),"CDU",IF($H8005="FLUID CAT CRACKING","FCC",IF(OR($H8005="HYDROCRACKING",$H8005="RESID_HYDROCRACKING"),"Hydrocracker",IF($H8005="REFORMING","Reformer",""))))</f>
        <v/>
      </c>
      <c r="H8005" s="6" t="s">
        <v>460</v>
      </c>
      <c r="I8005" s="6" t="s">
        <v>760</v>
      </c>
      <c r="J8005" s="6" t="s">
        <v>345</v>
      </c>
      <c r="K8005" s="10">
        <v>12</v>
      </c>
      <c r="L8005" s="10">
        <v>12</v>
      </c>
      <c r="M8005" s="6" t="s">
        <v>413</v>
      </c>
    </row>
    <row r="8006" spans="1:13">
      <c r="A8006" s="6">
        <v>2026</v>
      </c>
      <c r="B8006" s="6">
        <v>7</v>
      </c>
      <c r="C8006" s="6" t="s">
        <v>65</v>
      </c>
      <c r="D8006" s="6" t="s">
        <v>40</v>
      </c>
      <c r="E8006" s="6" t="s">
        <v>736</v>
      </c>
      <c r="F8006" s="6" t="str">
        <f>IF($M8006="PADD I","PADD 1",IF($M8006="PADD II","PADD 2",IF($M8006="PADD III","PADD 3",IF($M8006="PADD IV","PADD 4",IF($M8006="PADD V","PADD 5","")))))</f>
        <v>PADD 1</v>
      </c>
      <c r="G8006" s="6">
        <f>IF(AND($H8006="ATMOS DISTILLATION",ISNUMBER(SEARCH("VPS",$I8006))=FALSE,LEFT($I8006,6)&lt;&gt;"VACUUM"),"CDU",IF($H8006="FLUID CAT CRACKING","FCC",IF(OR($H8006="HYDROCRACKING",$H8006="RESID_HYDROCRACKING"),"Hydrocracker",IF($H8006="REFORMING","Reformer",""))))</f>
        <v/>
      </c>
      <c r="H8006" s="6" t="s">
        <v>43</v>
      </c>
      <c r="I8006" s="6" t="s">
        <v>1021</v>
      </c>
      <c r="J8006" s="6" t="s">
        <v>345</v>
      </c>
      <c r="K8006" s="10">
        <v>11.5</v>
      </c>
      <c r="L8006" s="10">
        <v>11.5</v>
      </c>
      <c r="M8006" s="6" t="s">
        <v>413</v>
      </c>
    </row>
    <row r="8007" spans="1:13">
      <c r="A8007" s="6">
        <v>2026</v>
      </c>
      <c r="B8007" s="6">
        <v>7</v>
      </c>
      <c r="C8007" s="6" t="s">
        <v>65</v>
      </c>
      <c r="D8007" s="6" t="s">
        <v>408</v>
      </c>
      <c r="E8007" s="6" t="s">
        <v>409</v>
      </c>
      <c r="F8007" s="6" t="str">
        <f>IF($M8007="PADD I","PADD 1",IF($M8007="PADD II","PADD 2",IF($M8007="PADD III","PADD 3",IF($M8007="PADD IV","PADD 4",IF($M8007="PADD V","PADD 5","")))))</f>
        <v>PADD 3</v>
      </c>
      <c r="G8007" s="6">
        <f>IF(AND($H8007="ATMOS DISTILLATION",ISNUMBER(SEARCH("VPS",$I8007))=FALSE,LEFT($I8007,6)&lt;&gt;"VACUUM"),"CDU",IF($H8007="FLUID CAT CRACKING","FCC",IF(OR($H8007="HYDROCRACKING",$H8007="RESID_HYDROCRACKING"),"Hydrocracker",IF($H8007="REFORMING","Reformer",""))))</f>
        <v/>
      </c>
      <c r="H8007" s="6" t="s">
        <v>378</v>
      </c>
      <c r="I8007" s="6" t="s">
        <v>506</v>
      </c>
      <c r="J8007" s="6" t="s">
        <v>345</v>
      </c>
      <c r="K8007" s="10">
        <v>9.880000000000001</v>
      </c>
      <c r="L8007" s="10">
        <v>52</v>
      </c>
      <c r="M8007" s="6" t="s">
        <v>371</v>
      </c>
    </row>
    <row r="8008" spans="1:13">
      <c r="A8008" s="6">
        <v>2026</v>
      </c>
      <c r="B8008" s="6">
        <v>7</v>
      </c>
      <c r="C8008" s="6" t="s">
        <v>65</v>
      </c>
      <c r="D8008" s="6" t="s">
        <v>372</v>
      </c>
      <c r="E8008" s="6" t="s">
        <v>373</v>
      </c>
      <c r="F8008" s="6" t="str">
        <f>IF($M8008="PADD I","PADD 1",IF($M8008="PADD II","PADD 2",IF($M8008="PADD III","PADD 3",IF($M8008="PADD IV","PADD 4",IF($M8008="PADD V","PADD 5","")))))</f>
        <v>PADD 2</v>
      </c>
      <c r="G8008" s="6">
        <f>IF(AND($H8008="ATMOS DISTILLATION",ISNUMBER(SEARCH("VPS",$I8008))=FALSE,LEFT($I8008,6)&lt;&gt;"VACUUM"),"CDU",IF($H8008="FLUID CAT CRACKING","FCC",IF(OR($H8008="HYDROCRACKING",$H8008="RESID_HYDROCRACKING"),"Hydrocracker",IF($H8008="REFORMING","Reformer",""))))</f>
        <v/>
      </c>
      <c r="H8008" s="6" t="s">
        <v>43</v>
      </c>
      <c r="I8008" s="6" t="s">
        <v>479</v>
      </c>
      <c r="J8008" s="6" t="s">
        <v>349</v>
      </c>
      <c r="K8008" s="10">
        <v>8</v>
      </c>
      <c r="L8008" s="10">
        <v>25</v>
      </c>
      <c r="M8008" s="6" t="s">
        <v>375</v>
      </c>
    </row>
    <row r="8009" spans="1:13">
      <c r="A8009" s="6">
        <v>2026</v>
      </c>
      <c r="B8009" s="6">
        <v>7</v>
      </c>
      <c r="C8009" s="6" t="s">
        <v>65</v>
      </c>
      <c r="D8009" s="6" t="s">
        <v>44</v>
      </c>
      <c r="E8009" s="6" t="s">
        <v>1339</v>
      </c>
      <c r="F8009" s="6" t="str">
        <f>IF($M8009="PADD I","PADD 1",IF($M8009="PADD II","PADD 2",IF($M8009="PADD III","PADD 3",IF($M8009="PADD IV","PADD 4",IF($M8009="PADD V","PADD 5","")))))</f>
        <v>PADD 5</v>
      </c>
      <c r="G8009" s="6" t="str">
        <f>IF(AND($H8009="ATMOS DISTILLATION",ISNUMBER(SEARCH("VPS",$I8009))=FALSE,LEFT($I8009,6)&lt;&gt;"VACUUM"),"CDU",IF($H8009="FLUID CAT CRACKING","FCC",IF(OR($H8009="HYDROCRACKING",$H8009="RESID_HYDROCRACKING"),"Hydrocracker",IF($H8009="REFORMING","Reformer",""))))</f>
        <v>Hydrocracker</v>
      </c>
      <c r="H8009" s="6" t="s">
        <v>444</v>
      </c>
      <c r="I8009" s="6" t="s">
        <v>1376</v>
      </c>
      <c r="J8009" s="6" t="s">
        <v>349</v>
      </c>
      <c r="K8009" s="10">
        <v>6.24</v>
      </c>
      <c r="L8009" s="10">
        <v>13</v>
      </c>
      <c r="M8009" s="6" t="s">
        <v>386</v>
      </c>
    </row>
    <row r="8010" spans="1:13">
      <c r="A8010" s="6">
        <v>2026</v>
      </c>
      <c r="B8010" s="6">
        <v>7</v>
      </c>
      <c r="C8010" s="6" t="s">
        <v>65</v>
      </c>
      <c r="D8010" s="6" t="s">
        <v>44</v>
      </c>
      <c r="E8010" s="6" t="s">
        <v>1339</v>
      </c>
      <c r="F8010" s="6" t="str">
        <f>IF($M8010="PADD I","PADD 1",IF($M8010="PADD II","PADD 2",IF($M8010="PADD III","PADD 3",IF($M8010="PADD IV","PADD 4",IF($M8010="PADD V","PADD 5","")))))</f>
        <v>PADD 5</v>
      </c>
      <c r="G8010" s="6" t="str">
        <f>IF(AND($H8010="ATMOS DISTILLATION",ISNUMBER(SEARCH("VPS",$I8010))=FALSE,LEFT($I8010,6)&lt;&gt;"VACUUM"),"CDU",IF($H8010="FLUID CAT CRACKING","FCC",IF(OR($H8010="HYDROCRACKING",$H8010="RESID_HYDROCRACKING"),"Hydrocracker",IF($H8010="REFORMING","Reformer",""))))</f>
        <v>Reformer</v>
      </c>
      <c r="H8010" s="6" t="s">
        <v>421</v>
      </c>
      <c r="I8010" s="6" t="s">
        <v>1377</v>
      </c>
      <c r="J8010" s="6" t="s">
        <v>349</v>
      </c>
      <c r="K8010" s="10">
        <v>6.24</v>
      </c>
      <c r="L8010" s="10">
        <v>13</v>
      </c>
      <c r="M8010" s="6" t="s">
        <v>386</v>
      </c>
    </row>
    <row r="8011" spans="1:13">
      <c r="A8011" s="6">
        <v>2026</v>
      </c>
      <c r="B8011" s="6">
        <v>7</v>
      </c>
      <c r="C8011" s="6" t="s">
        <v>65</v>
      </c>
      <c r="D8011" s="6" t="s">
        <v>44</v>
      </c>
      <c r="E8011" s="6" t="s">
        <v>1339</v>
      </c>
      <c r="F8011" s="6" t="str">
        <f>IF($M8011="PADD I","PADD 1",IF($M8011="PADD II","PADD 2",IF($M8011="PADD III","PADD 3",IF($M8011="PADD IV","PADD 4",IF($M8011="PADD V","PADD 5","")))))</f>
        <v>PADD 5</v>
      </c>
      <c r="G8011" s="6" t="str">
        <f>IF(AND($H8011="ATMOS DISTILLATION",ISNUMBER(SEARCH("VPS",$I8011))=FALSE,LEFT($I8011,6)&lt;&gt;"VACUUM"),"CDU",IF($H8011="FLUID CAT CRACKING","FCC",IF(OR($H8011="HYDROCRACKING",$H8011="RESID_HYDROCRACKING"),"Hydrocracker",IF($H8011="REFORMING","Reformer",""))))</f>
        <v>CDU</v>
      </c>
      <c r="H8011" s="6" t="s">
        <v>38</v>
      </c>
      <c r="I8011" s="6" t="s">
        <v>1378</v>
      </c>
      <c r="J8011" s="6" t="s">
        <v>349</v>
      </c>
      <c r="K8011" s="10">
        <v>5.28</v>
      </c>
      <c r="L8011" s="10">
        <v>11</v>
      </c>
      <c r="M8011" s="6" t="s">
        <v>386</v>
      </c>
    </row>
    <row r="8012" spans="1:13">
      <c r="A8012" s="6">
        <v>2026</v>
      </c>
      <c r="B8012" s="6">
        <v>7</v>
      </c>
      <c r="C8012" s="6" t="s">
        <v>65</v>
      </c>
      <c r="D8012" s="6" t="s">
        <v>612</v>
      </c>
      <c r="E8012" s="6" t="s">
        <v>416</v>
      </c>
      <c r="F8012" s="6" t="str">
        <f>IF($M8012="PADD I","PADD 1",IF($M8012="PADD II","PADD 2",IF($M8012="PADD III","PADD 3",IF($M8012="PADD IV","PADD 4",IF($M8012="PADD V","PADD 5","")))))</f>
        <v>PADD 3</v>
      </c>
      <c r="G8012" s="6" t="str">
        <f>IF(AND($H8012="ATMOS DISTILLATION",ISNUMBER(SEARCH("VPS",$I8012))=FALSE,LEFT($I8012,6)&lt;&gt;"VACUUM"),"CDU",IF($H8012="FLUID CAT CRACKING","FCC",IF(OR($H8012="HYDROCRACKING",$H8012="RESID_HYDROCRACKING"),"Hydrocracker",IF($H8012="REFORMING","Reformer",""))))</f>
        <v>CDU</v>
      </c>
      <c r="H8012" s="6" t="s">
        <v>38</v>
      </c>
      <c r="I8012" s="6" t="s">
        <v>81</v>
      </c>
      <c r="J8012" s="6" t="s">
        <v>345</v>
      </c>
      <c r="K8012" s="10">
        <v>4.95</v>
      </c>
      <c r="L8012" s="10">
        <v>165</v>
      </c>
      <c r="M8012" s="6" t="s">
        <v>371</v>
      </c>
    </row>
    <row r="8013" spans="1:13">
      <c r="A8013" s="6">
        <v>2026</v>
      </c>
      <c r="B8013" s="6">
        <v>7</v>
      </c>
      <c r="C8013" s="6" t="s">
        <v>65</v>
      </c>
      <c r="D8013" s="6" t="s">
        <v>40</v>
      </c>
      <c r="E8013" s="6" t="s">
        <v>736</v>
      </c>
      <c r="F8013" s="6" t="str">
        <f>IF($M8013="PADD I","PADD 1",IF($M8013="PADD II","PADD 2",IF($M8013="PADD III","PADD 3",IF($M8013="PADD IV","PADD 4",IF($M8013="PADD V","PADD 5","")))))</f>
        <v>PADD 1</v>
      </c>
      <c r="G8013" s="6">
        <f>IF(AND($H8013="ATMOS DISTILLATION",ISNUMBER(SEARCH("VPS",$I8013))=FALSE,LEFT($I8013,6)&lt;&gt;"VACUUM"),"CDU",IF($H8013="FLUID CAT CRACKING","FCC",IF(OR($H8013="HYDROCRACKING",$H8013="RESID_HYDROCRACKING"),"Hydrocracker",IF($H8013="REFORMING","Reformer",""))))</f>
        <v/>
      </c>
      <c r="H8013" s="6" t="s">
        <v>43</v>
      </c>
      <c r="I8013" s="6" t="s">
        <v>1029</v>
      </c>
      <c r="J8013" s="6" t="s">
        <v>345</v>
      </c>
      <c r="K8013" s="10">
        <v>4.2</v>
      </c>
      <c r="L8013" s="10">
        <v>4.2</v>
      </c>
      <c r="M8013" s="6" t="s">
        <v>413</v>
      </c>
    </row>
    <row r="8014" spans="1:13">
      <c r="A8014" s="6">
        <v>2026</v>
      </c>
      <c r="B8014" s="6">
        <v>7</v>
      </c>
      <c r="C8014" s="6" t="s">
        <v>65</v>
      </c>
      <c r="D8014" s="6" t="s">
        <v>742</v>
      </c>
      <c r="E8014" s="6" t="s">
        <v>388</v>
      </c>
      <c r="F8014" s="6" t="str">
        <f>IF($M8014="PADD I","PADD 1",IF($M8014="PADD II","PADD 2",IF($M8014="PADD III","PADD 3",IF($M8014="PADD IV","PADD 4",IF($M8014="PADD V","PADD 5","")))))</f>
        <v>PADD 5</v>
      </c>
      <c r="G8014" s="6">
        <f>IF(AND($H8014="ATMOS DISTILLATION",ISNUMBER(SEARCH("VPS",$I8014))=FALSE,LEFT($I8014,6)&lt;&gt;"VACUUM"),"CDU",IF($H8014="FLUID CAT CRACKING","FCC",IF(OR($H8014="HYDROCRACKING",$H8014="RESID_HYDROCRACKING"),"Hydrocracker",IF($H8014="REFORMING","Reformer",""))))</f>
        <v/>
      </c>
      <c r="H8014" s="6" t="s">
        <v>568</v>
      </c>
      <c r="I8014" s="6" t="s">
        <v>768</v>
      </c>
      <c r="J8014" s="6" t="s">
        <v>349</v>
      </c>
      <c r="K8014" s="10">
        <v>3.5</v>
      </c>
      <c r="L8014" s="10">
        <v>3.5</v>
      </c>
      <c r="M8014" s="6" t="s">
        <v>386</v>
      </c>
    </row>
    <row r="8015" spans="1:13">
      <c r="A8015" s="6">
        <v>2026</v>
      </c>
      <c r="B8015" s="6">
        <v>7</v>
      </c>
      <c r="C8015" s="6" t="s">
        <v>65</v>
      </c>
      <c r="D8015" s="6" t="s">
        <v>748</v>
      </c>
      <c r="E8015" s="6" t="s">
        <v>388</v>
      </c>
      <c r="F8015" s="6" t="str">
        <f>IF($M8015="PADD I","PADD 1",IF($M8015="PADD II","PADD 2",IF($M8015="PADD III","PADD 3",IF($M8015="PADD IV","PADD 4",IF($M8015="PADD V","PADD 5","")))))</f>
        <v>PADD 3</v>
      </c>
      <c r="G8015" s="6" t="str">
        <f>IF(AND($H8015="ATMOS DISTILLATION",ISNUMBER(SEARCH("VPS",$I8015))=FALSE,LEFT($I8015,6)&lt;&gt;"VACUUM"),"CDU",IF($H8015="FLUID CAT CRACKING","FCC",IF(OR($H8015="HYDROCRACKING",$H8015="RESID_HYDROCRACKING"),"Hydrocracker",IF($H8015="REFORMING","Reformer",""))))</f>
        <v>CDU</v>
      </c>
      <c r="H8015" s="6" t="s">
        <v>38</v>
      </c>
      <c r="I8015" s="6" t="s">
        <v>749</v>
      </c>
      <c r="J8015" s="6" t="s">
        <v>345</v>
      </c>
      <c r="K8015" s="10">
        <v>3.36</v>
      </c>
      <c r="L8015" s="10">
        <v>56</v>
      </c>
      <c r="M8015" s="6" t="s">
        <v>371</v>
      </c>
    </row>
    <row r="8016" spans="1:13">
      <c r="A8016" s="6">
        <v>2026</v>
      </c>
      <c r="B8016" s="6">
        <v>7</v>
      </c>
      <c r="C8016" s="6" t="s">
        <v>65</v>
      </c>
      <c r="D8016" s="6" t="s">
        <v>42</v>
      </c>
      <c r="E8016" s="6" t="s">
        <v>405</v>
      </c>
      <c r="F8016" s="6" t="str">
        <f>IF($M8016="PADD I","PADD 1",IF($M8016="PADD II","PADD 2",IF($M8016="PADD III","PADD 3",IF($M8016="PADD IV","PADD 4",IF($M8016="PADD V","PADD 5","")))))</f>
        <v>PADD 3</v>
      </c>
      <c r="G8016" s="6">
        <f>IF(AND($H8016="ATMOS DISTILLATION",ISNUMBER(SEARCH("VPS",$I8016))=FALSE,LEFT($I8016,6)&lt;&gt;"VACUUM"),"CDU",IF($H8016="FLUID CAT CRACKING","FCC",IF(OR($H8016="HYDROCRACKING",$H8016="RESID_HYDROCRACKING"),"Hydrocracker",IF($H8016="REFORMING","Reformer",""))))</f>
        <v/>
      </c>
      <c r="H8016" s="6" t="s">
        <v>43</v>
      </c>
      <c r="I8016" s="6" t="s">
        <v>1088</v>
      </c>
      <c r="J8016" s="6" t="s">
        <v>345</v>
      </c>
      <c r="K8016" s="10">
        <v>3.3</v>
      </c>
      <c r="L8016" s="10">
        <v>110</v>
      </c>
      <c r="M8016" s="6" t="s">
        <v>371</v>
      </c>
    </row>
    <row r="8017" spans="1:13">
      <c r="A8017" s="6">
        <v>2026</v>
      </c>
      <c r="B8017" s="6">
        <v>7</v>
      </c>
      <c r="C8017" s="6" t="s">
        <v>65</v>
      </c>
      <c r="D8017" s="6" t="s">
        <v>484</v>
      </c>
      <c r="E8017" s="6" t="s">
        <v>409</v>
      </c>
      <c r="F8017" s="6" t="str">
        <f>IF($M8017="PADD I","PADD 1",IF($M8017="PADD II","PADD 2",IF($M8017="PADD III","PADD 3",IF($M8017="PADD IV","PADD 4",IF($M8017="PADD V","PADD 5","")))))</f>
        <v>PADD 3</v>
      </c>
      <c r="G8017" s="6">
        <f>IF(AND($H8017="ATMOS DISTILLATION",ISNUMBER(SEARCH("VPS",$I8017))=FALSE,LEFT($I8017,6)&lt;&gt;"VACUUM"),"CDU",IF($H8017="FLUID CAT CRACKING","FCC",IF(OR($H8017="HYDROCRACKING",$H8017="RESID_HYDROCRACKING"),"Hydrocracker",IF($H8017="REFORMING","Reformer",""))))</f>
        <v/>
      </c>
      <c r="H8017" s="6" t="s">
        <v>43</v>
      </c>
      <c r="I8017" s="6" t="s">
        <v>493</v>
      </c>
      <c r="J8017" s="6" t="s">
        <v>345</v>
      </c>
      <c r="K8017" s="10">
        <v>1.9</v>
      </c>
      <c r="L8017" s="10">
        <v>10</v>
      </c>
      <c r="M8017" s="6" t="s">
        <v>371</v>
      </c>
    </row>
    <row r="8018" spans="1:13">
      <c r="A8018" s="6">
        <v>2026</v>
      </c>
      <c r="B8018" s="6">
        <v>7</v>
      </c>
      <c r="C8018" s="6" t="s">
        <v>65</v>
      </c>
      <c r="D8018" s="6" t="s">
        <v>335</v>
      </c>
      <c r="E8018" s="6" t="s">
        <v>369</v>
      </c>
      <c r="F8018" s="6" t="str">
        <f>IF($M8018="PADD I","PADD 1",IF($M8018="PADD II","PADD 2",IF($M8018="PADD III","PADD 3",IF($M8018="PADD IV","PADD 4",IF($M8018="PADD V","PADD 5","")))))</f>
        <v>PADD 3</v>
      </c>
      <c r="G8018" s="6" t="str">
        <f>IF(AND($H8018="ATMOS DISTILLATION",ISNUMBER(SEARCH("VPS",$I8018))=FALSE,LEFT($I8018,6)&lt;&gt;"VACUUM"),"CDU",IF($H8018="FLUID CAT CRACKING","FCC",IF(OR($H8018="HYDROCRACKING",$H8018="RESID_HYDROCRACKING"),"Hydrocracker",IF($H8018="REFORMING","Reformer",""))))</f>
        <v>FCC</v>
      </c>
      <c r="H8018" s="6" t="s">
        <v>376</v>
      </c>
      <c r="I8018" s="6" t="s">
        <v>472</v>
      </c>
      <c r="J8018" s="6" t="s">
        <v>345</v>
      </c>
      <c r="K8018" s="10">
        <v>1.8</v>
      </c>
      <c r="L8018" s="10">
        <v>30</v>
      </c>
      <c r="M8018" s="6" t="s">
        <v>371</v>
      </c>
    </row>
    <row r="8019" spans="1:13">
      <c r="A8019" s="6">
        <v>2026</v>
      </c>
      <c r="B8019" s="6">
        <v>7</v>
      </c>
      <c r="C8019" s="6" t="s">
        <v>65</v>
      </c>
      <c r="D8019" s="6" t="s">
        <v>484</v>
      </c>
      <c r="E8019" s="6" t="s">
        <v>409</v>
      </c>
      <c r="F8019" s="6" t="str">
        <f>IF($M8019="PADD I","PADD 1",IF($M8019="PADD II","PADD 2",IF($M8019="PADD III","PADD 3",IF($M8019="PADD IV","PADD 4",IF($M8019="PADD V","PADD 5","")))))</f>
        <v>PADD 3</v>
      </c>
      <c r="G8019" s="6">
        <f>IF(AND($H8019="ATMOS DISTILLATION",ISNUMBER(SEARCH("VPS",$I8019))=FALSE,LEFT($I8019,6)&lt;&gt;"VACUUM"),"CDU",IF($H8019="FLUID CAT CRACKING","FCC",IF(OR($H8019="HYDROCRACKING",$H8019="RESID_HYDROCRACKING"),"Hydrocracker",IF($H8019="REFORMING","Reformer",""))))</f>
        <v/>
      </c>
      <c r="H8019" s="6" t="s">
        <v>43</v>
      </c>
      <c r="I8019" s="6" t="s">
        <v>501</v>
      </c>
      <c r="J8019" s="6" t="s">
        <v>345</v>
      </c>
      <c r="K8019" s="10">
        <v>1.365</v>
      </c>
      <c r="L8019" s="10">
        <v>45.5</v>
      </c>
      <c r="M8019" s="6" t="s">
        <v>371</v>
      </c>
    </row>
    <row r="8020" spans="1:13">
      <c r="A8020" s="6">
        <v>2026</v>
      </c>
      <c r="B8020" s="6">
        <v>7</v>
      </c>
      <c r="C8020" s="6" t="s">
        <v>65</v>
      </c>
      <c r="D8020" s="6" t="s">
        <v>1315</v>
      </c>
      <c r="E8020" s="6" t="s">
        <v>1316</v>
      </c>
      <c r="F8020" s="6" t="str">
        <f>IF($M8020="PADD I","PADD 1",IF($M8020="PADD II","PADD 2",IF($M8020="PADD III","PADD 3",IF($M8020="PADD IV","PADD 4",IF($M8020="PADD V","PADD 5","")))))</f>
        <v>PADD 1</v>
      </c>
      <c r="G8020" s="6" t="str">
        <f>IF(AND($H8020="ATMOS DISTILLATION",ISNUMBER(SEARCH("VPS",$I8020))=FALSE,LEFT($I8020,6)&lt;&gt;"VACUUM"),"CDU",IF($H8020="FLUID CAT CRACKING","FCC",IF(OR($H8020="HYDROCRACKING",$H8020="RESID_HYDROCRACKING"),"Hydrocracker",IF($H8020="REFORMING","Reformer",""))))</f>
        <v>Reformer</v>
      </c>
      <c r="H8020" s="6" t="s">
        <v>421</v>
      </c>
      <c r="I8020" s="6" t="s">
        <v>571</v>
      </c>
      <c r="J8020" s="6" t="s">
        <v>345</v>
      </c>
      <c r="K8020" s="10">
        <v>0.704</v>
      </c>
      <c r="L8020" s="10">
        <v>2.2</v>
      </c>
      <c r="M8020" s="6" t="s">
        <v>413</v>
      </c>
    </row>
    <row r="8021" spans="1:13">
      <c r="A8021" s="6">
        <v>2026</v>
      </c>
      <c r="B8021" s="6">
        <v>8</v>
      </c>
      <c r="C8021" s="6" t="s">
        <v>66</v>
      </c>
      <c r="D8021" s="6" t="s">
        <v>526</v>
      </c>
      <c r="E8021" s="6" t="s">
        <v>405</v>
      </c>
      <c r="F8021" s="6" t="str">
        <f>IF($M8021="PADD I","PADD 1",IF($M8021="PADD II","PADD 2",IF($M8021="PADD III","PADD 3",IF($M8021="PADD IV","PADD 4",IF($M8021="PADD V","PADD 5","")))))</f>
        <v>PADD 3</v>
      </c>
      <c r="G8021" s="6">
        <f>IF(AND($H8021="ATMOS DISTILLATION",ISNUMBER(SEARCH("VPS",$I8021))=FALSE,LEFT($I8021,6)&lt;&gt;"VACUUM"),"CDU",IF($H8021="FLUID CAT CRACKING","FCC",IF(OR($H8021="HYDROCRACKING",$H8021="RESID_HYDROCRACKING"),"Hydrocracker",IF($H8021="REFORMING","Reformer",""))))</f>
        <v/>
      </c>
      <c r="H8021" s="6" t="s">
        <v>43</v>
      </c>
      <c r="I8021" s="6" t="s">
        <v>1076</v>
      </c>
      <c r="J8021" s="6" t="s">
        <v>345</v>
      </c>
      <c r="K8021" s="10">
        <v>47</v>
      </c>
      <c r="L8021" s="10">
        <v>47</v>
      </c>
      <c r="M8021" s="6" t="s">
        <v>371</v>
      </c>
    </row>
    <row r="8022" spans="1:13">
      <c r="A8022" s="6">
        <v>2026</v>
      </c>
      <c r="B8022" s="6">
        <v>8</v>
      </c>
      <c r="C8022" s="6" t="s">
        <v>66</v>
      </c>
      <c r="D8022" s="6" t="s">
        <v>40</v>
      </c>
      <c r="E8022" s="6" t="s">
        <v>736</v>
      </c>
      <c r="F8022" s="6" t="str">
        <f>IF($M8022="PADD I","PADD 1",IF($M8022="PADD II","PADD 2",IF($M8022="PADD III","PADD 3",IF($M8022="PADD IV","PADD 4",IF($M8022="PADD V","PADD 5","")))))</f>
        <v>PADD 1</v>
      </c>
      <c r="G8022" s="6" t="str">
        <f>IF(AND($H8022="ATMOS DISTILLATION",ISNUMBER(SEARCH("VPS",$I8022))=FALSE,LEFT($I8022,6)&lt;&gt;"VACUUM"),"CDU",IF($H8022="FLUID CAT CRACKING","FCC",IF(OR($H8022="HYDROCRACKING",$H8022="RESID_HYDROCRACKING"),"Hydrocracker",IF($H8022="REFORMING","Reformer",""))))</f>
        <v>CDU</v>
      </c>
      <c r="H8022" s="6" t="s">
        <v>38</v>
      </c>
      <c r="I8022" s="6" t="s">
        <v>980</v>
      </c>
      <c r="J8022" s="6" t="s">
        <v>345</v>
      </c>
      <c r="K8022" s="10">
        <v>46.8</v>
      </c>
      <c r="L8022" s="10">
        <v>104</v>
      </c>
      <c r="M8022" s="6" t="s">
        <v>413</v>
      </c>
    </row>
    <row r="8023" spans="1:13">
      <c r="A8023" s="6">
        <v>2026</v>
      </c>
      <c r="B8023" s="6">
        <v>8</v>
      </c>
      <c r="C8023" s="6" t="s">
        <v>66</v>
      </c>
      <c r="D8023" s="6" t="s">
        <v>40</v>
      </c>
      <c r="E8023" s="6" t="s">
        <v>736</v>
      </c>
      <c r="F8023" s="6" t="str">
        <f>IF($M8023="PADD I","PADD 1",IF($M8023="PADD II","PADD 2",IF($M8023="PADD III","PADD 3",IF($M8023="PADD IV","PADD 4",IF($M8023="PADD V","PADD 5","")))))</f>
        <v>PADD 1</v>
      </c>
      <c r="G8023" s="6" t="str">
        <f>IF(AND($H8023="ATMOS DISTILLATION",ISNUMBER(SEARCH("VPS",$I8023))=FALSE,LEFT($I8023,6)&lt;&gt;"VACUUM"),"CDU",IF($H8023="FLUID CAT CRACKING","FCC",IF(OR($H8023="HYDROCRACKING",$H8023="RESID_HYDROCRACKING"),"Hydrocracker",IF($H8023="REFORMING","Reformer",""))))</f>
        <v>CDU</v>
      </c>
      <c r="H8023" s="6" t="s">
        <v>38</v>
      </c>
      <c r="I8023" s="6" t="s">
        <v>989</v>
      </c>
      <c r="J8023" s="6" t="s">
        <v>345</v>
      </c>
      <c r="K8023" s="10">
        <v>46.8</v>
      </c>
      <c r="L8023" s="10">
        <v>104</v>
      </c>
      <c r="M8023" s="6" t="s">
        <v>413</v>
      </c>
    </row>
    <row r="8024" spans="1:13">
      <c r="A8024" s="6">
        <v>2026</v>
      </c>
      <c r="B8024" s="6">
        <v>8</v>
      </c>
      <c r="C8024" s="6" t="s">
        <v>66</v>
      </c>
      <c r="D8024" s="6" t="s">
        <v>455</v>
      </c>
      <c r="E8024" s="6" t="s">
        <v>405</v>
      </c>
      <c r="F8024" s="6" t="str">
        <f>IF($M8024="PADD I","PADD 1",IF($M8024="PADD II","PADD 2",IF($M8024="PADD III","PADD 3",IF($M8024="PADD IV","PADD 4",IF($M8024="PADD V","PADD 5","")))))</f>
        <v>PADD 3</v>
      </c>
      <c r="G8024" s="6" t="str">
        <f>IF(AND($H8024="ATMOS DISTILLATION",ISNUMBER(SEARCH("VPS",$I8024))=FALSE,LEFT($I8024,6)&lt;&gt;"VACUUM"),"CDU",IF($H8024="FLUID CAT CRACKING","FCC",IF(OR($H8024="HYDROCRACKING",$H8024="RESID_HYDROCRACKING"),"Hydrocracker",IF($H8024="REFORMING","Reformer",""))))</f>
        <v>Hydrocracker</v>
      </c>
      <c r="H8024" s="6" t="s">
        <v>444</v>
      </c>
      <c r="I8024" s="6" t="s">
        <v>456</v>
      </c>
      <c r="J8024" s="6" t="s">
        <v>349</v>
      </c>
      <c r="K8024" s="10">
        <v>36</v>
      </c>
      <c r="L8024" s="10">
        <v>75</v>
      </c>
      <c r="M8024" s="6" t="s">
        <v>371</v>
      </c>
    </row>
    <row r="8025" spans="1:13">
      <c r="A8025" s="6">
        <v>2026</v>
      </c>
      <c r="B8025" s="6">
        <v>8</v>
      </c>
      <c r="C8025" s="6" t="s">
        <v>66</v>
      </c>
      <c r="D8025" s="6" t="s">
        <v>1141</v>
      </c>
      <c r="E8025" s="6" t="s">
        <v>1079</v>
      </c>
      <c r="F8025" s="6" t="str">
        <f>IF($M8025="PADD I","PADD 1",IF($M8025="PADD II","PADD 2",IF($M8025="PADD III","PADD 3",IF($M8025="PADD IV","PADD 4",IF($M8025="PADD V","PADD 5","")))))</f>
        <v>PADD 3</v>
      </c>
      <c r="G8025" s="6" t="str">
        <f>IF(AND($H8025="ATMOS DISTILLATION",ISNUMBER(SEARCH("VPS",$I8025))=FALSE,LEFT($I8025,6)&lt;&gt;"VACUUM"),"CDU",IF($H8025="FLUID CAT CRACKING","FCC",IF(OR($H8025="HYDROCRACKING",$H8025="RESID_HYDROCRACKING"),"Hydrocracker",IF($H8025="REFORMING","Reformer",""))))</f>
        <v>CDU</v>
      </c>
      <c r="H8025" s="6" t="s">
        <v>38</v>
      </c>
      <c r="I8025" s="6" t="s">
        <v>135</v>
      </c>
      <c r="J8025" s="6" t="s">
        <v>349</v>
      </c>
      <c r="K8025" s="10">
        <v>32.4</v>
      </c>
      <c r="L8025" s="10">
        <v>40</v>
      </c>
      <c r="M8025" s="6" t="s">
        <v>371</v>
      </c>
    </row>
    <row r="8026" spans="1:13">
      <c r="A8026" s="6">
        <v>2026</v>
      </c>
      <c r="B8026" s="6">
        <v>8</v>
      </c>
      <c r="C8026" s="6" t="s">
        <v>66</v>
      </c>
      <c r="D8026" s="6" t="s">
        <v>40</v>
      </c>
      <c r="E8026" s="6" t="s">
        <v>736</v>
      </c>
      <c r="F8026" s="6" t="str">
        <f>IF($M8026="PADD I","PADD 1",IF($M8026="PADD II","PADD 2",IF($M8026="PADD III","PADD 3",IF($M8026="PADD IV","PADD 4",IF($M8026="PADD V","PADD 5","")))))</f>
        <v>PADD 1</v>
      </c>
      <c r="G8026" s="6" t="str">
        <f>IF(AND($H8026="ATMOS DISTILLATION",ISNUMBER(SEARCH("VPS",$I8026))=FALSE,LEFT($I8026,6)&lt;&gt;"VACUUM"),"CDU",IF($H8026="FLUID CAT CRACKING","FCC",IF(OR($H8026="HYDROCRACKING",$H8026="RESID_HYDROCRACKING"),"Hydrocracker",IF($H8026="REFORMING","Reformer",""))))</f>
        <v>FCC</v>
      </c>
      <c r="H8026" s="6" t="s">
        <v>376</v>
      </c>
      <c r="I8026" s="6" t="s">
        <v>737</v>
      </c>
      <c r="J8026" s="6" t="s">
        <v>345</v>
      </c>
      <c r="K8026" s="10">
        <v>30.6</v>
      </c>
      <c r="L8026" s="10">
        <v>68</v>
      </c>
      <c r="M8026" s="6" t="s">
        <v>413</v>
      </c>
    </row>
    <row r="8027" spans="1:13">
      <c r="A8027" s="6">
        <v>2026</v>
      </c>
      <c r="B8027" s="6">
        <v>8</v>
      </c>
      <c r="C8027" s="6" t="s">
        <v>66</v>
      </c>
      <c r="D8027" s="6" t="s">
        <v>51</v>
      </c>
      <c r="E8027" s="6" t="s">
        <v>391</v>
      </c>
      <c r="F8027" s="6" t="str">
        <f>IF($M8027="PADD I","PADD 1",IF($M8027="PADD II","PADD 2",IF($M8027="PADD III","PADD 3",IF($M8027="PADD IV","PADD 4",IF($M8027="PADD V","PADD 5","")))))</f>
        <v>PADD 5</v>
      </c>
      <c r="G8027" s="6">
        <f>IF(AND($H8027="ATMOS DISTILLATION",ISNUMBER(SEARCH("VPS",$I8027))=FALSE,LEFT($I8027,6)&lt;&gt;"VACUUM"),"CDU",IF($H8027="FLUID CAT CRACKING","FCC",IF(OR($H8027="HYDROCRACKING",$H8027="RESID_HYDROCRACKING"),"Hydrocracker",IF($H8027="REFORMING","Reformer",""))))</f>
        <v/>
      </c>
      <c r="H8027" s="6" t="s">
        <v>43</v>
      </c>
      <c r="I8027" s="6" t="s">
        <v>859</v>
      </c>
      <c r="J8027" s="6" t="s">
        <v>349</v>
      </c>
      <c r="K8027" s="10">
        <v>29.6</v>
      </c>
      <c r="L8027" s="10">
        <v>40</v>
      </c>
      <c r="M8027" s="6" t="s">
        <v>386</v>
      </c>
    </row>
    <row r="8028" spans="1:13">
      <c r="A8028" s="6">
        <v>2026</v>
      </c>
      <c r="B8028" s="6">
        <v>8</v>
      </c>
      <c r="C8028" s="6" t="s">
        <v>66</v>
      </c>
      <c r="D8028" s="6" t="s">
        <v>40</v>
      </c>
      <c r="E8028" s="6" t="s">
        <v>736</v>
      </c>
      <c r="F8028" s="6" t="str">
        <f>IF($M8028="PADD I","PADD 1",IF($M8028="PADD II","PADD 2",IF($M8028="PADD III","PADD 3",IF($M8028="PADD IV","PADD 4",IF($M8028="PADD V","PADD 5","")))))</f>
        <v>PADD 1</v>
      </c>
      <c r="G8028" s="6">
        <f>IF(AND($H8028="ATMOS DISTILLATION",ISNUMBER(SEARCH("VPS",$I8028))=FALSE,LEFT($I8028,6)&lt;&gt;"VACUUM"),"CDU",IF($H8028="FLUID CAT CRACKING","FCC",IF(OR($H8028="HYDROCRACKING",$H8028="RESID_HYDROCRACKING"),"Hydrocracker",IF($H8028="REFORMING","Reformer",""))))</f>
        <v/>
      </c>
      <c r="H8028" s="6" t="s">
        <v>43</v>
      </c>
      <c r="I8028" s="6" t="s">
        <v>994</v>
      </c>
      <c r="J8028" s="6" t="s">
        <v>345</v>
      </c>
      <c r="K8028" s="10">
        <v>29.25</v>
      </c>
      <c r="L8028" s="10">
        <v>65</v>
      </c>
      <c r="M8028" s="6" t="s">
        <v>413</v>
      </c>
    </row>
    <row r="8029" spans="1:13">
      <c r="A8029" s="6">
        <v>2026</v>
      </c>
      <c r="B8029" s="6">
        <v>8</v>
      </c>
      <c r="C8029" s="6" t="s">
        <v>66</v>
      </c>
      <c r="D8029" s="6" t="s">
        <v>40</v>
      </c>
      <c r="E8029" s="6" t="s">
        <v>736</v>
      </c>
      <c r="F8029" s="6" t="str">
        <f>IF($M8029="PADD I","PADD 1",IF($M8029="PADD II","PADD 2",IF($M8029="PADD III","PADD 3",IF($M8029="PADD IV","PADD 4",IF($M8029="PADD V","PADD 5","")))))</f>
        <v>PADD 1</v>
      </c>
      <c r="G8029" s="6">
        <f>IF(AND($H8029="ATMOS DISTILLATION",ISNUMBER(SEARCH("VPS",$I8029))=FALSE,LEFT($I8029,6)&lt;&gt;"VACUUM"),"CDU",IF($H8029="FLUID CAT CRACKING","FCC",IF(OR($H8029="HYDROCRACKING",$H8029="RESID_HYDROCRACKING"),"Hydrocracker",IF($H8029="REFORMING","Reformer",""))))</f>
        <v/>
      </c>
      <c r="H8029" s="6" t="s">
        <v>43</v>
      </c>
      <c r="I8029" s="6" t="s">
        <v>493</v>
      </c>
      <c r="J8029" s="6" t="s">
        <v>345</v>
      </c>
      <c r="K8029" s="10">
        <v>27</v>
      </c>
      <c r="L8029" s="10">
        <v>60</v>
      </c>
      <c r="M8029" s="6" t="s">
        <v>413</v>
      </c>
    </row>
    <row r="8030" spans="1:13">
      <c r="A8030" s="6">
        <v>2026</v>
      </c>
      <c r="B8030" s="6">
        <v>8</v>
      </c>
      <c r="C8030" s="6" t="s">
        <v>66</v>
      </c>
      <c r="D8030" s="6" t="s">
        <v>40</v>
      </c>
      <c r="E8030" s="6" t="s">
        <v>736</v>
      </c>
      <c r="F8030" s="6" t="str">
        <f>IF($M8030="PADD I","PADD 1",IF($M8030="PADD II","PADD 2",IF($M8030="PADD III","PADD 3",IF($M8030="PADD IV","PADD 4",IF($M8030="PADD V","PADD 5","")))))</f>
        <v>PADD 1</v>
      </c>
      <c r="G8030" s="6" t="str">
        <f>IF(AND($H8030="ATMOS DISTILLATION",ISNUMBER(SEARCH("VPS",$I8030))=FALSE,LEFT($I8030,6)&lt;&gt;"VACUUM"),"CDU",IF($H8030="FLUID CAT CRACKING","FCC",IF(OR($H8030="HYDROCRACKING",$H8030="RESID_HYDROCRACKING"),"Hydrocracker",IF($H8030="REFORMING","Reformer",""))))</f>
        <v>Reformer</v>
      </c>
      <c r="H8030" s="6" t="s">
        <v>421</v>
      </c>
      <c r="I8030" s="6" t="s">
        <v>782</v>
      </c>
      <c r="J8030" s="6" t="s">
        <v>345</v>
      </c>
      <c r="K8030" s="10">
        <v>27</v>
      </c>
      <c r="L8030" s="10">
        <v>60</v>
      </c>
      <c r="M8030" s="6" t="s">
        <v>413</v>
      </c>
    </row>
    <row r="8031" spans="1:13">
      <c r="A8031" s="6">
        <v>2026</v>
      </c>
      <c r="B8031" s="6">
        <v>8</v>
      </c>
      <c r="C8031" s="6" t="s">
        <v>66</v>
      </c>
      <c r="D8031" s="6" t="s">
        <v>1141</v>
      </c>
      <c r="E8031" s="6" t="s">
        <v>1079</v>
      </c>
      <c r="F8031" s="6" t="str">
        <f>IF($M8031="PADD I","PADD 1",IF($M8031="PADD II","PADD 2",IF($M8031="PADD III","PADD 3",IF($M8031="PADD IV","PADD 4",IF($M8031="PADD V","PADD 5","")))))</f>
        <v>PADD 3</v>
      </c>
      <c r="G8031" s="6">
        <f>IF(AND($H8031="ATMOS DISTILLATION",ISNUMBER(SEARCH("VPS",$I8031))=FALSE,LEFT($I8031,6)&lt;&gt;"VACUUM"),"CDU",IF($H8031="FLUID CAT CRACKING","FCC",IF(OR($H8031="HYDROCRACKING",$H8031="RESID_HYDROCRACKING"),"Hydrocracker",IF($H8031="REFORMING","Reformer",""))))</f>
        <v/>
      </c>
      <c r="H8031" s="6" t="s">
        <v>43</v>
      </c>
      <c r="I8031" s="6" t="s">
        <v>1380</v>
      </c>
      <c r="J8031" s="6" t="s">
        <v>349</v>
      </c>
      <c r="K8031" s="10">
        <v>24.3</v>
      </c>
      <c r="L8031" s="10">
        <v>30</v>
      </c>
      <c r="M8031" s="6" t="s">
        <v>371</v>
      </c>
    </row>
    <row r="8032" spans="1:13">
      <c r="A8032" s="6">
        <v>2026</v>
      </c>
      <c r="B8032" s="6">
        <v>8</v>
      </c>
      <c r="C8032" s="6" t="s">
        <v>66</v>
      </c>
      <c r="D8032" s="6" t="s">
        <v>395</v>
      </c>
      <c r="E8032" s="6" t="s">
        <v>396</v>
      </c>
      <c r="F8032" s="6" t="str">
        <f>IF($M8032="PADD I","PADD 1",IF($M8032="PADD II","PADD 2",IF($M8032="PADD III","PADD 3",IF($M8032="PADD IV","PADD 4",IF($M8032="PADD V","PADD 5","")))))</f>
        <v>PADD 3</v>
      </c>
      <c r="G8032" s="6">
        <f>IF(AND($H8032="ATMOS DISTILLATION",ISNUMBER(SEARCH("VPS",$I8032))=FALSE,LEFT($I8032,6)&lt;&gt;"VACUUM"),"CDU",IF($H8032="FLUID CAT CRACKING","FCC",IF(OR($H8032="HYDROCRACKING",$H8032="RESID_HYDROCRACKING"),"Hydrocracker",IF($H8032="REFORMING","Reformer",""))))</f>
        <v/>
      </c>
      <c r="H8032" s="6" t="s">
        <v>43</v>
      </c>
      <c r="I8032" s="6" t="s">
        <v>545</v>
      </c>
      <c r="J8032" s="6" t="s">
        <v>349</v>
      </c>
      <c r="K8032" s="10">
        <v>20.64</v>
      </c>
      <c r="L8032" s="10">
        <v>43</v>
      </c>
      <c r="M8032" s="6" t="s">
        <v>371</v>
      </c>
    </row>
    <row r="8033" spans="1:13">
      <c r="A8033" s="6">
        <v>2026</v>
      </c>
      <c r="B8033" s="6">
        <v>8</v>
      </c>
      <c r="C8033" s="6" t="s">
        <v>66</v>
      </c>
      <c r="D8033" s="6" t="s">
        <v>714</v>
      </c>
      <c r="E8033" s="6" t="s">
        <v>405</v>
      </c>
      <c r="F8033" s="6" t="str">
        <f>IF($M8033="PADD I","PADD 1",IF($M8033="PADD II","PADD 2",IF($M8033="PADD III","PADD 3",IF($M8033="PADD IV","PADD 4",IF($M8033="PADD V","PADD 5","")))))</f>
        <v>PADD 3</v>
      </c>
      <c r="G8033" s="6" t="str">
        <f>IF(AND($H8033="ATMOS DISTILLATION",ISNUMBER(SEARCH("VPS",$I8033))=FALSE,LEFT($I8033,6)&lt;&gt;"VACUUM"),"CDU",IF($H8033="FLUID CAT CRACKING","FCC",IF(OR($H8033="HYDROCRACKING",$H8033="RESID_HYDROCRACKING"),"Hydrocracker",IF($H8033="REFORMING","Reformer",""))))</f>
        <v>Hydrocracker</v>
      </c>
      <c r="H8033" s="6" t="s">
        <v>444</v>
      </c>
      <c r="I8033" s="6" t="s">
        <v>14</v>
      </c>
      <c r="J8033" s="6" t="s">
        <v>349</v>
      </c>
      <c r="K8033" s="10">
        <v>17.4</v>
      </c>
      <c r="L8033" s="10">
        <v>30</v>
      </c>
      <c r="M8033" s="6" t="s">
        <v>371</v>
      </c>
    </row>
    <row r="8034" spans="1:13">
      <c r="A8034" s="6">
        <v>2026</v>
      </c>
      <c r="B8034" s="6">
        <v>8</v>
      </c>
      <c r="C8034" s="6" t="s">
        <v>66</v>
      </c>
      <c r="D8034" s="6" t="s">
        <v>1141</v>
      </c>
      <c r="E8034" s="6" t="s">
        <v>1079</v>
      </c>
      <c r="F8034" s="6" t="str">
        <f>IF($M8034="PADD I","PADD 1",IF($M8034="PADD II","PADD 2",IF($M8034="PADD III","PADD 3",IF($M8034="PADD IV","PADD 4",IF($M8034="PADD V","PADD 5","")))))</f>
        <v>PADD 3</v>
      </c>
      <c r="G8034" s="6">
        <f>IF(AND($H8034="ATMOS DISTILLATION",ISNUMBER(SEARCH("VPS",$I8034))=FALSE,LEFT($I8034,6)&lt;&gt;"VACUUM"),"CDU",IF($H8034="FLUID CAT CRACKING","FCC",IF(OR($H8034="HYDROCRACKING",$H8034="RESID_HYDROCRACKING"),"Hydrocracker",IF($H8034="REFORMING","Reformer",""))))</f>
        <v/>
      </c>
      <c r="H8034" s="6" t="s">
        <v>378</v>
      </c>
      <c r="I8034" s="6" t="s">
        <v>431</v>
      </c>
      <c r="J8034" s="6" t="s">
        <v>349</v>
      </c>
      <c r="K8034" s="10">
        <v>14.58</v>
      </c>
      <c r="L8034" s="10">
        <v>18</v>
      </c>
      <c r="M8034" s="6" t="s">
        <v>371</v>
      </c>
    </row>
    <row r="8035" spans="1:13">
      <c r="A8035" s="6">
        <v>2026</v>
      </c>
      <c r="B8035" s="6">
        <v>8</v>
      </c>
      <c r="C8035" s="6" t="s">
        <v>66</v>
      </c>
      <c r="D8035" s="6" t="s">
        <v>40</v>
      </c>
      <c r="E8035" s="6" t="s">
        <v>736</v>
      </c>
      <c r="F8035" s="6" t="str">
        <f>IF($M8035="PADD I","PADD 1",IF($M8035="PADD II","PADD 2",IF($M8035="PADD III","PADD 3",IF($M8035="PADD IV","PADD 4",IF($M8035="PADD V","PADD 5","")))))</f>
        <v>PADD 1</v>
      </c>
      <c r="G8035" s="6">
        <f>IF(AND($H8035="ATMOS DISTILLATION",ISNUMBER(SEARCH("VPS",$I8035))=FALSE,LEFT($I8035,6)&lt;&gt;"VACUUM"),"CDU",IF($H8035="FLUID CAT CRACKING","FCC",IF(OR($H8035="HYDROCRACKING",$H8035="RESID_HYDROCRACKING"),"Hydrocracker",IF($H8035="REFORMING","Reformer",""))))</f>
        <v/>
      </c>
      <c r="H8035" s="6" t="s">
        <v>43</v>
      </c>
      <c r="I8035" s="6" t="s">
        <v>1014</v>
      </c>
      <c r="J8035" s="6" t="s">
        <v>345</v>
      </c>
      <c r="K8035" s="10">
        <v>12.6</v>
      </c>
      <c r="L8035" s="10">
        <v>28</v>
      </c>
      <c r="M8035" s="6" t="s">
        <v>413</v>
      </c>
    </row>
    <row r="8036" spans="1:13">
      <c r="A8036" s="6">
        <v>2026</v>
      </c>
      <c r="B8036" s="6">
        <v>8</v>
      </c>
      <c r="C8036" s="6" t="s">
        <v>66</v>
      </c>
      <c r="D8036" s="6" t="s">
        <v>40</v>
      </c>
      <c r="E8036" s="6" t="s">
        <v>736</v>
      </c>
      <c r="F8036" s="6" t="str">
        <f>IF($M8036="PADD I","PADD 1",IF($M8036="PADD II","PADD 2",IF($M8036="PADD III","PADD 3",IF($M8036="PADD IV","PADD 4",IF($M8036="PADD V","PADD 5","")))))</f>
        <v>PADD 1</v>
      </c>
      <c r="G8036" s="6">
        <f>IF(AND($H8036="ATMOS DISTILLATION",ISNUMBER(SEARCH("VPS",$I8036))=FALSE,LEFT($I8036,6)&lt;&gt;"VACUUM"),"CDU",IF($H8036="FLUID CAT CRACKING","FCC",IF(OR($H8036="HYDROCRACKING",$H8036="RESID_HYDROCRACKING"),"Hydrocracker",IF($H8036="REFORMING","Reformer",""))))</f>
        <v/>
      </c>
      <c r="H8036" s="6" t="s">
        <v>43</v>
      </c>
      <c r="I8036" s="6" t="s">
        <v>1011</v>
      </c>
      <c r="J8036" s="6" t="s">
        <v>345</v>
      </c>
      <c r="K8036" s="10">
        <v>11.7</v>
      </c>
      <c r="L8036" s="10">
        <v>26</v>
      </c>
      <c r="M8036" s="6" t="s">
        <v>413</v>
      </c>
    </row>
    <row r="8037" spans="1:13">
      <c r="A8037" s="6">
        <v>2026</v>
      </c>
      <c r="B8037" s="6">
        <v>8</v>
      </c>
      <c r="C8037" s="6" t="s">
        <v>66</v>
      </c>
      <c r="D8037" s="6" t="s">
        <v>40</v>
      </c>
      <c r="E8037" s="6" t="s">
        <v>736</v>
      </c>
      <c r="F8037" s="6" t="str">
        <f>IF($M8037="PADD I","PADD 1",IF($M8037="PADD II","PADD 2",IF($M8037="PADD III","PADD 3",IF($M8037="PADD IV","PADD 4",IF($M8037="PADD V","PADD 5","")))))</f>
        <v>PADD 1</v>
      </c>
      <c r="G8037" s="6">
        <f>IF(AND($H8037="ATMOS DISTILLATION",ISNUMBER(SEARCH("VPS",$I8037))=FALSE,LEFT($I8037,6)&lt;&gt;"VACUUM"),"CDU",IF($H8037="FLUID CAT CRACKING","FCC",IF(OR($H8037="HYDROCRACKING",$H8037="RESID_HYDROCRACKING"),"Hydrocracker",IF($H8037="REFORMING","Reformer",""))))</f>
        <v/>
      </c>
      <c r="H8037" s="6" t="s">
        <v>378</v>
      </c>
      <c r="I8037" s="6" t="s">
        <v>963</v>
      </c>
      <c r="J8037" s="6" t="s">
        <v>345</v>
      </c>
      <c r="K8037" s="10">
        <v>10.9485</v>
      </c>
      <c r="L8037" s="10">
        <v>24.33</v>
      </c>
      <c r="M8037" s="6" t="s">
        <v>413</v>
      </c>
    </row>
    <row r="8038" spans="1:13">
      <c r="A8038" s="6">
        <v>2026</v>
      </c>
      <c r="B8038" s="6">
        <v>8</v>
      </c>
      <c r="C8038" s="6" t="s">
        <v>66</v>
      </c>
      <c r="D8038" s="6" t="s">
        <v>40</v>
      </c>
      <c r="E8038" s="6" t="s">
        <v>736</v>
      </c>
      <c r="F8038" s="6" t="str">
        <f>IF($M8038="PADD I","PADD 1",IF($M8038="PADD II","PADD 2",IF($M8038="PADD III","PADD 3",IF($M8038="PADD IV","PADD 4",IF($M8038="PADD V","PADD 5","")))))</f>
        <v>PADD 1</v>
      </c>
      <c r="G8038" s="6">
        <f>IF(AND($H8038="ATMOS DISTILLATION",ISNUMBER(SEARCH("VPS",$I8038))=FALSE,LEFT($I8038,6)&lt;&gt;"VACUUM"),"CDU",IF($H8038="FLUID CAT CRACKING","FCC",IF(OR($H8038="HYDROCRACKING",$H8038="RESID_HYDROCRACKING"),"Hydrocracker",IF($H8038="REFORMING","Reformer",""))))</f>
        <v/>
      </c>
      <c r="H8038" s="6" t="s">
        <v>378</v>
      </c>
      <c r="I8038" s="6" t="s">
        <v>1009</v>
      </c>
      <c r="J8038" s="6" t="s">
        <v>345</v>
      </c>
      <c r="K8038" s="10">
        <v>10.9485</v>
      </c>
      <c r="L8038" s="10">
        <v>24.33</v>
      </c>
      <c r="M8038" s="6" t="s">
        <v>413</v>
      </c>
    </row>
    <row r="8039" spans="1:13">
      <c r="A8039" s="6">
        <v>2026</v>
      </c>
      <c r="B8039" s="6">
        <v>8</v>
      </c>
      <c r="C8039" s="6" t="s">
        <v>66</v>
      </c>
      <c r="D8039" s="6" t="s">
        <v>40</v>
      </c>
      <c r="E8039" s="6" t="s">
        <v>736</v>
      </c>
      <c r="F8039" s="6" t="str">
        <f>IF($M8039="PADD I","PADD 1",IF($M8039="PADD II","PADD 2",IF($M8039="PADD III","PADD 3",IF($M8039="PADD IV","PADD 4",IF($M8039="PADD V","PADD 5","")))))</f>
        <v>PADD 1</v>
      </c>
      <c r="G8039" s="6">
        <f>IF(AND($H8039="ATMOS DISTILLATION",ISNUMBER(SEARCH("VPS",$I8039))=FALSE,LEFT($I8039,6)&lt;&gt;"VACUUM"),"CDU",IF($H8039="FLUID CAT CRACKING","FCC",IF(OR($H8039="HYDROCRACKING",$H8039="RESID_HYDROCRACKING"),"Hydrocracker",IF($H8039="REFORMING","Reformer",""))))</f>
        <v/>
      </c>
      <c r="H8039" s="6" t="s">
        <v>378</v>
      </c>
      <c r="I8039" s="6" t="s">
        <v>1010</v>
      </c>
      <c r="J8039" s="6" t="s">
        <v>345</v>
      </c>
      <c r="K8039" s="10">
        <v>10.9485</v>
      </c>
      <c r="L8039" s="10">
        <v>24.33</v>
      </c>
      <c r="M8039" s="6" t="s">
        <v>413</v>
      </c>
    </row>
    <row r="8040" spans="1:13">
      <c r="A8040" s="6">
        <v>2026</v>
      </c>
      <c r="B8040" s="6">
        <v>8</v>
      </c>
      <c r="C8040" s="6" t="s">
        <v>66</v>
      </c>
      <c r="D8040" s="6" t="s">
        <v>40</v>
      </c>
      <c r="E8040" s="6" t="s">
        <v>736</v>
      </c>
      <c r="F8040" s="6" t="str">
        <f>IF($M8040="PADD I","PADD 1",IF($M8040="PADD II","PADD 2",IF($M8040="PADD III","PADD 3",IF($M8040="PADD IV","PADD 4",IF($M8040="PADD V","PADD 5","")))))</f>
        <v>PADD 1</v>
      </c>
      <c r="G8040" s="6" t="str">
        <f>IF(AND($H8040="ATMOS DISTILLATION",ISNUMBER(SEARCH("VPS",$I8040))=FALSE,LEFT($I8040,6)&lt;&gt;"VACUUM"),"CDU",IF($H8040="FLUID CAT CRACKING","FCC",IF(OR($H8040="HYDROCRACKING",$H8040="RESID_HYDROCRACKING"),"Hydrocracker",IF($H8040="REFORMING","Reformer",""))))</f>
        <v>Hydrocracker</v>
      </c>
      <c r="H8040" s="6" t="s">
        <v>444</v>
      </c>
      <c r="I8040" s="6" t="s">
        <v>445</v>
      </c>
      <c r="J8040" s="6" t="s">
        <v>345</v>
      </c>
      <c r="K8040" s="10">
        <v>10.8</v>
      </c>
      <c r="L8040" s="10">
        <v>24</v>
      </c>
      <c r="M8040" s="6" t="s">
        <v>413</v>
      </c>
    </row>
    <row r="8041" spans="1:13">
      <c r="A8041" s="6">
        <v>2026</v>
      </c>
      <c r="B8041" s="6">
        <v>8</v>
      </c>
      <c r="C8041" s="6" t="s">
        <v>66</v>
      </c>
      <c r="D8041" s="6" t="s">
        <v>329</v>
      </c>
      <c r="E8041" s="6" t="s">
        <v>427</v>
      </c>
      <c r="F8041" s="6" t="str">
        <f>IF($M8041="PADD I","PADD 1",IF($M8041="PADD II","PADD 2",IF($M8041="PADD III","PADD 3",IF($M8041="PADD IV","PADD 4",IF($M8041="PADD V","PADD 5","")))))</f>
        <v>PADD 3</v>
      </c>
      <c r="G8041" s="6" t="str">
        <f>IF(AND($H8041="ATMOS DISTILLATION",ISNUMBER(SEARCH("VPS",$I8041))=FALSE,LEFT($I8041,6)&lt;&gt;"VACUUM"),"CDU",IF($H8041="FLUID CAT CRACKING","FCC",IF(OR($H8041="HYDROCRACKING",$H8041="RESID_HYDROCRACKING"),"Hydrocracker",IF($H8041="REFORMING","Reformer",""))))</f>
        <v>Reformer</v>
      </c>
      <c r="H8041" s="6" t="s">
        <v>421</v>
      </c>
      <c r="I8041" s="6" t="s">
        <v>1162</v>
      </c>
      <c r="J8041" s="6" t="s">
        <v>345</v>
      </c>
      <c r="K8041" s="10">
        <v>8.4</v>
      </c>
      <c r="L8041" s="10">
        <v>17.5</v>
      </c>
      <c r="M8041" s="6" t="s">
        <v>371</v>
      </c>
    </row>
    <row r="8042" spans="1:13">
      <c r="A8042" s="6">
        <v>2026</v>
      </c>
      <c r="B8042" s="6">
        <v>8</v>
      </c>
      <c r="C8042" s="6" t="s">
        <v>66</v>
      </c>
      <c r="D8042" s="6" t="s">
        <v>40</v>
      </c>
      <c r="E8042" s="6" t="s">
        <v>736</v>
      </c>
      <c r="F8042" s="6" t="str">
        <f>IF($M8042="PADD I","PADD 1",IF($M8042="PADD II","PADD 2",IF($M8042="PADD III","PADD 3",IF($M8042="PADD IV","PADD 4",IF($M8042="PADD V","PADD 5","")))))</f>
        <v>PADD 1</v>
      </c>
      <c r="G8042" s="6">
        <f>IF(AND($H8042="ATMOS DISTILLATION",ISNUMBER(SEARCH("VPS",$I8042))=FALSE,LEFT($I8042,6)&lt;&gt;"VACUUM"),"CDU",IF($H8042="FLUID CAT CRACKING","FCC",IF(OR($H8042="HYDROCRACKING",$H8042="RESID_HYDROCRACKING"),"Hydrocracker",IF($H8042="REFORMING","Reformer",""))))</f>
        <v/>
      </c>
      <c r="H8042" s="6" t="s">
        <v>637</v>
      </c>
      <c r="I8042" s="6" t="s">
        <v>1019</v>
      </c>
      <c r="J8042" s="6" t="s">
        <v>345</v>
      </c>
      <c r="K8042" s="10">
        <v>6.3</v>
      </c>
      <c r="L8042" s="10">
        <v>14</v>
      </c>
      <c r="M8042" s="6" t="s">
        <v>413</v>
      </c>
    </row>
    <row r="8043" spans="1:13">
      <c r="A8043" s="6">
        <v>2026</v>
      </c>
      <c r="B8043" s="6">
        <v>8</v>
      </c>
      <c r="C8043" s="6" t="s">
        <v>66</v>
      </c>
      <c r="D8043" s="6" t="s">
        <v>1141</v>
      </c>
      <c r="E8043" s="6" t="s">
        <v>1079</v>
      </c>
      <c r="F8043" s="6" t="str">
        <f>IF($M8043="PADD I","PADD 1",IF($M8043="PADD II","PADD 2",IF($M8043="PADD III","PADD 3",IF($M8043="PADD IV","PADD 4",IF($M8043="PADD V","PADD 5","")))))</f>
        <v>PADD 3</v>
      </c>
      <c r="G8043" s="6" t="str">
        <f>IF(AND($H8043="ATMOS DISTILLATION",ISNUMBER(SEARCH("VPS",$I8043))=FALSE,LEFT($I8043,6)&lt;&gt;"VACUUM"),"CDU",IF($H8043="FLUID CAT CRACKING","FCC",IF(OR($H8043="HYDROCRACKING",$H8043="RESID_HYDROCRACKING"),"Hydrocracker",IF($H8043="REFORMING","Reformer",""))))</f>
        <v>Reformer</v>
      </c>
      <c r="H8043" s="6" t="s">
        <v>421</v>
      </c>
      <c r="I8043" s="6" t="s">
        <v>557</v>
      </c>
      <c r="J8043" s="6" t="s">
        <v>349</v>
      </c>
      <c r="K8043" s="10">
        <v>5.67</v>
      </c>
      <c r="L8043" s="10">
        <v>7</v>
      </c>
      <c r="M8043" s="6" t="s">
        <v>371</v>
      </c>
    </row>
    <row r="8044" spans="1:13">
      <c r="A8044" s="6">
        <v>2026</v>
      </c>
      <c r="B8044" s="6">
        <v>8</v>
      </c>
      <c r="C8044" s="6" t="s">
        <v>66</v>
      </c>
      <c r="D8044" s="6" t="s">
        <v>324</v>
      </c>
      <c r="E8044" s="6" t="s">
        <v>388</v>
      </c>
      <c r="F8044" s="6" t="str">
        <f>IF($M8044="PADD I","PADD 1",IF($M8044="PADD II","PADD 2",IF($M8044="PADD III","PADD 3",IF($M8044="PADD IV","PADD 4",IF($M8044="PADD V","PADD 5","")))))</f>
        <v>PADD 3</v>
      </c>
      <c r="G8044" s="6">
        <f>IF(AND($H8044="ATMOS DISTILLATION",ISNUMBER(SEARCH("VPS",$I8044))=FALSE,LEFT($I8044,6)&lt;&gt;"VACUUM"),"CDU",IF($H8044="FLUID CAT CRACKING","FCC",IF(OR($H8044="HYDROCRACKING",$H8044="RESID_HYDROCRACKING"),"Hydrocracker",IF($H8044="REFORMING","Reformer",""))))</f>
        <v/>
      </c>
      <c r="H8044" s="6" t="s">
        <v>43</v>
      </c>
      <c r="I8044" s="6" t="s">
        <v>693</v>
      </c>
      <c r="J8044" s="6" t="s">
        <v>349</v>
      </c>
      <c r="K8044" s="10">
        <v>5.59</v>
      </c>
      <c r="L8044" s="10">
        <v>43</v>
      </c>
      <c r="M8044" s="6" t="s">
        <v>371</v>
      </c>
    </row>
    <row r="8045" spans="1:13">
      <c r="A8045" s="6">
        <v>2026</v>
      </c>
      <c r="B8045" s="6">
        <v>8</v>
      </c>
      <c r="C8045" s="6" t="s">
        <v>66</v>
      </c>
      <c r="D8045" s="6" t="s">
        <v>326</v>
      </c>
      <c r="E8045" s="6" t="s">
        <v>385</v>
      </c>
      <c r="F8045" s="6" t="str">
        <f>IF($M8045="PADD I","PADD 1",IF($M8045="PADD II","PADD 2",IF($M8045="PADD III","PADD 3",IF($M8045="PADD IV","PADD 4",IF($M8045="PADD V","PADD 5","")))))</f>
        <v>PADD 5</v>
      </c>
      <c r="G8045" s="6" t="str">
        <f>IF(AND($H8045="ATMOS DISTILLATION",ISNUMBER(SEARCH("VPS",$I8045))=FALSE,LEFT($I8045,6)&lt;&gt;"VACUUM"),"CDU",IF($H8045="FLUID CAT CRACKING","FCC",IF(OR($H8045="HYDROCRACKING",$H8045="RESID_HYDROCRACKING"),"Hydrocracker",IF($H8045="REFORMING","Reformer",""))))</f>
        <v>Hydrocracker</v>
      </c>
      <c r="H8045" s="6" t="s">
        <v>444</v>
      </c>
      <c r="I8045" s="6" t="s">
        <v>498</v>
      </c>
      <c r="J8045" s="6" t="s">
        <v>349</v>
      </c>
      <c r="K8045" s="10">
        <v>5.46</v>
      </c>
      <c r="L8045" s="10">
        <v>42</v>
      </c>
      <c r="M8045" s="6" t="s">
        <v>386</v>
      </c>
    </row>
    <row r="8046" spans="1:13">
      <c r="A8046" s="6">
        <v>2026</v>
      </c>
      <c r="B8046" s="6">
        <v>8</v>
      </c>
      <c r="C8046" s="6" t="s">
        <v>66</v>
      </c>
      <c r="D8046" s="6" t="s">
        <v>40</v>
      </c>
      <c r="E8046" s="6" t="s">
        <v>736</v>
      </c>
      <c r="F8046" s="6" t="str">
        <f>IF($M8046="PADD I","PADD 1",IF($M8046="PADD II","PADD 2",IF($M8046="PADD III","PADD 3",IF($M8046="PADD IV","PADD 4",IF($M8046="PADD V","PADD 5","")))))</f>
        <v>PADD 1</v>
      </c>
      <c r="G8046" s="6">
        <f>IF(AND($H8046="ATMOS DISTILLATION",ISNUMBER(SEARCH("VPS",$I8046))=FALSE,LEFT($I8046,6)&lt;&gt;"VACUUM"),"CDU",IF($H8046="FLUID CAT CRACKING","FCC",IF(OR($H8046="HYDROCRACKING",$H8046="RESID_HYDROCRACKING"),"Hydrocracker",IF($H8046="REFORMING","Reformer",""))))</f>
        <v/>
      </c>
      <c r="H8046" s="6" t="s">
        <v>460</v>
      </c>
      <c r="I8046" s="6" t="s">
        <v>760</v>
      </c>
      <c r="J8046" s="6" t="s">
        <v>345</v>
      </c>
      <c r="K8046" s="10">
        <v>5.4</v>
      </c>
      <c r="L8046" s="10">
        <v>12</v>
      </c>
      <c r="M8046" s="6" t="s">
        <v>413</v>
      </c>
    </row>
    <row r="8047" spans="1:13">
      <c r="A8047" s="6">
        <v>2026</v>
      </c>
      <c r="B8047" s="6">
        <v>8</v>
      </c>
      <c r="C8047" s="6" t="s">
        <v>66</v>
      </c>
      <c r="D8047" s="6" t="s">
        <v>40</v>
      </c>
      <c r="E8047" s="6" t="s">
        <v>736</v>
      </c>
      <c r="F8047" s="6" t="str">
        <f>IF($M8047="PADD I","PADD 1",IF($M8047="PADD II","PADD 2",IF($M8047="PADD III","PADD 3",IF($M8047="PADD IV","PADD 4",IF($M8047="PADD V","PADD 5","")))))</f>
        <v>PADD 1</v>
      </c>
      <c r="G8047" s="6">
        <f>IF(AND($H8047="ATMOS DISTILLATION",ISNUMBER(SEARCH("VPS",$I8047))=FALSE,LEFT($I8047,6)&lt;&gt;"VACUUM"),"CDU",IF($H8047="FLUID CAT CRACKING","FCC",IF(OR($H8047="HYDROCRACKING",$H8047="RESID_HYDROCRACKING"),"Hydrocracker",IF($H8047="REFORMING","Reformer",""))))</f>
        <v/>
      </c>
      <c r="H8047" s="6" t="s">
        <v>43</v>
      </c>
      <c r="I8047" s="6" t="s">
        <v>1021</v>
      </c>
      <c r="J8047" s="6" t="s">
        <v>345</v>
      </c>
      <c r="K8047" s="10">
        <v>5.175</v>
      </c>
      <c r="L8047" s="10">
        <v>11.5</v>
      </c>
      <c r="M8047" s="6" t="s">
        <v>413</v>
      </c>
    </row>
    <row r="8048" spans="1:13">
      <c r="A8048" s="6">
        <v>2026</v>
      </c>
      <c r="B8048" s="6">
        <v>8</v>
      </c>
      <c r="C8048" s="6" t="s">
        <v>66</v>
      </c>
      <c r="D8048" s="6" t="s">
        <v>326</v>
      </c>
      <c r="E8048" s="6" t="s">
        <v>385</v>
      </c>
      <c r="F8048" s="6" t="str">
        <f>IF($M8048="PADD I","PADD 1",IF($M8048="PADD II","PADD 2",IF($M8048="PADD III","PADD 3",IF($M8048="PADD IV","PADD 4",IF($M8048="PADD V","PADD 5","")))))</f>
        <v>PADD 5</v>
      </c>
      <c r="G8048" s="6" t="str">
        <f>IF(AND($H8048="ATMOS DISTILLATION",ISNUMBER(SEARCH("VPS",$I8048))=FALSE,LEFT($I8048,6)&lt;&gt;"VACUUM"),"CDU",IF($H8048="FLUID CAT CRACKING","FCC",IF(OR($H8048="HYDROCRACKING",$H8048="RESID_HYDROCRACKING"),"Hydrocracker",IF($H8048="REFORMING","Reformer",""))))</f>
        <v>Reformer</v>
      </c>
      <c r="H8048" s="6" t="s">
        <v>421</v>
      </c>
      <c r="I8048" s="6" t="s">
        <v>15</v>
      </c>
      <c r="J8048" s="6" t="s">
        <v>349</v>
      </c>
      <c r="K8048" s="10">
        <v>3.835</v>
      </c>
      <c r="L8048" s="10">
        <v>29.5</v>
      </c>
      <c r="M8048" s="6" t="s">
        <v>386</v>
      </c>
    </row>
    <row r="8049" spans="1:13">
      <c r="A8049" s="6">
        <v>2026</v>
      </c>
      <c r="B8049" s="6">
        <v>8</v>
      </c>
      <c r="C8049" s="6" t="s">
        <v>66</v>
      </c>
      <c r="D8049" s="6" t="s">
        <v>742</v>
      </c>
      <c r="E8049" s="6" t="s">
        <v>388</v>
      </c>
      <c r="F8049" s="6" t="str">
        <f>IF($M8049="PADD I","PADD 1",IF($M8049="PADD II","PADD 2",IF($M8049="PADD III","PADD 3",IF($M8049="PADD IV","PADD 4",IF($M8049="PADD V","PADD 5","")))))</f>
        <v>PADD 5</v>
      </c>
      <c r="G8049" s="6">
        <f>IF(AND($H8049="ATMOS DISTILLATION",ISNUMBER(SEARCH("VPS",$I8049))=FALSE,LEFT($I8049,6)&lt;&gt;"VACUUM"),"CDU",IF($H8049="FLUID CAT CRACKING","FCC",IF(OR($H8049="HYDROCRACKING",$H8049="RESID_HYDROCRACKING"),"Hydrocracker",IF($H8049="REFORMING","Reformer",""))))</f>
        <v/>
      </c>
      <c r="H8049" s="6" t="s">
        <v>568</v>
      </c>
      <c r="I8049" s="6" t="s">
        <v>768</v>
      </c>
      <c r="J8049" s="6" t="s">
        <v>349</v>
      </c>
      <c r="K8049" s="10">
        <v>3.5</v>
      </c>
      <c r="L8049" s="10">
        <v>3.5</v>
      </c>
      <c r="M8049" s="6" t="s">
        <v>386</v>
      </c>
    </row>
    <row r="8050" spans="1:13">
      <c r="A8050" s="6">
        <v>2026</v>
      </c>
      <c r="B8050" s="6">
        <v>8</v>
      </c>
      <c r="C8050" s="6" t="s">
        <v>66</v>
      </c>
      <c r="D8050" s="6" t="s">
        <v>326</v>
      </c>
      <c r="E8050" s="6" t="s">
        <v>385</v>
      </c>
      <c r="F8050" s="6" t="str">
        <f>IF($M8050="PADD I","PADD 1",IF($M8050="PADD II","PADD 2",IF($M8050="PADD III","PADD 3",IF($M8050="PADD IV","PADD 4",IF($M8050="PADD V","PADD 5","")))))</f>
        <v>PADD 5</v>
      </c>
      <c r="G8050" s="6">
        <f>IF(AND($H8050="ATMOS DISTILLATION",ISNUMBER(SEARCH("VPS",$I8050))=FALSE,LEFT($I8050,6)&lt;&gt;"VACUUM"),"CDU",IF($H8050="FLUID CAT CRACKING","FCC",IF(OR($H8050="HYDROCRACKING",$H8050="RESID_HYDROCRACKING"),"Hydrocracker",IF($H8050="REFORMING","Reformer",""))))</f>
        <v/>
      </c>
      <c r="H8050" s="6" t="s">
        <v>43</v>
      </c>
      <c r="I8050" s="6" t="s">
        <v>1183</v>
      </c>
      <c r="J8050" s="6" t="s">
        <v>349</v>
      </c>
      <c r="K8050" s="10">
        <v>3.38</v>
      </c>
      <c r="L8050" s="10">
        <v>26</v>
      </c>
      <c r="M8050" s="6" t="s">
        <v>386</v>
      </c>
    </row>
    <row r="8051" spans="1:13">
      <c r="A8051" s="6">
        <v>2026</v>
      </c>
      <c r="B8051" s="6">
        <v>8</v>
      </c>
      <c r="C8051" s="6" t="s">
        <v>66</v>
      </c>
      <c r="D8051" s="6" t="s">
        <v>40</v>
      </c>
      <c r="E8051" s="6" t="s">
        <v>736</v>
      </c>
      <c r="F8051" s="6" t="str">
        <f>IF($M8051="PADD I","PADD 1",IF($M8051="PADD II","PADD 2",IF($M8051="PADD III","PADD 3",IF($M8051="PADD IV","PADD 4",IF($M8051="PADD V","PADD 5","")))))</f>
        <v>PADD 1</v>
      </c>
      <c r="G8051" s="6">
        <f>IF(AND($H8051="ATMOS DISTILLATION",ISNUMBER(SEARCH("VPS",$I8051))=FALSE,LEFT($I8051,6)&lt;&gt;"VACUUM"),"CDU",IF($H8051="FLUID CAT CRACKING","FCC",IF(OR($H8051="HYDROCRACKING",$H8051="RESID_HYDROCRACKING"),"Hydrocracker",IF($H8051="REFORMING","Reformer",""))))</f>
        <v/>
      </c>
      <c r="H8051" s="6" t="s">
        <v>43</v>
      </c>
      <c r="I8051" s="6" t="s">
        <v>1029</v>
      </c>
      <c r="J8051" s="6" t="s">
        <v>345</v>
      </c>
      <c r="K8051" s="10">
        <v>1.89</v>
      </c>
      <c r="L8051" s="10">
        <v>4.2</v>
      </c>
      <c r="M8051" s="6" t="s">
        <v>413</v>
      </c>
    </row>
    <row r="8052" spans="1:13">
      <c r="A8052" s="6">
        <v>2026</v>
      </c>
      <c r="B8052" s="6">
        <v>8</v>
      </c>
      <c r="C8052" s="6" t="s">
        <v>66</v>
      </c>
      <c r="D8052" s="6" t="s">
        <v>51</v>
      </c>
      <c r="E8052" s="6" t="s">
        <v>391</v>
      </c>
      <c r="F8052" s="6" t="str">
        <f>IF($M8052="PADD I","PADD 1",IF($M8052="PADD II","PADD 2",IF($M8052="PADD III","PADD 3",IF($M8052="PADD IV","PADD 4",IF($M8052="PADD V","PADD 5","")))))</f>
        <v>PADD 5</v>
      </c>
      <c r="G8052" s="6">
        <f>IF(AND($H8052="ATMOS DISTILLATION",ISNUMBER(SEARCH("VPS",$I8052))=FALSE,LEFT($I8052,6)&lt;&gt;"VACUUM"),"CDU",IF($H8052="FLUID CAT CRACKING","FCC",IF(OR($H8052="HYDROCRACKING",$H8052="RESID_HYDROCRACKING"),"Hydrocracker",IF($H8052="REFORMING","Reformer",""))))</f>
        <v/>
      </c>
      <c r="H8052" s="6" t="s">
        <v>43</v>
      </c>
      <c r="I8052" s="6" t="s">
        <v>1207</v>
      </c>
      <c r="J8052" s="6" t="s">
        <v>349</v>
      </c>
      <c r="K8052" s="10">
        <v>1.56</v>
      </c>
      <c r="L8052" s="10">
        <v>12</v>
      </c>
      <c r="M8052" s="6" t="s">
        <v>386</v>
      </c>
    </row>
    <row r="8053" spans="1:13">
      <c r="A8053" s="6">
        <v>2026</v>
      </c>
      <c r="B8053" s="6">
        <v>8</v>
      </c>
      <c r="C8053" s="6" t="s">
        <v>66</v>
      </c>
      <c r="D8053" s="6" t="s">
        <v>326</v>
      </c>
      <c r="E8053" s="6" t="s">
        <v>385</v>
      </c>
      <c r="F8053" s="6" t="str">
        <f>IF($M8053="PADD I","PADD 1",IF($M8053="PADD II","PADD 2",IF($M8053="PADD III","PADD 3",IF($M8053="PADD IV","PADD 4",IF($M8053="PADD V","PADD 5","")))))</f>
        <v>PADD 5</v>
      </c>
      <c r="G8053" s="6">
        <f>IF(AND($H8053="ATMOS DISTILLATION",ISNUMBER(SEARCH("VPS",$I8053))=FALSE,LEFT($I8053,6)&lt;&gt;"VACUUM"),"CDU",IF($H8053="FLUID CAT CRACKING","FCC",IF(OR($H8053="HYDROCRACKING",$H8053="RESID_HYDROCRACKING"),"Hydrocracker",IF($H8053="REFORMING","Reformer",""))))</f>
        <v/>
      </c>
      <c r="H8053" s="6" t="s">
        <v>568</v>
      </c>
      <c r="I8053" s="6" t="s">
        <v>604</v>
      </c>
      <c r="J8053" s="6" t="s">
        <v>349</v>
      </c>
      <c r="K8053" s="10">
        <v>0.195</v>
      </c>
      <c r="L8053" s="10">
        <v>1.5</v>
      </c>
      <c r="M8053" s="6" t="s">
        <v>386</v>
      </c>
    </row>
    <row r="8054" spans="1:13">
      <c r="A8054" s="6">
        <v>2026</v>
      </c>
      <c r="B8054" s="6">
        <v>9</v>
      </c>
      <c r="C8054" s="6" t="s">
        <v>67</v>
      </c>
      <c r="D8054" s="6" t="s">
        <v>329</v>
      </c>
      <c r="E8054" s="6" t="s">
        <v>427</v>
      </c>
      <c r="F8054" s="6" t="str">
        <f>IF($M8054="PADD I","PADD 1",IF($M8054="PADD II","PADD 2",IF($M8054="PADD III","PADD 3",IF($M8054="PADD IV","PADD 4",IF($M8054="PADD V","PADD 5","")))))</f>
        <v>PADD 3</v>
      </c>
      <c r="G8054" s="6" t="str">
        <f>IF(AND($H8054="ATMOS DISTILLATION",ISNUMBER(SEARCH("VPS",$I8054))=FALSE,LEFT($I8054,6)&lt;&gt;"VACUUM"),"CDU",IF($H8054="FLUID CAT CRACKING","FCC",IF(OR($H8054="HYDROCRACKING",$H8054="RESID_HYDROCRACKING"),"Hydrocracker",IF($H8054="REFORMING","Reformer",""))))</f>
        <v>CDU</v>
      </c>
      <c r="H8054" s="6" t="s">
        <v>38</v>
      </c>
      <c r="I8054" s="6" t="s">
        <v>330</v>
      </c>
      <c r="J8054" s="6" t="s">
        <v>349</v>
      </c>
      <c r="K8054" s="10">
        <v>96</v>
      </c>
      <c r="L8054" s="10">
        <v>96</v>
      </c>
      <c r="M8054" s="6" t="s">
        <v>371</v>
      </c>
    </row>
    <row r="8055" spans="1:13">
      <c r="A8055" s="6">
        <v>2026</v>
      </c>
      <c r="B8055" s="6">
        <v>9</v>
      </c>
      <c r="C8055" s="6" t="s">
        <v>67</v>
      </c>
      <c r="D8055" s="6" t="s">
        <v>415</v>
      </c>
      <c r="E8055" s="6" t="s">
        <v>416</v>
      </c>
      <c r="F8055" s="6" t="str">
        <f>IF($M8055="PADD I","PADD 1",IF($M8055="PADD II","PADD 2",IF($M8055="PADD III","PADD 3",IF($M8055="PADD IV","PADD 4",IF($M8055="PADD V","PADD 5","")))))</f>
        <v>PADD 3</v>
      </c>
      <c r="G8055" s="6" t="str">
        <f>IF(AND($H8055="ATMOS DISTILLATION",ISNUMBER(SEARCH("VPS",$I8055))=FALSE,LEFT($I8055,6)&lt;&gt;"VACUUM"),"CDU",IF($H8055="FLUID CAT CRACKING","FCC",IF(OR($H8055="HYDROCRACKING",$H8055="RESID_HYDROCRACKING"),"Hydrocracker",IF($H8055="REFORMING","Reformer",""))))</f>
        <v>CDU</v>
      </c>
      <c r="H8055" s="6" t="s">
        <v>38</v>
      </c>
      <c r="I8055" s="6" t="s">
        <v>1381</v>
      </c>
      <c r="J8055" s="6" t="s">
        <v>349</v>
      </c>
      <c r="K8055" s="10">
        <v>88.34999999999999</v>
      </c>
      <c r="L8055" s="10">
        <v>155</v>
      </c>
      <c r="M8055" s="6" t="s">
        <v>371</v>
      </c>
    </row>
    <row r="8056" spans="1:13">
      <c r="A8056" s="6">
        <v>2026</v>
      </c>
      <c r="B8056" s="6">
        <v>9</v>
      </c>
      <c r="C8056" s="6" t="s">
        <v>67</v>
      </c>
      <c r="D8056" s="6" t="s">
        <v>602</v>
      </c>
      <c r="E8056" s="6" t="s">
        <v>369</v>
      </c>
      <c r="F8056" s="6" t="str">
        <f>IF($M8056="PADD I","PADD 1",IF($M8056="PADD II","PADD 2",IF($M8056="PADD III","PADD 3",IF($M8056="PADD IV","PADD 4",IF($M8056="PADD V","PADD 5","")))))</f>
        <v>PADD 2</v>
      </c>
      <c r="G8056" s="6" t="str">
        <f>IF(AND($H8056="ATMOS DISTILLATION",ISNUMBER(SEARCH("VPS",$I8056))=FALSE,LEFT($I8056,6)&lt;&gt;"VACUUM"),"CDU",IF($H8056="FLUID CAT CRACKING","FCC",IF(OR($H8056="HYDROCRACKING",$H8056="RESID_HYDROCRACKING"),"Hydrocracker",IF($H8056="REFORMING","Reformer",""))))</f>
        <v>CDU</v>
      </c>
      <c r="H8056" s="6" t="s">
        <v>38</v>
      </c>
      <c r="I8056" s="6" t="s">
        <v>1235</v>
      </c>
      <c r="J8056" s="6" t="s">
        <v>349</v>
      </c>
      <c r="K8056" s="10">
        <v>85</v>
      </c>
      <c r="L8056" s="10">
        <v>85</v>
      </c>
      <c r="M8056" s="6" t="s">
        <v>375</v>
      </c>
    </row>
    <row r="8057" spans="1:13">
      <c r="A8057" s="6">
        <v>2026</v>
      </c>
      <c r="B8057" s="6">
        <v>9</v>
      </c>
      <c r="C8057" s="6" t="s">
        <v>67</v>
      </c>
      <c r="D8057" s="6" t="s">
        <v>331</v>
      </c>
      <c r="E8057" s="6" t="s">
        <v>373</v>
      </c>
      <c r="F8057" s="6" t="str">
        <f>IF($M8057="PADD I","PADD 1",IF($M8057="PADD II","PADD 2",IF($M8057="PADD III","PADD 3",IF($M8057="PADD IV","PADD 4",IF($M8057="PADD V","PADD 5","")))))</f>
        <v>PADD 2</v>
      </c>
      <c r="G8057" s="6" t="str">
        <f>IF(AND($H8057="ATMOS DISTILLATION",ISNUMBER(SEARCH("VPS",$I8057))=FALSE,LEFT($I8057,6)&lt;&gt;"VACUUM"),"CDU",IF($H8057="FLUID CAT CRACKING","FCC",IF(OR($H8057="HYDROCRACKING",$H8057="RESID_HYDROCRACKING"),"Hydrocracker",IF($H8057="REFORMING","Reformer",""))))</f>
        <v>CDU</v>
      </c>
      <c r="H8057" s="6" t="s">
        <v>38</v>
      </c>
      <c r="I8057" s="6" t="s">
        <v>332</v>
      </c>
      <c r="J8057" s="6" t="s">
        <v>349</v>
      </c>
      <c r="K8057" s="10">
        <v>68.8</v>
      </c>
      <c r="L8057" s="10">
        <v>172</v>
      </c>
      <c r="M8057" s="6" t="s">
        <v>375</v>
      </c>
    </row>
    <row r="8058" spans="1:13">
      <c r="A8058" s="6">
        <v>2026</v>
      </c>
      <c r="B8058" s="6">
        <v>9</v>
      </c>
      <c r="C8058" s="6" t="s">
        <v>67</v>
      </c>
      <c r="D8058" s="6" t="s">
        <v>346</v>
      </c>
      <c r="E8058" s="6" t="s">
        <v>383</v>
      </c>
      <c r="F8058" s="6" t="str">
        <f>IF($M8058="PADD I","PADD 1",IF($M8058="PADD II","PADD 2",IF($M8058="PADD III","PADD 3",IF($M8058="PADD IV","PADD 4",IF($M8058="PADD V","PADD 5","")))))</f>
        <v>PADD 2</v>
      </c>
      <c r="G8058" s="6" t="str">
        <f>IF(AND($H8058="ATMOS DISTILLATION",ISNUMBER(SEARCH("VPS",$I8058))=FALSE,LEFT($I8058,6)&lt;&gt;"VACUUM"),"CDU",IF($H8058="FLUID CAT CRACKING","FCC",IF(OR($H8058="HYDROCRACKING",$H8058="RESID_HYDROCRACKING"),"Hydrocracker",IF($H8058="REFORMING","Reformer",""))))</f>
        <v>CDU</v>
      </c>
      <c r="H8058" s="6" t="s">
        <v>38</v>
      </c>
      <c r="I8058" s="6" t="s">
        <v>1058</v>
      </c>
      <c r="J8058" s="6" t="s">
        <v>349</v>
      </c>
      <c r="K8058" s="10">
        <v>58.29</v>
      </c>
      <c r="L8058" s="10">
        <v>87</v>
      </c>
      <c r="M8058" s="6" t="s">
        <v>375</v>
      </c>
    </row>
    <row r="8059" spans="1:13">
      <c r="A8059" s="6">
        <v>2026</v>
      </c>
      <c r="B8059" s="6">
        <v>9</v>
      </c>
      <c r="C8059" s="6" t="s">
        <v>67</v>
      </c>
      <c r="D8059" s="6" t="s">
        <v>346</v>
      </c>
      <c r="E8059" s="6" t="s">
        <v>383</v>
      </c>
      <c r="F8059" s="6" t="str">
        <f>IF($M8059="PADD I","PADD 1",IF($M8059="PADD II","PADD 2",IF($M8059="PADD III","PADD 3",IF($M8059="PADD IV","PADD 4",IF($M8059="PADD V","PADD 5","")))))</f>
        <v>PADD 2</v>
      </c>
      <c r="G8059" s="6" t="str">
        <f>IF(AND($H8059="ATMOS DISTILLATION",ISNUMBER(SEARCH("VPS",$I8059))=FALSE,LEFT($I8059,6)&lt;&gt;"VACUUM"),"CDU",IF($H8059="FLUID CAT CRACKING","FCC",IF(OR($H8059="HYDROCRACKING",$H8059="RESID_HYDROCRACKING"),"Hydrocracker",IF($H8059="REFORMING","Reformer",""))))</f>
        <v>FCC</v>
      </c>
      <c r="H8059" s="6" t="s">
        <v>376</v>
      </c>
      <c r="I8059" s="6" t="s">
        <v>105</v>
      </c>
      <c r="J8059" s="6" t="s">
        <v>349</v>
      </c>
      <c r="K8059" s="10">
        <v>52.93</v>
      </c>
      <c r="L8059" s="10">
        <v>79</v>
      </c>
      <c r="M8059" s="6" t="s">
        <v>375</v>
      </c>
    </row>
    <row r="8060" spans="1:13">
      <c r="A8060" s="6">
        <v>2026</v>
      </c>
      <c r="B8060" s="6">
        <v>9</v>
      </c>
      <c r="C8060" s="6" t="s">
        <v>67</v>
      </c>
      <c r="D8060" s="6" t="s">
        <v>676</v>
      </c>
      <c r="E8060" s="6" t="s">
        <v>677</v>
      </c>
      <c r="F8060" s="6" t="str">
        <f>IF($M8060="PADD I","PADD 1",IF($M8060="PADD II","PADD 2",IF($M8060="PADD III","PADD 3",IF($M8060="PADD IV","PADD 4",IF($M8060="PADD V","PADD 5","")))))</f>
        <v>PADD 1</v>
      </c>
      <c r="G8060" s="6" t="str">
        <f>IF(AND($H8060="ATMOS DISTILLATION",ISNUMBER(SEARCH("VPS",$I8060))=FALSE,LEFT($I8060,6)&lt;&gt;"VACUUM"),"CDU",IF($H8060="FLUID CAT CRACKING","FCC",IF(OR($H8060="HYDROCRACKING",$H8060="RESID_HYDROCRACKING"),"Hydrocracker",IF($H8060="REFORMING","Reformer",""))))</f>
        <v>CDU</v>
      </c>
      <c r="H8060" s="6" t="s">
        <v>38</v>
      </c>
      <c r="I8060" s="6" t="s">
        <v>678</v>
      </c>
      <c r="J8060" s="6" t="s">
        <v>349</v>
      </c>
      <c r="K8060" s="10">
        <v>51.7</v>
      </c>
      <c r="L8060" s="10">
        <v>110</v>
      </c>
      <c r="M8060" s="6" t="s">
        <v>413</v>
      </c>
    </row>
    <row r="8061" spans="1:13">
      <c r="A8061" s="6">
        <v>2026</v>
      </c>
      <c r="B8061" s="6">
        <v>9</v>
      </c>
      <c r="C8061" s="6" t="s">
        <v>67</v>
      </c>
      <c r="D8061" s="6" t="s">
        <v>387</v>
      </c>
      <c r="E8061" s="6" t="s">
        <v>388</v>
      </c>
      <c r="F8061" s="6" t="str">
        <f>IF($M8061="PADD I","PADD 1",IF($M8061="PADD II","PADD 2",IF($M8061="PADD III","PADD 3",IF($M8061="PADD IV","PADD 4",IF($M8061="PADD V","PADD 5","")))))</f>
        <v>PADD 3</v>
      </c>
      <c r="G8061" s="6" t="str">
        <f>IF(AND($H8061="ATMOS DISTILLATION",ISNUMBER(SEARCH("VPS",$I8061))=FALSE,LEFT($I8061,6)&lt;&gt;"VACUUM"),"CDU",IF($H8061="FLUID CAT CRACKING","FCC",IF(OR($H8061="HYDROCRACKING",$H8061="RESID_HYDROCRACKING"),"Hydrocracker",IF($H8061="REFORMING","Reformer",""))))</f>
        <v>Reformer</v>
      </c>
      <c r="H8061" s="6" t="s">
        <v>421</v>
      </c>
      <c r="I8061" s="6" t="s">
        <v>583</v>
      </c>
      <c r="J8061" s="6" t="s">
        <v>349</v>
      </c>
      <c r="K8061" s="10">
        <v>50.05</v>
      </c>
      <c r="L8061" s="10">
        <v>65</v>
      </c>
      <c r="M8061" s="6" t="s">
        <v>371</v>
      </c>
    </row>
    <row r="8062" spans="1:13">
      <c r="A8062" s="6">
        <v>2026</v>
      </c>
      <c r="B8062" s="6">
        <v>9</v>
      </c>
      <c r="C8062" s="6" t="s">
        <v>67</v>
      </c>
      <c r="D8062" s="6" t="s">
        <v>526</v>
      </c>
      <c r="E8062" s="6" t="s">
        <v>405</v>
      </c>
      <c r="F8062" s="6" t="str">
        <f>IF($M8062="PADD I","PADD 1",IF($M8062="PADD II","PADD 2",IF($M8062="PADD III","PADD 3",IF($M8062="PADD IV","PADD 4",IF($M8062="PADD V","PADD 5","")))))</f>
        <v>PADD 3</v>
      </c>
      <c r="G8062" s="6">
        <f>IF(AND($H8062="ATMOS DISTILLATION",ISNUMBER(SEARCH("VPS",$I8062))=FALSE,LEFT($I8062,6)&lt;&gt;"VACUUM"),"CDU",IF($H8062="FLUID CAT CRACKING","FCC",IF(OR($H8062="HYDROCRACKING",$H8062="RESID_HYDROCRACKING"),"Hydrocracker",IF($H8062="REFORMING","Reformer",""))))</f>
        <v/>
      </c>
      <c r="H8062" s="6" t="s">
        <v>43</v>
      </c>
      <c r="I8062" s="6" t="s">
        <v>1076</v>
      </c>
      <c r="J8062" s="6" t="s">
        <v>345</v>
      </c>
      <c r="K8062" s="10">
        <v>47</v>
      </c>
      <c r="L8062" s="10">
        <v>47</v>
      </c>
      <c r="M8062" s="6" t="s">
        <v>371</v>
      </c>
    </row>
    <row r="8063" spans="1:13">
      <c r="A8063" s="6">
        <v>2026</v>
      </c>
      <c r="B8063" s="6">
        <v>9</v>
      </c>
      <c r="C8063" s="6" t="s">
        <v>67</v>
      </c>
      <c r="D8063" s="6" t="s">
        <v>670</v>
      </c>
      <c r="E8063" s="6" t="s">
        <v>405</v>
      </c>
      <c r="F8063" s="6" t="str">
        <f>IF($M8063="PADD I","PADD 1",IF($M8063="PADD II","PADD 2",IF($M8063="PADD III","PADD 3",IF($M8063="PADD IV","PADD 4",IF($M8063="PADD V","PADD 5","")))))</f>
        <v>PADD 2</v>
      </c>
      <c r="G8063" s="6">
        <f>IF(AND($H8063="ATMOS DISTILLATION",ISNUMBER(SEARCH("VPS",$I8063))=FALSE,LEFT($I8063,6)&lt;&gt;"VACUUM"),"CDU",IF($H8063="FLUID CAT CRACKING","FCC",IF(OR($H8063="HYDROCRACKING",$H8063="RESID_HYDROCRACKING"),"Hydrocracker",IF($H8063="REFORMING","Reformer",""))))</f>
        <v/>
      </c>
      <c r="H8063" s="6" t="s">
        <v>43</v>
      </c>
      <c r="I8063" s="6" t="s">
        <v>914</v>
      </c>
      <c r="J8063" s="6" t="s">
        <v>349</v>
      </c>
      <c r="K8063" s="10">
        <v>45</v>
      </c>
      <c r="L8063" s="10">
        <v>45</v>
      </c>
      <c r="M8063" s="6" t="s">
        <v>375</v>
      </c>
    </row>
    <row r="8064" spans="1:13">
      <c r="A8064" s="6">
        <v>2026</v>
      </c>
      <c r="B8064" s="6">
        <v>9</v>
      </c>
      <c r="C8064" s="6" t="s">
        <v>67</v>
      </c>
      <c r="D8064" s="6" t="s">
        <v>326</v>
      </c>
      <c r="E8064" s="6" t="s">
        <v>385</v>
      </c>
      <c r="F8064" s="6" t="str">
        <f>IF($M8064="PADD I","PADD 1",IF($M8064="PADD II","PADD 2",IF($M8064="PADD III","PADD 3",IF($M8064="PADD IV","PADD 4",IF($M8064="PADD V","PADD 5","")))))</f>
        <v>PADD 5</v>
      </c>
      <c r="G8064" s="6" t="str">
        <f>IF(AND($H8064="ATMOS DISTILLATION",ISNUMBER(SEARCH("VPS",$I8064))=FALSE,LEFT($I8064,6)&lt;&gt;"VACUUM"),"CDU",IF($H8064="FLUID CAT CRACKING","FCC",IF(OR($H8064="HYDROCRACKING",$H8064="RESID_HYDROCRACKING"),"Hydrocracker",IF($H8064="REFORMING","Reformer",""))))</f>
        <v>Hydrocracker</v>
      </c>
      <c r="H8064" s="6" t="s">
        <v>444</v>
      </c>
      <c r="I8064" s="6" t="s">
        <v>498</v>
      </c>
      <c r="J8064" s="6" t="s">
        <v>349</v>
      </c>
      <c r="K8064" s="10">
        <v>42</v>
      </c>
      <c r="L8064" s="10">
        <v>42</v>
      </c>
      <c r="M8064" s="6" t="s">
        <v>386</v>
      </c>
    </row>
    <row r="8065" spans="1:13">
      <c r="A8065" s="6">
        <v>2026</v>
      </c>
      <c r="B8065" s="6">
        <v>9</v>
      </c>
      <c r="C8065" s="6" t="s">
        <v>67</v>
      </c>
      <c r="D8065" s="6" t="s">
        <v>455</v>
      </c>
      <c r="E8065" s="6" t="s">
        <v>405</v>
      </c>
      <c r="F8065" s="6" t="str">
        <f>IF($M8065="PADD I","PADD 1",IF($M8065="PADD II","PADD 2",IF($M8065="PADD III","PADD 3",IF($M8065="PADD IV","PADD 4",IF($M8065="PADD V","PADD 5","")))))</f>
        <v>PADD 3</v>
      </c>
      <c r="G8065" s="6" t="str">
        <f>IF(AND($H8065="ATMOS DISTILLATION",ISNUMBER(SEARCH("VPS",$I8065))=FALSE,LEFT($I8065,6)&lt;&gt;"VACUUM"),"CDU",IF($H8065="FLUID CAT CRACKING","FCC",IF(OR($H8065="HYDROCRACKING",$H8065="RESID_HYDROCRACKING"),"Hydrocracker",IF($H8065="REFORMING","Reformer",""))))</f>
        <v>Hydrocracker</v>
      </c>
      <c r="H8065" s="6" t="s">
        <v>444</v>
      </c>
      <c r="I8065" s="6" t="s">
        <v>456</v>
      </c>
      <c r="J8065" s="6" t="s">
        <v>349</v>
      </c>
      <c r="K8065" s="10">
        <v>39.75</v>
      </c>
      <c r="L8065" s="10">
        <v>75</v>
      </c>
      <c r="M8065" s="6" t="s">
        <v>371</v>
      </c>
    </row>
    <row r="8066" spans="1:13">
      <c r="A8066" s="6">
        <v>2026</v>
      </c>
      <c r="B8066" s="6">
        <v>9</v>
      </c>
      <c r="C8066" s="6" t="s">
        <v>67</v>
      </c>
      <c r="D8066" s="6" t="s">
        <v>415</v>
      </c>
      <c r="E8066" s="6" t="s">
        <v>416</v>
      </c>
      <c r="F8066" s="6" t="str">
        <f>IF($M8066="PADD I","PADD 1",IF($M8066="PADD II","PADD 2",IF($M8066="PADD III","PADD 3",IF($M8066="PADD IV","PADD 4",IF($M8066="PADD V","PADD 5","")))))</f>
        <v>PADD 3</v>
      </c>
      <c r="G8066" s="6">
        <f>IF(AND($H8066="ATMOS DISTILLATION",ISNUMBER(SEARCH("VPS",$I8066))=FALSE,LEFT($I8066,6)&lt;&gt;"VACUUM"),"CDU",IF($H8066="FLUID CAT CRACKING","FCC",IF(OR($H8066="HYDROCRACKING",$H8066="RESID_HYDROCRACKING"),"Hydrocracker",IF($H8066="REFORMING","Reformer",""))))</f>
        <v/>
      </c>
      <c r="H8066" s="6" t="s">
        <v>435</v>
      </c>
      <c r="I8066" s="6" t="s">
        <v>1169</v>
      </c>
      <c r="J8066" s="6" t="s">
        <v>349</v>
      </c>
      <c r="K8066" s="10">
        <v>34.2</v>
      </c>
      <c r="L8066" s="10">
        <v>60</v>
      </c>
      <c r="M8066" s="6" t="s">
        <v>371</v>
      </c>
    </row>
    <row r="8067" spans="1:13">
      <c r="A8067" s="6">
        <v>2026</v>
      </c>
      <c r="B8067" s="6">
        <v>9</v>
      </c>
      <c r="C8067" s="6" t="s">
        <v>67</v>
      </c>
      <c r="D8067" s="6" t="s">
        <v>670</v>
      </c>
      <c r="E8067" s="6" t="s">
        <v>405</v>
      </c>
      <c r="F8067" s="6" t="str">
        <f>IF($M8067="PADD I","PADD 1",IF($M8067="PADD II","PADD 2",IF($M8067="PADD III","PADD 3",IF($M8067="PADD IV","PADD 4",IF($M8067="PADD V","PADD 5","")))))</f>
        <v>PADD 2</v>
      </c>
      <c r="G8067" s="6" t="str">
        <f>IF(AND($H8067="ATMOS DISTILLATION",ISNUMBER(SEARCH("VPS",$I8067))=FALSE,LEFT($I8067,6)&lt;&gt;"VACUUM"),"CDU",IF($H8067="FLUID CAT CRACKING","FCC",IF(OR($H8067="HYDROCRACKING",$H8067="RESID_HYDROCRACKING"),"Hydrocracker",IF($H8067="REFORMING","Reformer",""))))</f>
        <v>Hydrocracker</v>
      </c>
      <c r="H8067" s="6" t="s">
        <v>444</v>
      </c>
      <c r="I8067" s="6" t="s">
        <v>1318</v>
      </c>
      <c r="J8067" s="6" t="s">
        <v>349</v>
      </c>
      <c r="K8067" s="10">
        <v>33</v>
      </c>
      <c r="L8067" s="10">
        <v>33</v>
      </c>
      <c r="M8067" s="6" t="s">
        <v>375</v>
      </c>
    </row>
    <row r="8068" spans="1:13">
      <c r="A8068" s="6">
        <v>2026</v>
      </c>
      <c r="B8068" s="6">
        <v>9</v>
      </c>
      <c r="C8068" s="6" t="s">
        <v>67</v>
      </c>
      <c r="D8068" s="6" t="s">
        <v>602</v>
      </c>
      <c r="E8068" s="6" t="s">
        <v>369</v>
      </c>
      <c r="F8068" s="6" t="str">
        <f>IF($M8068="PADD I","PADD 1",IF($M8068="PADD II","PADD 2",IF($M8068="PADD III","PADD 3",IF($M8068="PADD IV","PADD 4",IF($M8068="PADD V","PADD 5","")))))</f>
        <v>PADD 2</v>
      </c>
      <c r="G8068" s="6">
        <f>IF(AND($H8068="ATMOS DISTILLATION",ISNUMBER(SEARCH("VPS",$I8068))=FALSE,LEFT($I8068,6)&lt;&gt;"VACUUM"),"CDU",IF($H8068="FLUID CAT CRACKING","FCC",IF(OR($H8068="HYDROCRACKING",$H8068="RESID_HYDROCRACKING"),"Hydrocracker",IF($H8068="REFORMING","Reformer",""))))</f>
        <v/>
      </c>
      <c r="H8068" s="6" t="s">
        <v>435</v>
      </c>
      <c r="I8068" s="6" t="s">
        <v>441</v>
      </c>
      <c r="J8068" s="6" t="s">
        <v>349</v>
      </c>
      <c r="K8068" s="10">
        <v>31</v>
      </c>
      <c r="L8068" s="10">
        <v>31</v>
      </c>
      <c r="M8068" s="6" t="s">
        <v>375</v>
      </c>
    </row>
    <row r="8069" spans="1:13">
      <c r="A8069" s="6">
        <v>2026</v>
      </c>
      <c r="B8069" s="6">
        <v>9</v>
      </c>
      <c r="C8069" s="6" t="s">
        <v>67</v>
      </c>
      <c r="D8069" s="6" t="s">
        <v>329</v>
      </c>
      <c r="E8069" s="6" t="s">
        <v>427</v>
      </c>
      <c r="F8069" s="6" t="str">
        <f>IF($M8069="PADD I","PADD 1",IF($M8069="PADD II","PADD 2",IF($M8069="PADD III","PADD 3",IF($M8069="PADD IV","PADD 4",IF($M8069="PADD V","PADD 5","")))))</f>
        <v>PADD 3</v>
      </c>
      <c r="G8069" s="6">
        <f>IF(AND($H8069="ATMOS DISTILLATION",ISNUMBER(SEARCH("VPS",$I8069))=FALSE,LEFT($I8069,6)&lt;&gt;"VACUUM"),"CDU",IF($H8069="FLUID CAT CRACKING","FCC",IF(OR($H8069="HYDROCRACKING",$H8069="RESID_HYDROCRACKING"),"Hydrocracker",IF($H8069="REFORMING","Reformer",""))))</f>
        <v/>
      </c>
      <c r="H8069" s="6" t="s">
        <v>435</v>
      </c>
      <c r="I8069" s="6" t="s">
        <v>1248</v>
      </c>
      <c r="J8069" s="6" t="s">
        <v>349</v>
      </c>
      <c r="K8069" s="10">
        <v>30</v>
      </c>
      <c r="L8069" s="10">
        <v>30</v>
      </c>
      <c r="M8069" s="6" t="s">
        <v>371</v>
      </c>
    </row>
    <row r="8070" spans="1:13">
      <c r="A8070" s="6">
        <v>2026</v>
      </c>
      <c r="B8070" s="6">
        <v>9</v>
      </c>
      <c r="C8070" s="6" t="s">
        <v>67</v>
      </c>
      <c r="D8070" s="6" t="s">
        <v>326</v>
      </c>
      <c r="E8070" s="6" t="s">
        <v>385</v>
      </c>
      <c r="F8070" s="6" t="str">
        <f>IF($M8070="PADD I","PADD 1",IF($M8070="PADD II","PADD 2",IF($M8070="PADD III","PADD 3",IF($M8070="PADD IV","PADD 4",IF($M8070="PADD V","PADD 5","")))))</f>
        <v>PADD 5</v>
      </c>
      <c r="G8070" s="6" t="str">
        <f>IF(AND($H8070="ATMOS DISTILLATION",ISNUMBER(SEARCH("VPS",$I8070))=FALSE,LEFT($I8070,6)&lt;&gt;"VACUUM"),"CDU",IF($H8070="FLUID CAT CRACKING","FCC",IF(OR($H8070="HYDROCRACKING",$H8070="RESID_HYDROCRACKING"),"Hydrocracker",IF($H8070="REFORMING","Reformer",""))))</f>
        <v>Reformer</v>
      </c>
      <c r="H8070" s="6" t="s">
        <v>421</v>
      </c>
      <c r="I8070" s="6" t="s">
        <v>15</v>
      </c>
      <c r="J8070" s="6" t="s">
        <v>349</v>
      </c>
      <c r="K8070" s="10">
        <v>29.5</v>
      </c>
      <c r="L8070" s="10">
        <v>29.5</v>
      </c>
      <c r="M8070" s="6" t="s">
        <v>386</v>
      </c>
    </row>
    <row r="8071" spans="1:13">
      <c r="A8071" s="6">
        <v>2026</v>
      </c>
      <c r="B8071" s="6">
        <v>9</v>
      </c>
      <c r="C8071" s="6" t="s">
        <v>67</v>
      </c>
      <c r="D8071" s="6" t="s">
        <v>326</v>
      </c>
      <c r="E8071" s="6" t="s">
        <v>385</v>
      </c>
      <c r="F8071" s="6" t="str">
        <f>IF($M8071="PADD I","PADD 1",IF($M8071="PADD II","PADD 2",IF($M8071="PADD III","PADD 3",IF($M8071="PADD IV","PADD 4",IF($M8071="PADD V","PADD 5","")))))</f>
        <v>PADD 5</v>
      </c>
      <c r="G8071" s="6">
        <f>IF(AND($H8071="ATMOS DISTILLATION",ISNUMBER(SEARCH("VPS",$I8071))=FALSE,LEFT($I8071,6)&lt;&gt;"VACUUM"),"CDU",IF($H8071="FLUID CAT CRACKING","FCC",IF(OR($H8071="HYDROCRACKING",$H8071="RESID_HYDROCRACKING"),"Hydrocracker",IF($H8071="REFORMING","Reformer",""))))</f>
        <v/>
      </c>
      <c r="H8071" s="6" t="s">
        <v>43</v>
      </c>
      <c r="I8071" s="6" t="s">
        <v>1183</v>
      </c>
      <c r="J8071" s="6" t="s">
        <v>349</v>
      </c>
      <c r="K8071" s="10">
        <v>26</v>
      </c>
      <c r="L8071" s="10">
        <v>26</v>
      </c>
      <c r="M8071" s="6" t="s">
        <v>386</v>
      </c>
    </row>
    <row r="8072" spans="1:13">
      <c r="A8072" s="6">
        <v>2026</v>
      </c>
      <c r="B8072" s="6">
        <v>9</v>
      </c>
      <c r="C8072" s="6" t="s">
        <v>67</v>
      </c>
      <c r="D8072" s="6" t="s">
        <v>331</v>
      </c>
      <c r="E8072" s="6" t="s">
        <v>373</v>
      </c>
      <c r="F8072" s="6" t="str">
        <f>IF($M8072="PADD I","PADD 1",IF($M8072="PADD II","PADD 2",IF($M8072="PADD III","PADD 3",IF($M8072="PADD IV","PADD 4",IF($M8072="PADD V","PADD 5","")))))</f>
        <v>PADD 2</v>
      </c>
      <c r="G8072" s="6">
        <f>IF(AND($H8072="ATMOS DISTILLATION",ISNUMBER(SEARCH("VPS",$I8072))=FALSE,LEFT($I8072,6)&lt;&gt;"VACUUM"),"CDU",IF($H8072="FLUID CAT CRACKING","FCC",IF(OR($H8072="HYDROCRACKING",$H8072="RESID_HYDROCRACKING"),"Hydrocracker",IF($H8072="REFORMING","Reformer",""))))</f>
        <v/>
      </c>
      <c r="H8072" s="6" t="s">
        <v>43</v>
      </c>
      <c r="I8072" s="6" t="s">
        <v>910</v>
      </c>
      <c r="J8072" s="6" t="s">
        <v>349</v>
      </c>
      <c r="K8072" s="10">
        <v>25.2</v>
      </c>
      <c r="L8072" s="10">
        <v>63</v>
      </c>
      <c r="M8072" s="6" t="s">
        <v>375</v>
      </c>
    </row>
    <row r="8073" spans="1:13">
      <c r="A8073" s="6">
        <v>2026</v>
      </c>
      <c r="B8073" s="6">
        <v>9</v>
      </c>
      <c r="C8073" s="6" t="s">
        <v>67</v>
      </c>
      <c r="D8073" s="6" t="s">
        <v>714</v>
      </c>
      <c r="E8073" s="6" t="s">
        <v>405</v>
      </c>
      <c r="F8073" s="6" t="str">
        <f>IF($M8073="PADD I","PADD 1",IF($M8073="PADD II","PADD 2",IF($M8073="PADD III","PADD 3",IF($M8073="PADD IV","PADD 4",IF($M8073="PADD V","PADD 5","")))))</f>
        <v>PADD 3</v>
      </c>
      <c r="G8073" s="6" t="str">
        <f>IF(AND($H8073="ATMOS DISTILLATION",ISNUMBER(SEARCH("VPS",$I8073))=FALSE,LEFT($I8073,6)&lt;&gt;"VACUUM"),"CDU",IF($H8073="FLUID CAT CRACKING","FCC",IF(OR($H8073="HYDROCRACKING",$H8073="RESID_HYDROCRACKING"),"Hydrocracker",IF($H8073="REFORMING","Reformer",""))))</f>
        <v>Hydrocracker</v>
      </c>
      <c r="H8073" s="6" t="s">
        <v>444</v>
      </c>
      <c r="I8073" s="6" t="s">
        <v>14</v>
      </c>
      <c r="J8073" s="6" t="s">
        <v>349</v>
      </c>
      <c r="K8073" s="10">
        <v>24</v>
      </c>
      <c r="L8073" s="10">
        <v>30</v>
      </c>
      <c r="M8073" s="6" t="s">
        <v>371</v>
      </c>
    </row>
    <row r="8074" spans="1:13">
      <c r="A8074" s="6">
        <v>2026</v>
      </c>
      <c r="B8074" s="6">
        <v>9</v>
      </c>
      <c r="C8074" s="6" t="s">
        <v>67</v>
      </c>
      <c r="D8074" s="6" t="s">
        <v>331</v>
      </c>
      <c r="E8074" s="6" t="s">
        <v>373</v>
      </c>
      <c r="F8074" s="6" t="str">
        <f>IF($M8074="PADD I","PADD 1",IF($M8074="PADD II","PADD 2",IF($M8074="PADD III","PADD 3",IF($M8074="PADD IV","PADD 4",IF($M8074="PADD V","PADD 5","")))))</f>
        <v>PADD 2</v>
      </c>
      <c r="G8074" s="6">
        <f>IF(AND($H8074="ATMOS DISTILLATION",ISNUMBER(SEARCH("VPS",$I8074))=FALSE,LEFT($I8074,6)&lt;&gt;"VACUUM"),"CDU",IF($H8074="FLUID CAT CRACKING","FCC",IF(OR($H8074="HYDROCRACKING",$H8074="RESID_HYDROCRACKING"),"Hydrocracker",IF($H8074="REFORMING","Reformer",""))))</f>
        <v/>
      </c>
      <c r="H8074" s="6" t="s">
        <v>378</v>
      </c>
      <c r="I8074" s="6" t="s">
        <v>431</v>
      </c>
      <c r="J8074" s="6" t="s">
        <v>349</v>
      </c>
      <c r="K8074" s="10">
        <v>20.8</v>
      </c>
      <c r="L8074" s="10">
        <v>52</v>
      </c>
      <c r="M8074" s="6" t="s">
        <v>375</v>
      </c>
    </row>
    <row r="8075" spans="1:13">
      <c r="A8075" s="6">
        <v>2026</v>
      </c>
      <c r="B8075" s="6">
        <v>9</v>
      </c>
      <c r="C8075" s="6" t="s">
        <v>67</v>
      </c>
      <c r="D8075" s="6" t="s">
        <v>40</v>
      </c>
      <c r="E8075" s="6" t="s">
        <v>736</v>
      </c>
      <c r="F8075" s="6" t="str">
        <f>IF($M8075="PADD I","PADD 1",IF($M8075="PADD II","PADD 2",IF($M8075="PADD III","PADD 3",IF($M8075="PADD IV","PADD 4",IF($M8075="PADD V","PADD 5","")))))</f>
        <v>PADD 1</v>
      </c>
      <c r="G8075" s="6">
        <f>IF(AND($H8075="ATMOS DISTILLATION",ISNUMBER(SEARCH("VPS",$I8075))=FALSE,LEFT($I8075,6)&lt;&gt;"VACUUM"),"CDU",IF($H8075="FLUID CAT CRACKING","FCC",IF(OR($H8075="HYDROCRACKING",$H8075="RESID_HYDROCRACKING"),"Hydrocracker",IF($H8075="REFORMING","Reformer",""))))</f>
        <v/>
      </c>
      <c r="H8075" s="6" t="s">
        <v>378</v>
      </c>
      <c r="I8075" s="6" t="s">
        <v>963</v>
      </c>
      <c r="J8075" s="6" t="s">
        <v>349</v>
      </c>
      <c r="K8075" s="10">
        <v>20.1939</v>
      </c>
      <c r="L8075" s="10">
        <v>24.33</v>
      </c>
      <c r="M8075" s="6" t="s">
        <v>413</v>
      </c>
    </row>
    <row r="8076" spans="1:13">
      <c r="A8076" s="6">
        <v>2026</v>
      </c>
      <c r="B8076" s="6">
        <v>9</v>
      </c>
      <c r="C8076" s="6" t="s">
        <v>67</v>
      </c>
      <c r="D8076" s="6" t="s">
        <v>602</v>
      </c>
      <c r="E8076" s="6" t="s">
        <v>369</v>
      </c>
      <c r="F8076" s="6" t="str">
        <f>IF($M8076="PADD I","PADD 1",IF($M8076="PADD II","PADD 2",IF($M8076="PADD III","PADD 3",IF($M8076="PADD IV","PADD 4",IF($M8076="PADD V","PADD 5","")))))</f>
        <v>PADD 2</v>
      </c>
      <c r="G8076" s="6" t="str">
        <f>IF(AND($H8076="ATMOS DISTILLATION",ISNUMBER(SEARCH("VPS",$I8076))=FALSE,LEFT($I8076,6)&lt;&gt;"VACUUM"),"CDU",IF($H8076="FLUID CAT CRACKING","FCC",IF(OR($H8076="HYDROCRACKING",$H8076="RESID_HYDROCRACKING"),"Hydrocracker",IF($H8076="REFORMING","Reformer",""))))</f>
        <v>Reformer</v>
      </c>
      <c r="H8076" s="6" t="s">
        <v>421</v>
      </c>
      <c r="I8076" s="6" t="s">
        <v>697</v>
      </c>
      <c r="J8076" s="6" t="s">
        <v>349</v>
      </c>
      <c r="K8076" s="10">
        <v>20</v>
      </c>
      <c r="L8076" s="10">
        <v>20</v>
      </c>
      <c r="M8076" s="6" t="s">
        <v>375</v>
      </c>
    </row>
    <row r="8077" spans="1:13">
      <c r="A8077" s="6">
        <v>2026</v>
      </c>
      <c r="B8077" s="6">
        <v>9</v>
      </c>
      <c r="C8077" s="6" t="s">
        <v>67</v>
      </c>
      <c r="D8077" s="6" t="s">
        <v>602</v>
      </c>
      <c r="E8077" s="6" t="s">
        <v>369</v>
      </c>
      <c r="F8077" s="6" t="str">
        <f>IF($M8077="PADD I","PADD 1",IF($M8077="PADD II","PADD 2",IF($M8077="PADD III","PADD 3",IF($M8077="PADD IV","PADD 4",IF($M8077="PADD V","PADD 5","")))))</f>
        <v>PADD 2</v>
      </c>
      <c r="G8077" s="6" t="str">
        <f>IF(AND($H8077="ATMOS DISTILLATION",ISNUMBER(SEARCH("VPS",$I8077))=FALSE,LEFT($I8077,6)&lt;&gt;"VACUUM"),"CDU",IF($H8077="FLUID CAT CRACKING","FCC",IF(OR($H8077="HYDROCRACKING",$H8077="RESID_HYDROCRACKING"),"Hydrocracker",IF($H8077="REFORMING","Reformer",""))))</f>
        <v>Reformer</v>
      </c>
      <c r="H8077" s="6" t="s">
        <v>421</v>
      </c>
      <c r="I8077" s="6" t="s">
        <v>1123</v>
      </c>
      <c r="J8077" s="6" t="s">
        <v>349</v>
      </c>
      <c r="K8077" s="10">
        <v>20</v>
      </c>
      <c r="L8077" s="10">
        <v>20</v>
      </c>
      <c r="M8077" s="6" t="s">
        <v>375</v>
      </c>
    </row>
    <row r="8078" spans="1:13">
      <c r="A8078" s="6">
        <v>2026</v>
      </c>
      <c r="B8078" s="6">
        <v>9</v>
      </c>
      <c r="C8078" s="6" t="s">
        <v>67</v>
      </c>
      <c r="D8078" s="6" t="s">
        <v>803</v>
      </c>
      <c r="E8078" s="6" t="s">
        <v>388</v>
      </c>
      <c r="F8078" s="6" t="str">
        <f>IF($M8078="PADD I","PADD 1",IF($M8078="PADD II","PADD 2",IF($M8078="PADD III","PADD 3",IF($M8078="PADD IV","PADD 4",IF($M8078="PADD V","PADD 5","")))))</f>
        <v>PADD 2</v>
      </c>
      <c r="G8078" s="6">
        <f>IF(AND($H8078="ATMOS DISTILLATION",ISNUMBER(SEARCH("VPS",$I8078))=FALSE,LEFT($I8078,6)&lt;&gt;"VACUUM"),"CDU",IF($H8078="FLUID CAT CRACKING","FCC",IF(OR($H8078="HYDROCRACKING",$H8078="RESID_HYDROCRACKING"),"Hydrocracker",IF($H8078="REFORMING","Reformer",""))))</f>
        <v/>
      </c>
      <c r="H8078" s="6" t="s">
        <v>43</v>
      </c>
      <c r="I8078" s="6" t="s">
        <v>1177</v>
      </c>
      <c r="J8078" s="6" t="s">
        <v>349</v>
      </c>
      <c r="K8078" s="10">
        <v>20</v>
      </c>
      <c r="L8078" s="10">
        <v>20</v>
      </c>
      <c r="M8078" s="6" t="s">
        <v>375</v>
      </c>
    </row>
    <row r="8079" spans="1:13">
      <c r="A8079" s="6">
        <v>2026</v>
      </c>
      <c r="B8079" s="6">
        <v>9</v>
      </c>
      <c r="C8079" s="6" t="s">
        <v>67</v>
      </c>
      <c r="D8079" s="6" t="s">
        <v>324</v>
      </c>
      <c r="E8079" s="6" t="s">
        <v>388</v>
      </c>
      <c r="F8079" s="6" t="str">
        <f>IF($M8079="PADD I","PADD 1",IF($M8079="PADD II","PADD 2",IF($M8079="PADD III","PADD 3",IF($M8079="PADD IV","PADD 4",IF($M8079="PADD V","PADD 5","")))))</f>
        <v>PADD 3</v>
      </c>
      <c r="G8079" s="6">
        <f>IF(AND($H8079="ATMOS DISTILLATION",ISNUMBER(SEARCH("VPS",$I8079))=FALSE,LEFT($I8079,6)&lt;&gt;"VACUUM"),"CDU",IF($H8079="FLUID CAT CRACKING","FCC",IF(OR($H8079="HYDROCRACKING",$H8079="RESID_HYDROCRACKING"),"Hydrocracker",IF($H8079="REFORMING","Reformer",""))))</f>
        <v/>
      </c>
      <c r="H8079" s="6" t="s">
        <v>43</v>
      </c>
      <c r="I8079" s="6" t="s">
        <v>693</v>
      </c>
      <c r="J8079" s="6" t="s">
        <v>349</v>
      </c>
      <c r="K8079" s="10">
        <v>17.2</v>
      </c>
      <c r="L8079" s="10">
        <v>43</v>
      </c>
      <c r="M8079" s="6" t="s">
        <v>371</v>
      </c>
    </row>
    <row r="8080" spans="1:13">
      <c r="A8080" s="6">
        <v>2026</v>
      </c>
      <c r="B8080" s="6">
        <v>9</v>
      </c>
      <c r="C8080" s="6" t="s">
        <v>67</v>
      </c>
      <c r="D8080" s="6" t="s">
        <v>602</v>
      </c>
      <c r="E8080" s="6" t="s">
        <v>369</v>
      </c>
      <c r="F8080" s="6" t="str">
        <f>IF($M8080="PADD I","PADD 1",IF($M8080="PADD II","PADD 2",IF($M8080="PADD III","PADD 3",IF($M8080="PADD IV","PADD 4",IF($M8080="PADD V","PADD 5","")))))</f>
        <v>PADD 2</v>
      </c>
      <c r="G8080" s="6">
        <f>IF(AND($H8080="ATMOS DISTILLATION",ISNUMBER(SEARCH("VPS",$I8080))=FALSE,LEFT($I8080,6)&lt;&gt;"VACUUM"),"CDU",IF($H8080="FLUID CAT CRACKING","FCC",IF(OR($H8080="HYDROCRACKING",$H8080="RESID_HYDROCRACKING"),"Hydrocracker",IF($H8080="REFORMING","Reformer",""))))</f>
        <v/>
      </c>
      <c r="H8080" s="6" t="s">
        <v>43</v>
      </c>
      <c r="I8080" s="6" t="s">
        <v>708</v>
      </c>
      <c r="J8080" s="6" t="s">
        <v>349</v>
      </c>
      <c r="K8080" s="10">
        <v>16</v>
      </c>
      <c r="L8080" s="10">
        <v>16</v>
      </c>
      <c r="M8080" s="6" t="s">
        <v>375</v>
      </c>
    </row>
    <row r="8081" spans="1:13">
      <c r="A8081" s="6">
        <v>2026</v>
      </c>
      <c r="B8081" s="6">
        <v>9</v>
      </c>
      <c r="C8081" s="6" t="s">
        <v>67</v>
      </c>
      <c r="D8081" s="6" t="s">
        <v>331</v>
      </c>
      <c r="E8081" s="6" t="s">
        <v>373</v>
      </c>
      <c r="F8081" s="6" t="str">
        <f>IF($M8081="PADD I","PADD 1",IF($M8081="PADD II","PADD 2",IF($M8081="PADD III","PADD 3",IF($M8081="PADD IV","PADD 4",IF($M8081="PADD V","PADD 5","")))))</f>
        <v>PADD 2</v>
      </c>
      <c r="G8081" s="6" t="str">
        <f>IF(AND($H8081="ATMOS DISTILLATION",ISNUMBER(SEARCH("VPS",$I8081))=FALSE,LEFT($I8081,6)&lt;&gt;"VACUUM"),"CDU",IF($H8081="FLUID CAT CRACKING","FCC",IF(OR($H8081="HYDROCRACKING",$H8081="RESID_HYDROCRACKING"),"Hydrocracker",IF($H8081="REFORMING","Reformer",""))))</f>
        <v>FCC</v>
      </c>
      <c r="H8081" s="6" t="s">
        <v>376</v>
      </c>
      <c r="I8081" s="6" t="s">
        <v>105</v>
      </c>
      <c r="J8081" s="6" t="s">
        <v>349</v>
      </c>
      <c r="K8081" s="10">
        <v>16</v>
      </c>
      <c r="L8081" s="10">
        <v>40</v>
      </c>
      <c r="M8081" s="6" t="s">
        <v>375</v>
      </c>
    </row>
    <row r="8082" spans="1:13">
      <c r="A8082" s="6">
        <v>2026</v>
      </c>
      <c r="B8082" s="6">
        <v>9</v>
      </c>
      <c r="C8082" s="6" t="s">
        <v>67</v>
      </c>
      <c r="D8082" s="6" t="s">
        <v>331</v>
      </c>
      <c r="E8082" s="6" t="s">
        <v>373</v>
      </c>
      <c r="F8082" s="6" t="str">
        <f>IF($M8082="PADD I","PADD 1",IF($M8082="PADD II","PADD 2",IF($M8082="PADD III","PADD 3",IF($M8082="PADD IV","PADD 4",IF($M8082="PADD V","PADD 5","")))))</f>
        <v>PADD 2</v>
      </c>
      <c r="G8082" s="6" t="str">
        <f>IF(AND($H8082="ATMOS DISTILLATION",ISNUMBER(SEARCH("VPS",$I8082))=FALSE,LEFT($I8082,6)&lt;&gt;"VACUUM"),"CDU",IF($H8082="FLUID CAT CRACKING","FCC",IF(OR($H8082="HYDROCRACKING",$H8082="RESID_HYDROCRACKING"),"Hydrocracker",IF($H8082="REFORMING","Reformer",""))))</f>
        <v>Reformer</v>
      </c>
      <c r="H8082" s="6" t="s">
        <v>421</v>
      </c>
      <c r="I8082" s="6" t="s">
        <v>916</v>
      </c>
      <c r="J8082" s="6" t="s">
        <v>349</v>
      </c>
      <c r="K8082" s="10">
        <v>16</v>
      </c>
      <c r="L8082" s="10">
        <v>40</v>
      </c>
      <c r="M8082" s="6" t="s">
        <v>375</v>
      </c>
    </row>
    <row r="8083" spans="1:13">
      <c r="A8083" s="6">
        <v>2026</v>
      </c>
      <c r="B8083" s="6">
        <v>9</v>
      </c>
      <c r="C8083" s="6" t="s">
        <v>67</v>
      </c>
      <c r="D8083" s="6" t="s">
        <v>324</v>
      </c>
      <c r="E8083" s="6" t="s">
        <v>388</v>
      </c>
      <c r="F8083" s="6" t="str">
        <f>IF($M8083="PADD I","PADD 1",IF($M8083="PADD II","PADD 2",IF($M8083="PADD III","PADD 3",IF($M8083="PADD IV","PADD 4",IF($M8083="PADD V","PADD 5","")))))</f>
        <v>PADD 3</v>
      </c>
      <c r="G8083" s="6">
        <f>IF(AND($H8083="ATMOS DISTILLATION",ISNUMBER(SEARCH("VPS",$I8083))=FALSE,LEFT($I8083,6)&lt;&gt;"VACUUM"),"CDU",IF($H8083="FLUID CAT CRACKING","FCC",IF(OR($H8083="HYDROCRACKING",$H8083="RESID_HYDROCRACKING"),"Hydrocracker",IF($H8083="REFORMING","Reformer",""))))</f>
        <v/>
      </c>
      <c r="H8083" s="6" t="s">
        <v>43</v>
      </c>
      <c r="I8083" s="6" t="s">
        <v>948</v>
      </c>
      <c r="J8083" s="6" t="s">
        <v>349</v>
      </c>
      <c r="K8083" s="10">
        <v>15.98</v>
      </c>
      <c r="L8083" s="10">
        <v>94</v>
      </c>
      <c r="M8083" s="6" t="s">
        <v>371</v>
      </c>
    </row>
    <row r="8084" spans="1:13">
      <c r="A8084" s="6">
        <v>2026</v>
      </c>
      <c r="B8084" s="6">
        <v>9</v>
      </c>
      <c r="C8084" s="6" t="s">
        <v>67</v>
      </c>
      <c r="D8084" s="6" t="s">
        <v>331</v>
      </c>
      <c r="E8084" s="6" t="s">
        <v>373</v>
      </c>
      <c r="F8084" s="6" t="str">
        <f>IF($M8084="PADD I","PADD 1",IF($M8084="PADD II","PADD 2",IF($M8084="PADD III","PADD 3",IF($M8084="PADD IV","PADD 4",IF($M8084="PADD V","PADD 5","")))))</f>
        <v>PADD 2</v>
      </c>
      <c r="G8084" s="6">
        <f>IF(AND($H8084="ATMOS DISTILLATION",ISNUMBER(SEARCH("VPS",$I8084))=FALSE,LEFT($I8084,6)&lt;&gt;"VACUUM"),"CDU",IF($H8084="FLUID CAT CRACKING","FCC",IF(OR($H8084="HYDROCRACKING",$H8084="RESID_HYDROCRACKING"),"Hydrocracker",IF($H8084="REFORMING","Reformer",""))))</f>
        <v/>
      </c>
      <c r="H8084" s="6" t="s">
        <v>43</v>
      </c>
      <c r="I8084" s="6" t="s">
        <v>458</v>
      </c>
      <c r="J8084" s="6" t="s">
        <v>349</v>
      </c>
      <c r="K8084" s="10">
        <v>14</v>
      </c>
      <c r="L8084" s="10">
        <v>35</v>
      </c>
      <c r="M8084" s="6" t="s">
        <v>375</v>
      </c>
    </row>
    <row r="8085" spans="1:13">
      <c r="A8085" s="6">
        <v>2026</v>
      </c>
      <c r="B8085" s="6">
        <v>9</v>
      </c>
      <c r="C8085" s="6" t="s">
        <v>67</v>
      </c>
      <c r="D8085" s="6" t="s">
        <v>331</v>
      </c>
      <c r="E8085" s="6" t="s">
        <v>373</v>
      </c>
      <c r="F8085" s="6" t="str">
        <f>IF($M8085="PADD I","PADD 1",IF($M8085="PADD II","PADD 2",IF($M8085="PADD III","PADD 3",IF($M8085="PADD IV","PADD 4",IF($M8085="PADD V","PADD 5","")))))</f>
        <v>PADD 2</v>
      </c>
      <c r="G8085" s="6">
        <f>IF(AND($H8085="ATMOS DISTILLATION",ISNUMBER(SEARCH("VPS",$I8085))=FALSE,LEFT($I8085,6)&lt;&gt;"VACUUM"),"CDU",IF($H8085="FLUID CAT CRACKING","FCC",IF(OR($H8085="HYDROCRACKING",$H8085="RESID_HYDROCRACKING"),"Hydrocracker",IF($H8085="REFORMING","Reformer",""))))</f>
        <v/>
      </c>
      <c r="H8085" s="6" t="s">
        <v>435</v>
      </c>
      <c r="I8085" s="6" t="s">
        <v>441</v>
      </c>
      <c r="J8085" s="6" t="s">
        <v>349</v>
      </c>
      <c r="K8085" s="10">
        <v>12.52</v>
      </c>
      <c r="L8085" s="10">
        <v>31.3</v>
      </c>
      <c r="M8085" s="6" t="s">
        <v>375</v>
      </c>
    </row>
    <row r="8086" spans="1:13">
      <c r="A8086" s="6">
        <v>2026</v>
      </c>
      <c r="B8086" s="6">
        <v>9</v>
      </c>
      <c r="C8086" s="6" t="s">
        <v>67</v>
      </c>
      <c r="D8086" s="6" t="s">
        <v>331</v>
      </c>
      <c r="E8086" s="6" t="s">
        <v>373</v>
      </c>
      <c r="F8086" s="6" t="str">
        <f>IF($M8086="PADD I","PADD 1",IF($M8086="PADD II","PADD 2",IF($M8086="PADD III","PADD 3",IF($M8086="PADD IV","PADD 4",IF($M8086="PADD V","PADD 5","")))))</f>
        <v>PADD 2</v>
      </c>
      <c r="G8086" s="6" t="str">
        <f>IF(AND($H8086="ATMOS DISTILLATION",ISNUMBER(SEARCH("VPS",$I8086))=FALSE,LEFT($I8086,6)&lt;&gt;"VACUUM"),"CDU",IF($H8086="FLUID CAT CRACKING","FCC",IF(OR($H8086="HYDROCRACKING",$H8086="RESID_HYDROCRACKING"),"Hydrocracker",IF($H8086="REFORMING","Reformer",""))))</f>
        <v>Hydrocracker</v>
      </c>
      <c r="H8086" s="6" t="s">
        <v>444</v>
      </c>
      <c r="I8086" s="6" t="s">
        <v>445</v>
      </c>
      <c r="J8086" s="6" t="s">
        <v>349</v>
      </c>
      <c r="K8086" s="10">
        <v>10.4</v>
      </c>
      <c r="L8086" s="10">
        <v>26</v>
      </c>
      <c r="M8086" s="6" t="s">
        <v>375</v>
      </c>
    </row>
    <row r="8087" spans="1:13">
      <c r="A8087" s="6">
        <v>2026</v>
      </c>
      <c r="B8087" s="6">
        <v>9</v>
      </c>
      <c r="C8087" s="6" t="s">
        <v>67</v>
      </c>
      <c r="D8087" s="6" t="s">
        <v>628</v>
      </c>
      <c r="E8087" s="6" t="s">
        <v>388</v>
      </c>
      <c r="F8087" s="6" t="str">
        <f>IF($M8087="PADD I","PADD 1",IF($M8087="PADD II","PADD 2",IF($M8087="PADD III","PADD 3",IF($M8087="PADD IV","PADD 4",IF($M8087="PADD V","PADD 5","")))))</f>
        <v>PADD 3</v>
      </c>
      <c r="G8087" s="6">
        <f>IF(AND($H8087="ATMOS DISTILLATION",ISNUMBER(SEARCH("VPS",$I8087))=FALSE,LEFT($I8087,6)&lt;&gt;"VACUUM"),"CDU",IF($H8087="FLUID CAT CRACKING","FCC",IF(OR($H8087="HYDROCRACKING",$H8087="RESID_HYDROCRACKING"),"Hydrocracker",IF($H8087="REFORMING","Reformer",""))))</f>
        <v/>
      </c>
      <c r="H8087" s="6" t="s">
        <v>637</v>
      </c>
      <c r="I8087" s="6" t="s">
        <v>1253</v>
      </c>
      <c r="J8087" s="6" t="s">
        <v>349</v>
      </c>
      <c r="K8087" s="10">
        <v>8.1</v>
      </c>
      <c r="L8087" s="10">
        <v>9</v>
      </c>
      <c r="M8087" s="6" t="s">
        <v>371</v>
      </c>
    </row>
    <row r="8088" spans="1:13">
      <c r="A8088" s="6">
        <v>2026</v>
      </c>
      <c r="B8088" s="6">
        <v>9</v>
      </c>
      <c r="C8088" s="6" t="s">
        <v>67</v>
      </c>
      <c r="D8088" s="6" t="s">
        <v>331</v>
      </c>
      <c r="E8088" s="6" t="s">
        <v>373</v>
      </c>
      <c r="F8088" s="6" t="str">
        <f>IF($M8088="PADD I","PADD 1",IF($M8088="PADD II","PADD 2",IF($M8088="PADD III","PADD 3",IF($M8088="PADD IV","PADD 4",IF($M8088="PADD V","PADD 5","")))))</f>
        <v>PADD 2</v>
      </c>
      <c r="G8088" s="6">
        <f>IF(AND($H8088="ATMOS DISTILLATION",ISNUMBER(SEARCH("VPS",$I8088))=FALSE,LEFT($I8088,6)&lt;&gt;"VACUUM"),"CDU",IF($H8088="FLUID CAT CRACKING","FCC",IF(OR($H8088="HYDROCRACKING",$H8088="RESID_HYDROCRACKING"),"Hydrocracker",IF($H8088="REFORMING","Reformer",""))))</f>
        <v/>
      </c>
      <c r="H8088" s="6" t="s">
        <v>43</v>
      </c>
      <c r="I8088" s="6" t="s">
        <v>925</v>
      </c>
      <c r="J8088" s="6" t="s">
        <v>349</v>
      </c>
      <c r="K8088" s="10">
        <v>8</v>
      </c>
      <c r="L8088" s="10">
        <v>20</v>
      </c>
      <c r="M8088" s="6" t="s">
        <v>375</v>
      </c>
    </row>
    <row r="8089" spans="1:13">
      <c r="A8089" s="6">
        <v>2026</v>
      </c>
      <c r="B8089" s="6">
        <v>9</v>
      </c>
      <c r="C8089" s="6" t="s">
        <v>67</v>
      </c>
      <c r="D8089" s="6" t="s">
        <v>51</v>
      </c>
      <c r="E8089" s="6" t="s">
        <v>391</v>
      </c>
      <c r="F8089" s="6" t="str">
        <f>IF($M8089="PADD I","PADD 1",IF($M8089="PADD II","PADD 2",IF($M8089="PADD III","PADD 3",IF($M8089="PADD IV","PADD 4",IF($M8089="PADD V","PADD 5","")))))</f>
        <v>PADD 5</v>
      </c>
      <c r="G8089" s="6">
        <f>IF(AND($H8089="ATMOS DISTILLATION",ISNUMBER(SEARCH("VPS",$I8089))=FALSE,LEFT($I8089,6)&lt;&gt;"VACUUM"),"CDU",IF($H8089="FLUID CAT CRACKING","FCC",IF(OR($H8089="HYDROCRACKING",$H8089="RESID_HYDROCRACKING"),"Hydrocracker",IF($H8089="REFORMING","Reformer",""))))</f>
        <v/>
      </c>
      <c r="H8089" s="6" t="s">
        <v>43</v>
      </c>
      <c r="I8089" s="6" t="s">
        <v>1207</v>
      </c>
      <c r="J8089" s="6" t="s">
        <v>349</v>
      </c>
      <c r="K8089" s="10">
        <v>7.56</v>
      </c>
      <c r="L8089" s="10">
        <v>12</v>
      </c>
      <c r="M8089" s="6" t="s">
        <v>386</v>
      </c>
    </row>
    <row r="8090" spans="1:13">
      <c r="A8090" s="6">
        <v>2026</v>
      </c>
      <c r="B8090" s="6">
        <v>9</v>
      </c>
      <c r="C8090" s="6" t="s">
        <v>67</v>
      </c>
      <c r="D8090" s="6" t="s">
        <v>390</v>
      </c>
      <c r="E8090" s="6" t="s">
        <v>391</v>
      </c>
      <c r="F8090" s="6" t="str">
        <f>IF($M8090="PADD I","PADD 1",IF($M8090="PADD II","PADD 2",IF($M8090="PADD III","PADD 3",IF($M8090="PADD IV","PADD 4",IF($M8090="PADD V","PADD 5","")))))</f>
        <v>PADD 3</v>
      </c>
      <c r="G8090" s="6">
        <f>IF(AND($H8090="ATMOS DISTILLATION",ISNUMBER(SEARCH("VPS",$I8090))=FALSE,LEFT($I8090,6)&lt;&gt;"VACUUM"),"CDU",IF($H8090="FLUID CAT CRACKING","FCC",IF(OR($H8090="HYDROCRACKING",$H8090="RESID_HYDROCRACKING"),"Hydrocracker",IF($H8090="REFORMING","Reformer",""))))</f>
        <v/>
      </c>
      <c r="H8090" s="6" t="s">
        <v>43</v>
      </c>
      <c r="I8090" s="6" t="s">
        <v>651</v>
      </c>
      <c r="J8090" s="6" t="s">
        <v>349</v>
      </c>
      <c r="K8090" s="10">
        <v>6.8</v>
      </c>
      <c r="L8090" s="10">
        <v>40</v>
      </c>
      <c r="M8090" s="6" t="s">
        <v>371</v>
      </c>
    </row>
    <row r="8091" spans="1:13">
      <c r="A8091" s="6">
        <v>2026</v>
      </c>
      <c r="B8091" s="6">
        <v>9</v>
      </c>
      <c r="C8091" s="6" t="s">
        <v>67</v>
      </c>
      <c r="D8091" s="6" t="s">
        <v>742</v>
      </c>
      <c r="E8091" s="6" t="s">
        <v>388</v>
      </c>
      <c r="F8091" s="6" t="str">
        <f>IF($M8091="PADD I","PADD 1",IF($M8091="PADD II","PADD 2",IF($M8091="PADD III","PADD 3",IF($M8091="PADD IV","PADD 4",IF($M8091="PADD V","PADD 5","")))))</f>
        <v>PADD 5</v>
      </c>
      <c r="G8091" s="6">
        <f>IF(AND($H8091="ATMOS DISTILLATION",ISNUMBER(SEARCH("VPS",$I8091))=FALSE,LEFT($I8091,6)&lt;&gt;"VACUUM"),"CDU",IF($H8091="FLUID CAT CRACKING","FCC",IF(OR($H8091="HYDROCRACKING",$H8091="RESID_HYDROCRACKING"),"Hydrocracker",IF($H8091="REFORMING","Reformer",""))))</f>
        <v/>
      </c>
      <c r="H8091" s="6" t="s">
        <v>568</v>
      </c>
      <c r="I8091" s="6" t="s">
        <v>768</v>
      </c>
      <c r="J8091" s="6" t="s">
        <v>349</v>
      </c>
      <c r="K8091" s="10">
        <v>3.5</v>
      </c>
      <c r="L8091" s="10">
        <v>3.5</v>
      </c>
      <c r="M8091" s="6" t="s">
        <v>386</v>
      </c>
    </row>
    <row r="8092" spans="1:13">
      <c r="A8092" s="6">
        <v>2026</v>
      </c>
      <c r="B8092" s="6">
        <v>9</v>
      </c>
      <c r="C8092" s="6" t="s">
        <v>67</v>
      </c>
      <c r="D8092" s="6" t="s">
        <v>628</v>
      </c>
      <c r="E8092" s="6" t="s">
        <v>388</v>
      </c>
      <c r="F8092" s="6" t="str">
        <f>IF($M8092="PADD I","PADD 1",IF($M8092="PADD II","PADD 2",IF($M8092="PADD III","PADD 3",IF($M8092="PADD IV","PADD 4",IF($M8092="PADD V","PADD 5","")))))</f>
        <v>PADD 3</v>
      </c>
      <c r="G8092" s="6">
        <f>IF(AND($H8092="ATMOS DISTILLATION",ISNUMBER(SEARCH("VPS",$I8092))=FALSE,LEFT($I8092,6)&lt;&gt;"VACUUM"),"CDU",IF($H8092="FLUID CAT CRACKING","FCC",IF(OR($H8092="HYDROCRACKING",$H8092="RESID_HYDROCRACKING"),"Hydrocracker",IF($H8092="REFORMING","Reformer",""))))</f>
        <v/>
      </c>
      <c r="H8092" s="6" t="s">
        <v>637</v>
      </c>
      <c r="I8092" s="6" t="s">
        <v>1382</v>
      </c>
      <c r="J8092" s="6" t="s">
        <v>349</v>
      </c>
      <c r="K8092" s="10">
        <v>2.151</v>
      </c>
      <c r="L8092" s="10">
        <v>2.39</v>
      </c>
      <c r="M8092" s="6" t="s">
        <v>371</v>
      </c>
    </row>
    <row r="8093" spans="1:13">
      <c r="A8093" s="6">
        <v>2026</v>
      </c>
      <c r="B8093" s="6">
        <v>9</v>
      </c>
      <c r="C8093" s="6" t="s">
        <v>67</v>
      </c>
      <c r="D8093" s="6" t="s">
        <v>612</v>
      </c>
      <c r="E8093" s="6" t="s">
        <v>416</v>
      </c>
      <c r="F8093" s="6" t="str">
        <f>IF($M8093="PADD I","PADD 1",IF($M8093="PADD II","PADD 2",IF($M8093="PADD III","PADD 3",IF($M8093="PADD IV","PADD 4",IF($M8093="PADD V","PADD 5","")))))</f>
        <v>PADD 3</v>
      </c>
      <c r="G8093" s="6">
        <f>IF(AND($H8093="ATMOS DISTILLATION",ISNUMBER(SEARCH("VPS",$I8093))=FALSE,LEFT($I8093,6)&lt;&gt;"VACUUM"),"CDU",IF($H8093="FLUID CAT CRACKING","FCC",IF(OR($H8093="HYDROCRACKING",$H8093="RESID_HYDROCRACKING"),"Hydrocracker",IF($H8093="REFORMING","Reformer",""))))</f>
        <v/>
      </c>
      <c r="H8093" s="6" t="s">
        <v>43</v>
      </c>
      <c r="I8093" s="6" t="s">
        <v>837</v>
      </c>
      <c r="J8093" s="6" t="s">
        <v>349</v>
      </c>
      <c r="K8093" s="10">
        <v>2</v>
      </c>
      <c r="L8093" s="10">
        <v>20</v>
      </c>
      <c r="M8093" s="6" t="s">
        <v>371</v>
      </c>
    </row>
    <row r="8094" spans="1:13">
      <c r="A8094" s="6">
        <v>2026</v>
      </c>
      <c r="B8094" s="6">
        <v>9</v>
      </c>
      <c r="C8094" s="6" t="s">
        <v>67</v>
      </c>
      <c r="D8094" s="6" t="s">
        <v>612</v>
      </c>
      <c r="E8094" s="6" t="s">
        <v>416</v>
      </c>
      <c r="F8094" s="6" t="str">
        <f>IF($M8094="PADD I","PADD 1",IF($M8094="PADD II","PADD 2",IF($M8094="PADD III","PADD 3",IF($M8094="PADD IV","PADD 4",IF($M8094="PADD V","PADD 5","")))))</f>
        <v>PADD 3</v>
      </c>
      <c r="G8094" s="6" t="str">
        <f>IF(AND($H8094="ATMOS DISTILLATION",ISNUMBER(SEARCH("VPS",$I8094))=FALSE,LEFT($I8094,6)&lt;&gt;"VACUUM"),"CDU",IF($H8094="FLUID CAT CRACKING","FCC",IF(OR($H8094="HYDROCRACKING",$H8094="RESID_HYDROCRACKING"),"Hydrocracker",IF($H8094="REFORMING","Reformer",""))))</f>
        <v>Reformer</v>
      </c>
      <c r="H8094" s="6" t="s">
        <v>421</v>
      </c>
      <c r="I8094" s="6" t="s">
        <v>755</v>
      </c>
      <c r="J8094" s="6" t="s">
        <v>349</v>
      </c>
      <c r="K8094" s="10">
        <v>2</v>
      </c>
      <c r="L8094" s="10">
        <v>20</v>
      </c>
      <c r="M8094" s="6" t="s">
        <v>371</v>
      </c>
    </row>
    <row r="8095" spans="1:13">
      <c r="A8095" s="6">
        <v>2026</v>
      </c>
      <c r="B8095" s="6">
        <v>9</v>
      </c>
      <c r="C8095" s="6" t="s">
        <v>67</v>
      </c>
      <c r="D8095" s="6" t="s">
        <v>326</v>
      </c>
      <c r="E8095" s="6" t="s">
        <v>385</v>
      </c>
      <c r="F8095" s="6" t="str">
        <f>IF($M8095="PADD I","PADD 1",IF($M8095="PADD II","PADD 2",IF($M8095="PADD III","PADD 3",IF($M8095="PADD IV","PADD 4",IF($M8095="PADD V","PADD 5","")))))</f>
        <v>PADD 5</v>
      </c>
      <c r="G8095" s="6">
        <f>IF(AND($H8095="ATMOS DISTILLATION",ISNUMBER(SEARCH("VPS",$I8095))=FALSE,LEFT($I8095,6)&lt;&gt;"VACUUM"),"CDU",IF($H8095="FLUID CAT CRACKING","FCC",IF(OR($H8095="HYDROCRACKING",$H8095="RESID_HYDROCRACKING"),"Hydrocracker",IF($H8095="REFORMING","Reformer",""))))</f>
        <v/>
      </c>
      <c r="H8095" s="6" t="s">
        <v>568</v>
      </c>
      <c r="I8095" s="6" t="s">
        <v>604</v>
      </c>
      <c r="J8095" s="6" t="s">
        <v>349</v>
      </c>
      <c r="K8095" s="10">
        <v>1.5</v>
      </c>
      <c r="L8095" s="10">
        <v>1.5</v>
      </c>
      <c r="M8095" s="6" t="s">
        <v>386</v>
      </c>
    </row>
    <row r="8096" spans="1:13">
      <c r="A8096" s="6">
        <v>2026</v>
      </c>
      <c r="B8096" s="6">
        <v>9</v>
      </c>
      <c r="C8096" s="6" t="s">
        <v>67</v>
      </c>
      <c r="D8096" s="6" t="s">
        <v>612</v>
      </c>
      <c r="E8096" s="6" t="s">
        <v>416</v>
      </c>
      <c r="F8096" s="6" t="str">
        <f>IF($M8096="PADD I","PADD 1",IF($M8096="PADD II","PADD 2",IF($M8096="PADD III","PADD 3",IF($M8096="PADD IV","PADD 4",IF($M8096="PADD V","PADD 5","")))))</f>
        <v>PADD 3</v>
      </c>
      <c r="G8096" s="6">
        <f>IF(AND($H8096="ATMOS DISTILLATION",ISNUMBER(SEARCH("VPS",$I8096))=FALSE,LEFT($I8096,6)&lt;&gt;"VACUUM"),"CDU",IF($H8096="FLUID CAT CRACKING","FCC",IF(OR($H8096="HYDROCRACKING",$H8096="RESID_HYDROCRACKING"),"Hydrocracker",IF($H8096="REFORMING","Reformer",""))))</f>
        <v/>
      </c>
      <c r="H8096" s="6" t="s">
        <v>897</v>
      </c>
      <c r="I8096" s="6" t="s">
        <v>898</v>
      </c>
      <c r="J8096" s="6" t="s">
        <v>349</v>
      </c>
      <c r="K8096" s="10">
        <v>0.36</v>
      </c>
      <c r="L8096" s="10">
        <v>3.6</v>
      </c>
      <c r="M8096" s="6" t="s">
        <v>371</v>
      </c>
    </row>
    <row r="8097" spans="1:13">
      <c r="A8097" s="6">
        <v>2026</v>
      </c>
      <c r="B8097" s="6">
        <v>10</v>
      </c>
      <c r="C8097" s="6" t="s">
        <v>68</v>
      </c>
      <c r="D8097" s="6" t="s">
        <v>331</v>
      </c>
      <c r="E8097" s="6" t="s">
        <v>373</v>
      </c>
      <c r="F8097" s="6" t="str">
        <f>IF($M8097="PADD I","PADD 1",IF($M8097="PADD II","PADD 2",IF($M8097="PADD III","PADD 3",IF($M8097="PADD IV","PADD 4",IF($M8097="PADD V","PADD 5","")))))</f>
        <v>PADD 2</v>
      </c>
      <c r="G8097" s="6" t="str">
        <f>IF(AND($H8097="ATMOS DISTILLATION",ISNUMBER(SEARCH("VPS",$I8097))=FALSE,LEFT($I8097,6)&lt;&gt;"VACUUM"),"CDU",IF($H8097="FLUID CAT CRACKING","FCC",IF(OR($H8097="HYDROCRACKING",$H8097="RESID_HYDROCRACKING"),"Hydrocracker",IF($H8097="REFORMING","Reformer",""))))</f>
        <v>CDU</v>
      </c>
      <c r="H8097" s="6" t="s">
        <v>38</v>
      </c>
      <c r="I8097" s="6" t="s">
        <v>332</v>
      </c>
      <c r="J8097" s="6" t="s">
        <v>349</v>
      </c>
      <c r="K8097" s="10">
        <v>127.28</v>
      </c>
      <c r="L8097" s="10">
        <v>172</v>
      </c>
      <c r="M8097" s="6" t="s">
        <v>375</v>
      </c>
    </row>
    <row r="8098" spans="1:13">
      <c r="A8098" s="6">
        <v>2026</v>
      </c>
      <c r="B8098" s="6">
        <v>10</v>
      </c>
      <c r="C8098" s="6" t="s">
        <v>68</v>
      </c>
      <c r="D8098" s="6" t="s">
        <v>329</v>
      </c>
      <c r="E8098" s="6" t="s">
        <v>427</v>
      </c>
      <c r="F8098" s="6" t="str">
        <f>IF($M8098="PADD I","PADD 1",IF($M8098="PADD II","PADD 2",IF($M8098="PADD III","PADD 3",IF($M8098="PADD IV","PADD 4",IF($M8098="PADD V","PADD 5","")))))</f>
        <v>PADD 3</v>
      </c>
      <c r="G8098" s="6" t="str">
        <f>IF(AND($H8098="ATMOS DISTILLATION",ISNUMBER(SEARCH("VPS",$I8098))=FALSE,LEFT($I8098,6)&lt;&gt;"VACUUM"),"CDU",IF($H8098="FLUID CAT CRACKING","FCC",IF(OR($H8098="HYDROCRACKING",$H8098="RESID_HYDROCRACKING"),"Hydrocracker",IF($H8098="REFORMING","Reformer",""))))</f>
        <v>CDU</v>
      </c>
      <c r="H8098" s="6" t="s">
        <v>38</v>
      </c>
      <c r="I8098" s="6" t="s">
        <v>330</v>
      </c>
      <c r="J8098" s="6" t="s">
        <v>349</v>
      </c>
      <c r="K8098" s="10">
        <v>96</v>
      </c>
      <c r="L8098" s="10">
        <v>96</v>
      </c>
      <c r="M8098" s="6" t="s">
        <v>371</v>
      </c>
    </row>
    <row r="8099" spans="1:13">
      <c r="A8099" s="6">
        <v>2026</v>
      </c>
      <c r="B8099" s="6">
        <v>10</v>
      </c>
      <c r="C8099" s="6" t="s">
        <v>68</v>
      </c>
      <c r="D8099" s="6" t="s">
        <v>675</v>
      </c>
      <c r="E8099" s="6" t="s">
        <v>452</v>
      </c>
      <c r="F8099" s="6" t="str">
        <f>IF($M8099="PADD I","PADD 1",IF($M8099="PADD II","PADD 2",IF($M8099="PADD III","PADD 3",IF($M8099="PADD IV","PADD 4",IF($M8099="PADD V","PADD 5","")))))</f>
        <v>PADD 2</v>
      </c>
      <c r="G8099" s="6" t="str">
        <f>IF(AND($H8099="ATMOS DISTILLATION",ISNUMBER(SEARCH("VPS",$I8099))=FALSE,LEFT($I8099,6)&lt;&gt;"VACUUM"),"CDU",IF($H8099="FLUID CAT CRACKING","FCC",IF(OR($H8099="HYDROCRACKING",$H8099="RESID_HYDROCRACKING"),"Hydrocracker",IF($H8099="REFORMING","Reformer",""))))</f>
        <v>CDU</v>
      </c>
      <c r="H8099" s="6" t="s">
        <v>38</v>
      </c>
      <c r="I8099" s="6" t="s">
        <v>81</v>
      </c>
      <c r="J8099" s="6" t="s">
        <v>349</v>
      </c>
      <c r="K8099" s="10">
        <v>77.76000000000001</v>
      </c>
      <c r="L8099" s="10">
        <v>162</v>
      </c>
      <c r="M8099" s="6" t="s">
        <v>375</v>
      </c>
    </row>
    <row r="8100" spans="1:13">
      <c r="A8100" s="6">
        <v>2026</v>
      </c>
      <c r="B8100" s="6">
        <v>10</v>
      </c>
      <c r="C8100" s="6" t="s">
        <v>68</v>
      </c>
      <c r="D8100" s="6" t="s">
        <v>730</v>
      </c>
      <c r="E8100" s="6" t="s">
        <v>731</v>
      </c>
      <c r="F8100" s="6" t="str">
        <f>IF($M8100="PADD I","PADD 1",IF($M8100="PADD II","PADD 2",IF($M8100="PADD III","PADD 3",IF($M8100="PADD IV","PADD 4",IF($M8100="PADD V","PADD 5","")))))</f>
        <v>PADD 3</v>
      </c>
      <c r="G8100" s="6" t="str">
        <f>IF(AND($H8100="ATMOS DISTILLATION",ISNUMBER(SEARCH("VPS",$I8100))=FALSE,LEFT($I8100,6)&lt;&gt;"VACUUM"),"CDU",IF($H8100="FLUID CAT CRACKING","FCC",IF(OR($H8100="HYDROCRACKING",$H8100="RESID_HYDROCRACKING"),"Hydrocracker",IF($H8100="REFORMING","Reformer",""))))</f>
        <v>CDU</v>
      </c>
      <c r="H8100" s="6" t="s">
        <v>38</v>
      </c>
      <c r="I8100" s="6" t="s">
        <v>81</v>
      </c>
      <c r="J8100" s="6" t="s">
        <v>349</v>
      </c>
      <c r="K8100" s="10">
        <v>75.2</v>
      </c>
      <c r="L8100" s="10">
        <v>80</v>
      </c>
      <c r="M8100" s="6" t="s">
        <v>371</v>
      </c>
    </row>
    <row r="8101" spans="1:13">
      <c r="A8101" s="6">
        <v>2026</v>
      </c>
      <c r="B8101" s="6">
        <v>10</v>
      </c>
      <c r="C8101" s="6" t="s">
        <v>68</v>
      </c>
      <c r="D8101" s="6" t="s">
        <v>676</v>
      </c>
      <c r="E8101" s="6" t="s">
        <v>677</v>
      </c>
      <c r="F8101" s="6" t="str">
        <f>IF($M8101="PADD I","PADD 1",IF($M8101="PADD II","PADD 2",IF($M8101="PADD III","PADD 3",IF($M8101="PADD IV","PADD 4",IF($M8101="PADD V","PADD 5","")))))</f>
        <v>PADD 1</v>
      </c>
      <c r="G8101" s="6" t="str">
        <f>IF(AND($H8101="ATMOS DISTILLATION",ISNUMBER(SEARCH("VPS",$I8101))=FALSE,LEFT($I8101,6)&lt;&gt;"VACUUM"),"CDU",IF($H8101="FLUID CAT CRACKING","FCC",IF(OR($H8101="HYDROCRACKING",$H8101="RESID_HYDROCRACKING"),"Hydrocracker",IF($H8101="REFORMING","Reformer",""))))</f>
        <v>CDU</v>
      </c>
      <c r="H8101" s="6" t="s">
        <v>38</v>
      </c>
      <c r="I8101" s="6" t="s">
        <v>678</v>
      </c>
      <c r="J8101" s="6" t="s">
        <v>349</v>
      </c>
      <c r="K8101" s="10">
        <v>74.8</v>
      </c>
      <c r="L8101" s="10">
        <v>110</v>
      </c>
      <c r="M8101" s="6" t="s">
        <v>413</v>
      </c>
    </row>
    <row r="8102" spans="1:13">
      <c r="A8102" s="6">
        <v>2026</v>
      </c>
      <c r="B8102" s="6">
        <v>10</v>
      </c>
      <c r="C8102" s="6" t="s">
        <v>68</v>
      </c>
      <c r="D8102" s="6" t="s">
        <v>346</v>
      </c>
      <c r="E8102" s="6" t="s">
        <v>383</v>
      </c>
      <c r="F8102" s="6" t="str">
        <f>IF($M8102="PADD I","PADD 1",IF($M8102="PADD II","PADD 2",IF($M8102="PADD III","PADD 3",IF($M8102="PADD IV","PADD 4",IF($M8102="PADD V","PADD 5","")))))</f>
        <v>PADD 2</v>
      </c>
      <c r="G8102" s="6" t="str">
        <f>IF(AND($H8102="ATMOS DISTILLATION",ISNUMBER(SEARCH("VPS",$I8102))=FALSE,LEFT($I8102,6)&lt;&gt;"VACUUM"),"CDU",IF($H8102="FLUID CAT CRACKING","FCC",IF(OR($H8102="HYDROCRACKING",$H8102="RESID_HYDROCRACKING"),"Hydrocracker",IF($H8102="REFORMING","Reformer",""))))</f>
        <v>CDU</v>
      </c>
      <c r="H8102" s="6" t="s">
        <v>38</v>
      </c>
      <c r="I8102" s="6" t="s">
        <v>1058</v>
      </c>
      <c r="J8102" s="6" t="s">
        <v>349</v>
      </c>
      <c r="K8102" s="10">
        <v>70.47</v>
      </c>
      <c r="L8102" s="10">
        <v>87</v>
      </c>
      <c r="M8102" s="6" t="s">
        <v>375</v>
      </c>
    </row>
    <row r="8103" spans="1:13">
      <c r="A8103" s="6">
        <v>2026</v>
      </c>
      <c r="B8103" s="6">
        <v>10</v>
      </c>
      <c r="C8103" s="6" t="s">
        <v>68</v>
      </c>
      <c r="D8103" s="6" t="s">
        <v>415</v>
      </c>
      <c r="E8103" s="6" t="s">
        <v>416</v>
      </c>
      <c r="F8103" s="6" t="str">
        <f>IF($M8103="PADD I","PADD 1",IF($M8103="PADD II","PADD 2",IF($M8103="PADD III","PADD 3",IF($M8103="PADD IV","PADD 4",IF($M8103="PADD V","PADD 5","")))))</f>
        <v>PADD 3</v>
      </c>
      <c r="G8103" s="6" t="str">
        <f>IF(AND($H8103="ATMOS DISTILLATION",ISNUMBER(SEARCH("VPS",$I8103))=FALSE,LEFT($I8103,6)&lt;&gt;"VACUUM"),"CDU",IF($H8103="FLUID CAT CRACKING","FCC",IF(OR($H8103="HYDROCRACKING",$H8103="RESID_HYDROCRACKING"),"Hydrocracker",IF($H8103="REFORMING","Reformer",""))))</f>
        <v>CDU</v>
      </c>
      <c r="H8103" s="6" t="s">
        <v>38</v>
      </c>
      <c r="I8103" s="6" t="s">
        <v>1381</v>
      </c>
      <c r="J8103" s="6" t="s">
        <v>349</v>
      </c>
      <c r="K8103" s="10">
        <v>65.09999999999999</v>
      </c>
      <c r="L8103" s="10">
        <v>155</v>
      </c>
      <c r="M8103" s="6" t="s">
        <v>371</v>
      </c>
    </row>
    <row r="8104" spans="1:13">
      <c r="A8104" s="6">
        <v>2026</v>
      </c>
      <c r="B8104" s="6">
        <v>10</v>
      </c>
      <c r="C8104" s="6" t="s">
        <v>68</v>
      </c>
      <c r="D8104" s="6" t="s">
        <v>387</v>
      </c>
      <c r="E8104" s="6" t="s">
        <v>388</v>
      </c>
      <c r="F8104" s="6" t="str">
        <f>IF($M8104="PADD I","PADD 1",IF($M8104="PADD II","PADD 2",IF($M8104="PADD III","PADD 3",IF($M8104="PADD IV","PADD 4",IF($M8104="PADD V","PADD 5","")))))</f>
        <v>PADD 3</v>
      </c>
      <c r="G8104" s="6" t="str">
        <f>IF(AND($H8104="ATMOS DISTILLATION",ISNUMBER(SEARCH("VPS",$I8104))=FALSE,LEFT($I8104,6)&lt;&gt;"VACUUM"),"CDU",IF($H8104="FLUID CAT CRACKING","FCC",IF(OR($H8104="HYDROCRACKING",$H8104="RESID_HYDROCRACKING"),"Hydrocracker",IF($H8104="REFORMING","Reformer",""))))</f>
        <v>Reformer</v>
      </c>
      <c r="H8104" s="6" t="s">
        <v>421</v>
      </c>
      <c r="I8104" s="6" t="s">
        <v>583</v>
      </c>
      <c r="J8104" s="6" t="s">
        <v>349</v>
      </c>
      <c r="K8104" s="10">
        <v>65</v>
      </c>
      <c r="L8104" s="10">
        <v>65</v>
      </c>
      <c r="M8104" s="6" t="s">
        <v>371</v>
      </c>
    </row>
    <row r="8105" spans="1:13">
      <c r="A8105" s="6">
        <v>2026</v>
      </c>
      <c r="B8105" s="6">
        <v>10</v>
      </c>
      <c r="C8105" s="6" t="s">
        <v>68</v>
      </c>
      <c r="D8105" s="6" t="s">
        <v>346</v>
      </c>
      <c r="E8105" s="6" t="s">
        <v>383</v>
      </c>
      <c r="F8105" s="6" t="str">
        <f>IF($M8105="PADD I","PADD 1",IF($M8105="PADD II","PADD 2",IF($M8105="PADD III","PADD 3",IF($M8105="PADD IV","PADD 4",IF($M8105="PADD V","PADD 5","")))))</f>
        <v>PADD 2</v>
      </c>
      <c r="G8105" s="6" t="str">
        <f>IF(AND($H8105="ATMOS DISTILLATION",ISNUMBER(SEARCH("VPS",$I8105))=FALSE,LEFT($I8105,6)&lt;&gt;"VACUUM"),"CDU",IF($H8105="FLUID CAT CRACKING","FCC",IF(OR($H8105="HYDROCRACKING",$H8105="RESID_HYDROCRACKING"),"Hydrocracker",IF($H8105="REFORMING","Reformer",""))))</f>
        <v>FCC</v>
      </c>
      <c r="H8105" s="6" t="s">
        <v>376</v>
      </c>
      <c r="I8105" s="6" t="s">
        <v>105</v>
      </c>
      <c r="J8105" s="6" t="s">
        <v>349</v>
      </c>
      <c r="K8105" s="10">
        <v>63.99</v>
      </c>
      <c r="L8105" s="10">
        <v>79</v>
      </c>
      <c r="M8105" s="6" t="s">
        <v>375</v>
      </c>
    </row>
    <row r="8106" spans="1:13">
      <c r="A8106" s="6">
        <v>2026</v>
      </c>
      <c r="B8106" s="6">
        <v>10</v>
      </c>
      <c r="C8106" s="6" t="s">
        <v>68</v>
      </c>
      <c r="D8106" s="6" t="s">
        <v>547</v>
      </c>
      <c r="E8106" s="6" t="s">
        <v>391</v>
      </c>
      <c r="F8106" s="6" t="str">
        <f>IF($M8106="PADD I","PADD 1",IF($M8106="PADD II","PADD 2",IF($M8106="PADD III","PADD 3",IF($M8106="PADD IV","PADD 4",IF($M8106="PADD V","PADD 5","")))))</f>
        <v>PADD 5</v>
      </c>
      <c r="G8106" s="6" t="str">
        <f>IF(AND($H8106="ATMOS DISTILLATION",ISNUMBER(SEARCH("VPS",$I8106))=FALSE,LEFT($I8106,6)&lt;&gt;"VACUUM"),"CDU",IF($H8106="FLUID CAT CRACKING","FCC",IF(OR($H8106="HYDROCRACKING",$H8106="RESID_HYDROCRACKING"),"Hydrocracker",IF($H8106="REFORMING","Reformer",""))))</f>
        <v>FCC</v>
      </c>
      <c r="H8106" s="6" t="s">
        <v>376</v>
      </c>
      <c r="I8106" s="6" t="s">
        <v>105</v>
      </c>
      <c r="J8106" s="6" t="s">
        <v>349</v>
      </c>
      <c r="K8106" s="10">
        <v>59.2</v>
      </c>
      <c r="L8106" s="10">
        <v>80</v>
      </c>
      <c r="M8106" s="6" t="s">
        <v>386</v>
      </c>
    </row>
    <row r="8107" spans="1:13">
      <c r="A8107" s="6">
        <v>2026</v>
      </c>
      <c r="B8107" s="6">
        <v>10</v>
      </c>
      <c r="C8107" s="6" t="s">
        <v>68</v>
      </c>
      <c r="D8107" s="6" t="s">
        <v>1119</v>
      </c>
      <c r="E8107" s="6" t="s">
        <v>1120</v>
      </c>
      <c r="F8107" s="6" t="str">
        <f>IF($M8107="PADD I","PADD 1",IF($M8107="PADD II","PADD 2",IF($M8107="PADD III","PADD 3",IF($M8107="PADD IV","PADD 4",IF($M8107="PADD V","PADD 5","")))))</f>
        <v>PADD 3</v>
      </c>
      <c r="G8107" s="6" t="str">
        <f>IF(AND($H8107="ATMOS DISTILLATION",ISNUMBER(SEARCH("VPS",$I8107))=FALSE,LEFT($I8107,6)&lt;&gt;"VACUUM"),"CDU",IF($H8107="FLUID CAT CRACKING","FCC",IF(OR($H8107="HYDROCRACKING",$H8107="RESID_HYDROCRACKING"),"Hydrocracker",IF($H8107="REFORMING","Reformer",""))))</f>
        <v>CDU</v>
      </c>
      <c r="H8107" s="6" t="s">
        <v>38</v>
      </c>
      <c r="I8107" s="6" t="s">
        <v>1121</v>
      </c>
      <c r="J8107" s="6" t="s">
        <v>349</v>
      </c>
      <c r="K8107" s="10">
        <v>50</v>
      </c>
      <c r="L8107" s="10">
        <v>50</v>
      </c>
      <c r="M8107" s="6" t="s">
        <v>371</v>
      </c>
    </row>
    <row r="8108" spans="1:13">
      <c r="A8108" s="6">
        <v>2026</v>
      </c>
      <c r="B8108" s="6">
        <v>10</v>
      </c>
      <c r="C8108" s="6" t="s">
        <v>68</v>
      </c>
      <c r="D8108" s="6" t="s">
        <v>526</v>
      </c>
      <c r="E8108" s="6" t="s">
        <v>405</v>
      </c>
      <c r="F8108" s="6" t="str">
        <f>IF($M8108="PADD I","PADD 1",IF($M8108="PADD II","PADD 2",IF($M8108="PADD III","PADD 3",IF($M8108="PADD IV","PADD 4",IF($M8108="PADD V","PADD 5","")))))</f>
        <v>PADD 3</v>
      </c>
      <c r="G8108" s="6">
        <f>IF(AND($H8108="ATMOS DISTILLATION",ISNUMBER(SEARCH("VPS",$I8108))=FALSE,LEFT($I8108,6)&lt;&gt;"VACUUM"),"CDU",IF($H8108="FLUID CAT CRACKING","FCC",IF(OR($H8108="HYDROCRACKING",$H8108="RESID_HYDROCRACKING"),"Hydrocracker",IF($H8108="REFORMING","Reformer",""))))</f>
        <v/>
      </c>
      <c r="H8108" s="6" t="s">
        <v>43</v>
      </c>
      <c r="I8108" s="6" t="s">
        <v>1076</v>
      </c>
      <c r="J8108" s="6" t="s">
        <v>345</v>
      </c>
      <c r="K8108" s="10">
        <v>47</v>
      </c>
      <c r="L8108" s="10">
        <v>47</v>
      </c>
      <c r="M8108" s="6" t="s">
        <v>371</v>
      </c>
    </row>
    <row r="8109" spans="1:13">
      <c r="A8109" s="6">
        <v>2026</v>
      </c>
      <c r="B8109" s="6">
        <v>10</v>
      </c>
      <c r="C8109" s="6" t="s">
        <v>68</v>
      </c>
      <c r="D8109" s="6" t="s">
        <v>331</v>
      </c>
      <c r="E8109" s="6" t="s">
        <v>373</v>
      </c>
      <c r="F8109" s="6" t="str">
        <f>IF($M8109="PADD I","PADD 1",IF($M8109="PADD II","PADD 2",IF($M8109="PADD III","PADD 3",IF($M8109="PADD IV","PADD 4",IF($M8109="PADD V","PADD 5","")))))</f>
        <v>PADD 2</v>
      </c>
      <c r="G8109" s="6">
        <f>IF(AND($H8109="ATMOS DISTILLATION",ISNUMBER(SEARCH("VPS",$I8109))=FALSE,LEFT($I8109,6)&lt;&gt;"VACUUM"),"CDU",IF($H8109="FLUID CAT CRACKING","FCC",IF(OR($H8109="HYDROCRACKING",$H8109="RESID_HYDROCRACKING"),"Hydrocracker",IF($H8109="REFORMING","Reformer",""))))</f>
        <v/>
      </c>
      <c r="H8109" s="6" t="s">
        <v>43</v>
      </c>
      <c r="I8109" s="6" t="s">
        <v>910</v>
      </c>
      <c r="J8109" s="6" t="s">
        <v>349</v>
      </c>
      <c r="K8109" s="10">
        <v>46.62</v>
      </c>
      <c r="L8109" s="10">
        <v>63</v>
      </c>
      <c r="M8109" s="6" t="s">
        <v>375</v>
      </c>
    </row>
    <row r="8110" spans="1:13">
      <c r="A8110" s="6">
        <v>2026</v>
      </c>
      <c r="B8110" s="6">
        <v>10</v>
      </c>
      <c r="C8110" s="6" t="s">
        <v>68</v>
      </c>
      <c r="D8110" s="6" t="s">
        <v>395</v>
      </c>
      <c r="E8110" s="6" t="s">
        <v>396</v>
      </c>
      <c r="F8110" s="6" t="str">
        <f>IF($M8110="PADD I","PADD 1",IF($M8110="PADD II","PADD 2",IF($M8110="PADD III","PADD 3",IF($M8110="PADD IV","PADD 4",IF($M8110="PADD V","PADD 5","")))))</f>
        <v>PADD 3</v>
      </c>
      <c r="G8110" s="6">
        <f>IF(AND($H8110="ATMOS DISTILLATION",ISNUMBER(SEARCH("VPS",$I8110))=FALSE,LEFT($I8110,6)&lt;&gt;"VACUUM"),"CDU",IF($H8110="FLUID CAT CRACKING","FCC",IF(OR($H8110="HYDROCRACKING",$H8110="RESID_HYDROCRACKING"),"Hydrocracker",IF($H8110="REFORMING","Reformer",""))))</f>
        <v/>
      </c>
      <c r="H8110" s="6" t="s">
        <v>43</v>
      </c>
      <c r="I8110" s="6" t="s">
        <v>549</v>
      </c>
      <c r="J8110" s="6" t="s">
        <v>349</v>
      </c>
      <c r="K8110" s="10">
        <v>41.5</v>
      </c>
      <c r="L8110" s="10">
        <v>41.5</v>
      </c>
      <c r="M8110" s="6" t="s">
        <v>371</v>
      </c>
    </row>
    <row r="8111" spans="1:13">
      <c r="A8111" s="6">
        <v>2026</v>
      </c>
      <c r="B8111" s="6">
        <v>10</v>
      </c>
      <c r="C8111" s="6" t="s">
        <v>68</v>
      </c>
      <c r="D8111" s="6" t="s">
        <v>331</v>
      </c>
      <c r="E8111" s="6" t="s">
        <v>373</v>
      </c>
      <c r="F8111" s="6" t="str">
        <f>IF($M8111="PADD I","PADD 1",IF($M8111="PADD II","PADD 2",IF($M8111="PADD III","PADD 3",IF($M8111="PADD IV","PADD 4",IF($M8111="PADD V","PADD 5","")))))</f>
        <v>PADD 2</v>
      </c>
      <c r="G8111" s="6">
        <f>IF(AND($H8111="ATMOS DISTILLATION",ISNUMBER(SEARCH("VPS",$I8111))=FALSE,LEFT($I8111,6)&lt;&gt;"VACUUM"),"CDU",IF($H8111="FLUID CAT CRACKING","FCC",IF(OR($H8111="HYDROCRACKING",$H8111="RESID_HYDROCRACKING"),"Hydrocracker",IF($H8111="REFORMING","Reformer",""))))</f>
        <v/>
      </c>
      <c r="H8111" s="6" t="s">
        <v>378</v>
      </c>
      <c r="I8111" s="6" t="s">
        <v>431</v>
      </c>
      <c r="J8111" s="6" t="s">
        <v>349</v>
      </c>
      <c r="K8111" s="10">
        <v>38.48</v>
      </c>
      <c r="L8111" s="10">
        <v>52</v>
      </c>
      <c r="M8111" s="6" t="s">
        <v>375</v>
      </c>
    </row>
    <row r="8112" spans="1:13">
      <c r="A8112" s="6">
        <v>2026</v>
      </c>
      <c r="B8112" s="6">
        <v>10</v>
      </c>
      <c r="C8112" s="6" t="s">
        <v>68</v>
      </c>
      <c r="D8112" s="6" t="s">
        <v>434</v>
      </c>
      <c r="E8112" s="6" t="s">
        <v>388</v>
      </c>
      <c r="F8112" s="6" t="str">
        <f>IF($M8112="PADD I","PADD 1",IF($M8112="PADD II","PADD 2",IF($M8112="PADD III","PADD 3",IF($M8112="PADD IV","PADD 4",IF($M8112="PADD V","PADD 5","")))))</f>
        <v>PADD 5</v>
      </c>
      <c r="G8112" s="6" t="str">
        <f>IF(AND($H8112="ATMOS DISTILLATION",ISNUMBER(SEARCH("VPS",$I8112))=FALSE,LEFT($I8112,6)&lt;&gt;"VACUUM"),"CDU",IF($H8112="FLUID CAT CRACKING","FCC",IF(OR($H8112="HYDROCRACKING",$H8112="RESID_HYDROCRACKING"),"Hydrocracker",IF($H8112="REFORMING","Reformer",""))))</f>
        <v>Hydrocracker</v>
      </c>
      <c r="H8112" s="6" t="s">
        <v>444</v>
      </c>
      <c r="I8112" s="6" t="s">
        <v>14</v>
      </c>
      <c r="J8112" s="6" t="s">
        <v>349</v>
      </c>
      <c r="K8112" s="10">
        <v>36.8</v>
      </c>
      <c r="L8112" s="10">
        <v>36.8</v>
      </c>
      <c r="M8112" s="6" t="s">
        <v>386</v>
      </c>
    </row>
    <row r="8113" spans="1:13">
      <c r="A8113" s="6">
        <v>2026</v>
      </c>
      <c r="B8113" s="6">
        <v>10</v>
      </c>
      <c r="C8113" s="6" t="s">
        <v>68</v>
      </c>
      <c r="D8113" s="6" t="s">
        <v>324</v>
      </c>
      <c r="E8113" s="6" t="s">
        <v>388</v>
      </c>
      <c r="F8113" s="6" t="str">
        <f>IF($M8113="PADD I","PADD 1",IF($M8113="PADD II","PADD 2",IF($M8113="PADD III","PADD 3",IF($M8113="PADD IV","PADD 4",IF($M8113="PADD V","PADD 5","")))))</f>
        <v>PADD 3</v>
      </c>
      <c r="G8113" s="6">
        <f>IF(AND($H8113="ATMOS DISTILLATION",ISNUMBER(SEARCH("VPS",$I8113))=FALSE,LEFT($I8113,6)&lt;&gt;"VACUUM"),"CDU",IF($H8113="FLUID CAT CRACKING","FCC",IF(OR($H8113="HYDROCRACKING",$H8113="RESID_HYDROCRACKING"),"Hydrocracker",IF($H8113="REFORMING","Reformer",""))))</f>
        <v/>
      </c>
      <c r="H8113" s="6" t="s">
        <v>43</v>
      </c>
      <c r="I8113" s="6" t="s">
        <v>948</v>
      </c>
      <c r="J8113" s="6" t="s">
        <v>349</v>
      </c>
      <c r="K8113" s="10">
        <v>30.08</v>
      </c>
      <c r="L8113" s="10">
        <v>94</v>
      </c>
      <c r="M8113" s="6" t="s">
        <v>371</v>
      </c>
    </row>
    <row r="8114" spans="1:13">
      <c r="A8114" s="6">
        <v>2026</v>
      </c>
      <c r="B8114" s="6">
        <v>10</v>
      </c>
      <c r="C8114" s="6" t="s">
        <v>68</v>
      </c>
      <c r="D8114" s="6" t="s">
        <v>329</v>
      </c>
      <c r="E8114" s="6" t="s">
        <v>427</v>
      </c>
      <c r="F8114" s="6" t="str">
        <f>IF($M8114="PADD I","PADD 1",IF($M8114="PADD II","PADD 2",IF($M8114="PADD III","PADD 3",IF($M8114="PADD IV","PADD 4",IF($M8114="PADD V","PADD 5","")))))</f>
        <v>PADD 3</v>
      </c>
      <c r="G8114" s="6">
        <f>IF(AND($H8114="ATMOS DISTILLATION",ISNUMBER(SEARCH("VPS",$I8114))=FALSE,LEFT($I8114,6)&lt;&gt;"VACUUM"),"CDU",IF($H8114="FLUID CAT CRACKING","FCC",IF(OR($H8114="HYDROCRACKING",$H8114="RESID_HYDROCRACKING"),"Hydrocracker",IF($H8114="REFORMING","Reformer",""))))</f>
        <v/>
      </c>
      <c r="H8114" s="6" t="s">
        <v>435</v>
      </c>
      <c r="I8114" s="6" t="s">
        <v>1248</v>
      </c>
      <c r="J8114" s="6" t="s">
        <v>349</v>
      </c>
      <c r="K8114" s="10">
        <v>30</v>
      </c>
      <c r="L8114" s="10">
        <v>30</v>
      </c>
      <c r="M8114" s="6" t="s">
        <v>371</v>
      </c>
    </row>
    <row r="8115" spans="1:13">
      <c r="A8115" s="6">
        <v>2026</v>
      </c>
      <c r="B8115" s="6">
        <v>10</v>
      </c>
      <c r="C8115" s="6" t="s">
        <v>68</v>
      </c>
      <c r="D8115" s="6" t="s">
        <v>331</v>
      </c>
      <c r="E8115" s="6" t="s">
        <v>373</v>
      </c>
      <c r="F8115" s="6" t="str">
        <f>IF($M8115="PADD I","PADD 1",IF($M8115="PADD II","PADD 2",IF($M8115="PADD III","PADD 3",IF($M8115="PADD IV","PADD 4",IF($M8115="PADD V","PADD 5","")))))</f>
        <v>PADD 2</v>
      </c>
      <c r="G8115" s="6" t="str">
        <f>IF(AND($H8115="ATMOS DISTILLATION",ISNUMBER(SEARCH("VPS",$I8115))=FALSE,LEFT($I8115,6)&lt;&gt;"VACUUM"),"CDU",IF($H8115="FLUID CAT CRACKING","FCC",IF(OR($H8115="HYDROCRACKING",$H8115="RESID_HYDROCRACKING"),"Hydrocracker",IF($H8115="REFORMING","Reformer",""))))</f>
        <v>FCC</v>
      </c>
      <c r="H8115" s="6" t="s">
        <v>376</v>
      </c>
      <c r="I8115" s="6" t="s">
        <v>105</v>
      </c>
      <c r="J8115" s="6" t="s">
        <v>349</v>
      </c>
      <c r="K8115" s="10">
        <v>29.6</v>
      </c>
      <c r="L8115" s="10">
        <v>40</v>
      </c>
      <c r="M8115" s="6" t="s">
        <v>375</v>
      </c>
    </row>
    <row r="8116" spans="1:13">
      <c r="A8116" s="6">
        <v>2026</v>
      </c>
      <c r="B8116" s="6">
        <v>10</v>
      </c>
      <c r="C8116" s="6" t="s">
        <v>68</v>
      </c>
      <c r="D8116" s="6" t="s">
        <v>331</v>
      </c>
      <c r="E8116" s="6" t="s">
        <v>373</v>
      </c>
      <c r="F8116" s="6" t="str">
        <f>IF($M8116="PADD I","PADD 1",IF($M8116="PADD II","PADD 2",IF($M8116="PADD III","PADD 3",IF($M8116="PADD IV","PADD 4",IF($M8116="PADD V","PADD 5","")))))</f>
        <v>PADD 2</v>
      </c>
      <c r="G8116" s="6" t="str">
        <f>IF(AND($H8116="ATMOS DISTILLATION",ISNUMBER(SEARCH("VPS",$I8116))=FALSE,LEFT($I8116,6)&lt;&gt;"VACUUM"),"CDU",IF($H8116="FLUID CAT CRACKING","FCC",IF(OR($H8116="HYDROCRACKING",$H8116="RESID_HYDROCRACKING"),"Hydrocracker",IF($H8116="REFORMING","Reformer",""))))</f>
        <v>Reformer</v>
      </c>
      <c r="H8116" s="6" t="s">
        <v>421</v>
      </c>
      <c r="I8116" s="6" t="s">
        <v>916</v>
      </c>
      <c r="J8116" s="6" t="s">
        <v>349</v>
      </c>
      <c r="K8116" s="10">
        <v>29.6</v>
      </c>
      <c r="L8116" s="10">
        <v>40</v>
      </c>
      <c r="M8116" s="6" t="s">
        <v>375</v>
      </c>
    </row>
    <row r="8117" spans="1:13">
      <c r="A8117" s="6">
        <v>2026</v>
      </c>
      <c r="B8117" s="6">
        <v>10</v>
      </c>
      <c r="C8117" s="6" t="s">
        <v>68</v>
      </c>
      <c r="D8117" s="6" t="s">
        <v>675</v>
      </c>
      <c r="E8117" s="6" t="s">
        <v>452</v>
      </c>
      <c r="F8117" s="6" t="str">
        <f>IF($M8117="PADD I","PADD 1",IF($M8117="PADD II","PADD 2",IF($M8117="PADD III","PADD 3",IF($M8117="PADD IV","PADD 4",IF($M8117="PADD V","PADD 5","")))))</f>
        <v>PADD 2</v>
      </c>
      <c r="G8117" s="6">
        <f>IF(AND($H8117="ATMOS DISTILLATION",ISNUMBER(SEARCH("VPS",$I8117))=FALSE,LEFT($I8117,6)&lt;&gt;"VACUUM"),"CDU",IF($H8117="FLUID CAT CRACKING","FCC",IF(OR($H8117="HYDROCRACKING",$H8117="RESID_HYDROCRACKING"),"Hydrocracker",IF($H8117="REFORMING","Reformer",""))))</f>
        <v/>
      </c>
      <c r="H8117" s="6" t="s">
        <v>378</v>
      </c>
      <c r="I8117" s="6" t="s">
        <v>431</v>
      </c>
      <c r="J8117" s="6" t="s">
        <v>349</v>
      </c>
      <c r="K8117" s="10">
        <v>26.88</v>
      </c>
      <c r="L8117" s="10">
        <v>56</v>
      </c>
      <c r="M8117" s="6" t="s">
        <v>375</v>
      </c>
    </row>
    <row r="8118" spans="1:13">
      <c r="A8118" s="6">
        <v>2026</v>
      </c>
      <c r="B8118" s="6">
        <v>10</v>
      </c>
      <c r="C8118" s="6" t="s">
        <v>68</v>
      </c>
      <c r="D8118" s="6" t="s">
        <v>531</v>
      </c>
      <c r="E8118" s="6" t="s">
        <v>532</v>
      </c>
      <c r="F8118" s="6" t="str">
        <f>IF($M8118="PADD I","PADD 1",IF($M8118="PADD II","PADD 2",IF($M8118="PADD III","PADD 3",IF($M8118="PADD IV","PADD 4",IF($M8118="PADD V","PADD 5","")))))</f>
        <v>PADD 5</v>
      </c>
      <c r="G8118" s="6">
        <f>IF(AND($H8118="ATMOS DISTILLATION",ISNUMBER(SEARCH("VPS",$I8118))=FALSE,LEFT($I8118,6)&lt;&gt;"VACUUM"),"CDU",IF($H8118="FLUID CAT CRACKING","FCC",IF(OR($H8118="HYDROCRACKING",$H8118="RESID_HYDROCRACKING"),"Hydrocracker",IF($H8118="REFORMING","Reformer",""))))</f>
        <v/>
      </c>
      <c r="H8118" s="6" t="s">
        <v>435</v>
      </c>
      <c r="I8118" s="6" t="s">
        <v>614</v>
      </c>
      <c r="J8118" s="6" t="s">
        <v>349</v>
      </c>
      <c r="K8118" s="10">
        <v>26.19</v>
      </c>
      <c r="L8118" s="10">
        <v>27</v>
      </c>
      <c r="M8118" s="6" t="s">
        <v>386</v>
      </c>
    </row>
    <row r="8119" spans="1:13">
      <c r="A8119" s="6">
        <v>2026</v>
      </c>
      <c r="B8119" s="6">
        <v>10</v>
      </c>
      <c r="C8119" s="6" t="s">
        <v>68</v>
      </c>
      <c r="D8119" s="6" t="s">
        <v>331</v>
      </c>
      <c r="E8119" s="6" t="s">
        <v>373</v>
      </c>
      <c r="F8119" s="6" t="str">
        <f>IF($M8119="PADD I","PADD 1",IF($M8119="PADD II","PADD 2",IF($M8119="PADD III","PADD 3",IF($M8119="PADD IV","PADD 4",IF($M8119="PADD V","PADD 5","")))))</f>
        <v>PADD 2</v>
      </c>
      <c r="G8119" s="6">
        <f>IF(AND($H8119="ATMOS DISTILLATION",ISNUMBER(SEARCH("VPS",$I8119))=FALSE,LEFT($I8119,6)&lt;&gt;"VACUUM"),"CDU",IF($H8119="FLUID CAT CRACKING","FCC",IF(OR($H8119="HYDROCRACKING",$H8119="RESID_HYDROCRACKING"),"Hydrocracker",IF($H8119="REFORMING","Reformer",""))))</f>
        <v/>
      </c>
      <c r="H8119" s="6" t="s">
        <v>43</v>
      </c>
      <c r="I8119" s="6" t="s">
        <v>458</v>
      </c>
      <c r="J8119" s="6" t="s">
        <v>349</v>
      </c>
      <c r="K8119" s="10">
        <v>25.9</v>
      </c>
      <c r="L8119" s="10">
        <v>35</v>
      </c>
      <c r="M8119" s="6" t="s">
        <v>375</v>
      </c>
    </row>
    <row r="8120" spans="1:13">
      <c r="A8120" s="6">
        <v>2026</v>
      </c>
      <c r="B8120" s="6">
        <v>10</v>
      </c>
      <c r="C8120" s="6" t="s">
        <v>68</v>
      </c>
      <c r="D8120" s="6" t="s">
        <v>415</v>
      </c>
      <c r="E8120" s="6" t="s">
        <v>416</v>
      </c>
      <c r="F8120" s="6" t="str">
        <f>IF($M8120="PADD I","PADD 1",IF($M8120="PADD II","PADD 2",IF($M8120="PADD III","PADD 3",IF($M8120="PADD IV","PADD 4",IF($M8120="PADD V","PADD 5","")))))</f>
        <v>PADD 3</v>
      </c>
      <c r="G8120" s="6">
        <f>IF(AND($H8120="ATMOS DISTILLATION",ISNUMBER(SEARCH("VPS",$I8120))=FALSE,LEFT($I8120,6)&lt;&gt;"VACUUM"),"CDU",IF($H8120="FLUID CAT CRACKING","FCC",IF(OR($H8120="HYDROCRACKING",$H8120="RESID_HYDROCRACKING"),"Hydrocracker",IF($H8120="REFORMING","Reformer",""))))</f>
        <v/>
      </c>
      <c r="H8120" s="6" t="s">
        <v>435</v>
      </c>
      <c r="I8120" s="6" t="s">
        <v>1169</v>
      </c>
      <c r="J8120" s="6" t="s">
        <v>349</v>
      </c>
      <c r="K8120" s="10">
        <v>25.2</v>
      </c>
      <c r="L8120" s="10">
        <v>60</v>
      </c>
      <c r="M8120" s="6" t="s">
        <v>371</v>
      </c>
    </row>
    <row r="8121" spans="1:13">
      <c r="A8121" s="6">
        <v>2026</v>
      </c>
      <c r="B8121" s="6">
        <v>10</v>
      </c>
      <c r="C8121" s="6" t="s">
        <v>68</v>
      </c>
      <c r="D8121" s="6" t="s">
        <v>331</v>
      </c>
      <c r="E8121" s="6" t="s">
        <v>373</v>
      </c>
      <c r="F8121" s="6" t="str">
        <f>IF($M8121="PADD I","PADD 1",IF($M8121="PADD II","PADD 2",IF($M8121="PADD III","PADD 3",IF($M8121="PADD IV","PADD 4",IF($M8121="PADD V","PADD 5","")))))</f>
        <v>PADD 2</v>
      </c>
      <c r="G8121" s="6">
        <f>IF(AND($H8121="ATMOS DISTILLATION",ISNUMBER(SEARCH("VPS",$I8121))=FALSE,LEFT($I8121,6)&lt;&gt;"VACUUM"),"CDU",IF($H8121="FLUID CAT CRACKING","FCC",IF(OR($H8121="HYDROCRACKING",$H8121="RESID_HYDROCRACKING"),"Hydrocracker",IF($H8121="REFORMING","Reformer",""))))</f>
        <v/>
      </c>
      <c r="H8121" s="6" t="s">
        <v>435</v>
      </c>
      <c r="I8121" s="6" t="s">
        <v>441</v>
      </c>
      <c r="J8121" s="6" t="s">
        <v>349</v>
      </c>
      <c r="K8121" s="10">
        <v>23.162</v>
      </c>
      <c r="L8121" s="10">
        <v>31.3</v>
      </c>
      <c r="M8121" s="6" t="s">
        <v>375</v>
      </c>
    </row>
    <row r="8122" spans="1:13">
      <c r="A8122" s="6">
        <v>2026</v>
      </c>
      <c r="B8122" s="6">
        <v>10</v>
      </c>
      <c r="C8122" s="6" t="s">
        <v>68</v>
      </c>
      <c r="D8122" s="6" t="s">
        <v>612</v>
      </c>
      <c r="E8122" s="6" t="s">
        <v>416</v>
      </c>
      <c r="F8122" s="6" t="str">
        <f>IF($M8122="PADD I","PADD 1",IF($M8122="PADD II","PADD 2",IF($M8122="PADD III","PADD 3",IF($M8122="PADD IV","PADD 4",IF($M8122="PADD V","PADD 5","")))))</f>
        <v>PADD 3</v>
      </c>
      <c r="G8122" s="6">
        <f>IF(AND($H8122="ATMOS DISTILLATION",ISNUMBER(SEARCH("VPS",$I8122))=FALSE,LEFT($I8122,6)&lt;&gt;"VACUUM"),"CDU",IF($H8122="FLUID CAT CRACKING","FCC",IF(OR($H8122="HYDROCRACKING",$H8122="RESID_HYDROCRACKING"),"Hydrocracker",IF($H8122="REFORMING","Reformer",""))))</f>
        <v/>
      </c>
      <c r="H8122" s="6" t="s">
        <v>43</v>
      </c>
      <c r="I8122" s="6" t="s">
        <v>837</v>
      </c>
      <c r="J8122" s="6" t="s">
        <v>349</v>
      </c>
      <c r="K8122" s="10">
        <v>19.4</v>
      </c>
      <c r="L8122" s="10">
        <v>20</v>
      </c>
      <c r="M8122" s="6" t="s">
        <v>371</v>
      </c>
    </row>
    <row r="8123" spans="1:13">
      <c r="A8123" s="6">
        <v>2026</v>
      </c>
      <c r="B8123" s="6">
        <v>10</v>
      </c>
      <c r="C8123" s="6" t="s">
        <v>68</v>
      </c>
      <c r="D8123" s="6" t="s">
        <v>612</v>
      </c>
      <c r="E8123" s="6" t="s">
        <v>416</v>
      </c>
      <c r="F8123" s="6" t="str">
        <f>IF($M8123="PADD I","PADD 1",IF($M8123="PADD II","PADD 2",IF($M8123="PADD III","PADD 3",IF($M8123="PADD IV","PADD 4",IF($M8123="PADD V","PADD 5","")))))</f>
        <v>PADD 3</v>
      </c>
      <c r="G8123" s="6" t="str">
        <f>IF(AND($H8123="ATMOS DISTILLATION",ISNUMBER(SEARCH("VPS",$I8123))=FALSE,LEFT($I8123,6)&lt;&gt;"VACUUM"),"CDU",IF($H8123="FLUID CAT CRACKING","FCC",IF(OR($H8123="HYDROCRACKING",$H8123="RESID_HYDROCRACKING"),"Hydrocracker",IF($H8123="REFORMING","Reformer",""))))</f>
        <v>Reformer</v>
      </c>
      <c r="H8123" s="6" t="s">
        <v>421</v>
      </c>
      <c r="I8123" s="6" t="s">
        <v>755</v>
      </c>
      <c r="J8123" s="6" t="s">
        <v>349</v>
      </c>
      <c r="K8123" s="10">
        <v>19.4</v>
      </c>
      <c r="L8123" s="10">
        <v>20</v>
      </c>
      <c r="M8123" s="6" t="s">
        <v>371</v>
      </c>
    </row>
    <row r="8124" spans="1:13">
      <c r="A8124" s="6">
        <v>2026</v>
      </c>
      <c r="B8124" s="6">
        <v>10</v>
      </c>
      <c r="C8124" s="6" t="s">
        <v>68</v>
      </c>
      <c r="D8124" s="6" t="s">
        <v>331</v>
      </c>
      <c r="E8124" s="6" t="s">
        <v>373</v>
      </c>
      <c r="F8124" s="6" t="str">
        <f>IF($M8124="PADD I","PADD 1",IF($M8124="PADD II","PADD 2",IF($M8124="PADD III","PADD 3",IF($M8124="PADD IV","PADD 4",IF($M8124="PADD V","PADD 5","")))))</f>
        <v>PADD 2</v>
      </c>
      <c r="G8124" s="6" t="str">
        <f>IF(AND($H8124="ATMOS DISTILLATION",ISNUMBER(SEARCH("VPS",$I8124))=FALSE,LEFT($I8124,6)&lt;&gt;"VACUUM"),"CDU",IF($H8124="FLUID CAT CRACKING","FCC",IF(OR($H8124="HYDROCRACKING",$H8124="RESID_HYDROCRACKING"),"Hydrocracker",IF($H8124="REFORMING","Reformer",""))))</f>
        <v>Hydrocracker</v>
      </c>
      <c r="H8124" s="6" t="s">
        <v>444</v>
      </c>
      <c r="I8124" s="6" t="s">
        <v>445</v>
      </c>
      <c r="J8124" s="6" t="s">
        <v>349</v>
      </c>
      <c r="K8124" s="10">
        <v>19.24</v>
      </c>
      <c r="L8124" s="10">
        <v>26</v>
      </c>
      <c r="M8124" s="6" t="s">
        <v>375</v>
      </c>
    </row>
    <row r="8125" spans="1:13">
      <c r="A8125" s="6">
        <v>2026</v>
      </c>
      <c r="B8125" s="6">
        <v>10</v>
      </c>
      <c r="C8125" s="6" t="s">
        <v>68</v>
      </c>
      <c r="D8125" s="6" t="s">
        <v>675</v>
      </c>
      <c r="E8125" s="6" t="s">
        <v>452</v>
      </c>
      <c r="F8125" s="6" t="str">
        <f>IF($M8125="PADD I","PADD 1",IF($M8125="PADD II","PADD 2",IF($M8125="PADD III","PADD 3",IF($M8125="PADD IV","PADD 4",IF($M8125="PADD V","PADD 5","")))))</f>
        <v>PADD 2</v>
      </c>
      <c r="G8125" s="6" t="str">
        <f>IF(AND($H8125="ATMOS DISTILLATION",ISNUMBER(SEARCH("VPS",$I8125))=FALSE,LEFT($I8125,6)&lt;&gt;"VACUUM"),"CDU",IF($H8125="FLUID CAT CRACKING","FCC",IF(OR($H8125="HYDROCRACKING",$H8125="RESID_HYDROCRACKING"),"Hydrocracker",IF($H8125="REFORMING","Reformer",""))))</f>
        <v>FCC</v>
      </c>
      <c r="H8125" s="6" t="s">
        <v>376</v>
      </c>
      <c r="I8125" s="6" t="s">
        <v>105</v>
      </c>
      <c r="J8125" s="6" t="s">
        <v>349</v>
      </c>
      <c r="K8125" s="10">
        <v>18.72</v>
      </c>
      <c r="L8125" s="10">
        <v>39</v>
      </c>
      <c r="M8125" s="6" t="s">
        <v>375</v>
      </c>
    </row>
    <row r="8126" spans="1:13">
      <c r="A8126" s="6">
        <v>2026</v>
      </c>
      <c r="B8126" s="6">
        <v>10</v>
      </c>
      <c r="C8126" s="6" t="s">
        <v>68</v>
      </c>
      <c r="D8126" s="6" t="s">
        <v>395</v>
      </c>
      <c r="E8126" s="6" t="s">
        <v>396</v>
      </c>
      <c r="F8126" s="6" t="str">
        <f>IF($M8126="PADD I","PADD 1",IF($M8126="PADD II","PADD 2",IF($M8126="PADD III","PADD 3",IF($M8126="PADD IV","PADD 4",IF($M8126="PADD V","PADD 5","")))))</f>
        <v>PADD 3</v>
      </c>
      <c r="G8126" s="6" t="str">
        <f>IF(AND($H8126="ATMOS DISTILLATION",ISNUMBER(SEARCH("VPS",$I8126))=FALSE,LEFT($I8126,6)&lt;&gt;"VACUUM"),"CDU",IF($H8126="FLUID CAT CRACKING","FCC",IF(OR($H8126="HYDROCRACKING",$H8126="RESID_HYDROCRACKING"),"Hydrocracker",IF($H8126="REFORMING","Reformer",""))))</f>
        <v>FCC</v>
      </c>
      <c r="H8126" s="6" t="s">
        <v>376</v>
      </c>
      <c r="I8126" s="6" t="s">
        <v>105</v>
      </c>
      <c r="J8126" s="6" t="s">
        <v>349</v>
      </c>
      <c r="K8126" s="10">
        <v>17.5</v>
      </c>
      <c r="L8126" s="10">
        <v>17.5</v>
      </c>
      <c r="M8126" s="6" t="s">
        <v>371</v>
      </c>
    </row>
    <row r="8127" spans="1:13">
      <c r="A8127" s="6">
        <v>2026</v>
      </c>
      <c r="B8127" s="6">
        <v>10</v>
      </c>
      <c r="C8127" s="6" t="s">
        <v>68</v>
      </c>
      <c r="D8127" s="6" t="s">
        <v>395</v>
      </c>
      <c r="E8127" s="6" t="s">
        <v>396</v>
      </c>
      <c r="F8127" s="6" t="str">
        <f>IF($M8127="PADD I","PADD 1",IF($M8127="PADD II","PADD 2",IF($M8127="PADD III","PADD 3",IF($M8127="PADD IV","PADD 4",IF($M8127="PADD V","PADD 5","")))))</f>
        <v>PADD 3</v>
      </c>
      <c r="G8127" s="6">
        <f>IF(AND($H8127="ATMOS DISTILLATION",ISNUMBER(SEARCH("VPS",$I8127))=FALSE,LEFT($I8127,6)&lt;&gt;"VACUUM"),"CDU",IF($H8127="FLUID CAT CRACKING","FCC",IF(OR($H8127="HYDROCRACKING",$H8127="RESID_HYDROCRACKING"),"Hydrocracker",IF($H8127="REFORMING","Reformer",""))))</f>
        <v/>
      </c>
      <c r="H8127" s="6" t="s">
        <v>460</v>
      </c>
      <c r="I8127" s="6" t="s">
        <v>461</v>
      </c>
      <c r="J8127" s="6" t="s">
        <v>349</v>
      </c>
      <c r="K8127" s="10">
        <v>16.296</v>
      </c>
      <c r="L8127" s="10">
        <v>16.8</v>
      </c>
      <c r="M8127" s="6" t="s">
        <v>371</v>
      </c>
    </row>
    <row r="8128" spans="1:13">
      <c r="A8128" s="6">
        <v>2026</v>
      </c>
      <c r="B8128" s="6">
        <v>10</v>
      </c>
      <c r="C8128" s="6" t="s">
        <v>68</v>
      </c>
      <c r="D8128" s="6" t="s">
        <v>434</v>
      </c>
      <c r="E8128" s="6" t="s">
        <v>388</v>
      </c>
      <c r="F8128" s="6" t="str">
        <f>IF($M8128="PADD I","PADD 1",IF($M8128="PADD II","PADD 2",IF($M8128="PADD III","PADD 3",IF($M8128="PADD IV","PADD 4",IF($M8128="PADD V","PADD 5","")))))</f>
        <v>PADD 5</v>
      </c>
      <c r="G8128" s="6" t="str">
        <f>IF(AND($H8128="ATMOS DISTILLATION",ISNUMBER(SEARCH("VPS",$I8128))=FALSE,LEFT($I8128,6)&lt;&gt;"VACUUM"),"CDU",IF($H8128="FLUID CAT CRACKING","FCC",IF(OR($H8128="HYDROCRACKING",$H8128="RESID_HYDROCRACKING"),"Hydrocracker",IF($H8128="REFORMING","Reformer",""))))</f>
        <v>Reformer</v>
      </c>
      <c r="H8128" s="6" t="s">
        <v>421</v>
      </c>
      <c r="I8128" s="6" t="s">
        <v>671</v>
      </c>
      <c r="J8128" s="6" t="s">
        <v>349</v>
      </c>
      <c r="K8128" s="10">
        <v>15</v>
      </c>
      <c r="L8128" s="10">
        <v>15</v>
      </c>
      <c r="M8128" s="6" t="s">
        <v>386</v>
      </c>
    </row>
    <row r="8129" spans="1:13">
      <c r="A8129" s="6">
        <v>2026</v>
      </c>
      <c r="B8129" s="6">
        <v>10</v>
      </c>
      <c r="C8129" s="6" t="s">
        <v>68</v>
      </c>
      <c r="D8129" s="6" t="s">
        <v>547</v>
      </c>
      <c r="E8129" s="6" t="s">
        <v>391</v>
      </c>
      <c r="F8129" s="6" t="str">
        <f>IF($M8129="PADD I","PADD 1",IF($M8129="PADD II","PADD 2",IF($M8129="PADD III","PADD 3",IF($M8129="PADD IV","PADD 4",IF($M8129="PADD V","PADD 5","")))))</f>
        <v>PADD 5</v>
      </c>
      <c r="G8129" s="6">
        <f>IF(AND($H8129="ATMOS DISTILLATION",ISNUMBER(SEARCH("VPS",$I8129))=FALSE,LEFT($I8129,6)&lt;&gt;"VACUUM"),"CDU",IF($H8129="FLUID CAT CRACKING","FCC",IF(OR($H8129="HYDROCRACKING",$H8129="RESID_HYDROCRACKING"),"Hydrocracker",IF($H8129="REFORMING","Reformer",""))))</f>
        <v/>
      </c>
      <c r="H8129" s="6" t="s">
        <v>460</v>
      </c>
      <c r="I8129" s="6" t="s">
        <v>461</v>
      </c>
      <c r="J8129" s="6" t="s">
        <v>349</v>
      </c>
      <c r="K8129" s="10">
        <v>14.8</v>
      </c>
      <c r="L8129" s="10">
        <v>20</v>
      </c>
      <c r="M8129" s="6" t="s">
        <v>386</v>
      </c>
    </row>
    <row r="8130" spans="1:13">
      <c r="A8130" s="6">
        <v>2026</v>
      </c>
      <c r="B8130" s="6">
        <v>10</v>
      </c>
      <c r="C8130" s="6" t="s">
        <v>68</v>
      </c>
      <c r="D8130" s="6" t="s">
        <v>331</v>
      </c>
      <c r="E8130" s="6" t="s">
        <v>373</v>
      </c>
      <c r="F8130" s="6" t="str">
        <f>IF($M8130="PADD I","PADD 1",IF($M8130="PADD II","PADD 2",IF($M8130="PADD III","PADD 3",IF($M8130="PADD IV","PADD 4",IF($M8130="PADD V","PADD 5","")))))</f>
        <v>PADD 2</v>
      </c>
      <c r="G8130" s="6">
        <f>IF(AND($H8130="ATMOS DISTILLATION",ISNUMBER(SEARCH("VPS",$I8130))=FALSE,LEFT($I8130,6)&lt;&gt;"VACUUM"),"CDU",IF($H8130="FLUID CAT CRACKING","FCC",IF(OR($H8130="HYDROCRACKING",$H8130="RESID_HYDROCRACKING"),"Hydrocracker",IF($H8130="REFORMING","Reformer",""))))</f>
        <v/>
      </c>
      <c r="H8130" s="6" t="s">
        <v>43</v>
      </c>
      <c r="I8130" s="6" t="s">
        <v>925</v>
      </c>
      <c r="J8130" s="6" t="s">
        <v>349</v>
      </c>
      <c r="K8130" s="10">
        <v>14.8</v>
      </c>
      <c r="L8130" s="10">
        <v>20</v>
      </c>
      <c r="M8130" s="6" t="s">
        <v>375</v>
      </c>
    </row>
    <row r="8131" spans="1:13">
      <c r="A8131" s="6">
        <v>2026</v>
      </c>
      <c r="B8131" s="6">
        <v>10</v>
      </c>
      <c r="C8131" s="6" t="s">
        <v>68</v>
      </c>
      <c r="D8131" s="6" t="s">
        <v>326</v>
      </c>
      <c r="E8131" s="6" t="s">
        <v>385</v>
      </c>
      <c r="F8131" s="6" t="str">
        <f>IF($M8131="PADD I","PADD 1",IF($M8131="PADD II","PADD 2",IF($M8131="PADD III","PADD 3",IF($M8131="PADD IV","PADD 4",IF($M8131="PADD V","PADD 5","")))))</f>
        <v>PADD 5</v>
      </c>
      <c r="G8131" s="6" t="str">
        <f>IF(AND($H8131="ATMOS DISTILLATION",ISNUMBER(SEARCH("VPS",$I8131))=FALSE,LEFT($I8131,6)&lt;&gt;"VACUUM"),"CDU",IF($H8131="FLUID CAT CRACKING","FCC",IF(OR($H8131="HYDROCRACKING",$H8131="RESID_HYDROCRACKING"),"Hydrocracker",IF($H8131="REFORMING","Reformer",""))))</f>
        <v>Hydrocracker</v>
      </c>
      <c r="H8131" s="6" t="s">
        <v>444</v>
      </c>
      <c r="I8131" s="6" t="s">
        <v>498</v>
      </c>
      <c r="J8131" s="6" t="s">
        <v>349</v>
      </c>
      <c r="K8131" s="10">
        <v>14.7</v>
      </c>
      <c r="L8131" s="10">
        <v>42</v>
      </c>
      <c r="M8131" s="6" t="s">
        <v>386</v>
      </c>
    </row>
    <row r="8132" spans="1:13">
      <c r="A8132" s="6">
        <v>2026</v>
      </c>
      <c r="B8132" s="6">
        <v>10</v>
      </c>
      <c r="C8132" s="6" t="s">
        <v>68</v>
      </c>
      <c r="D8132" s="6" t="s">
        <v>675</v>
      </c>
      <c r="E8132" s="6" t="s">
        <v>452</v>
      </c>
      <c r="F8132" s="6" t="str">
        <f>IF($M8132="PADD I","PADD 1",IF($M8132="PADD II","PADD 2",IF($M8132="PADD III","PADD 3",IF($M8132="PADD IV","PADD 4",IF($M8132="PADD V","PADD 5","")))))</f>
        <v>PADD 2</v>
      </c>
      <c r="G8132" s="6" t="str">
        <f>IF(AND($H8132="ATMOS DISTILLATION",ISNUMBER(SEARCH("VPS",$I8132))=FALSE,LEFT($I8132,6)&lt;&gt;"VACUUM"),"CDU",IF($H8132="FLUID CAT CRACKING","FCC",IF(OR($H8132="HYDROCRACKING",$H8132="RESID_HYDROCRACKING"),"Hydrocracker",IF($H8132="REFORMING","Reformer",""))))</f>
        <v>Reformer</v>
      </c>
      <c r="H8132" s="6" t="s">
        <v>421</v>
      </c>
      <c r="I8132" s="6" t="s">
        <v>698</v>
      </c>
      <c r="J8132" s="6" t="s">
        <v>349</v>
      </c>
      <c r="K8132" s="10">
        <v>10.56</v>
      </c>
      <c r="L8132" s="10">
        <v>22</v>
      </c>
      <c r="M8132" s="6" t="s">
        <v>375</v>
      </c>
    </row>
    <row r="8133" spans="1:13">
      <c r="A8133" s="6">
        <v>2026</v>
      </c>
      <c r="B8133" s="6">
        <v>10</v>
      </c>
      <c r="C8133" s="6" t="s">
        <v>68</v>
      </c>
      <c r="D8133" s="6" t="s">
        <v>326</v>
      </c>
      <c r="E8133" s="6" t="s">
        <v>385</v>
      </c>
      <c r="F8133" s="6" t="str">
        <f>IF($M8133="PADD I","PADD 1",IF($M8133="PADD II","PADD 2",IF($M8133="PADD III","PADD 3",IF($M8133="PADD IV","PADD 4",IF($M8133="PADD V","PADD 5","")))))</f>
        <v>PADD 5</v>
      </c>
      <c r="G8133" s="6" t="str">
        <f>IF(AND($H8133="ATMOS DISTILLATION",ISNUMBER(SEARCH("VPS",$I8133))=FALSE,LEFT($I8133,6)&lt;&gt;"VACUUM"),"CDU",IF($H8133="FLUID CAT CRACKING","FCC",IF(OR($H8133="HYDROCRACKING",$H8133="RESID_HYDROCRACKING"),"Hydrocracker",IF($H8133="REFORMING","Reformer",""))))</f>
        <v>Reformer</v>
      </c>
      <c r="H8133" s="6" t="s">
        <v>421</v>
      </c>
      <c r="I8133" s="6" t="s">
        <v>15</v>
      </c>
      <c r="J8133" s="6" t="s">
        <v>349</v>
      </c>
      <c r="K8133" s="10">
        <v>10.325</v>
      </c>
      <c r="L8133" s="10">
        <v>29.5</v>
      </c>
      <c r="M8133" s="6" t="s">
        <v>386</v>
      </c>
    </row>
    <row r="8134" spans="1:13">
      <c r="A8134" s="6">
        <v>2026</v>
      </c>
      <c r="B8134" s="6">
        <v>10</v>
      </c>
      <c r="C8134" s="6" t="s">
        <v>68</v>
      </c>
      <c r="D8134" s="6" t="s">
        <v>675</v>
      </c>
      <c r="E8134" s="6" t="s">
        <v>452</v>
      </c>
      <c r="F8134" s="6" t="str">
        <f>IF($M8134="PADD I","PADD 1",IF($M8134="PADD II","PADD 2",IF($M8134="PADD III","PADD 3",IF($M8134="PADD IV","PADD 4",IF($M8134="PADD V","PADD 5","")))))</f>
        <v>PADD 2</v>
      </c>
      <c r="G8134" s="6">
        <f>IF(AND($H8134="ATMOS DISTILLATION",ISNUMBER(SEARCH("VPS",$I8134))=FALSE,LEFT($I8134,6)&lt;&gt;"VACUUM"),"CDU",IF($H8134="FLUID CAT CRACKING","FCC",IF(OR($H8134="HYDROCRACKING",$H8134="RESID_HYDROCRACKING"),"Hydrocracker",IF($H8134="REFORMING","Reformer",""))))</f>
        <v/>
      </c>
      <c r="H8134" s="6" t="s">
        <v>435</v>
      </c>
      <c r="I8134" s="6" t="s">
        <v>441</v>
      </c>
      <c r="J8134" s="6" t="s">
        <v>349</v>
      </c>
      <c r="K8134" s="10">
        <v>9.84</v>
      </c>
      <c r="L8134" s="10">
        <v>20.5</v>
      </c>
      <c r="M8134" s="6" t="s">
        <v>375</v>
      </c>
    </row>
    <row r="8135" spans="1:13">
      <c r="A8135" s="6">
        <v>2026</v>
      </c>
      <c r="B8135" s="6">
        <v>10</v>
      </c>
      <c r="C8135" s="6" t="s">
        <v>68</v>
      </c>
      <c r="D8135" s="6" t="s">
        <v>675</v>
      </c>
      <c r="E8135" s="6" t="s">
        <v>452</v>
      </c>
      <c r="F8135" s="6" t="str">
        <f>IF($M8135="PADD I","PADD 1",IF($M8135="PADD II","PADD 2",IF($M8135="PADD III","PADD 3",IF($M8135="PADD IV","PADD 4",IF($M8135="PADD V","PADD 5","")))))</f>
        <v>PADD 2</v>
      </c>
      <c r="G8135" s="6">
        <f>IF(AND($H8135="ATMOS DISTILLATION",ISNUMBER(SEARCH("VPS",$I8135))=FALSE,LEFT($I8135,6)&lt;&gt;"VACUUM"),"CDU",IF($H8135="FLUID CAT CRACKING","FCC",IF(OR($H8135="HYDROCRACKING",$H8135="RESID_HYDROCRACKING"),"Hydrocracker",IF($H8135="REFORMING","Reformer",""))))</f>
        <v/>
      </c>
      <c r="H8135" s="6" t="s">
        <v>435</v>
      </c>
      <c r="I8135" s="6" t="s">
        <v>441</v>
      </c>
      <c r="J8135" s="6" t="s">
        <v>349</v>
      </c>
      <c r="K8135" s="10">
        <v>9.84</v>
      </c>
      <c r="L8135" s="10">
        <v>20.5</v>
      </c>
      <c r="M8135" s="6" t="s">
        <v>375</v>
      </c>
    </row>
    <row r="8136" spans="1:13">
      <c r="A8136" s="6">
        <v>2026</v>
      </c>
      <c r="B8136" s="6">
        <v>10</v>
      </c>
      <c r="C8136" s="6" t="s">
        <v>68</v>
      </c>
      <c r="D8136" s="6" t="s">
        <v>326</v>
      </c>
      <c r="E8136" s="6" t="s">
        <v>385</v>
      </c>
      <c r="F8136" s="6" t="str">
        <f>IF($M8136="PADD I","PADD 1",IF($M8136="PADD II","PADD 2",IF($M8136="PADD III","PADD 3",IF($M8136="PADD IV","PADD 4",IF($M8136="PADD V","PADD 5","")))))</f>
        <v>PADD 5</v>
      </c>
      <c r="G8136" s="6">
        <f>IF(AND($H8136="ATMOS DISTILLATION",ISNUMBER(SEARCH("VPS",$I8136))=FALSE,LEFT($I8136,6)&lt;&gt;"VACUUM"),"CDU",IF($H8136="FLUID CAT CRACKING","FCC",IF(OR($H8136="HYDROCRACKING",$H8136="RESID_HYDROCRACKING"),"Hydrocracker",IF($H8136="REFORMING","Reformer",""))))</f>
        <v/>
      </c>
      <c r="H8136" s="6" t="s">
        <v>43</v>
      </c>
      <c r="I8136" s="6" t="s">
        <v>1183</v>
      </c>
      <c r="J8136" s="6" t="s">
        <v>349</v>
      </c>
      <c r="K8136" s="10">
        <v>9.1</v>
      </c>
      <c r="L8136" s="10">
        <v>26</v>
      </c>
      <c r="M8136" s="6" t="s">
        <v>386</v>
      </c>
    </row>
    <row r="8137" spans="1:13">
      <c r="A8137" s="6">
        <v>2026</v>
      </c>
      <c r="B8137" s="6">
        <v>10</v>
      </c>
      <c r="C8137" s="6" t="s">
        <v>68</v>
      </c>
      <c r="D8137" s="6" t="s">
        <v>675</v>
      </c>
      <c r="E8137" s="6" t="s">
        <v>452</v>
      </c>
      <c r="F8137" s="6" t="str">
        <f>IF($M8137="PADD I","PADD 1",IF($M8137="PADD II","PADD 2",IF($M8137="PADD III","PADD 3",IF($M8137="PADD IV","PADD 4",IF($M8137="PADD V","PADD 5","")))))</f>
        <v>PADD 2</v>
      </c>
      <c r="G8137" s="6">
        <f>IF(AND($H8137="ATMOS DISTILLATION",ISNUMBER(SEARCH("VPS",$I8137))=FALSE,LEFT($I8137,6)&lt;&gt;"VACUUM"),"CDU",IF($H8137="FLUID CAT CRACKING","FCC",IF(OR($H8137="HYDROCRACKING",$H8137="RESID_HYDROCRACKING"),"Hydrocracker",IF($H8137="REFORMING","Reformer",""))))</f>
        <v/>
      </c>
      <c r="H8137" s="6" t="s">
        <v>43</v>
      </c>
      <c r="I8137" s="6" t="s">
        <v>704</v>
      </c>
      <c r="J8137" s="6" t="s">
        <v>349</v>
      </c>
      <c r="K8137" s="10">
        <v>8.640000000000001</v>
      </c>
      <c r="L8137" s="10">
        <v>18</v>
      </c>
      <c r="M8137" s="6" t="s">
        <v>375</v>
      </c>
    </row>
    <row r="8138" spans="1:13">
      <c r="A8138" s="6">
        <v>2026</v>
      </c>
      <c r="B8138" s="6">
        <v>10</v>
      </c>
      <c r="C8138" s="6" t="s">
        <v>68</v>
      </c>
      <c r="D8138" s="6" t="s">
        <v>675</v>
      </c>
      <c r="E8138" s="6" t="s">
        <v>452</v>
      </c>
      <c r="F8138" s="6" t="str">
        <f>IF($M8138="PADD I","PADD 1",IF($M8138="PADD II","PADD 2",IF($M8138="PADD III","PADD 3",IF($M8138="PADD IV","PADD 4",IF($M8138="PADD V","PADD 5","")))))</f>
        <v>PADD 2</v>
      </c>
      <c r="G8138" s="6">
        <f>IF(AND($H8138="ATMOS DISTILLATION",ISNUMBER(SEARCH("VPS",$I8138))=FALSE,LEFT($I8138,6)&lt;&gt;"VACUUM"),"CDU",IF($H8138="FLUID CAT CRACKING","FCC",IF(OR($H8138="HYDROCRACKING",$H8138="RESID_HYDROCRACKING"),"Hydrocracker",IF($H8138="REFORMING","Reformer",""))))</f>
        <v/>
      </c>
      <c r="H8138" s="6" t="s">
        <v>43</v>
      </c>
      <c r="I8138" s="6" t="s">
        <v>705</v>
      </c>
      <c r="J8138" s="6" t="s">
        <v>349</v>
      </c>
      <c r="K8138" s="10">
        <v>8.640000000000001</v>
      </c>
      <c r="L8138" s="10">
        <v>18</v>
      </c>
      <c r="M8138" s="6" t="s">
        <v>375</v>
      </c>
    </row>
    <row r="8139" spans="1:13">
      <c r="A8139" s="6">
        <v>2026</v>
      </c>
      <c r="B8139" s="6">
        <v>10</v>
      </c>
      <c r="C8139" s="6" t="s">
        <v>68</v>
      </c>
      <c r="D8139" s="6" t="s">
        <v>602</v>
      </c>
      <c r="E8139" s="6" t="s">
        <v>369</v>
      </c>
      <c r="F8139" s="6" t="str">
        <f>IF($M8139="PADD I","PADD 1",IF($M8139="PADD II","PADD 2",IF($M8139="PADD III","PADD 3",IF($M8139="PADD IV","PADD 4",IF($M8139="PADD V","PADD 5","")))))</f>
        <v>PADD 2</v>
      </c>
      <c r="G8139" s="6" t="str">
        <f>IF(AND($H8139="ATMOS DISTILLATION",ISNUMBER(SEARCH("VPS",$I8139))=FALSE,LEFT($I8139,6)&lt;&gt;"VACUUM"),"CDU",IF($H8139="FLUID CAT CRACKING","FCC",IF(OR($H8139="HYDROCRACKING",$H8139="RESID_HYDROCRACKING"),"Hydrocracker",IF($H8139="REFORMING","Reformer",""))))</f>
        <v>CDU</v>
      </c>
      <c r="H8139" s="6" t="s">
        <v>38</v>
      </c>
      <c r="I8139" s="6" t="s">
        <v>1235</v>
      </c>
      <c r="J8139" s="6" t="s">
        <v>349</v>
      </c>
      <c r="K8139" s="10">
        <v>8.5</v>
      </c>
      <c r="L8139" s="10">
        <v>85</v>
      </c>
      <c r="M8139" s="6" t="s">
        <v>375</v>
      </c>
    </row>
    <row r="8140" spans="1:13">
      <c r="A8140" s="6">
        <v>2026</v>
      </c>
      <c r="B8140" s="6">
        <v>10</v>
      </c>
      <c r="C8140" s="6" t="s">
        <v>68</v>
      </c>
      <c r="D8140" s="6" t="s">
        <v>434</v>
      </c>
      <c r="E8140" s="6" t="s">
        <v>388</v>
      </c>
      <c r="F8140" s="6" t="str">
        <f>IF($M8140="PADD I","PADD 1",IF($M8140="PADD II","PADD 2",IF($M8140="PADD III","PADD 3",IF($M8140="PADD IV","PADD 4",IF($M8140="PADD V","PADD 5","")))))</f>
        <v>PADD 5</v>
      </c>
      <c r="G8140" s="6">
        <f>IF(AND($H8140="ATMOS DISTILLATION",ISNUMBER(SEARCH("VPS",$I8140))=FALSE,LEFT($I8140,6)&lt;&gt;"VACUUM"),"CDU",IF($H8140="FLUID CAT CRACKING","FCC",IF(OR($H8140="HYDROCRACKING",$H8140="RESID_HYDROCRACKING"),"Hydrocracker",IF($H8140="REFORMING","Reformer",""))))</f>
        <v/>
      </c>
      <c r="H8140" s="6" t="s">
        <v>568</v>
      </c>
      <c r="I8140" s="6" t="s">
        <v>909</v>
      </c>
      <c r="J8140" s="6" t="s">
        <v>349</v>
      </c>
      <c r="K8140" s="10">
        <v>8</v>
      </c>
      <c r="L8140" s="10">
        <v>8</v>
      </c>
      <c r="M8140" s="6" t="s">
        <v>386</v>
      </c>
    </row>
    <row r="8141" spans="1:13">
      <c r="A8141" s="6">
        <v>2026</v>
      </c>
      <c r="B8141" s="6">
        <v>10</v>
      </c>
      <c r="C8141" s="6" t="s">
        <v>68</v>
      </c>
      <c r="D8141" s="6" t="s">
        <v>40</v>
      </c>
      <c r="E8141" s="6" t="s">
        <v>736</v>
      </c>
      <c r="F8141" s="6" t="str">
        <f>IF($M8141="PADD I","PADD 1",IF($M8141="PADD II","PADD 2",IF($M8141="PADD III","PADD 3",IF($M8141="PADD IV","PADD 4",IF($M8141="PADD V","PADD 5","")))))</f>
        <v>PADD 1</v>
      </c>
      <c r="G8141" s="6">
        <f>IF(AND($H8141="ATMOS DISTILLATION",ISNUMBER(SEARCH("VPS",$I8141))=FALSE,LEFT($I8141,6)&lt;&gt;"VACUUM"),"CDU",IF($H8141="FLUID CAT CRACKING","FCC",IF(OR($H8141="HYDROCRACKING",$H8141="RESID_HYDROCRACKING"),"Hydrocracker",IF($H8141="REFORMING","Reformer",""))))</f>
        <v/>
      </c>
      <c r="H8141" s="6" t="s">
        <v>378</v>
      </c>
      <c r="I8141" s="6" t="s">
        <v>963</v>
      </c>
      <c r="J8141" s="6" t="s">
        <v>349</v>
      </c>
      <c r="K8141" s="10">
        <v>7.7856</v>
      </c>
      <c r="L8141" s="10">
        <v>24.33</v>
      </c>
      <c r="M8141" s="6" t="s">
        <v>413</v>
      </c>
    </row>
    <row r="8142" spans="1:13">
      <c r="A8142" s="6">
        <v>2026</v>
      </c>
      <c r="B8142" s="6">
        <v>10</v>
      </c>
      <c r="C8142" s="6" t="s">
        <v>68</v>
      </c>
      <c r="D8142" s="6" t="s">
        <v>1101</v>
      </c>
      <c r="E8142" s="6" t="s">
        <v>881</v>
      </c>
      <c r="F8142" s="6" t="str">
        <f>IF($M8142="PADD I","PADD 1",IF($M8142="PADD II","PADD 2",IF($M8142="PADD III","PADD 3",IF($M8142="PADD IV","PADD 4",IF($M8142="PADD V","PADD 5","")))))</f>
        <v>PADD 3</v>
      </c>
      <c r="G8142" s="6" t="str">
        <f>IF(AND($H8142="ATMOS DISTILLATION",ISNUMBER(SEARCH("VPS",$I8142))=FALSE,LEFT($I8142,6)&lt;&gt;"VACUUM"),"CDU",IF($H8142="FLUID CAT CRACKING","FCC",IF(OR($H8142="HYDROCRACKING",$H8142="RESID_HYDROCRACKING"),"Hydrocracker",IF($H8142="REFORMING","Reformer",""))))</f>
        <v>CDU</v>
      </c>
      <c r="H8142" s="6" t="s">
        <v>38</v>
      </c>
      <c r="I8142" s="6" t="s">
        <v>81</v>
      </c>
      <c r="J8142" s="6" t="s">
        <v>349</v>
      </c>
      <c r="K8142" s="10">
        <v>7.4</v>
      </c>
      <c r="L8142" s="10">
        <v>10</v>
      </c>
      <c r="M8142" s="6" t="s">
        <v>371</v>
      </c>
    </row>
    <row r="8143" spans="1:13">
      <c r="A8143" s="6">
        <v>2026</v>
      </c>
      <c r="B8143" s="6">
        <v>10</v>
      </c>
      <c r="C8143" s="6" t="s">
        <v>68</v>
      </c>
      <c r="D8143" s="6" t="s">
        <v>675</v>
      </c>
      <c r="E8143" s="6" t="s">
        <v>452</v>
      </c>
      <c r="F8143" s="6" t="str">
        <f>IF($M8143="PADD I","PADD 1",IF($M8143="PADD II","PADD 2",IF($M8143="PADD III","PADD 3",IF($M8143="PADD IV","PADD 4",IF($M8143="PADD V","PADD 5","")))))</f>
        <v>PADD 2</v>
      </c>
      <c r="G8143" s="6">
        <f>IF(AND($H8143="ATMOS DISTILLATION",ISNUMBER(SEARCH("VPS",$I8143))=FALSE,LEFT($I8143,6)&lt;&gt;"VACUUM"),"CDU",IF($H8143="FLUID CAT CRACKING","FCC",IF(OR($H8143="HYDROCRACKING",$H8143="RESID_HYDROCRACKING"),"Hydrocracker",IF($H8143="REFORMING","Reformer",""))))</f>
        <v/>
      </c>
      <c r="H8143" s="6" t="s">
        <v>568</v>
      </c>
      <c r="I8143" s="6" t="s">
        <v>604</v>
      </c>
      <c r="J8143" s="6" t="s">
        <v>349</v>
      </c>
      <c r="K8143" s="10">
        <v>7.2</v>
      </c>
      <c r="L8143" s="10">
        <v>15</v>
      </c>
      <c r="M8143" s="6" t="s">
        <v>375</v>
      </c>
    </row>
    <row r="8144" spans="1:13">
      <c r="A8144" s="6">
        <v>2026</v>
      </c>
      <c r="B8144" s="6">
        <v>10</v>
      </c>
      <c r="C8144" s="6" t="s">
        <v>68</v>
      </c>
      <c r="D8144" s="6" t="s">
        <v>1101</v>
      </c>
      <c r="E8144" s="6" t="s">
        <v>881</v>
      </c>
      <c r="F8144" s="6" t="str">
        <f>IF($M8144="PADD I","PADD 1",IF($M8144="PADD II","PADD 2",IF($M8144="PADD III","PADD 3",IF($M8144="PADD IV","PADD 4",IF($M8144="PADD V","PADD 5","")))))</f>
        <v>PADD 3</v>
      </c>
      <c r="G8144" s="6">
        <f>IF(AND($H8144="ATMOS DISTILLATION",ISNUMBER(SEARCH("VPS",$I8144))=FALSE,LEFT($I8144,6)&lt;&gt;"VACUUM"),"CDU",IF($H8144="FLUID CAT CRACKING","FCC",IF(OR($H8144="HYDROCRACKING",$H8144="RESID_HYDROCRACKING"),"Hydrocracker",IF($H8144="REFORMING","Reformer",""))))</f>
        <v/>
      </c>
      <c r="H8144" s="6" t="s">
        <v>378</v>
      </c>
      <c r="I8144" s="6" t="s">
        <v>431</v>
      </c>
      <c r="J8144" s="6" t="s">
        <v>349</v>
      </c>
      <c r="K8144" s="10">
        <v>6.364</v>
      </c>
      <c r="L8144" s="10">
        <v>8.6</v>
      </c>
      <c r="M8144" s="6" t="s">
        <v>371</v>
      </c>
    </row>
    <row r="8145" spans="1:13">
      <c r="A8145" s="6">
        <v>2026</v>
      </c>
      <c r="B8145" s="6">
        <v>10</v>
      </c>
      <c r="C8145" s="6" t="s">
        <v>68</v>
      </c>
      <c r="D8145" s="6" t="s">
        <v>1101</v>
      </c>
      <c r="E8145" s="6" t="s">
        <v>881</v>
      </c>
      <c r="F8145" s="6" t="str">
        <f>IF($M8145="PADD I","PADD 1",IF($M8145="PADD II","PADD 2",IF($M8145="PADD III","PADD 3",IF($M8145="PADD IV","PADD 4",IF($M8145="PADD V","PADD 5","")))))</f>
        <v>PADD 3</v>
      </c>
      <c r="G8145" s="6">
        <f>IF(AND($H8145="ATMOS DISTILLATION",ISNUMBER(SEARCH("VPS",$I8145))=FALSE,LEFT($I8145,6)&lt;&gt;"VACUUM"),"CDU",IF($H8145="FLUID CAT CRACKING","FCC",IF(OR($H8145="HYDROCRACKING",$H8145="RESID_HYDROCRACKING"),"Hydrocracker",IF($H8145="REFORMING","Reformer",""))))</f>
        <v/>
      </c>
      <c r="H8145" s="6" t="s">
        <v>43</v>
      </c>
      <c r="I8145" s="6" t="s">
        <v>1102</v>
      </c>
      <c r="J8145" s="6" t="s">
        <v>349</v>
      </c>
      <c r="K8145" s="10">
        <v>5.92</v>
      </c>
      <c r="L8145" s="10">
        <v>8</v>
      </c>
      <c r="M8145" s="6" t="s">
        <v>371</v>
      </c>
    </row>
    <row r="8146" spans="1:13">
      <c r="A8146" s="6">
        <v>2026</v>
      </c>
      <c r="B8146" s="6">
        <v>10</v>
      </c>
      <c r="C8146" s="6" t="s">
        <v>68</v>
      </c>
      <c r="D8146" s="6" t="s">
        <v>1239</v>
      </c>
      <c r="E8146" s="6" t="s">
        <v>872</v>
      </c>
      <c r="F8146" s="6" t="str">
        <f>IF($M8146="PADD I","PADD 1",IF($M8146="PADD II","PADD 2",IF($M8146="PADD III","PADD 3",IF($M8146="PADD IV","PADD 4",IF($M8146="PADD V","PADD 5","")))))</f>
        <v>PADD 4</v>
      </c>
      <c r="G8146" s="6" t="str">
        <f>IF(AND($H8146="ATMOS DISTILLATION",ISNUMBER(SEARCH("VPS",$I8146))=FALSE,LEFT($I8146,6)&lt;&gt;"VACUUM"),"CDU",IF($H8146="FLUID CAT CRACKING","FCC",IF(OR($H8146="HYDROCRACKING",$H8146="RESID_HYDROCRACKING"),"Hydrocracker",IF($H8146="REFORMING","Reformer",""))))</f>
        <v>CDU</v>
      </c>
      <c r="H8146" s="6" t="s">
        <v>38</v>
      </c>
      <c r="I8146" s="6" t="s">
        <v>81</v>
      </c>
      <c r="J8146" s="6" t="s">
        <v>349</v>
      </c>
      <c r="K8146" s="10">
        <v>5.625</v>
      </c>
      <c r="L8146" s="10">
        <v>12.5</v>
      </c>
      <c r="M8146" s="6" t="s">
        <v>430</v>
      </c>
    </row>
    <row r="8147" spans="1:13">
      <c r="A8147" s="6">
        <v>2026</v>
      </c>
      <c r="B8147" s="6">
        <v>10</v>
      </c>
      <c r="C8147" s="6" t="s">
        <v>68</v>
      </c>
      <c r="D8147" s="6" t="s">
        <v>675</v>
      </c>
      <c r="E8147" s="6" t="s">
        <v>452</v>
      </c>
      <c r="F8147" s="6" t="str">
        <f>IF($M8147="PADD I","PADD 1",IF($M8147="PADD II","PADD 2",IF($M8147="PADD III","PADD 3",IF($M8147="PADD IV","PADD 4",IF($M8147="PADD V","PADD 5","")))))</f>
        <v>PADD 2</v>
      </c>
      <c r="G8147" s="6">
        <f>IF(AND($H8147="ATMOS DISTILLATION",ISNUMBER(SEARCH("VPS",$I8147))=FALSE,LEFT($I8147,6)&lt;&gt;"VACUUM"),"CDU",IF($H8147="FLUID CAT CRACKING","FCC",IF(OR($H8147="HYDROCRACKING",$H8147="RESID_HYDROCRACKING"),"Hydrocracker",IF($H8147="REFORMING","Reformer",""))))</f>
        <v/>
      </c>
      <c r="H8147" s="6" t="s">
        <v>460</v>
      </c>
      <c r="I8147" s="6" t="s">
        <v>616</v>
      </c>
      <c r="J8147" s="6" t="s">
        <v>349</v>
      </c>
      <c r="K8147" s="10">
        <v>5.52</v>
      </c>
      <c r="L8147" s="10">
        <v>11.5</v>
      </c>
      <c r="M8147" s="6" t="s">
        <v>375</v>
      </c>
    </row>
    <row r="8148" spans="1:13">
      <c r="A8148" s="6">
        <v>2026</v>
      </c>
      <c r="B8148" s="6">
        <v>10</v>
      </c>
      <c r="C8148" s="6" t="s">
        <v>68</v>
      </c>
      <c r="D8148" s="6" t="s">
        <v>646</v>
      </c>
      <c r="E8148" s="6" t="s">
        <v>405</v>
      </c>
      <c r="F8148" s="6" t="str">
        <f>IF($M8148="PADD I","PADD 1",IF($M8148="PADD II","PADD 2",IF($M8148="PADD III","PADD 3",IF($M8148="PADD IV","PADD 4",IF($M8148="PADD V","PADD 5","")))))</f>
        <v>PADD 3</v>
      </c>
      <c r="G8148" s="6">
        <f>IF(AND($H8148="ATMOS DISTILLATION",ISNUMBER(SEARCH("VPS",$I8148))=FALSE,LEFT($I8148,6)&lt;&gt;"VACUUM"),"CDU",IF($H8148="FLUID CAT CRACKING","FCC",IF(OR($H8148="HYDROCRACKING",$H8148="RESID_HYDROCRACKING"),"Hydrocracker",IF($H8148="REFORMING","Reformer",""))))</f>
        <v/>
      </c>
      <c r="H8148" s="6" t="s">
        <v>43</v>
      </c>
      <c r="I8148" s="6" t="s">
        <v>1369</v>
      </c>
      <c r="J8148" s="6" t="s">
        <v>349</v>
      </c>
      <c r="K8148" s="10">
        <v>4.8</v>
      </c>
      <c r="L8148" s="10">
        <v>30</v>
      </c>
      <c r="M8148" s="6" t="s">
        <v>371</v>
      </c>
    </row>
    <row r="8149" spans="1:13">
      <c r="A8149" s="6">
        <v>2026</v>
      </c>
      <c r="B8149" s="6">
        <v>10</v>
      </c>
      <c r="C8149" s="6" t="s">
        <v>68</v>
      </c>
      <c r="D8149" s="6" t="s">
        <v>542</v>
      </c>
      <c r="E8149" s="6" t="s">
        <v>543</v>
      </c>
      <c r="F8149" s="6" t="str">
        <f>IF($M8149="PADD I","PADD 1",IF($M8149="PADD II","PADD 2",IF($M8149="PADD III","PADD 3",IF($M8149="PADD IV","PADD 4",IF($M8149="PADD V","PADD 5","")))))</f>
        <v>PADD 2</v>
      </c>
      <c r="G8149" s="6">
        <f>IF(AND($H8149="ATMOS DISTILLATION",ISNUMBER(SEARCH("VPS",$I8149))=FALSE,LEFT($I8149,6)&lt;&gt;"VACUUM"),"CDU",IF($H8149="FLUID CAT CRACKING","FCC",IF(OR($H8149="HYDROCRACKING",$H8149="RESID_HYDROCRACKING"),"Hydrocracker",IF($H8149="REFORMING","Reformer",""))))</f>
        <v/>
      </c>
      <c r="H8149" s="6" t="s">
        <v>568</v>
      </c>
      <c r="I8149" s="6" t="s">
        <v>604</v>
      </c>
      <c r="J8149" s="6" t="s">
        <v>349</v>
      </c>
      <c r="K8149" s="10">
        <v>4.464</v>
      </c>
      <c r="L8149" s="10">
        <v>27.9</v>
      </c>
      <c r="M8149" s="6" t="s">
        <v>375</v>
      </c>
    </row>
    <row r="8150" spans="1:13">
      <c r="A8150" s="6">
        <v>2026</v>
      </c>
      <c r="B8150" s="6">
        <v>10</v>
      </c>
      <c r="C8150" s="6" t="s">
        <v>68</v>
      </c>
      <c r="D8150" s="6" t="s">
        <v>675</v>
      </c>
      <c r="E8150" s="6" t="s">
        <v>452</v>
      </c>
      <c r="F8150" s="6" t="str">
        <f>IF($M8150="PADD I","PADD 1",IF($M8150="PADD II","PADD 2",IF($M8150="PADD III","PADD 3",IF($M8150="PADD IV","PADD 4",IF($M8150="PADD V","PADD 5","")))))</f>
        <v>PADD 2</v>
      </c>
      <c r="G8150" s="6" t="str">
        <f>IF(AND($H8150="ATMOS DISTILLATION",ISNUMBER(SEARCH("VPS",$I8150))=FALSE,LEFT($I8150,6)&lt;&gt;"VACUUM"),"CDU",IF($H8150="FLUID CAT CRACKING","FCC",IF(OR($H8150="HYDROCRACKING",$H8150="RESID_HYDROCRACKING"),"Hydrocracker",IF($H8150="REFORMING","Reformer",""))))</f>
        <v>Reformer</v>
      </c>
      <c r="H8150" s="6" t="s">
        <v>421</v>
      </c>
      <c r="I8150" s="6" t="s">
        <v>348</v>
      </c>
      <c r="J8150" s="6" t="s">
        <v>349</v>
      </c>
      <c r="K8150" s="10">
        <v>3.6</v>
      </c>
      <c r="L8150" s="10">
        <v>7.5</v>
      </c>
      <c r="M8150" s="6" t="s">
        <v>375</v>
      </c>
    </row>
    <row r="8151" spans="1:13">
      <c r="A8151" s="6">
        <v>2026</v>
      </c>
      <c r="B8151" s="6">
        <v>10</v>
      </c>
      <c r="C8151" s="6" t="s">
        <v>68</v>
      </c>
      <c r="D8151" s="6" t="s">
        <v>675</v>
      </c>
      <c r="E8151" s="6" t="s">
        <v>452</v>
      </c>
      <c r="F8151" s="6" t="str">
        <f>IF($M8151="PADD I","PADD 1",IF($M8151="PADD II","PADD 2",IF($M8151="PADD III","PADD 3",IF($M8151="PADD IV","PADD 4",IF($M8151="PADD V","PADD 5","")))))</f>
        <v>PADD 2</v>
      </c>
      <c r="G8151" s="6" t="str">
        <f>IF(AND($H8151="ATMOS DISTILLATION",ISNUMBER(SEARCH("VPS",$I8151))=FALSE,LEFT($I8151,6)&lt;&gt;"VACUUM"),"CDU",IF($H8151="FLUID CAT CRACKING","FCC",IF(OR($H8151="HYDROCRACKING",$H8151="RESID_HYDROCRACKING"),"Hydrocracker",IF($H8151="REFORMING","Reformer",""))))</f>
        <v>Reformer</v>
      </c>
      <c r="H8151" s="6" t="s">
        <v>421</v>
      </c>
      <c r="I8151" s="6" t="s">
        <v>348</v>
      </c>
      <c r="J8151" s="6" t="s">
        <v>349</v>
      </c>
      <c r="K8151" s="10">
        <v>3.6</v>
      </c>
      <c r="L8151" s="10">
        <v>7.5</v>
      </c>
      <c r="M8151" s="6" t="s">
        <v>375</v>
      </c>
    </row>
    <row r="8152" spans="1:13">
      <c r="A8152" s="6">
        <v>2026</v>
      </c>
      <c r="B8152" s="6">
        <v>10</v>
      </c>
      <c r="C8152" s="6" t="s">
        <v>68</v>
      </c>
      <c r="D8152" s="6" t="s">
        <v>742</v>
      </c>
      <c r="E8152" s="6" t="s">
        <v>388</v>
      </c>
      <c r="F8152" s="6" t="str">
        <f>IF($M8152="PADD I","PADD 1",IF($M8152="PADD II","PADD 2",IF($M8152="PADD III","PADD 3",IF($M8152="PADD IV","PADD 4",IF($M8152="PADD V","PADD 5","")))))</f>
        <v>PADD 5</v>
      </c>
      <c r="G8152" s="6">
        <f>IF(AND($H8152="ATMOS DISTILLATION",ISNUMBER(SEARCH("VPS",$I8152))=FALSE,LEFT($I8152,6)&lt;&gt;"VACUUM"),"CDU",IF($H8152="FLUID CAT CRACKING","FCC",IF(OR($H8152="HYDROCRACKING",$H8152="RESID_HYDROCRACKING"),"Hydrocracker",IF($H8152="REFORMING","Reformer",""))))</f>
        <v/>
      </c>
      <c r="H8152" s="6" t="s">
        <v>568</v>
      </c>
      <c r="I8152" s="6" t="s">
        <v>768</v>
      </c>
      <c r="J8152" s="6" t="s">
        <v>349</v>
      </c>
      <c r="K8152" s="10">
        <v>3.5</v>
      </c>
      <c r="L8152" s="10">
        <v>3.5</v>
      </c>
      <c r="M8152" s="6" t="s">
        <v>386</v>
      </c>
    </row>
    <row r="8153" spans="1:13">
      <c r="A8153" s="6">
        <v>2026</v>
      </c>
      <c r="B8153" s="6">
        <v>10</v>
      </c>
      <c r="C8153" s="6" t="s">
        <v>68</v>
      </c>
      <c r="D8153" s="6" t="s">
        <v>612</v>
      </c>
      <c r="E8153" s="6" t="s">
        <v>416</v>
      </c>
      <c r="F8153" s="6" t="str">
        <f>IF($M8153="PADD I","PADD 1",IF($M8153="PADD II","PADD 2",IF($M8153="PADD III","PADD 3",IF($M8153="PADD IV","PADD 4",IF($M8153="PADD V","PADD 5","")))))</f>
        <v>PADD 3</v>
      </c>
      <c r="G8153" s="6">
        <f>IF(AND($H8153="ATMOS DISTILLATION",ISNUMBER(SEARCH("VPS",$I8153))=FALSE,LEFT($I8153,6)&lt;&gt;"VACUUM"),"CDU",IF($H8153="FLUID CAT CRACKING","FCC",IF(OR($H8153="HYDROCRACKING",$H8153="RESID_HYDROCRACKING"),"Hydrocracker",IF($H8153="REFORMING","Reformer",""))))</f>
        <v/>
      </c>
      <c r="H8153" s="6" t="s">
        <v>897</v>
      </c>
      <c r="I8153" s="6" t="s">
        <v>898</v>
      </c>
      <c r="J8153" s="6" t="s">
        <v>349</v>
      </c>
      <c r="K8153" s="10">
        <v>3.492</v>
      </c>
      <c r="L8153" s="10">
        <v>3.6</v>
      </c>
      <c r="M8153" s="6" t="s">
        <v>371</v>
      </c>
    </row>
    <row r="8154" spans="1:13">
      <c r="A8154" s="6">
        <v>2026</v>
      </c>
      <c r="B8154" s="6">
        <v>10</v>
      </c>
      <c r="C8154" s="6" t="s">
        <v>68</v>
      </c>
      <c r="D8154" s="6" t="s">
        <v>602</v>
      </c>
      <c r="E8154" s="6" t="s">
        <v>369</v>
      </c>
      <c r="F8154" s="6" t="str">
        <f>IF($M8154="PADD I","PADD 1",IF($M8154="PADD II","PADD 2",IF($M8154="PADD III","PADD 3",IF($M8154="PADD IV","PADD 4",IF($M8154="PADD V","PADD 5","")))))</f>
        <v>PADD 2</v>
      </c>
      <c r="G8154" s="6">
        <f>IF(AND($H8154="ATMOS DISTILLATION",ISNUMBER(SEARCH("VPS",$I8154))=FALSE,LEFT($I8154,6)&lt;&gt;"VACUUM"),"CDU",IF($H8154="FLUID CAT CRACKING","FCC",IF(OR($H8154="HYDROCRACKING",$H8154="RESID_HYDROCRACKING"),"Hydrocracker",IF($H8154="REFORMING","Reformer",""))))</f>
        <v/>
      </c>
      <c r="H8154" s="6" t="s">
        <v>435</v>
      </c>
      <c r="I8154" s="6" t="s">
        <v>441</v>
      </c>
      <c r="J8154" s="6" t="s">
        <v>349</v>
      </c>
      <c r="K8154" s="10">
        <v>3.1</v>
      </c>
      <c r="L8154" s="10">
        <v>31</v>
      </c>
      <c r="M8154" s="6" t="s">
        <v>375</v>
      </c>
    </row>
    <row r="8155" spans="1:13">
      <c r="A8155" s="6">
        <v>2026</v>
      </c>
      <c r="B8155" s="6">
        <v>10</v>
      </c>
      <c r="C8155" s="6" t="s">
        <v>68</v>
      </c>
      <c r="D8155" s="6" t="s">
        <v>1101</v>
      </c>
      <c r="E8155" s="6" t="s">
        <v>881</v>
      </c>
      <c r="F8155" s="6" t="str">
        <f>IF($M8155="PADD I","PADD 1",IF($M8155="PADD II","PADD 2",IF($M8155="PADD III","PADD 3",IF($M8155="PADD IV","PADD 4",IF($M8155="PADD V","PADD 5","")))))</f>
        <v>PADD 3</v>
      </c>
      <c r="G8155" s="6" t="str">
        <f>IF(AND($H8155="ATMOS DISTILLATION",ISNUMBER(SEARCH("VPS",$I8155))=FALSE,LEFT($I8155,6)&lt;&gt;"VACUUM"),"CDU",IF($H8155="FLUID CAT CRACKING","FCC",IF(OR($H8155="HYDROCRACKING",$H8155="RESID_HYDROCRACKING"),"Hydrocracker",IF($H8155="REFORMING","Reformer",""))))</f>
        <v>Reformer</v>
      </c>
      <c r="H8155" s="6" t="s">
        <v>421</v>
      </c>
      <c r="I8155" s="6" t="s">
        <v>15</v>
      </c>
      <c r="J8155" s="6" t="s">
        <v>349</v>
      </c>
      <c r="K8155" s="10">
        <v>2.96</v>
      </c>
      <c r="L8155" s="10">
        <v>4</v>
      </c>
      <c r="M8155" s="6" t="s">
        <v>371</v>
      </c>
    </row>
    <row r="8156" spans="1:13">
      <c r="A8156" s="6">
        <v>2026</v>
      </c>
      <c r="B8156" s="6">
        <v>10</v>
      </c>
      <c r="C8156" s="6" t="s">
        <v>68</v>
      </c>
      <c r="D8156" s="6" t="s">
        <v>1239</v>
      </c>
      <c r="E8156" s="6" t="s">
        <v>872</v>
      </c>
      <c r="F8156" s="6" t="str">
        <f>IF($M8156="PADD I","PADD 1",IF($M8156="PADD II","PADD 2",IF($M8156="PADD III","PADD 3",IF($M8156="PADD IV","PADD 4",IF($M8156="PADD V","PADD 5","")))))</f>
        <v>PADD 4</v>
      </c>
      <c r="G8156" s="6">
        <f>IF(AND($H8156="ATMOS DISTILLATION",ISNUMBER(SEARCH("VPS",$I8156))=FALSE,LEFT($I8156,6)&lt;&gt;"VACUUM"),"CDU",IF($H8156="FLUID CAT CRACKING","FCC",IF(OR($H8156="HYDROCRACKING",$H8156="RESID_HYDROCRACKING"),"Hydrocracker",IF($H8156="REFORMING","Reformer",""))))</f>
        <v/>
      </c>
      <c r="H8156" s="6" t="s">
        <v>378</v>
      </c>
      <c r="I8156" s="6" t="s">
        <v>431</v>
      </c>
      <c r="J8156" s="6" t="s">
        <v>349</v>
      </c>
      <c r="K8156" s="10">
        <v>2.7</v>
      </c>
      <c r="L8156" s="10">
        <v>6</v>
      </c>
      <c r="M8156" s="6" t="s">
        <v>430</v>
      </c>
    </row>
    <row r="8157" spans="1:13">
      <c r="A8157" s="6">
        <v>2026</v>
      </c>
      <c r="B8157" s="6">
        <v>10</v>
      </c>
      <c r="C8157" s="6" t="s">
        <v>68</v>
      </c>
      <c r="D8157" s="6" t="s">
        <v>1141</v>
      </c>
      <c r="E8157" s="6" t="s">
        <v>1079</v>
      </c>
      <c r="F8157" s="6" t="str">
        <f>IF($M8157="PADD I","PADD 1",IF($M8157="PADD II","PADD 2",IF($M8157="PADD III","PADD 3",IF($M8157="PADD IV","PADD 4",IF($M8157="PADD V","PADD 5","")))))</f>
        <v>PADD 3</v>
      </c>
      <c r="G8157" s="6">
        <f>IF(AND($H8157="ATMOS DISTILLATION",ISNUMBER(SEARCH("VPS",$I8157))=FALSE,LEFT($I8157,6)&lt;&gt;"VACUUM"),"CDU",IF($H8157="FLUID CAT CRACKING","FCC",IF(OR($H8157="HYDROCRACKING",$H8157="RESID_HYDROCRACKING"),"Hydrocracker",IF($H8157="REFORMING","Reformer",""))))</f>
        <v/>
      </c>
      <c r="H8157" s="6" t="s">
        <v>43</v>
      </c>
      <c r="I8157" s="6" t="s">
        <v>784</v>
      </c>
      <c r="J8157" s="6" t="s">
        <v>349</v>
      </c>
      <c r="K8157" s="10">
        <v>2.4</v>
      </c>
      <c r="L8157" s="10">
        <v>15</v>
      </c>
      <c r="M8157" s="6" t="s">
        <v>371</v>
      </c>
    </row>
    <row r="8158" spans="1:13">
      <c r="A8158" s="6">
        <v>2026</v>
      </c>
      <c r="B8158" s="6">
        <v>10</v>
      </c>
      <c r="C8158" s="6" t="s">
        <v>68</v>
      </c>
      <c r="D8158" s="6" t="s">
        <v>1239</v>
      </c>
      <c r="E8158" s="6" t="s">
        <v>872</v>
      </c>
      <c r="F8158" s="6" t="str">
        <f>IF($M8158="PADD I","PADD 1",IF($M8158="PADD II","PADD 2",IF($M8158="PADD III","PADD 3",IF($M8158="PADD IV","PADD 4",IF($M8158="PADD V","PADD 5","")))))</f>
        <v>PADD 4</v>
      </c>
      <c r="G8158" s="6" t="str">
        <f>IF(AND($H8158="ATMOS DISTILLATION",ISNUMBER(SEARCH("VPS",$I8158))=FALSE,LEFT($I8158,6)&lt;&gt;"VACUUM"),"CDU",IF($H8158="FLUID CAT CRACKING","FCC",IF(OR($H8158="HYDROCRACKING",$H8158="RESID_HYDROCRACKING"),"Hydrocracker",IF($H8158="REFORMING","Reformer",""))))</f>
        <v>Hydrocracker</v>
      </c>
      <c r="H8158" s="6" t="s">
        <v>444</v>
      </c>
      <c r="I8158" s="6" t="s">
        <v>1245</v>
      </c>
      <c r="J8158" s="6" t="s">
        <v>349</v>
      </c>
      <c r="K8158" s="10">
        <v>2.25</v>
      </c>
      <c r="L8158" s="10">
        <v>5</v>
      </c>
      <c r="M8158" s="6" t="s">
        <v>430</v>
      </c>
    </row>
    <row r="8159" spans="1:13">
      <c r="A8159" s="6">
        <v>2026</v>
      </c>
      <c r="B8159" s="6">
        <v>10</v>
      </c>
      <c r="C8159" s="6" t="s">
        <v>68</v>
      </c>
      <c r="D8159" s="6" t="s">
        <v>602</v>
      </c>
      <c r="E8159" s="6" t="s">
        <v>369</v>
      </c>
      <c r="F8159" s="6" t="str">
        <f>IF($M8159="PADD I","PADD 1",IF($M8159="PADD II","PADD 2",IF($M8159="PADD III","PADD 3",IF($M8159="PADD IV","PADD 4",IF($M8159="PADD V","PADD 5","")))))</f>
        <v>PADD 2</v>
      </c>
      <c r="G8159" s="6" t="str">
        <f>IF(AND($H8159="ATMOS DISTILLATION",ISNUMBER(SEARCH("VPS",$I8159))=FALSE,LEFT($I8159,6)&lt;&gt;"VACUUM"),"CDU",IF($H8159="FLUID CAT CRACKING","FCC",IF(OR($H8159="HYDROCRACKING",$H8159="RESID_HYDROCRACKING"),"Hydrocracker",IF($H8159="REFORMING","Reformer",""))))</f>
        <v>Reformer</v>
      </c>
      <c r="H8159" s="6" t="s">
        <v>421</v>
      </c>
      <c r="I8159" s="6" t="s">
        <v>697</v>
      </c>
      <c r="J8159" s="6" t="s">
        <v>349</v>
      </c>
      <c r="K8159" s="10">
        <v>2</v>
      </c>
      <c r="L8159" s="10">
        <v>20</v>
      </c>
      <c r="M8159" s="6" t="s">
        <v>375</v>
      </c>
    </row>
    <row r="8160" spans="1:13">
      <c r="A8160" s="6">
        <v>2026</v>
      </c>
      <c r="B8160" s="6">
        <v>10</v>
      </c>
      <c r="C8160" s="6" t="s">
        <v>68</v>
      </c>
      <c r="D8160" s="6" t="s">
        <v>602</v>
      </c>
      <c r="E8160" s="6" t="s">
        <v>369</v>
      </c>
      <c r="F8160" s="6" t="str">
        <f>IF($M8160="PADD I","PADD 1",IF($M8160="PADD II","PADD 2",IF($M8160="PADD III","PADD 3",IF($M8160="PADD IV","PADD 4",IF($M8160="PADD V","PADD 5","")))))</f>
        <v>PADD 2</v>
      </c>
      <c r="G8160" s="6" t="str">
        <f>IF(AND($H8160="ATMOS DISTILLATION",ISNUMBER(SEARCH("VPS",$I8160))=FALSE,LEFT($I8160,6)&lt;&gt;"VACUUM"),"CDU",IF($H8160="FLUID CAT CRACKING","FCC",IF(OR($H8160="HYDROCRACKING",$H8160="RESID_HYDROCRACKING"),"Hydrocracker",IF($H8160="REFORMING","Reformer",""))))</f>
        <v>Reformer</v>
      </c>
      <c r="H8160" s="6" t="s">
        <v>421</v>
      </c>
      <c r="I8160" s="6" t="s">
        <v>1123</v>
      </c>
      <c r="J8160" s="6" t="s">
        <v>349</v>
      </c>
      <c r="K8160" s="10">
        <v>2</v>
      </c>
      <c r="L8160" s="10">
        <v>20</v>
      </c>
      <c r="M8160" s="6" t="s">
        <v>375</v>
      </c>
    </row>
    <row r="8161" spans="1:13">
      <c r="A8161" s="6">
        <v>2026</v>
      </c>
      <c r="B8161" s="6">
        <v>10</v>
      </c>
      <c r="C8161" s="6" t="s">
        <v>68</v>
      </c>
      <c r="D8161" s="6" t="s">
        <v>1383</v>
      </c>
      <c r="E8161" s="6" t="s">
        <v>1384</v>
      </c>
      <c r="F8161" s="6" t="str">
        <f>IF($M8161="PADD I","PADD 1",IF($M8161="PADD II","PADD 2",IF($M8161="PADD III","PADD 3",IF($M8161="PADD IV","PADD 4",IF($M8161="PADD V","PADD 5","")))))</f>
        <v>PADD 3</v>
      </c>
      <c r="G8161" s="6" t="str">
        <f>IF(AND($H8161="ATMOS DISTILLATION",ISNUMBER(SEARCH("VPS",$I8161))=FALSE,LEFT($I8161,6)&lt;&gt;"VACUUM"),"CDU",IF($H8161="FLUID CAT CRACKING","FCC",IF(OR($H8161="HYDROCRACKING",$H8161="RESID_HYDROCRACKING"),"Hydrocracker",IF($H8161="REFORMING","Reformer",""))))</f>
        <v>CDU</v>
      </c>
      <c r="H8161" s="6" t="s">
        <v>38</v>
      </c>
      <c r="I8161" s="6" t="s">
        <v>923</v>
      </c>
      <c r="J8161" s="6" t="s">
        <v>349</v>
      </c>
      <c r="K8161" s="10">
        <v>1.968</v>
      </c>
      <c r="L8161" s="10">
        <v>4.1</v>
      </c>
      <c r="M8161" s="6" t="s">
        <v>371</v>
      </c>
    </row>
    <row r="8162" spans="1:13">
      <c r="A8162" s="6">
        <v>2026</v>
      </c>
      <c r="B8162" s="6">
        <v>10</v>
      </c>
      <c r="C8162" s="6" t="s">
        <v>68</v>
      </c>
      <c r="D8162" s="6" t="s">
        <v>602</v>
      </c>
      <c r="E8162" s="6" t="s">
        <v>369</v>
      </c>
      <c r="F8162" s="6" t="str">
        <f>IF($M8162="PADD I","PADD 1",IF($M8162="PADD II","PADD 2",IF($M8162="PADD III","PADD 3",IF($M8162="PADD IV","PADD 4",IF($M8162="PADD V","PADD 5","")))))</f>
        <v>PADD 2</v>
      </c>
      <c r="G8162" s="6">
        <f>IF(AND($H8162="ATMOS DISTILLATION",ISNUMBER(SEARCH("VPS",$I8162))=FALSE,LEFT($I8162,6)&lt;&gt;"VACUUM"),"CDU",IF($H8162="FLUID CAT CRACKING","FCC",IF(OR($H8162="HYDROCRACKING",$H8162="RESID_HYDROCRACKING"),"Hydrocracker",IF($H8162="REFORMING","Reformer",""))))</f>
        <v/>
      </c>
      <c r="H8162" s="6" t="s">
        <v>43</v>
      </c>
      <c r="I8162" s="6" t="s">
        <v>708</v>
      </c>
      <c r="J8162" s="6" t="s">
        <v>349</v>
      </c>
      <c r="K8162" s="10">
        <v>1.6</v>
      </c>
      <c r="L8162" s="10">
        <v>16</v>
      </c>
      <c r="M8162" s="6" t="s">
        <v>375</v>
      </c>
    </row>
    <row r="8163" spans="1:13">
      <c r="A8163" s="6">
        <v>2026</v>
      </c>
      <c r="B8163" s="6">
        <v>10</v>
      </c>
      <c r="C8163" s="6" t="s">
        <v>68</v>
      </c>
      <c r="D8163" s="6" t="s">
        <v>1239</v>
      </c>
      <c r="E8163" s="6" t="s">
        <v>872</v>
      </c>
      <c r="F8163" s="6" t="str">
        <f>IF($M8163="PADD I","PADD 1",IF($M8163="PADD II","PADD 2",IF($M8163="PADD III","PADD 3",IF($M8163="PADD IV","PADD 4",IF($M8163="PADD V","PADD 5","")))))</f>
        <v>PADD 4</v>
      </c>
      <c r="G8163" s="6">
        <f>IF(AND($H8163="ATMOS DISTILLATION",ISNUMBER(SEARCH("VPS",$I8163))=FALSE,LEFT($I8163,6)&lt;&gt;"VACUUM"),"CDU",IF($H8163="FLUID CAT CRACKING","FCC",IF(OR($H8163="HYDROCRACKING",$H8163="RESID_HYDROCRACKING"),"Hydrocracker",IF($H8163="REFORMING","Reformer",""))))</f>
        <v/>
      </c>
      <c r="H8163" s="6" t="s">
        <v>43</v>
      </c>
      <c r="I8163" s="6" t="s">
        <v>929</v>
      </c>
      <c r="J8163" s="6" t="s">
        <v>349</v>
      </c>
      <c r="K8163" s="10">
        <v>1.575</v>
      </c>
      <c r="L8163" s="10">
        <v>3.5</v>
      </c>
      <c r="M8163" s="6" t="s">
        <v>430</v>
      </c>
    </row>
    <row r="8164" spans="1:13">
      <c r="A8164" s="6">
        <v>2026</v>
      </c>
      <c r="B8164" s="6">
        <v>10</v>
      </c>
      <c r="C8164" s="6" t="s">
        <v>68</v>
      </c>
      <c r="D8164" s="6" t="s">
        <v>871</v>
      </c>
      <c r="E8164" s="6" t="s">
        <v>872</v>
      </c>
      <c r="F8164" s="6" t="str">
        <f>IF($M8164="PADD I","PADD 1",IF($M8164="PADD II","PADD 2",IF($M8164="PADD III","PADD 3",IF($M8164="PADD IV","PADD 4",IF($M8164="PADD V","PADD 5","")))))</f>
        <v>PADD 4</v>
      </c>
      <c r="G8164" s="6" t="str">
        <f>IF(AND($H8164="ATMOS DISTILLATION",ISNUMBER(SEARCH("VPS",$I8164))=FALSE,LEFT($I8164,6)&lt;&gt;"VACUUM"),"CDU",IF($H8164="FLUID CAT CRACKING","FCC",IF(OR($H8164="HYDROCRACKING",$H8164="RESID_HYDROCRACKING"),"Hydrocracker",IF($H8164="REFORMING","Reformer",""))))</f>
        <v>CDU</v>
      </c>
      <c r="H8164" s="6" t="s">
        <v>38</v>
      </c>
      <c r="I8164" s="6" t="s">
        <v>81</v>
      </c>
      <c r="J8164" s="6" t="s">
        <v>349</v>
      </c>
      <c r="K8164" s="10">
        <v>1.53</v>
      </c>
      <c r="L8164" s="10">
        <v>3.4</v>
      </c>
      <c r="M8164" s="6" t="s">
        <v>430</v>
      </c>
    </row>
    <row r="8165" spans="1:13">
      <c r="A8165" s="6">
        <v>2026</v>
      </c>
      <c r="B8165" s="6">
        <v>10</v>
      </c>
      <c r="C8165" s="6" t="s">
        <v>68</v>
      </c>
      <c r="D8165" s="6" t="s">
        <v>628</v>
      </c>
      <c r="E8165" s="6" t="s">
        <v>388</v>
      </c>
      <c r="F8165" s="6" t="str">
        <f>IF($M8165="PADD I","PADD 1",IF($M8165="PADD II","PADD 2",IF($M8165="PADD III","PADD 3",IF($M8165="PADD IV","PADD 4",IF($M8165="PADD V","PADD 5","")))))</f>
        <v>PADD 3</v>
      </c>
      <c r="G8165" s="6">
        <f>IF(AND($H8165="ATMOS DISTILLATION",ISNUMBER(SEARCH("VPS",$I8165))=FALSE,LEFT($I8165,6)&lt;&gt;"VACUUM"),"CDU",IF($H8165="FLUID CAT CRACKING","FCC",IF(OR($H8165="HYDROCRACKING",$H8165="RESID_HYDROCRACKING"),"Hydrocracker",IF($H8165="REFORMING","Reformer",""))))</f>
        <v/>
      </c>
      <c r="H8165" s="6" t="s">
        <v>637</v>
      </c>
      <c r="I8165" s="6" t="s">
        <v>1253</v>
      </c>
      <c r="J8165" s="6" t="s">
        <v>349</v>
      </c>
      <c r="K8165" s="10">
        <v>1.44</v>
      </c>
      <c r="L8165" s="10">
        <v>9</v>
      </c>
      <c r="M8165" s="6" t="s">
        <v>371</v>
      </c>
    </row>
    <row r="8166" spans="1:13">
      <c r="A8166" s="6">
        <v>2026</v>
      </c>
      <c r="B8166" s="6">
        <v>10</v>
      </c>
      <c r="C8166" s="6" t="s">
        <v>68</v>
      </c>
      <c r="D8166" s="6" t="s">
        <v>1239</v>
      </c>
      <c r="E8166" s="6" t="s">
        <v>872</v>
      </c>
      <c r="F8166" s="6" t="str">
        <f>IF($M8166="PADD I","PADD 1",IF($M8166="PADD II","PADD 2",IF($M8166="PADD III","PADD 3",IF($M8166="PADD IV","PADD 4",IF($M8166="PADD V","PADD 5","")))))</f>
        <v>PADD 4</v>
      </c>
      <c r="G8166" s="6">
        <f>IF(AND($H8166="ATMOS DISTILLATION",ISNUMBER(SEARCH("VPS",$I8166))=FALSE,LEFT($I8166,6)&lt;&gt;"VACUUM"),"CDU",IF($H8166="FLUID CAT CRACKING","FCC",IF(OR($H8166="HYDROCRACKING",$H8166="RESID_HYDROCRACKING"),"Hydrocracker",IF($H8166="REFORMING","Reformer",""))))</f>
        <v/>
      </c>
      <c r="H8166" s="6" t="s">
        <v>43</v>
      </c>
      <c r="I8166" s="6" t="s">
        <v>501</v>
      </c>
      <c r="J8166" s="6" t="s">
        <v>349</v>
      </c>
      <c r="K8166" s="10">
        <v>1.35</v>
      </c>
      <c r="L8166" s="10">
        <v>3</v>
      </c>
      <c r="M8166" s="6" t="s">
        <v>430</v>
      </c>
    </row>
    <row r="8167" spans="1:13">
      <c r="A8167" s="6">
        <v>2026</v>
      </c>
      <c r="B8167" s="6">
        <v>10</v>
      </c>
      <c r="C8167" s="6" t="s">
        <v>68</v>
      </c>
      <c r="D8167" s="6" t="s">
        <v>670</v>
      </c>
      <c r="E8167" s="6" t="s">
        <v>405</v>
      </c>
      <c r="F8167" s="6" t="str">
        <f>IF($M8167="PADD I","PADD 1",IF($M8167="PADD II","PADD 2",IF($M8167="PADD III","PADD 3",IF($M8167="PADD IV","PADD 4",IF($M8167="PADD V","PADD 5","")))))</f>
        <v>PADD 2</v>
      </c>
      <c r="G8167" s="6">
        <f>IF(AND($H8167="ATMOS DISTILLATION",ISNUMBER(SEARCH("VPS",$I8167))=FALSE,LEFT($I8167,6)&lt;&gt;"VACUUM"),"CDU",IF($H8167="FLUID CAT CRACKING","FCC",IF(OR($H8167="HYDROCRACKING",$H8167="RESID_HYDROCRACKING"),"Hydrocracker",IF($H8167="REFORMING","Reformer",""))))</f>
        <v/>
      </c>
      <c r="H8167" s="6" t="s">
        <v>43</v>
      </c>
      <c r="I8167" s="6" t="s">
        <v>914</v>
      </c>
      <c r="J8167" s="6" t="s">
        <v>349</v>
      </c>
      <c r="K8167" s="10">
        <v>1.35</v>
      </c>
      <c r="L8167" s="10">
        <v>45</v>
      </c>
      <c r="M8167" s="6" t="s">
        <v>375</v>
      </c>
    </row>
    <row r="8168" spans="1:13">
      <c r="A8168" s="6">
        <v>2026</v>
      </c>
      <c r="B8168" s="6">
        <v>10</v>
      </c>
      <c r="C8168" s="6" t="s">
        <v>68</v>
      </c>
      <c r="D8168" s="6" t="s">
        <v>871</v>
      </c>
      <c r="E8168" s="6" t="s">
        <v>872</v>
      </c>
      <c r="F8168" s="6" t="str">
        <f>IF($M8168="PADD I","PADD 1",IF($M8168="PADD II","PADD 2",IF($M8168="PADD III","PADD 3",IF($M8168="PADD IV","PADD 4",IF($M8168="PADD V","PADD 5","")))))</f>
        <v>PADD 4</v>
      </c>
      <c r="G8168" s="6">
        <f>IF(AND($H8168="ATMOS DISTILLATION",ISNUMBER(SEARCH("VPS",$I8168))=FALSE,LEFT($I8168,6)&lt;&gt;"VACUUM"),"CDU",IF($H8168="FLUID CAT CRACKING","FCC",IF(OR($H8168="HYDROCRACKING",$H8168="RESID_HYDROCRACKING"),"Hydrocracker",IF($H8168="REFORMING","Reformer",""))))</f>
        <v/>
      </c>
      <c r="H8168" s="6" t="s">
        <v>43</v>
      </c>
      <c r="I8168" s="6" t="s">
        <v>873</v>
      </c>
      <c r="J8168" s="6" t="s">
        <v>349</v>
      </c>
      <c r="K8168" s="10">
        <v>1.35</v>
      </c>
      <c r="L8168" s="10">
        <v>3</v>
      </c>
      <c r="M8168" s="6" t="s">
        <v>430</v>
      </c>
    </row>
    <row r="8169" spans="1:13">
      <c r="A8169" s="6">
        <v>2026</v>
      </c>
      <c r="B8169" s="6">
        <v>10</v>
      </c>
      <c r="C8169" s="6" t="s">
        <v>68</v>
      </c>
      <c r="D8169" s="6" t="s">
        <v>871</v>
      </c>
      <c r="E8169" s="6" t="s">
        <v>872</v>
      </c>
      <c r="F8169" s="6" t="str">
        <f>IF($M8169="PADD I","PADD 1",IF($M8169="PADD II","PADD 2",IF($M8169="PADD III","PADD 3",IF($M8169="PADD IV","PADD 4",IF($M8169="PADD V","PADD 5","")))))</f>
        <v>PADD 4</v>
      </c>
      <c r="G8169" s="6" t="str">
        <f>IF(AND($H8169="ATMOS DISTILLATION",ISNUMBER(SEARCH("VPS",$I8169))=FALSE,LEFT($I8169,6)&lt;&gt;"VACUUM"),"CDU",IF($H8169="FLUID CAT CRACKING","FCC",IF(OR($H8169="HYDROCRACKING",$H8169="RESID_HYDROCRACKING"),"Hydrocracker",IF($H8169="REFORMING","Reformer",""))))</f>
        <v>Reformer</v>
      </c>
      <c r="H8169" s="6" t="s">
        <v>421</v>
      </c>
      <c r="I8169" s="6" t="s">
        <v>15</v>
      </c>
      <c r="J8169" s="6" t="s">
        <v>349</v>
      </c>
      <c r="K8169" s="10">
        <v>1.35</v>
      </c>
      <c r="L8169" s="10">
        <v>3</v>
      </c>
      <c r="M8169" s="6" t="s">
        <v>430</v>
      </c>
    </row>
    <row r="8170" spans="1:13">
      <c r="A8170" s="6">
        <v>2026</v>
      </c>
      <c r="B8170" s="6">
        <v>10</v>
      </c>
      <c r="C8170" s="6" t="s">
        <v>68</v>
      </c>
      <c r="D8170" s="6" t="s">
        <v>803</v>
      </c>
      <c r="E8170" s="6" t="s">
        <v>388</v>
      </c>
      <c r="F8170" s="6" t="str">
        <f>IF($M8170="PADD I","PADD 1",IF($M8170="PADD II","PADD 2",IF($M8170="PADD III","PADD 3",IF($M8170="PADD IV","PADD 4",IF($M8170="PADD V","PADD 5","")))))</f>
        <v>PADD 2</v>
      </c>
      <c r="G8170" s="6">
        <f>IF(AND($H8170="ATMOS DISTILLATION",ISNUMBER(SEARCH("VPS",$I8170))=FALSE,LEFT($I8170,6)&lt;&gt;"VACUUM"),"CDU",IF($H8170="FLUID CAT CRACKING","FCC",IF(OR($H8170="HYDROCRACKING",$H8170="RESID_HYDROCRACKING"),"Hydrocracker",IF($H8170="REFORMING","Reformer",""))))</f>
        <v/>
      </c>
      <c r="H8170" s="6" t="s">
        <v>43</v>
      </c>
      <c r="I8170" s="6" t="s">
        <v>1177</v>
      </c>
      <c r="J8170" s="6" t="s">
        <v>349</v>
      </c>
      <c r="K8170" s="10">
        <v>1.2</v>
      </c>
      <c r="L8170" s="10">
        <v>20</v>
      </c>
      <c r="M8170" s="6" t="s">
        <v>375</v>
      </c>
    </row>
    <row r="8171" spans="1:13">
      <c r="A8171" s="6">
        <v>2026</v>
      </c>
      <c r="B8171" s="6">
        <v>10</v>
      </c>
      <c r="C8171" s="6" t="s">
        <v>68</v>
      </c>
      <c r="D8171" s="6" t="s">
        <v>1239</v>
      </c>
      <c r="E8171" s="6" t="s">
        <v>872</v>
      </c>
      <c r="F8171" s="6" t="str">
        <f>IF($M8171="PADD I","PADD 1",IF($M8171="PADD II","PADD 2",IF($M8171="PADD III","PADD 3",IF($M8171="PADD IV","PADD 4",IF($M8171="PADD V","PADD 5","")))))</f>
        <v>PADD 4</v>
      </c>
      <c r="G8171" s="6" t="str">
        <f>IF(AND($H8171="ATMOS DISTILLATION",ISNUMBER(SEARCH("VPS",$I8171))=FALSE,LEFT($I8171,6)&lt;&gt;"VACUUM"),"CDU",IF($H8171="FLUID CAT CRACKING","FCC",IF(OR($H8171="HYDROCRACKING",$H8171="RESID_HYDROCRACKING"),"Hydrocracker",IF($H8171="REFORMING","Reformer",""))))</f>
        <v>Reformer</v>
      </c>
      <c r="H8171" s="6" t="s">
        <v>421</v>
      </c>
      <c r="I8171" s="6" t="s">
        <v>15</v>
      </c>
      <c r="J8171" s="6" t="s">
        <v>349</v>
      </c>
      <c r="K8171" s="10">
        <v>0.99</v>
      </c>
      <c r="L8171" s="10">
        <v>2.2</v>
      </c>
      <c r="M8171" s="6" t="s">
        <v>430</v>
      </c>
    </row>
    <row r="8172" spans="1:13">
      <c r="A8172" s="6">
        <v>2026</v>
      </c>
      <c r="B8172" s="6">
        <v>10</v>
      </c>
      <c r="C8172" s="6" t="s">
        <v>68</v>
      </c>
      <c r="D8172" s="6" t="s">
        <v>670</v>
      </c>
      <c r="E8172" s="6" t="s">
        <v>405</v>
      </c>
      <c r="F8172" s="6" t="str">
        <f>IF($M8172="PADD I","PADD 1",IF($M8172="PADD II","PADD 2",IF($M8172="PADD III","PADD 3",IF($M8172="PADD IV","PADD 4",IF($M8172="PADD V","PADD 5","")))))</f>
        <v>PADD 2</v>
      </c>
      <c r="G8172" s="6" t="str">
        <f>IF(AND($H8172="ATMOS DISTILLATION",ISNUMBER(SEARCH("VPS",$I8172))=FALSE,LEFT($I8172,6)&lt;&gt;"VACUUM"),"CDU",IF($H8172="FLUID CAT CRACKING","FCC",IF(OR($H8172="HYDROCRACKING",$H8172="RESID_HYDROCRACKING"),"Hydrocracker",IF($H8172="REFORMING","Reformer",""))))</f>
        <v>Hydrocracker</v>
      </c>
      <c r="H8172" s="6" t="s">
        <v>444</v>
      </c>
      <c r="I8172" s="6" t="s">
        <v>1318</v>
      </c>
      <c r="J8172" s="6" t="s">
        <v>349</v>
      </c>
      <c r="K8172" s="10">
        <v>0.99</v>
      </c>
      <c r="L8172" s="10">
        <v>33</v>
      </c>
      <c r="M8172" s="6" t="s">
        <v>375</v>
      </c>
    </row>
    <row r="8173" spans="1:13">
      <c r="A8173" s="6">
        <v>2026</v>
      </c>
      <c r="B8173" s="6">
        <v>10</v>
      </c>
      <c r="C8173" s="6" t="s">
        <v>68</v>
      </c>
      <c r="D8173" s="6" t="s">
        <v>326</v>
      </c>
      <c r="E8173" s="6" t="s">
        <v>385</v>
      </c>
      <c r="F8173" s="6" t="str">
        <f>IF($M8173="PADD I","PADD 1",IF($M8173="PADD II","PADD 2",IF($M8173="PADD III","PADD 3",IF($M8173="PADD IV","PADD 4",IF($M8173="PADD V","PADD 5","")))))</f>
        <v>PADD 5</v>
      </c>
      <c r="G8173" s="6">
        <f>IF(AND($H8173="ATMOS DISTILLATION",ISNUMBER(SEARCH("VPS",$I8173))=FALSE,LEFT($I8173,6)&lt;&gt;"VACUUM"),"CDU",IF($H8173="FLUID CAT CRACKING","FCC",IF(OR($H8173="HYDROCRACKING",$H8173="RESID_HYDROCRACKING"),"Hydrocracker",IF($H8173="REFORMING","Reformer",""))))</f>
        <v/>
      </c>
      <c r="H8173" s="6" t="s">
        <v>568</v>
      </c>
      <c r="I8173" s="6" t="s">
        <v>604</v>
      </c>
      <c r="J8173" s="6" t="s">
        <v>349</v>
      </c>
      <c r="K8173" s="10">
        <v>0.525</v>
      </c>
      <c r="L8173" s="10">
        <v>1.5</v>
      </c>
      <c r="M8173" s="6" t="s">
        <v>386</v>
      </c>
    </row>
    <row r="8174" spans="1:13">
      <c r="A8174" s="6">
        <v>2026</v>
      </c>
      <c r="B8174" s="6">
        <v>10</v>
      </c>
      <c r="C8174" s="6" t="s">
        <v>68</v>
      </c>
      <c r="D8174" s="6" t="s">
        <v>1239</v>
      </c>
      <c r="E8174" s="6" t="s">
        <v>872</v>
      </c>
      <c r="F8174" s="6" t="str">
        <f>IF($M8174="PADD I","PADD 1",IF($M8174="PADD II","PADD 2",IF($M8174="PADD III","PADD 3",IF($M8174="PADD IV","PADD 4",IF($M8174="PADD V","PADD 5","")))))</f>
        <v>PADD 4</v>
      </c>
      <c r="G8174" s="6">
        <f>IF(AND($H8174="ATMOS DISTILLATION",ISNUMBER(SEARCH("VPS",$I8174))=FALSE,LEFT($I8174,6)&lt;&gt;"VACUUM"),"CDU",IF($H8174="FLUID CAT CRACKING","FCC",IF(OR($H8174="HYDROCRACKING",$H8174="RESID_HYDROCRACKING"),"Hydrocracker",IF($H8174="REFORMING","Reformer",""))))</f>
        <v/>
      </c>
      <c r="H8174" s="6" t="s">
        <v>568</v>
      </c>
      <c r="I8174" s="6" t="s">
        <v>604</v>
      </c>
      <c r="J8174" s="6" t="s">
        <v>349</v>
      </c>
      <c r="K8174" s="10">
        <v>0.45</v>
      </c>
      <c r="L8174" s="10">
        <v>1</v>
      </c>
      <c r="M8174" s="6" t="s">
        <v>430</v>
      </c>
    </row>
    <row r="8175" spans="1:13">
      <c r="A8175" s="6">
        <v>2026</v>
      </c>
      <c r="B8175" s="6">
        <v>10</v>
      </c>
      <c r="C8175" s="6" t="s">
        <v>68</v>
      </c>
      <c r="D8175" s="6" t="s">
        <v>871</v>
      </c>
      <c r="E8175" s="6" t="s">
        <v>872</v>
      </c>
      <c r="F8175" s="6" t="str">
        <f>IF($M8175="PADD I","PADD 1",IF($M8175="PADD II","PADD 2",IF($M8175="PADD III","PADD 3",IF($M8175="PADD IV","PADD 4",IF($M8175="PADD V","PADD 5","")))))</f>
        <v>PADD 4</v>
      </c>
      <c r="G8175" s="6">
        <f>IF(AND($H8175="ATMOS DISTILLATION",ISNUMBER(SEARCH("VPS",$I8175))=FALSE,LEFT($I8175,6)&lt;&gt;"VACUUM"),"CDU",IF($H8175="FLUID CAT CRACKING","FCC",IF(OR($H8175="HYDROCRACKING",$H8175="RESID_HYDROCRACKING"),"Hydrocracker",IF($H8175="REFORMING","Reformer",""))))</f>
        <v/>
      </c>
      <c r="H8175" s="6" t="s">
        <v>568</v>
      </c>
      <c r="I8175" s="6" t="s">
        <v>1202</v>
      </c>
      <c r="J8175" s="6" t="s">
        <v>349</v>
      </c>
      <c r="K8175" s="10">
        <v>0.45</v>
      </c>
      <c r="L8175" s="10">
        <v>1</v>
      </c>
      <c r="M8175" s="6" t="s">
        <v>430</v>
      </c>
    </row>
    <row r="8176" spans="1:13">
      <c r="A8176" s="6">
        <v>2026</v>
      </c>
      <c r="B8176" s="6">
        <v>10</v>
      </c>
      <c r="C8176" s="6" t="s">
        <v>68</v>
      </c>
      <c r="D8176" s="6" t="s">
        <v>628</v>
      </c>
      <c r="E8176" s="6" t="s">
        <v>388</v>
      </c>
      <c r="F8176" s="6" t="str">
        <f>IF($M8176="PADD I","PADD 1",IF($M8176="PADD II","PADD 2",IF($M8176="PADD III","PADD 3",IF($M8176="PADD IV","PADD 4",IF($M8176="PADD V","PADD 5","")))))</f>
        <v>PADD 3</v>
      </c>
      <c r="G8176" s="6">
        <f>IF(AND($H8176="ATMOS DISTILLATION",ISNUMBER(SEARCH("VPS",$I8176))=FALSE,LEFT($I8176,6)&lt;&gt;"VACUUM"),"CDU",IF($H8176="FLUID CAT CRACKING","FCC",IF(OR($H8176="HYDROCRACKING",$H8176="RESID_HYDROCRACKING"),"Hydrocracker",IF($H8176="REFORMING","Reformer",""))))</f>
        <v/>
      </c>
      <c r="H8176" s="6" t="s">
        <v>637</v>
      </c>
      <c r="I8176" s="6" t="s">
        <v>1382</v>
      </c>
      <c r="J8176" s="6" t="s">
        <v>349</v>
      </c>
      <c r="K8176" s="10">
        <v>0.3824</v>
      </c>
      <c r="L8176" s="10">
        <v>2.39</v>
      </c>
      <c r="M8176" s="6" t="s">
        <v>371</v>
      </c>
    </row>
    <row r="8177" spans="1:13">
      <c r="A8177" s="6">
        <v>2026</v>
      </c>
      <c r="B8177" s="6">
        <v>11</v>
      </c>
      <c r="C8177" s="6" t="s">
        <v>69</v>
      </c>
      <c r="D8177" s="6" t="s">
        <v>675</v>
      </c>
      <c r="E8177" s="6" t="s">
        <v>452</v>
      </c>
      <c r="F8177" s="6" t="str">
        <f>IF($M8177="PADD I","PADD 1",IF($M8177="PADD II","PADD 2",IF($M8177="PADD III","PADD 3",IF($M8177="PADD IV","PADD 4",IF($M8177="PADD V","PADD 5","")))))</f>
        <v>PADD 2</v>
      </c>
      <c r="G8177" s="6" t="str">
        <f>IF(AND($H8177="ATMOS DISTILLATION",ISNUMBER(SEARCH("VPS",$I8177))=FALSE,LEFT($I8177,6)&lt;&gt;"VACUUM"),"CDU",IF($H8177="FLUID CAT CRACKING","FCC",IF(OR($H8177="HYDROCRACKING",$H8177="RESID_HYDROCRACKING"),"Hydrocracker",IF($H8177="REFORMING","Reformer",""))))</f>
        <v>CDU</v>
      </c>
      <c r="H8177" s="6" t="s">
        <v>38</v>
      </c>
      <c r="I8177" s="6" t="s">
        <v>81</v>
      </c>
      <c r="J8177" s="6" t="s">
        <v>349</v>
      </c>
      <c r="K8177" s="10">
        <v>162</v>
      </c>
      <c r="L8177" s="10">
        <v>162</v>
      </c>
      <c r="M8177" s="6" t="s">
        <v>375</v>
      </c>
    </row>
    <row r="8178" spans="1:13">
      <c r="A8178" s="6">
        <v>2026</v>
      </c>
      <c r="B8178" s="6">
        <v>11</v>
      </c>
      <c r="C8178" s="6" t="s">
        <v>69</v>
      </c>
      <c r="D8178" s="6" t="s">
        <v>547</v>
      </c>
      <c r="E8178" s="6" t="s">
        <v>391</v>
      </c>
      <c r="F8178" s="6" t="str">
        <f>IF($M8178="PADD I","PADD 1",IF($M8178="PADD II","PADD 2",IF($M8178="PADD III","PADD 3",IF($M8178="PADD IV","PADD 4",IF($M8178="PADD V","PADD 5","")))))</f>
        <v>PADD 5</v>
      </c>
      <c r="G8178" s="6" t="str">
        <f>IF(AND($H8178="ATMOS DISTILLATION",ISNUMBER(SEARCH("VPS",$I8178))=FALSE,LEFT($I8178,6)&lt;&gt;"VACUUM"),"CDU",IF($H8178="FLUID CAT CRACKING","FCC",IF(OR($H8178="HYDROCRACKING",$H8178="RESID_HYDROCRACKING"),"Hydrocracker",IF($H8178="REFORMING","Reformer",""))))</f>
        <v>FCC</v>
      </c>
      <c r="H8178" s="6" t="s">
        <v>376</v>
      </c>
      <c r="I8178" s="6" t="s">
        <v>105</v>
      </c>
      <c r="J8178" s="6" t="s">
        <v>349</v>
      </c>
      <c r="K8178" s="10">
        <v>80</v>
      </c>
      <c r="L8178" s="10">
        <v>80</v>
      </c>
      <c r="M8178" s="6" t="s">
        <v>386</v>
      </c>
    </row>
    <row r="8179" spans="1:13">
      <c r="A8179" s="6">
        <v>2026</v>
      </c>
      <c r="B8179" s="6">
        <v>11</v>
      </c>
      <c r="C8179" s="6" t="s">
        <v>69</v>
      </c>
      <c r="D8179" s="6" t="s">
        <v>675</v>
      </c>
      <c r="E8179" s="6" t="s">
        <v>452</v>
      </c>
      <c r="F8179" s="6" t="str">
        <f>IF($M8179="PADD I","PADD 1",IF($M8179="PADD II","PADD 2",IF($M8179="PADD III","PADD 3",IF($M8179="PADD IV","PADD 4",IF($M8179="PADD V","PADD 5","")))))</f>
        <v>PADD 2</v>
      </c>
      <c r="G8179" s="6">
        <f>IF(AND($H8179="ATMOS DISTILLATION",ISNUMBER(SEARCH("VPS",$I8179))=FALSE,LEFT($I8179,6)&lt;&gt;"VACUUM"),"CDU",IF($H8179="FLUID CAT CRACKING","FCC",IF(OR($H8179="HYDROCRACKING",$H8179="RESID_HYDROCRACKING"),"Hydrocracker",IF($H8179="REFORMING","Reformer",""))))</f>
        <v/>
      </c>
      <c r="H8179" s="6" t="s">
        <v>378</v>
      </c>
      <c r="I8179" s="6" t="s">
        <v>431</v>
      </c>
      <c r="J8179" s="6" t="s">
        <v>349</v>
      </c>
      <c r="K8179" s="10">
        <v>56</v>
      </c>
      <c r="L8179" s="10">
        <v>56</v>
      </c>
      <c r="M8179" s="6" t="s">
        <v>375</v>
      </c>
    </row>
    <row r="8180" spans="1:13">
      <c r="A8180" s="6">
        <v>2026</v>
      </c>
      <c r="B8180" s="6">
        <v>11</v>
      </c>
      <c r="C8180" s="6" t="s">
        <v>69</v>
      </c>
      <c r="D8180" s="6" t="s">
        <v>526</v>
      </c>
      <c r="E8180" s="6" t="s">
        <v>405</v>
      </c>
      <c r="F8180" s="6" t="str">
        <f>IF($M8180="PADD I","PADD 1",IF($M8180="PADD II","PADD 2",IF($M8180="PADD III","PADD 3",IF($M8180="PADD IV","PADD 4",IF($M8180="PADD V","PADD 5","")))))</f>
        <v>PADD 3</v>
      </c>
      <c r="G8180" s="6">
        <f>IF(AND($H8180="ATMOS DISTILLATION",ISNUMBER(SEARCH("VPS",$I8180))=FALSE,LEFT($I8180,6)&lt;&gt;"VACUUM"),"CDU",IF($H8180="FLUID CAT CRACKING","FCC",IF(OR($H8180="HYDROCRACKING",$H8180="RESID_HYDROCRACKING"),"Hydrocracker",IF($H8180="REFORMING","Reformer",""))))</f>
        <v/>
      </c>
      <c r="H8180" s="6" t="s">
        <v>43</v>
      </c>
      <c r="I8180" s="6" t="s">
        <v>1076</v>
      </c>
      <c r="J8180" s="6" t="s">
        <v>345</v>
      </c>
      <c r="K8180" s="10">
        <v>42.3</v>
      </c>
      <c r="L8180" s="10">
        <v>47</v>
      </c>
      <c r="M8180" s="6" t="s">
        <v>371</v>
      </c>
    </row>
    <row r="8181" spans="1:13">
      <c r="A8181" s="6">
        <v>2026</v>
      </c>
      <c r="B8181" s="6">
        <v>11</v>
      </c>
      <c r="C8181" s="6" t="s">
        <v>69</v>
      </c>
      <c r="D8181" s="6" t="s">
        <v>675</v>
      </c>
      <c r="E8181" s="6" t="s">
        <v>452</v>
      </c>
      <c r="F8181" s="6" t="str">
        <f>IF($M8181="PADD I","PADD 1",IF($M8181="PADD II","PADD 2",IF($M8181="PADD III","PADD 3",IF($M8181="PADD IV","PADD 4",IF($M8181="PADD V","PADD 5","")))))</f>
        <v>PADD 2</v>
      </c>
      <c r="G8181" s="6" t="str">
        <f>IF(AND($H8181="ATMOS DISTILLATION",ISNUMBER(SEARCH("VPS",$I8181))=FALSE,LEFT($I8181,6)&lt;&gt;"VACUUM"),"CDU",IF($H8181="FLUID CAT CRACKING","FCC",IF(OR($H8181="HYDROCRACKING",$H8181="RESID_HYDROCRACKING"),"Hydrocracker",IF($H8181="REFORMING","Reformer",""))))</f>
        <v>FCC</v>
      </c>
      <c r="H8181" s="6" t="s">
        <v>376</v>
      </c>
      <c r="I8181" s="6" t="s">
        <v>105</v>
      </c>
      <c r="J8181" s="6" t="s">
        <v>349</v>
      </c>
      <c r="K8181" s="10">
        <v>39</v>
      </c>
      <c r="L8181" s="10">
        <v>39</v>
      </c>
      <c r="M8181" s="6" t="s">
        <v>375</v>
      </c>
    </row>
    <row r="8182" spans="1:13">
      <c r="A8182" s="6">
        <v>2026</v>
      </c>
      <c r="B8182" s="6">
        <v>11</v>
      </c>
      <c r="C8182" s="6" t="s">
        <v>69</v>
      </c>
      <c r="D8182" s="6" t="s">
        <v>329</v>
      </c>
      <c r="E8182" s="6" t="s">
        <v>427</v>
      </c>
      <c r="F8182" s="6" t="str">
        <f>IF($M8182="PADD I","PADD 1",IF($M8182="PADD II","PADD 2",IF($M8182="PADD III","PADD 3",IF($M8182="PADD IV","PADD 4",IF($M8182="PADD V","PADD 5","")))))</f>
        <v>PADD 3</v>
      </c>
      <c r="G8182" s="6" t="str">
        <f>IF(AND($H8182="ATMOS DISTILLATION",ISNUMBER(SEARCH("VPS",$I8182))=FALSE,LEFT($I8182,6)&lt;&gt;"VACUUM"),"CDU",IF($H8182="FLUID CAT CRACKING","FCC",IF(OR($H8182="HYDROCRACKING",$H8182="RESID_HYDROCRACKING"),"Hydrocracker",IF($H8182="REFORMING","Reformer",""))))</f>
        <v>CDU</v>
      </c>
      <c r="H8182" s="6" t="s">
        <v>38</v>
      </c>
      <c r="I8182" s="6" t="s">
        <v>330</v>
      </c>
      <c r="J8182" s="6" t="s">
        <v>349</v>
      </c>
      <c r="K8182" s="10">
        <v>28.8</v>
      </c>
      <c r="L8182" s="10">
        <v>96</v>
      </c>
      <c r="M8182" s="6" t="s">
        <v>371</v>
      </c>
    </row>
    <row r="8183" spans="1:13">
      <c r="A8183" s="6">
        <v>2026</v>
      </c>
      <c r="B8183" s="6">
        <v>11</v>
      </c>
      <c r="C8183" s="6" t="s">
        <v>69</v>
      </c>
      <c r="D8183" s="6" t="s">
        <v>387</v>
      </c>
      <c r="E8183" s="6" t="s">
        <v>388</v>
      </c>
      <c r="F8183" s="6" t="str">
        <f>IF($M8183="PADD I","PADD 1",IF($M8183="PADD II","PADD 2",IF($M8183="PADD III","PADD 3",IF($M8183="PADD IV","PADD 4",IF($M8183="PADD V","PADD 5","")))))</f>
        <v>PADD 3</v>
      </c>
      <c r="G8183" s="6" t="str">
        <f>IF(AND($H8183="ATMOS DISTILLATION",ISNUMBER(SEARCH("VPS",$I8183))=FALSE,LEFT($I8183,6)&lt;&gt;"VACUUM"),"CDU",IF($H8183="FLUID CAT CRACKING","FCC",IF(OR($H8183="HYDROCRACKING",$H8183="RESID_HYDROCRACKING"),"Hydrocracker",IF($H8183="REFORMING","Reformer",""))))</f>
        <v>Reformer</v>
      </c>
      <c r="H8183" s="6" t="s">
        <v>421</v>
      </c>
      <c r="I8183" s="6" t="s">
        <v>583</v>
      </c>
      <c r="J8183" s="6" t="s">
        <v>349</v>
      </c>
      <c r="K8183" s="10">
        <v>24.05</v>
      </c>
      <c r="L8183" s="10">
        <v>65</v>
      </c>
      <c r="M8183" s="6" t="s">
        <v>371</v>
      </c>
    </row>
    <row r="8184" spans="1:13">
      <c r="A8184" s="6">
        <v>2026</v>
      </c>
      <c r="B8184" s="6">
        <v>11</v>
      </c>
      <c r="C8184" s="6" t="s">
        <v>69</v>
      </c>
      <c r="D8184" s="6" t="s">
        <v>1119</v>
      </c>
      <c r="E8184" s="6" t="s">
        <v>1120</v>
      </c>
      <c r="F8184" s="6" t="str">
        <f>IF($M8184="PADD I","PADD 1",IF($M8184="PADD II","PADD 2",IF($M8184="PADD III","PADD 3",IF($M8184="PADD IV","PADD 4",IF($M8184="PADD V","PADD 5","")))))</f>
        <v>PADD 3</v>
      </c>
      <c r="G8184" s="6" t="str">
        <f>IF(AND($H8184="ATMOS DISTILLATION",ISNUMBER(SEARCH("VPS",$I8184))=FALSE,LEFT($I8184,6)&lt;&gt;"VACUUM"),"CDU",IF($H8184="FLUID CAT CRACKING","FCC",IF(OR($H8184="HYDROCRACKING",$H8184="RESID_HYDROCRACKING"),"Hydrocracker",IF($H8184="REFORMING","Reformer",""))))</f>
        <v>CDU</v>
      </c>
      <c r="H8184" s="6" t="s">
        <v>38</v>
      </c>
      <c r="I8184" s="6" t="s">
        <v>1121</v>
      </c>
      <c r="J8184" s="6" t="s">
        <v>349</v>
      </c>
      <c r="K8184" s="10">
        <v>23.5</v>
      </c>
      <c r="L8184" s="10">
        <v>50</v>
      </c>
      <c r="M8184" s="6" t="s">
        <v>371</v>
      </c>
    </row>
    <row r="8185" spans="1:13">
      <c r="A8185" s="6">
        <v>2026</v>
      </c>
      <c r="B8185" s="6">
        <v>11</v>
      </c>
      <c r="C8185" s="6" t="s">
        <v>69</v>
      </c>
      <c r="D8185" s="6" t="s">
        <v>675</v>
      </c>
      <c r="E8185" s="6" t="s">
        <v>452</v>
      </c>
      <c r="F8185" s="6" t="str">
        <f>IF($M8185="PADD I","PADD 1",IF($M8185="PADD II","PADD 2",IF($M8185="PADD III","PADD 3",IF($M8185="PADD IV","PADD 4",IF($M8185="PADD V","PADD 5","")))))</f>
        <v>PADD 2</v>
      </c>
      <c r="G8185" s="6" t="str">
        <f>IF(AND($H8185="ATMOS DISTILLATION",ISNUMBER(SEARCH("VPS",$I8185))=FALSE,LEFT($I8185,6)&lt;&gt;"VACUUM"),"CDU",IF($H8185="FLUID CAT CRACKING","FCC",IF(OR($H8185="HYDROCRACKING",$H8185="RESID_HYDROCRACKING"),"Hydrocracker",IF($H8185="REFORMING","Reformer",""))))</f>
        <v>Reformer</v>
      </c>
      <c r="H8185" s="6" t="s">
        <v>421</v>
      </c>
      <c r="I8185" s="6" t="s">
        <v>698</v>
      </c>
      <c r="J8185" s="6" t="s">
        <v>349</v>
      </c>
      <c r="K8185" s="10">
        <v>22</v>
      </c>
      <c r="L8185" s="10">
        <v>22</v>
      </c>
      <c r="M8185" s="6" t="s">
        <v>375</v>
      </c>
    </row>
    <row r="8186" spans="1:13">
      <c r="A8186" s="6">
        <v>2026</v>
      </c>
      <c r="B8186" s="6">
        <v>11</v>
      </c>
      <c r="C8186" s="6" t="s">
        <v>69</v>
      </c>
      <c r="D8186" s="6" t="s">
        <v>675</v>
      </c>
      <c r="E8186" s="6" t="s">
        <v>452</v>
      </c>
      <c r="F8186" s="6" t="str">
        <f>IF($M8186="PADD I","PADD 1",IF($M8186="PADD II","PADD 2",IF($M8186="PADD III","PADD 3",IF($M8186="PADD IV","PADD 4",IF($M8186="PADD V","PADD 5","")))))</f>
        <v>PADD 2</v>
      </c>
      <c r="G8186" s="6">
        <f>IF(AND($H8186="ATMOS DISTILLATION",ISNUMBER(SEARCH("VPS",$I8186))=FALSE,LEFT($I8186,6)&lt;&gt;"VACUUM"),"CDU",IF($H8186="FLUID CAT CRACKING","FCC",IF(OR($H8186="HYDROCRACKING",$H8186="RESID_HYDROCRACKING"),"Hydrocracker",IF($H8186="REFORMING","Reformer",""))))</f>
        <v/>
      </c>
      <c r="H8186" s="6" t="s">
        <v>435</v>
      </c>
      <c r="I8186" s="6" t="s">
        <v>441</v>
      </c>
      <c r="J8186" s="6" t="s">
        <v>349</v>
      </c>
      <c r="K8186" s="10">
        <v>20.5</v>
      </c>
      <c r="L8186" s="10">
        <v>20.5</v>
      </c>
      <c r="M8186" s="6" t="s">
        <v>375</v>
      </c>
    </row>
    <row r="8187" spans="1:13">
      <c r="A8187" s="6">
        <v>2026</v>
      </c>
      <c r="B8187" s="6">
        <v>11</v>
      </c>
      <c r="C8187" s="6" t="s">
        <v>69</v>
      </c>
      <c r="D8187" s="6" t="s">
        <v>675</v>
      </c>
      <c r="E8187" s="6" t="s">
        <v>452</v>
      </c>
      <c r="F8187" s="6" t="str">
        <f>IF($M8187="PADD I","PADD 1",IF($M8187="PADD II","PADD 2",IF($M8187="PADD III","PADD 3",IF($M8187="PADD IV","PADD 4",IF($M8187="PADD V","PADD 5","")))))</f>
        <v>PADD 2</v>
      </c>
      <c r="G8187" s="6">
        <f>IF(AND($H8187="ATMOS DISTILLATION",ISNUMBER(SEARCH("VPS",$I8187))=FALSE,LEFT($I8187,6)&lt;&gt;"VACUUM"),"CDU",IF($H8187="FLUID CAT CRACKING","FCC",IF(OR($H8187="HYDROCRACKING",$H8187="RESID_HYDROCRACKING"),"Hydrocracker",IF($H8187="REFORMING","Reformer",""))))</f>
        <v/>
      </c>
      <c r="H8187" s="6" t="s">
        <v>435</v>
      </c>
      <c r="I8187" s="6" t="s">
        <v>441</v>
      </c>
      <c r="J8187" s="6" t="s">
        <v>349</v>
      </c>
      <c r="K8187" s="10">
        <v>20.5</v>
      </c>
      <c r="L8187" s="10">
        <v>20.5</v>
      </c>
      <c r="M8187" s="6" t="s">
        <v>375</v>
      </c>
    </row>
    <row r="8188" spans="1:13">
      <c r="A8188" s="6">
        <v>2026</v>
      </c>
      <c r="B8188" s="6">
        <v>11</v>
      </c>
      <c r="C8188" s="6" t="s">
        <v>69</v>
      </c>
      <c r="D8188" s="6" t="s">
        <v>547</v>
      </c>
      <c r="E8188" s="6" t="s">
        <v>391</v>
      </c>
      <c r="F8188" s="6" t="str">
        <f>IF($M8188="PADD I","PADD 1",IF($M8188="PADD II","PADD 2",IF($M8188="PADD III","PADD 3",IF($M8188="PADD IV","PADD 4",IF($M8188="PADD V","PADD 5","")))))</f>
        <v>PADD 5</v>
      </c>
      <c r="G8188" s="6">
        <f>IF(AND($H8188="ATMOS DISTILLATION",ISNUMBER(SEARCH("VPS",$I8188))=FALSE,LEFT($I8188,6)&lt;&gt;"VACUUM"),"CDU",IF($H8188="FLUID CAT CRACKING","FCC",IF(OR($H8188="HYDROCRACKING",$H8188="RESID_HYDROCRACKING"),"Hydrocracker",IF($H8188="REFORMING","Reformer",""))))</f>
        <v/>
      </c>
      <c r="H8188" s="6" t="s">
        <v>460</v>
      </c>
      <c r="I8188" s="6" t="s">
        <v>461</v>
      </c>
      <c r="J8188" s="6" t="s">
        <v>349</v>
      </c>
      <c r="K8188" s="10">
        <v>20</v>
      </c>
      <c r="L8188" s="10">
        <v>20</v>
      </c>
      <c r="M8188" s="6" t="s">
        <v>386</v>
      </c>
    </row>
    <row r="8189" spans="1:13">
      <c r="A8189" s="6">
        <v>2026</v>
      </c>
      <c r="B8189" s="6">
        <v>11</v>
      </c>
      <c r="C8189" s="6" t="s">
        <v>69</v>
      </c>
      <c r="D8189" s="6" t="s">
        <v>395</v>
      </c>
      <c r="E8189" s="6" t="s">
        <v>396</v>
      </c>
      <c r="F8189" s="6" t="str">
        <f>IF($M8189="PADD I","PADD 1",IF($M8189="PADD II","PADD 2",IF($M8189="PADD III","PADD 3",IF($M8189="PADD IV","PADD 4",IF($M8189="PADD V","PADD 5","")))))</f>
        <v>PADD 3</v>
      </c>
      <c r="G8189" s="6">
        <f>IF(AND($H8189="ATMOS DISTILLATION",ISNUMBER(SEARCH("VPS",$I8189))=FALSE,LEFT($I8189,6)&lt;&gt;"VACUUM"),"CDU",IF($H8189="FLUID CAT CRACKING","FCC",IF(OR($H8189="HYDROCRACKING",$H8189="RESID_HYDROCRACKING"),"Hydrocracker",IF($H8189="REFORMING","Reformer",""))))</f>
        <v/>
      </c>
      <c r="H8189" s="6" t="s">
        <v>43</v>
      </c>
      <c r="I8189" s="6" t="s">
        <v>549</v>
      </c>
      <c r="J8189" s="6" t="s">
        <v>349</v>
      </c>
      <c r="K8189" s="10">
        <v>19.505</v>
      </c>
      <c r="L8189" s="10">
        <v>41.5</v>
      </c>
      <c r="M8189" s="6" t="s">
        <v>371</v>
      </c>
    </row>
    <row r="8190" spans="1:13">
      <c r="A8190" s="6">
        <v>2026</v>
      </c>
      <c r="B8190" s="6">
        <v>11</v>
      </c>
      <c r="C8190" s="6" t="s">
        <v>69</v>
      </c>
      <c r="D8190" s="6" t="s">
        <v>675</v>
      </c>
      <c r="E8190" s="6" t="s">
        <v>452</v>
      </c>
      <c r="F8190" s="6" t="str">
        <f>IF($M8190="PADD I","PADD 1",IF($M8190="PADD II","PADD 2",IF($M8190="PADD III","PADD 3",IF($M8190="PADD IV","PADD 4",IF($M8190="PADD V","PADD 5","")))))</f>
        <v>PADD 2</v>
      </c>
      <c r="G8190" s="6">
        <f>IF(AND($H8190="ATMOS DISTILLATION",ISNUMBER(SEARCH("VPS",$I8190))=FALSE,LEFT($I8190,6)&lt;&gt;"VACUUM"),"CDU",IF($H8190="FLUID CAT CRACKING","FCC",IF(OR($H8190="HYDROCRACKING",$H8190="RESID_HYDROCRACKING"),"Hydrocracker",IF($H8190="REFORMING","Reformer",""))))</f>
        <v/>
      </c>
      <c r="H8190" s="6" t="s">
        <v>43</v>
      </c>
      <c r="I8190" s="6" t="s">
        <v>704</v>
      </c>
      <c r="J8190" s="6" t="s">
        <v>349</v>
      </c>
      <c r="K8190" s="10">
        <v>18</v>
      </c>
      <c r="L8190" s="10">
        <v>18</v>
      </c>
      <c r="M8190" s="6" t="s">
        <v>375</v>
      </c>
    </row>
    <row r="8191" spans="1:13">
      <c r="A8191" s="6">
        <v>2026</v>
      </c>
      <c r="B8191" s="6">
        <v>11</v>
      </c>
      <c r="C8191" s="6" t="s">
        <v>69</v>
      </c>
      <c r="D8191" s="6" t="s">
        <v>675</v>
      </c>
      <c r="E8191" s="6" t="s">
        <v>452</v>
      </c>
      <c r="F8191" s="6" t="str">
        <f>IF($M8191="PADD I","PADD 1",IF($M8191="PADD II","PADD 2",IF($M8191="PADD III","PADD 3",IF($M8191="PADD IV","PADD 4",IF($M8191="PADD V","PADD 5","")))))</f>
        <v>PADD 2</v>
      </c>
      <c r="G8191" s="6">
        <f>IF(AND($H8191="ATMOS DISTILLATION",ISNUMBER(SEARCH("VPS",$I8191))=FALSE,LEFT($I8191,6)&lt;&gt;"VACUUM"),"CDU",IF($H8191="FLUID CAT CRACKING","FCC",IF(OR($H8191="HYDROCRACKING",$H8191="RESID_HYDROCRACKING"),"Hydrocracker",IF($H8191="REFORMING","Reformer",""))))</f>
        <v/>
      </c>
      <c r="H8191" s="6" t="s">
        <v>43</v>
      </c>
      <c r="I8191" s="6" t="s">
        <v>705</v>
      </c>
      <c r="J8191" s="6" t="s">
        <v>349</v>
      </c>
      <c r="K8191" s="10">
        <v>18</v>
      </c>
      <c r="L8191" s="10">
        <v>18</v>
      </c>
      <c r="M8191" s="6" t="s">
        <v>375</v>
      </c>
    </row>
    <row r="8192" spans="1:13">
      <c r="A8192" s="6">
        <v>2026</v>
      </c>
      <c r="B8192" s="6">
        <v>11</v>
      </c>
      <c r="C8192" s="6" t="s">
        <v>69</v>
      </c>
      <c r="D8192" s="6" t="s">
        <v>434</v>
      </c>
      <c r="E8192" s="6" t="s">
        <v>388</v>
      </c>
      <c r="F8192" s="6" t="str">
        <f>IF($M8192="PADD I","PADD 1",IF($M8192="PADD II","PADD 2",IF($M8192="PADD III","PADD 3",IF($M8192="PADD IV","PADD 4",IF($M8192="PADD V","PADD 5","")))))</f>
        <v>PADD 5</v>
      </c>
      <c r="G8192" s="6" t="str">
        <f>IF(AND($H8192="ATMOS DISTILLATION",ISNUMBER(SEARCH("VPS",$I8192))=FALSE,LEFT($I8192,6)&lt;&gt;"VACUUM"),"CDU",IF($H8192="FLUID CAT CRACKING","FCC",IF(OR($H8192="HYDROCRACKING",$H8192="RESID_HYDROCRACKING"),"Hydrocracker",IF($H8192="REFORMING","Reformer",""))))</f>
        <v>Hydrocracker</v>
      </c>
      <c r="H8192" s="6" t="s">
        <v>444</v>
      </c>
      <c r="I8192" s="6" t="s">
        <v>14</v>
      </c>
      <c r="J8192" s="6" t="s">
        <v>349</v>
      </c>
      <c r="K8192" s="10">
        <v>17.296</v>
      </c>
      <c r="L8192" s="10">
        <v>36.8</v>
      </c>
      <c r="M8192" s="6" t="s">
        <v>386</v>
      </c>
    </row>
    <row r="8193" spans="1:13">
      <c r="A8193" s="6">
        <v>2026</v>
      </c>
      <c r="B8193" s="6">
        <v>11</v>
      </c>
      <c r="C8193" s="6" t="s">
        <v>69</v>
      </c>
      <c r="D8193" s="6" t="s">
        <v>675</v>
      </c>
      <c r="E8193" s="6" t="s">
        <v>452</v>
      </c>
      <c r="F8193" s="6" t="str">
        <f>IF($M8193="PADD I","PADD 1",IF($M8193="PADD II","PADD 2",IF($M8193="PADD III","PADD 3",IF($M8193="PADD IV","PADD 4",IF($M8193="PADD V","PADD 5","")))))</f>
        <v>PADD 2</v>
      </c>
      <c r="G8193" s="6">
        <f>IF(AND($H8193="ATMOS DISTILLATION",ISNUMBER(SEARCH("VPS",$I8193))=FALSE,LEFT($I8193,6)&lt;&gt;"VACUUM"),"CDU",IF($H8193="FLUID CAT CRACKING","FCC",IF(OR($H8193="HYDROCRACKING",$H8193="RESID_HYDROCRACKING"),"Hydrocracker",IF($H8193="REFORMING","Reformer",""))))</f>
        <v/>
      </c>
      <c r="H8193" s="6" t="s">
        <v>568</v>
      </c>
      <c r="I8193" s="6" t="s">
        <v>604</v>
      </c>
      <c r="J8193" s="6" t="s">
        <v>349</v>
      </c>
      <c r="K8193" s="10">
        <v>15</v>
      </c>
      <c r="L8193" s="10">
        <v>15</v>
      </c>
      <c r="M8193" s="6" t="s">
        <v>375</v>
      </c>
    </row>
    <row r="8194" spans="1:13">
      <c r="A8194" s="6">
        <v>2026</v>
      </c>
      <c r="B8194" s="6">
        <v>11</v>
      </c>
      <c r="C8194" s="6" t="s">
        <v>69</v>
      </c>
      <c r="D8194" s="6" t="s">
        <v>675</v>
      </c>
      <c r="E8194" s="6" t="s">
        <v>452</v>
      </c>
      <c r="F8194" s="6" t="str">
        <f>IF($M8194="PADD I","PADD 1",IF($M8194="PADD II","PADD 2",IF($M8194="PADD III","PADD 3",IF($M8194="PADD IV","PADD 4",IF($M8194="PADD V","PADD 5","")))))</f>
        <v>PADD 2</v>
      </c>
      <c r="G8194" s="6">
        <f>IF(AND($H8194="ATMOS DISTILLATION",ISNUMBER(SEARCH("VPS",$I8194))=FALSE,LEFT($I8194,6)&lt;&gt;"VACUUM"),"CDU",IF($H8194="FLUID CAT CRACKING","FCC",IF(OR($H8194="HYDROCRACKING",$H8194="RESID_HYDROCRACKING"),"Hydrocracker",IF($H8194="REFORMING","Reformer",""))))</f>
        <v/>
      </c>
      <c r="H8194" s="6" t="s">
        <v>460</v>
      </c>
      <c r="I8194" s="6" t="s">
        <v>616</v>
      </c>
      <c r="J8194" s="6" t="s">
        <v>349</v>
      </c>
      <c r="K8194" s="10">
        <v>11.5</v>
      </c>
      <c r="L8194" s="10">
        <v>11.5</v>
      </c>
      <c r="M8194" s="6" t="s">
        <v>375</v>
      </c>
    </row>
    <row r="8195" spans="1:13">
      <c r="A8195" s="6">
        <v>2026</v>
      </c>
      <c r="B8195" s="6">
        <v>11</v>
      </c>
      <c r="C8195" s="6" t="s">
        <v>69</v>
      </c>
      <c r="D8195" s="6" t="s">
        <v>329</v>
      </c>
      <c r="E8195" s="6" t="s">
        <v>427</v>
      </c>
      <c r="F8195" s="6" t="str">
        <f>IF($M8195="PADD I","PADD 1",IF($M8195="PADD II","PADD 2",IF($M8195="PADD III","PADD 3",IF($M8195="PADD IV","PADD 4",IF($M8195="PADD V","PADD 5","")))))</f>
        <v>PADD 3</v>
      </c>
      <c r="G8195" s="6">
        <f>IF(AND($H8195="ATMOS DISTILLATION",ISNUMBER(SEARCH("VPS",$I8195))=FALSE,LEFT($I8195,6)&lt;&gt;"VACUUM"),"CDU",IF($H8195="FLUID CAT CRACKING","FCC",IF(OR($H8195="HYDROCRACKING",$H8195="RESID_HYDROCRACKING"),"Hydrocracker",IF($H8195="REFORMING","Reformer",""))))</f>
        <v/>
      </c>
      <c r="H8195" s="6" t="s">
        <v>435</v>
      </c>
      <c r="I8195" s="6" t="s">
        <v>1248</v>
      </c>
      <c r="J8195" s="6" t="s">
        <v>349</v>
      </c>
      <c r="K8195" s="10">
        <v>9</v>
      </c>
      <c r="L8195" s="10">
        <v>30</v>
      </c>
      <c r="M8195" s="6" t="s">
        <v>371</v>
      </c>
    </row>
    <row r="8196" spans="1:13">
      <c r="A8196" s="6">
        <v>2026</v>
      </c>
      <c r="B8196" s="6">
        <v>11</v>
      </c>
      <c r="C8196" s="6" t="s">
        <v>69</v>
      </c>
      <c r="D8196" s="6" t="s">
        <v>395</v>
      </c>
      <c r="E8196" s="6" t="s">
        <v>396</v>
      </c>
      <c r="F8196" s="6" t="str">
        <f>IF($M8196="PADD I","PADD 1",IF($M8196="PADD II","PADD 2",IF($M8196="PADD III","PADD 3",IF($M8196="PADD IV","PADD 4",IF($M8196="PADD V","PADD 5","")))))</f>
        <v>PADD 3</v>
      </c>
      <c r="G8196" s="6">
        <f>IF(AND($H8196="ATMOS DISTILLATION",ISNUMBER(SEARCH("VPS",$I8196))=FALSE,LEFT($I8196,6)&lt;&gt;"VACUUM"),"CDU",IF($H8196="FLUID CAT CRACKING","FCC",IF(OR($H8196="HYDROCRACKING",$H8196="RESID_HYDROCRACKING"),"Hydrocracker",IF($H8196="REFORMING","Reformer",""))))</f>
        <v/>
      </c>
      <c r="H8196" s="6" t="s">
        <v>460</v>
      </c>
      <c r="I8196" s="6" t="s">
        <v>461</v>
      </c>
      <c r="J8196" s="6" t="s">
        <v>349</v>
      </c>
      <c r="K8196" s="10">
        <v>8.4</v>
      </c>
      <c r="L8196" s="10">
        <v>16.8</v>
      </c>
      <c r="M8196" s="6" t="s">
        <v>371</v>
      </c>
    </row>
    <row r="8197" spans="1:13">
      <c r="A8197" s="6">
        <v>2026</v>
      </c>
      <c r="B8197" s="6">
        <v>11</v>
      </c>
      <c r="C8197" s="6" t="s">
        <v>69</v>
      </c>
      <c r="D8197" s="6" t="s">
        <v>395</v>
      </c>
      <c r="E8197" s="6" t="s">
        <v>396</v>
      </c>
      <c r="F8197" s="6" t="str">
        <f>IF($M8197="PADD I","PADD 1",IF($M8197="PADD II","PADD 2",IF($M8197="PADD III","PADD 3",IF($M8197="PADD IV","PADD 4",IF($M8197="PADD V","PADD 5","")))))</f>
        <v>PADD 3</v>
      </c>
      <c r="G8197" s="6" t="str">
        <f>IF(AND($H8197="ATMOS DISTILLATION",ISNUMBER(SEARCH("VPS",$I8197))=FALSE,LEFT($I8197,6)&lt;&gt;"VACUUM"),"CDU",IF($H8197="FLUID CAT CRACKING","FCC",IF(OR($H8197="HYDROCRACKING",$H8197="RESID_HYDROCRACKING"),"Hydrocracker",IF($H8197="REFORMING","Reformer",""))))</f>
        <v>FCC</v>
      </c>
      <c r="H8197" s="6" t="s">
        <v>376</v>
      </c>
      <c r="I8197" s="6" t="s">
        <v>105</v>
      </c>
      <c r="J8197" s="6" t="s">
        <v>349</v>
      </c>
      <c r="K8197" s="10">
        <v>8.225</v>
      </c>
      <c r="L8197" s="10">
        <v>17.5</v>
      </c>
      <c r="M8197" s="6" t="s">
        <v>371</v>
      </c>
    </row>
    <row r="8198" spans="1:13">
      <c r="A8198" s="6">
        <v>2026</v>
      </c>
      <c r="B8198" s="6">
        <v>11</v>
      </c>
      <c r="C8198" s="6" t="s">
        <v>69</v>
      </c>
      <c r="D8198" s="6" t="s">
        <v>675</v>
      </c>
      <c r="E8198" s="6" t="s">
        <v>452</v>
      </c>
      <c r="F8198" s="6" t="str">
        <f>IF($M8198="PADD I","PADD 1",IF($M8198="PADD II","PADD 2",IF($M8198="PADD III","PADD 3",IF($M8198="PADD IV","PADD 4",IF($M8198="PADD V","PADD 5","")))))</f>
        <v>PADD 2</v>
      </c>
      <c r="G8198" s="6" t="str">
        <f>IF(AND($H8198="ATMOS DISTILLATION",ISNUMBER(SEARCH("VPS",$I8198))=FALSE,LEFT($I8198,6)&lt;&gt;"VACUUM"),"CDU",IF($H8198="FLUID CAT CRACKING","FCC",IF(OR($H8198="HYDROCRACKING",$H8198="RESID_HYDROCRACKING"),"Hydrocracker",IF($H8198="REFORMING","Reformer",""))))</f>
        <v>Reformer</v>
      </c>
      <c r="H8198" s="6" t="s">
        <v>421</v>
      </c>
      <c r="I8198" s="6" t="s">
        <v>348</v>
      </c>
      <c r="J8198" s="6" t="s">
        <v>349</v>
      </c>
      <c r="K8198" s="10">
        <v>7.5</v>
      </c>
      <c r="L8198" s="10">
        <v>7.5</v>
      </c>
      <c r="M8198" s="6" t="s">
        <v>375</v>
      </c>
    </row>
    <row r="8199" spans="1:13">
      <c r="A8199" s="6">
        <v>2026</v>
      </c>
      <c r="B8199" s="6">
        <v>11</v>
      </c>
      <c r="C8199" s="6" t="s">
        <v>69</v>
      </c>
      <c r="D8199" s="6" t="s">
        <v>675</v>
      </c>
      <c r="E8199" s="6" t="s">
        <v>452</v>
      </c>
      <c r="F8199" s="6" t="str">
        <f>IF($M8199="PADD I","PADD 1",IF($M8199="PADD II","PADD 2",IF($M8199="PADD III","PADD 3",IF($M8199="PADD IV","PADD 4",IF($M8199="PADD V","PADD 5","")))))</f>
        <v>PADD 2</v>
      </c>
      <c r="G8199" s="6" t="str">
        <f>IF(AND($H8199="ATMOS DISTILLATION",ISNUMBER(SEARCH("VPS",$I8199))=FALSE,LEFT($I8199,6)&lt;&gt;"VACUUM"),"CDU",IF($H8199="FLUID CAT CRACKING","FCC",IF(OR($H8199="HYDROCRACKING",$H8199="RESID_HYDROCRACKING"),"Hydrocracker",IF($H8199="REFORMING","Reformer",""))))</f>
        <v>Reformer</v>
      </c>
      <c r="H8199" s="6" t="s">
        <v>421</v>
      </c>
      <c r="I8199" s="6" t="s">
        <v>348</v>
      </c>
      <c r="J8199" s="6" t="s">
        <v>349</v>
      </c>
      <c r="K8199" s="10">
        <v>7.5</v>
      </c>
      <c r="L8199" s="10">
        <v>7.5</v>
      </c>
      <c r="M8199" s="6" t="s">
        <v>375</v>
      </c>
    </row>
    <row r="8200" spans="1:13">
      <c r="A8200" s="6">
        <v>2026</v>
      </c>
      <c r="B8200" s="6">
        <v>11</v>
      </c>
      <c r="C8200" s="6" t="s">
        <v>69</v>
      </c>
      <c r="D8200" s="6" t="s">
        <v>434</v>
      </c>
      <c r="E8200" s="6" t="s">
        <v>388</v>
      </c>
      <c r="F8200" s="6" t="str">
        <f>IF($M8200="PADD I","PADD 1",IF($M8200="PADD II","PADD 2",IF($M8200="PADD III","PADD 3",IF($M8200="PADD IV","PADD 4",IF($M8200="PADD V","PADD 5","")))))</f>
        <v>PADD 5</v>
      </c>
      <c r="G8200" s="6" t="str">
        <f>IF(AND($H8200="ATMOS DISTILLATION",ISNUMBER(SEARCH("VPS",$I8200))=FALSE,LEFT($I8200,6)&lt;&gt;"VACUUM"),"CDU",IF($H8200="FLUID CAT CRACKING","FCC",IF(OR($H8200="HYDROCRACKING",$H8200="RESID_HYDROCRACKING"),"Hydrocracker",IF($H8200="REFORMING","Reformer",""))))</f>
        <v>Reformer</v>
      </c>
      <c r="H8200" s="6" t="s">
        <v>421</v>
      </c>
      <c r="I8200" s="6" t="s">
        <v>671</v>
      </c>
      <c r="J8200" s="6" t="s">
        <v>349</v>
      </c>
      <c r="K8200" s="10">
        <v>7.05</v>
      </c>
      <c r="L8200" s="10">
        <v>15</v>
      </c>
      <c r="M8200" s="6" t="s">
        <v>386</v>
      </c>
    </row>
    <row r="8201" spans="1:13">
      <c r="A8201" s="6">
        <v>2026</v>
      </c>
      <c r="B8201" s="6">
        <v>11</v>
      </c>
      <c r="C8201" s="6" t="s">
        <v>69</v>
      </c>
      <c r="D8201" s="6" t="s">
        <v>531</v>
      </c>
      <c r="E8201" s="6" t="s">
        <v>532</v>
      </c>
      <c r="F8201" s="6" t="str">
        <f>IF($M8201="PADD I","PADD 1",IF($M8201="PADD II","PADD 2",IF($M8201="PADD III","PADD 3",IF($M8201="PADD IV","PADD 4",IF($M8201="PADD V","PADD 5","")))))</f>
        <v>PADD 5</v>
      </c>
      <c r="G8201" s="6">
        <f>IF(AND($H8201="ATMOS DISTILLATION",ISNUMBER(SEARCH("VPS",$I8201))=FALSE,LEFT($I8201,6)&lt;&gt;"VACUUM"),"CDU",IF($H8201="FLUID CAT CRACKING","FCC",IF(OR($H8201="HYDROCRACKING",$H8201="RESID_HYDROCRACKING"),"Hydrocracker",IF($H8201="REFORMING","Reformer",""))))</f>
        <v/>
      </c>
      <c r="H8201" s="6" t="s">
        <v>435</v>
      </c>
      <c r="I8201" s="6" t="s">
        <v>614</v>
      </c>
      <c r="J8201" s="6" t="s">
        <v>349</v>
      </c>
      <c r="K8201" s="10">
        <v>4.59</v>
      </c>
      <c r="L8201" s="10">
        <v>27</v>
      </c>
      <c r="M8201" s="6" t="s">
        <v>386</v>
      </c>
    </row>
    <row r="8202" spans="1:13">
      <c r="A8202" s="6">
        <v>2026</v>
      </c>
      <c r="B8202" s="6">
        <v>11</v>
      </c>
      <c r="C8202" s="6" t="s">
        <v>69</v>
      </c>
      <c r="D8202" s="6" t="s">
        <v>434</v>
      </c>
      <c r="E8202" s="6" t="s">
        <v>388</v>
      </c>
      <c r="F8202" s="6" t="str">
        <f>IF($M8202="PADD I","PADD 1",IF($M8202="PADD II","PADD 2",IF($M8202="PADD III","PADD 3",IF($M8202="PADD IV","PADD 4",IF($M8202="PADD V","PADD 5","")))))</f>
        <v>PADD 5</v>
      </c>
      <c r="G8202" s="6">
        <f>IF(AND($H8202="ATMOS DISTILLATION",ISNUMBER(SEARCH("VPS",$I8202))=FALSE,LEFT($I8202,6)&lt;&gt;"VACUUM"),"CDU",IF($H8202="FLUID CAT CRACKING","FCC",IF(OR($H8202="HYDROCRACKING",$H8202="RESID_HYDROCRACKING"),"Hydrocracker",IF($H8202="REFORMING","Reformer",""))))</f>
        <v/>
      </c>
      <c r="H8202" s="6" t="s">
        <v>568</v>
      </c>
      <c r="I8202" s="6" t="s">
        <v>909</v>
      </c>
      <c r="J8202" s="6" t="s">
        <v>349</v>
      </c>
      <c r="K8202" s="10">
        <v>3.76</v>
      </c>
      <c r="L8202" s="10">
        <v>8</v>
      </c>
      <c r="M8202" s="6" t="s">
        <v>386</v>
      </c>
    </row>
    <row r="8203" spans="1:13">
      <c r="A8203" s="6">
        <v>2026</v>
      </c>
      <c r="B8203" s="6">
        <v>11</v>
      </c>
      <c r="C8203" s="6" t="s">
        <v>69</v>
      </c>
      <c r="D8203" s="6" t="s">
        <v>742</v>
      </c>
      <c r="E8203" s="6" t="s">
        <v>388</v>
      </c>
      <c r="F8203" s="6" t="str">
        <f>IF($M8203="PADD I","PADD 1",IF($M8203="PADD II","PADD 2",IF($M8203="PADD III","PADD 3",IF($M8203="PADD IV","PADD 4",IF($M8203="PADD V","PADD 5","")))))</f>
        <v>PADD 5</v>
      </c>
      <c r="G8203" s="6">
        <f>IF(AND($H8203="ATMOS DISTILLATION",ISNUMBER(SEARCH("VPS",$I8203))=FALSE,LEFT($I8203,6)&lt;&gt;"VACUUM"),"CDU",IF($H8203="FLUID CAT CRACKING","FCC",IF(OR($H8203="HYDROCRACKING",$H8203="RESID_HYDROCRACKING"),"Hydrocracker",IF($H8203="REFORMING","Reformer",""))))</f>
        <v/>
      </c>
      <c r="H8203" s="6" t="s">
        <v>568</v>
      </c>
      <c r="I8203" s="6" t="s">
        <v>768</v>
      </c>
      <c r="J8203" s="6" t="s">
        <v>349</v>
      </c>
      <c r="K8203" s="10">
        <v>3.5</v>
      </c>
      <c r="L8203" s="10">
        <v>3.5</v>
      </c>
      <c r="M8203" s="6" t="s">
        <v>386</v>
      </c>
    </row>
    <row r="8204" spans="1:13">
      <c r="A8204" s="6">
        <v>2026</v>
      </c>
      <c r="B8204" s="6">
        <v>12</v>
      </c>
      <c r="C8204" s="6" t="s">
        <v>70</v>
      </c>
      <c r="D8204" s="6" t="s">
        <v>547</v>
      </c>
      <c r="E8204" s="6" t="s">
        <v>391</v>
      </c>
      <c r="F8204" s="6" t="str">
        <f>IF($M8204="PADD I","PADD 1",IF($M8204="PADD II","PADD 2",IF($M8204="PADD III","PADD 3",IF($M8204="PADD IV","PADD 4",IF($M8204="PADD V","PADD 5","")))))</f>
        <v>PADD 5</v>
      </c>
      <c r="G8204" s="6" t="str">
        <f>IF(AND($H8204="ATMOS DISTILLATION",ISNUMBER(SEARCH("VPS",$I8204))=FALSE,LEFT($I8204,6)&lt;&gt;"VACUUM"),"CDU",IF($H8204="FLUID CAT CRACKING","FCC",IF(OR($H8204="HYDROCRACKING",$H8204="RESID_HYDROCRACKING"),"Hydrocracker",IF($H8204="REFORMING","Reformer",""))))</f>
        <v>FCC</v>
      </c>
      <c r="H8204" s="6" t="s">
        <v>376</v>
      </c>
      <c r="I8204" s="6" t="s">
        <v>105</v>
      </c>
      <c r="J8204" s="6" t="s">
        <v>349</v>
      </c>
      <c r="K8204" s="10">
        <v>4.8</v>
      </c>
      <c r="L8204" s="10">
        <v>80</v>
      </c>
      <c r="M8204" s="6" t="s">
        <v>386</v>
      </c>
    </row>
    <row r="8205" spans="1:13">
      <c r="A8205" s="6">
        <v>2026</v>
      </c>
      <c r="B8205" s="6">
        <v>12</v>
      </c>
      <c r="C8205" s="6" t="s">
        <v>70</v>
      </c>
      <c r="D8205" s="6" t="s">
        <v>742</v>
      </c>
      <c r="E8205" s="6" t="s">
        <v>388</v>
      </c>
      <c r="F8205" s="6" t="str">
        <f>IF($M8205="PADD I","PADD 1",IF($M8205="PADD II","PADD 2",IF($M8205="PADD III","PADD 3",IF($M8205="PADD IV","PADD 4",IF($M8205="PADD V","PADD 5","")))))</f>
        <v>PADD 5</v>
      </c>
      <c r="G8205" s="6">
        <f>IF(AND($H8205="ATMOS DISTILLATION",ISNUMBER(SEARCH("VPS",$I8205))=FALSE,LEFT($I8205,6)&lt;&gt;"VACUUM"),"CDU",IF($H8205="FLUID CAT CRACKING","FCC",IF(OR($H8205="HYDROCRACKING",$H8205="RESID_HYDROCRACKING"),"Hydrocracker",IF($H8205="REFORMING","Reformer",""))))</f>
        <v/>
      </c>
      <c r="H8205" s="6" t="s">
        <v>568</v>
      </c>
      <c r="I8205" s="6" t="s">
        <v>768</v>
      </c>
      <c r="J8205" s="6" t="s">
        <v>349</v>
      </c>
      <c r="K8205" s="10">
        <v>3.5</v>
      </c>
      <c r="L8205" s="10">
        <v>3.5</v>
      </c>
      <c r="M8205" s="6" t="s">
        <v>386</v>
      </c>
    </row>
    <row r="8206" spans="1:13">
      <c r="A8206" s="6">
        <v>2026</v>
      </c>
      <c r="B8206" s="6">
        <v>12</v>
      </c>
      <c r="C8206" s="6" t="s">
        <v>70</v>
      </c>
      <c r="D8206" s="6" t="s">
        <v>547</v>
      </c>
      <c r="E8206" s="6" t="s">
        <v>391</v>
      </c>
      <c r="F8206" s="6" t="str">
        <f>IF($M8206="PADD I","PADD 1",IF($M8206="PADD II","PADD 2",IF($M8206="PADD III","PADD 3",IF($M8206="PADD IV","PADD 4",IF($M8206="PADD V","PADD 5","")))))</f>
        <v>PADD 5</v>
      </c>
      <c r="G8206" s="6">
        <f>IF(AND($H8206="ATMOS DISTILLATION",ISNUMBER(SEARCH("VPS",$I8206))=FALSE,LEFT($I8206,6)&lt;&gt;"VACUUM"),"CDU",IF($H8206="FLUID CAT CRACKING","FCC",IF(OR($H8206="HYDROCRACKING",$H8206="RESID_HYDROCRACKING"),"Hydrocracker",IF($H8206="REFORMING","Reformer",""))))</f>
        <v/>
      </c>
      <c r="H8206" s="6" t="s">
        <v>460</v>
      </c>
      <c r="I8206" s="6" t="s">
        <v>461</v>
      </c>
      <c r="J8206" s="6" t="s">
        <v>349</v>
      </c>
      <c r="K8206" s="10">
        <v>1.2</v>
      </c>
      <c r="L8206" s="10">
        <v>20</v>
      </c>
      <c r="M8206" s="6" t="s">
        <v>386</v>
      </c>
    </row>
    <row r="8207" spans="1:13">
      <c r="A8207" s="6">
        <v>2027</v>
      </c>
      <c r="B8207" s="6">
        <v>1</v>
      </c>
      <c r="C8207" s="6" t="s">
        <v>59</v>
      </c>
      <c r="D8207" s="6" t="s">
        <v>333</v>
      </c>
      <c r="E8207" s="6" t="s">
        <v>381</v>
      </c>
      <c r="F8207" s="6" t="str">
        <f>IF($M8207="PADD I","PADD 1",IF($M8207="PADD II","PADD 2",IF($M8207="PADD III","PADD 3",IF($M8207="PADD IV","PADD 4",IF($M8207="PADD V","PADD 5","")))))</f>
        <v>PADD 3</v>
      </c>
      <c r="G8207" s="6" t="str">
        <f>IF(AND($H8207="ATMOS DISTILLATION",ISNUMBER(SEARCH("VPS",$I8207))=FALSE,LEFT($I8207,6)&lt;&gt;"VACUUM"),"CDU",IF($H8207="FLUID CAT CRACKING","FCC",IF(OR($H8207="HYDROCRACKING",$H8207="RESID_HYDROCRACKING"),"Hydrocracker",IF($H8207="REFORMING","Reformer",""))))</f>
        <v>FCC</v>
      </c>
      <c r="H8207" s="6" t="s">
        <v>376</v>
      </c>
      <c r="I8207" s="6" t="s">
        <v>105</v>
      </c>
      <c r="J8207" s="6" t="s">
        <v>349</v>
      </c>
      <c r="K8207" s="10">
        <v>97.2</v>
      </c>
      <c r="L8207" s="10">
        <v>120</v>
      </c>
      <c r="M8207" s="6" t="s">
        <v>371</v>
      </c>
    </row>
    <row r="8208" spans="1:13">
      <c r="A8208" s="6">
        <v>2027</v>
      </c>
      <c r="B8208" s="6">
        <v>1</v>
      </c>
      <c r="C8208" s="6" t="s">
        <v>59</v>
      </c>
      <c r="D8208" s="6" t="s">
        <v>326</v>
      </c>
      <c r="E8208" s="6" t="s">
        <v>385</v>
      </c>
      <c r="F8208" s="6" t="str">
        <f>IF($M8208="PADD I","PADD 1",IF($M8208="PADD II","PADD 2",IF($M8208="PADD III","PADD 3",IF($M8208="PADD IV","PADD 4",IF($M8208="PADD V","PADD 5","")))))</f>
        <v>PADD 5</v>
      </c>
      <c r="G8208" s="6" t="str">
        <f>IF(AND($H8208="ATMOS DISTILLATION",ISNUMBER(SEARCH("VPS",$I8208))=FALSE,LEFT($I8208,6)&lt;&gt;"VACUUM"),"CDU",IF($H8208="FLUID CAT CRACKING","FCC",IF(OR($H8208="HYDROCRACKING",$H8208="RESID_HYDROCRACKING"),"Hydrocracker",IF($H8208="REFORMING","Reformer",""))))</f>
        <v>CDU</v>
      </c>
      <c r="H8208" s="6" t="s">
        <v>38</v>
      </c>
      <c r="I8208" s="6" t="s">
        <v>93</v>
      </c>
      <c r="J8208" s="6" t="s">
        <v>349</v>
      </c>
      <c r="K8208" s="10">
        <v>85.25</v>
      </c>
      <c r="L8208" s="10">
        <v>155</v>
      </c>
      <c r="M8208" s="6" t="s">
        <v>386</v>
      </c>
    </row>
    <row r="8209" spans="1:13">
      <c r="A8209" s="6">
        <v>2027</v>
      </c>
      <c r="B8209" s="6">
        <v>1</v>
      </c>
      <c r="C8209" s="6" t="s">
        <v>59</v>
      </c>
      <c r="D8209" s="6" t="s">
        <v>324</v>
      </c>
      <c r="E8209" s="6" t="s">
        <v>388</v>
      </c>
      <c r="F8209" s="6" t="str">
        <f>IF($M8209="PADD I","PADD 1",IF($M8209="PADD II","PADD 2",IF($M8209="PADD III","PADD 3",IF($M8209="PADD IV","PADD 4",IF($M8209="PADD V","PADD 5","")))))</f>
        <v>PADD 3</v>
      </c>
      <c r="G8209" s="6" t="str">
        <f>IF(AND($H8209="ATMOS DISTILLATION",ISNUMBER(SEARCH("VPS",$I8209))=FALSE,LEFT($I8209,6)&lt;&gt;"VACUUM"),"CDU",IF($H8209="FLUID CAT CRACKING","FCC",IF(OR($H8209="HYDROCRACKING",$H8209="RESID_HYDROCRACKING"),"Hydrocracker",IF($H8209="REFORMING","Reformer",""))))</f>
        <v>CDU</v>
      </c>
      <c r="H8209" s="6" t="s">
        <v>38</v>
      </c>
      <c r="I8209" s="6" t="s">
        <v>99</v>
      </c>
      <c r="J8209" s="6" t="s">
        <v>349</v>
      </c>
      <c r="K8209" s="10">
        <v>75.90000000000001</v>
      </c>
      <c r="L8209" s="10">
        <v>138</v>
      </c>
      <c r="M8209" s="6" t="s">
        <v>371</v>
      </c>
    </row>
    <row r="8210" spans="1:13">
      <c r="A8210" s="6">
        <v>2027</v>
      </c>
      <c r="B8210" s="6">
        <v>1</v>
      </c>
      <c r="C8210" s="6" t="s">
        <v>59</v>
      </c>
      <c r="D8210" s="6" t="s">
        <v>51</v>
      </c>
      <c r="E8210" s="6" t="s">
        <v>391</v>
      </c>
      <c r="F8210" s="6" t="str">
        <f>IF($M8210="PADD I","PADD 1",IF($M8210="PADD II","PADD 2",IF($M8210="PADD III","PADD 3",IF($M8210="PADD IV","PADD 4",IF($M8210="PADD V","PADD 5","")))))</f>
        <v>PADD 5</v>
      </c>
      <c r="G8210" s="6" t="str">
        <f>IF(AND($H8210="ATMOS DISTILLATION",ISNUMBER(SEARCH("VPS",$I8210))=FALSE,LEFT($I8210,6)&lt;&gt;"VACUUM"),"CDU",IF($H8210="FLUID CAT CRACKING","FCC",IF(OR($H8210="HYDROCRACKING",$H8210="RESID_HYDROCRACKING"),"Hydrocracker",IF($H8210="REFORMING","Reformer",""))))</f>
        <v>CDU</v>
      </c>
      <c r="H8210" s="6" t="s">
        <v>38</v>
      </c>
      <c r="I8210" s="6" t="s">
        <v>135</v>
      </c>
      <c r="J8210" s="6" t="s">
        <v>349</v>
      </c>
      <c r="K8210" s="10">
        <v>69.3</v>
      </c>
      <c r="L8210" s="10">
        <v>90</v>
      </c>
      <c r="M8210" s="6" t="s">
        <v>386</v>
      </c>
    </row>
    <row r="8211" spans="1:13">
      <c r="A8211" s="6">
        <v>2027</v>
      </c>
      <c r="B8211" s="6">
        <v>1</v>
      </c>
      <c r="C8211" s="6" t="s">
        <v>59</v>
      </c>
      <c r="D8211" s="6" t="s">
        <v>887</v>
      </c>
      <c r="E8211" s="6" t="s">
        <v>405</v>
      </c>
      <c r="F8211" s="6" t="str">
        <f>IF($M8211="PADD I","PADD 1",IF($M8211="PADD II","PADD 2",IF($M8211="PADD III","PADD 3",IF($M8211="PADD IV","PADD 4",IF($M8211="PADD V","PADD 5","")))))</f>
        <v>PADD 3</v>
      </c>
      <c r="G8211" s="6" t="str">
        <f>IF(AND($H8211="ATMOS DISTILLATION",ISNUMBER(SEARCH("VPS",$I8211))=FALSE,LEFT($I8211,6)&lt;&gt;"VACUUM"),"CDU",IF($H8211="FLUID CAT CRACKING","FCC",IF(OR($H8211="HYDROCRACKING",$H8211="RESID_HYDROCRACKING"),"Hydrocracker",IF($H8211="REFORMING","Reformer",""))))</f>
        <v>CDU</v>
      </c>
      <c r="H8211" s="6" t="s">
        <v>38</v>
      </c>
      <c r="I8211" s="6" t="s">
        <v>131</v>
      </c>
      <c r="J8211" s="6" t="s">
        <v>349</v>
      </c>
      <c r="K8211" s="10">
        <v>67.45</v>
      </c>
      <c r="L8211" s="10">
        <v>95</v>
      </c>
      <c r="M8211" s="6" t="s">
        <v>371</v>
      </c>
    </row>
    <row r="8212" spans="1:13">
      <c r="A8212" s="6">
        <v>2027</v>
      </c>
      <c r="B8212" s="6">
        <v>1</v>
      </c>
      <c r="C8212" s="6" t="s">
        <v>59</v>
      </c>
      <c r="D8212" s="6" t="s">
        <v>333</v>
      </c>
      <c r="E8212" s="6" t="s">
        <v>381</v>
      </c>
      <c r="F8212" s="6" t="str">
        <f>IF($M8212="PADD I","PADD 1",IF($M8212="PADD II","PADD 2",IF($M8212="PADD III","PADD 3",IF($M8212="PADD IV","PADD 4",IF($M8212="PADD V","PADD 5","")))))</f>
        <v>PADD 3</v>
      </c>
      <c r="G8212" s="6" t="str">
        <f>IF(AND($H8212="ATMOS DISTILLATION",ISNUMBER(SEARCH("VPS",$I8212))=FALSE,LEFT($I8212,6)&lt;&gt;"VACUUM"),"CDU",IF($H8212="FLUID CAT CRACKING","FCC",IF(OR($H8212="HYDROCRACKING",$H8212="RESID_HYDROCRACKING"),"Hydrocracker",IF($H8212="REFORMING","Reformer",""))))</f>
        <v>Hydrocracker</v>
      </c>
      <c r="H8212" s="6" t="s">
        <v>444</v>
      </c>
      <c r="I8212" s="6" t="s">
        <v>14</v>
      </c>
      <c r="J8212" s="6" t="s">
        <v>349</v>
      </c>
      <c r="K8212" s="10">
        <v>58.5</v>
      </c>
      <c r="L8212" s="10">
        <v>65</v>
      </c>
      <c r="M8212" s="6" t="s">
        <v>371</v>
      </c>
    </row>
    <row r="8213" spans="1:13">
      <c r="A8213" s="6">
        <v>2027</v>
      </c>
      <c r="B8213" s="6">
        <v>1</v>
      </c>
      <c r="C8213" s="6" t="s">
        <v>59</v>
      </c>
      <c r="D8213" s="6" t="s">
        <v>526</v>
      </c>
      <c r="E8213" s="6" t="s">
        <v>405</v>
      </c>
      <c r="F8213" s="6" t="str">
        <f>IF($M8213="PADD I","PADD 1",IF($M8213="PADD II","PADD 2",IF($M8213="PADD III","PADD 3",IF($M8213="PADD IV","PADD 4",IF($M8213="PADD V","PADD 5","")))))</f>
        <v>PADD 3</v>
      </c>
      <c r="G8213" s="6" t="str">
        <f>IF(AND($H8213="ATMOS DISTILLATION",ISNUMBER(SEARCH("VPS",$I8213))=FALSE,LEFT($I8213,6)&lt;&gt;"VACUUM"),"CDU",IF($H8213="FLUID CAT CRACKING","FCC",IF(OR($H8213="HYDROCRACKING",$H8213="RESID_HYDROCRACKING"),"Hydrocracker",IF($H8213="REFORMING","Reformer",""))))</f>
        <v>FCC</v>
      </c>
      <c r="H8213" s="6" t="s">
        <v>376</v>
      </c>
      <c r="I8213" s="6" t="s">
        <v>344</v>
      </c>
      <c r="J8213" s="6" t="s">
        <v>349</v>
      </c>
      <c r="K8213" s="10">
        <v>57.75</v>
      </c>
      <c r="L8213" s="10">
        <v>75</v>
      </c>
      <c r="M8213" s="6" t="s">
        <v>371</v>
      </c>
    </row>
    <row r="8214" spans="1:13">
      <c r="A8214" s="6">
        <v>2027</v>
      </c>
      <c r="B8214" s="6">
        <v>1</v>
      </c>
      <c r="C8214" s="6" t="s">
        <v>59</v>
      </c>
      <c r="D8214" s="6" t="s">
        <v>612</v>
      </c>
      <c r="E8214" s="6" t="s">
        <v>416</v>
      </c>
      <c r="F8214" s="6" t="str">
        <f>IF($M8214="PADD I","PADD 1",IF($M8214="PADD II","PADD 2",IF($M8214="PADD III","PADD 3",IF($M8214="PADD IV","PADD 4",IF($M8214="PADD V","PADD 5","")))))</f>
        <v>PADD 3</v>
      </c>
      <c r="G8214" s="6">
        <f>IF(AND($H8214="ATMOS DISTILLATION",ISNUMBER(SEARCH("VPS",$I8214))=FALSE,LEFT($I8214,6)&lt;&gt;"VACUUM"),"CDU",IF($H8214="FLUID CAT CRACKING","FCC",IF(OR($H8214="HYDROCRACKING",$H8214="RESID_HYDROCRACKING"),"Hydrocracker",IF($H8214="REFORMING","Reformer",""))))</f>
        <v/>
      </c>
      <c r="H8214" s="6" t="s">
        <v>43</v>
      </c>
      <c r="I8214" s="6" t="s">
        <v>814</v>
      </c>
      <c r="J8214" s="6" t="s">
        <v>349</v>
      </c>
      <c r="K8214" s="10">
        <v>53.13</v>
      </c>
      <c r="L8214" s="10">
        <v>69</v>
      </c>
      <c r="M8214" s="6" t="s">
        <v>371</v>
      </c>
    </row>
    <row r="8215" spans="1:13">
      <c r="A8215" s="6">
        <v>2027</v>
      </c>
      <c r="B8215" s="6">
        <v>1</v>
      </c>
      <c r="C8215" s="6" t="s">
        <v>59</v>
      </c>
      <c r="D8215" s="6" t="s">
        <v>612</v>
      </c>
      <c r="E8215" s="6" t="s">
        <v>416</v>
      </c>
      <c r="F8215" s="6" t="str">
        <f>IF($M8215="PADD I","PADD 1",IF($M8215="PADD II","PADD 2",IF($M8215="PADD III","PADD 3",IF($M8215="PADD IV","PADD 4",IF($M8215="PADD V","PADD 5","")))))</f>
        <v>PADD 3</v>
      </c>
      <c r="G8215" s="6" t="str">
        <f>IF(AND($H8215="ATMOS DISTILLATION",ISNUMBER(SEARCH("VPS",$I8215))=FALSE,LEFT($I8215,6)&lt;&gt;"VACUUM"),"CDU",IF($H8215="FLUID CAT CRACKING","FCC",IF(OR($H8215="HYDROCRACKING",$H8215="RESID_HYDROCRACKING"),"Hydrocracker",IF($H8215="REFORMING","Reformer",""))))</f>
        <v>FCC</v>
      </c>
      <c r="H8215" s="6" t="s">
        <v>376</v>
      </c>
      <c r="I8215" s="6" t="s">
        <v>428</v>
      </c>
      <c r="J8215" s="6" t="s">
        <v>349</v>
      </c>
      <c r="K8215" s="10">
        <v>53.13</v>
      </c>
      <c r="L8215" s="10">
        <v>69</v>
      </c>
      <c r="M8215" s="6" t="s">
        <v>371</v>
      </c>
    </row>
    <row r="8216" spans="1:13">
      <c r="A8216" s="6">
        <v>2027</v>
      </c>
      <c r="B8216" s="6">
        <v>1</v>
      </c>
      <c r="C8216" s="6" t="s">
        <v>59</v>
      </c>
      <c r="D8216" s="6" t="s">
        <v>51</v>
      </c>
      <c r="E8216" s="6" t="s">
        <v>391</v>
      </c>
      <c r="F8216" s="6" t="str">
        <f>IF($M8216="PADD I","PADD 1",IF($M8216="PADD II","PADD 2",IF($M8216="PADD III","PADD 3",IF($M8216="PADD IV","PADD 4",IF($M8216="PADD V","PADD 5","")))))</f>
        <v>PADD 5</v>
      </c>
      <c r="G8216" s="6">
        <f>IF(AND($H8216="ATMOS DISTILLATION",ISNUMBER(SEARCH("VPS",$I8216))=FALSE,LEFT($I8216,6)&lt;&gt;"VACUUM"),"CDU",IF($H8216="FLUID CAT CRACKING","FCC",IF(OR($H8216="HYDROCRACKING",$H8216="RESID_HYDROCRACKING"),"Hydrocracker",IF($H8216="REFORMING","Reformer",""))))</f>
        <v/>
      </c>
      <c r="H8216" s="6" t="s">
        <v>435</v>
      </c>
      <c r="I8216" s="6" t="s">
        <v>441</v>
      </c>
      <c r="J8216" s="6" t="s">
        <v>349</v>
      </c>
      <c r="K8216" s="10">
        <v>52.36</v>
      </c>
      <c r="L8216" s="10">
        <v>68</v>
      </c>
      <c r="M8216" s="6" t="s">
        <v>386</v>
      </c>
    </row>
    <row r="8217" spans="1:13">
      <c r="A8217" s="6">
        <v>2027</v>
      </c>
      <c r="B8217" s="6">
        <v>1</v>
      </c>
      <c r="C8217" s="6" t="s">
        <v>59</v>
      </c>
      <c r="D8217" s="6" t="s">
        <v>326</v>
      </c>
      <c r="E8217" s="6" t="s">
        <v>385</v>
      </c>
      <c r="F8217" s="6" t="str">
        <f>IF($M8217="PADD I","PADD 1",IF($M8217="PADD II","PADD 2",IF($M8217="PADD III","PADD 3",IF($M8217="PADD IV","PADD 4",IF($M8217="PADD V","PADD 5","")))))</f>
        <v>PADD 5</v>
      </c>
      <c r="G8217" s="6">
        <f>IF(AND($H8217="ATMOS DISTILLATION",ISNUMBER(SEARCH("VPS",$I8217))=FALSE,LEFT($I8217,6)&lt;&gt;"VACUUM"),"CDU",IF($H8217="FLUID CAT CRACKING","FCC",IF(OR($H8217="HYDROCRACKING",$H8217="RESID_HYDROCRACKING"),"Hydrocracker",IF($H8217="REFORMING","Reformer",""))))</f>
        <v/>
      </c>
      <c r="H8217" s="6" t="s">
        <v>378</v>
      </c>
      <c r="I8217" s="6" t="s">
        <v>431</v>
      </c>
      <c r="J8217" s="6" t="s">
        <v>349</v>
      </c>
      <c r="K8217" s="10">
        <v>49.5</v>
      </c>
      <c r="L8217" s="10">
        <v>90</v>
      </c>
      <c r="M8217" s="6" t="s">
        <v>386</v>
      </c>
    </row>
    <row r="8218" spans="1:13">
      <c r="A8218" s="6">
        <v>2027</v>
      </c>
      <c r="B8218" s="6">
        <v>1</v>
      </c>
      <c r="C8218" s="6" t="s">
        <v>59</v>
      </c>
      <c r="D8218" s="6" t="s">
        <v>335</v>
      </c>
      <c r="E8218" s="6" t="s">
        <v>369</v>
      </c>
      <c r="F8218" s="6" t="str">
        <f>IF($M8218="PADD I","PADD 1",IF($M8218="PADD II","PADD 2",IF($M8218="PADD III","PADD 3",IF($M8218="PADD IV","PADD 4",IF($M8218="PADD V","PADD 5","")))))</f>
        <v>PADD 3</v>
      </c>
      <c r="G8218" s="6" t="str">
        <f>IF(AND($H8218="ATMOS DISTILLATION",ISNUMBER(SEARCH("VPS",$I8218))=FALSE,LEFT($I8218,6)&lt;&gt;"VACUUM"),"CDU",IF($H8218="FLUID CAT CRACKING","FCC",IF(OR($H8218="HYDROCRACKING",$H8218="RESID_HYDROCRACKING"),"Hydrocracker",IF($H8218="REFORMING","Reformer",""))))</f>
        <v>FCC</v>
      </c>
      <c r="H8218" s="6" t="s">
        <v>376</v>
      </c>
      <c r="I8218" s="6" t="s">
        <v>141</v>
      </c>
      <c r="J8218" s="6" t="s">
        <v>349</v>
      </c>
      <c r="K8218" s="10">
        <v>42.9</v>
      </c>
      <c r="L8218" s="10">
        <v>78</v>
      </c>
      <c r="M8218" s="6" t="s">
        <v>371</v>
      </c>
    </row>
    <row r="8219" spans="1:13">
      <c r="A8219" s="6">
        <v>2027</v>
      </c>
      <c r="B8219" s="6">
        <v>1</v>
      </c>
      <c r="C8219" s="6" t="s">
        <v>59</v>
      </c>
      <c r="D8219" s="6" t="s">
        <v>628</v>
      </c>
      <c r="E8219" s="6" t="s">
        <v>388</v>
      </c>
      <c r="F8219" s="6" t="str">
        <f>IF($M8219="PADD I","PADD 1",IF($M8219="PADD II","PADD 2",IF($M8219="PADD III","PADD 3",IF($M8219="PADD IV","PADD 4",IF($M8219="PADD V","PADD 5","")))))</f>
        <v>PADD 3</v>
      </c>
      <c r="G8219" s="6" t="str">
        <f>IF(AND($H8219="ATMOS DISTILLATION",ISNUMBER(SEARCH("VPS",$I8219))=FALSE,LEFT($I8219,6)&lt;&gt;"VACUUM"),"CDU",IF($H8219="FLUID CAT CRACKING","FCC",IF(OR($H8219="HYDROCRACKING",$H8219="RESID_HYDROCRACKING"),"Hydrocracker",IF($H8219="REFORMING","Reformer",""))))</f>
        <v>CDU</v>
      </c>
      <c r="H8219" s="6" t="s">
        <v>38</v>
      </c>
      <c r="I8219" s="6" t="s">
        <v>1048</v>
      </c>
      <c r="J8219" s="6" t="s">
        <v>349</v>
      </c>
      <c r="K8219" s="10">
        <v>38.5</v>
      </c>
      <c r="L8219" s="10">
        <v>50</v>
      </c>
      <c r="M8219" s="6" t="s">
        <v>371</v>
      </c>
    </row>
    <row r="8220" spans="1:13">
      <c r="A8220" s="6">
        <v>2027</v>
      </c>
      <c r="B8220" s="6">
        <v>1</v>
      </c>
      <c r="C8220" s="6" t="s">
        <v>59</v>
      </c>
      <c r="D8220" s="6" t="s">
        <v>333</v>
      </c>
      <c r="E8220" s="6" t="s">
        <v>381</v>
      </c>
      <c r="F8220" s="6" t="str">
        <f>IF($M8220="PADD I","PADD 1",IF($M8220="PADD II","PADD 2",IF($M8220="PADD III","PADD 3",IF($M8220="PADD IV","PADD 4",IF($M8220="PADD V","PADD 5","")))))</f>
        <v>PADD 3</v>
      </c>
      <c r="G8220" s="6">
        <f>IF(AND($H8220="ATMOS DISTILLATION",ISNUMBER(SEARCH("VPS",$I8220))=FALSE,LEFT($I8220,6)&lt;&gt;"VACUUM"),"CDU",IF($H8220="FLUID CAT CRACKING","FCC",IF(OR($H8220="HYDROCRACKING",$H8220="RESID_HYDROCRACKING"),"Hydrocracker",IF($H8220="REFORMING","Reformer",""))))</f>
        <v/>
      </c>
      <c r="H8220" s="6" t="s">
        <v>43</v>
      </c>
      <c r="I8220" s="6" t="s">
        <v>464</v>
      </c>
      <c r="J8220" s="6" t="s">
        <v>349</v>
      </c>
      <c r="K8220" s="10">
        <v>32.4</v>
      </c>
      <c r="L8220" s="10">
        <v>40</v>
      </c>
      <c r="M8220" s="6" t="s">
        <v>371</v>
      </c>
    </row>
    <row r="8221" spans="1:13">
      <c r="A8221" s="6">
        <v>2027</v>
      </c>
      <c r="B8221" s="6">
        <v>1</v>
      </c>
      <c r="C8221" s="6" t="s">
        <v>59</v>
      </c>
      <c r="D8221" s="6" t="s">
        <v>457</v>
      </c>
      <c r="E8221" s="6" t="s">
        <v>388</v>
      </c>
      <c r="F8221" s="6" t="str">
        <f>IF($M8221="PADD I","PADD 1",IF($M8221="PADD II","PADD 2",IF($M8221="PADD III","PADD 3",IF($M8221="PADD IV","PADD 4",IF($M8221="PADD V","PADD 5","")))))</f>
        <v>PADD 5</v>
      </c>
      <c r="G8221" s="6" t="str">
        <f>IF(AND($H8221="ATMOS DISTILLATION",ISNUMBER(SEARCH("VPS",$I8221))=FALSE,LEFT($I8221,6)&lt;&gt;"VACUUM"),"CDU",IF($H8221="FLUID CAT CRACKING","FCC",IF(OR($H8221="HYDROCRACKING",$H8221="RESID_HYDROCRACKING"),"Hydrocracker",IF($H8221="REFORMING","Reformer",""))))</f>
        <v>Hydrocracker</v>
      </c>
      <c r="H8221" s="6" t="s">
        <v>444</v>
      </c>
      <c r="I8221" s="6" t="s">
        <v>14</v>
      </c>
      <c r="J8221" s="6" t="s">
        <v>349</v>
      </c>
      <c r="K8221" s="10">
        <v>30.53</v>
      </c>
      <c r="L8221" s="10">
        <v>43</v>
      </c>
      <c r="M8221" s="6" t="s">
        <v>386</v>
      </c>
    </row>
    <row r="8222" spans="1:13">
      <c r="A8222" s="6">
        <v>2027</v>
      </c>
      <c r="B8222" s="6">
        <v>1</v>
      </c>
      <c r="C8222" s="6" t="s">
        <v>59</v>
      </c>
      <c r="D8222" s="6" t="s">
        <v>628</v>
      </c>
      <c r="E8222" s="6" t="s">
        <v>388</v>
      </c>
      <c r="F8222" s="6" t="str">
        <f>IF($M8222="PADD I","PADD 1",IF($M8222="PADD II","PADD 2",IF($M8222="PADD III","PADD 3",IF($M8222="PADD IV","PADD 4",IF($M8222="PADD V","PADD 5","")))))</f>
        <v>PADD 3</v>
      </c>
      <c r="G8222" s="6" t="str">
        <f>IF(AND($H8222="ATMOS DISTILLATION",ISNUMBER(SEARCH("VPS",$I8222))=FALSE,LEFT($I8222,6)&lt;&gt;"VACUUM"),"CDU",IF($H8222="FLUID CAT CRACKING","FCC",IF(OR($H8222="HYDROCRACKING",$H8222="RESID_HYDROCRACKING"),"Hydrocracker",IF($H8222="REFORMING","Reformer",""))))</f>
        <v>CDU</v>
      </c>
      <c r="H8222" s="6" t="s">
        <v>38</v>
      </c>
      <c r="I8222" s="6" t="s">
        <v>1053</v>
      </c>
      <c r="J8222" s="6" t="s">
        <v>349</v>
      </c>
      <c r="K8222" s="10">
        <v>26.95</v>
      </c>
      <c r="L8222" s="10">
        <v>35</v>
      </c>
      <c r="M8222" s="6" t="s">
        <v>371</v>
      </c>
    </row>
    <row r="8223" spans="1:13">
      <c r="A8223" s="6">
        <v>2027</v>
      </c>
      <c r="B8223" s="6">
        <v>1</v>
      </c>
      <c r="C8223" s="6" t="s">
        <v>59</v>
      </c>
      <c r="D8223" s="6" t="s">
        <v>326</v>
      </c>
      <c r="E8223" s="6" t="s">
        <v>385</v>
      </c>
      <c r="F8223" s="6" t="str">
        <f>IF($M8223="PADD I","PADD 1",IF($M8223="PADD II","PADD 2",IF($M8223="PADD III","PADD 3",IF($M8223="PADD IV","PADD 4",IF($M8223="PADD V","PADD 5","")))))</f>
        <v>PADD 5</v>
      </c>
      <c r="G8223" s="6" t="str">
        <f>IF(AND($H8223="ATMOS DISTILLATION",ISNUMBER(SEARCH("VPS",$I8223))=FALSE,LEFT($I8223,6)&lt;&gt;"VACUUM"),"CDU",IF($H8223="FLUID CAT CRACKING","FCC",IF(OR($H8223="HYDROCRACKING",$H8223="RESID_HYDROCRACKING"),"Hydrocracker",IF($H8223="REFORMING","Reformer",""))))</f>
        <v>Hydrocracker</v>
      </c>
      <c r="H8223" s="6" t="s">
        <v>444</v>
      </c>
      <c r="I8223" s="6" t="s">
        <v>498</v>
      </c>
      <c r="J8223" s="6" t="s">
        <v>349</v>
      </c>
      <c r="K8223" s="10">
        <v>23.1</v>
      </c>
      <c r="L8223" s="10">
        <v>42</v>
      </c>
      <c r="M8223" s="6" t="s">
        <v>386</v>
      </c>
    </row>
    <row r="8224" spans="1:13">
      <c r="A8224" s="6">
        <v>2027</v>
      </c>
      <c r="B8224" s="6">
        <v>1</v>
      </c>
      <c r="C8224" s="6" t="s">
        <v>59</v>
      </c>
      <c r="D8224" s="6" t="s">
        <v>887</v>
      </c>
      <c r="E8224" s="6" t="s">
        <v>405</v>
      </c>
      <c r="F8224" s="6" t="str">
        <f>IF($M8224="PADD I","PADD 1",IF($M8224="PADD II","PADD 2",IF($M8224="PADD III","PADD 3",IF($M8224="PADD IV","PADD 4",IF($M8224="PADD V","PADD 5","")))))</f>
        <v>PADD 3</v>
      </c>
      <c r="G8224" s="6">
        <f>IF(AND($H8224="ATMOS DISTILLATION",ISNUMBER(SEARCH("VPS",$I8224))=FALSE,LEFT($I8224,6)&lt;&gt;"VACUUM"),"CDU",IF($H8224="FLUID CAT CRACKING","FCC",IF(OR($H8224="HYDROCRACKING",$H8224="RESID_HYDROCRACKING"),"Hydrocracker",IF($H8224="REFORMING","Reformer",""))))</f>
        <v/>
      </c>
      <c r="H8224" s="6" t="s">
        <v>378</v>
      </c>
      <c r="I8224" s="6" t="s">
        <v>431</v>
      </c>
      <c r="J8224" s="6" t="s">
        <v>349</v>
      </c>
      <c r="K8224" s="10">
        <v>19.88</v>
      </c>
      <c r="L8224" s="10">
        <v>28</v>
      </c>
      <c r="M8224" s="6" t="s">
        <v>371</v>
      </c>
    </row>
    <row r="8225" spans="1:13">
      <c r="A8225" s="6">
        <v>2027</v>
      </c>
      <c r="B8225" s="6">
        <v>1</v>
      </c>
      <c r="C8225" s="6" t="s">
        <v>59</v>
      </c>
      <c r="D8225" s="6" t="s">
        <v>326</v>
      </c>
      <c r="E8225" s="6" t="s">
        <v>385</v>
      </c>
      <c r="F8225" s="6" t="str">
        <f>IF($M8225="PADD I","PADD 1",IF($M8225="PADD II","PADD 2",IF($M8225="PADD III","PADD 3",IF($M8225="PADD IV","PADD 4",IF($M8225="PADD V","PADD 5","")))))</f>
        <v>PADD 5</v>
      </c>
      <c r="G8225" s="6" t="str">
        <f>IF(AND($H8225="ATMOS DISTILLATION",ISNUMBER(SEARCH("VPS",$I8225))=FALSE,LEFT($I8225,6)&lt;&gt;"VACUUM"),"CDU",IF($H8225="FLUID CAT CRACKING","FCC",IF(OR($H8225="HYDROCRACKING",$H8225="RESID_HYDROCRACKING"),"Hydrocracker",IF($H8225="REFORMING","Reformer",""))))</f>
        <v>Reformer</v>
      </c>
      <c r="H8225" s="6" t="s">
        <v>421</v>
      </c>
      <c r="I8225" s="6" t="s">
        <v>15</v>
      </c>
      <c r="J8225" s="6" t="s">
        <v>349</v>
      </c>
      <c r="K8225" s="10">
        <v>16.225</v>
      </c>
      <c r="L8225" s="10">
        <v>29.5</v>
      </c>
      <c r="M8225" s="6" t="s">
        <v>386</v>
      </c>
    </row>
    <row r="8226" spans="1:13">
      <c r="A8226" s="6">
        <v>2027</v>
      </c>
      <c r="B8226" s="6">
        <v>1</v>
      </c>
      <c r="C8226" s="6" t="s">
        <v>59</v>
      </c>
      <c r="D8226" s="6" t="s">
        <v>326</v>
      </c>
      <c r="E8226" s="6" t="s">
        <v>385</v>
      </c>
      <c r="F8226" s="6" t="str">
        <f>IF($M8226="PADD I","PADD 1",IF($M8226="PADD II","PADD 2",IF($M8226="PADD III","PADD 3",IF($M8226="PADD IV","PADD 4",IF($M8226="PADD V","PADD 5","")))))</f>
        <v>PADD 5</v>
      </c>
      <c r="G8226" s="6">
        <f>IF(AND($H8226="ATMOS DISTILLATION",ISNUMBER(SEARCH("VPS",$I8226))=FALSE,LEFT($I8226,6)&lt;&gt;"VACUUM"),"CDU",IF($H8226="FLUID CAT CRACKING","FCC",IF(OR($H8226="HYDROCRACKING",$H8226="RESID_HYDROCRACKING"),"Hydrocracker",IF($H8226="REFORMING","Reformer",""))))</f>
        <v/>
      </c>
      <c r="H8226" s="6" t="s">
        <v>43</v>
      </c>
      <c r="I8226" s="6" t="s">
        <v>501</v>
      </c>
      <c r="J8226" s="6" t="s">
        <v>349</v>
      </c>
      <c r="K8226" s="10">
        <v>15.4</v>
      </c>
      <c r="L8226" s="10">
        <v>28</v>
      </c>
      <c r="M8226" s="6" t="s">
        <v>386</v>
      </c>
    </row>
    <row r="8227" spans="1:13">
      <c r="A8227" s="6">
        <v>2027</v>
      </c>
      <c r="B8227" s="6">
        <v>1</v>
      </c>
      <c r="C8227" s="6" t="s">
        <v>59</v>
      </c>
      <c r="D8227" s="6" t="s">
        <v>326</v>
      </c>
      <c r="E8227" s="6" t="s">
        <v>385</v>
      </c>
      <c r="F8227" s="6" t="str">
        <f>IF($M8227="PADD I","PADD 1",IF($M8227="PADD II","PADD 2",IF($M8227="PADD III","PADD 3",IF($M8227="PADD IV","PADD 4",IF($M8227="PADD V","PADD 5","")))))</f>
        <v>PADD 5</v>
      </c>
      <c r="G8227" s="6">
        <f>IF(AND($H8227="ATMOS DISTILLATION",ISNUMBER(SEARCH("VPS",$I8227))=FALSE,LEFT($I8227,6)&lt;&gt;"VACUUM"),"CDU",IF($H8227="FLUID CAT CRACKING","FCC",IF(OR($H8227="HYDROCRACKING",$H8227="RESID_HYDROCRACKING"),"Hydrocracker",IF($H8227="REFORMING","Reformer",""))))</f>
        <v/>
      </c>
      <c r="H8227" s="6" t="s">
        <v>43</v>
      </c>
      <c r="I8227" s="6" t="s">
        <v>1183</v>
      </c>
      <c r="J8227" s="6" t="s">
        <v>349</v>
      </c>
      <c r="K8227" s="10">
        <v>14.3</v>
      </c>
      <c r="L8227" s="10">
        <v>26</v>
      </c>
      <c r="M8227" s="6" t="s">
        <v>386</v>
      </c>
    </row>
    <row r="8228" spans="1:13">
      <c r="A8228" s="6">
        <v>2027</v>
      </c>
      <c r="B8228" s="6">
        <v>1</v>
      </c>
      <c r="C8228" s="6" t="s">
        <v>59</v>
      </c>
      <c r="D8228" s="6" t="s">
        <v>526</v>
      </c>
      <c r="E8228" s="6" t="s">
        <v>405</v>
      </c>
      <c r="F8228" s="6" t="str">
        <f>IF($M8228="PADD I","PADD 1",IF($M8228="PADD II","PADD 2",IF($M8228="PADD III","PADD 3",IF($M8228="PADD IV","PADD 4",IF($M8228="PADD V","PADD 5","")))))</f>
        <v>PADD 3</v>
      </c>
      <c r="G8228" s="6">
        <f>IF(AND($H8228="ATMOS DISTILLATION",ISNUMBER(SEARCH("VPS",$I8228))=FALSE,LEFT($I8228,6)&lt;&gt;"VACUUM"),"CDU",IF($H8228="FLUID CAT CRACKING","FCC",IF(OR($H8228="HYDROCRACKING",$H8228="RESID_HYDROCRACKING"),"Hydrocracker",IF($H8228="REFORMING","Reformer",""))))</f>
        <v/>
      </c>
      <c r="H8228" s="6" t="s">
        <v>460</v>
      </c>
      <c r="I8228" s="6" t="s">
        <v>1366</v>
      </c>
      <c r="J8228" s="6" t="s">
        <v>349</v>
      </c>
      <c r="K8228" s="10">
        <v>13.013</v>
      </c>
      <c r="L8228" s="10">
        <v>16.9</v>
      </c>
      <c r="M8228" s="6" t="s">
        <v>371</v>
      </c>
    </row>
    <row r="8229" spans="1:13">
      <c r="A8229" s="6">
        <v>2027</v>
      </c>
      <c r="B8229" s="6">
        <v>1</v>
      </c>
      <c r="C8229" s="6" t="s">
        <v>59</v>
      </c>
      <c r="D8229" s="6" t="s">
        <v>333</v>
      </c>
      <c r="E8229" s="6" t="s">
        <v>381</v>
      </c>
      <c r="F8229" s="6" t="str">
        <f>IF($M8229="PADD I","PADD 1",IF($M8229="PADD II","PADD 2",IF($M8229="PADD III","PADD 3",IF($M8229="PADD IV","PADD 4",IF($M8229="PADD V","PADD 5","")))))</f>
        <v>PADD 3</v>
      </c>
      <c r="G8229" s="6">
        <f>IF(AND($H8229="ATMOS DISTILLATION",ISNUMBER(SEARCH("VPS",$I8229))=FALSE,LEFT($I8229,6)&lt;&gt;"VACUUM"),"CDU",IF($H8229="FLUID CAT CRACKING","FCC",IF(OR($H8229="HYDROCRACKING",$H8229="RESID_HYDROCRACKING"),"Hydrocracker",IF($H8229="REFORMING","Reformer",""))))</f>
        <v/>
      </c>
      <c r="H8229" s="6" t="s">
        <v>460</v>
      </c>
      <c r="I8229" s="6" t="s">
        <v>541</v>
      </c>
      <c r="J8229" s="6" t="s">
        <v>349</v>
      </c>
      <c r="K8229" s="10">
        <v>12.96</v>
      </c>
      <c r="L8229" s="10">
        <v>16</v>
      </c>
      <c r="M8229" s="6" t="s">
        <v>371</v>
      </c>
    </row>
    <row r="8230" spans="1:13">
      <c r="A8230" s="6">
        <v>2027</v>
      </c>
      <c r="B8230" s="6">
        <v>1</v>
      </c>
      <c r="C8230" s="6" t="s">
        <v>59</v>
      </c>
      <c r="D8230" s="6" t="s">
        <v>887</v>
      </c>
      <c r="E8230" s="6" t="s">
        <v>405</v>
      </c>
      <c r="F8230" s="6" t="str">
        <f>IF($M8230="PADD I","PADD 1",IF($M8230="PADD II","PADD 2",IF($M8230="PADD III","PADD 3",IF($M8230="PADD IV","PADD 4",IF($M8230="PADD V","PADD 5","")))))</f>
        <v>PADD 3</v>
      </c>
      <c r="G8230" s="6">
        <f>IF(AND($H8230="ATMOS DISTILLATION",ISNUMBER(SEARCH("VPS",$I8230))=FALSE,LEFT($I8230,6)&lt;&gt;"VACUUM"),"CDU",IF($H8230="FLUID CAT CRACKING","FCC",IF(OR($H8230="HYDROCRACKING",$H8230="RESID_HYDROCRACKING"),"Hydrocracker",IF($H8230="REFORMING","Reformer",""))))</f>
        <v/>
      </c>
      <c r="H8230" s="6" t="s">
        <v>43</v>
      </c>
      <c r="I8230" s="6" t="s">
        <v>1277</v>
      </c>
      <c r="J8230" s="6" t="s">
        <v>349</v>
      </c>
      <c r="K8230" s="10">
        <v>11.6</v>
      </c>
      <c r="L8230" s="10">
        <v>20</v>
      </c>
      <c r="M8230" s="6" t="s">
        <v>371</v>
      </c>
    </row>
    <row r="8231" spans="1:13">
      <c r="A8231" s="6">
        <v>2027</v>
      </c>
      <c r="B8231" s="6">
        <v>1</v>
      </c>
      <c r="C8231" s="6" t="s">
        <v>59</v>
      </c>
      <c r="D8231" s="6" t="s">
        <v>887</v>
      </c>
      <c r="E8231" s="6" t="s">
        <v>405</v>
      </c>
      <c r="F8231" s="6" t="str">
        <f>IF($M8231="PADD I","PADD 1",IF($M8231="PADD II","PADD 2",IF($M8231="PADD III","PADD 3",IF($M8231="PADD IV","PADD 4",IF($M8231="PADD V","PADD 5","")))))</f>
        <v>PADD 3</v>
      </c>
      <c r="G8231" s="6">
        <f>IF(AND($H8231="ATMOS DISTILLATION",ISNUMBER(SEARCH("VPS",$I8231))=FALSE,LEFT($I8231,6)&lt;&gt;"VACUUM"),"CDU",IF($H8231="FLUID CAT CRACKING","FCC",IF(OR($H8231="HYDROCRACKING",$H8231="RESID_HYDROCRACKING"),"Hydrocracker",IF($H8231="REFORMING","Reformer",""))))</f>
        <v/>
      </c>
      <c r="H8231" s="6" t="s">
        <v>43</v>
      </c>
      <c r="I8231" s="6" t="s">
        <v>647</v>
      </c>
      <c r="J8231" s="6" t="s">
        <v>349</v>
      </c>
      <c r="K8231" s="10">
        <v>11.6</v>
      </c>
      <c r="L8231" s="10">
        <v>20</v>
      </c>
      <c r="M8231" s="6" t="s">
        <v>371</v>
      </c>
    </row>
    <row r="8232" spans="1:13">
      <c r="A8232" s="6">
        <v>2027</v>
      </c>
      <c r="B8232" s="6">
        <v>1</v>
      </c>
      <c r="C8232" s="6" t="s">
        <v>59</v>
      </c>
      <c r="D8232" s="6" t="s">
        <v>326</v>
      </c>
      <c r="E8232" s="6" t="s">
        <v>385</v>
      </c>
      <c r="F8232" s="6" t="str">
        <f>IF($M8232="PADD I","PADD 1",IF($M8232="PADD II","PADD 2",IF($M8232="PADD III","PADD 3",IF($M8232="PADD IV","PADD 4",IF($M8232="PADD V","PADD 5","")))))</f>
        <v>PADD 5</v>
      </c>
      <c r="G8232" s="6">
        <f>IF(AND($H8232="ATMOS DISTILLATION",ISNUMBER(SEARCH("VPS",$I8232))=FALSE,LEFT($I8232,6)&lt;&gt;"VACUUM"),"CDU",IF($H8232="FLUID CAT CRACKING","FCC",IF(OR($H8232="HYDROCRACKING",$H8232="RESID_HYDROCRACKING"),"Hydrocracker",IF($H8232="REFORMING","Reformer",""))))</f>
        <v/>
      </c>
      <c r="H8232" s="6" t="s">
        <v>435</v>
      </c>
      <c r="I8232" s="6" t="s">
        <v>813</v>
      </c>
      <c r="J8232" s="6" t="s">
        <v>349</v>
      </c>
      <c r="K8232" s="10">
        <v>11.495</v>
      </c>
      <c r="L8232" s="10">
        <v>20.9</v>
      </c>
      <c r="M8232" s="6" t="s">
        <v>386</v>
      </c>
    </row>
    <row r="8233" spans="1:13">
      <c r="A8233" s="6">
        <v>2027</v>
      </c>
      <c r="B8233" s="6">
        <v>1</v>
      </c>
      <c r="C8233" s="6" t="s">
        <v>59</v>
      </c>
      <c r="D8233" s="6" t="s">
        <v>457</v>
      </c>
      <c r="E8233" s="6" t="s">
        <v>388</v>
      </c>
      <c r="F8233" s="6" t="str">
        <f>IF($M8233="PADD I","PADD 1",IF($M8233="PADD II","PADD 2",IF($M8233="PADD III","PADD 3",IF($M8233="PADD IV","PADD 4",IF($M8233="PADD V","PADD 5","")))))</f>
        <v>PADD 5</v>
      </c>
      <c r="G8233" s="6">
        <f>IF(AND($H8233="ATMOS DISTILLATION",ISNUMBER(SEARCH("VPS",$I8233))=FALSE,LEFT($I8233,6)&lt;&gt;"VACUUM"),"CDU",IF($H8233="FLUID CAT CRACKING","FCC",IF(OR($H8233="HYDROCRACKING",$H8233="RESID_HYDROCRACKING"),"Hydrocracker",IF($H8233="REFORMING","Reformer",""))))</f>
        <v/>
      </c>
      <c r="H8233" s="6" t="s">
        <v>43</v>
      </c>
      <c r="I8233" s="6" t="s">
        <v>1385</v>
      </c>
      <c r="J8233" s="6" t="s">
        <v>349</v>
      </c>
      <c r="K8233" s="10">
        <v>11.36</v>
      </c>
      <c r="L8233" s="10">
        <v>16</v>
      </c>
      <c r="M8233" s="6" t="s">
        <v>386</v>
      </c>
    </row>
    <row r="8234" spans="1:13">
      <c r="A8234" s="6">
        <v>2027</v>
      </c>
      <c r="B8234" s="6">
        <v>1</v>
      </c>
      <c r="C8234" s="6" t="s">
        <v>59</v>
      </c>
      <c r="D8234" s="6" t="s">
        <v>887</v>
      </c>
      <c r="E8234" s="6" t="s">
        <v>405</v>
      </c>
      <c r="F8234" s="6" t="str">
        <f>IF($M8234="PADD I","PADD 1",IF($M8234="PADD II","PADD 2",IF($M8234="PADD III","PADD 3",IF($M8234="PADD IV","PADD 4",IF($M8234="PADD V","PADD 5","")))))</f>
        <v>PADD 3</v>
      </c>
      <c r="G8234" s="6">
        <f>IF(AND($H8234="ATMOS DISTILLATION",ISNUMBER(SEARCH("VPS",$I8234))=FALSE,LEFT($I8234,6)&lt;&gt;"VACUUM"),"CDU",IF($H8234="FLUID CAT CRACKING","FCC",IF(OR($H8234="HYDROCRACKING",$H8234="RESID_HYDROCRACKING"),"Hydrocracker",IF($H8234="REFORMING","Reformer",""))))</f>
        <v/>
      </c>
      <c r="H8234" s="6" t="s">
        <v>637</v>
      </c>
      <c r="I8234" s="6" t="s">
        <v>1278</v>
      </c>
      <c r="J8234" s="6" t="s">
        <v>349</v>
      </c>
      <c r="K8234" s="10">
        <v>8.699999999999999</v>
      </c>
      <c r="L8234" s="10">
        <v>15</v>
      </c>
      <c r="M8234" s="6" t="s">
        <v>371</v>
      </c>
    </row>
    <row r="8235" spans="1:13">
      <c r="A8235" s="6">
        <v>2027</v>
      </c>
      <c r="B8235" s="6">
        <v>1</v>
      </c>
      <c r="C8235" s="6" t="s">
        <v>59</v>
      </c>
      <c r="D8235" s="6" t="s">
        <v>457</v>
      </c>
      <c r="E8235" s="6" t="s">
        <v>388</v>
      </c>
      <c r="F8235" s="6" t="str">
        <f>IF($M8235="PADD I","PADD 1",IF($M8235="PADD II","PADD 2",IF($M8235="PADD III","PADD 3",IF($M8235="PADD IV","PADD 4",IF($M8235="PADD V","PADD 5","")))))</f>
        <v>PADD 5</v>
      </c>
      <c r="G8235" s="6" t="str">
        <f>IF(AND($H8235="ATMOS DISTILLATION",ISNUMBER(SEARCH("VPS",$I8235))=FALSE,LEFT($I8235,6)&lt;&gt;"VACUUM"),"CDU",IF($H8235="FLUID CAT CRACKING","FCC",IF(OR($H8235="HYDROCRACKING",$H8235="RESID_HYDROCRACKING"),"Hydrocracker",IF($H8235="REFORMING","Reformer",""))))</f>
        <v>Reformer</v>
      </c>
      <c r="H8235" s="6" t="s">
        <v>421</v>
      </c>
      <c r="I8235" s="6" t="s">
        <v>1103</v>
      </c>
      <c r="J8235" s="6" t="s">
        <v>349</v>
      </c>
      <c r="K8235" s="10">
        <v>7.1</v>
      </c>
      <c r="L8235" s="10">
        <v>10</v>
      </c>
      <c r="M8235" s="6" t="s">
        <v>386</v>
      </c>
    </row>
    <row r="8236" spans="1:13">
      <c r="A8236" s="6">
        <v>2027</v>
      </c>
      <c r="B8236" s="6">
        <v>1</v>
      </c>
      <c r="C8236" s="6" t="s">
        <v>59</v>
      </c>
      <c r="D8236" s="6" t="s">
        <v>326</v>
      </c>
      <c r="E8236" s="6" t="s">
        <v>385</v>
      </c>
      <c r="F8236" s="6" t="str">
        <f>IF($M8236="PADD I","PADD 1",IF($M8236="PADD II","PADD 2",IF($M8236="PADD III","PADD 3",IF($M8236="PADD IV","PADD 4",IF($M8236="PADD V","PADD 5","")))))</f>
        <v>PADD 5</v>
      </c>
      <c r="G8236" s="6">
        <f>IF(AND($H8236="ATMOS DISTILLATION",ISNUMBER(SEARCH("VPS",$I8236))=FALSE,LEFT($I8236,6)&lt;&gt;"VACUUM"),"CDU",IF($H8236="FLUID CAT CRACKING","FCC",IF(OR($H8236="HYDROCRACKING",$H8236="RESID_HYDROCRACKING"),"Hydrocracker",IF($H8236="REFORMING","Reformer",""))))</f>
        <v/>
      </c>
      <c r="H8236" s="6" t="s">
        <v>460</v>
      </c>
      <c r="I8236" s="6" t="s">
        <v>1288</v>
      </c>
      <c r="J8236" s="6" t="s">
        <v>349</v>
      </c>
      <c r="K8236" s="10">
        <v>6.6</v>
      </c>
      <c r="L8236" s="10">
        <v>12</v>
      </c>
      <c r="M8236" s="6" t="s">
        <v>386</v>
      </c>
    </row>
    <row r="8237" spans="1:13">
      <c r="A8237" s="6">
        <v>2027</v>
      </c>
      <c r="B8237" s="6">
        <v>1</v>
      </c>
      <c r="C8237" s="6" t="s">
        <v>59</v>
      </c>
      <c r="D8237" s="6" t="s">
        <v>887</v>
      </c>
      <c r="E8237" s="6" t="s">
        <v>405</v>
      </c>
      <c r="F8237" s="6" t="str">
        <f>IF($M8237="PADD I","PADD 1",IF($M8237="PADD II","PADD 2",IF($M8237="PADD III","PADD 3",IF($M8237="PADD IV","PADD 4",IF($M8237="PADD V","PADD 5","")))))</f>
        <v>PADD 3</v>
      </c>
      <c r="G8237" s="6">
        <f>IF(AND($H8237="ATMOS DISTILLATION",ISNUMBER(SEARCH("VPS",$I8237))=FALSE,LEFT($I8237,6)&lt;&gt;"VACUUM"),"CDU",IF($H8237="FLUID CAT CRACKING","FCC",IF(OR($H8237="HYDROCRACKING",$H8237="RESID_HYDROCRACKING"),"Hydrocracker",IF($H8237="REFORMING","Reformer",""))))</f>
        <v/>
      </c>
      <c r="H8237" s="6" t="s">
        <v>43</v>
      </c>
      <c r="I8237" s="6" t="s">
        <v>1280</v>
      </c>
      <c r="J8237" s="6" t="s">
        <v>349</v>
      </c>
      <c r="K8237" s="10">
        <v>5.8</v>
      </c>
      <c r="L8237" s="10">
        <v>10</v>
      </c>
      <c r="M8237" s="6" t="s">
        <v>371</v>
      </c>
    </row>
    <row r="8238" spans="1:13">
      <c r="A8238" s="6">
        <v>2027</v>
      </c>
      <c r="B8238" s="6">
        <v>1</v>
      </c>
      <c r="C8238" s="6" t="s">
        <v>59</v>
      </c>
      <c r="D8238" s="6" t="s">
        <v>887</v>
      </c>
      <c r="E8238" s="6" t="s">
        <v>405</v>
      </c>
      <c r="F8238" s="6" t="str">
        <f>IF($M8238="PADD I","PADD 1",IF($M8238="PADD II","PADD 2",IF($M8238="PADD III","PADD 3",IF($M8238="PADD IV","PADD 4",IF($M8238="PADD V","PADD 5","")))))</f>
        <v>PADD 3</v>
      </c>
      <c r="G8238" s="6" t="str">
        <f>IF(AND($H8238="ATMOS DISTILLATION",ISNUMBER(SEARCH("VPS",$I8238))=FALSE,LEFT($I8238,6)&lt;&gt;"VACUUM"),"CDU",IF($H8238="FLUID CAT CRACKING","FCC",IF(OR($H8238="HYDROCRACKING",$H8238="RESID_HYDROCRACKING"),"Hydrocracker",IF($H8238="REFORMING","Reformer",""))))</f>
        <v>Reformer</v>
      </c>
      <c r="H8238" s="6" t="s">
        <v>421</v>
      </c>
      <c r="I8238" s="6" t="s">
        <v>559</v>
      </c>
      <c r="J8238" s="6" t="s">
        <v>349</v>
      </c>
      <c r="K8238" s="10">
        <v>5.8</v>
      </c>
      <c r="L8238" s="10">
        <v>10</v>
      </c>
      <c r="M8238" s="6" t="s">
        <v>371</v>
      </c>
    </row>
    <row r="8239" spans="1:13">
      <c r="A8239" s="6">
        <v>2027</v>
      </c>
      <c r="B8239" s="6">
        <v>1</v>
      </c>
      <c r="C8239" s="6" t="s">
        <v>59</v>
      </c>
      <c r="D8239" s="6" t="s">
        <v>390</v>
      </c>
      <c r="E8239" s="6" t="s">
        <v>391</v>
      </c>
      <c r="F8239" s="6" t="str">
        <f>IF($M8239="PADD I","PADD 1",IF($M8239="PADD II","PADD 2",IF($M8239="PADD III","PADD 3",IF($M8239="PADD IV","PADD 4",IF($M8239="PADD V","PADD 5","")))))</f>
        <v>PADD 3</v>
      </c>
      <c r="G8239" s="6" t="str">
        <f>IF(AND($H8239="ATMOS DISTILLATION",ISNUMBER(SEARCH("VPS",$I8239))=FALSE,LEFT($I8239,6)&lt;&gt;"VACUUM"),"CDU",IF($H8239="FLUID CAT CRACKING","FCC",IF(OR($H8239="HYDROCRACKING",$H8239="RESID_HYDROCRACKING"),"Hydrocracker",IF($H8239="REFORMING","Reformer",""))))</f>
        <v>Hydrocracker</v>
      </c>
      <c r="H8239" s="6" t="s">
        <v>444</v>
      </c>
      <c r="I8239" s="6" t="s">
        <v>1263</v>
      </c>
      <c r="J8239" s="6" t="s">
        <v>349</v>
      </c>
      <c r="K8239" s="10">
        <v>5.44</v>
      </c>
      <c r="L8239" s="10">
        <v>34</v>
      </c>
      <c r="M8239" s="6" t="s">
        <v>371</v>
      </c>
    </row>
    <row r="8240" spans="1:13">
      <c r="A8240" s="6">
        <v>2027</v>
      </c>
      <c r="B8240" s="6">
        <v>1</v>
      </c>
      <c r="C8240" s="6" t="s">
        <v>59</v>
      </c>
      <c r="D8240" s="6" t="s">
        <v>390</v>
      </c>
      <c r="E8240" s="6" t="s">
        <v>391</v>
      </c>
      <c r="F8240" s="6" t="str">
        <f>IF($M8240="PADD I","PADD 1",IF($M8240="PADD II","PADD 2",IF($M8240="PADD III","PADD 3",IF($M8240="PADD IV","PADD 4",IF($M8240="PADD V","PADD 5","")))))</f>
        <v>PADD 3</v>
      </c>
      <c r="G8240" s="6" t="str">
        <f>IF(AND($H8240="ATMOS DISTILLATION",ISNUMBER(SEARCH("VPS",$I8240))=FALSE,LEFT($I8240,6)&lt;&gt;"VACUUM"),"CDU",IF($H8240="FLUID CAT CRACKING","FCC",IF(OR($H8240="HYDROCRACKING",$H8240="RESID_HYDROCRACKING"),"Hydrocracker",IF($H8240="REFORMING","Reformer",""))))</f>
        <v>Hydrocracker</v>
      </c>
      <c r="H8240" s="6" t="s">
        <v>444</v>
      </c>
      <c r="I8240" s="6" t="s">
        <v>1299</v>
      </c>
      <c r="J8240" s="6" t="s">
        <v>349</v>
      </c>
      <c r="K8240" s="10">
        <v>3.84</v>
      </c>
      <c r="L8240" s="10">
        <v>24</v>
      </c>
      <c r="M8240" s="6" t="s">
        <v>371</v>
      </c>
    </row>
    <row r="8241" spans="1:13">
      <c r="A8241" s="6">
        <v>2027</v>
      </c>
      <c r="B8241" s="6">
        <v>1</v>
      </c>
      <c r="C8241" s="6" t="s">
        <v>59</v>
      </c>
      <c r="D8241" s="6" t="s">
        <v>333</v>
      </c>
      <c r="E8241" s="6" t="s">
        <v>381</v>
      </c>
      <c r="F8241" s="6" t="str">
        <f>IF($M8241="PADD I","PADD 1",IF($M8241="PADD II","PADD 2",IF($M8241="PADD III","PADD 3",IF($M8241="PADD IV","PADD 4",IF($M8241="PADD V","PADD 5","")))))</f>
        <v>PADD 3</v>
      </c>
      <c r="G8241" s="6">
        <f>IF(AND($H8241="ATMOS DISTILLATION",ISNUMBER(SEARCH("VPS",$I8241))=FALSE,LEFT($I8241,6)&lt;&gt;"VACUUM"),"CDU",IF($H8241="FLUID CAT CRACKING","FCC",IF(OR($H8241="HYDROCRACKING",$H8241="RESID_HYDROCRACKING"),"Hydrocracker",IF($H8241="REFORMING","Reformer",""))))</f>
        <v/>
      </c>
      <c r="H8241" s="6" t="s">
        <v>897</v>
      </c>
      <c r="I8241" s="6" t="s">
        <v>1260</v>
      </c>
      <c r="J8241" s="6" t="s">
        <v>349</v>
      </c>
      <c r="K8241" s="10">
        <v>3.645</v>
      </c>
      <c r="L8241" s="10">
        <v>4.5</v>
      </c>
      <c r="M8241" s="6" t="s">
        <v>371</v>
      </c>
    </row>
    <row r="8242" spans="1:13">
      <c r="A8242" s="6">
        <v>2027</v>
      </c>
      <c r="B8242" s="6">
        <v>1</v>
      </c>
      <c r="C8242" s="6" t="s">
        <v>59</v>
      </c>
      <c r="D8242" s="6" t="s">
        <v>742</v>
      </c>
      <c r="E8242" s="6" t="s">
        <v>388</v>
      </c>
      <c r="F8242" s="6" t="str">
        <f>IF($M8242="PADD I","PADD 1",IF($M8242="PADD II","PADD 2",IF($M8242="PADD III","PADD 3",IF($M8242="PADD IV","PADD 4",IF($M8242="PADD V","PADD 5","")))))</f>
        <v>PADD 5</v>
      </c>
      <c r="G8242" s="6">
        <f>IF(AND($H8242="ATMOS DISTILLATION",ISNUMBER(SEARCH("VPS",$I8242))=FALSE,LEFT($I8242,6)&lt;&gt;"VACUUM"),"CDU",IF($H8242="FLUID CAT CRACKING","FCC",IF(OR($H8242="HYDROCRACKING",$H8242="RESID_HYDROCRACKING"),"Hydrocracker",IF($H8242="REFORMING","Reformer",""))))</f>
        <v/>
      </c>
      <c r="H8242" s="6" t="s">
        <v>568</v>
      </c>
      <c r="I8242" s="6" t="s">
        <v>768</v>
      </c>
      <c r="J8242" s="6" t="s">
        <v>349</v>
      </c>
      <c r="K8242" s="10">
        <v>3.5</v>
      </c>
      <c r="L8242" s="10">
        <v>3.5</v>
      </c>
      <c r="M8242" s="6" t="s">
        <v>386</v>
      </c>
    </row>
    <row r="8243" spans="1:13">
      <c r="A8243" s="6">
        <v>2027</v>
      </c>
      <c r="B8243" s="6">
        <v>1</v>
      </c>
      <c r="C8243" s="6" t="s">
        <v>59</v>
      </c>
      <c r="D8243" s="6" t="s">
        <v>887</v>
      </c>
      <c r="E8243" s="6" t="s">
        <v>405</v>
      </c>
      <c r="F8243" s="6" t="str">
        <f>IF($M8243="PADD I","PADD 1",IF($M8243="PADD II","PADD 2",IF($M8243="PADD III","PADD 3",IF($M8243="PADD IV","PADD 4",IF($M8243="PADD V","PADD 5","")))))</f>
        <v>PADD 3</v>
      </c>
      <c r="G8243" s="6" t="str">
        <f>IF(AND($H8243="ATMOS DISTILLATION",ISNUMBER(SEARCH("VPS",$I8243))=FALSE,LEFT($I8243,6)&lt;&gt;"VACUUM"),"CDU",IF($H8243="FLUID CAT CRACKING","FCC",IF(OR($H8243="HYDROCRACKING",$H8243="RESID_HYDROCRACKING"),"Hydrocracker",IF($H8243="REFORMING","Reformer",""))))</f>
        <v>CDU</v>
      </c>
      <c r="H8243" s="6" t="s">
        <v>38</v>
      </c>
      <c r="I8243" s="6" t="s">
        <v>1284</v>
      </c>
      <c r="J8243" s="6" t="s">
        <v>349</v>
      </c>
      <c r="K8243" s="10">
        <v>1.775</v>
      </c>
      <c r="L8243" s="10">
        <v>2.5</v>
      </c>
      <c r="M8243" s="6" t="s">
        <v>371</v>
      </c>
    </row>
    <row r="8244" spans="1:13">
      <c r="A8244" s="6">
        <v>2027</v>
      </c>
      <c r="B8244" s="6">
        <v>2</v>
      </c>
      <c r="C8244" s="6" t="s">
        <v>60</v>
      </c>
      <c r="D8244" s="6" t="s">
        <v>326</v>
      </c>
      <c r="E8244" s="6" t="s">
        <v>385</v>
      </c>
      <c r="F8244" s="6" t="str">
        <f>IF($M8244="PADD I","PADD 1",IF($M8244="PADD II","PADD 2",IF($M8244="PADD III","PADD 3",IF($M8244="PADD IV","PADD 4",IF($M8244="PADD V","PADD 5","")))))</f>
        <v>PADD 5</v>
      </c>
      <c r="G8244" s="6" t="str">
        <f>IF(AND($H8244="ATMOS DISTILLATION",ISNUMBER(SEARCH("VPS",$I8244))=FALSE,LEFT($I8244,6)&lt;&gt;"VACUUM"),"CDU",IF($H8244="FLUID CAT CRACKING","FCC",IF(OR($H8244="HYDROCRACKING",$H8244="RESID_HYDROCRACKING"),"Hydrocracker",IF($H8244="REFORMING","Reformer",""))))</f>
        <v>CDU</v>
      </c>
      <c r="H8244" s="6" t="s">
        <v>38</v>
      </c>
      <c r="I8244" s="6" t="s">
        <v>93</v>
      </c>
      <c r="J8244" s="6" t="s">
        <v>349</v>
      </c>
      <c r="K8244" s="10">
        <v>155</v>
      </c>
      <c r="L8244" s="10">
        <v>155</v>
      </c>
      <c r="M8244" s="6" t="s">
        <v>386</v>
      </c>
    </row>
    <row r="8245" spans="1:13">
      <c r="A8245" s="6">
        <v>2027</v>
      </c>
      <c r="B8245" s="6">
        <v>2</v>
      </c>
      <c r="C8245" s="6" t="s">
        <v>60</v>
      </c>
      <c r="D8245" s="6" t="s">
        <v>646</v>
      </c>
      <c r="E8245" s="6" t="s">
        <v>405</v>
      </c>
      <c r="F8245" s="6" t="str">
        <f>IF($M8245="PADD I","PADD 1",IF($M8245="PADD II","PADD 2",IF($M8245="PADD III","PADD 3",IF($M8245="PADD IV","PADD 4",IF($M8245="PADD V","PADD 5","")))))</f>
        <v>PADD 3</v>
      </c>
      <c r="G8245" s="6" t="str">
        <f>IF(AND($H8245="ATMOS DISTILLATION",ISNUMBER(SEARCH("VPS",$I8245))=FALSE,LEFT($I8245,6)&lt;&gt;"VACUUM"),"CDU",IF($H8245="FLUID CAT CRACKING","FCC",IF(OR($H8245="HYDROCRACKING",$H8245="RESID_HYDROCRACKING"),"Hydrocracker",IF($H8245="REFORMING","Reformer",""))))</f>
        <v>CDU</v>
      </c>
      <c r="H8245" s="6" t="s">
        <v>38</v>
      </c>
      <c r="I8245" s="6" t="s">
        <v>126</v>
      </c>
      <c r="J8245" s="6" t="s">
        <v>349</v>
      </c>
      <c r="K8245" s="10">
        <v>96</v>
      </c>
      <c r="L8245" s="10">
        <v>96</v>
      </c>
      <c r="M8245" s="6" t="s">
        <v>371</v>
      </c>
    </row>
    <row r="8246" spans="1:13">
      <c r="A8246" s="6">
        <v>2027</v>
      </c>
      <c r="B8246" s="6">
        <v>2</v>
      </c>
      <c r="C8246" s="6" t="s">
        <v>60</v>
      </c>
      <c r="D8246" s="6" t="s">
        <v>333</v>
      </c>
      <c r="E8246" s="6" t="s">
        <v>381</v>
      </c>
      <c r="F8246" s="6" t="str">
        <f>IF($M8246="PADD I","PADD 1",IF($M8246="PADD II","PADD 2",IF($M8246="PADD III","PADD 3",IF($M8246="PADD IV","PADD 4",IF($M8246="PADD V","PADD 5","")))))</f>
        <v>PADD 3</v>
      </c>
      <c r="G8246" s="6" t="str">
        <f>IF(AND($H8246="ATMOS DISTILLATION",ISNUMBER(SEARCH("VPS",$I8246))=FALSE,LEFT($I8246,6)&lt;&gt;"VACUUM"),"CDU",IF($H8246="FLUID CAT CRACKING","FCC",IF(OR($H8246="HYDROCRACKING",$H8246="RESID_HYDROCRACKING"),"Hydrocracker",IF($H8246="REFORMING","Reformer",""))))</f>
        <v>FCC</v>
      </c>
      <c r="H8246" s="6" t="s">
        <v>376</v>
      </c>
      <c r="I8246" s="6" t="s">
        <v>105</v>
      </c>
      <c r="J8246" s="6" t="s">
        <v>349</v>
      </c>
      <c r="K8246" s="10">
        <v>90</v>
      </c>
      <c r="L8246" s="10">
        <v>120</v>
      </c>
      <c r="M8246" s="6" t="s">
        <v>371</v>
      </c>
    </row>
    <row r="8247" spans="1:13">
      <c r="A8247" s="6">
        <v>2027</v>
      </c>
      <c r="B8247" s="6">
        <v>2</v>
      </c>
      <c r="C8247" s="6" t="s">
        <v>60</v>
      </c>
      <c r="D8247" s="6" t="s">
        <v>326</v>
      </c>
      <c r="E8247" s="6" t="s">
        <v>385</v>
      </c>
      <c r="F8247" s="6" t="str">
        <f>IF($M8247="PADD I","PADD 1",IF($M8247="PADD II","PADD 2",IF($M8247="PADD III","PADD 3",IF($M8247="PADD IV","PADD 4",IF($M8247="PADD V","PADD 5","")))))</f>
        <v>PADD 5</v>
      </c>
      <c r="G8247" s="6">
        <f>IF(AND($H8247="ATMOS DISTILLATION",ISNUMBER(SEARCH("VPS",$I8247))=FALSE,LEFT($I8247,6)&lt;&gt;"VACUUM"),"CDU",IF($H8247="FLUID CAT CRACKING","FCC",IF(OR($H8247="HYDROCRACKING",$H8247="RESID_HYDROCRACKING"),"Hydrocracker",IF($H8247="REFORMING","Reformer",""))))</f>
        <v/>
      </c>
      <c r="H8247" s="6" t="s">
        <v>378</v>
      </c>
      <c r="I8247" s="6" t="s">
        <v>431</v>
      </c>
      <c r="J8247" s="6" t="s">
        <v>349</v>
      </c>
      <c r="K8247" s="10">
        <v>90</v>
      </c>
      <c r="L8247" s="10">
        <v>90</v>
      </c>
      <c r="M8247" s="6" t="s">
        <v>386</v>
      </c>
    </row>
    <row r="8248" spans="1:13">
      <c r="A8248" s="6">
        <v>2027</v>
      </c>
      <c r="B8248" s="6">
        <v>2</v>
      </c>
      <c r="C8248" s="6" t="s">
        <v>60</v>
      </c>
      <c r="D8248" s="6" t="s">
        <v>335</v>
      </c>
      <c r="E8248" s="6" t="s">
        <v>369</v>
      </c>
      <c r="F8248" s="6" t="str">
        <f>IF($M8248="PADD I","PADD 1",IF($M8248="PADD II","PADD 2",IF($M8248="PADD III","PADD 3",IF($M8248="PADD IV","PADD 4",IF($M8248="PADD V","PADD 5","")))))</f>
        <v>PADD 3</v>
      </c>
      <c r="G8248" s="6" t="str">
        <f>IF(AND($H8248="ATMOS DISTILLATION",ISNUMBER(SEARCH("VPS",$I8248))=FALSE,LEFT($I8248,6)&lt;&gt;"VACUUM"),"CDU",IF($H8248="FLUID CAT CRACKING","FCC",IF(OR($H8248="HYDROCRACKING",$H8248="RESID_HYDROCRACKING"),"Hydrocracker",IF($H8248="REFORMING","Reformer",""))))</f>
        <v>FCC</v>
      </c>
      <c r="H8248" s="6" t="s">
        <v>376</v>
      </c>
      <c r="I8248" s="6" t="s">
        <v>141</v>
      </c>
      <c r="J8248" s="6" t="s">
        <v>349</v>
      </c>
      <c r="K8248" s="10">
        <v>78</v>
      </c>
      <c r="L8248" s="10">
        <v>78</v>
      </c>
      <c r="M8248" s="6" t="s">
        <v>371</v>
      </c>
    </row>
    <row r="8249" spans="1:13">
      <c r="A8249" s="6">
        <v>2027</v>
      </c>
      <c r="B8249" s="6">
        <v>2</v>
      </c>
      <c r="C8249" s="6" t="s">
        <v>60</v>
      </c>
      <c r="D8249" s="6" t="s">
        <v>887</v>
      </c>
      <c r="E8249" s="6" t="s">
        <v>405</v>
      </c>
      <c r="F8249" s="6" t="str">
        <f>IF($M8249="PADD I","PADD 1",IF($M8249="PADD II","PADD 2",IF($M8249="PADD III","PADD 3",IF($M8249="PADD IV","PADD 4",IF($M8249="PADD V","PADD 5","")))))</f>
        <v>PADD 3</v>
      </c>
      <c r="G8249" s="6" t="str">
        <f>IF(AND($H8249="ATMOS DISTILLATION",ISNUMBER(SEARCH("VPS",$I8249))=FALSE,LEFT($I8249,6)&lt;&gt;"VACUUM"),"CDU",IF($H8249="FLUID CAT CRACKING","FCC",IF(OR($H8249="HYDROCRACKING",$H8249="RESID_HYDROCRACKING"),"Hydrocracker",IF($H8249="REFORMING","Reformer",""))))</f>
        <v>CDU</v>
      </c>
      <c r="H8249" s="6" t="s">
        <v>38</v>
      </c>
      <c r="I8249" s="6" t="s">
        <v>131</v>
      </c>
      <c r="J8249" s="6" t="s">
        <v>349</v>
      </c>
      <c r="K8249" s="10">
        <v>77.90000000000001</v>
      </c>
      <c r="L8249" s="10">
        <v>95</v>
      </c>
      <c r="M8249" s="6" t="s">
        <v>371</v>
      </c>
    </row>
    <row r="8250" spans="1:13">
      <c r="A8250" s="6">
        <v>2027</v>
      </c>
      <c r="B8250" s="6">
        <v>2</v>
      </c>
      <c r="C8250" s="6" t="s">
        <v>60</v>
      </c>
      <c r="D8250" s="6" t="s">
        <v>612</v>
      </c>
      <c r="E8250" s="6" t="s">
        <v>416</v>
      </c>
      <c r="F8250" s="6" t="str">
        <f>IF($M8250="PADD I","PADD 1",IF($M8250="PADD II","PADD 2",IF($M8250="PADD III","PADD 3",IF($M8250="PADD IV","PADD 4",IF($M8250="PADD V","PADD 5","")))))</f>
        <v>PADD 3</v>
      </c>
      <c r="G8250" s="6">
        <f>IF(AND($H8250="ATMOS DISTILLATION",ISNUMBER(SEARCH("VPS",$I8250))=FALSE,LEFT($I8250,6)&lt;&gt;"VACUUM"),"CDU",IF($H8250="FLUID CAT CRACKING","FCC",IF(OR($H8250="HYDROCRACKING",$H8250="RESID_HYDROCRACKING"),"Hydrocracker",IF($H8250="REFORMING","Reformer",""))))</f>
        <v/>
      </c>
      <c r="H8250" s="6" t="s">
        <v>43</v>
      </c>
      <c r="I8250" s="6" t="s">
        <v>814</v>
      </c>
      <c r="J8250" s="6" t="s">
        <v>349</v>
      </c>
      <c r="K8250" s="10">
        <v>69</v>
      </c>
      <c r="L8250" s="10">
        <v>69</v>
      </c>
      <c r="M8250" s="6" t="s">
        <v>371</v>
      </c>
    </row>
    <row r="8251" spans="1:13">
      <c r="A8251" s="6">
        <v>2027</v>
      </c>
      <c r="B8251" s="6">
        <v>2</v>
      </c>
      <c r="C8251" s="6" t="s">
        <v>60</v>
      </c>
      <c r="D8251" s="6" t="s">
        <v>612</v>
      </c>
      <c r="E8251" s="6" t="s">
        <v>416</v>
      </c>
      <c r="F8251" s="6" t="str">
        <f>IF($M8251="PADD I","PADD 1",IF($M8251="PADD II","PADD 2",IF($M8251="PADD III","PADD 3",IF($M8251="PADD IV","PADD 4",IF($M8251="PADD V","PADD 5","")))))</f>
        <v>PADD 3</v>
      </c>
      <c r="G8251" s="6" t="str">
        <f>IF(AND($H8251="ATMOS DISTILLATION",ISNUMBER(SEARCH("VPS",$I8251))=FALSE,LEFT($I8251,6)&lt;&gt;"VACUUM"),"CDU",IF($H8251="FLUID CAT CRACKING","FCC",IF(OR($H8251="HYDROCRACKING",$H8251="RESID_HYDROCRACKING"),"Hydrocracker",IF($H8251="REFORMING","Reformer",""))))</f>
        <v>FCC</v>
      </c>
      <c r="H8251" s="6" t="s">
        <v>376</v>
      </c>
      <c r="I8251" s="6" t="s">
        <v>428</v>
      </c>
      <c r="J8251" s="6" t="s">
        <v>349</v>
      </c>
      <c r="K8251" s="10">
        <v>69</v>
      </c>
      <c r="L8251" s="10">
        <v>69</v>
      </c>
      <c r="M8251" s="6" t="s">
        <v>371</v>
      </c>
    </row>
    <row r="8252" spans="1:13">
      <c r="A8252" s="6">
        <v>2027</v>
      </c>
      <c r="B8252" s="6">
        <v>2</v>
      </c>
      <c r="C8252" s="6" t="s">
        <v>60</v>
      </c>
      <c r="D8252" s="6" t="s">
        <v>334</v>
      </c>
      <c r="E8252" s="6" t="s">
        <v>552</v>
      </c>
      <c r="F8252" s="6" t="str">
        <f>IF($M8252="PADD I","PADD 1",IF($M8252="PADD II","PADD 2",IF($M8252="PADD III","PADD 3",IF($M8252="PADD IV","PADD 4",IF($M8252="PADD V","PADD 5","")))))</f>
        <v>PADD 3</v>
      </c>
      <c r="G8252" s="6" t="str">
        <f>IF(AND($H8252="ATMOS DISTILLATION",ISNUMBER(SEARCH("VPS",$I8252))=FALSE,LEFT($I8252,6)&lt;&gt;"VACUUM"),"CDU",IF($H8252="FLUID CAT CRACKING","FCC",IF(OR($H8252="HYDROCRACKING",$H8252="RESID_HYDROCRACKING"),"Hydrocracker",IF($H8252="REFORMING","Reformer",""))))</f>
        <v>CDU</v>
      </c>
      <c r="H8252" s="6" t="s">
        <v>38</v>
      </c>
      <c r="I8252" s="6" t="s">
        <v>137</v>
      </c>
      <c r="J8252" s="6" t="s">
        <v>349</v>
      </c>
      <c r="K8252" s="10">
        <v>68.8</v>
      </c>
      <c r="L8252" s="10">
        <v>80</v>
      </c>
      <c r="M8252" s="6" t="s">
        <v>371</v>
      </c>
    </row>
    <row r="8253" spans="1:13">
      <c r="A8253" s="6">
        <v>2027</v>
      </c>
      <c r="B8253" s="6">
        <v>2</v>
      </c>
      <c r="C8253" s="6" t="s">
        <v>60</v>
      </c>
      <c r="D8253" s="6" t="s">
        <v>429</v>
      </c>
      <c r="E8253" s="6" t="s">
        <v>388</v>
      </c>
      <c r="F8253" s="6" t="str">
        <f>IF($M8253="PADD I","PADD 1",IF($M8253="PADD II","PADD 2",IF($M8253="PADD III","PADD 3",IF($M8253="PADD IV","PADD 4",IF($M8253="PADD V","PADD 5","")))))</f>
        <v>PADD 4</v>
      </c>
      <c r="G8253" s="6" t="str">
        <f>IF(AND($H8253="ATMOS DISTILLATION",ISNUMBER(SEARCH("VPS",$I8253))=FALSE,LEFT($I8253,6)&lt;&gt;"VACUUM"),"CDU",IF($H8253="FLUID CAT CRACKING","FCC",IF(OR($H8253="HYDROCRACKING",$H8253="RESID_HYDROCRACKING"),"Hydrocracker",IF($H8253="REFORMING","Reformer",""))))</f>
        <v>CDU</v>
      </c>
      <c r="H8253" s="6" t="s">
        <v>38</v>
      </c>
      <c r="I8253" s="6" t="s">
        <v>81</v>
      </c>
      <c r="J8253" s="6" t="s">
        <v>349</v>
      </c>
      <c r="K8253" s="10">
        <v>61.44</v>
      </c>
      <c r="L8253" s="10">
        <v>64</v>
      </c>
      <c r="M8253" s="6" t="s">
        <v>430</v>
      </c>
    </row>
    <row r="8254" spans="1:13">
      <c r="A8254" s="6">
        <v>2027</v>
      </c>
      <c r="B8254" s="6">
        <v>2</v>
      </c>
      <c r="C8254" s="6" t="s">
        <v>60</v>
      </c>
      <c r="D8254" s="6" t="s">
        <v>526</v>
      </c>
      <c r="E8254" s="6" t="s">
        <v>405</v>
      </c>
      <c r="F8254" s="6" t="str">
        <f>IF($M8254="PADD I","PADD 1",IF($M8254="PADD II","PADD 2",IF($M8254="PADD III","PADD 3",IF($M8254="PADD IV","PADD 4",IF($M8254="PADD V","PADD 5","")))))</f>
        <v>PADD 3</v>
      </c>
      <c r="G8254" s="6" t="str">
        <f>IF(AND($H8254="ATMOS DISTILLATION",ISNUMBER(SEARCH("VPS",$I8254))=FALSE,LEFT($I8254,6)&lt;&gt;"VACUUM"),"CDU",IF($H8254="FLUID CAT CRACKING","FCC",IF(OR($H8254="HYDROCRACKING",$H8254="RESID_HYDROCRACKING"),"Hydrocracker",IF($H8254="REFORMING","Reformer",""))))</f>
        <v>FCC</v>
      </c>
      <c r="H8254" s="6" t="s">
        <v>376</v>
      </c>
      <c r="I8254" s="6" t="s">
        <v>344</v>
      </c>
      <c r="J8254" s="6" t="s">
        <v>349</v>
      </c>
      <c r="K8254" s="10">
        <v>56.25</v>
      </c>
      <c r="L8254" s="10">
        <v>75</v>
      </c>
      <c r="M8254" s="6" t="s">
        <v>371</v>
      </c>
    </row>
    <row r="8255" spans="1:13">
      <c r="A8255" s="6">
        <v>2027</v>
      </c>
      <c r="B8255" s="6">
        <v>2</v>
      </c>
      <c r="C8255" s="6" t="s">
        <v>60</v>
      </c>
      <c r="D8255" s="6" t="s">
        <v>628</v>
      </c>
      <c r="E8255" s="6" t="s">
        <v>388</v>
      </c>
      <c r="F8255" s="6" t="str">
        <f>IF($M8255="PADD I","PADD 1",IF($M8255="PADD II","PADD 2",IF($M8255="PADD III","PADD 3",IF($M8255="PADD IV","PADD 4",IF($M8255="PADD V","PADD 5","")))))</f>
        <v>PADD 3</v>
      </c>
      <c r="G8255" s="6" t="str">
        <f>IF(AND($H8255="ATMOS DISTILLATION",ISNUMBER(SEARCH("VPS",$I8255))=FALSE,LEFT($I8255,6)&lt;&gt;"VACUUM"),"CDU",IF($H8255="FLUID CAT CRACKING","FCC",IF(OR($H8255="HYDROCRACKING",$H8255="RESID_HYDROCRACKING"),"Hydrocracker",IF($H8255="REFORMING","Reformer",""))))</f>
        <v>CDU</v>
      </c>
      <c r="H8255" s="6" t="s">
        <v>38</v>
      </c>
      <c r="I8255" s="6" t="s">
        <v>1048</v>
      </c>
      <c r="J8255" s="6" t="s">
        <v>349</v>
      </c>
      <c r="K8255" s="10">
        <v>50</v>
      </c>
      <c r="L8255" s="10">
        <v>50</v>
      </c>
      <c r="M8255" s="6" t="s">
        <v>371</v>
      </c>
    </row>
    <row r="8256" spans="1:13">
      <c r="A8256" s="6">
        <v>2027</v>
      </c>
      <c r="B8256" s="6">
        <v>2</v>
      </c>
      <c r="C8256" s="6" t="s">
        <v>60</v>
      </c>
      <c r="D8256" s="6" t="s">
        <v>451</v>
      </c>
      <c r="E8256" s="6" t="s">
        <v>452</v>
      </c>
      <c r="F8256" s="6" t="str">
        <f>IF($M8256="PADD I","PADD 1",IF($M8256="PADD II","PADD 2",IF($M8256="PADD III","PADD 3",IF($M8256="PADD IV","PADD 4",IF($M8256="PADD V","PADD 5","")))))</f>
        <v>PADD 2</v>
      </c>
      <c r="G8256" s="6">
        <f>IF(AND($H8256="ATMOS DISTILLATION",ISNUMBER(SEARCH("VPS",$I8256))=FALSE,LEFT($I8256,6)&lt;&gt;"VACUUM"),"CDU",IF($H8256="FLUID CAT CRACKING","FCC",IF(OR($H8256="HYDROCRACKING",$H8256="RESID_HYDROCRACKING"),"Hydrocracker",IF($H8256="REFORMING","Reformer",""))))</f>
        <v/>
      </c>
      <c r="H8256" s="6" t="s">
        <v>378</v>
      </c>
      <c r="I8256" s="6" t="s">
        <v>431</v>
      </c>
      <c r="J8256" s="6" t="s">
        <v>349</v>
      </c>
      <c r="K8256" s="10">
        <v>48.16</v>
      </c>
      <c r="L8256" s="10">
        <v>56</v>
      </c>
      <c r="M8256" s="6" t="s">
        <v>375</v>
      </c>
    </row>
    <row r="8257" spans="1:13">
      <c r="A8257" s="6">
        <v>2027</v>
      </c>
      <c r="B8257" s="6">
        <v>2</v>
      </c>
      <c r="C8257" s="6" t="s">
        <v>60</v>
      </c>
      <c r="D8257" s="6" t="s">
        <v>390</v>
      </c>
      <c r="E8257" s="6" t="s">
        <v>391</v>
      </c>
      <c r="F8257" s="6" t="str">
        <f>IF($M8257="PADD I","PADD 1",IF($M8257="PADD II","PADD 2",IF($M8257="PADD III","PADD 3",IF($M8257="PADD IV","PADD 4",IF($M8257="PADD V","PADD 5","")))))</f>
        <v>PADD 3</v>
      </c>
      <c r="G8257" s="6" t="str">
        <f>IF(AND($H8257="ATMOS DISTILLATION",ISNUMBER(SEARCH("VPS",$I8257))=FALSE,LEFT($I8257,6)&lt;&gt;"VACUUM"),"CDU",IF($H8257="FLUID CAT CRACKING","FCC",IF(OR($H8257="HYDROCRACKING",$H8257="RESID_HYDROCRACKING"),"Hydrocracker",IF($H8257="REFORMING","Reformer",""))))</f>
        <v>FCC</v>
      </c>
      <c r="H8257" s="6" t="s">
        <v>376</v>
      </c>
      <c r="I8257" s="6" t="s">
        <v>140</v>
      </c>
      <c r="J8257" s="6" t="s">
        <v>349</v>
      </c>
      <c r="K8257" s="10">
        <v>48.0375</v>
      </c>
      <c r="L8257" s="10">
        <v>78.75</v>
      </c>
      <c r="M8257" s="6" t="s">
        <v>371</v>
      </c>
    </row>
    <row r="8258" spans="1:13">
      <c r="A8258" s="6">
        <v>2027</v>
      </c>
      <c r="B8258" s="6">
        <v>2</v>
      </c>
      <c r="C8258" s="6" t="s">
        <v>60</v>
      </c>
      <c r="D8258" s="6" t="s">
        <v>333</v>
      </c>
      <c r="E8258" s="6" t="s">
        <v>381</v>
      </c>
      <c r="F8258" s="6" t="str">
        <f>IF($M8258="PADD I","PADD 1",IF($M8258="PADD II","PADD 2",IF($M8258="PADD III","PADD 3",IF($M8258="PADD IV","PADD 4",IF($M8258="PADD V","PADD 5","")))))</f>
        <v>PADD 3</v>
      </c>
      <c r="G8258" s="6" t="str">
        <f>IF(AND($H8258="ATMOS DISTILLATION",ISNUMBER(SEARCH("VPS",$I8258))=FALSE,LEFT($I8258,6)&lt;&gt;"VACUUM"),"CDU",IF($H8258="FLUID CAT CRACKING","FCC",IF(OR($H8258="HYDROCRACKING",$H8258="RESID_HYDROCRACKING"),"Hydrocracker",IF($H8258="REFORMING","Reformer",""))))</f>
        <v>Hydrocracker</v>
      </c>
      <c r="H8258" s="6" t="s">
        <v>444</v>
      </c>
      <c r="I8258" s="6" t="s">
        <v>14</v>
      </c>
      <c r="J8258" s="6" t="s">
        <v>349</v>
      </c>
      <c r="K8258" s="10">
        <v>44.2</v>
      </c>
      <c r="L8258" s="10">
        <v>65</v>
      </c>
      <c r="M8258" s="6" t="s">
        <v>371</v>
      </c>
    </row>
    <row r="8259" spans="1:13">
      <c r="A8259" s="6">
        <v>2027</v>
      </c>
      <c r="B8259" s="6">
        <v>2</v>
      </c>
      <c r="C8259" s="6" t="s">
        <v>60</v>
      </c>
      <c r="D8259" s="6" t="s">
        <v>511</v>
      </c>
      <c r="E8259" s="6" t="s">
        <v>405</v>
      </c>
      <c r="F8259" s="6" t="str">
        <f>IF($M8259="PADD I","PADD 1",IF($M8259="PADD II","PADD 2",IF($M8259="PADD III","PADD 3",IF($M8259="PADD IV","PADD 4",IF($M8259="PADD V","PADD 5","")))))</f>
        <v>PADD 3</v>
      </c>
      <c r="G8259" s="6" t="str">
        <f>IF(AND($H8259="ATMOS DISTILLATION",ISNUMBER(SEARCH("VPS",$I8259))=FALSE,LEFT($I8259,6)&lt;&gt;"VACUUM"),"CDU",IF($H8259="FLUID CAT CRACKING","FCC",IF(OR($H8259="HYDROCRACKING",$H8259="RESID_HYDROCRACKING"),"Hydrocracker",IF($H8259="REFORMING","Reformer",""))))</f>
        <v>Hydrocracker</v>
      </c>
      <c r="H8259" s="6" t="s">
        <v>444</v>
      </c>
      <c r="I8259" s="6" t="s">
        <v>14</v>
      </c>
      <c r="J8259" s="6" t="s">
        <v>349</v>
      </c>
      <c r="K8259" s="10">
        <v>43</v>
      </c>
      <c r="L8259" s="10">
        <v>50</v>
      </c>
      <c r="M8259" s="6" t="s">
        <v>371</v>
      </c>
    </row>
    <row r="8260" spans="1:13">
      <c r="A8260" s="6">
        <v>2027</v>
      </c>
      <c r="B8260" s="6">
        <v>2</v>
      </c>
      <c r="C8260" s="6" t="s">
        <v>60</v>
      </c>
      <c r="D8260" s="6" t="s">
        <v>326</v>
      </c>
      <c r="E8260" s="6" t="s">
        <v>385</v>
      </c>
      <c r="F8260" s="6" t="str">
        <f>IF($M8260="PADD I","PADD 1",IF($M8260="PADD II","PADD 2",IF($M8260="PADD III","PADD 3",IF($M8260="PADD IV","PADD 4",IF($M8260="PADD V","PADD 5","")))))</f>
        <v>PADD 5</v>
      </c>
      <c r="G8260" s="6" t="str">
        <f>IF(AND($H8260="ATMOS DISTILLATION",ISNUMBER(SEARCH("VPS",$I8260))=FALSE,LEFT($I8260,6)&lt;&gt;"VACUUM"),"CDU",IF($H8260="FLUID CAT CRACKING","FCC",IF(OR($H8260="HYDROCRACKING",$H8260="RESID_HYDROCRACKING"),"Hydrocracker",IF($H8260="REFORMING","Reformer",""))))</f>
        <v>Hydrocracker</v>
      </c>
      <c r="H8260" s="6" t="s">
        <v>444</v>
      </c>
      <c r="I8260" s="6" t="s">
        <v>498</v>
      </c>
      <c r="J8260" s="6" t="s">
        <v>349</v>
      </c>
      <c r="K8260" s="10">
        <v>42</v>
      </c>
      <c r="L8260" s="10">
        <v>42</v>
      </c>
      <c r="M8260" s="6" t="s">
        <v>386</v>
      </c>
    </row>
    <row r="8261" spans="1:13">
      <c r="A8261" s="6">
        <v>2027</v>
      </c>
      <c r="B8261" s="6">
        <v>2</v>
      </c>
      <c r="C8261" s="6" t="s">
        <v>60</v>
      </c>
      <c r="D8261" s="6" t="s">
        <v>51</v>
      </c>
      <c r="E8261" s="6" t="s">
        <v>391</v>
      </c>
      <c r="F8261" s="6" t="str">
        <f>IF($M8261="PADD I","PADD 1",IF($M8261="PADD II","PADD 2",IF($M8261="PADD III","PADD 3",IF($M8261="PADD IV","PADD 4",IF($M8261="PADD V","PADD 5","")))))</f>
        <v>PADD 5</v>
      </c>
      <c r="G8261" s="6" t="str">
        <f>IF(AND($H8261="ATMOS DISTILLATION",ISNUMBER(SEARCH("VPS",$I8261))=FALSE,LEFT($I8261,6)&lt;&gt;"VACUUM"),"CDU",IF($H8261="FLUID CAT CRACKING","FCC",IF(OR($H8261="HYDROCRACKING",$H8261="RESID_HYDROCRACKING"),"Hydrocracker",IF($H8261="REFORMING","Reformer",""))))</f>
        <v>CDU</v>
      </c>
      <c r="H8261" s="6" t="s">
        <v>38</v>
      </c>
      <c r="I8261" s="6" t="s">
        <v>135</v>
      </c>
      <c r="J8261" s="6" t="s">
        <v>349</v>
      </c>
      <c r="K8261" s="10">
        <v>35.1</v>
      </c>
      <c r="L8261" s="10">
        <v>90</v>
      </c>
      <c r="M8261" s="6" t="s">
        <v>386</v>
      </c>
    </row>
    <row r="8262" spans="1:13">
      <c r="A8262" s="6">
        <v>2027</v>
      </c>
      <c r="B8262" s="6">
        <v>2</v>
      </c>
      <c r="C8262" s="6" t="s">
        <v>60</v>
      </c>
      <c r="D8262" s="6" t="s">
        <v>628</v>
      </c>
      <c r="E8262" s="6" t="s">
        <v>388</v>
      </c>
      <c r="F8262" s="6" t="str">
        <f>IF($M8262="PADD I","PADD 1",IF($M8262="PADD II","PADD 2",IF($M8262="PADD III","PADD 3",IF($M8262="PADD IV","PADD 4",IF($M8262="PADD V","PADD 5","")))))</f>
        <v>PADD 3</v>
      </c>
      <c r="G8262" s="6" t="str">
        <f>IF(AND($H8262="ATMOS DISTILLATION",ISNUMBER(SEARCH("VPS",$I8262))=FALSE,LEFT($I8262,6)&lt;&gt;"VACUUM"),"CDU",IF($H8262="FLUID CAT CRACKING","FCC",IF(OR($H8262="HYDROCRACKING",$H8262="RESID_HYDROCRACKING"),"Hydrocracker",IF($H8262="REFORMING","Reformer",""))))</f>
        <v>CDU</v>
      </c>
      <c r="H8262" s="6" t="s">
        <v>38</v>
      </c>
      <c r="I8262" s="6" t="s">
        <v>1053</v>
      </c>
      <c r="J8262" s="6" t="s">
        <v>349</v>
      </c>
      <c r="K8262" s="10">
        <v>35</v>
      </c>
      <c r="L8262" s="10">
        <v>35</v>
      </c>
      <c r="M8262" s="6" t="s">
        <v>371</v>
      </c>
    </row>
    <row r="8263" spans="1:13">
      <c r="A8263" s="6">
        <v>2027</v>
      </c>
      <c r="B8263" s="6">
        <v>2</v>
      </c>
      <c r="C8263" s="6" t="s">
        <v>60</v>
      </c>
      <c r="D8263" s="6" t="s">
        <v>451</v>
      </c>
      <c r="E8263" s="6" t="s">
        <v>452</v>
      </c>
      <c r="F8263" s="6" t="str">
        <f>IF($M8263="PADD I","PADD 1",IF($M8263="PADD II","PADD 2",IF($M8263="PADD III","PADD 3",IF($M8263="PADD IV","PADD 4",IF($M8263="PADD V","PADD 5","")))))</f>
        <v>PADD 2</v>
      </c>
      <c r="G8263" s="6" t="str">
        <f>IF(AND($H8263="ATMOS DISTILLATION",ISNUMBER(SEARCH("VPS",$I8263))=FALSE,LEFT($I8263,6)&lt;&gt;"VACUUM"),"CDU",IF($H8263="FLUID CAT CRACKING","FCC",IF(OR($H8263="HYDROCRACKING",$H8263="RESID_HYDROCRACKING"),"Hydrocracker",IF($H8263="REFORMING","Reformer",""))))</f>
        <v>CDU</v>
      </c>
      <c r="H8263" s="6" t="s">
        <v>38</v>
      </c>
      <c r="I8263" s="6" t="s">
        <v>481</v>
      </c>
      <c r="J8263" s="6" t="s">
        <v>349</v>
      </c>
      <c r="K8263" s="10">
        <v>32.8</v>
      </c>
      <c r="L8263" s="10">
        <v>40</v>
      </c>
      <c r="M8263" s="6" t="s">
        <v>375</v>
      </c>
    </row>
    <row r="8264" spans="1:13">
      <c r="A8264" s="6">
        <v>2027</v>
      </c>
      <c r="B8264" s="6">
        <v>2</v>
      </c>
      <c r="C8264" s="6" t="s">
        <v>60</v>
      </c>
      <c r="D8264" s="6" t="s">
        <v>333</v>
      </c>
      <c r="E8264" s="6" t="s">
        <v>381</v>
      </c>
      <c r="F8264" s="6" t="str">
        <f>IF($M8264="PADD I","PADD 1",IF($M8264="PADD II","PADD 2",IF($M8264="PADD III","PADD 3",IF($M8264="PADD IV","PADD 4",IF($M8264="PADD V","PADD 5","")))))</f>
        <v>PADD 3</v>
      </c>
      <c r="G8264" s="6">
        <f>IF(AND($H8264="ATMOS DISTILLATION",ISNUMBER(SEARCH("VPS",$I8264))=FALSE,LEFT($I8264,6)&lt;&gt;"VACUUM"),"CDU",IF($H8264="FLUID CAT CRACKING","FCC",IF(OR($H8264="HYDROCRACKING",$H8264="RESID_HYDROCRACKING"),"Hydrocracker",IF($H8264="REFORMING","Reformer",""))))</f>
        <v/>
      </c>
      <c r="H8264" s="6" t="s">
        <v>43</v>
      </c>
      <c r="I8264" s="6" t="s">
        <v>464</v>
      </c>
      <c r="J8264" s="6" t="s">
        <v>349</v>
      </c>
      <c r="K8264" s="10">
        <v>31.6</v>
      </c>
      <c r="L8264" s="10">
        <v>40</v>
      </c>
      <c r="M8264" s="6" t="s">
        <v>371</v>
      </c>
    </row>
    <row r="8265" spans="1:13">
      <c r="A8265" s="6">
        <v>2027</v>
      </c>
      <c r="B8265" s="6">
        <v>2</v>
      </c>
      <c r="C8265" s="6" t="s">
        <v>60</v>
      </c>
      <c r="D8265" s="6" t="s">
        <v>50</v>
      </c>
      <c r="E8265" s="6" t="s">
        <v>381</v>
      </c>
      <c r="F8265" s="6" t="str">
        <f>IF($M8265="PADD I","PADD 1",IF($M8265="PADD II","PADD 2",IF($M8265="PADD III","PADD 3",IF($M8265="PADD IV","PADD 4",IF($M8265="PADD V","PADD 5","")))))</f>
        <v>PADD 3</v>
      </c>
      <c r="G8265" s="6" t="str">
        <f>IF(AND($H8265="ATMOS DISTILLATION",ISNUMBER(SEARCH("VPS",$I8265))=FALSE,LEFT($I8265,6)&lt;&gt;"VACUUM"),"CDU",IF($H8265="FLUID CAT CRACKING","FCC",IF(OR($H8265="HYDROCRACKING",$H8265="RESID_HYDROCRACKING"),"Hydrocracker",IF($H8265="REFORMING","Reformer",""))))</f>
        <v>FCC</v>
      </c>
      <c r="H8265" s="6" t="s">
        <v>376</v>
      </c>
      <c r="I8265" s="6" t="s">
        <v>102</v>
      </c>
      <c r="J8265" s="6" t="s">
        <v>349</v>
      </c>
      <c r="K8265" s="10">
        <v>31.25</v>
      </c>
      <c r="L8265" s="10">
        <v>125</v>
      </c>
      <c r="M8265" s="6" t="s">
        <v>371</v>
      </c>
    </row>
    <row r="8266" spans="1:13">
      <c r="A8266" s="6">
        <v>2027</v>
      </c>
      <c r="B8266" s="6">
        <v>2</v>
      </c>
      <c r="C8266" s="6" t="s">
        <v>60</v>
      </c>
      <c r="D8266" s="6" t="s">
        <v>326</v>
      </c>
      <c r="E8266" s="6" t="s">
        <v>385</v>
      </c>
      <c r="F8266" s="6" t="str">
        <f>IF($M8266="PADD I","PADD 1",IF($M8266="PADD II","PADD 2",IF($M8266="PADD III","PADD 3",IF($M8266="PADD IV","PADD 4",IF($M8266="PADD V","PADD 5","")))))</f>
        <v>PADD 5</v>
      </c>
      <c r="G8266" s="6" t="str">
        <f>IF(AND($H8266="ATMOS DISTILLATION",ISNUMBER(SEARCH("VPS",$I8266))=FALSE,LEFT($I8266,6)&lt;&gt;"VACUUM"),"CDU",IF($H8266="FLUID CAT CRACKING","FCC",IF(OR($H8266="HYDROCRACKING",$H8266="RESID_HYDROCRACKING"),"Hydrocracker",IF($H8266="REFORMING","Reformer",""))))</f>
        <v>Reformer</v>
      </c>
      <c r="H8266" s="6" t="s">
        <v>421</v>
      </c>
      <c r="I8266" s="6" t="s">
        <v>15</v>
      </c>
      <c r="J8266" s="6" t="s">
        <v>349</v>
      </c>
      <c r="K8266" s="10">
        <v>29.5</v>
      </c>
      <c r="L8266" s="10">
        <v>29.5</v>
      </c>
      <c r="M8266" s="6" t="s">
        <v>386</v>
      </c>
    </row>
    <row r="8267" spans="1:13">
      <c r="A8267" s="6">
        <v>2027</v>
      </c>
      <c r="B8267" s="6">
        <v>2</v>
      </c>
      <c r="C8267" s="6" t="s">
        <v>60</v>
      </c>
      <c r="D8267" s="6" t="s">
        <v>326</v>
      </c>
      <c r="E8267" s="6" t="s">
        <v>385</v>
      </c>
      <c r="F8267" s="6" t="str">
        <f>IF($M8267="PADD I","PADD 1",IF($M8267="PADD II","PADD 2",IF($M8267="PADD III","PADD 3",IF($M8267="PADD IV","PADD 4",IF($M8267="PADD V","PADD 5","")))))</f>
        <v>PADD 5</v>
      </c>
      <c r="G8267" s="6">
        <f>IF(AND($H8267="ATMOS DISTILLATION",ISNUMBER(SEARCH("VPS",$I8267))=FALSE,LEFT($I8267,6)&lt;&gt;"VACUUM"),"CDU",IF($H8267="FLUID CAT CRACKING","FCC",IF(OR($H8267="HYDROCRACKING",$H8267="RESID_HYDROCRACKING"),"Hydrocracker",IF($H8267="REFORMING","Reformer",""))))</f>
        <v/>
      </c>
      <c r="H8267" s="6" t="s">
        <v>43</v>
      </c>
      <c r="I8267" s="6" t="s">
        <v>501</v>
      </c>
      <c r="J8267" s="6" t="s">
        <v>349</v>
      </c>
      <c r="K8267" s="10">
        <v>28</v>
      </c>
      <c r="L8267" s="10">
        <v>28</v>
      </c>
      <c r="M8267" s="6" t="s">
        <v>386</v>
      </c>
    </row>
    <row r="8268" spans="1:13">
      <c r="A8268" s="6">
        <v>2027</v>
      </c>
      <c r="B8268" s="6">
        <v>2</v>
      </c>
      <c r="C8268" s="6" t="s">
        <v>60</v>
      </c>
      <c r="D8268" s="6" t="s">
        <v>390</v>
      </c>
      <c r="E8268" s="6" t="s">
        <v>391</v>
      </c>
      <c r="F8268" s="6" t="str">
        <f>IF($M8268="PADD I","PADD 1",IF($M8268="PADD II","PADD 2",IF($M8268="PADD III","PADD 3",IF($M8268="PADD IV","PADD 4",IF($M8268="PADD V","PADD 5","")))))</f>
        <v>PADD 3</v>
      </c>
      <c r="G8268" s="6">
        <f>IF(AND($H8268="ATMOS DISTILLATION",ISNUMBER(SEARCH("VPS",$I8268))=FALSE,LEFT($I8268,6)&lt;&gt;"VACUUM"),"CDU",IF($H8268="FLUID CAT CRACKING","FCC",IF(OR($H8268="HYDROCRACKING",$H8268="RESID_HYDROCRACKING"),"Hydrocracker",IF($H8268="REFORMING","Reformer",""))))</f>
        <v/>
      </c>
      <c r="H8268" s="6" t="s">
        <v>43</v>
      </c>
      <c r="I8268" s="6" t="s">
        <v>1386</v>
      </c>
      <c r="J8268" s="6" t="s">
        <v>349</v>
      </c>
      <c r="K8268" s="10">
        <v>27.45</v>
      </c>
      <c r="L8268" s="10">
        <v>45</v>
      </c>
      <c r="M8268" s="6" t="s">
        <v>371</v>
      </c>
    </row>
    <row r="8269" spans="1:13">
      <c r="A8269" s="6">
        <v>2027</v>
      </c>
      <c r="B8269" s="6">
        <v>2</v>
      </c>
      <c r="C8269" s="6" t="s">
        <v>60</v>
      </c>
      <c r="D8269" s="6" t="s">
        <v>390</v>
      </c>
      <c r="E8269" s="6" t="s">
        <v>391</v>
      </c>
      <c r="F8269" s="6" t="str">
        <f>IF($M8269="PADD I","PADD 1",IF($M8269="PADD II","PADD 2",IF($M8269="PADD III","PADD 3",IF($M8269="PADD IV","PADD 4",IF($M8269="PADD V","PADD 5","")))))</f>
        <v>PADD 3</v>
      </c>
      <c r="G8269" s="6">
        <f>IF(AND($H8269="ATMOS DISTILLATION",ISNUMBER(SEARCH("VPS",$I8269))=FALSE,LEFT($I8269,6)&lt;&gt;"VACUUM"),"CDU",IF($H8269="FLUID CAT CRACKING","FCC",IF(OR($H8269="HYDROCRACKING",$H8269="RESID_HYDROCRACKING"),"Hydrocracker",IF($H8269="REFORMING","Reformer",""))))</f>
        <v/>
      </c>
      <c r="H8269" s="6" t="s">
        <v>43</v>
      </c>
      <c r="I8269" s="6" t="s">
        <v>1084</v>
      </c>
      <c r="J8269" s="6" t="s">
        <v>349</v>
      </c>
      <c r="K8269" s="10">
        <v>27.45</v>
      </c>
      <c r="L8269" s="10">
        <v>45</v>
      </c>
      <c r="M8269" s="6" t="s">
        <v>371</v>
      </c>
    </row>
    <row r="8270" spans="1:13">
      <c r="A8270" s="6">
        <v>2027</v>
      </c>
      <c r="B8270" s="6">
        <v>2</v>
      </c>
      <c r="C8270" s="6" t="s">
        <v>60</v>
      </c>
      <c r="D8270" s="6" t="s">
        <v>390</v>
      </c>
      <c r="E8270" s="6" t="s">
        <v>391</v>
      </c>
      <c r="F8270" s="6" t="str">
        <f>IF($M8270="PADD I","PADD 1",IF($M8270="PADD II","PADD 2",IF($M8270="PADD III","PADD 3",IF($M8270="PADD IV","PADD 4",IF($M8270="PADD V","PADD 5","")))))</f>
        <v>PADD 3</v>
      </c>
      <c r="G8270" s="6">
        <f>IF(AND($H8270="ATMOS DISTILLATION",ISNUMBER(SEARCH("VPS",$I8270))=FALSE,LEFT($I8270,6)&lt;&gt;"VACUUM"),"CDU",IF($H8270="FLUID CAT CRACKING","FCC",IF(OR($H8270="HYDROCRACKING",$H8270="RESID_HYDROCRACKING"),"Hydrocracker",IF($H8270="REFORMING","Reformer",""))))</f>
        <v/>
      </c>
      <c r="H8270" s="6" t="s">
        <v>43</v>
      </c>
      <c r="I8270" s="6" t="s">
        <v>1227</v>
      </c>
      <c r="J8270" s="6" t="s">
        <v>349</v>
      </c>
      <c r="K8270" s="10">
        <v>27.45</v>
      </c>
      <c r="L8270" s="10">
        <v>45</v>
      </c>
      <c r="M8270" s="6" t="s">
        <v>371</v>
      </c>
    </row>
    <row r="8271" spans="1:13">
      <c r="A8271" s="6">
        <v>2027</v>
      </c>
      <c r="B8271" s="6">
        <v>2</v>
      </c>
      <c r="C8271" s="6" t="s">
        <v>60</v>
      </c>
      <c r="D8271" s="6" t="s">
        <v>51</v>
      </c>
      <c r="E8271" s="6" t="s">
        <v>391</v>
      </c>
      <c r="F8271" s="6" t="str">
        <f>IF($M8271="PADD I","PADD 1",IF($M8271="PADD II","PADD 2",IF($M8271="PADD III","PADD 3",IF($M8271="PADD IV","PADD 4",IF($M8271="PADD V","PADD 5","")))))</f>
        <v>PADD 5</v>
      </c>
      <c r="G8271" s="6">
        <f>IF(AND($H8271="ATMOS DISTILLATION",ISNUMBER(SEARCH("VPS",$I8271))=FALSE,LEFT($I8271,6)&lt;&gt;"VACUUM"),"CDU",IF($H8271="FLUID CAT CRACKING","FCC",IF(OR($H8271="HYDROCRACKING",$H8271="RESID_HYDROCRACKING"),"Hydrocracker",IF($H8271="REFORMING","Reformer",""))))</f>
        <v/>
      </c>
      <c r="H8271" s="6" t="s">
        <v>435</v>
      </c>
      <c r="I8271" s="6" t="s">
        <v>441</v>
      </c>
      <c r="J8271" s="6" t="s">
        <v>349</v>
      </c>
      <c r="K8271" s="10">
        <v>26.52</v>
      </c>
      <c r="L8271" s="10">
        <v>68</v>
      </c>
      <c r="M8271" s="6" t="s">
        <v>386</v>
      </c>
    </row>
    <row r="8272" spans="1:13">
      <c r="A8272" s="6">
        <v>2027</v>
      </c>
      <c r="B8272" s="6">
        <v>2</v>
      </c>
      <c r="C8272" s="6" t="s">
        <v>60</v>
      </c>
      <c r="D8272" s="6" t="s">
        <v>326</v>
      </c>
      <c r="E8272" s="6" t="s">
        <v>385</v>
      </c>
      <c r="F8272" s="6" t="str">
        <f>IF($M8272="PADD I","PADD 1",IF($M8272="PADD II","PADD 2",IF($M8272="PADD III","PADD 3",IF($M8272="PADD IV","PADD 4",IF($M8272="PADD V","PADD 5","")))))</f>
        <v>PADD 5</v>
      </c>
      <c r="G8272" s="6">
        <f>IF(AND($H8272="ATMOS DISTILLATION",ISNUMBER(SEARCH("VPS",$I8272))=FALSE,LEFT($I8272,6)&lt;&gt;"VACUUM"),"CDU",IF($H8272="FLUID CAT CRACKING","FCC",IF(OR($H8272="HYDROCRACKING",$H8272="RESID_HYDROCRACKING"),"Hydrocracker",IF($H8272="REFORMING","Reformer",""))))</f>
        <v/>
      </c>
      <c r="H8272" s="6" t="s">
        <v>43</v>
      </c>
      <c r="I8272" s="6" t="s">
        <v>1183</v>
      </c>
      <c r="J8272" s="6" t="s">
        <v>349</v>
      </c>
      <c r="K8272" s="10">
        <v>26</v>
      </c>
      <c r="L8272" s="10">
        <v>26</v>
      </c>
      <c r="M8272" s="6" t="s">
        <v>386</v>
      </c>
    </row>
    <row r="8273" spans="1:13">
      <c r="A8273" s="6">
        <v>2027</v>
      </c>
      <c r="B8273" s="6">
        <v>2</v>
      </c>
      <c r="C8273" s="6" t="s">
        <v>60</v>
      </c>
      <c r="D8273" s="6" t="s">
        <v>334</v>
      </c>
      <c r="E8273" s="6" t="s">
        <v>552</v>
      </c>
      <c r="F8273" s="6" t="str">
        <f>IF($M8273="PADD I","PADD 1",IF($M8273="PADD II","PADD 2",IF($M8273="PADD III","PADD 3",IF($M8273="PADD IV","PADD 4",IF($M8273="PADD V","PADD 5","")))))</f>
        <v>PADD 3</v>
      </c>
      <c r="G8273" s="6">
        <f>IF(AND($H8273="ATMOS DISTILLATION",ISNUMBER(SEARCH("VPS",$I8273))=FALSE,LEFT($I8273,6)&lt;&gt;"VACUUM"),"CDU",IF($H8273="FLUID CAT CRACKING","FCC",IF(OR($H8273="HYDROCRACKING",$H8273="RESID_HYDROCRACKING"),"Hydrocracker",IF($H8273="REFORMING","Reformer",""))))</f>
        <v/>
      </c>
      <c r="H8273" s="6" t="s">
        <v>43</v>
      </c>
      <c r="I8273" s="6" t="s">
        <v>594</v>
      </c>
      <c r="J8273" s="6" t="s">
        <v>349</v>
      </c>
      <c r="K8273" s="10">
        <v>25.8</v>
      </c>
      <c r="L8273" s="10">
        <v>30</v>
      </c>
      <c r="M8273" s="6" t="s">
        <v>371</v>
      </c>
    </row>
    <row r="8274" spans="1:13">
      <c r="A8274" s="6">
        <v>2027</v>
      </c>
      <c r="B8274" s="6">
        <v>2</v>
      </c>
      <c r="C8274" s="6" t="s">
        <v>60</v>
      </c>
      <c r="D8274" s="6" t="s">
        <v>429</v>
      </c>
      <c r="E8274" s="6" t="s">
        <v>388</v>
      </c>
      <c r="F8274" s="6" t="str">
        <f>IF($M8274="PADD I","PADD 1",IF($M8274="PADD II","PADD 2",IF($M8274="PADD III","PADD 3",IF($M8274="PADD IV","PADD 4",IF($M8274="PADD V","PADD 5","")))))</f>
        <v>PADD 4</v>
      </c>
      <c r="G8274" s="6" t="str">
        <f>IF(AND($H8274="ATMOS DISTILLATION",ISNUMBER(SEARCH("VPS",$I8274))=FALSE,LEFT($I8274,6)&lt;&gt;"VACUUM"),"CDU",IF($H8274="FLUID CAT CRACKING","FCC",IF(OR($H8274="HYDROCRACKING",$H8274="RESID_HYDROCRACKING"),"Hydrocracker",IF($H8274="REFORMING","Reformer",""))))</f>
        <v>FCC</v>
      </c>
      <c r="H8274" s="6" t="s">
        <v>376</v>
      </c>
      <c r="I8274" s="6" t="s">
        <v>105</v>
      </c>
      <c r="J8274" s="6" t="s">
        <v>349</v>
      </c>
      <c r="K8274" s="10">
        <v>25.344</v>
      </c>
      <c r="L8274" s="10">
        <v>26.4</v>
      </c>
      <c r="M8274" s="6" t="s">
        <v>430</v>
      </c>
    </row>
    <row r="8275" spans="1:13">
      <c r="A8275" s="6">
        <v>2027</v>
      </c>
      <c r="B8275" s="6">
        <v>2</v>
      </c>
      <c r="C8275" s="6" t="s">
        <v>60</v>
      </c>
      <c r="D8275" s="6" t="s">
        <v>451</v>
      </c>
      <c r="E8275" s="6" t="s">
        <v>452</v>
      </c>
      <c r="F8275" s="6" t="str">
        <f>IF($M8275="PADD I","PADD 1",IF($M8275="PADD II","PADD 2",IF($M8275="PADD III","PADD 3",IF($M8275="PADD IV","PADD 4",IF($M8275="PADD V","PADD 5","")))))</f>
        <v>PADD 2</v>
      </c>
      <c r="G8275" s="6" t="str">
        <f>IF(AND($H8275="ATMOS DISTILLATION",ISNUMBER(SEARCH("VPS",$I8275))=FALSE,LEFT($I8275,6)&lt;&gt;"VACUUM"),"CDU",IF($H8275="FLUID CAT CRACKING","FCC",IF(OR($H8275="HYDROCRACKING",$H8275="RESID_HYDROCRACKING"),"Hydrocracker",IF($H8275="REFORMING","Reformer",""))))</f>
        <v>FCC</v>
      </c>
      <c r="H8275" s="6" t="s">
        <v>376</v>
      </c>
      <c r="I8275" s="6" t="s">
        <v>105</v>
      </c>
      <c r="J8275" s="6" t="s">
        <v>349</v>
      </c>
      <c r="K8275" s="10">
        <v>24.94</v>
      </c>
      <c r="L8275" s="10">
        <v>29</v>
      </c>
      <c r="M8275" s="6" t="s">
        <v>375</v>
      </c>
    </row>
    <row r="8276" spans="1:13">
      <c r="A8276" s="6">
        <v>2027</v>
      </c>
      <c r="B8276" s="6">
        <v>2</v>
      </c>
      <c r="C8276" s="6" t="s">
        <v>60</v>
      </c>
      <c r="D8276" s="6" t="s">
        <v>887</v>
      </c>
      <c r="E8276" s="6" t="s">
        <v>405</v>
      </c>
      <c r="F8276" s="6" t="str">
        <f>IF($M8276="PADD I","PADD 1",IF($M8276="PADD II","PADD 2",IF($M8276="PADD III","PADD 3",IF($M8276="PADD IV","PADD 4",IF($M8276="PADD V","PADD 5","")))))</f>
        <v>PADD 3</v>
      </c>
      <c r="G8276" s="6">
        <f>IF(AND($H8276="ATMOS DISTILLATION",ISNUMBER(SEARCH("VPS",$I8276))=FALSE,LEFT($I8276,6)&lt;&gt;"VACUUM"),"CDU",IF($H8276="FLUID CAT CRACKING","FCC",IF(OR($H8276="HYDROCRACKING",$H8276="RESID_HYDROCRACKING"),"Hydrocracker",IF($H8276="REFORMING","Reformer",""))))</f>
        <v/>
      </c>
      <c r="H8276" s="6" t="s">
        <v>378</v>
      </c>
      <c r="I8276" s="6" t="s">
        <v>431</v>
      </c>
      <c r="J8276" s="6" t="s">
        <v>349</v>
      </c>
      <c r="K8276" s="10">
        <v>22.96</v>
      </c>
      <c r="L8276" s="10">
        <v>28</v>
      </c>
      <c r="M8276" s="6" t="s">
        <v>371</v>
      </c>
    </row>
    <row r="8277" spans="1:13">
      <c r="A8277" s="6">
        <v>2027</v>
      </c>
      <c r="B8277" s="6">
        <v>2</v>
      </c>
      <c r="C8277" s="6" t="s">
        <v>60</v>
      </c>
      <c r="D8277" s="6" t="s">
        <v>334</v>
      </c>
      <c r="E8277" s="6" t="s">
        <v>552</v>
      </c>
      <c r="F8277" s="6" t="str">
        <f>IF($M8277="PADD I","PADD 1",IF($M8277="PADD II","PADD 2",IF($M8277="PADD III","PADD 3",IF($M8277="PADD IV","PADD 4",IF($M8277="PADD V","PADD 5","")))))</f>
        <v>PADD 3</v>
      </c>
      <c r="G8277" s="6">
        <f>IF(AND($H8277="ATMOS DISTILLATION",ISNUMBER(SEARCH("VPS",$I8277))=FALSE,LEFT($I8277,6)&lt;&gt;"VACUUM"),"CDU",IF($H8277="FLUID CAT CRACKING","FCC",IF(OR($H8277="HYDROCRACKING",$H8277="RESID_HYDROCRACKING"),"Hydrocracker",IF($H8277="REFORMING","Reformer",""))))</f>
        <v/>
      </c>
      <c r="H8277" s="6" t="s">
        <v>43</v>
      </c>
      <c r="I8277" s="6" t="s">
        <v>598</v>
      </c>
      <c r="J8277" s="6" t="s">
        <v>349</v>
      </c>
      <c r="K8277" s="10">
        <v>21.5</v>
      </c>
      <c r="L8277" s="10">
        <v>25</v>
      </c>
      <c r="M8277" s="6" t="s">
        <v>371</v>
      </c>
    </row>
    <row r="8278" spans="1:13">
      <c r="A8278" s="6">
        <v>2027</v>
      </c>
      <c r="B8278" s="6">
        <v>2</v>
      </c>
      <c r="C8278" s="6" t="s">
        <v>60</v>
      </c>
      <c r="D8278" s="6" t="s">
        <v>326</v>
      </c>
      <c r="E8278" s="6" t="s">
        <v>385</v>
      </c>
      <c r="F8278" s="6" t="str">
        <f>IF($M8278="PADD I","PADD 1",IF($M8278="PADD II","PADD 2",IF($M8278="PADD III","PADD 3",IF($M8278="PADD IV","PADD 4",IF($M8278="PADD V","PADD 5","")))))</f>
        <v>PADD 5</v>
      </c>
      <c r="G8278" s="6">
        <f>IF(AND($H8278="ATMOS DISTILLATION",ISNUMBER(SEARCH("VPS",$I8278))=FALSE,LEFT($I8278,6)&lt;&gt;"VACUUM"),"CDU",IF($H8278="FLUID CAT CRACKING","FCC",IF(OR($H8278="HYDROCRACKING",$H8278="RESID_HYDROCRACKING"),"Hydrocracker",IF($H8278="REFORMING","Reformer",""))))</f>
        <v/>
      </c>
      <c r="H8278" s="6" t="s">
        <v>435</v>
      </c>
      <c r="I8278" s="6" t="s">
        <v>813</v>
      </c>
      <c r="J8278" s="6" t="s">
        <v>349</v>
      </c>
      <c r="K8278" s="10">
        <v>20.9</v>
      </c>
      <c r="L8278" s="10">
        <v>20.9</v>
      </c>
      <c r="M8278" s="6" t="s">
        <v>386</v>
      </c>
    </row>
    <row r="8279" spans="1:13">
      <c r="A8279" s="6">
        <v>2027</v>
      </c>
      <c r="B8279" s="6">
        <v>2</v>
      </c>
      <c r="C8279" s="6" t="s">
        <v>60</v>
      </c>
      <c r="D8279" s="6" t="s">
        <v>324</v>
      </c>
      <c r="E8279" s="6" t="s">
        <v>388</v>
      </c>
      <c r="F8279" s="6" t="str">
        <f>IF($M8279="PADD I","PADD 1",IF($M8279="PADD II","PADD 2",IF($M8279="PADD III","PADD 3",IF($M8279="PADD IV","PADD 4",IF($M8279="PADD V","PADD 5","")))))</f>
        <v>PADD 3</v>
      </c>
      <c r="G8279" s="6" t="str">
        <f>IF(AND($H8279="ATMOS DISTILLATION",ISNUMBER(SEARCH("VPS",$I8279))=FALSE,LEFT($I8279,6)&lt;&gt;"VACUUM"),"CDU",IF($H8279="FLUID CAT CRACKING","FCC",IF(OR($H8279="HYDROCRACKING",$H8279="RESID_HYDROCRACKING"),"Hydrocracker",IF($H8279="REFORMING","Reformer",""))))</f>
        <v>CDU</v>
      </c>
      <c r="H8279" s="6" t="s">
        <v>38</v>
      </c>
      <c r="I8279" s="6" t="s">
        <v>99</v>
      </c>
      <c r="J8279" s="6" t="s">
        <v>349</v>
      </c>
      <c r="K8279" s="10">
        <v>19.32</v>
      </c>
      <c r="L8279" s="10">
        <v>138</v>
      </c>
      <c r="M8279" s="6" t="s">
        <v>371</v>
      </c>
    </row>
    <row r="8280" spans="1:13">
      <c r="A8280" s="6">
        <v>2027</v>
      </c>
      <c r="B8280" s="6">
        <v>2</v>
      </c>
      <c r="C8280" s="6" t="s">
        <v>60</v>
      </c>
      <c r="D8280" s="6" t="s">
        <v>380</v>
      </c>
      <c r="E8280" s="6" t="s">
        <v>381</v>
      </c>
      <c r="F8280" s="6" t="str">
        <f>IF($M8280="PADD I","PADD 1",IF($M8280="PADD II","PADD 2",IF($M8280="PADD III","PADD 3",IF($M8280="PADD IV","PADD 4",IF($M8280="PADD V","PADD 5","")))))</f>
        <v>PADD 3</v>
      </c>
      <c r="G8280" s="6">
        <f>IF(AND($H8280="ATMOS DISTILLATION",ISNUMBER(SEARCH("VPS",$I8280))=FALSE,LEFT($I8280,6)&lt;&gt;"VACUUM"),"CDU",IF($H8280="FLUID CAT CRACKING","FCC",IF(OR($H8280="HYDROCRACKING",$H8280="RESID_HYDROCRACKING"),"Hydrocracker",IF($H8280="REFORMING","Reformer",""))))</f>
        <v/>
      </c>
      <c r="H8280" s="6" t="s">
        <v>460</v>
      </c>
      <c r="I8280" s="6" t="s">
        <v>1257</v>
      </c>
      <c r="J8280" s="6" t="s">
        <v>349</v>
      </c>
      <c r="K8280" s="10">
        <v>18.75</v>
      </c>
      <c r="L8280" s="10">
        <v>18.75</v>
      </c>
      <c r="M8280" s="6" t="s">
        <v>371</v>
      </c>
    </row>
    <row r="8281" spans="1:13">
      <c r="A8281" s="6">
        <v>2027</v>
      </c>
      <c r="B8281" s="6">
        <v>2</v>
      </c>
      <c r="C8281" s="6" t="s">
        <v>60</v>
      </c>
      <c r="D8281" s="6" t="s">
        <v>646</v>
      </c>
      <c r="E8281" s="6" t="s">
        <v>405</v>
      </c>
      <c r="F8281" s="6" t="str">
        <f>IF($M8281="PADD I","PADD 1",IF($M8281="PADD II","PADD 2",IF($M8281="PADD III","PADD 3",IF($M8281="PADD IV","PADD 4",IF($M8281="PADD V","PADD 5","")))))</f>
        <v>PADD 3</v>
      </c>
      <c r="G8281" s="6">
        <f>IF(AND($H8281="ATMOS DISTILLATION",ISNUMBER(SEARCH("VPS",$I8281))=FALSE,LEFT($I8281,6)&lt;&gt;"VACUUM"),"CDU",IF($H8281="FLUID CAT CRACKING","FCC",IF(OR($H8281="HYDROCRACKING",$H8281="RESID_HYDROCRACKING"),"Hydrocracker",IF($H8281="REFORMING","Reformer",""))))</f>
        <v/>
      </c>
      <c r="H8281" s="6" t="s">
        <v>435</v>
      </c>
      <c r="I8281" s="6" t="s">
        <v>441</v>
      </c>
      <c r="J8281" s="6" t="s">
        <v>349</v>
      </c>
      <c r="K8281" s="10">
        <v>18</v>
      </c>
      <c r="L8281" s="10">
        <v>18</v>
      </c>
      <c r="M8281" s="6" t="s">
        <v>371</v>
      </c>
    </row>
    <row r="8282" spans="1:13">
      <c r="A8282" s="6">
        <v>2027</v>
      </c>
      <c r="B8282" s="6">
        <v>2</v>
      </c>
      <c r="C8282" s="6" t="s">
        <v>60</v>
      </c>
      <c r="D8282" s="6" t="s">
        <v>762</v>
      </c>
      <c r="E8282" s="6" t="s">
        <v>763</v>
      </c>
      <c r="F8282" s="6" t="str">
        <f>IF($M8282="PADD I","PADD 1",IF($M8282="PADD II","PADD 2",IF($M8282="PADD III","PADD 3",IF($M8282="PADD IV","PADD 4",IF($M8282="PADD V","PADD 5","")))))</f>
        <v>PADD 2</v>
      </c>
      <c r="G8282" s="6" t="str">
        <f>IF(AND($H8282="ATMOS DISTILLATION",ISNUMBER(SEARCH("VPS",$I8282))=FALSE,LEFT($I8282,6)&lt;&gt;"VACUUM"),"CDU",IF($H8282="FLUID CAT CRACKING","FCC",IF(OR($H8282="HYDROCRACKING",$H8282="RESID_HYDROCRACKING"),"Hydrocracker",IF($H8282="REFORMING","Reformer",""))))</f>
        <v>CDU</v>
      </c>
      <c r="H8282" s="6" t="s">
        <v>38</v>
      </c>
      <c r="I8282" s="6" t="s">
        <v>330</v>
      </c>
      <c r="J8282" s="6" t="s">
        <v>349</v>
      </c>
      <c r="K8282" s="10">
        <v>17.5</v>
      </c>
      <c r="L8282" s="10">
        <v>35</v>
      </c>
      <c r="M8282" s="6" t="s">
        <v>375</v>
      </c>
    </row>
    <row r="8283" spans="1:13">
      <c r="A8283" s="6">
        <v>2027</v>
      </c>
      <c r="B8283" s="6">
        <v>2</v>
      </c>
      <c r="C8283" s="6" t="s">
        <v>60</v>
      </c>
      <c r="D8283" s="6" t="s">
        <v>762</v>
      </c>
      <c r="E8283" s="6" t="s">
        <v>763</v>
      </c>
      <c r="F8283" s="6" t="str">
        <f>IF($M8283="PADD I","PADD 1",IF($M8283="PADD II","PADD 2",IF($M8283="PADD III","PADD 3",IF($M8283="PADD IV","PADD 4",IF($M8283="PADD V","PADD 5","")))))</f>
        <v>PADD 2</v>
      </c>
      <c r="G8283" s="6" t="str">
        <f>IF(AND($H8283="ATMOS DISTILLATION",ISNUMBER(SEARCH("VPS",$I8283))=FALSE,LEFT($I8283,6)&lt;&gt;"VACUUM"),"CDU",IF($H8283="FLUID CAT CRACKING","FCC",IF(OR($H8283="HYDROCRACKING",$H8283="RESID_HYDROCRACKING"),"Hydrocracker",IF($H8283="REFORMING","Reformer",""))))</f>
        <v>CDU</v>
      </c>
      <c r="H8283" s="6" t="s">
        <v>38</v>
      </c>
      <c r="I8283" s="6" t="s">
        <v>131</v>
      </c>
      <c r="J8283" s="6" t="s">
        <v>349</v>
      </c>
      <c r="K8283" s="10">
        <v>17.5</v>
      </c>
      <c r="L8283" s="10">
        <v>35</v>
      </c>
      <c r="M8283" s="6" t="s">
        <v>375</v>
      </c>
    </row>
    <row r="8284" spans="1:13">
      <c r="A8284" s="6">
        <v>2027</v>
      </c>
      <c r="B8284" s="6">
        <v>2</v>
      </c>
      <c r="C8284" s="6" t="s">
        <v>60</v>
      </c>
      <c r="D8284" s="6" t="s">
        <v>334</v>
      </c>
      <c r="E8284" s="6" t="s">
        <v>552</v>
      </c>
      <c r="F8284" s="6" t="str">
        <f>IF($M8284="PADD I","PADD 1",IF($M8284="PADD II","PADD 2",IF($M8284="PADD III","PADD 3",IF($M8284="PADD IV","PADD 4",IF($M8284="PADD V","PADD 5","")))))</f>
        <v>PADD 3</v>
      </c>
      <c r="G8284" s="6" t="str">
        <f>IF(AND($H8284="ATMOS DISTILLATION",ISNUMBER(SEARCH("VPS",$I8284))=FALSE,LEFT($I8284,6)&lt;&gt;"VACUUM"),"CDU",IF($H8284="FLUID CAT CRACKING","FCC",IF(OR($H8284="HYDROCRACKING",$H8284="RESID_HYDROCRACKING"),"Hydrocracker",IF($H8284="REFORMING","Reformer",""))))</f>
        <v>FCC</v>
      </c>
      <c r="H8284" s="6" t="s">
        <v>376</v>
      </c>
      <c r="I8284" s="6" t="s">
        <v>613</v>
      </c>
      <c r="J8284" s="6" t="s">
        <v>349</v>
      </c>
      <c r="K8284" s="10">
        <v>17.2</v>
      </c>
      <c r="L8284" s="10">
        <v>20</v>
      </c>
      <c r="M8284" s="6" t="s">
        <v>371</v>
      </c>
    </row>
    <row r="8285" spans="1:13">
      <c r="A8285" s="6">
        <v>2027</v>
      </c>
      <c r="B8285" s="6">
        <v>2</v>
      </c>
      <c r="C8285" s="6" t="s">
        <v>60</v>
      </c>
      <c r="D8285" s="6" t="s">
        <v>429</v>
      </c>
      <c r="E8285" s="6" t="s">
        <v>388</v>
      </c>
      <c r="F8285" s="6" t="str">
        <f>IF($M8285="PADD I","PADD 1",IF($M8285="PADD II","PADD 2",IF($M8285="PADD III","PADD 3",IF($M8285="PADD IV","PADD 4",IF($M8285="PADD V","PADD 5","")))))</f>
        <v>PADD 4</v>
      </c>
      <c r="G8285" s="6">
        <f>IF(AND($H8285="ATMOS DISTILLATION",ISNUMBER(SEARCH("VPS",$I8285))=FALSE,LEFT($I8285,6)&lt;&gt;"VACUUM"),"CDU",IF($H8285="FLUID CAT CRACKING","FCC",IF(OR($H8285="HYDROCRACKING",$H8285="RESID_HYDROCRACKING"),"Hydrocracker",IF($H8285="REFORMING","Reformer",""))))</f>
        <v/>
      </c>
      <c r="H8285" s="6" t="s">
        <v>43</v>
      </c>
      <c r="I8285" s="6" t="s">
        <v>514</v>
      </c>
      <c r="J8285" s="6" t="s">
        <v>349</v>
      </c>
      <c r="K8285" s="10">
        <v>16.416</v>
      </c>
      <c r="L8285" s="10">
        <v>17.1</v>
      </c>
      <c r="M8285" s="6" t="s">
        <v>430</v>
      </c>
    </row>
    <row r="8286" spans="1:13">
      <c r="A8286" s="6">
        <v>2027</v>
      </c>
      <c r="B8286" s="6">
        <v>2</v>
      </c>
      <c r="C8286" s="6" t="s">
        <v>60</v>
      </c>
      <c r="D8286" s="6" t="s">
        <v>334</v>
      </c>
      <c r="E8286" s="6" t="s">
        <v>552</v>
      </c>
      <c r="F8286" s="6" t="str">
        <f>IF($M8286="PADD I","PADD 1",IF($M8286="PADD II","PADD 2",IF($M8286="PADD III","PADD 3",IF($M8286="PADD IV","PADD 4",IF($M8286="PADD V","PADD 5","")))))</f>
        <v>PADD 3</v>
      </c>
      <c r="G8286" s="6">
        <f>IF(AND($H8286="ATMOS DISTILLATION",ISNUMBER(SEARCH("VPS",$I8286))=FALSE,LEFT($I8286,6)&lt;&gt;"VACUUM"),"CDU",IF($H8286="FLUID CAT CRACKING","FCC",IF(OR($H8286="HYDROCRACKING",$H8286="RESID_HYDROCRACKING"),"Hydrocracker",IF($H8286="REFORMING","Reformer",""))))</f>
        <v/>
      </c>
      <c r="H8286" s="6" t="s">
        <v>43</v>
      </c>
      <c r="I8286" s="6" t="s">
        <v>607</v>
      </c>
      <c r="J8286" s="6" t="s">
        <v>349</v>
      </c>
      <c r="K8286" s="10">
        <v>16.254</v>
      </c>
      <c r="L8286" s="10">
        <v>18.9</v>
      </c>
      <c r="M8286" s="6" t="s">
        <v>371</v>
      </c>
    </row>
    <row r="8287" spans="1:13">
      <c r="A8287" s="6">
        <v>2027</v>
      </c>
      <c r="B8287" s="6">
        <v>2</v>
      </c>
      <c r="C8287" s="6" t="s">
        <v>60</v>
      </c>
      <c r="D8287" s="6" t="s">
        <v>334</v>
      </c>
      <c r="E8287" s="6" t="s">
        <v>552</v>
      </c>
      <c r="F8287" s="6" t="str">
        <f>IF($M8287="PADD I","PADD 1",IF($M8287="PADD II","PADD 2",IF($M8287="PADD III","PADD 3",IF($M8287="PADD IV","PADD 4",IF($M8287="PADD V","PADD 5","")))))</f>
        <v>PADD 3</v>
      </c>
      <c r="G8287" s="6">
        <f>IF(AND($H8287="ATMOS DISTILLATION",ISNUMBER(SEARCH("VPS",$I8287))=FALSE,LEFT($I8287,6)&lt;&gt;"VACUUM"),"CDU",IF($H8287="FLUID CAT CRACKING","FCC",IF(OR($H8287="HYDROCRACKING",$H8287="RESID_HYDROCRACKING"),"Hydrocracker",IF($H8287="REFORMING","Reformer",""))))</f>
        <v/>
      </c>
      <c r="H8287" s="6" t="s">
        <v>378</v>
      </c>
      <c r="I8287" s="6" t="s">
        <v>555</v>
      </c>
      <c r="J8287" s="6" t="s">
        <v>349</v>
      </c>
      <c r="K8287" s="10">
        <v>15.9358</v>
      </c>
      <c r="L8287" s="10">
        <v>18.53</v>
      </c>
      <c r="M8287" s="6" t="s">
        <v>371</v>
      </c>
    </row>
    <row r="8288" spans="1:13">
      <c r="A8288" s="6">
        <v>2027</v>
      </c>
      <c r="B8288" s="6">
        <v>2</v>
      </c>
      <c r="C8288" s="6" t="s">
        <v>60</v>
      </c>
      <c r="D8288" s="6" t="s">
        <v>334</v>
      </c>
      <c r="E8288" s="6" t="s">
        <v>552</v>
      </c>
      <c r="F8288" s="6" t="str">
        <f>IF($M8288="PADD I","PADD 1",IF($M8288="PADD II","PADD 2",IF($M8288="PADD III","PADD 3",IF($M8288="PADD IV","PADD 4",IF($M8288="PADD V","PADD 5","")))))</f>
        <v>PADD 3</v>
      </c>
      <c r="G8288" s="6" t="str">
        <f>IF(AND($H8288="ATMOS DISTILLATION",ISNUMBER(SEARCH("VPS",$I8288))=FALSE,LEFT($I8288,6)&lt;&gt;"VACUUM"),"CDU",IF($H8288="FLUID CAT CRACKING","FCC",IF(OR($H8288="HYDROCRACKING",$H8288="RESID_HYDROCRACKING"),"Hydrocracker",IF($H8288="REFORMING","Reformer",""))))</f>
        <v>Reformer</v>
      </c>
      <c r="H8288" s="6" t="s">
        <v>421</v>
      </c>
      <c r="I8288" s="6" t="s">
        <v>592</v>
      </c>
      <c r="J8288" s="6" t="s">
        <v>349</v>
      </c>
      <c r="K8288" s="10">
        <v>13.76</v>
      </c>
      <c r="L8288" s="10">
        <v>16</v>
      </c>
      <c r="M8288" s="6" t="s">
        <v>371</v>
      </c>
    </row>
    <row r="8289" spans="1:13">
      <c r="A8289" s="6">
        <v>2027</v>
      </c>
      <c r="B8289" s="6">
        <v>2</v>
      </c>
      <c r="C8289" s="6" t="s">
        <v>60</v>
      </c>
      <c r="D8289" s="6" t="s">
        <v>526</v>
      </c>
      <c r="E8289" s="6" t="s">
        <v>405</v>
      </c>
      <c r="F8289" s="6" t="str">
        <f>IF($M8289="PADD I","PADD 1",IF($M8289="PADD II","PADD 2",IF($M8289="PADD III","PADD 3",IF($M8289="PADD IV","PADD 4",IF($M8289="PADD V","PADD 5","")))))</f>
        <v>PADD 3</v>
      </c>
      <c r="G8289" s="6">
        <f>IF(AND($H8289="ATMOS DISTILLATION",ISNUMBER(SEARCH("VPS",$I8289))=FALSE,LEFT($I8289,6)&lt;&gt;"VACUUM"),"CDU",IF($H8289="FLUID CAT CRACKING","FCC",IF(OR($H8289="HYDROCRACKING",$H8289="RESID_HYDROCRACKING"),"Hydrocracker",IF($H8289="REFORMING","Reformer",""))))</f>
        <v/>
      </c>
      <c r="H8289" s="6" t="s">
        <v>460</v>
      </c>
      <c r="I8289" s="6" t="s">
        <v>1366</v>
      </c>
      <c r="J8289" s="6" t="s">
        <v>349</v>
      </c>
      <c r="K8289" s="10">
        <v>12.675</v>
      </c>
      <c r="L8289" s="10">
        <v>16.9</v>
      </c>
      <c r="M8289" s="6" t="s">
        <v>371</v>
      </c>
    </row>
    <row r="8290" spans="1:13">
      <c r="A8290" s="6">
        <v>2027</v>
      </c>
      <c r="B8290" s="6">
        <v>2</v>
      </c>
      <c r="C8290" s="6" t="s">
        <v>60</v>
      </c>
      <c r="D8290" s="6" t="s">
        <v>333</v>
      </c>
      <c r="E8290" s="6" t="s">
        <v>381</v>
      </c>
      <c r="F8290" s="6" t="str">
        <f>IF($M8290="PADD I","PADD 1",IF($M8290="PADD II","PADD 2",IF($M8290="PADD III","PADD 3",IF($M8290="PADD IV","PADD 4",IF($M8290="PADD V","PADD 5","")))))</f>
        <v>PADD 3</v>
      </c>
      <c r="G8290" s="6">
        <f>IF(AND($H8290="ATMOS DISTILLATION",ISNUMBER(SEARCH("VPS",$I8290))=FALSE,LEFT($I8290,6)&lt;&gt;"VACUUM"),"CDU",IF($H8290="FLUID CAT CRACKING","FCC",IF(OR($H8290="HYDROCRACKING",$H8290="RESID_HYDROCRACKING"),"Hydrocracker",IF($H8290="REFORMING","Reformer",""))))</f>
        <v/>
      </c>
      <c r="H8290" s="6" t="s">
        <v>460</v>
      </c>
      <c r="I8290" s="6" t="s">
        <v>541</v>
      </c>
      <c r="J8290" s="6" t="s">
        <v>349</v>
      </c>
      <c r="K8290" s="10">
        <v>12.64</v>
      </c>
      <c r="L8290" s="10">
        <v>16</v>
      </c>
      <c r="M8290" s="6" t="s">
        <v>371</v>
      </c>
    </row>
    <row r="8291" spans="1:13">
      <c r="A8291" s="6">
        <v>2027</v>
      </c>
      <c r="B8291" s="6">
        <v>2</v>
      </c>
      <c r="C8291" s="6" t="s">
        <v>60</v>
      </c>
      <c r="D8291" s="6" t="s">
        <v>457</v>
      </c>
      <c r="E8291" s="6" t="s">
        <v>388</v>
      </c>
      <c r="F8291" s="6" t="str">
        <f>IF($M8291="PADD I","PADD 1",IF($M8291="PADD II","PADD 2",IF($M8291="PADD III","PADD 3",IF($M8291="PADD IV","PADD 4",IF($M8291="PADD V","PADD 5","")))))</f>
        <v>PADD 5</v>
      </c>
      <c r="G8291" s="6" t="str">
        <f>IF(AND($H8291="ATMOS DISTILLATION",ISNUMBER(SEARCH("VPS",$I8291))=FALSE,LEFT($I8291,6)&lt;&gt;"VACUUM"),"CDU",IF($H8291="FLUID CAT CRACKING","FCC",IF(OR($H8291="HYDROCRACKING",$H8291="RESID_HYDROCRACKING"),"Hydrocracker",IF($H8291="REFORMING","Reformer",""))))</f>
        <v>Hydrocracker</v>
      </c>
      <c r="H8291" s="6" t="s">
        <v>444</v>
      </c>
      <c r="I8291" s="6" t="s">
        <v>14</v>
      </c>
      <c r="J8291" s="6" t="s">
        <v>349</v>
      </c>
      <c r="K8291" s="10">
        <v>12.47</v>
      </c>
      <c r="L8291" s="10">
        <v>43</v>
      </c>
      <c r="M8291" s="6" t="s">
        <v>386</v>
      </c>
    </row>
    <row r="8292" spans="1:13">
      <c r="A8292" s="6">
        <v>2027</v>
      </c>
      <c r="B8292" s="6">
        <v>2</v>
      </c>
      <c r="C8292" s="6" t="s">
        <v>60</v>
      </c>
      <c r="D8292" s="6" t="s">
        <v>326</v>
      </c>
      <c r="E8292" s="6" t="s">
        <v>385</v>
      </c>
      <c r="F8292" s="6" t="str">
        <f>IF($M8292="PADD I","PADD 1",IF($M8292="PADD II","PADD 2",IF($M8292="PADD III","PADD 3",IF($M8292="PADD IV","PADD 4",IF($M8292="PADD V","PADD 5","")))))</f>
        <v>PADD 5</v>
      </c>
      <c r="G8292" s="6">
        <f>IF(AND($H8292="ATMOS DISTILLATION",ISNUMBER(SEARCH("VPS",$I8292))=FALSE,LEFT($I8292,6)&lt;&gt;"VACUUM"),"CDU",IF($H8292="FLUID CAT CRACKING","FCC",IF(OR($H8292="HYDROCRACKING",$H8292="RESID_HYDROCRACKING"),"Hydrocracker",IF($H8292="REFORMING","Reformer",""))))</f>
        <v/>
      </c>
      <c r="H8292" s="6" t="s">
        <v>460</v>
      </c>
      <c r="I8292" s="6" t="s">
        <v>1288</v>
      </c>
      <c r="J8292" s="6" t="s">
        <v>349</v>
      </c>
      <c r="K8292" s="10">
        <v>12</v>
      </c>
      <c r="L8292" s="10">
        <v>12</v>
      </c>
      <c r="M8292" s="6" t="s">
        <v>386</v>
      </c>
    </row>
    <row r="8293" spans="1:13">
      <c r="A8293" s="6">
        <v>2027</v>
      </c>
      <c r="B8293" s="6">
        <v>2</v>
      </c>
      <c r="C8293" s="6" t="s">
        <v>60</v>
      </c>
      <c r="D8293" s="6" t="s">
        <v>334</v>
      </c>
      <c r="E8293" s="6" t="s">
        <v>552</v>
      </c>
      <c r="F8293" s="6" t="str">
        <f>IF($M8293="PADD I","PADD 1",IF($M8293="PADD II","PADD 2",IF($M8293="PADD III","PADD 3",IF($M8293="PADD IV","PADD 4",IF($M8293="PADD V","PADD 5","")))))</f>
        <v>PADD 3</v>
      </c>
      <c r="G8293" s="6">
        <f>IF(AND($H8293="ATMOS DISTILLATION",ISNUMBER(SEARCH("VPS",$I8293))=FALSE,LEFT($I8293,6)&lt;&gt;"VACUUM"),"CDU",IF($H8293="FLUID CAT CRACKING","FCC",IF(OR($H8293="HYDROCRACKING",$H8293="RESID_HYDROCRACKING"),"Hydrocracker",IF($H8293="REFORMING","Reformer",""))))</f>
        <v/>
      </c>
      <c r="H8293" s="6" t="s">
        <v>43</v>
      </c>
      <c r="I8293" s="6" t="s">
        <v>501</v>
      </c>
      <c r="J8293" s="6" t="s">
        <v>349</v>
      </c>
      <c r="K8293" s="10">
        <v>11.61</v>
      </c>
      <c r="L8293" s="10">
        <v>13.5</v>
      </c>
      <c r="M8293" s="6" t="s">
        <v>371</v>
      </c>
    </row>
    <row r="8294" spans="1:13">
      <c r="A8294" s="6">
        <v>2027</v>
      </c>
      <c r="B8294" s="6">
        <v>2</v>
      </c>
      <c r="C8294" s="6" t="s">
        <v>60</v>
      </c>
      <c r="D8294" s="6" t="s">
        <v>429</v>
      </c>
      <c r="E8294" s="6" t="s">
        <v>388</v>
      </c>
      <c r="F8294" s="6" t="str">
        <f>IF($M8294="PADD I","PADD 1",IF($M8294="PADD II","PADD 2",IF($M8294="PADD III","PADD 3",IF($M8294="PADD IV","PADD 4",IF($M8294="PADD V","PADD 5","")))))</f>
        <v>PADD 4</v>
      </c>
      <c r="G8294" s="6">
        <f>IF(AND($H8294="ATMOS DISTILLATION",ISNUMBER(SEARCH("VPS",$I8294))=FALSE,LEFT($I8294,6)&lt;&gt;"VACUUM"),"CDU",IF($H8294="FLUID CAT CRACKING","FCC",IF(OR($H8294="HYDROCRACKING",$H8294="RESID_HYDROCRACKING"),"Hydrocracker",IF($H8294="REFORMING","Reformer",""))))</f>
        <v/>
      </c>
      <c r="H8294" s="6" t="s">
        <v>43</v>
      </c>
      <c r="I8294" s="6" t="s">
        <v>1057</v>
      </c>
      <c r="J8294" s="6" t="s">
        <v>349</v>
      </c>
      <c r="K8294" s="10">
        <v>11.52</v>
      </c>
      <c r="L8294" s="10">
        <v>12</v>
      </c>
      <c r="M8294" s="6" t="s">
        <v>430</v>
      </c>
    </row>
    <row r="8295" spans="1:13">
      <c r="A8295" s="6">
        <v>2027</v>
      </c>
      <c r="B8295" s="6">
        <v>2</v>
      </c>
      <c r="C8295" s="6" t="s">
        <v>60</v>
      </c>
      <c r="D8295" s="6" t="s">
        <v>429</v>
      </c>
      <c r="E8295" s="6" t="s">
        <v>388</v>
      </c>
      <c r="F8295" s="6" t="str">
        <f>IF($M8295="PADD I","PADD 1",IF($M8295="PADD II","PADD 2",IF($M8295="PADD III","PADD 3",IF($M8295="PADD IV","PADD 4",IF($M8295="PADD V","PADD 5","")))))</f>
        <v>PADD 4</v>
      </c>
      <c r="G8295" s="6" t="str">
        <f>IF(AND($H8295="ATMOS DISTILLATION",ISNUMBER(SEARCH("VPS",$I8295))=FALSE,LEFT($I8295,6)&lt;&gt;"VACUUM"),"CDU",IF($H8295="FLUID CAT CRACKING","FCC",IF(OR($H8295="HYDROCRACKING",$H8295="RESID_HYDROCRACKING"),"Hydrocracker",IF($H8295="REFORMING","Reformer",""))))</f>
        <v>Reformer</v>
      </c>
      <c r="H8295" s="6" t="s">
        <v>421</v>
      </c>
      <c r="I8295" s="6" t="s">
        <v>1131</v>
      </c>
      <c r="J8295" s="6" t="s">
        <v>349</v>
      </c>
      <c r="K8295" s="10">
        <v>11.52</v>
      </c>
      <c r="L8295" s="10">
        <v>12</v>
      </c>
      <c r="M8295" s="6" t="s">
        <v>430</v>
      </c>
    </row>
    <row r="8296" spans="1:13">
      <c r="A8296" s="6">
        <v>2027</v>
      </c>
      <c r="B8296" s="6">
        <v>2</v>
      </c>
      <c r="C8296" s="6" t="s">
        <v>60</v>
      </c>
      <c r="D8296" s="6" t="s">
        <v>762</v>
      </c>
      <c r="E8296" s="6" t="s">
        <v>763</v>
      </c>
      <c r="F8296" s="6" t="str">
        <f>IF($M8296="PADD I","PADD 1",IF($M8296="PADD II","PADD 2",IF($M8296="PADD III","PADD 3",IF($M8296="PADD IV","PADD 4",IF($M8296="PADD V","PADD 5","")))))</f>
        <v>PADD 2</v>
      </c>
      <c r="G8296" s="6" t="str">
        <f>IF(AND($H8296="ATMOS DISTILLATION",ISNUMBER(SEARCH("VPS",$I8296))=FALSE,LEFT($I8296,6)&lt;&gt;"VACUUM"),"CDU",IF($H8296="FLUID CAT CRACKING","FCC",IF(OR($H8296="HYDROCRACKING",$H8296="RESID_HYDROCRACKING"),"Hydrocracker",IF($H8296="REFORMING","Reformer",""))))</f>
        <v>FCC</v>
      </c>
      <c r="H8296" s="6" t="s">
        <v>376</v>
      </c>
      <c r="I8296" s="6" t="s">
        <v>105</v>
      </c>
      <c r="J8296" s="6" t="s">
        <v>349</v>
      </c>
      <c r="K8296" s="10">
        <v>10.5</v>
      </c>
      <c r="L8296" s="10">
        <v>21</v>
      </c>
      <c r="M8296" s="6" t="s">
        <v>375</v>
      </c>
    </row>
    <row r="8297" spans="1:13">
      <c r="A8297" s="6">
        <v>2027</v>
      </c>
      <c r="B8297" s="6">
        <v>2</v>
      </c>
      <c r="C8297" s="6" t="s">
        <v>60</v>
      </c>
      <c r="D8297" s="6" t="s">
        <v>762</v>
      </c>
      <c r="E8297" s="6" t="s">
        <v>763</v>
      </c>
      <c r="F8297" s="6" t="str">
        <f>IF($M8297="PADD I","PADD 1",IF($M8297="PADD II","PADD 2",IF($M8297="PADD III","PADD 3",IF($M8297="PADD IV","PADD 4",IF($M8297="PADD V","PADD 5","")))))</f>
        <v>PADD 2</v>
      </c>
      <c r="G8297" s="6">
        <f>IF(AND($H8297="ATMOS DISTILLATION",ISNUMBER(SEARCH("VPS",$I8297))=FALSE,LEFT($I8297,6)&lt;&gt;"VACUUM"),"CDU",IF($H8297="FLUID CAT CRACKING","FCC",IF(OR($H8297="HYDROCRACKING",$H8297="RESID_HYDROCRACKING"),"Hydrocracker",IF($H8297="REFORMING","Reformer",""))))</f>
        <v/>
      </c>
      <c r="H8297" s="6" t="s">
        <v>43</v>
      </c>
      <c r="I8297" s="6" t="s">
        <v>863</v>
      </c>
      <c r="J8297" s="6" t="s">
        <v>349</v>
      </c>
      <c r="K8297" s="10">
        <v>10</v>
      </c>
      <c r="L8297" s="10">
        <v>20</v>
      </c>
      <c r="M8297" s="6" t="s">
        <v>375</v>
      </c>
    </row>
    <row r="8298" spans="1:13">
      <c r="A8298" s="6">
        <v>2027</v>
      </c>
      <c r="B8298" s="6">
        <v>2</v>
      </c>
      <c r="C8298" s="6" t="s">
        <v>60</v>
      </c>
      <c r="D8298" s="6" t="s">
        <v>1289</v>
      </c>
      <c r="E8298" s="6" t="s">
        <v>1290</v>
      </c>
      <c r="F8298" s="6" t="str">
        <f>IF($M8298="PADD I","PADD 1",IF($M8298="PADD II","PADD 2",IF($M8298="PADD III","PADD 3",IF($M8298="PADD IV","PADD 4",IF($M8298="PADD V","PADD 5","")))))</f>
        <v>PADD 5</v>
      </c>
      <c r="G8298" s="6" t="str">
        <f>IF(AND($H8298="ATMOS DISTILLATION",ISNUMBER(SEARCH("VPS",$I8298))=FALSE,LEFT($I8298,6)&lt;&gt;"VACUUM"),"CDU",IF($H8298="FLUID CAT CRACKING","FCC",IF(OR($H8298="HYDROCRACKING",$H8298="RESID_HYDROCRACKING"),"Hydrocracker",IF($H8298="REFORMING","Reformer",""))))</f>
        <v>CDU</v>
      </c>
      <c r="H8298" s="6" t="s">
        <v>38</v>
      </c>
      <c r="I8298" s="6" t="s">
        <v>133</v>
      </c>
      <c r="J8298" s="6" t="s">
        <v>349</v>
      </c>
      <c r="K8298" s="10">
        <v>8.747999999999999</v>
      </c>
      <c r="L8298" s="10">
        <v>24.3</v>
      </c>
      <c r="M8298" s="6" t="s">
        <v>386</v>
      </c>
    </row>
    <row r="8299" spans="1:13">
      <c r="A8299" s="6">
        <v>2027</v>
      </c>
      <c r="B8299" s="6">
        <v>2</v>
      </c>
      <c r="C8299" s="6" t="s">
        <v>60</v>
      </c>
      <c r="D8299" s="6" t="s">
        <v>429</v>
      </c>
      <c r="E8299" s="6" t="s">
        <v>388</v>
      </c>
      <c r="F8299" s="6" t="str">
        <f>IF($M8299="PADD I","PADD 1",IF($M8299="PADD II","PADD 2",IF($M8299="PADD III","PADD 3",IF($M8299="PADD IV","PADD 4",IF($M8299="PADD V","PADD 5","")))))</f>
        <v>PADD 4</v>
      </c>
      <c r="G8299" s="6">
        <f>IF(AND($H8299="ATMOS DISTILLATION",ISNUMBER(SEARCH("VPS",$I8299))=FALSE,LEFT($I8299,6)&lt;&gt;"VACUUM"),"CDU",IF($H8299="FLUID CAT CRACKING","FCC",IF(OR($H8299="HYDROCRACKING",$H8299="RESID_HYDROCRACKING"),"Hydrocracker",IF($H8299="REFORMING","Reformer",""))))</f>
        <v/>
      </c>
      <c r="H8299" s="6" t="s">
        <v>43</v>
      </c>
      <c r="I8299" s="6" t="s">
        <v>1133</v>
      </c>
      <c r="J8299" s="6" t="s">
        <v>349</v>
      </c>
      <c r="K8299" s="10">
        <v>7.68</v>
      </c>
      <c r="L8299" s="10">
        <v>8</v>
      </c>
      <c r="M8299" s="6" t="s">
        <v>430</v>
      </c>
    </row>
    <row r="8300" spans="1:13">
      <c r="A8300" s="6">
        <v>2027</v>
      </c>
      <c r="B8300" s="6">
        <v>2</v>
      </c>
      <c r="C8300" s="6" t="s">
        <v>60</v>
      </c>
      <c r="D8300" s="6" t="s">
        <v>762</v>
      </c>
      <c r="E8300" s="6" t="s">
        <v>763</v>
      </c>
      <c r="F8300" s="6" t="str">
        <f>IF($M8300="PADD I","PADD 1",IF($M8300="PADD II","PADD 2",IF($M8300="PADD III","PADD 3",IF($M8300="PADD IV","PADD 4",IF($M8300="PADD V","PADD 5","")))))</f>
        <v>PADD 2</v>
      </c>
      <c r="G8300" s="6" t="str">
        <f>IF(AND($H8300="ATMOS DISTILLATION",ISNUMBER(SEARCH("VPS",$I8300))=FALSE,LEFT($I8300,6)&lt;&gt;"VACUUM"),"CDU",IF($H8300="FLUID CAT CRACKING","FCC",IF(OR($H8300="HYDROCRACKING",$H8300="RESID_HYDROCRACKING"),"Hydrocracker",IF($H8300="REFORMING","Reformer",""))))</f>
        <v>Reformer</v>
      </c>
      <c r="H8300" s="6" t="s">
        <v>421</v>
      </c>
      <c r="I8300" s="6" t="s">
        <v>782</v>
      </c>
      <c r="J8300" s="6" t="s">
        <v>349</v>
      </c>
      <c r="K8300" s="10">
        <v>7.5</v>
      </c>
      <c r="L8300" s="10">
        <v>15</v>
      </c>
      <c r="M8300" s="6" t="s">
        <v>375</v>
      </c>
    </row>
    <row r="8301" spans="1:13">
      <c r="A8301" s="6">
        <v>2027</v>
      </c>
      <c r="B8301" s="6">
        <v>2</v>
      </c>
      <c r="C8301" s="6" t="s">
        <v>60</v>
      </c>
      <c r="D8301" s="6" t="s">
        <v>334</v>
      </c>
      <c r="E8301" s="6" t="s">
        <v>552</v>
      </c>
      <c r="F8301" s="6" t="str">
        <f>IF($M8301="PADD I","PADD 1",IF($M8301="PADD II","PADD 2",IF($M8301="PADD III","PADD 3",IF($M8301="PADD IV","PADD 4",IF($M8301="PADD V","PADD 5","")))))</f>
        <v>PADD 3</v>
      </c>
      <c r="G8301" s="6">
        <f>IF(AND($H8301="ATMOS DISTILLATION",ISNUMBER(SEARCH("VPS",$I8301))=FALSE,LEFT($I8301,6)&lt;&gt;"VACUUM"),"CDU",IF($H8301="FLUID CAT CRACKING","FCC",IF(OR($H8301="HYDROCRACKING",$H8301="RESID_HYDROCRACKING"),"Hydrocracker",IF($H8301="REFORMING","Reformer",""))))</f>
        <v/>
      </c>
      <c r="H8301" s="6" t="s">
        <v>637</v>
      </c>
      <c r="I8301" s="6" t="s">
        <v>1387</v>
      </c>
      <c r="J8301" s="6" t="s">
        <v>349</v>
      </c>
      <c r="K8301" s="10">
        <v>7.31</v>
      </c>
      <c r="L8301" s="10">
        <v>8.5</v>
      </c>
      <c r="M8301" s="6" t="s">
        <v>371</v>
      </c>
    </row>
    <row r="8302" spans="1:13">
      <c r="A8302" s="6">
        <v>2027</v>
      </c>
      <c r="B8302" s="6">
        <v>2</v>
      </c>
      <c r="C8302" s="6" t="s">
        <v>60</v>
      </c>
      <c r="D8302" s="6" t="s">
        <v>887</v>
      </c>
      <c r="E8302" s="6" t="s">
        <v>405</v>
      </c>
      <c r="F8302" s="6" t="str">
        <f>IF($M8302="PADD I","PADD 1",IF($M8302="PADD II","PADD 2",IF($M8302="PADD III","PADD 3",IF($M8302="PADD IV","PADD 4",IF($M8302="PADD V","PADD 5","")))))</f>
        <v>PADD 3</v>
      </c>
      <c r="G8302" s="6">
        <f>IF(AND($H8302="ATMOS DISTILLATION",ISNUMBER(SEARCH("VPS",$I8302))=FALSE,LEFT($I8302,6)&lt;&gt;"VACUUM"),"CDU",IF($H8302="FLUID CAT CRACKING","FCC",IF(OR($H8302="HYDROCRACKING",$H8302="RESID_HYDROCRACKING"),"Hydrocracker",IF($H8302="REFORMING","Reformer",""))))</f>
        <v/>
      </c>
      <c r="H8302" s="6" t="s">
        <v>43</v>
      </c>
      <c r="I8302" s="6" t="s">
        <v>1277</v>
      </c>
      <c r="J8302" s="6" t="s">
        <v>349</v>
      </c>
      <c r="K8302" s="10">
        <v>7.2</v>
      </c>
      <c r="L8302" s="10">
        <v>20</v>
      </c>
      <c r="M8302" s="6" t="s">
        <v>371</v>
      </c>
    </row>
    <row r="8303" spans="1:13">
      <c r="A8303" s="6">
        <v>2027</v>
      </c>
      <c r="B8303" s="6">
        <v>2</v>
      </c>
      <c r="C8303" s="6" t="s">
        <v>60</v>
      </c>
      <c r="D8303" s="6" t="s">
        <v>887</v>
      </c>
      <c r="E8303" s="6" t="s">
        <v>405</v>
      </c>
      <c r="F8303" s="6" t="str">
        <f>IF($M8303="PADD I","PADD 1",IF($M8303="PADD II","PADD 2",IF($M8303="PADD III","PADD 3",IF($M8303="PADD IV","PADD 4",IF($M8303="PADD V","PADD 5","")))))</f>
        <v>PADD 3</v>
      </c>
      <c r="G8303" s="6">
        <f>IF(AND($H8303="ATMOS DISTILLATION",ISNUMBER(SEARCH("VPS",$I8303))=FALSE,LEFT($I8303,6)&lt;&gt;"VACUUM"),"CDU",IF($H8303="FLUID CAT CRACKING","FCC",IF(OR($H8303="HYDROCRACKING",$H8303="RESID_HYDROCRACKING"),"Hydrocracker",IF($H8303="REFORMING","Reformer",""))))</f>
        <v/>
      </c>
      <c r="H8303" s="6" t="s">
        <v>43</v>
      </c>
      <c r="I8303" s="6" t="s">
        <v>647</v>
      </c>
      <c r="J8303" s="6" t="s">
        <v>349</v>
      </c>
      <c r="K8303" s="10">
        <v>7.2</v>
      </c>
      <c r="L8303" s="10">
        <v>20</v>
      </c>
      <c r="M8303" s="6" t="s">
        <v>371</v>
      </c>
    </row>
    <row r="8304" spans="1:13">
      <c r="A8304" s="6">
        <v>2027</v>
      </c>
      <c r="B8304" s="6">
        <v>2</v>
      </c>
      <c r="C8304" s="6" t="s">
        <v>60</v>
      </c>
      <c r="D8304" s="6" t="s">
        <v>334</v>
      </c>
      <c r="E8304" s="6" t="s">
        <v>552</v>
      </c>
      <c r="F8304" s="6" t="str">
        <f>IF($M8304="PADD I","PADD 1",IF($M8304="PADD II","PADD 2",IF($M8304="PADD III","PADD 3",IF($M8304="PADD IV","PADD 4",IF($M8304="PADD V","PADD 5","")))))</f>
        <v>PADD 3</v>
      </c>
      <c r="G8304" s="6">
        <f>IF(AND($H8304="ATMOS DISTILLATION",ISNUMBER(SEARCH("VPS",$I8304))=FALSE,LEFT($I8304,6)&lt;&gt;"VACUUM"),"CDU",IF($H8304="FLUID CAT CRACKING","FCC",IF(OR($H8304="HYDROCRACKING",$H8304="RESID_HYDROCRACKING"),"Hydrocracker",IF($H8304="REFORMING","Reformer",""))))</f>
        <v/>
      </c>
      <c r="H8304" s="6" t="s">
        <v>43</v>
      </c>
      <c r="I8304" s="6" t="s">
        <v>619</v>
      </c>
      <c r="J8304" s="6" t="s">
        <v>349</v>
      </c>
      <c r="K8304" s="10">
        <v>6.88</v>
      </c>
      <c r="L8304" s="10">
        <v>8</v>
      </c>
      <c r="M8304" s="6" t="s">
        <v>371</v>
      </c>
    </row>
    <row r="8305" spans="1:13">
      <c r="A8305" s="6">
        <v>2027</v>
      </c>
      <c r="B8305" s="6">
        <v>2</v>
      </c>
      <c r="C8305" s="6" t="s">
        <v>60</v>
      </c>
      <c r="D8305" s="6" t="s">
        <v>762</v>
      </c>
      <c r="E8305" s="6" t="s">
        <v>763</v>
      </c>
      <c r="F8305" s="6" t="str">
        <f>IF($M8305="PADD I","PADD 1",IF($M8305="PADD II","PADD 2",IF($M8305="PADD III","PADD 3",IF($M8305="PADD IV","PADD 4",IF($M8305="PADD V","PADD 5","")))))</f>
        <v>PADD 2</v>
      </c>
      <c r="G8305" s="6">
        <f>IF(AND($H8305="ATMOS DISTILLATION",ISNUMBER(SEARCH("VPS",$I8305))=FALSE,LEFT($I8305,6)&lt;&gt;"VACUUM"),"CDU",IF($H8305="FLUID CAT CRACKING","FCC",IF(OR($H8305="HYDROCRACKING",$H8305="RESID_HYDROCRACKING"),"Hydrocracker",IF($H8305="REFORMING","Reformer",""))))</f>
        <v/>
      </c>
      <c r="H8305" s="6" t="s">
        <v>43</v>
      </c>
      <c r="I8305" s="6" t="s">
        <v>1055</v>
      </c>
      <c r="J8305" s="6" t="s">
        <v>349</v>
      </c>
      <c r="K8305" s="10">
        <v>6.5</v>
      </c>
      <c r="L8305" s="10">
        <v>13</v>
      </c>
      <c r="M8305" s="6" t="s">
        <v>375</v>
      </c>
    </row>
    <row r="8306" spans="1:13">
      <c r="A8306" s="6">
        <v>2027</v>
      </c>
      <c r="B8306" s="6">
        <v>2</v>
      </c>
      <c r="C8306" s="6" t="s">
        <v>60</v>
      </c>
      <c r="D8306" s="6" t="s">
        <v>659</v>
      </c>
      <c r="E8306" s="6" t="s">
        <v>660</v>
      </c>
      <c r="F8306" s="6" t="str">
        <f>IF($M8306="PADD I","PADD 1",IF($M8306="PADD II","PADD 2",IF($M8306="PADD III","PADD 3",IF($M8306="PADD IV","PADD 4",IF($M8306="PADD V","PADD 5","")))))</f>
        <v>PADD 3</v>
      </c>
      <c r="G8306" s="6" t="str">
        <f>IF(AND($H8306="ATMOS DISTILLATION",ISNUMBER(SEARCH("VPS",$I8306))=FALSE,LEFT($I8306,6)&lt;&gt;"VACUUM"),"CDU",IF($H8306="FLUID CAT CRACKING","FCC",IF(OR($H8306="HYDROCRACKING",$H8306="RESID_HYDROCRACKING"),"Hydrocracker",IF($H8306="REFORMING","Reformer",""))))</f>
        <v>CDU</v>
      </c>
      <c r="H8306" s="6" t="s">
        <v>38</v>
      </c>
      <c r="I8306" s="6" t="s">
        <v>81</v>
      </c>
      <c r="J8306" s="6" t="s">
        <v>349</v>
      </c>
      <c r="K8306" s="10">
        <v>6.1</v>
      </c>
      <c r="L8306" s="10">
        <v>10</v>
      </c>
      <c r="M8306" s="6" t="s">
        <v>371</v>
      </c>
    </row>
    <row r="8307" spans="1:13">
      <c r="A8307" s="6">
        <v>2027</v>
      </c>
      <c r="B8307" s="6">
        <v>2</v>
      </c>
      <c r="C8307" s="6" t="s">
        <v>60</v>
      </c>
      <c r="D8307" s="6" t="s">
        <v>762</v>
      </c>
      <c r="E8307" s="6" t="s">
        <v>763</v>
      </c>
      <c r="F8307" s="6" t="str">
        <f>IF($M8307="PADD I","PADD 1",IF($M8307="PADD II","PADD 2",IF($M8307="PADD III","PADD 3",IF($M8307="PADD IV","PADD 4",IF($M8307="PADD V","PADD 5","")))))</f>
        <v>PADD 2</v>
      </c>
      <c r="G8307" s="6">
        <f>IF(AND($H8307="ATMOS DISTILLATION",ISNUMBER(SEARCH("VPS",$I8307))=FALSE,LEFT($I8307,6)&lt;&gt;"VACUUM"),"CDU",IF($H8307="FLUID CAT CRACKING","FCC",IF(OR($H8307="HYDROCRACKING",$H8307="RESID_HYDROCRACKING"),"Hydrocracker",IF($H8307="REFORMING","Reformer",""))))</f>
        <v/>
      </c>
      <c r="H8307" s="6" t="s">
        <v>378</v>
      </c>
      <c r="I8307" s="6" t="s">
        <v>812</v>
      </c>
      <c r="J8307" s="6" t="s">
        <v>349</v>
      </c>
      <c r="K8307" s="10">
        <v>6</v>
      </c>
      <c r="L8307" s="10">
        <v>12</v>
      </c>
      <c r="M8307" s="6" t="s">
        <v>375</v>
      </c>
    </row>
    <row r="8308" spans="1:13">
      <c r="A8308" s="6">
        <v>2027</v>
      </c>
      <c r="B8308" s="6">
        <v>2</v>
      </c>
      <c r="C8308" s="6" t="s">
        <v>60</v>
      </c>
      <c r="D8308" s="6" t="s">
        <v>762</v>
      </c>
      <c r="E8308" s="6" t="s">
        <v>763</v>
      </c>
      <c r="F8308" s="6" t="str">
        <f>IF($M8308="PADD I","PADD 1",IF($M8308="PADD II","PADD 2",IF($M8308="PADD III","PADD 3",IF($M8308="PADD IV","PADD 4",IF($M8308="PADD V","PADD 5","")))))</f>
        <v>PADD 2</v>
      </c>
      <c r="G8308" s="6">
        <f>IF(AND($H8308="ATMOS DISTILLATION",ISNUMBER(SEARCH("VPS",$I8308))=FALSE,LEFT($I8308,6)&lt;&gt;"VACUUM"),"CDU",IF($H8308="FLUID CAT CRACKING","FCC",IF(OR($H8308="HYDROCRACKING",$H8308="RESID_HYDROCRACKING"),"Hydrocracker",IF($H8308="REFORMING","Reformer",""))))</f>
        <v/>
      </c>
      <c r="H8308" s="6" t="s">
        <v>378</v>
      </c>
      <c r="I8308" s="6" t="s">
        <v>964</v>
      </c>
      <c r="J8308" s="6" t="s">
        <v>349</v>
      </c>
      <c r="K8308" s="10">
        <v>6</v>
      </c>
      <c r="L8308" s="10">
        <v>12</v>
      </c>
      <c r="M8308" s="6" t="s">
        <v>375</v>
      </c>
    </row>
    <row r="8309" spans="1:13">
      <c r="A8309" s="6">
        <v>2027</v>
      </c>
      <c r="B8309" s="6">
        <v>2</v>
      </c>
      <c r="C8309" s="6" t="s">
        <v>60</v>
      </c>
      <c r="D8309" s="6" t="s">
        <v>334</v>
      </c>
      <c r="E8309" s="6" t="s">
        <v>552</v>
      </c>
      <c r="F8309" s="6" t="str">
        <f>IF($M8309="PADD I","PADD 1",IF($M8309="PADD II","PADD 2",IF($M8309="PADD III","PADD 3",IF($M8309="PADD IV","PADD 4",IF($M8309="PADD V","PADD 5","")))))</f>
        <v>PADD 3</v>
      </c>
      <c r="G8309" s="6">
        <f>IF(AND($H8309="ATMOS DISTILLATION",ISNUMBER(SEARCH("VPS",$I8309))=FALSE,LEFT($I8309,6)&lt;&gt;"VACUUM"),"CDU",IF($H8309="FLUID CAT CRACKING","FCC",IF(OR($H8309="HYDROCRACKING",$H8309="RESID_HYDROCRACKING"),"Hydrocracker",IF($H8309="REFORMING","Reformer",""))))</f>
        <v/>
      </c>
      <c r="H8309" s="6" t="s">
        <v>523</v>
      </c>
      <c r="I8309" s="6" t="s">
        <v>524</v>
      </c>
      <c r="J8309" s="6" t="s">
        <v>349</v>
      </c>
      <c r="K8309" s="10">
        <v>5.9598</v>
      </c>
      <c r="L8309" s="10">
        <v>6.93</v>
      </c>
      <c r="M8309" s="6" t="s">
        <v>371</v>
      </c>
    </row>
    <row r="8310" spans="1:13">
      <c r="A8310" s="6">
        <v>2027</v>
      </c>
      <c r="B8310" s="6">
        <v>2</v>
      </c>
      <c r="C8310" s="6" t="s">
        <v>60</v>
      </c>
      <c r="D8310" s="6" t="s">
        <v>429</v>
      </c>
      <c r="E8310" s="6" t="s">
        <v>388</v>
      </c>
      <c r="F8310" s="6" t="str">
        <f>IF($M8310="PADD I","PADD 1",IF($M8310="PADD II","PADD 2",IF($M8310="PADD III","PADD 3",IF($M8310="PADD IV","PADD 4",IF($M8310="PADD V","PADD 5","")))))</f>
        <v>PADD 4</v>
      </c>
      <c r="G8310" s="6">
        <f>IF(AND($H8310="ATMOS DISTILLATION",ISNUMBER(SEARCH("VPS",$I8310))=FALSE,LEFT($I8310,6)&lt;&gt;"VACUUM"),"CDU",IF($H8310="FLUID CAT CRACKING","FCC",IF(OR($H8310="HYDROCRACKING",$H8310="RESID_HYDROCRACKING"),"Hydrocracker",IF($H8310="REFORMING","Reformer",""))))</f>
        <v/>
      </c>
      <c r="H8310" s="6" t="s">
        <v>460</v>
      </c>
      <c r="I8310" s="6" t="s">
        <v>461</v>
      </c>
      <c r="J8310" s="6" t="s">
        <v>349</v>
      </c>
      <c r="K8310" s="10">
        <v>5.76</v>
      </c>
      <c r="L8310" s="10">
        <v>6</v>
      </c>
      <c r="M8310" s="6" t="s">
        <v>430</v>
      </c>
    </row>
    <row r="8311" spans="1:13">
      <c r="A8311" s="6">
        <v>2027</v>
      </c>
      <c r="B8311" s="6">
        <v>2</v>
      </c>
      <c r="C8311" s="6" t="s">
        <v>60</v>
      </c>
      <c r="D8311" s="6" t="s">
        <v>887</v>
      </c>
      <c r="E8311" s="6" t="s">
        <v>405</v>
      </c>
      <c r="F8311" s="6" t="str">
        <f>IF($M8311="PADD I","PADD 1",IF($M8311="PADD II","PADD 2",IF($M8311="PADD III","PADD 3",IF($M8311="PADD IV","PADD 4",IF($M8311="PADD V","PADD 5","")))))</f>
        <v>PADD 3</v>
      </c>
      <c r="G8311" s="6">
        <f>IF(AND($H8311="ATMOS DISTILLATION",ISNUMBER(SEARCH("VPS",$I8311))=FALSE,LEFT($I8311,6)&lt;&gt;"VACUUM"),"CDU",IF($H8311="FLUID CAT CRACKING","FCC",IF(OR($H8311="HYDROCRACKING",$H8311="RESID_HYDROCRACKING"),"Hydrocracker",IF($H8311="REFORMING","Reformer",""))))</f>
        <v/>
      </c>
      <c r="H8311" s="6" t="s">
        <v>637</v>
      </c>
      <c r="I8311" s="6" t="s">
        <v>1278</v>
      </c>
      <c r="J8311" s="6" t="s">
        <v>349</v>
      </c>
      <c r="K8311" s="10">
        <v>5.4</v>
      </c>
      <c r="L8311" s="10">
        <v>15</v>
      </c>
      <c r="M8311" s="6" t="s">
        <v>371</v>
      </c>
    </row>
    <row r="8312" spans="1:13">
      <c r="A8312" s="6">
        <v>2027</v>
      </c>
      <c r="B8312" s="6">
        <v>2</v>
      </c>
      <c r="C8312" s="6" t="s">
        <v>60</v>
      </c>
      <c r="D8312" s="6" t="s">
        <v>50</v>
      </c>
      <c r="E8312" s="6" t="s">
        <v>381</v>
      </c>
      <c r="F8312" s="6" t="str">
        <f>IF($M8312="PADD I","PADD 1",IF($M8312="PADD II","PADD 2",IF($M8312="PADD III","PADD 3",IF($M8312="PADD IV","PADD 4",IF($M8312="PADD V","PADD 5","")))))</f>
        <v>PADD 3</v>
      </c>
      <c r="G8312" s="6">
        <f>IF(AND($H8312="ATMOS DISTILLATION",ISNUMBER(SEARCH("VPS",$I8312))=FALSE,LEFT($I8312,6)&lt;&gt;"VACUUM"),"CDU",IF($H8312="FLUID CAT CRACKING","FCC",IF(OR($H8312="HYDROCRACKING",$H8312="RESID_HYDROCRACKING"),"Hydrocracker",IF($H8312="REFORMING","Reformer",""))))</f>
        <v/>
      </c>
      <c r="H8312" s="6" t="s">
        <v>460</v>
      </c>
      <c r="I8312" s="6" t="s">
        <v>620</v>
      </c>
      <c r="J8312" s="6" t="s">
        <v>349</v>
      </c>
      <c r="K8312" s="10">
        <v>5.25</v>
      </c>
      <c r="L8312" s="10">
        <v>21</v>
      </c>
      <c r="M8312" s="6" t="s">
        <v>371</v>
      </c>
    </row>
    <row r="8313" spans="1:13">
      <c r="A8313" s="6">
        <v>2027</v>
      </c>
      <c r="B8313" s="6">
        <v>2</v>
      </c>
      <c r="C8313" s="6" t="s">
        <v>60</v>
      </c>
      <c r="D8313" s="6" t="s">
        <v>334</v>
      </c>
      <c r="E8313" s="6" t="s">
        <v>552</v>
      </c>
      <c r="F8313" s="6" t="str">
        <f>IF($M8313="PADD I","PADD 1",IF($M8313="PADD II","PADD 2",IF($M8313="PADD III","PADD 3",IF($M8313="PADD IV","PADD 4",IF($M8313="PADD V","PADD 5","")))))</f>
        <v>PADD 3</v>
      </c>
      <c r="G8313" s="6">
        <f>IF(AND($H8313="ATMOS DISTILLATION",ISNUMBER(SEARCH("VPS",$I8313))=FALSE,LEFT($I8313,6)&lt;&gt;"VACUUM"),"CDU",IF($H8313="FLUID CAT CRACKING","FCC",IF(OR($H8313="HYDROCRACKING",$H8313="RESID_HYDROCRACKING"),"Hydrocracker",IF($H8313="REFORMING","Reformer",""))))</f>
        <v/>
      </c>
      <c r="H8313" s="6" t="s">
        <v>568</v>
      </c>
      <c r="I8313" s="6" t="s">
        <v>623</v>
      </c>
      <c r="J8313" s="6" t="s">
        <v>349</v>
      </c>
      <c r="K8313" s="10">
        <v>5.16</v>
      </c>
      <c r="L8313" s="10">
        <v>6</v>
      </c>
      <c r="M8313" s="6" t="s">
        <v>371</v>
      </c>
    </row>
    <row r="8314" spans="1:13">
      <c r="A8314" s="6">
        <v>2027</v>
      </c>
      <c r="B8314" s="6">
        <v>2</v>
      </c>
      <c r="C8314" s="6" t="s">
        <v>60</v>
      </c>
      <c r="D8314" s="6" t="s">
        <v>1289</v>
      </c>
      <c r="E8314" s="6" t="s">
        <v>1290</v>
      </c>
      <c r="F8314" s="6" t="str">
        <f>IF($M8314="PADD I","PADD 1",IF($M8314="PADD II","PADD 2",IF($M8314="PADD III","PADD 3",IF($M8314="PADD IV","PADD 4",IF($M8314="PADD V","PADD 5","")))))</f>
        <v>PADD 5</v>
      </c>
      <c r="G8314" s="6">
        <f>IF(AND($H8314="ATMOS DISTILLATION",ISNUMBER(SEARCH("VPS",$I8314))=FALSE,LEFT($I8314,6)&lt;&gt;"VACUUM"),"CDU",IF($H8314="FLUID CAT CRACKING","FCC",IF(OR($H8314="HYDROCRACKING",$H8314="RESID_HYDROCRACKING"),"Hydrocracker",IF($H8314="REFORMING","Reformer",""))))</f>
        <v/>
      </c>
      <c r="H8314" s="6" t="s">
        <v>378</v>
      </c>
      <c r="I8314" s="6" t="s">
        <v>431</v>
      </c>
      <c r="J8314" s="6" t="s">
        <v>349</v>
      </c>
      <c r="K8314" s="10">
        <v>5.04</v>
      </c>
      <c r="L8314" s="10">
        <v>14</v>
      </c>
      <c r="M8314" s="6" t="s">
        <v>386</v>
      </c>
    </row>
    <row r="8315" spans="1:13">
      <c r="A8315" s="6">
        <v>2027</v>
      </c>
      <c r="B8315" s="6">
        <v>2</v>
      </c>
      <c r="C8315" s="6" t="s">
        <v>60</v>
      </c>
      <c r="D8315" s="6" t="s">
        <v>390</v>
      </c>
      <c r="E8315" s="6" t="s">
        <v>391</v>
      </c>
      <c r="F8315" s="6" t="str">
        <f>IF($M8315="PADD I","PADD 1",IF($M8315="PADD II","PADD 2",IF($M8315="PADD III","PADD 3",IF($M8315="PADD IV","PADD 4",IF($M8315="PADD V","PADD 5","")))))</f>
        <v>PADD 3</v>
      </c>
      <c r="G8315" s="6">
        <f>IF(AND($H8315="ATMOS DISTILLATION",ISNUMBER(SEARCH("VPS",$I8315))=FALSE,LEFT($I8315,6)&lt;&gt;"VACUUM"),"CDU",IF($H8315="FLUID CAT CRACKING","FCC",IF(OR($H8315="HYDROCRACKING",$H8315="RESID_HYDROCRACKING"),"Hydrocracker",IF($H8315="REFORMING","Reformer",""))))</f>
        <v/>
      </c>
      <c r="H8315" s="6" t="s">
        <v>460</v>
      </c>
      <c r="I8315" s="6" t="s">
        <v>1388</v>
      </c>
      <c r="J8315" s="6" t="s">
        <v>349</v>
      </c>
      <c r="K8315" s="10">
        <v>4.88</v>
      </c>
      <c r="L8315" s="10">
        <v>8</v>
      </c>
      <c r="M8315" s="6" t="s">
        <v>371</v>
      </c>
    </row>
    <row r="8316" spans="1:13">
      <c r="A8316" s="6">
        <v>2027</v>
      </c>
      <c r="B8316" s="6">
        <v>2</v>
      </c>
      <c r="C8316" s="6" t="s">
        <v>60</v>
      </c>
      <c r="D8316" s="6" t="s">
        <v>457</v>
      </c>
      <c r="E8316" s="6" t="s">
        <v>388</v>
      </c>
      <c r="F8316" s="6" t="str">
        <f>IF($M8316="PADD I","PADD 1",IF($M8316="PADD II","PADD 2",IF($M8316="PADD III","PADD 3",IF($M8316="PADD IV","PADD 4",IF($M8316="PADD V","PADD 5","")))))</f>
        <v>PADD 5</v>
      </c>
      <c r="G8316" s="6">
        <f>IF(AND($H8316="ATMOS DISTILLATION",ISNUMBER(SEARCH("VPS",$I8316))=FALSE,LEFT($I8316,6)&lt;&gt;"VACUUM"),"CDU",IF($H8316="FLUID CAT CRACKING","FCC",IF(OR($H8316="HYDROCRACKING",$H8316="RESID_HYDROCRACKING"),"Hydrocracker",IF($H8316="REFORMING","Reformer",""))))</f>
        <v/>
      </c>
      <c r="H8316" s="6" t="s">
        <v>43</v>
      </c>
      <c r="I8316" s="6" t="s">
        <v>1385</v>
      </c>
      <c r="J8316" s="6" t="s">
        <v>349</v>
      </c>
      <c r="K8316" s="10">
        <v>4.64</v>
      </c>
      <c r="L8316" s="10">
        <v>16</v>
      </c>
      <c r="M8316" s="6" t="s">
        <v>386</v>
      </c>
    </row>
    <row r="8317" spans="1:13">
      <c r="A8317" s="6">
        <v>2027</v>
      </c>
      <c r="B8317" s="6">
        <v>2</v>
      </c>
      <c r="C8317" s="6" t="s">
        <v>60</v>
      </c>
      <c r="D8317" s="6" t="s">
        <v>659</v>
      </c>
      <c r="E8317" s="6" t="s">
        <v>660</v>
      </c>
      <c r="F8317" s="6" t="str">
        <f>IF($M8317="PADD I","PADD 1",IF($M8317="PADD II","PADD 2",IF($M8317="PADD III","PADD 3",IF($M8317="PADD IV","PADD 4",IF($M8317="PADD V","PADD 5","")))))</f>
        <v>PADD 3</v>
      </c>
      <c r="G8317" s="6">
        <f>IF(AND($H8317="ATMOS DISTILLATION",ISNUMBER(SEARCH("VPS",$I8317))=FALSE,LEFT($I8317,6)&lt;&gt;"VACUUM"),"CDU",IF($H8317="FLUID CAT CRACKING","FCC",IF(OR($H8317="HYDROCRACKING",$H8317="RESID_HYDROCRACKING"),"Hydrocracker",IF($H8317="REFORMING","Reformer",""))))</f>
        <v/>
      </c>
      <c r="H8317" s="6" t="s">
        <v>378</v>
      </c>
      <c r="I8317" s="6" t="s">
        <v>431</v>
      </c>
      <c r="J8317" s="6" t="s">
        <v>349</v>
      </c>
      <c r="K8317" s="10">
        <v>3.965</v>
      </c>
      <c r="L8317" s="10">
        <v>6.5</v>
      </c>
      <c r="M8317" s="6" t="s">
        <v>371</v>
      </c>
    </row>
    <row r="8318" spans="1:13">
      <c r="A8318" s="6">
        <v>2027</v>
      </c>
      <c r="B8318" s="6">
        <v>2</v>
      </c>
      <c r="C8318" s="6" t="s">
        <v>60</v>
      </c>
      <c r="D8318" s="6" t="s">
        <v>887</v>
      </c>
      <c r="E8318" s="6" t="s">
        <v>405</v>
      </c>
      <c r="F8318" s="6" t="str">
        <f>IF($M8318="PADD I","PADD 1",IF($M8318="PADD II","PADD 2",IF($M8318="PADD III","PADD 3",IF($M8318="PADD IV","PADD 4",IF($M8318="PADD V","PADD 5","")))))</f>
        <v>PADD 3</v>
      </c>
      <c r="G8318" s="6">
        <f>IF(AND($H8318="ATMOS DISTILLATION",ISNUMBER(SEARCH("VPS",$I8318))=FALSE,LEFT($I8318,6)&lt;&gt;"VACUUM"),"CDU",IF($H8318="FLUID CAT CRACKING","FCC",IF(OR($H8318="HYDROCRACKING",$H8318="RESID_HYDROCRACKING"),"Hydrocracker",IF($H8318="REFORMING","Reformer",""))))</f>
        <v/>
      </c>
      <c r="H8318" s="6" t="s">
        <v>43</v>
      </c>
      <c r="I8318" s="6" t="s">
        <v>1280</v>
      </c>
      <c r="J8318" s="6" t="s">
        <v>349</v>
      </c>
      <c r="K8318" s="10">
        <v>3.6</v>
      </c>
      <c r="L8318" s="10">
        <v>10</v>
      </c>
      <c r="M8318" s="6" t="s">
        <v>371</v>
      </c>
    </row>
    <row r="8319" spans="1:13">
      <c r="A8319" s="6">
        <v>2027</v>
      </c>
      <c r="B8319" s="6">
        <v>2</v>
      </c>
      <c r="C8319" s="6" t="s">
        <v>60</v>
      </c>
      <c r="D8319" s="6" t="s">
        <v>887</v>
      </c>
      <c r="E8319" s="6" t="s">
        <v>405</v>
      </c>
      <c r="F8319" s="6" t="str">
        <f>IF($M8319="PADD I","PADD 1",IF($M8319="PADD II","PADD 2",IF($M8319="PADD III","PADD 3",IF($M8319="PADD IV","PADD 4",IF($M8319="PADD V","PADD 5","")))))</f>
        <v>PADD 3</v>
      </c>
      <c r="G8319" s="6" t="str">
        <f>IF(AND($H8319="ATMOS DISTILLATION",ISNUMBER(SEARCH("VPS",$I8319))=FALSE,LEFT($I8319,6)&lt;&gt;"VACUUM"),"CDU",IF($H8319="FLUID CAT CRACKING","FCC",IF(OR($H8319="HYDROCRACKING",$H8319="RESID_HYDROCRACKING"),"Hydrocracker",IF($H8319="REFORMING","Reformer",""))))</f>
        <v>Reformer</v>
      </c>
      <c r="H8319" s="6" t="s">
        <v>421</v>
      </c>
      <c r="I8319" s="6" t="s">
        <v>559</v>
      </c>
      <c r="J8319" s="6" t="s">
        <v>349</v>
      </c>
      <c r="K8319" s="10">
        <v>3.6</v>
      </c>
      <c r="L8319" s="10">
        <v>10</v>
      </c>
      <c r="M8319" s="6" t="s">
        <v>371</v>
      </c>
    </row>
    <row r="8320" spans="1:13">
      <c r="A8320" s="6">
        <v>2027</v>
      </c>
      <c r="B8320" s="6">
        <v>2</v>
      </c>
      <c r="C8320" s="6" t="s">
        <v>60</v>
      </c>
      <c r="D8320" s="6" t="s">
        <v>333</v>
      </c>
      <c r="E8320" s="6" t="s">
        <v>381</v>
      </c>
      <c r="F8320" s="6" t="str">
        <f>IF($M8320="PADD I","PADD 1",IF($M8320="PADD II","PADD 2",IF($M8320="PADD III","PADD 3",IF($M8320="PADD IV","PADD 4",IF($M8320="PADD V","PADD 5","")))))</f>
        <v>PADD 3</v>
      </c>
      <c r="G8320" s="6">
        <f>IF(AND($H8320="ATMOS DISTILLATION",ISNUMBER(SEARCH("VPS",$I8320))=FALSE,LEFT($I8320,6)&lt;&gt;"VACUUM"),"CDU",IF($H8320="FLUID CAT CRACKING","FCC",IF(OR($H8320="HYDROCRACKING",$H8320="RESID_HYDROCRACKING"),"Hydrocracker",IF($H8320="REFORMING","Reformer",""))))</f>
        <v/>
      </c>
      <c r="H8320" s="6" t="s">
        <v>897</v>
      </c>
      <c r="I8320" s="6" t="s">
        <v>1260</v>
      </c>
      <c r="J8320" s="6" t="s">
        <v>349</v>
      </c>
      <c r="K8320" s="10">
        <v>3.555</v>
      </c>
      <c r="L8320" s="10">
        <v>4.5</v>
      </c>
      <c r="M8320" s="6" t="s">
        <v>371</v>
      </c>
    </row>
    <row r="8321" spans="1:13">
      <c r="A8321" s="6">
        <v>2027</v>
      </c>
      <c r="B8321" s="6">
        <v>2</v>
      </c>
      <c r="C8321" s="6" t="s">
        <v>60</v>
      </c>
      <c r="D8321" s="6" t="s">
        <v>742</v>
      </c>
      <c r="E8321" s="6" t="s">
        <v>388</v>
      </c>
      <c r="F8321" s="6" t="str">
        <f>IF($M8321="PADD I","PADD 1",IF($M8321="PADD II","PADD 2",IF($M8321="PADD III","PADD 3",IF($M8321="PADD IV","PADD 4",IF($M8321="PADD V","PADD 5","")))))</f>
        <v>PADD 5</v>
      </c>
      <c r="G8321" s="6">
        <f>IF(AND($H8321="ATMOS DISTILLATION",ISNUMBER(SEARCH("VPS",$I8321))=FALSE,LEFT($I8321,6)&lt;&gt;"VACUUM"),"CDU",IF($H8321="FLUID CAT CRACKING","FCC",IF(OR($H8321="HYDROCRACKING",$H8321="RESID_HYDROCRACKING"),"Hydrocracker",IF($H8321="REFORMING","Reformer",""))))</f>
        <v/>
      </c>
      <c r="H8321" s="6" t="s">
        <v>568</v>
      </c>
      <c r="I8321" s="6" t="s">
        <v>768</v>
      </c>
      <c r="J8321" s="6" t="s">
        <v>349</v>
      </c>
      <c r="K8321" s="10">
        <v>3.5</v>
      </c>
      <c r="L8321" s="10">
        <v>3.5</v>
      </c>
      <c r="M8321" s="6" t="s">
        <v>386</v>
      </c>
    </row>
    <row r="8322" spans="1:13">
      <c r="A8322" s="6">
        <v>2027</v>
      </c>
      <c r="B8322" s="6">
        <v>2</v>
      </c>
      <c r="C8322" s="6" t="s">
        <v>60</v>
      </c>
      <c r="D8322" s="6" t="s">
        <v>334</v>
      </c>
      <c r="E8322" s="6" t="s">
        <v>552</v>
      </c>
      <c r="F8322" s="6" t="str">
        <f>IF($M8322="PADD I","PADD 1",IF($M8322="PADD II","PADD 2",IF($M8322="PADD III","PADD 3",IF($M8322="PADD IV","PADD 4",IF($M8322="PADD V","PADD 5","")))))</f>
        <v>PADD 3</v>
      </c>
      <c r="G8322" s="6">
        <f>IF(AND($H8322="ATMOS DISTILLATION",ISNUMBER(SEARCH("VPS",$I8322))=FALSE,LEFT($I8322,6)&lt;&gt;"VACUUM"),"CDU",IF($H8322="FLUID CAT CRACKING","FCC",IF(OR($H8322="HYDROCRACKING",$H8322="RESID_HYDROCRACKING"),"Hydrocracker",IF($H8322="REFORMING","Reformer",""))))</f>
        <v/>
      </c>
      <c r="H8322" s="6" t="s">
        <v>460</v>
      </c>
      <c r="I8322" s="6" t="s">
        <v>461</v>
      </c>
      <c r="J8322" s="6" t="s">
        <v>349</v>
      </c>
      <c r="K8322" s="10">
        <v>3.44</v>
      </c>
      <c r="L8322" s="10">
        <v>4</v>
      </c>
      <c r="M8322" s="6" t="s">
        <v>371</v>
      </c>
    </row>
    <row r="8323" spans="1:13">
      <c r="A8323" s="6">
        <v>2027</v>
      </c>
      <c r="B8323" s="6">
        <v>2</v>
      </c>
      <c r="C8323" s="6" t="s">
        <v>60</v>
      </c>
      <c r="D8323" s="6" t="s">
        <v>457</v>
      </c>
      <c r="E8323" s="6" t="s">
        <v>388</v>
      </c>
      <c r="F8323" s="6" t="str">
        <f>IF($M8323="PADD I","PADD 1",IF($M8323="PADD II","PADD 2",IF($M8323="PADD III","PADD 3",IF($M8323="PADD IV","PADD 4",IF($M8323="PADD V","PADD 5","")))))</f>
        <v>PADD 5</v>
      </c>
      <c r="G8323" s="6" t="str">
        <f>IF(AND($H8323="ATMOS DISTILLATION",ISNUMBER(SEARCH("VPS",$I8323))=FALSE,LEFT($I8323,6)&lt;&gt;"VACUUM"),"CDU",IF($H8323="FLUID CAT CRACKING","FCC",IF(OR($H8323="HYDROCRACKING",$H8323="RESID_HYDROCRACKING"),"Hydrocracker",IF($H8323="REFORMING","Reformer",""))))</f>
        <v>Reformer</v>
      </c>
      <c r="H8323" s="6" t="s">
        <v>421</v>
      </c>
      <c r="I8323" s="6" t="s">
        <v>1103</v>
      </c>
      <c r="J8323" s="6" t="s">
        <v>349</v>
      </c>
      <c r="K8323" s="10">
        <v>2.9</v>
      </c>
      <c r="L8323" s="10">
        <v>10</v>
      </c>
      <c r="M8323" s="6" t="s">
        <v>386</v>
      </c>
    </row>
    <row r="8324" spans="1:13">
      <c r="A8324" s="6">
        <v>2027</v>
      </c>
      <c r="B8324" s="6">
        <v>2</v>
      </c>
      <c r="C8324" s="6" t="s">
        <v>60</v>
      </c>
      <c r="D8324" s="6" t="s">
        <v>451</v>
      </c>
      <c r="E8324" s="6" t="s">
        <v>452</v>
      </c>
      <c r="F8324" s="6" t="str">
        <f>IF($M8324="PADD I","PADD 1",IF($M8324="PADD II","PADD 2",IF($M8324="PADD III","PADD 3",IF($M8324="PADD IV","PADD 4",IF($M8324="PADD V","PADD 5","")))))</f>
        <v>PADD 2</v>
      </c>
      <c r="G8324" s="6">
        <f>IF(AND($H8324="ATMOS DISTILLATION",ISNUMBER(SEARCH("VPS",$I8324))=FALSE,LEFT($I8324,6)&lt;&gt;"VACUUM"),"CDU",IF($H8324="FLUID CAT CRACKING","FCC",IF(OR($H8324="HYDROCRACKING",$H8324="RESID_HYDROCRACKING"),"Hydrocracker",IF($H8324="REFORMING","Reformer",""))))</f>
        <v/>
      </c>
      <c r="H8324" s="6" t="s">
        <v>460</v>
      </c>
      <c r="I8324" s="6" t="s">
        <v>461</v>
      </c>
      <c r="J8324" s="6" t="s">
        <v>349</v>
      </c>
      <c r="K8324" s="10">
        <v>2.58</v>
      </c>
      <c r="L8324" s="10">
        <v>3</v>
      </c>
      <c r="M8324" s="6" t="s">
        <v>375</v>
      </c>
    </row>
    <row r="8325" spans="1:13">
      <c r="A8325" s="6">
        <v>2027</v>
      </c>
      <c r="B8325" s="6">
        <v>2</v>
      </c>
      <c r="C8325" s="6" t="s">
        <v>60</v>
      </c>
      <c r="D8325" s="6" t="s">
        <v>762</v>
      </c>
      <c r="E8325" s="6" t="s">
        <v>763</v>
      </c>
      <c r="F8325" s="6" t="str">
        <f>IF($M8325="PADD I","PADD 1",IF($M8325="PADD II","PADD 2",IF($M8325="PADD III","PADD 3",IF($M8325="PADD IV","PADD 4",IF($M8325="PADD V","PADD 5","")))))</f>
        <v>PADD 2</v>
      </c>
      <c r="G8325" s="6">
        <f>IF(AND($H8325="ATMOS DISTILLATION",ISNUMBER(SEARCH("VPS",$I8325))=FALSE,LEFT($I8325,6)&lt;&gt;"VACUUM"),"CDU",IF($H8325="FLUID CAT CRACKING","FCC",IF(OR($H8325="HYDROCRACKING",$H8325="RESID_HYDROCRACKING"),"Hydrocracker",IF($H8325="REFORMING","Reformer",""))))</f>
        <v/>
      </c>
      <c r="H8325" s="6" t="s">
        <v>460</v>
      </c>
      <c r="I8325" s="6" t="s">
        <v>616</v>
      </c>
      <c r="J8325" s="6" t="s">
        <v>349</v>
      </c>
      <c r="K8325" s="10">
        <v>2.5</v>
      </c>
      <c r="L8325" s="10">
        <v>5</v>
      </c>
      <c r="M8325" s="6" t="s">
        <v>375</v>
      </c>
    </row>
    <row r="8326" spans="1:13">
      <c r="A8326" s="6">
        <v>2027</v>
      </c>
      <c r="B8326" s="6">
        <v>2</v>
      </c>
      <c r="C8326" s="6" t="s">
        <v>60</v>
      </c>
      <c r="D8326" s="6" t="s">
        <v>887</v>
      </c>
      <c r="E8326" s="6" t="s">
        <v>405</v>
      </c>
      <c r="F8326" s="6" t="str">
        <f>IF($M8326="PADD I","PADD 1",IF($M8326="PADD II","PADD 2",IF($M8326="PADD III","PADD 3",IF($M8326="PADD IV","PADD 4",IF($M8326="PADD V","PADD 5","")))))</f>
        <v>PADD 3</v>
      </c>
      <c r="G8326" s="6" t="str">
        <f>IF(AND($H8326="ATMOS DISTILLATION",ISNUMBER(SEARCH("VPS",$I8326))=FALSE,LEFT($I8326,6)&lt;&gt;"VACUUM"),"CDU",IF($H8326="FLUID CAT CRACKING","FCC",IF(OR($H8326="HYDROCRACKING",$H8326="RESID_HYDROCRACKING"),"Hydrocracker",IF($H8326="REFORMING","Reformer",""))))</f>
        <v>CDU</v>
      </c>
      <c r="H8326" s="6" t="s">
        <v>38</v>
      </c>
      <c r="I8326" s="6" t="s">
        <v>1284</v>
      </c>
      <c r="J8326" s="6" t="s">
        <v>349</v>
      </c>
      <c r="K8326" s="10">
        <v>2.05</v>
      </c>
      <c r="L8326" s="10">
        <v>2.5</v>
      </c>
      <c r="M8326" s="6" t="s">
        <v>371</v>
      </c>
    </row>
    <row r="8327" spans="1:13">
      <c r="A8327" s="6">
        <v>2027</v>
      </c>
      <c r="B8327" s="6">
        <v>2</v>
      </c>
      <c r="C8327" s="6" t="s">
        <v>60</v>
      </c>
      <c r="D8327" s="6" t="s">
        <v>1289</v>
      </c>
      <c r="E8327" s="6" t="s">
        <v>1290</v>
      </c>
      <c r="F8327" s="6" t="str">
        <f>IF($M8327="PADD I","PADD 1",IF($M8327="PADD II","PADD 2",IF($M8327="PADD III","PADD 3",IF($M8327="PADD IV","PADD 4",IF($M8327="PADD V","PADD 5","")))))</f>
        <v>PADD 5</v>
      </c>
      <c r="G8327" s="6">
        <f>IF(AND($H8327="ATMOS DISTILLATION",ISNUMBER(SEARCH("VPS",$I8327))=FALSE,LEFT($I8327,6)&lt;&gt;"VACUUM"),"CDU",IF($H8327="FLUID CAT CRACKING","FCC",IF(OR($H8327="HYDROCRACKING",$H8327="RESID_HYDROCRACKING"),"Hydrocracker",IF($H8327="REFORMING","Reformer",""))))</f>
        <v/>
      </c>
      <c r="H8327" s="6" t="s">
        <v>43</v>
      </c>
      <c r="I8327" s="6" t="s">
        <v>784</v>
      </c>
      <c r="J8327" s="6" t="s">
        <v>349</v>
      </c>
      <c r="K8327" s="10">
        <v>1.08</v>
      </c>
      <c r="L8327" s="10">
        <v>3</v>
      </c>
      <c r="M8327" s="6" t="s">
        <v>386</v>
      </c>
    </row>
    <row r="8328" spans="1:13">
      <c r="A8328" s="6">
        <v>2027</v>
      </c>
      <c r="B8328" s="6">
        <v>2</v>
      </c>
      <c r="C8328" s="6" t="s">
        <v>60</v>
      </c>
      <c r="D8328" s="6" t="s">
        <v>1289</v>
      </c>
      <c r="E8328" s="6" t="s">
        <v>1290</v>
      </c>
      <c r="F8328" s="6" t="str">
        <f>IF($M8328="PADD I","PADD 1",IF($M8328="PADD II","PADD 2",IF($M8328="PADD III","PADD 3",IF($M8328="PADD IV","PADD 4",IF($M8328="PADD V","PADD 5","")))))</f>
        <v>PADD 5</v>
      </c>
      <c r="G8328" s="6">
        <f>IF(AND($H8328="ATMOS DISTILLATION",ISNUMBER(SEARCH("VPS",$I8328))=FALSE,LEFT($I8328,6)&lt;&gt;"VACUUM"),"CDU",IF($H8328="FLUID CAT CRACKING","FCC",IF(OR($H8328="HYDROCRACKING",$H8328="RESID_HYDROCRACKING"),"Hydrocracker",IF($H8328="REFORMING","Reformer",""))))</f>
        <v/>
      </c>
      <c r="H8328" s="6" t="s">
        <v>637</v>
      </c>
      <c r="I8328" s="6" t="s">
        <v>904</v>
      </c>
      <c r="J8328" s="6" t="s">
        <v>349</v>
      </c>
      <c r="K8328" s="10">
        <v>0.72</v>
      </c>
      <c r="L8328" s="10">
        <v>2</v>
      </c>
      <c r="M8328" s="6" t="s">
        <v>386</v>
      </c>
    </row>
    <row r="8329" spans="1:13">
      <c r="A8329" s="6">
        <v>2027</v>
      </c>
      <c r="B8329" s="6">
        <v>3</v>
      </c>
      <c r="C8329" s="6" t="s">
        <v>61</v>
      </c>
      <c r="D8329" s="6" t="s">
        <v>50</v>
      </c>
      <c r="E8329" s="6" t="s">
        <v>381</v>
      </c>
      <c r="F8329" s="6" t="str">
        <f>IF($M8329="PADD I","PADD 1",IF($M8329="PADD II","PADD 2",IF($M8329="PADD III","PADD 3",IF($M8329="PADD IV","PADD 4",IF($M8329="PADD V","PADD 5","")))))</f>
        <v>PADD 3</v>
      </c>
      <c r="G8329" s="6" t="str">
        <f>IF(AND($H8329="ATMOS DISTILLATION",ISNUMBER(SEARCH("VPS",$I8329))=FALSE,LEFT($I8329,6)&lt;&gt;"VACUUM"),"CDU",IF($H8329="FLUID CAT CRACKING","FCC",IF(OR($H8329="HYDROCRACKING",$H8329="RESID_HYDROCRACKING"),"Hydrocracker",IF($H8329="REFORMING","Reformer",""))))</f>
        <v>FCC</v>
      </c>
      <c r="H8329" s="6" t="s">
        <v>376</v>
      </c>
      <c r="I8329" s="6" t="s">
        <v>102</v>
      </c>
      <c r="J8329" s="6" t="s">
        <v>349</v>
      </c>
      <c r="K8329" s="10">
        <v>125</v>
      </c>
      <c r="L8329" s="10">
        <v>125</v>
      </c>
      <c r="M8329" s="6" t="s">
        <v>371</v>
      </c>
    </row>
    <row r="8330" spans="1:13">
      <c r="A8330" s="6">
        <v>2027</v>
      </c>
      <c r="B8330" s="6">
        <v>3</v>
      </c>
      <c r="C8330" s="6" t="s">
        <v>61</v>
      </c>
      <c r="D8330" s="6" t="s">
        <v>53</v>
      </c>
      <c r="E8330" s="6" t="s">
        <v>543</v>
      </c>
      <c r="F8330" s="6" t="str">
        <f>IF($M8330="PADD I","PADD 1",IF($M8330="PADD II","PADD 2",IF($M8330="PADD III","PADD 3",IF($M8330="PADD IV","PADD 4",IF($M8330="PADD V","PADD 5","")))))</f>
        <v>PADD 5</v>
      </c>
      <c r="G8330" s="6" t="str">
        <f>IF(AND($H8330="ATMOS DISTILLATION",ISNUMBER(SEARCH("VPS",$I8330))=FALSE,LEFT($I8330,6)&lt;&gt;"VACUUM"),"CDU",IF($H8330="FLUID CAT CRACKING","FCC",IF(OR($H8330="HYDROCRACKING",$H8330="RESID_HYDROCRACKING"),"Hydrocracker",IF($H8330="REFORMING","Reformer",""))))</f>
        <v>CDU</v>
      </c>
      <c r="H8330" s="6" t="s">
        <v>38</v>
      </c>
      <c r="I8330" s="6" t="s">
        <v>81</v>
      </c>
      <c r="J8330" s="6" t="s">
        <v>349</v>
      </c>
      <c r="K8330" s="10">
        <v>120</v>
      </c>
      <c r="L8330" s="10">
        <v>250</v>
      </c>
      <c r="M8330" s="6" t="s">
        <v>386</v>
      </c>
    </row>
    <row r="8331" spans="1:13">
      <c r="A8331" s="6">
        <v>2027</v>
      </c>
      <c r="B8331" s="6">
        <v>3</v>
      </c>
      <c r="C8331" s="6" t="s">
        <v>61</v>
      </c>
      <c r="D8331" s="6" t="s">
        <v>335</v>
      </c>
      <c r="E8331" s="6" t="s">
        <v>369</v>
      </c>
      <c r="F8331" s="6" t="str">
        <f>IF($M8331="PADD I","PADD 1",IF($M8331="PADD II","PADD 2",IF($M8331="PADD III","PADD 3",IF($M8331="PADD IV","PADD 4",IF($M8331="PADD V","PADD 5","")))))</f>
        <v>PADD 3</v>
      </c>
      <c r="G8331" s="6" t="str">
        <f>IF(AND($H8331="ATMOS DISTILLATION",ISNUMBER(SEARCH("VPS",$I8331))=FALSE,LEFT($I8331,6)&lt;&gt;"VACUUM"),"CDU",IF($H8331="FLUID CAT CRACKING","FCC",IF(OR($H8331="HYDROCRACKING",$H8331="RESID_HYDROCRACKING"),"Hydrocracker",IF($H8331="REFORMING","Reformer",""))))</f>
        <v>CDU</v>
      </c>
      <c r="H8331" s="6" t="s">
        <v>38</v>
      </c>
      <c r="I8331" s="6" t="s">
        <v>117</v>
      </c>
      <c r="J8331" s="6" t="s">
        <v>349</v>
      </c>
      <c r="K8331" s="10">
        <v>87.87</v>
      </c>
      <c r="L8331" s="10">
        <v>101</v>
      </c>
      <c r="M8331" s="6" t="s">
        <v>371</v>
      </c>
    </row>
    <row r="8332" spans="1:13">
      <c r="A8332" s="6">
        <v>2027</v>
      </c>
      <c r="B8332" s="6">
        <v>3</v>
      </c>
      <c r="C8332" s="6" t="s">
        <v>61</v>
      </c>
      <c r="D8332" s="6" t="s">
        <v>670</v>
      </c>
      <c r="E8332" s="6" t="s">
        <v>405</v>
      </c>
      <c r="F8332" s="6" t="str">
        <f>IF($M8332="PADD I","PADD 1",IF($M8332="PADD II","PADD 2",IF($M8332="PADD III","PADD 3",IF($M8332="PADD IV","PADD 4",IF($M8332="PADD V","PADD 5","")))))</f>
        <v>PADD 2</v>
      </c>
      <c r="G8332" s="6" t="str">
        <f>IF(AND($H8332="ATMOS DISTILLATION",ISNUMBER(SEARCH("VPS",$I8332))=FALSE,LEFT($I8332,6)&lt;&gt;"VACUUM"),"CDU",IF($H8332="FLUID CAT CRACKING","FCC",IF(OR($H8332="HYDROCRACKING",$H8332="RESID_HYDROCRACKING"),"Hydrocracker",IF($H8332="REFORMING","Reformer",""))))</f>
        <v>CDU</v>
      </c>
      <c r="H8332" s="6" t="s">
        <v>38</v>
      </c>
      <c r="I8332" s="6" t="s">
        <v>138</v>
      </c>
      <c r="J8332" s="6" t="s">
        <v>349</v>
      </c>
      <c r="K8332" s="10">
        <v>80</v>
      </c>
      <c r="L8332" s="10">
        <v>80</v>
      </c>
      <c r="M8332" s="6" t="s">
        <v>375</v>
      </c>
    </row>
    <row r="8333" spans="1:13">
      <c r="A8333" s="6">
        <v>2027</v>
      </c>
      <c r="B8333" s="6">
        <v>3</v>
      </c>
      <c r="C8333" s="6" t="s">
        <v>61</v>
      </c>
      <c r="D8333" s="6" t="s">
        <v>334</v>
      </c>
      <c r="E8333" s="6" t="s">
        <v>552</v>
      </c>
      <c r="F8333" s="6" t="str">
        <f>IF($M8333="PADD I","PADD 1",IF($M8333="PADD II","PADD 2",IF($M8333="PADD III","PADD 3",IF($M8333="PADD IV","PADD 4",IF($M8333="PADD V","PADD 5","")))))</f>
        <v>PADD 3</v>
      </c>
      <c r="G8333" s="6" t="str">
        <f>IF(AND($H8333="ATMOS DISTILLATION",ISNUMBER(SEARCH("VPS",$I8333))=FALSE,LEFT($I8333,6)&lt;&gt;"VACUUM"),"CDU",IF($H8333="FLUID CAT CRACKING","FCC",IF(OR($H8333="HYDROCRACKING",$H8333="RESID_HYDROCRACKING"),"Hydrocracker",IF($H8333="REFORMING","Reformer",""))))</f>
        <v>CDU</v>
      </c>
      <c r="H8333" s="6" t="s">
        <v>38</v>
      </c>
      <c r="I8333" s="6" t="s">
        <v>137</v>
      </c>
      <c r="J8333" s="6" t="s">
        <v>349</v>
      </c>
      <c r="K8333" s="10">
        <v>80</v>
      </c>
      <c r="L8333" s="10">
        <v>80</v>
      </c>
      <c r="M8333" s="6" t="s">
        <v>371</v>
      </c>
    </row>
    <row r="8334" spans="1:13">
      <c r="A8334" s="6">
        <v>2027</v>
      </c>
      <c r="B8334" s="6">
        <v>3</v>
      </c>
      <c r="C8334" s="6" t="s">
        <v>61</v>
      </c>
      <c r="D8334" s="6" t="s">
        <v>390</v>
      </c>
      <c r="E8334" s="6" t="s">
        <v>391</v>
      </c>
      <c r="F8334" s="6" t="str">
        <f>IF($M8334="PADD I","PADD 1",IF($M8334="PADD II","PADD 2",IF($M8334="PADD III","PADD 3",IF($M8334="PADD IV","PADD 4",IF($M8334="PADD V","PADD 5","")))))</f>
        <v>PADD 3</v>
      </c>
      <c r="G8334" s="6" t="str">
        <f>IF(AND($H8334="ATMOS DISTILLATION",ISNUMBER(SEARCH("VPS",$I8334))=FALSE,LEFT($I8334,6)&lt;&gt;"VACUUM"),"CDU",IF($H8334="FLUID CAT CRACKING","FCC",IF(OR($H8334="HYDROCRACKING",$H8334="RESID_HYDROCRACKING"),"Hydrocracker",IF($H8334="REFORMING","Reformer",""))))</f>
        <v>FCC</v>
      </c>
      <c r="H8334" s="6" t="s">
        <v>376</v>
      </c>
      <c r="I8334" s="6" t="s">
        <v>140</v>
      </c>
      <c r="J8334" s="6" t="s">
        <v>349</v>
      </c>
      <c r="K8334" s="10">
        <v>70.875</v>
      </c>
      <c r="L8334" s="10">
        <v>78.75</v>
      </c>
      <c r="M8334" s="6" t="s">
        <v>371</v>
      </c>
    </row>
    <row r="8335" spans="1:13">
      <c r="A8335" s="6">
        <v>2027</v>
      </c>
      <c r="B8335" s="6">
        <v>3</v>
      </c>
      <c r="C8335" s="6" t="s">
        <v>61</v>
      </c>
      <c r="D8335" s="6" t="s">
        <v>322</v>
      </c>
      <c r="E8335" s="6" t="s">
        <v>369</v>
      </c>
      <c r="F8335" s="6" t="str">
        <f>IF($M8335="PADD I","PADD 1",IF($M8335="PADD II","PADD 2",IF($M8335="PADD III","PADD 3",IF($M8335="PADD IV","PADD 4",IF($M8335="PADD V","PADD 5","")))))</f>
        <v>PADD 2</v>
      </c>
      <c r="G8335" s="6" t="str">
        <f>IF(AND($H8335="ATMOS DISTILLATION",ISNUMBER(SEARCH("VPS",$I8335))=FALSE,LEFT($I8335,6)&lt;&gt;"VACUUM"),"CDU",IF($H8335="FLUID CAT CRACKING","FCC",IF(OR($H8335="HYDROCRACKING",$H8335="RESID_HYDROCRACKING"),"Hydrocracker",IF($H8335="REFORMING","Reformer",""))))</f>
        <v>CDU</v>
      </c>
      <c r="H8335" s="6" t="s">
        <v>38</v>
      </c>
      <c r="I8335" s="6" t="s">
        <v>911</v>
      </c>
      <c r="J8335" s="6" t="s">
        <v>349</v>
      </c>
      <c r="K8335" s="10">
        <v>65.25</v>
      </c>
      <c r="L8335" s="10">
        <v>75</v>
      </c>
      <c r="M8335" s="6" t="s">
        <v>375</v>
      </c>
    </row>
    <row r="8336" spans="1:13">
      <c r="A8336" s="6">
        <v>2027</v>
      </c>
      <c r="B8336" s="6">
        <v>3</v>
      </c>
      <c r="C8336" s="6" t="s">
        <v>61</v>
      </c>
      <c r="D8336" s="6" t="s">
        <v>576</v>
      </c>
      <c r="E8336" s="6" t="s">
        <v>369</v>
      </c>
      <c r="F8336" s="6" t="str">
        <f>IF($M8336="PADD I","PADD 1",IF($M8336="PADD II","PADD 2",IF($M8336="PADD III","PADD 3",IF($M8336="PADD IV","PADD 4",IF($M8336="PADD V","PADD 5","")))))</f>
        <v>PADD 3</v>
      </c>
      <c r="G8336" s="6" t="str">
        <f>IF(AND($H8336="ATMOS DISTILLATION",ISNUMBER(SEARCH("VPS",$I8336))=FALSE,LEFT($I8336,6)&lt;&gt;"VACUUM"),"CDU",IF($H8336="FLUID CAT CRACKING","FCC",IF(OR($H8336="HYDROCRACKING",$H8336="RESID_HYDROCRACKING"),"Hydrocracker",IF($H8336="REFORMING","Reformer",""))))</f>
        <v>CDU</v>
      </c>
      <c r="H8336" s="6" t="s">
        <v>38</v>
      </c>
      <c r="I8336" s="6" t="s">
        <v>332</v>
      </c>
      <c r="J8336" s="6" t="s">
        <v>349</v>
      </c>
      <c r="K8336" s="10">
        <v>60.9</v>
      </c>
      <c r="L8336" s="10">
        <v>70</v>
      </c>
      <c r="M8336" s="6" t="s">
        <v>371</v>
      </c>
    </row>
    <row r="8337" spans="1:13">
      <c r="A8337" s="6">
        <v>2027</v>
      </c>
      <c r="B8337" s="6">
        <v>3</v>
      </c>
      <c r="C8337" s="6" t="s">
        <v>61</v>
      </c>
      <c r="D8337" s="6" t="s">
        <v>680</v>
      </c>
      <c r="E8337" s="6" t="s">
        <v>681</v>
      </c>
      <c r="F8337" s="6" t="str">
        <f>IF($M8337="PADD I","PADD 1",IF($M8337="PADD II","PADD 2",IF($M8337="PADD III","PADD 3",IF($M8337="PADD IV","PADD 4",IF($M8337="PADD V","PADD 5","")))))</f>
        <v>PADD 3</v>
      </c>
      <c r="G8337" s="6" t="str">
        <f>IF(AND($H8337="ATMOS DISTILLATION",ISNUMBER(SEARCH("VPS",$I8337))=FALSE,LEFT($I8337,6)&lt;&gt;"VACUUM"),"CDU",IF($H8337="FLUID CAT CRACKING","FCC",IF(OR($H8337="HYDROCRACKING",$H8337="RESID_HYDROCRACKING"),"Hydrocracker",IF($H8337="REFORMING","Reformer",""))))</f>
        <v>CDU</v>
      </c>
      <c r="H8337" s="6" t="s">
        <v>38</v>
      </c>
      <c r="I8337" s="6" t="s">
        <v>81</v>
      </c>
      <c r="J8337" s="6" t="s">
        <v>349</v>
      </c>
      <c r="K8337" s="10">
        <v>60.9</v>
      </c>
      <c r="L8337" s="10">
        <v>70</v>
      </c>
      <c r="M8337" s="6" t="s">
        <v>371</v>
      </c>
    </row>
    <row r="8338" spans="1:13">
      <c r="A8338" s="6">
        <v>2027</v>
      </c>
      <c r="B8338" s="6">
        <v>3</v>
      </c>
      <c r="C8338" s="6" t="s">
        <v>61</v>
      </c>
      <c r="D8338" s="6" t="s">
        <v>839</v>
      </c>
      <c r="E8338" s="6" t="s">
        <v>840</v>
      </c>
      <c r="F8338" s="6" t="str">
        <f>IF($M8338="PADD I","PADD 1",IF($M8338="PADD II","PADD 2",IF($M8338="PADD III","PADD 3",IF($M8338="PADD IV","PADD 4",IF($M8338="PADD V","PADD 5","")))))</f>
        <v>PADD 1</v>
      </c>
      <c r="G8338" s="6" t="str">
        <f>IF(AND($H8338="ATMOS DISTILLATION",ISNUMBER(SEARCH("VPS",$I8338))=FALSE,LEFT($I8338,6)&lt;&gt;"VACUUM"),"CDU",IF($H8338="FLUID CAT CRACKING","FCC",IF(OR($H8338="HYDROCRACKING",$H8338="RESID_HYDROCRACKING"),"Hydrocracker",IF($H8338="REFORMING","Reformer",""))))</f>
        <v>CDU</v>
      </c>
      <c r="H8338" s="6" t="s">
        <v>38</v>
      </c>
      <c r="I8338" s="6" t="s">
        <v>133</v>
      </c>
      <c r="J8338" s="6" t="s">
        <v>349</v>
      </c>
      <c r="K8338" s="10">
        <v>60.9</v>
      </c>
      <c r="L8338" s="10">
        <v>70</v>
      </c>
      <c r="M8338" s="6" t="s">
        <v>413</v>
      </c>
    </row>
    <row r="8339" spans="1:13">
      <c r="A8339" s="6">
        <v>2027</v>
      </c>
      <c r="B8339" s="6">
        <v>3</v>
      </c>
      <c r="C8339" s="6" t="s">
        <v>61</v>
      </c>
      <c r="D8339" s="6" t="s">
        <v>48</v>
      </c>
      <c r="E8339" s="6" t="s">
        <v>388</v>
      </c>
      <c r="F8339" s="6" t="str">
        <f>IF($M8339="PADD I","PADD 1",IF($M8339="PADD II","PADD 2",IF($M8339="PADD III","PADD 3",IF($M8339="PADD IV","PADD 4",IF($M8339="PADD V","PADD 5","")))))</f>
        <v>PADD 2</v>
      </c>
      <c r="G8339" s="6">
        <f>IF(AND($H8339="ATMOS DISTILLATION",ISNUMBER(SEARCH("VPS",$I8339))=FALSE,LEFT($I8339,6)&lt;&gt;"VACUUM"),"CDU",IF($H8339="FLUID CAT CRACKING","FCC",IF(OR($H8339="HYDROCRACKING",$H8339="RESID_HYDROCRACKING"),"Hydrocracker",IF($H8339="REFORMING","Reformer",""))))</f>
        <v/>
      </c>
      <c r="H8339" s="6" t="s">
        <v>43</v>
      </c>
      <c r="I8339" s="6" t="s">
        <v>696</v>
      </c>
      <c r="J8339" s="6" t="s">
        <v>349</v>
      </c>
      <c r="K8339" s="10">
        <v>55.25</v>
      </c>
      <c r="L8339" s="10">
        <v>85</v>
      </c>
      <c r="M8339" s="6" t="s">
        <v>375</v>
      </c>
    </row>
    <row r="8340" spans="1:13">
      <c r="A8340" s="6">
        <v>2027</v>
      </c>
      <c r="B8340" s="6">
        <v>3</v>
      </c>
      <c r="C8340" s="6" t="s">
        <v>61</v>
      </c>
      <c r="D8340" s="6" t="s">
        <v>670</v>
      </c>
      <c r="E8340" s="6" t="s">
        <v>405</v>
      </c>
      <c r="F8340" s="6" t="str">
        <f>IF($M8340="PADD I","PADD 1",IF($M8340="PADD II","PADD 2",IF($M8340="PADD III","PADD 3",IF($M8340="PADD IV","PADD 4",IF($M8340="PADD V","PADD 5","")))))</f>
        <v>PADD 2</v>
      </c>
      <c r="G8340" s="6">
        <f>IF(AND($H8340="ATMOS DISTILLATION",ISNUMBER(SEARCH("VPS",$I8340))=FALSE,LEFT($I8340,6)&lt;&gt;"VACUUM"),"CDU",IF($H8340="FLUID CAT CRACKING","FCC",IF(OR($H8340="HYDROCRACKING",$H8340="RESID_HYDROCRACKING"),"Hydrocracker",IF($H8340="REFORMING","Reformer",""))))</f>
        <v/>
      </c>
      <c r="H8340" s="6" t="s">
        <v>43</v>
      </c>
      <c r="I8340" s="6" t="s">
        <v>912</v>
      </c>
      <c r="J8340" s="6" t="s">
        <v>349</v>
      </c>
      <c r="K8340" s="10">
        <v>53</v>
      </c>
      <c r="L8340" s="10">
        <v>53</v>
      </c>
      <c r="M8340" s="6" t="s">
        <v>375</v>
      </c>
    </row>
    <row r="8341" spans="1:13">
      <c r="A8341" s="6">
        <v>2027</v>
      </c>
      <c r="B8341" s="6">
        <v>3</v>
      </c>
      <c r="C8341" s="6" t="s">
        <v>61</v>
      </c>
      <c r="D8341" s="6" t="s">
        <v>646</v>
      </c>
      <c r="E8341" s="6" t="s">
        <v>405</v>
      </c>
      <c r="F8341" s="6" t="str">
        <f>IF($M8341="PADD I","PADD 1",IF($M8341="PADD II","PADD 2",IF($M8341="PADD III","PADD 3",IF($M8341="PADD IV","PADD 4",IF($M8341="PADD V","PADD 5","")))))</f>
        <v>PADD 3</v>
      </c>
      <c r="G8341" s="6" t="str">
        <f>IF(AND($H8341="ATMOS DISTILLATION",ISNUMBER(SEARCH("VPS",$I8341))=FALSE,LEFT($I8341,6)&lt;&gt;"VACUUM"),"CDU",IF($H8341="FLUID CAT CRACKING","FCC",IF(OR($H8341="HYDROCRACKING",$H8341="RESID_HYDROCRACKING"),"Hydrocracker",IF($H8341="REFORMING","Reformer",""))))</f>
        <v>CDU</v>
      </c>
      <c r="H8341" s="6" t="s">
        <v>38</v>
      </c>
      <c r="I8341" s="6" t="s">
        <v>126</v>
      </c>
      <c r="J8341" s="6" t="s">
        <v>349</v>
      </c>
      <c r="K8341" s="10">
        <v>52.8</v>
      </c>
      <c r="L8341" s="10">
        <v>96</v>
      </c>
      <c r="M8341" s="6" t="s">
        <v>371</v>
      </c>
    </row>
    <row r="8342" spans="1:13">
      <c r="A8342" s="6">
        <v>2027</v>
      </c>
      <c r="B8342" s="6">
        <v>3</v>
      </c>
      <c r="C8342" s="6" t="s">
        <v>61</v>
      </c>
      <c r="D8342" s="6" t="s">
        <v>322</v>
      </c>
      <c r="E8342" s="6" t="s">
        <v>369</v>
      </c>
      <c r="F8342" s="6" t="str">
        <f>IF($M8342="PADD I","PADD 1",IF($M8342="PADD II","PADD 2",IF($M8342="PADD III","PADD 3",IF($M8342="PADD IV","PADD 4",IF($M8342="PADD V","PADD 5","")))))</f>
        <v>PADD 2</v>
      </c>
      <c r="G8342" s="6">
        <f>IF(AND($H8342="ATMOS DISTILLATION",ISNUMBER(SEARCH("VPS",$I8342))=FALSE,LEFT($I8342,6)&lt;&gt;"VACUUM"),"CDU",IF($H8342="FLUID CAT CRACKING","FCC",IF(OR($H8342="HYDROCRACKING",$H8342="RESID_HYDROCRACKING"),"Hydrocracker",IF($H8342="REFORMING","Reformer",""))))</f>
        <v/>
      </c>
      <c r="H8342" s="6" t="s">
        <v>378</v>
      </c>
      <c r="I8342" s="6" t="s">
        <v>1389</v>
      </c>
      <c r="J8342" s="6" t="s">
        <v>349</v>
      </c>
      <c r="K8342" s="10">
        <v>50.46</v>
      </c>
      <c r="L8342" s="10">
        <v>58</v>
      </c>
      <c r="M8342" s="6" t="s">
        <v>375</v>
      </c>
    </row>
    <row r="8343" spans="1:13">
      <c r="A8343" s="6">
        <v>2027</v>
      </c>
      <c r="B8343" s="6">
        <v>3</v>
      </c>
      <c r="C8343" s="6" t="s">
        <v>61</v>
      </c>
      <c r="D8343" s="6" t="s">
        <v>676</v>
      </c>
      <c r="E8343" s="6" t="s">
        <v>677</v>
      </c>
      <c r="F8343" s="6" t="str">
        <f>IF($M8343="PADD I","PADD 1",IF($M8343="PADD II","PADD 2",IF($M8343="PADD III","PADD 3",IF($M8343="PADD IV","PADD 4",IF($M8343="PADD V","PADD 5","")))))</f>
        <v>PADD 1</v>
      </c>
      <c r="G8343" s="6" t="str">
        <f>IF(AND($H8343="ATMOS DISTILLATION",ISNUMBER(SEARCH("VPS",$I8343))=FALSE,LEFT($I8343,6)&lt;&gt;"VACUUM"),"CDU",IF($H8343="FLUID CAT CRACKING","FCC",IF(OR($H8343="HYDROCRACKING",$H8343="RESID_HYDROCRACKING"),"Hydrocracker",IF($H8343="REFORMING","Reformer",""))))</f>
        <v>CDU</v>
      </c>
      <c r="H8343" s="6" t="s">
        <v>38</v>
      </c>
      <c r="I8343" s="6" t="s">
        <v>1266</v>
      </c>
      <c r="J8343" s="6" t="s">
        <v>349</v>
      </c>
      <c r="K8343" s="10">
        <v>47.85</v>
      </c>
      <c r="L8343" s="10">
        <v>55</v>
      </c>
      <c r="M8343" s="6" t="s">
        <v>413</v>
      </c>
    </row>
    <row r="8344" spans="1:13">
      <c r="A8344" s="6">
        <v>2027</v>
      </c>
      <c r="B8344" s="6">
        <v>3</v>
      </c>
      <c r="C8344" s="6" t="s">
        <v>61</v>
      </c>
      <c r="D8344" s="6" t="s">
        <v>851</v>
      </c>
      <c r="E8344" s="6" t="s">
        <v>852</v>
      </c>
      <c r="F8344" s="6" t="str">
        <f>IF($M8344="PADD I","PADD 1",IF($M8344="PADD II","PADD 2",IF($M8344="PADD III","PADD 3",IF($M8344="PADD IV","PADD 4",IF($M8344="PADD V","PADD 5","")))))</f>
        <v>PADD 3</v>
      </c>
      <c r="G8344" s="6" t="str">
        <f>IF(AND($H8344="ATMOS DISTILLATION",ISNUMBER(SEARCH("VPS",$I8344))=FALSE,LEFT($I8344,6)&lt;&gt;"VACUUM"),"CDU",IF($H8344="FLUID CAT CRACKING","FCC",IF(OR($H8344="HYDROCRACKING",$H8344="RESID_HYDROCRACKING"),"Hydrocracker",IF($H8344="REFORMING","Reformer",""))))</f>
        <v>CDU</v>
      </c>
      <c r="H8344" s="6" t="s">
        <v>38</v>
      </c>
      <c r="I8344" s="6" t="s">
        <v>853</v>
      </c>
      <c r="J8344" s="6" t="s">
        <v>349</v>
      </c>
      <c r="K8344" s="10">
        <v>42.25</v>
      </c>
      <c r="L8344" s="10">
        <v>65</v>
      </c>
      <c r="M8344" s="6" t="s">
        <v>371</v>
      </c>
    </row>
    <row r="8345" spans="1:13">
      <c r="A8345" s="6">
        <v>2027</v>
      </c>
      <c r="B8345" s="6">
        <v>3</v>
      </c>
      <c r="C8345" s="6" t="s">
        <v>61</v>
      </c>
      <c r="D8345" s="6" t="s">
        <v>851</v>
      </c>
      <c r="E8345" s="6" t="s">
        <v>852</v>
      </c>
      <c r="F8345" s="6" t="str">
        <f>IF($M8345="PADD I","PADD 1",IF($M8345="PADD II","PADD 2",IF($M8345="PADD III","PADD 3",IF($M8345="PADD IV","PADD 4",IF($M8345="PADD V","PADD 5","")))))</f>
        <v>PADD 3</v>
      </c>
      <c r="G8345" s="6" t="str">
        <f>IF(AND($H8345="ATMOS DISTILLATION",ISNUMBER(SEARCH("VPS",$I8345))=FALSE,LEFT($I8345,6)&lt;&gt;"VACUUM"),"CDU",IF($H8345="FLUID CAT CRACKING","FCC",IF(OR($H8345="HYDROCRACKING",$H8345="RESID_HYDROCRACKING"),"Hydrocracker",IF($H8345="REFORMING","Reformer",""))))</f>
        <v>CDU</v>
      </c>
      <c r="H8345" s="6" t="s">
        <v>38</v>
      </c>
      <c r="I8345" s="6" t="s">
        <v>854</v>
      </c>
      <c r="J8345" s="6" t="s">
        <v>349</v>
      </c>
      <c r="K8345" s="10">
        <v>42.25</v>
      </c>
      <c r="L8345" s="10">
        <v>65</v>
      </c>
      <c r="M8345" s="6" t="s">
        <v>371</v>
      </c>
    </row>
    <row r="8346" spans="1:13">
      <c r="A8346" s="6">
        <v>2027</v>
      </c>
      <c r="B8346" s="6">
        <v>3</v>
      </c>
      <c r="C8346" s="6" t="s">
        <v>61</v>
      </c>
      <c r="D8346" s="6" t="s">
        <v>390</v>
      </c>
      <c r="E8346" s="6" t="s">
        <v>391</v>
      </c>
      <c r="F8346" s="6" t="str">
        <f>IF($M8346="PADD I","PADD 1",IF($M8346="PADD II","PADD 2",IF($M8346="PADD III","PADD 3",IF($M8346="PADD IV","PADD 4",IF($M8346="PADD V","PADD 5","")))))</f>
        <v>PADD 3</v>
      </c>
      <c r="G8346" s="6">
        <f>IF(AND($H8346="ATMOS DISTILLATION",ISNUMBER(SEARCH("VPS",$I8346))=FALSE,LEFT($I8346,6)&lt;&gt;"VACUUM"),"CDU",IF($H8346="FLUID CAT CRACKING","FCC",IF(OR($H8346="HYDROCRACKING",$H8346="RESID_HYDROCRACKING"),"Hydrocracker",IF($H8346="REFORMING","Reformer",""))))</f>
        <v/>
      </c>
      <c r="H8346" s="6" t="s">
        <v>43</v>
      </c>
      <c r="I8346" s="6" t="s">
        <v>1386</v>
      </c>
      <c r="J8346" s="6" t="s">
        <v>349</v>
      </c>
      <c r="K8346" s="10">
        <v>40.5</v>
      </c>
      <c r="L8346" s="10">
        <v>45</v>
      </c>
      <c r="M8346" s="6" t="s">
        <v>371</v>
      </c>
    </row>
    <row r="8347" spans="1:13">
      <c r="A8347" s="6">
        <v>2027</v>
      </c>
      <c r="B8347" s="6">
        <v>3</v>
      </c>
      <c r="C8347" s="6" t="s">
        <v>61</v>
      </c>
      <c r="D8347" s="6" t="s">
        <v>390</v>
      </c>
      <c r="E8347" s="6" t="s">
        <v>391</v>
      </c>
      <c r="F8347" s="6" t="str">
        <f>IF($M8347="PADD I","PADD 1",IF($M8347="PADD II","PADD 2",IF($M8347="PADD III","PADD 3",IF($M8347="PADD IV","PADD 4",IF($M8347="PADD V","PADD 5","")))))</f>
        <v>PADD 3</v>
      </c>
      <c r="G8347" s="6">
        <f>IF(AND($H8347="ATMOS DISTILLATION",ISNUMBER(SEARCH("VPS",$I8347))=FALSE,LEFT($I8347,6)&lt;&gt;"VACUUM"),"CDU",IF($H8347="FLUID CAT CRACKING","FCC",IF(OR($H8347="HYDROCRACKING",$H8347="RESID_HYDROCRACKING"),"Hydrocracker",IF($H8347="REFORMING","Reformer",""))))</f>
        <v/>
      </c>
      <c r="H8347" s="6" t="s">
        <v>43</v>
      </c>
      <c r="I8347" s="6" t="s">
        <v>1084</v>
      </c>
      <c r="J8347" s="6" t="s">
        <v>349</v>
      </c>
      <c r="K8347" s="10">
        <v>40.5</v>
      </c>
      <c r="L8347" s="10">
        <v>45</v>
      </c>
      <c r="M8347" s="6" t="s">
        <v>371</v>
      </c>
    </row>
    <row r="8348" spans="1:13">
      <c r="A8348" s="6">
        <v>2027</v>
      </c>
      <c r="B8348" s="6">
        <v>3</v>
      </c>
      <c r="C8348" s="6" t="s">
        <v>61</v>
      </c>
      <c r="D8348" s="6" t="s">
        <v>390</v>
      </c>
      <c r="E8348" s="6" t="s">
        <v>391</v>
      </c>
      <c r="F8348" s="6" t="str">
        <f>IF($M8348="PADD I","PADD 1",IF($M8348="PADD II","PADD 2",IF($M8348="PADD III","PADD 3",IF($M8348="PADD IV","PADD 4",IF($M8348="PADD V","PADD 5","")))))</f>
        <v>PADD 3</v>
      </c>
      <c r="G8348" s="6">
        <f>IF(AND($H8348="ATMOS DISTILLATION",ISNUMBER(SEARCH("VPS",$I8348))=FALSE,LEFT($I8348,6)&lt;&gt;"VACUUM"),"CDU",IF($H8348="FLUID CAT CRACKING","FCC",IF(OR($H8348="HYDROCRACKING",$H8348="RESID_HYDROCRACKING"),"Hydrocracker",IF($H8348="REFORMING","Reformer",""))))</f>
        <v/>
      </c>
      <c r="H8348" s="6" t="s">
        <v>43</v>
      </c>
      <c r="I8348" s="6" t="s">
        <v>1227</v>
      </c>
      <c r="J8348" s="6" t="s">
        <v>349</v>
      </c>
      <c r="K8348" s="10">
        <v>40.5</v>
      </c>
      <c r="L8348" s="10">
        <v>45</v>
      </c>
      <c r="M8348" s="6" t="s">
        <v>371</v>
      </c>
    </row>
    <row r="8349" spans="1:13">
      <c r="A8349" s="6">
        <v>2027</v>
      </c>
      <c r="B8349" s="6">
        <v>3</v>
      </c>
      <c r="C8349" s="6" t="s">
        <v>61</v>
      </c>
      <c r="D8349" s="6" t="s">
        <v>319</v>
      </c>
      <c r="E8349" s="6" t="s">
        <v>665</v>
      </c>
      <c r="F8349" s="6" t="str">
        <f>IF($M8349="PADD I","PADD 1",IF($M8349="PADD II","PADD 2",IF($M8349="PADD III","PADD 3",IF($M8349="PADD IV","PADD 4",IF($M8349="PADD V","PADD 5","")))))</f>
        <v>PADD 3</v>
      </c>
      <c r="G8349" s="6">
        <f>IF(AND($H8349="ATMOS DISTILLATION",ISNUMBER(SEARCH("VPS",$I8349))=FALSE,LEFT($I8349,6)&lt;&gt;"VACUUM"),"CDU",IF($H8349="FLUID CAT CRACKING","FCC",IF(OR($H8349="HYDROCRACKING",$H8349="RESID_HYDROCRACKING"),"Hydrocracker",IF($H8349="REFORMING","Reformer",""))))</f>
        <v/>
      </c>
      <c r="H8349" s="6" t="s">
        <v>43</v>
      </c>
      <c r="I8349" s="6" t="s">
        <v>888</v>
      </c>
      <c r="J8349" s="6" t="s">
        <v>349</v>
      </c>
      <c r="K8349" s="10">
        <v>40</v>
      </c>
      <c r="L8349" s="10">
        <v>40</v>
      </c>
      <c r="M8349" s="6" t="s">
        <v>371</v>
      </c>
    </row>
    <row r="8350" spans="1:13">
      <c r="A8350" s="6">
        <v>2027</v>
      </c>
      <c r="B8350" s="6">
        <v>3</v>
      </c>
      <c r="C8350" s="6" t="s">
        <v>61</v>
      </c>
      <c r="D8350" s="6" t="s">
        <v>670</v>
      </c>
      <c r="E8350" s="6" t="s">
        <v>405</v>
      </c>
      <c r="F8350" s="6" t="str">
        <f>IF($M8350="PADD I","PADD 1",IF($M8350="PADD II","PADD 2",IF($M8350="PADD III","PADD 3",IF($M8350="PADD IV","PADD 4",IF($M8350="PADD V","PADD 5","")))))</f>
        <v>PADD 2</v>
      </c>
      <c r="G8350" s="6">
        <f>IF(AND($H8350="ATMOS DISTILLATION",ISNUMBER(SEARCH("VPS",$I8350))=FALSE,LEFT($I8350,6)&lt;&gt;"VACUUM"),"CDU",IF($H8350="FLUID CAT CRACKING","FCC",IF(OR($H8350="HYDROCRACKING",$H8350="RESID_HYDROCRACKING"),"Hydrocracker",IF($H8350="REFORMING","Reformer",""))))</f>
        <v/>
      </c>
      <c r="H8350" s="6" t="s">
        <v>43</v>
      </c>
      <c r="I8350" s="6" t="s">
        <v>458</v>
      </c>
      <c r="J8350" s="6" t="s">
        <v>349</v>
      </c>
      <c r="K8350" s="10">
        <v>40</v>
      </c>
      <c r="L8350" s="10">
        <v>40</v>
      </c>
      <c r="M8350" s="6" t="s">
        <v>375</v>
      </c>
    </row>
    <row r="8351" spans="1:13">
      <c r="A8351" s="6">
        <v>2027</v>
      </c>
      <c r="B8351" s="6">
        <v>3</v>
      </c>
      <c r="C8351" s="6" t="s">
        <v>61</v>
      </c>
      <c r="D8351" s="6" t="s">
        <v>319</v>
      </c>
      <c r="E8351" s="6" t="s">
        <v>665</v>
      </c>
      <c r="F8351" s="6" t="str">
        <f>IF($M8351="PADD I","PADD 1",IF($M8351="PADD II","PADD 2",IF($M8351="PADD III","PADD 3",IF($M8351="PADD IV","PADD 4",IF($M8351="PADD V","PADD 5","")))))</f>
        <v>PADD 3</v>
      </c>
      <c r="G8351" s="6" t="str">
        <f>IF(AND($H8351="ATMOS DISTILLATION",ISNUMBER(SEARCH("VPS",$I8351))=FALSE,LEFT($I8351,6)&lt;&gt;"VACUUM"),"CDU",IF($H8351="FLUID CAT CRACKING","FCC",IF(OR($H8351="HYDROCRACKING",$H8351="RESID_HYDROCRACKING"),"Hydrocracker",IF($H8351="REFORMING","Reformer",""))))</f>
        <v>Hydrocracker</v>
      </c>
      <c r="H8351" s="6" t="s">
        <v>444</v>
      </c>
      <c r="I8351" s="6" t="s">
        <v>14</v>
      </c>
      <c r="J8351" s="6" t="s">
        <v>349</v>
      </c>
      <c r="K8351" s="10">
        <v>40</v>
      </c>
      <c r="L8351" s="10">
        <v>40</v>
      </c>
      <c r="M8351" s="6" t="s">
        <v>371</v>
      </c>
    </row>
    <row r="8352" spans="1:13">
      <c r="A8352" s="6">
        <v>2027</v>
      </c>
      <c r="B8352" s="6">
        <v>3</v>
      </c>
      <c r="C8352" s="6" t="s">
        <v>61</v>
      </c>
      <c r="D8352" s="6" t="s">
        <v>319</v>
      </c>
      <c r="E8352" s="6" t="s">
        <v>665</v>
      </c>
      <c r="F8352" s="6" t="str">
        <f>IF($M8352="PADD I","PADD 1",IF($M8352="PADD II","PADD 2",IF($M8352="PADD III","PADD 3",IF($M8352="PADD IV","PADD 4",IF($M8352="PADD V","PADD 5","")))))</f>
        <v>PADD 3</v>
      </c>
      <c r="G8352" s="6" t="str">
        <f>IF(AND($H8352="ATMOS DISTILLATION",ISNUMBER(SEARCH("VPS",$I8352))=FALSE,LEFT($I8352,6)&lt;&gt;"VACUUM"),"CDU",IF($H8352="FLUID CAT CRACKING","FCC",IF(OR($H8352="HYDROCRACKING",$H8352="RESID_HYDROCRACKING"),"Hydrocracker",IF($H8352="REFORMING","Reformer",""))))</f>
        <v>Reformer</v>
      </c>
      <c r="H8352" s="6" t="s">
        <v>421</v>
      </c>
      <c r="I8352" s="6" t="s">
        <v>889</v>
      </c>
      <c r="J8352" s="6" t="s">
        <v>349</v>
      </c>
      <c r="K8352" s="10">
        <v>40</v>
      </c>
      <c r="L8352" s="10">
        <v>40</v>
      </c>
      <c r="M8352" s="6" t="s">
        <v>371</v>
      </c>
    </row>
    <row r="8353" spans="1:13">
      <c r="A8353" s="6">
        <v>2027</v>
      </c>
      <c r="B8353" s="6">
        <v>3</v>
      </c>
      <c r="C8353" s="6" t="s">
        <v>61</v>
      </c>
      <c r="D8353" s="6" t="s">
        <v>335</v>
      </c>
      <c r="E8353" s="6" t="s">
        <v>369</v>
      </c>
      <c r="F8353" s="6" t="str">
        <f>IF($M8353="PADD I","PADD 1",IF($M8353="PADD II","PADD 2",IF($M8353="PADD III","PADD 3",IF($M8353="PADD IV","PADD 4",IF($M8353="PADD V","PADD 5","")))))</f>
        <v>PADD 3</v>
      </c>
      <c r="G8353" s="6" t="str">
        <f>IF(AND($H8353="ATMOS DISTILLATION",ISNUMBER(SEARCH("VPS",$I8353))=FALSE,LEFT($I8353,6)&lt;&gt;"VACUUM"),"CDU",IF($H8353="FLUID CAT CRACKING","FCC",IF(OR($H8353="HYDROCRACKING",$H8353="RESID_HYDROCRACKING"),"Hydrocracker",IF($H8353="REFORMING","Reformer",""))))</f>
        <v>FCC</v>
      </c>
      <c r="H8353" s="6" t="s">
        <v>376</v>
      </c>
      <c r="I8353" s="6" t="s">
        <v>141</v>
      </c>
      <c r="J8353" s="6" t="s">
        <v>349</v>
      </c>
      <c r="K8353" s="10">
        <v>37.44</v>
      </c>
      <c r="L8353" s="10">
        <v>78</v>
      </c>
      <c r="M8353" s="6" t="s">
        <v>371</v>
      </c>
    </row>
    <row r="8354" spans="1:13">
      <c r="A8354" s="6">
        <v>2027</v>
      </c>
      <c r="B8354" s="6">
        <v>3</v>
      </c>
      <c r="C8354" s="6" t="s">
        <v>61</v>
      </c>
      <c r="D8354" s="6" t="s">
        <v>429</v>
      </c>
      <c r="E8354" s="6" t="s">
        <v>388</v>
      </c>
      <c r="F8354" s="6" t="str">
        <f>IF($M8354="PADD I","PADD 1",IF($M8354="PADD II","PADD 2",IF($M8354="PADD III","PADD 3",IF($M8354="PADD IV","PADD 4",IF($M8354="PADD V","PADD 5","")))))</f>
        <v>PADD 4</v>
      </c>
      <c r="G8354" s="6" t="str">
        <f>IF(AND($H8354="ATMOS DISTILLATION",ISNUMBER(SEARCH("VPS",$I8354))=FALSE,LEFT($I8354,6)&lt;&gt;"VACUUM"),"CDU",IF($H8354="FLUID CAT CRACKING","FCC",IF(OR($H8354="HYDROCRACKING",$H8354="RESID_HYDROCRACKING"),"Hydrocracker",IF($H8354="REFORMING","Reformer",""))))</f>
        <v>CDU</v>
      </c>
      <c r="H8354" s="6" t="s">
        <v>38</v>
      </c>
      <c r="I8354" s="6" t="s">
        <v>81</v>
      </c>
      <c r="J8354" s="6" t="s">
        <v>349</v>
      </c>
      <c r="K8354" s="10">
        <v>37.12</v>
      </c>
      <c r="L8354" s="10">
        <v>64</v>
      </c>
      <c r="M8354" s="6" t="s">
        <v>430</v>
      </c>
    </row>
    <row r="8355" spans="1:13">
      <c r="A8355" s="6">
        <v>2027</v>
      </c>
      <c r="B8355" s="6">
        <v>3</v>
      </c>
      <c r="C8355" s="6" t="s">
        <v>61</v>
      </c>
      <c r="D8355" s="6" t="s">
        <v>762</v>
      </c>
      <c r="E8355" s="6" t="s">
        <v>763</v>
      </c>
      <c r="F8355" s="6" t="str">
        <f>IF($M8355="PADD I","PADD 1",IF($M8355="PADD II","PADD 2",IF($M8355="PADD III","PADD 3",IF($M8355="PADD IV","PADD 4",IF($M8355="PADD V","PADD 5","")))))</f>
        <v>PADD 2</v>
      </c>
      <c r="G8355" s="6" t="str">
        <f>IF(AND($H8355="ATMOS DISTILLATION",ISNUMBER(SEARCH("VPS",$I8355))=FALSE,LEFT($I8355,6)&lt;&gt;"VACUUM"),"CDU",IF($H8355="FLUID CAT CRACKING","FCC",IF(OR($H8355="HYDROCRACKING",$H8355="RESID_HYDROCRACKING"),"Hydrocracker",IF($H8355="REFORMING","Reformer",""))))</f>
        <v>CDU</v>
      </c>
      <c r="H8355" s="6" t="s">
        <v>38</v>
      </c>
      <c r="I8355" s="6" t="s">
        <v>330</v>
      </c>
      <c r="J8355" s="6" t="s">
        <v>349</v>
      </c>
      <c r="K8355" s="10">
        <v>35</v>
      </c>
      <c r="L8355" s="10">
        <v>35</v>
      </c>
      <c r="M8355" s="6" t="s">
        <v>375</v>
      </c>
    </row>
    <row r="8356" spans="1:13">
      <c r="A8356" s="6">
        <v>2027</v>
      </c>
      <c r="B8356" s="6">
        <v>3</v>
      </c>
      <c r="C8356" s="6" t="s">
        <v>61</v>
      </c>
      <c r="D8356" s="6" t="s">
        <v>762</v>
      </c>
      <c r="E8356" s="6" t="s">
        <v>763</v>
      </c>
      <c r="F8356" s="6" t="str">
        <f>IF($M8356="PADD I","PADD 1",IF($M8356="PADD II","PADD 2",IF($M8356="PADD III","PADD 3",IF($M8356="PADD IV","PADD 4",IF($M8356="PADD V","PADD 5","")))))</f>
        <v>PADD 2</v>
      </c>
      <c r="G8356" s="6" t="str">
        <f>IF(AND($H8356="ATMOS DISTILLATION",ISNUMBER(SEARCH("VPS",$I8356))=FALSE,LEFT($I8356,6)&lt;&gt;"VACUUM"),"CDU",IF($H8356="FLUID CAT CRACKING","FCC",IF(OR($H8356="HYDROCRACKING",$H8356="RESID_HYDROCRACKING"),"Hydrocracker",IF($H8356="REFORMING","Reformer",""))))</f>
        <v>CDU</v>
      </c>
      <c r="H8356" s="6" t="s">
        <v>38</v>
      </c>
      <c r="I8356" s="6" t="s">
        <v>131</v>
      </c>
      <c r="J8356" s="6" t="s">
        <v>349</v>
      </c>
      <c r="K8356" s="10">
        <v>35</v>
      </c>
      <c r="L8356" s="10">
        <v>35</v>
      </c>
      <c r="M8356" s="6" t="s">
        <v>375</v>
      </c>
    </row>
    <row r="8357" spans="1:13">
      <c r="A8357" s="6">
        <v>2027</v>
      </c>
      <c r="B8357" s="6">
        <v>3</v>
      </c>
      <c r="C8357" s="6" t="s">
        <v>61</v>
      </c>
      <c r="D8357" s="6" t="s">
        <v>632</v>
      </c>
      <c r="E8357" s="6" t="s">
        <v>633</v>
      </c>
      <c r="F8357" s="6" t="str">
        <f>IF($M8357="PADD I","PADD 1",IF($M8357="PADD II","PADD 2",IF($M8357="PADD III","PADD 3",IF($M8357="PADD IV","PADD 4",IF($M8357="PADD V","PADD 5","")))))</f>
        <v>PADD 4</v>
      </c>
      <c r="G8357" s="6" t="str">
        <f>IF(AND($H8357="ATMOS DISTILLATION",ISNUMBER(SEARCH("VPS",$I8357))=FALSE,LEFT($I8357,6)&lt;&gt;"VACUUM"),"CDU",IF($H8357="FLUID CAT CRACKING","FCC",IF(OR($H8357="HYDROCRACKING",$H8357="RESID_HYDROCRACKING"),"Hydrocracker",IF($H8357="REFORMING","Reformer",""))))</f>
        <v>CDU</v>
      </c>
      <c r="H8357" s="6" t="s">
        <v>38</v>
      </c>
      <c r="I8357" s="6" t="s">
        <v>81</v>
      </c>
      <c r="J8357" s="6" t="s">
        <v>349</v>
      </c>
      <c r="K8357" s="10">
        <v>31</v>
      </c>
      <c r="L8357" s="10">
        <v>31</v>
      </c>
      <c r="M8357" s="6" t="s">
        <v>430</v>
      </c>
    </row>
    <row r="8358" spans="1:13">
      <c r="A8358" s="6">
        <v>2027</v>
      </c>
      <c r="B8358" s="6">
        <v>3</v>
      </c>
      <c r="C8358" s="6" t="s">
        <v>61</v>
      </c>
      <c r="D8358" s="6" t="s">
        <v>334</v>
      </c>
      <c r="E8358" s="6" t="s">
        <v>552</v>
      </c>
      <c r="F8358" s="6" t="str">
        <f>IF($M8358="PADD I","PADD 1",IF($M8358="PADD II","PADD 2",IF($M8358="PADD III","PADD 3",IF($M8358="PADD IV","PADD 4",IF($M8358="PADD V","PADD 5","")))))</f>
        <v>PADD 3</v>
      </c>
      <c r="G8358" s="6">
        <f>IF(AND($H8358="ATMOS DISTILLATION",ISNUMBER(SEARCH("VPS",$I8358))=FALSE,LEFT($I8358,6)&lt;&gt;"VACUUM"),"CDU",IF($H8358="FLUID CAT CRACKING","FCC",IF(OR($H8358="HYDROCRACKING",$H8358="RESID_HYDROCRACKING"),"Hydrocracker",IF($H8358="REFORMING","Reformer",""))))</f>
        <v/>
      </c>
      <c r="H8358" s="6" t="s">
        <v>43</v>
      </c>
      <c r="I8358" s="6" t="s">
        <v>594</v>
      </c>
      <c r="J8358" s="6" t="s">
        <v>349</v>
      </c>
      <c r="K8358" s="10">
        <v>30</v>
      </c>
      <c r="L8358" s="10">
        <v>30</v>
      </c>
      <c r="M8358" s="6" t="s">
        <v>371</v>
      </c>
    </row>
    <row r="8359" spans="1:13">
      <c r="A8359" s="6">
        <v>2027</v>
      </c>
      <c r="B8359" s="6">
        <v>3</v>
      </c>
      <c r="C8359" s="6" t="s">
        <v>61</v>
      </c>
      <c r="D8359" s="6" t="s">
        <v>576</v>
      </c>
      <c r="E8359" s="6" t="s">
        <v>369</v>
      </c>
      <c r="F8359" s="6" t="str">
        <f>IF($M8359="PADD I","PADD 1",IF($M8359="PADD II","PADD 2",IF($M8359="PADD III","PADD 3",IF($M8359="PADD IV","PADD 4",IF($M8359="PADD V","PADD 5","")))))</f>
        <v>PADD 3</v>
      </c>
      <c r="G8359" s="6" t="str">
        <f>IF(AND($H8359="ATMOS DISTILLATION",ISNUMBER(SEARCH("VPS",$I8359))=FALSE,LEFT($I8359,6)&lt;&gt;"VACUUM"),"CDU",IF($H8359="FLUID CAT CRACKING","FCC",IF(OR($H8359="HYDROCRACKING",$H8359="RESID_HYDROCRACKING"),"Hydrocracker",IF($H8359="REFORMING","Reformer",""))))</f>
        <v>Reformer</v>
      </c>
      <c r="H8359" s="6" t="s">
        <v>421</v>
      </c>
      <c r="I8359" s="6" t="s">
        <v>876</v>
      </c>
      <c r="J8359" s="6" t="s">
        <v>349</v>
      </c>
      <c r="K8359" s="10">
        <v>29.58</v>
      </c>
      <c r="L8359" s="10">
        <v>34</v>
      </c>
      <c r="M8359" s="6" t="s">
        <v>371</v>
      </c>
    </row>
    <row r="8360" spans="1:13">
      <c r="A8360" s="6">
        <v>2027</v>
      </c>
      <c r="B8360" s="6">
        <v>3</v>
      </c>
      <c r="C8360" s="6" t="s">
        <v>61</v>
      </c>
      <c r="D8360" s="6" t="s">
        <v>326</v>
      </c>
      <c r="E8360" s="6" t="s">
        <v>385</v>
      </c>
      <c r="F8360" s="6" t="str">
        <f>IF($M8360="PADD I","PADD 1",IF($M8360="PADD II","PADD 2",IF($M8360="PADD III","PADD 3",IF($M8360="PADD IV","PADD 4",IF($M8360="PADD V","PADD 5","")))))</f>
        <v>PADD 5</v>
      </c>
      <c r="G8360" s="6" t="str">
        <f>IF(AND($H8360="ATMOS DISTILLATION",ISNUMBER(SEARCH("VPS",$I8360))=FALSE,LEFT($I8360,6)&lt;&gt;"VACUUM"),"CDU",IF($H8360="FLUID CAT CRACKING","FCC",IF(OR($H8360="HYDROCRACKING",$H8360="RESID_HYDROCRACKING"),"Hydrocracker",IF($H8360="REFORMING","Reformer",""))))</f>
        <v>CDU</v>
      </c>
      <c r="H8360" s="6" t="s">
        <v>38</v>
      </c>
      <c r="I8360" s="6" t="s">
        <v>93</v>
      </c>
      <c r="J8360" s="6" t="s">
        <v>349</v>
      </c>
      <c r="K8360" s="10">
        <v>29.45</v>
      </c>
      <c r="L8360" s="10">
        <v>155</v>
      </c>
      <c r="M8360" s="6" t="s">
        <v>386</v>
      </c>
    </row>
    <row r="8361" spans="1:13">
      <c r="A8361" s="6">
        <v>2027</v>
      </c>
      <c r="B8361" s="6">
        <v>3</v>
      </c>
      <c r="C8361" s="6" t="s">
        <v>61</v>
      </c>
      <c r="D8361" s="6" t="s">
        <v>680</v>
      </c>
      <c r="E8361" s="6" t="s">
        <v>681</v>
      </c>
      <c r="F8361" s="6" t="str">
        <f>IF($M8361="PADD I","PADD 1",IF($M8361="PADD II","PADD 2",IF($M8361="PADD III","PADD 3",IF($M8361="PADD IV","PADD 4",IF($M8361="PADD V","PADD 5","")))))</f>
        <v>PADD 3</v>
      </c>
      <c r="G8361" s="6">
        <f>IF(AND($H8361="ATMOS DISTILLATION",ISNUMBER(SEARCH("VPS",$I8361))=FALSE,LEFT($I8361,6)&lt;&gt;"VACUUM"),"CDU",IF($H8361="FLUID CAT CRACKING","FCC",IF(OR($H8361="HYDROCRACKING",$H8361="RESID_HYDROCRACKING"),"Hydrocracker",IF($H8361="REFORMING","Reformer",""))))</f>
        <v/>
      </c>
      <c r="H8361" s="6" t="s">
        <v>43</v>
      </c>
      <c r="I8361" s="6" t="s">
        <v>689</v>
      </c>
      <c r="J8361" s="6" t="s">
        <v>349</v>
      </c>
      <c r="K8361" s="10">
        <v>27.84</v>
      </c>
      <c r="L8361" s="10">
        <v>32</v>
      </c>
      <c r="M8361" s="6" t="s">
        <v>371</v>
      </c>
    </row>
    <row r="8362" spans="1:13">
      <c r="A8362" s="6">
        <v>2027</v>
      </c>
      <c r="B8362" s="6">
        <v>3</v>
      </c>
      <c r="C8362" s="6" t="s">
        <v>61</v>
      </c>
      <c r="D8362" s="6" t="s">
        <v>1390</v>
      </c>
      <c r="E8362" s="6" t="s">
        <v>681</v>
      </c>
      <c r="F8362" s="6" t="str">
        <f>IF($M8362="PADD I","PADD 1",IF($M8362="PADD II","PADD 2",IF($M8362="PADD III","PADD 3",IF($M8362="PADD IV","PADD 4",IF($M8362="PADD V","PADD 5","")))))</f>
        <v>PADD 3</v>
      </c>
      <c r="G8362" s="6" t="str">
        <f>IF(AND($H8362="ATMOS DISTILLATION",ISNUMBER(SEARCH("VPS",$I8362))=FALSE,LEFT($I8362,6)&lt;&gt;"VACUUM"),"CDU",IF($H8362="FLUID CAT CRACKING","FCC",IF(OR($H8362="HYDROCRACKING",$H8362="RESID_HYDROCRACKING"),"Hydrocracker",IF($H8362="REFORMING","Reformer",""))))</f>
        <v>CDU</v>
      </c>
      <c r="H8362" s="6" t="s">
        <v>38</v>
      </c>
      <c r="I8362" s="6" t="s">
        <v>81</v>
      </c>
      <c r="J8362" s="6" t="s">
        <v>349</v>
      </c>
      <c r="K8362" s="10">
        <v>26.1</v>
      </c>
      <c r="L8362" s="10">
        <v>30</v>
      </c>
      <c r="M8362" s="6" t="s">
        <v>371</v>
      </c>
    </row>
    <row r="8363" spans="1:13">
      <c r="A8363" s="6">
        <v>2027</v>
      </c>
      <c r="B8363" s="6">
        <v>3</v>
      </c>
      <c r="C8363" s="6" t="s">
        <v>61</v>
      </c>
      <c r="D8363" s="6" t="s">
        <v>335</v>
      </c>
      <c r="E8363" s="6" t="s">
        <v>369</v>
      </c>
      <c r="F8363" s="6" t="str">
        <f>IF($M8363="PADD I","PADD 1",IF($M8363="PADD II","PADD 2",IF($M8363="PADD III","PADD 3",IF($M8363="PADD IV","PADD 4",IF($M8363="PADD V","PADD 5","")))))</f>
        <v>PADD 3</v>
      </c>
      <c r="G8363" s="6" t="str">
        <f>IF(AND($H8363="ATMOS DISTILLATION",ISNUMBER(SEARCH("VPS",$I8363))=FALSE,LEFT($I8363,6)&lt;&gt;"VACUUM"),"CDU",IF($H8363="FLUID CAT CRACKING","FCC",IF(OR($H8363="HYDROCRACKING",$H8363="RESID_HYDROCRACKING"),"Hydrocracker",IF($H8363="REFORMING","Reformer",""))))</f>
        <v>FCC</v>
      </c>
      <c r="H8363" s="6" t="s">
        <v>376</v>
      </c>
      <c r="I8363" s="6" t="s">
        <v>472</v>
      </c>
      <c r="J8363" s="6" t="s">
        <v>349</v>
      </c>
      <c r="K8363" s="10">
        <v>26.1</v>
      </c>
      <c r="L8363" s="10">
        <v>30</v>
      </c>
      <c r="M8363" s="6" t="s">
        <v>371</v>
      </c>
    </row>
    <row r="8364" spans="1:13">
      <c r="A8364" s="6">
        <v>2027</v>
      </c>
      <c r="B8364" s="6">
        <v>3</v>
      </c>
      <c r="C8364" s="6" t="s">
        <v>61</v>
      </c>
      <c r="D8364" s="6" t="s">
        <v>468</v>
      </c>
      <c r="E8364" s="6" t="s">
        <v>369</v>
      </c>
      <c r="F8364" s="6" t="str">
        <f>IF($M8364="PADD I","PADD 1",IF($M8364="PADD II","PADD 2",IF($M8364="PADD III","PADD 3",IF($M8364="PADD IV","PADD 4",IF($M8364="PADD V","PADD 5","")))))</f>
        <v>PADD 3</v>
      </c>
      <c r="G8364" s="6" t="str">
        <f>IF(AND($H8364="ATMOS DISTILLATION",ISNUMBER(SEARCH("VPS",$I8364))=FALSE,LEFT($I8364,6)&lt;&gt;"VACUUM"),"CDU",IF($H8364="FLUID CAT CRACKING","FCC",IF(OR($H8364="HYDROCRACKING",$H8364="RESID_HYDROCRACKING"),"Hydrocracker",IF($H8364="REFORMING","Reformer",""))))</f>
        <v>FCC</v>
      </c>
      <c r="H8364" s="6" t="s">
        <v>376</v>
      </c>
      <c r="I8364" s="6" t="s">
        <v>469</v>
      </c>
      <c r="J8364" s="6" t="s">
        <v>349</v>
      </c>
      <c r="K8364" s="10">
        <v>25.2</v>
      </c>
      <c r="L8364" s="10">
        <v>30</v>
      </c>
      <c r="M8364" s="6" t="s">
        <v>371</v>
      </c>
    </row>
    <row r="8365" spans="1:13">
      <c r="A8365" s="6">
        <v>2027</v>
      </c>
      <c r="B8365" s="6">
        <v>3</v>
      </c>
      <c r="C8365" s="6" t="s">
        <v>61</v>
      </c>
      <c r="D8365" s="6" t="s">
        <v>922</v>
      </c>
      <c r="E8365" s="6" t="s">
        <v>452</v>
      </c>
      <c r="F8365" s="6" t="str">
        <f>IF($M8365="PADD I","PADD 1",IF($M8365="PADD II","PADD 2",IF($M8365="PADD III","PADD 3",IF($M8365="PADD IV","PADD 4",IF($M8365="PADD V","PADD 5","")))))</f>
        <v>PADD 4</v>
      </c>
      <c r="G8365" s="6" t="str">
        <f>IF(AND($H8365="ATMOS DISTILLATION",ISNUMBER(SEARCH("VPS",$I8365))=FALSE,LEFT($I8365,6)&lt;&gt;"VACUUM"),"CDU",IF($H8365="FLUID CAT CRACKING","FCC",IF(OR($H8365="HYDROCRACKING",$H8365="RESID_HYDROCRACKING"),"Hydrocracker",IF($H8365="REFORMING","Reformer",""))))</f>
        <v>CDU</v>
      </c>
      <c r="H8365" s="6" t="s">
        <v>38</v>
      </c>
      <c r="I8365" s="6" t="s">
        <v>923</v>
      </c>
      <c r="J8365" s="6" t="s">
        <v>349</v>
      </c>
      <c r="K8365" s="10">
        <v>25</v>
      </c>
      <c r="L8365" s="10">
        <v>25</v>
      </c>
      <c r="M8365" s="6" t="s">
        <v>430</v>
      </c>
    </row>
    <row r="8366" spans="1:13">
      <c r="A8366" s="6">
        <v>2027</v>
      </c>
      <c r="B8366" s="6">
        <v>3</v>
      </c>
      <c r="C8366" s="6" t="s">
        <v>61</v>
      </c>
      <c r="D8366" s="6" t="s">
        <v>319</v>
      </c>
      <c r="E8366" s="6" t="s">
        <v>665</v>
      </c>
      <c r="F8366" s="6" t="str">
        <f>IF($M8366="PADD I","PADD 1",IF($M8366="PADD II","PADD 2",IF($M8366="PADD III","PADD 3",IF($M8366="PADD IV","PADD 4",IF($M8366="PADD V","PADD 5","")))))</f>
        <v>PADD 3</v>
      </c>
      <c r="G8366" s="6">
        <f>IF(AND($H8366="ATMOS DISTILLATION",ISNUMBER(SEARCH("VPS",$I8366))=FALSE,LEFT($I8366,6)&lt;&gt;"VACUUM"),"CDU",IF($H8366="FLUID CAT CRACKING","FCC",IF(OR($H8366="HYDROCRACKING",$H8366="RESID_HYDROCRACKING"),"Hydrocracker",IF($H8366="REFORMING","Reformer",""))))</f>
        <v/>
      </c>
      <c r="H8366" s="6" t="s">
        <v>435</v>
      </c>
      <c r="I8366" s="6" t="s">
        <v>441</v>
      </c>
      <c r="J8366" s="6" t="s">
        <v>349</v>
      </c>
      <c r="K8366" s="10">
        <v>25</v>
      </c>
      <c r="L8366" s="10">
        <v>25</v>
      </c>
      <c r="M8366" s="6" t="s">
        <v>371</v>
      </c>
    </row>
    <row r="8367" spans="1:13">
      <c r="A8367" s="6">
        <v>2027</v>
      </c>
      <c r="B8367" s="6">
        <v>3</v>
      </c>
      <c r="C8367" s="6" t="s">
        <v>61</v>
      </c>
      <c r="D8367" s="6" t="s">
        <v>334</v>
      </c>
      <c r="E8367" s="6" t="s">
        <v>552</v>
      </c>
      <c r="F8367" s="6" t="str">
        <f>IF($M8367="PADD I","PADD 1",IF($M8367="PADD II","PADD 2",IF($M8367="PADD III","PADD 3",IF($M8367="PADD IV","PADD 4",IF($M8367="PADD V","PADD 5","")))))</f>
        <v>PADD 3</v>
      </c>
      <c r="G8367" s="6">
        <f>IF(AND($H8367="ATMOS DISTILLATION",ISNUMBER(SEARCH("VPS",$I8367))=FALSE,LEFT($I8367,6)&lt;&gt;"VACUUM"),"CDU",IF($H8367="FLUID CAT CRACKING","FCC",IF(OR($H8367="HYDROCRACKING",$H8367="RESID_HYDROCRACKING"),"Hydrocracker",IF($H8367="REFORMING","Reformer",""))))</f>
        <v/>
      </c>
      <c r="H8367" s="6" t="s">
        <v>43</v>
      </c>
      <c r="I8367" s="6" t="s">
        <v>598</v>
      </c>
      <c r="J8367" s="6" t="s">
        <v>349</v>
      </c>
      <c r="K8367" s="10">
        <v>25</v>
      </c>
      <c r="L8367" s="10">
        <v>25</v>
      </c>
      <c r="M8367" s="6" t="s">
        <v>371</v>
      </c>
    </row>
    <row r="8368" spans="1:13">
      <c r="A8368" s="6">
        <v>2027</v>
      </c>
      <c r="B8368" s="6">
        <v>3</v>
      </c>
      <c r="C8368" s="6" t="s">
        <v>61</v>
      </c>
      <c r="D8368" s="6" t="s">
        <v>851</v>
      </c>
      <c r="E8368" s="6" t="s">
        <v>852</v>
      </c>
      <c r="F8368" s="6" t="str">
        <f>IF($M8368="PADD I","PADD 1",IF($M8368="PADD II","PADD 2",IF($M8368="PADD III","PADD 3",IF($M8368="PADD IV","PADD 4",IF($M8368="PADD V","PADD 5","")))))</f>
        <v>PADD 3</v>
      </c>
      <c r="G8368" s="6">
        <f>IF(AND($H8368="ATMOS DISTILLATION",ISNUMBER(SEARCH("VPS",$I8368))=FALSE,LEFT($I8368,6)&lt;&gt;"VACUUM"),"CDU",IF($H8368="FLUID CAT CRACKING","FCC",IF(OR($H8368="HYDROCRACKING",$H8368="RESID_HYDROCRACKING"),"Hydrocracker",IF($H8368="REFORMING","Reformer",""))))</f>
        <v/>
      </c>
      <c r="H8368" s="6" t="s">
        <v>378</v>
      </c>
      <c r="I8368" s="6" t="s">
        <v>860</v>
      </c>
      <c r="J8368" s="6" t="s">
        <v>349</v>
      </c>
      <c r="K8368" s="10">
        <v>23.4</v>
      </c>
      <c r="L8368" s="10">
        <v>36</v>
      </c>
      <c r="M8368" s="6" t="s">
        <v>371</v>
      </c>
    </row>
    <row r="8369" spans="1:13">
      <c r="A8369" s="6">
        <v>2027</v>
      </c>
      <c r="B8369" s="6">
        <v>3</v>
      </c>
      <c r="C8369" s="6" t="s">
        <v>61</v>
      </c>
      <c r="D8369" s="6" t="s">
        <v>48</v>
      </c>
      <c r="E8369" s="6" t="s">
        <v>388</v>
      </c>
      <c r="F8369" s="6" t="str">
        <f>IF($M8369="PADD I","PADD 1",IF($M8369="PADD II","PADD 2",IF($M8369="PADD III","PADD 3",IF($M8369="PADD IV","PADD 4",IF($M8369="PADD V","PADD 5","")))))</f>
        <v>PADD 2</v>
      </c>
      <c r="G8369" s="6" t="str">
        <f>IF(AND($H8369="ATMOS DISTILLATION",ISNUMBER(SEARCH("VPS",$I8369))=FALSE,LEFT($I8369,6)&lt;&gt;"VACUUM"),"CDU",IF($H8369="FLUID CAT CRACKING","FCC",IF(OR($H8369="HYDROCRACKING",$H8369="RESID_HYDROCRACKING"),"Hydrocracker",IF($H8369="REFORMING","Reformer",""))))</f>
        <v>Reformer</v>
      </c>
      <c r="H8369" s="6" t="s">
        <v>421</v>
      </c>
      <c r="I8369" s="6" t="s">
        <v>1391</v>
      </c>
      <c r="J8369" s="6" t="s">
        <v>349</v>
      </c>
      <c r="K8369" s="10">
        <v>22.75</v>
      </c>
      <c r="L8369" s="10">
        <v>35</v>
      </c>
      <c r="M8369" s="6" t="s">
        <v>375</v>
      </c>
    </row>
    <row r="8370" spans="1:13">
      <c r="A8370" s="6">
        <v>2027</v>
      </c>
      <c r="B8370" s="6">
        <v>3</v>
      </c>
      <c r="C8370" s="6" t="s">
        <v>61</v>
      </c>
      <c r="D8370" s="6" t="s">
        <v>680</v>
      </c>
      <c r="E8370" s="6" t="s">
        <v>681</v>
      </c>
      <c r="F8370" s="6" t="str">
        <f>IF($M8370="PADD I","PADD 1",IF($M8370="PADD II","PADD 2",IF($M8370="PADD III","PADD 3",IF($M8370="PADD IV","PADD 4",IF($M8370="PADD V","PADD 5","")))))</f>
        <v>PADD 3</v>
      </c>
      <c r="G8370" s="6" t="str">
        <f>IF(AND($H8370="ATMOS DISTILLATION",ISNUMBER(SEARCH("VPS",$I8370))=FALSE,LEFT($I8370,6)&lt;&gt;"VACUUM"),"CDU",IF($H8370="FLUID CAT CRACKING","FCC",IF(OR($H8370="HYDROCRACKING",$H8370="RESID_HYDROCRACKING"),"Hydrocracker",IF($H8370="REFORMING","Reformer",""))))</f>
        <v>FCC</v>
      </c>
      <c r="H8370" s="6" t="s">
        <v>376</v>
      </c>
      <c r="I8370" s="6" t="s">
        <v>105</v>
      </c>
      <c r="J8370" s="6" t="s">
        <v>349</v>
      </c>
      <c r="K8370" s="10">
        <v>21.75</v>
      </c>
      <c r="L8370" s="10">
        <v>25</v>
      </c>
      <c r="M8370" s="6" t="s">
        <v>371</v>
      </c>
    </row>
    <row r="8371" spans="1:13">
      <c r="A8371" s="6">
        <v>2027</v>
      </c>
      <c r="B8371" s="6">
        <v>3</v>
      </c>
      <c r="C8371" s="6" t="s">
        <v>61</v>
      </c>
      <c r="D8371" s="6" t="s">
        <v>680</v>
      </c>
      <c r="E8371" s="6" t="s">
        <v>681</v>
      </c>
      <c r="F8371" s="6" t="str">
        <f>IF($M8371="PADD I","PADD 1",IF($M8371="PADD II","PADD 2",IF($M8371="PADD III","PADD 3",IF($M8371="PADD IV","PADD 4",IF($M8371="PADD V","PADD 5","")))))</f>
        <v>PADD 3</v>
      </c>
      <c r="G8371" s="6">
        <f>IF(AND($H8371="ATMOS DISTILLATION",ISNUMBER(SEARCH("VPS",$I8371))=FALSE,LEFT($I8371,6)&lt;&gt;"VACUUM"),"CDU",IF($H8371="FLUID CAT CRACKING","FCC",IF(OR($H8371="HYDROCRACKING",$H8371="RESID_HYDROCRACKING"),"Hydrocracker",IF($H8371="REFORMING","Reformer",""))))</f>
        <v/>
      </c>
      <c r="H8371" s="6" t="s">
        <v>378</v>
      </c>
      <c r="I8371" s="6" t="s">
        <v>431</v>
      </c>
      <c r="J8371" s="6" t="s">
        <v>349</v>
      </c>
      <c r="K8371" s="10">
        <v>21.75</v>
      </c>
      <c r="L8371" s="10">
        <v>25</v>
      </c>
      <c r="M8371" s="6" t="s">
        <v>371</v>
      </c>
    </row>
    <row r="8372" spans="1:13">
      <c r="A8372" s="6">
        <v>2027</v>
      </c>
      <c r="B8372" s="6">
        <v>3</v>
      </c>
      <c r="C8372" s="6" t="s">
        <v>61</v>
      </c>
      <c r="D8372" s="6" t="s">
        <v>839</v>
      </c>
      <c r="E8372" s="6" t="s">
        <v>840</v>
      </c>
      <c r="F8372" s="6" t="str">
        <f>IF($M8372="PADD I","PADD 1",IF($M8372="PADD II","PADD 2",IF($M8372="PADD III","PADD 3",IF($M8372="PADD IV","PADD 4",IF($M8372="PADD V","PADD 5","")))))</f>
        <v>PADD 1</v>
      </c>
      <c r="G8372" s="6">
        <f>IF(AND($H8372="ATMOS DISTILLATION",ISNUMBER(SEARCH("VPS",$I8372))=FALSE,LEFT($I8372,6)&lt;&gt;"VACUUM"),"CDU",IF($H8372="FLUID CAT CRACKING","FCC",IF(OR($H8372="HYDROCRACKING",$H8372="RESID_HYDROCRACKING"),"Hydrocracker",IF($H8372="REFORMING","Reformer",""))))</f>
        <v/>
      </c>
      <c r="H8372" s="6" t="s">
        <v>43</v>
      </c>
      <c r="I8372" s="6" t="s">
        <v>841</v>
      </c>
      <c r="J8372" s="6" t="s">
        <v>349</v>
      </c>
      <c r="K8372" s="10">
        <v>21.75</v>
      </c>
      <c r="L8372" s="10">
        <v>25</v>
      </c>
      <c r="M8372" s="6" t="s">
        <v>413</v>
      </c>
    </row>
    <row r="8373" spans="1:13">
      <c r="A8373" s="6">
        <v>2027</v>
      </c>
      <c r="B8373" s="6">
        <v>3</v>
      </c>
      <c r="C8373" s="6" t="s">
        <v>61</v>
      </c>
      <c r="D8373" s="6" t="s">
        <v>542</v>
      </c>
      <c r="E8373" s="6" t="s">
        <v>543</v>
      </c>
      <c r="F8373" s="6" t="str">
        <f>IF($M8373="PADD I","PADD 1",IF($M8373="PADD II","PADD 2",IF($M8373="PADD III","PADD 3",IF($M8373="PADD IV","PADD 4",IF($M8373="PADD V","PADD 5","")))))</f>
        <v>PADD 2</v>
      </c>
      <c r="G8373" s="6">
        <f>IF(AND($H8373="ATMOS DISTILLATION",ISNUMBER(SEARCH("VPS",$I8373))=FALSE,LEFT($I8373,6)&lt;&gt;"VACUUM"),"CDU",IF($H8373="FLUID CAT CRACKING","FCC",IF(OR($H8373="HYDROCRACKING",$H8373="RESID_HYDROCRACKING"),"Hydrocracker",IF($H8373="REFORMING","Reformer",""))))</f>
        <v/>
      </c>
      <c r="H8373" s="6" t="s">
        <v>43</v>
      </c>
      <c r="I8373" s="6" t="s">
        <v>1112</v>
      </c>
      <c r="J8373" s="6" t="s">
        <v>349</v>
      </c>
      <c r="K8373" s="10">
        <v>21.141</v>
      </c>
      <c r="L8373" s="10">
        <v>24.3</v>
      </c>
      <c r="M8373" s="6" t="s">
        <v>375</v>
      </c>
    </row>
    <row r="8374" spans="1:13">
      <c r="A8374" s="6">
        <v>2027</v>
      </c>
      <c r="B8374" s="6">
        <v>3</v>
      </c>
      <c r="C8374" s="6" t="s">
        <v>61</v>
      </c>
      <c r="D8374" s="6" t="s">
        <v>762</v>
      </c>
      <c r="E8374" s="6" t="s">
        <v>763</v>
      </c>
      <c r="F8374" s="6" t="str">
        <f>IF($M8374="PADD I","PADD 1",IF($M8374="PADD II","PADD 2",IF($M8374="PADD III","PADD 3",IF($M8374="PADD IV","PADD 4",IF($M8374="PADD V","PADD 5","")))))</f>
        <v>PADD 2</v>
      </c>
      <c r="G8374" s="6" t="str">
        <f>IF(AND($H8374="ATMOS DISTILLATION",ISNUMBER(SEARCH("VPS",$I8374))=FALSE,LEFT($I8374,6)&lt;&gt;"VACUUM"),"CDU",IF($H8374="FLUID CAT CRACKING","FCC",IF(OR($H8374="HYDROCRACKING",$H8374="RESID_HYDROCRACKING"),"Hydrocracker",IF($H8374="REFORMING","Reformer",""))))</f>
        <v>FCC</v>
      </c>
      <c r="H8374" s="6" t="s">
        <v>376</v>
      </c>
      <c r="I8374" s="6" t="s">
        <v>105</v>
      </c>
      <c r="J8374" s="6" t="s">
        <v>349</v>
      </c>
      <c r="K8374" s="10">
        <v>21</v>
      </c>
      <c r="L8374" s="10">
        <v>21</v>
      </c>
      <c r="M8374" s="6" t="s">
        <v>375</v>
      </c>
    </row>
    <row r="8375" spans="1:13">
      <c r="A8375" s="6">
        <v>2027</v>
      </c>
      <c r="B8375" s="6">
        <v>3</v>
      </c>
      <c r="C8375" s="6" t="s">
        <v>61</v>
      </c>
      <c r="D8375" s="6" t="s">
        <v>51</v>
      </c>
      <c r="E8375" s="6" t="s">
        <v>391</v>
      </c>
      <c r="F8375" s="6" t="str">
        <f>IF($M8375="PADD I","PADD 1",IF($M8375="PADD II","PADD 2",IF($M8375="PADD III","PADD 3",IF($M8375="PADD IV","PADD 4",IF($M8375="PADD V","PADD 5","")))))</f>
        <v>PADD 5</v>
      </c>
      <c r="G8375" s="6">
        <f>IF(AND($H8375="ATMOS DISTILLATION",ISNUMBER(SEARCH("VPS",$I8375))=FALSE,LEFT($I8375,6)&lt;&gt;"VACUUM"),"CDU",IF($H8375="FLUID CAT CRACKING","FCC",IF(OR($H8375="HYDROCRACKING",$H8375="RESID_HYDROCRACKING"),"Hydrocracker",IF($H8375="REFORMING","Reformer",""))))</f>
        <v/>
      </c>
      <c r="H8375" s="6" t="s">
        <v>43</v>
      </c>
      <c r="I8375" s="6" t="s">
        <v>1337</v>
      </c>
      <c r="J8375" s="6" t="s">
        <v>349</v>
      </c>
      <c r="K8375" s="10">
        <v>21</v>
      </c>
      <c r="L8375" s="10">
        <v>21</v>
      </c>
      <c r="M8375" s="6" t="s">
        <v>386</v>
      </c>
    </row>
    <row r="8376" spans="1:13">
      <c r="A8376" s="6">
        <v>2027</v>
      </c>
      <c r="B8376" s="6">
        <v>3</v>
      </c>
      <c r="C8376" s="6" t="s">
        <v>61</v>
      </c>
      <c r="D8376" s="6" t="s">
        <v>50</v>
      </c>
      <c r="E8376" s="6" t="s">
        <v>381</v>
      </c>
      <c r="F8376" s="6" t="str">
        <f>IF($M8376="PADD I","PADD 1",IF($M8376="PADD II","PADD 2",IF($M8376="PADD III","PADD 3",IF($M8376="PADD IV","PADD 4",IF($M8376="PADD V","PADD 5","")))))</f>
        <v>PADD 3</v>
      </c>
      <c r="G8376" s="6">
        <f>IF(AND($H8376="ATMOS DISTILLATION",ISNUMBER(SEARCH("VPS",$I8376))=FALSE,LEFT($I8376,6)&lt;&gt;"VACUUM"),"CDU",IF($H8376="FLUID CAT CRACKING","FCC",IF(OR($H8376="HYDROCRACKING",$H8376="RESID_HYDROCRACKING"),"Hydrocracker",IF($H8376="REFORMING","Reformer",""))))</f>
        <v/>
      </c>
      <c r="H8376" s="6" t="s">
        <v>460</v>
      </c>
      <c r="I8376" s="6" t="s">
        <v>620</v>
      </c>
      <c r="J8376" s="6" t="s">
        <v>349</v>
      </c>
      <c r="K8376" s="10">
        <v>21</v>
      </c>
      <c r="L8376" s="10">
        <v>21</v>
      </c>
      <c r="M8376" s="6" t="s">
        <v>371</v>
      </c>
    </row>
    <row r="8377" spans="1:13">
      <c r="A8377" s="6">
        <v>2027</v>
      </c>
      <c r="B8377" s="6">
        <v>3</v>
      </c>
      <c r="C8377" s="6" t="s">
        <v>61</v>
      </c>
      <c r="D8377" s="6" t="s">
        <v>680</v>
      </c>
      <c r="E8377" s="6" t="s">
        <v>681</v>
      </c>
      <c r="F8377" s="6" t="str">
        <f>IF($M8377="PADD I","PADD 1",IF($M8377="PADD II","PADD 2",IF($M8377="PADD III","PADD 3",IF($M8377="PADD IV","PADD 4",IF($M8377="PADD V","PADD 5","")))))</f>
        <v>PADD 3</v>
      </c>
      <c r="G8377" s="6">
        <f>IF(AND($H8377="ATMOS DISTILLATION",ISNUMBER(SEARCH("VPS",$I8377))=FALSE,LEFT($I8377,6)&lt;&gt;"VACUUM"),"CDU",IF($H8377="FLUID CAT CRACKING","FCC",IF(OR($H8377="HYDROCRACKING",$H8377="RESID_HYDROCRACKING"),"Hydrocracker",IF($H8377="REFORMING","Reformer",""))))</f>
        <v/>
      </c>
      <c r="H8377" s="6" t="s">
        <v>43</v>
      </c>
      <c r="I8377" s="6" t="s">
        <v>692</v>
      </c>
      <c r="J8377" s="6" t="s">
        <v>349</v>
      </c>
      <c r="K8377" s="10">
        <v>20.88</v>
      </c>
      <c r="L8377" s="10">
        <v>24</v>
      </c>
      <c r="M8377" s="6" t="s">
        <v>371</v>
      </c>
    </row>
    <row r="8378" spans="1:13">
      <c r="A8378" s="6">
        <v>2027</v>
      </c>
      <c r="B8378" s="6">
        <v>3</v>
      </c>
      <c r="C8378" s="6" t="s">
        <v>61</v>
      </c>
      <c r="D8378" s="6" t="s">
        <v>839</v>
      </c>
      <c r="E8378" s="6" t="s">
        <v>840</v>
      </c>
      <c r="F8378" s="6" t="str">
        <f>IF($M8378="PADD I","PADD 1",IF($M8378="PADD II","PADD 2",IF($M8378="PADD III","PADD 3",IF($M8378="PADD IV","PADD 4",IF($M8378="PADD V","PADD 5","")))))</f>
        <v>PADD 1</v>
      </c>
      <c r="G8378" s="6">
        <f>IF(AND($H8378="ATMOS DISTILLATION",ISNUMBER(SEARCH("VPS",$I8378))=FALSE,LEFT($I8378,6)&lt;&gt;"VACUUM"),"CDU",IF($H8378="FLUID CAT CRACKING","FCC",IF(OR($H8378="HYDROCRACKING",$H8378="RESID_HYDROCRACKING"),"Hydrocracker",IF($H8378="REFORMING","Reformer",""))))</f>
        <v/>
      </c>
      <c r="H8378" s="6" t="s">
        <v>43</v>
      </c>
      <c r="I8378" s="6" t="s">
        <v>1154</v>
      </c>
      <c r="J8378" s="6" t="s">
        <v>349</v>
      </c>
      <c r="K8378" s="10">
        <v>20.01</v>
      </c>
      <c r="L8378" s="10">
        <v>23</v>
      </c>
      <c r="M8378" s="6" t="s">
        <v>413</v>
      </c>
    </row>
    <row r="8379" spans="1:13">
      <c r="A8379" s="6">
        <v>2027</v>
      </c>
      <c r="B8379" s="6">
        <v>3</v>
      </c>
      <c r="C8379" s="6" t="s">
        <v>61</v>
      </c>
      <c r="D8379" s="6" t="s">
        <v>762</v>
      </c>
      <c r="E8379" s="6" t="s">
        <v>763</v>
      </c>
      <c r="F8379" s="6" t="str">
        <f>IF($M8379="PADD I","PADD 1",IF($M8379="PADD II","PADD 2",IF($M8379="PADD III","PADD 3",IF($M8379="PADD IV","PADD 4",IF($M8379="PADD V","PADD 5","")))))</f>
        <v>PADD 2</v>
      </c>
      <c r="G8379" s="6">
        <f>IF(AND($H8379="ATMOS DISTILLATION",ISNUMBER(SEARCH("VPS",$I8379))=FALSE,LEFT($I8379,6)&lt;&gt;"VACUUM"),"CDU",IF($H8379="FLUID CAT CRACKING","FCC",IF(OR($H8379="HYDROCRACKING",$H8379="RESID_HYDROCRACKING"),"Hydrocracker",IF($H8379="REFORMING","Reformer",""))))</f>
        <v/>
      </c>
      <c r="H8379" s="6" t="s">
        <v>43</v>
      </c>
      <c r="I8379" s="6" t="s">
        <v>863</v>
      </c>
      <c r="J8379" s="6" t="s">
        <v>349</v>
      </c>
      <c r="K8379" s="10">
        <v>20</v>
      </c>
      <c r="L8379" s="10">
        <v>20</v>
      </c>
      <c r="M8379" s="6" t="s">
        <v>375</v>
      </c>
    </row>
    <row r="8380" spans="1:13">
      <c r="A8380" s="6">
        <v>2027</v>
      </c>
      <c r="B8380" s="6">
        <v>3</v>
      </c>
      <c r="C8380" s="6" t="s">
        <v>61</v>
      </c>
      <c r="D8380" s="6" t="s">
        <v>51</v>
      </c>
      <c r="E8380" s="6" t="s">
        <v>391</v>
      </c>
      <c r="F8380" s="6" t="str">
        <f>IF($M8380="PADD I","PADD 1",IF($M8380="PADD II","PADD 2",IF($M8380="PADD III","PADD 3",IF($M8380="PADD IV","PADD 4",IF($M8380="PADD V","PADD 5","")))))</f>
        <v>PADD 5</v>
      </c>
      <c r="G8380" s="6">
        <f>IF(AND($H8380="ATMOS DISTILLATION",ISNUMBER(SEARCH("VPS",$I8380))=FALSE,LEFT($I8380,6)&lt;&gt;"VACUUM"),"CDU",IF($H8380="FLUID CAT CRACKING","FCC",IF(OR($H8380="HYDROCRACKING",$H8380="RESID_HYDROCRACKING"),"Hydrocracker",IF($H8380="REFORMING","Reformer",""))))</f>
        <v/>
      </c>
      <c r="H8380" s="6" t="s">
        <v>43</v>
      </c>
      <c r="I8380" s="6" t="s">
        <v>1338</v>
      </c>
      <c r="J8380" s="6" t="s">
        <v>349</v>
      </c>
      <c r="K8380" s="10">
        <v>20</v>
      </c>
      <c r="L8380" s="10">
        <v>20</v>
      </c>
      <c r="M8380" s="6" t="s">
        <v>386</v>
      </c>
    </row>
    <row r="8381" spans="1:13">
      <c r="A8381" s="6">
        <v>2027</v>
      </c>
      <c r="B8381" s="6">
        <v>3</v>
      </c>
      <c r="C8381" s="6" t="s">
        <v>61</v>
      </c>
      <c r="D8381" s="6" t="s">
        <v>334</v>
      </c>
      <c r="E8381" s="6" t="s">
        <v>552</v>
      </c>
      <c r="F8381" s="6" t="str">
        <f>IF($M8381="PADD I","PADD 1",IF($M8381="PADD II","PADD 2",IF($M8381="PADD III","PADD 3",IF($M8381="PADD IV","PADD 4",IF($M8381="PADD V","PADD 5","")))))</f>
        <v>PADD 3</v>
      </c>
      <c r="G8381" s="6" t="str">
        <f>IF(AND($H8381="ATMOS DISTILLATION",ISNUMBER(SEARCH("VPS",$I8381))=FALSE,LEFT($I8381,6)&lt;&gt;"VACUUM"),"CDU",IF($H8381="FLUID CAT CRACKING","FCC",IF(OR($H8381="HYDROCRACKING",$H8381="RESID_HYDROCRACKING"),"Hydrocracker",IF($H8381="REFORMING","Reformer",""))))</f>
        <v>FCC</v>
      </c>
      <c r="H8381" s="6" t="s">
        <v>376</v>
      </c>
      <c r="I8381" s="6" t="s">
        <v>613</v>
      </c>
      <c r="J8381" s="6" t="s">
        <v>349</v>
      </c>
      <c r="K8381" s="10">
        <v>20</v>
      </c>
      <c r="L8381" s="10">
        <v>20</v>
      </c>
      <c r="M8381" s="6" t="s">
        <v>371</v>
      </c>
    </row>
    <row r="8382" spans="1:13">
      <c r="A8382" s="6">
        <v>2027</v>
      </c>
      <c r="B8382" s="6">
        <v>3</v>
      </c>
      <c r="C8382" s="6" t="s">
        <v>61</v>
      </c>
      <c r="D8382" s="6" t="s">
        <v>451</v>
      </c>
      <c r="E8382" s="6" t="s">
        <v>452</v>
      </c>
      <c r="F8382" s="6" t="str">
        <f>IF($M8382="PADD I","PADD 1",IF($M8382="PADD II","PADD 2",IF($M8382="PADD III","PADD 3",IF($M8382="PADD IV","PADD 4",IF($M8382="PADD V","PADD 5","")))))</f>
        <v>PADD 2</v>
      </c>
      <c r="G8382" s="6" t="str">
        <f>IF(AND($H8382="ATMOS DISTILLATION",ISNUMBER(SEARCH("VPS",$I8382))=FALSE,LEFT($I8382,6)&lt;&gt;"VACUUM"),"CDU",IF($H8382="FLUID CAT CRACKING","FCC",IF(OR($H8382="HYDROCRACKING",$H8382="RESID_HYDROCRACKING"),"Hydrocracker",IF($H8382="REFORMING","Reformer",""))))</f>
        <v>FCC</v>
      </c>
      <c r="H8382" s="6" t="s">
        <v>376</v>
      </c>
      <c r="I8382" s="6" t="s">
        <v>105</v>
      </c>
      <c r="J8382" s="6" t="s">
        <v>349</v>
      </c>
      <c r="K8382" s="10">
        <v>19.72</v>
      </c>
      <c r="L8382" s="10">
        <v>29</v>
      </c>
      <c r="M8382" s="6" t="s">
        <v>375</v>
      </c>
    </row>
    <row r="8383" spans="1:13">
      <c r="A8383" s="6">
        <v>2027</v>
      </c>
      <c r="B8383" s="6">
        <v>3</v>
      </c>
      <c r="C8383" s="6" t="s">
        <v>61</v>
      </c>
      <c r="D8383" s="6" t="s">
        <v>680</v>
      </c>
      <c r="E8383" s="6" t="s">
        <v>681</v>
      </c>
      <c r="F8383" s="6" t="str">
        <f>IF($M8383="PADD I","PADD 1",IF($M8383="PADD II","PADD 2",IF($M8383="PADD III","PADD 3",IF($M8383="PADD IV","PADD 4",IF($M8383="PADD V","PADD 5","")))))</f>
        <v>PADD 3</v>
      </c>
      <c r="G8383" s="6">
        <f>IF(AND($H8383="ATMOS DISTILLATION",ISNUMBER(SEARCH("VPS",$I8383))=FALSE,LEFT($I8383,6)&lt;&gt;"VACUUM"),"CDU",IF($H8383="FLUID CAT CRACKING","FCC",IF(OR($H8383="HYDROCRACKING",$H8383="RESID_HYDROCRACKING"),"Hydrocracker",IF($H8383="REFORMING","Reformer",""))))</f>
        <v/>
      </c>
      <c r="H8383" s="6" t="s">
        <v>43</v>
      </c>
      <c r="I8383" s="6" t="s">
        <v>694</v>
      </c>
      <c r="J8383" s="6" t="s">
        <v>349</v>
      </c>
      <c r="K8383" s="10">
        <v>19.14</v>
      </c>
      <c r="L8383" s="10">
        <v>22</v>
      </c>
      <c r="M8383" s="6" t="s">
        <v>371</v>
      </c>
    </row>
    <row r="8384" spans="1:13">
      <c r="A8384" s="6">
        <v>2027</v>
      </c>
      <c r="B8384" s="6">
        <v>3</v>
      </c>
      <c r="C8384" s="6" t="s">
        <v>61</v>
      </c>
      <c r="D8384" s="6" t="s">
        <v>839</v>
      </c>
      <c r="E8384" s="6" t="s">
        <v>840</v>
      </c>
      <c r="F8384" s="6" t="str">
        <f>IF($M8384="PADD I","PADD 1",IF($M8384="PADD II","PADD 2",IF($M8384="PADD III","PADD 3",IF($M8384="PADD IV","PADD 4",IF($M8384="PADD V","PADD 5","")))))</f>
        <v>PADD 1</v>
      </c>
      <c r="G8384" s="6">
        <f>IF(AND($H8384="ATMOS DISTILLATION",ISNUMBER(SEARCH("VPS",$I8384))=FALSE,LEFT($I8384,6)&lt;&gt;"VACUUM"),"CDU",IF($H8384="FLUID CAT CRACKING","FCC",IF(OR($H8384="HYDROCRACKING",$H8384="RESID_HYDROCRACKING"),"Hydrocracker",IF($H8384="REFORMING","Reformer",""))))</f>
        <v/>
      </c>
      <c r="H8384" s="6" t="s">
        <v>43</v>
      </c>
      <c r="I8384" s="6" t="s">
        <v>747</v>
      </c>
      <c r="J8384" s="6" t="s">
        <v>349</v>
      </c>
      <c r="K8384" s="10">
        <v>19.14</v>
      </c>
      <c r="L8384" s="10">
        <v>22</v>
      </c>
      <c r="M8384" s="6" t="s">
        <v>413</v>
      </c>
    </row>
    <row r="8385" spans="1:13">
      <c r="A8385" s="6">
        <v>2027</v>
      </c>
      <c r="B8385" s="6">
        <v>3</v>
      </c>
      <c r="C8385" s="6" t="s">
        <v>61</v>
      </c>
      <c r="D8385" s="6" t="s">
        <v>334</v>
      </c>
      <c r="E8385" s="6" t="s">
        <v>552</v>
      </c>
      <c r="F8385" s="6" t="str">
        <f>IF($M8385="PADD I","PADD 1",IF($M8385="PADD II","PADD 2",IF($M8385="PADD III","PADD 3",IF($M8385="PADD IV","PADD 4",IF($M8385="PADD V","PADD 5","")))))</f>
        <v>PADD 3</v>
      </c>
      <c r="G8385" s="6">
        <f>IF(AND($H8385="ATMOS DISTILLATION",ISNUMBER(SEARCH("VPS",$I8385))=FALSE,LEFT($I8385,6)&lt;&gt;"VACUUM"),"CDU",IF($H8385="FLUID CAT CRACKING","FCC",IF(OR($H8385="HYDROCRACKING",$H8385="RESID_HYDROCRACKING"),"Hydrocracker",IF($H8385="REFORMING","Reformer",""))))</f>
        <v/>
      </c>
      <c r="H8385" s="6" t="s">
        <v>43</v>
      </c>
      <c r="I8385" s="6" t="s">
        <v>607</v>
      </c>
      <c r="J8385" s="6" t="s">
        <v>349</v>
      </c>
      <c r="K8385" s="10">
        <v>18.9</v>
      </c>
      <c r="L8385" s="10">
        <v>18.9</v>
      </c>
      <c r="M8385" s="6" t="s">
        <v>371</v>
      </c>
    </row>
    <row r="8386" spans="1:13">
      <c r="A8386" s="6">
        <v>2027</v>
      </c>
      <c r="B8386" s="6">
        <v>3</v>
      </c>
      <c r="C8386" s="6" t="s">
        <v>61</v>
      </c>
      <c r="D8386" s="6" t="s">
        <v>334</v>
      </c>
      <c r="E8386" s="6" t="s">
        <v>552</v>
      </c>
      <c r="F8386" s="6" t="str">
        <f>IF($M8386="PADD I","PADD 1",IF($M8386="PADD II","PADD 2",IF($M8386="PADD III","PADD 3",IF($M8386="PADD IV","PADD 4",IF($M8386="PADD V","PADD 5","")))))</f>
        <v>PADD 3</v>
      </c>
      <c r="G8386" s="6">
        <f>IF(AND($H8386="ATMOS DISTILLATION",ISNUMBER(SEARCH("VPS",$I8386))=FALSE,LEFT($I8386,6)&lt;&gt;"VACUUM"),"CDU",IF($H8386="FLUID CAT CRACKING","FCC",IF(OR($H8386="HYDROCRACKING",$H8386="RESID_HYDROCRACKING"),"Hydrocracker",IF($H8386="REFORMING","Reformer",""))))</f>
        <v/>
      </c>
      <c r="H8386" s="6" t="s">
        <v>378</v>
      </c>
      <c r="I8386" s="6" t="s">
        <v>555</v>
      </c>
      <c r="J8386" s="6" t="s">
        <v>349</v>
      </c>
      <c r="K8386" s="10">
        <v>18.53</v>
      </c>
      <c r="L8386" s="10">
        <v>18.53</v>
      </c>
      <c r="M8386" s="6" t="s">
        <v>371</v>
      </c>
    </row>
    <row r="8387" spans="1:13">
      <c r="A8387" s="6">
        <v>2027</v>
      </c>
      <c r="B8387" s="6">
        <v>3</v>
      </c>
      <c r="C8387" s="6" t="s">
        <v>61</v>
      </c>
      <c r="D8387" s="6" t="s">
        <v>612</v>
      </c>
      <c r="E8387" s="6" t="s">
        <v>416</v>
      </c>
      <c r="F8387" s="6" t="str">
        <f>IF($M8387="PADD I","PADD 1",IF($M8387="PADD II","PADD 2",IF($M8387="PADD III","PADD 3",IF($M8387="PADD IV","PADD 4",IF($M8387="PADD V","PADD 5","")))))</f>
        <v>PADD 3</v>
      </c>
      <c r="G8387" s="6">
        <f>IF(AND($H8387="ATMOS DISTILLATION",ISNUMBER(SEARCH("VPS",$I8387))=FALSE,LEFT($I8387,6)&lt;&gt;"VACUUM"),"CDU",IF($H8387="FLUID CAT CRACKING","FCC",IF(OR($H8387="HYDROCRACKING",$H8387="RESID_HYDROCRACKING"),"Hydrocracker",IF($H8387="REFORMING","Reformer",""))))</f>
        <v/>
      </c>
      <c r="H8387" s="6" t="s">
        <v>460</v>
      </c>
      <c r="I8387" s="6" t="s">
        <v>835</v>
      </c>
      <c r="J8387" s="6" t="s">
        <v>349</v>
      </c>
      <c r="K8387" s="10">
        <v>18.27</v>
      </c>
      <c r="L8387" s="10">
        <v>21</v>
      </c>
      <c r="M8387" s="6" t="s">
        <v>371</v>
      </c>
    </row>
    <row r="8388" spans="1:13">
      <c r="A8388" s="6">
        <v>2027</v>
      </c>
      <c r="B8388" s="6">
        <v>3</v>
      </c>
      <c r="C8388" s="6" t="s">
        <v>61</v>
      </c>
      <c r="D8388" s="6" t="s">
        <v>839</v>
      </c>
      <c r="E8388" s="6" t="s">
        <v>840</v>
      </c>
      <c r="F8388" s="6" t="str">
        <f>IF($M8388="PADD I","PADD 1",IF($M8388="PADD II","PADD 2",IF($M8388="PADD III","PADD 3",IF($M8388="PADD IV","PADD 4",IF($M8388="PADD V","PADD 5","")))))</f>
        <v>PADD 1</v>
      </c>
      <c r="G8388" s="6" t="str">
        <f>IF(AND($H8388="ATMOS DISTILLATION",ISNUMBER(SEARCH("VPS",$I8388))=FALSE,LEFT($I8388,6)&lt;&gt;"VACUUM"),"CDU",IF($H8388="FLUID CAT CRACKING","FCC",IF(OR($H8388="HYDROCRACKING",$H8388="RESID_HYDROCRACKING"),"Hydrocracker",IF($H8388="REFORMING","Reformer",""))))</f>
        <v>FCC</v>
      </c>
      <c r="H8388" s="6" t="s">
        <v>376</v>
      </c>
      <c r="I8388" s="6" t="s">
        <v>105</v>
      </c>
      <c r="J8388" s="6" t="s">
        <v>349</v>
      </c>
      <c r="K8388" s="10">
        <v>18.27</v>
      </c>
      <c r="L8388" s="10">
        <v>21</v>
      </c>
      <c r="M8388" s="6" t="s">
        <v>413</v>
      </c>
    </row>
    <row r="8389" spans="1:13">
      <c r="A8389" s="6">
        <v>2027</v>
      </c>
      <c r="B8389" s="6">
        <v>3</v>
      </c>
      <c r="C8389" s="6" t="s">
        <v>61</v>
      </c>
      <c r="D8389" s="6" t="s">
        <v>612</v>
      </c>
      <c r="E8389" s="6" t="s">
        <v>416</v>
      </c>
      <c r="F8389" s="6" t="str">
        <f>IF($M8389="PADD I","PADD 1",IF($M8389="PADD II","PADD 2",IF($M8389="PADD III","PADD 3",IF($M8389="PADD IV","PADD 4",IF($M8389="PADD V","PADD 5","")))))</f>
        <v>PADD 3</v>
      </c>
      <c r="G8389" s="6">
        <f>IF(AND($H8389="ATMOS DISTILLATION",ISNUMBER(SEARCH("VPS",$I8389))=FALSE,LEFT($I8389,6)&lt;&gt;"VACUUM"),"CDU",IF($H8389="FLUID CAT CRACKING","FCC",IF(OR($H8389="HYDROCRACKING",$H8389="RESID_HYDROCRACKING"),"Hydrocracker",IF($H8389="REFORMING","Reformer",""))))</f>
        <v/>
      </c>
      <c r="H8389" s="6" t="s">
        <v>43</v>
      </c>
      <c r="I8389" s="6" t="s">
        <v>814</v>
      </c>
      <c r="J8389" s="6" t="s">
        <v>349</v>
      </c>
      <c r="K8389" s="10">
        <v>17.94</v>
      </c>
      <c r="L8389" s="10">
        <v>69</v>
      </c>
      <c r="M8389" s="6" t="s">
        <v>371</v>
      </c>
    </row>
    <row r="8390" spans="1:13">
      <c r="A8390" s="6">
        <v>2027</v>
      </c>
      <c r="B8390" s="6">
        <v>3</v>
      </c>
      <c r="C8390" s="6" t="s">
        <v>61</v>
      </c>
      <c r="D8390" s="6" t="s">
        <v>612</v>
      </c>
      <c r="E8390" s="6" t="s">
        <v>416</v>
      </c>
      <c r="F8390" s="6" t="str">
        <f>IF($M8390="PADD I","PADD 1",IF($M8390="PADD II","PADD 2",IF($M8390="PADD III","PADD 3",IF($M8390="PADD IV","PADD 4",IF($M8390="PADD V","PADD 5","")))))</f>
        <v>PADD 3</v>
      </c>
      <c r="G8390" s="6" t="str">
        <f>IF(AND($H8390="ATMOS DISTILLATION",ISNUMBER(SEARCH("VPS",$I8390))=FALSE,LEFT($I8390,6)&lt;&gt;"VACUUM"),"CDU",IF($H8390="FLUID CAT CRACKING","FCC",IF(OR($H8390="HYDROCRACKING",$H8390="RESID_HYDROCRACKING"),"Hydrocracker",IF($H8390="REFORMING","Reformer",""))))</f>
        <v>FCC</v>
      </c>
      <c r="H8390" s="6" t="s">
        <v>376</v>
      </c>
      <c r="I8390" s="6" t="s">
        <v>428</v>
      </c>
      <c r="J8390" s="6" t="s">
        <v>349</v>
      </c>
      <c r="K8390" s="10">
        <v>17.94</v>
      </c>
      <c r="L8390" s="10">
        <v>69</v>
      </c>
      <c r="M8390" s="6" t="s">
        <v>371</v>
      </c>
    </row>
    <row r="8391" spans="1:13">
      <c r="A8391" s="6">
        <v>2027</v>
      </c>
      <c r="B8391" s="6">
        <v>3</v>
      </c>
      <c r="C8391" s="6" t="s">
        <v>61</v>
      </c>
      <c r="D8391" s="6" t="s">
        <v>1286</v>
      </c>
      <c r="E8391" s="6" t="s">
        <v>1287</v>
      </c>
      <c r="F8391" s="6" t="str">
        <f>IF($M8391="PADD I","PADD 1",IF($M8391="PADD II","PADD 2",IF($M8391="PADD III","PADD 3",IF($M8391="PADD IV","PADD 4",IF($M8391="PADD V","PADD 5","")))))</f>
        <v>PADD 4</v>
      </c>
      <c r="G8391" s="6" t="str">
        <f>IF(AND($H8391="ATMOS DISTILLATION",ISNUMBER(SEARCH("VPS",$I8391))=FALSE,LEFT($I8391,6)&lt;&gt;"VACUUM"),"CDU",IF($H8391="FLUID CAT CRACKING","FCC",IF(OR($H8391="HYDROCRACKING",$H8391="RESID_HYDROCRACKING"),"Hydrocracker",IF($H8391="REFORMING","Reformer",""))))</f>
        <v>CDU</v>
      </c>
      <c r="H8391" s="6" t="s">
        <v>38</v>
      </c>
      <c r="I8391" s="6" t="s">
        <v>81</v>
      </c>
      <c r="J8391" s="6" t="s">
        <v>349</v>
      </c>
      <c r="K8391" s="10">
        <v>17.4</v>
      </c>
      <c r="L8391" s="10">
        <v>20</v>
      </c>
      <c r="M8391" s="6" t="s">
        <v>430</v>
      </c>
    </row>
    <row r="8392" spans="1:13">
      <c r="A8392" s="6">
        <v>2027</v>
      </c>
      <c r="B8392" s="6">
        <v>3</v>
      </c>
      <c r="C8392" s="6" t="s">
        <v>61</v>
      </c>
      <c r="D8392" s="6" t="s">
        <v>839</v>
      </c>
      <c r="E8392" s="6" t="s">
        <v>840</v>
      </c>
      <c r="F8392" s="6" t="str">
        <f>IF($M8392="PADD I","PADD 1",IF($M8392="PADD II","PADD 2",IF($M8392="PADD III","PADD 3",IF($M8392="PADD IV","PADD 4",IF($M8392="PADD V","PADD 5","")))))</f>
        <v>PADD 1</v>
      </c>
      <c r="G8392" s="6">
        <f>IF(AND($H8392="ATMOS DISTILLATION",ISNUMBER(SEARCH("VPS",$I8392))=FALSE,LEFT($I8392,6)&lt;&gt;"VACUUM"),"CDU",IF($H8392="FLUID CAT CRACKING","FCC",IF(OR($H8392="HYDROCRACKING",$H8392="RESID_HYDROCRACKING"),"Hydrocracker",IF($H8392="REFORMING","Reformer",""))))</f>
        <v/>
      </c>
      <c r="H8392" s="6" t="s">
        <v>378</v>
      </c>
      <c r="I8392" s="6" t="s">
        <v>431</v>
      </c>
      <c r="J8392" s="6" t="s">
        <v>349</v>
      </c>
      <c r="K8392" s="10">
        <v>17.4</v>
      </c>
      <c r="L8392" s="10">
        <v>20</v>
      </c>
      <c r="M8392" s="6" t="s">
        <v>413</v>
      </c>
    </row>
    <row r="8393" spans="1:13">
      <c r="A8393" s="6">
        <v>2027</v>
      </c>
      <c r="B8393" s="6">
        <v>3</v>
      </c>
      <c r="C8393" s="6" t="s">
        <v>61</v>
      </c>
      <c r="D8393" s="6" t="s">
        <v>326</v>
      </c>
      <c r="E8393" s="6" t="s">
        <v>385</v>
      </c>
      <c r="F8393" s="6" t="str">
        <f>IF($M8393="PADD I","PADD 1",IF($M8393="PADD II","PADD 2",IF($M8393="PADD III","PADD 3",IF($M8393="PADD IV","PADD 4",IF($M8393="PADD V","PADD 5","")))))</f>
        <v>PADD 5</v>
      </c>
      <c r="G8393" s="6">
        <f>IF(AND($H8393="ATMOS DISTILLATION",ISNUMBER(SEARCH("VPS",$I8393))=FALSE,LEFT($I8393,6)&lt;&gt;"VACUUM"),"CDU",IF($H8393="FLUID CAT CRACKING","FCC",IF(OR($H8393="HYDROCRACKING",$H8393="RESID_HYDROCRACKING"),"Hydrocracker",IF($H8393="REFORMING","Reformer",""))))</f>
        <v/>
      </c>
      <c r="H8393" s="6" t="s">
        <v>378</v>
      </c>
      <c r="I8393" s="6" t="s">
        <v>431</v>
      </c>
      <c r="J8393" s="6" t="s">
        <v>349</v>
      </c>
      <c r="K8393" s="10">
        <v>17.1</v>
      </c>
      <c r="L8393" s="10">
        <v>90</v>
      </c>
      <c r="M8393" s="6" t="s">
        <v>386</v>
      </c>
    </row>
    <row r="8394" spans="1:13">
      <c r="A8394" s="6">
        <v>2027</v>
      </c>
      <c r="B8394" s="6">
        <v>3</v>
      </c>
      <c r="C8394" s="6" t="s">
        <v>61</v>
      </c>
      <c r="D8394" s="6" t="s">
        <v>334</v>
      </c>
      <c r="E8394" s="6" t="s">
        <v>552</v>
      </c>
      <c r="F8394" s="6" t="str">
        <f>IF($M8394="PADD I","PADD 1",IF($M8394="PADD II","PADD 2",IF($M8394="PADD III","PADD 3",IF($M8394="PADD IV","PADD 4",IF($M8394="PADD V","PADD 5","")))))</f>
        <v>PADD 3</v>
      </c>
      <c r="G8394" s="6" t="str">
        <f>IF(AND($H8394="ATMOS DISTILLATION",ISNUMBER(SEARCH("VPS",$I8394))=FALSE,LEFT($I8394,6)&lt;&gt;"VACUUM"),"CDU",IF($H8394="FLUID CAT CRACKING","FCC",IF(OR($H8394="HYDROCRACKING",$H8394="RESID_HYDROCRACKING"),"Hydrocracker",IF($H8394="REFORMING","Reformer",""))))</f>
        <v>Reformer</v>
      </c>
      <c r="H8394" s="6" t="s">
        <v>421</v>
      </c>
      <c r="I8394" s="6" t="s">
        <v>592</v>
      </c>
      <c r="J8394" s="6" t="s">
        <v>349</v>
      </c>
      <c r="K8394" s="10">
        <v>16</v>
      </c>
      <c r="L8394" s="10">
        <v>16</v>
      </c>
      <c r="M8394" s="6" t="s">
        <v>371</v>
      </c>
    </row>
    <row r="8395" spans="1:13">
      <c r="A8395" s="6">
        <v>2027</v>
      </c>
      <c r="B8395" s="6">
        <v>3</v>
      </c>
      <c r="C8395" s="6" t="s">
        <v>61</v>
      </c>
      <c r="D8395" s="6" t="s">
        <v>429</v>
      </c>
      <c r="E8395" s="6" t="s">
        <v>388</v>
      </c>
      <c r="F8395" s="6" t="str">
        <f>IF($M8395="PADD I","PADD 1",IF($M8395="PADD II","PADD 2",IF($M8395="PADD III","PADD 3",IF($M8395="PADD IV","PADD 4",IF($M8395="PADD V","PADD 5","")))))</f>
        <v>PADD 4</v>
      </c>
      <c r="G8395" s="6" t="str">
        <f>IF(AND($H8395="ATMOS DISTILLATION",ISNUMBER(SEARCH("VPS",$I8395))=FALSE,LEFT($I8395,6)&lt;&gt;"VACUUM"),"CDU",IF($H8395="FLUID CAT CRACKING","FCC",IF(OR($H8395="HYDROCRACKING",$H8395="RESID_HYDROCRACKING"),"Hydrocracker",IF($H8395="REFORMING","Reformer",""))))</f>
        <v>FCC</v>
      </c>
      <c r="H8395" s="6" t="s">
        <v>376</v>
      </c>
      <c r="I8395" s="6" t="s">
        <v>105</v>
      </c>
      <c r="J8395" s="6" t="s">
        <v>349</v>
      </c>
      <c r="K8395" s="10">
        <v>15.312</v>
      </c>
      <c r="L8395" s="10">
        <v>26.4</v>
      </c>
      <c r="M8395" s="6" t="s">
        <v>430</v>
      </c>
    </row>
    <row r="8396" spans="1:13">
      <c r="A8396" s="6">
        <v>2027</v>
      </c>
      <c r="B8396" s="6">
        <v>3</v>
      </c>
      <c r="C8396" s="6" t="s">
        <v>61</v>
      </c>
      <c r="D8396" s="6" t="s">
        <v>762</v>
      </c>
      <c r="E8396" s="6" t="s">
        <v>763</v>
      </c>
      <c r="F8396" s="6" t="str">
        <f>IF($M8396="PADD I","PADD 1",IF($M8396="PADD II","PADD 2",IF($M8396="PADD III","PADD 3",IF($M8396="PADD IV","PADD 4",IF($M8396="PADD V","PADD 5","")))))</f>
        <v>PADD 2</v>
      </c>
      <c r="G8396" s="6" t="str">
        <f>IF(AND($H8396="ATMOS DISTILLATION",ISNUMBER(SEARCH("VPS",$I8396))=FALSE,LEFT($I8396,6)&lt;&gt;"VACUUM"),"CDU",IF($H8396="FLUID CAT CRACKING","FCC",IF(OR($H8396="HYDROCRACKING",$H8396="RESID_HYDROCRACKING"),"Hydrocracker",IF($H8396="REFORMING","Reformer",""))))</f>
        <v>Reformer</v>
      </c>
      <c r="H8396" s="6" t="s">
        <v>421</v>
      </c>
      <c r="I8396" s="6" t="s">
        <v>782</v>
      </c>
      <c r="J8396" s="6" t="s">
        <v>349</v>
      </c>
      <c r="K8396" s="10">
        <v>15</v>
      </c>
      <c r="L8396" s="10">
        <v>15</v>
      </c>
      <c r="M8396" s="6" t="s">
        <v>375</v>
      </c>
    </row>
    <row r="8397" spans="1:13">
      <c r="A8397" s="6">
        <v>2027</v>
      </c>
      <c r="B8397" s="6">
        <v>3</v>
      </c>
      <c r="C8397" s="6" t="s">
        <v>61</v>
      </c>
      <c r="D8397" s="6" t="s">
        <v>680</v>
      </c>
      <c r="E8397" s="6" t="s">
        <v>681</v>
      </c>
      <c r="F8397" s="6" t="str">
        <f>IF($M8397="PADD I","PADD 1",IF($M8397="PADD II","PADD 2",IF($M8397="PADD III","PADD 3",IF($M8397="PADD IV","PADD 4",IF($M8397="PADD V","PADD 5","")))))</f>
        <v>PADD 3</v>
      </c>
      <c r="G8397" s="6" t="str">
        <f>IF(AND($H8397="ATMOS DISTILLATION",ISNUMBER(SEARCH("VPS",$I8397))=FALSE,LEFT($I8397,6)&lt;&gt;"VACUUM"),"CDU",IF($H8397="FLUID CAT CRACKING","FCC",IF(OR($H8397="HYDROCRACKING",$H8397="RESID_HYDROCRACKING"),"Hydrocracker",IF($H8397="REFORMING","Reformer",""))))</f>
        <v>Reformer</v>
      </c>
      <c r="H8397" s="6" t="s">
        <v>421</v>
      </c>
      <c r="I8397" s="6" t="s">
        <v>539</v>
      </c>
      <c r="J8397" s="6" t="s">
        <v>349</v>
      </c>
      <c r="K8397" s="10">
        <v>14.79</v>
      </c>
      <c r="L8397" s="10">
        <v>17</v>
      </c>
      <c r="M8397" s="6" t="s">
        <v>371</v>
      </c>
    </row>
    <row r="8398" spans="1:13">
      <c r="A8398" s="6">
        <v>2027</v>
      </c>
      <c r="B8398" s="6">
        <v>3</v>
      </c>
      <c r="C8398" s="6" t="s">
        <v>61</v>
      </c>
      <c r="D8398" s="6" t="s">
        <v>680</v>
      </c>
      <c r="E8398" s="6" t="s">
        <v>681</v>
      </c>
      <c r="F8398" s="6" t="str">
        <f>IF($M8398="PADD I","PADD 1",IF($M8398="PADD II","PADD 2",IF($M8398="PADD III","PADD 3",IF($M8398="PADD IV","PADD 4",IF($M8398="PADD V","PADD 5","")))))</f>
        <v>PADD 3</v>
      </c>
      <c r="G8398" s="6">
        <f>IF(AND($H8398="ATMOS DISTILLATION",ISNUMBER(SEARCH("VPS",$I8398))=FALSE,LEFT($I8398,6)&lt;&gt;"VACUUM"),"CDU",IF($H8398="FLUID CAT CRACKING","FCC",IF(OR($H8398="HYDROCRACKING",$H8398="RESID_HYDROCRACKING"),"Hydrocracker",IF($H8398="REFORMING","Reformer",""))))</f>
        <v/>
      </c>
      <c r="H8398" s="6" t="s">
        <v>43</v>
      </c>
      <c r="I8398" s="6" t="s">
        <v>702</v>
      </c>
      <c r="J8398" s="6" t="s">
        <v>349</v>
      </c>
      <c r="K8398" s="10">
        <v>14.79</v>
      </c>
      <c r="L8398" s="10">
        <v>17</v>
      </c>
      <c r="M8398" s="6" t="s">
        <v>371</v>
      </c>
    </row>
    <row r="8399" spans="1:13">
      <c r="A8399" s="6">
        <v>2027</v>
      </c>
      <c r="B8399" s="6">
        <v>3</v>
      </c>
      <c r="C8399" s="6" t="s">
        <v>61</v>
      </c>
      <c r="D8399" s="6" t="s">
        <v>511</v>
      </c>
      <c r="E8399" s="6" t="s">
        <v>405</v>
      </c>
      <c r="F8399" s="6" t="str">
        <f>IF($M8399="PADD I","PADD 1",IF($M8399="PADD II","PADD 2",IF($M8399="PADD III","PADD 3",IF($M8399="PADD IV","PADD 4",IF($M8399="PADD V","PADD 5","")))))</f>
        <v>PADD 3</v>
      </c>
      <c r="G8399" s="6" t="str">
        <f>IF(AND($H8399="ATMOS DISTILLATION",ISNUMBER(SEARCH("VPS",$I8399))=FALSE,LEFT($I8399,6)&lt;&gt;"VACUUM"),"CDU",IF($H8399="FLUID CAT CRACKING","FCC",IF(OR($H8399="HYDROCRACKING",$H8399="RESID_HYDROCRACKING"),"Hydrocracker",IF($H8399="REFORMING","Reformer",""))))</f>
        <v>Hydrocracker</v>
      </c>
      <c r="H8399" s="6" t="s">
        <v>444</v>
      </c>
      <c r="I8399" s="6" t="s">
        <v>14</v>
      </c>
      <c r="J8399" s="6" t="s">
        <v>349</v>
      </c>
      <c r="K8399" s="10">
        <v>14.5</v>
      </c>
      <c r="L8399" s="10">
        <v>50</v>
      </c>
      <c r="M8399" s="6" t="s">
        <v>371</v>
      </c>
    </row>
    <row r="8400" spans="1:13">
      <c r="A8400" s="6">
        <v>2027</v>
      </c>
      <c r="B8400" s="6">
        <v>3</v>
      </c>
      <c r="C8400" s="6" t="s">
        <v>61</v>
      </c>
      <c r="D8400" s="6" t="s">
        <v>839</v>
      </c>
      <c r="E8400" s="6" t="s">
        <v>840</v>
      </c>
      <c r="F8400" s="6" t="str">
        <f>IF($M8400="PADD I","PADD 1",IF($M8400="PADD II","PADD 2",IF($M8400="PADD III","PADD 3",IF($M8400="PADD IV","PADD 4",IF($M8400="PADD V","PADD 5","")))))</f>
        <v>PADD 1</v>
      </c>
      <c r="G8400" s="6" t="str">
        <f>IF(AND($H8400="ATMOS DISTILLATION",ISNUMBER(SEARCH("VPS",$I8400))=FALSE,LEFT($I8400,6)&lt;&gt;"VACUUM"),"CDU",IF($H8400="FLUID CAT CRACKING","FCC",IF(OR($H8400="HYDROCRACKING",$H8400="RESID_HYDROCRACKING"),"Hydrocracker",IF($H8400="REFORMING","Reformer",""))))</f>
        <v>Reformer</v>
      </c>
      <c r="H8400" s="6" t="s">
        <v>421</v>
      </c>
      <c r="I8400" s="6" t="s">
        <v>15</v>
      </c>
      <c r="J8400" s="6" t="s">
        <v>349</v>
      </c>
      <c r="K8400" s="10">
        <v>13.92</v>
      </c>
      <c r="L8400" s="10">
        <v>16</v>
      </c>
      <c r="M8400" s="6" t="s">
        <v>413</v>
      </c>
    </row>
    <row r="8401" spans="1:13">
      <c r="A8401" s="6">
        <v>2027</v>
      </c>
      <c r="B8401" s="6">
        <v>3</v>
      </c>
      <c r="C8401" s="6" t="s">
        <v>61</v>
      </c>
      <c r="D8401" s="6" t="s">
        <v>334</v>
      </c>
      <c r="E8401" s="6" t="s">
        <v>552</v>
      </c>
      <c r="F8401" s="6" t="str">
        <f>IF($M8401="PADD I","PADD 1",IF($M8401="PADD II","PADD 2",IF($M8401="PADD III","PADD 3",IF($M8401="PADD IV","PADD 4",IF($M8401="PADD V","PADD 5","")))))</f>
        <v>PADD 3</v>
      </c>
      <c r="G8401" s="6">
        <f>IF(AND($H8401="ATMOS DISTILLATION",ISNUMBER(SEARCH("VPS",$I8401))=FALSE,LEFT($I8401,6)&lt;&gt;"VACUUM"),"CDU",IF($H8401="FLUID CAT CRACKING","FCC",IF(OR($H8401="HYDROCRACKING",$H8401="RESID_HYDROCRACKING"),"Hydrocracker",IF($H8401="REFORMING","Reformer",""))))</f>
        <v/>
      </c>
      <c r="H8401" s="6" t="s">
        <v>43</v>
      </c>
      <c r="I8401" s="6" t="s">
        <v>501</v>
      </c>
      <c r="J8401" s="6" t="s">
        <v>349</v>
      </c>
      <c r="K8401" s="10">
        <v>13.5</v>
      </c>
      <c r="L8401" s="10">
        <v>13.5</v>
      </c>
      <c r="M8401" s="6" t="s">
        <v>371</v>
      </c>
    </row>
    <row r="8402" spans="1:13">
      <c r="A8402" s="6">
        <v>2027</v>
      </c>
      <c r="B8402" s="6">
        <v>3</v>
      </c>
      <c r="C8402" s="6" t="s">
        <v>61</v>
      </c>
      <c r="D8402" s="6" t="s">
        <v>680</v>
      </c>
      <c r="E8402" s="6" t="s">
        <v>681</v>
      </c>
      <c r="F8402" s="6" t="str">
        <f>IF($M8402="PADD I","PADD 1",IF($M8402="PADD II","PADD 2",IF($M8402="PADD III","PADD 3",IF($M8402="PADD IV","PADD 4",IF($M8402="PADD V","PADD 5","")))))</f>
        <v>PADD 3</v>
      </c>
      <c r="G8402" s="6" t="str">
        <f>IF(AND($H8402="ATMOS DISTILLATION",ISNUMBER(SEARCH("VPS",$I8402))=FALSE,LEFT($I8402,6)&lt;&gt;"VACUUM"),"CDU",IF($H8402="FLUID CAT CRACKING","FCC",IF(OR($H8402="HYDROCRACKING",$H8402="RESID_HYDROCRACKING"),"Hydrocracker",IF($H8402="REFORMING","Reformer",""))))</f>
        <v>Hydrocracker</v>
      </c>
      <c r="H8402" s="6" t="s">
        <v>444</v>
      </c>
      <c r="I8402" s="6" t="s">
        <v>707</v>
      </c>
      <c r="J8402" s="6" t="s">
        <v>349</v>
      </c>
      <c r="K8402" s="10">
        <v>13.05</v>
      </c>
      <c r="L8402" s="10">
        <v>15</v>
      </c>
      <c r="M8402" s="6" t="s">
        <v>371</v>
      </c>
    </row>
    <row r="8403" spans="1:13">
      <c r="A8403" s="6">
        <v>2027</v>
      </c>
      <c r="B8403" s="6">
        <v>3</v>
      </c>
      <c r="C8403" s="6" t="s">
        <v>61</v>
      </c>
      <c r="D8403" s="6" t="s">
        <v>922</v>
      </c>
      <c r="E8403" s="6" t="s">
        <v>452</v>
      </c>
      <c r="F8403" s="6" t="str">
        <f>IF($M8403="PADD I","PADD 1",IF($M8403="PADD II","PADD 2",IF($M8403="PADD III","PADD 3",IF($M8403="PADD IV","PADD 4",IF($M8403="PADD V","PADD 5","")))))</f>
        <v>PADD 4</v>
      </c>
      <c r="G8403" s="6" t="str">
        <f>IF(AND($H8403="ATMOS DISTILLATION",ISNUMBER(SEARCH("VPS",$I8403))=FALSE,LEFT($I8403,6)&lt;&gt;"VACUUM"),"CDU",IF($H8403="FLUID CAT CRACKING","FCC",IF(OR($H8403="HYDROCRACKING",$H8403="RESID_HYDROCRACKING"),"Hydrocracker",IF($H8403="REFORMING","Reformer",""))))</f>
        <v>FCC</v>
      </c>
      <c r="H8403" s="6" t="s">
        <v>376</v>
      </c>
      <c r="I8403" s="6" t="s">
        <v>105</v>
      </c>
      <c r="J8403" s="6" t="s">
        <v>349</v>
      </c>
      <c r="K8403" s="10">
        <v>13</v>
      </c>
      <c r="L8403" s="10">
        <v>13</v>
      </c>
      <c r="M8403" s="6" t="s">
        <v>430</v>
      </c>
    </row>
    <row r="8404" spans="1:13">
      <c r="A8404" s="6">
        <v>2027</v>
      </c>
      <c r="B8404" s="6">
        <v>3</v>
      </c>
      <c r="C8404" s="6" t="s">
        <v>61</v>
      </c>
      <c r="D8404" s="6" t="s">
        <v>762</v>
      </c>
      <c r="E8404" s="6" t="s">
        <v>763</v>
      </c>
      <c r="F8404" s="6" t="str">
        <f>IF($M8404="PADD I","PADD 1",IF($M8404="PADD II","PADD 2",IF($M8404="PADD III","PADD 3",IF($M8404="PADD IV","PADD 4",IF($M8404="PADD V","PADD 5","")))))</f>
        <v>PADD 2</v>
      </c>
      <c r="G8404" s="6">
        <f>IF(AND($H8404="ATMOS DISTILLATION",ISNUMBER(SEARCH("VPS",$I8404))=FALSE,LEFT($I8404,6)&lt;&gt;"VACUUM"),"CDU",IF($H8404="FLUID CAT CRACKING","FCC",IF(OR($H8404="HYDROCRACKING",$H8404="RESID_HYDROCRACKING"),"Hydrocracker",IF($H8404="REFORMING","Reformer",""))))</f>
        <v/>
      </c>
      <c r="H8404" s="6" t="s">
        <v>43</v>
      </c>
      <c r="I8404" s="6" t="s">
        <v>1055</v>
      </c>
      <c r="J8404" s="6" t="s">
        <v>349</v>
      </c>
      <c r="K8404" s="10">
        <v>13</v>
      </c>
      <c r="L8404" s="10">
        <v>13</v>
      </c>
      <c r="M8404" s="6" t="s">
        <v>375</v>
      </c>
    </row>
    <row r="8405" spans="1:13">
      <c r="A8405" s="6">
        <v>2027</v>
      </c>
      <c r="B8405" s="6">
        <v>3</v>
      </c>
      <c r="C8405" s="6" t="s">
        <v>61</v>
      </c>
      <c r="D8405" s="6" t="s">
        <v>451</v>
      </c>
      <c r="E8405" s="6" t="s">
        <v>452</v>
      </c>
      <c r="F8405" s="6" t="str">
        <f>IF($M8405="PADD I","PADD 1",IF($M8405="PADD II","PADD 2",IF($M8405="PADD III","PADD 3",IF($M8405="PADD IV","PADD 4",IF($M8405="PADD V","PADD 5","")))))</f>
        <v>PADD 2</v>
      </c>
      <c r="G8405" s="6">
        <f>IF(AND($H8405="ATMOS DISTILLATION",ISNUMBER(SEARCH("VPS",$I8405))=FALSE,LEFT($I8405,6)&lt;&gt;"VACUUM"),"CDU",IF($H8405="FLUID CAT CRACKING","FCC",IF(OR($H8405="HYDROCRACKING",$H8405="RESID_HYDROCRACKING"),"Hydrocracker",IF($H8405="REFORMING","Reformer",""))))</f>
        <v/>
      </c>
      <c r="H8405" s="6" t="s">
        <v>378</v>
      </c>
      <c r="I8405" s="6" t="s">
        <v>431</v>
      </c>
      <c r="J8405" s="6" t="s">
        <v>349</v>
      </c>
      <c r="K8405" s="10">
        <v>12.88</v>
      </c>
      <c r="L8405" s="10">
        <v>56</v>
      </c>
      <c r="M8405" s="6" t="s">
        <v>375</v>
      </c>
    </row>
    <row r="8406" spans="1:13">
      <c r="A8406" s="6">
        <v>2027</v>
      </c>
      <c r="B8406" s="6">
        <v>3</v>
      </c>
      <c r="C8406" s="6" t="s">
        <v>61</v>
      </c>
      <c r="D8406" s="6" t="s">
        <v>762</v>
      </c>
      <c r="E8406" s="6" t="s">
        <v>763</v>
      </c>
      <c r="F8406" s="6" t="str">
        <f>IF($M8406="PADD I","PADD 1",IF($M8406="PADD II","PADD 2",IF($M8406="PADD III","PADD 3",IF($M8406="PADD IV","PADD 4",IF($M8406="PADD V","PADD 5","")))))</f>
        <v>PADD 2</v>
      </c>
      <c r="G8406" s="6">
        <f>IF(AND($H8406="ATMOS DISTILLATION",ISNUMBER(SEARCH("VPS",$I8406))=FALSE,LEFT($I8406,6)&lt;&gt;"VACUUM"),"CDU",IF($H8406="FLUID CAT CRACKING","FCC",IF(OR($H8406="HYDROCRACKING",$H8406="RESID_HYDROCRACKING"),"Hydrocracker",IF($H8406="REFORMING","Reformer",""))))</f>
        <v/>
      </c>
      <c r="H8406" s="6" t="s">
        <v>378</v>
      </c>
      <c r="I8406" s="6" t="s">
        <v>812</v>
      </c>
      <c r="J8406" s="6" t="s">
        <v>349</v>
      </c>
      <c r="K8406" s="10">
        <v>12</v>
      </c>
      <c r="L8406" s="10">
        <v>12</v>
      </c>
      <c r="M8406" s="6" t="s">
        <v>375</v>
      </c>
    </row>
    <row r="8407" spans="1:13">
      <c r="A8407" s="6">
        <v>2027</v>
      </c>
      <c r="B8407" s="6">
        <v>3</v>
      </c>
      <c r="C8407" s="6" t="s">
        <v>61</v>
      </c>
      <c r="D8407" s="6" t="s">
        <v>762</v>
      </c>
      <c r="E8407" s="6" t="s">
        <v>763</v>
      </c>
      <c r="F8407" s="6" t="str">
        <f>IF($M8407="PADD I","PADD 1",IF($M8407="PADD II","PADD 2",IF($M8407="PADD III","PADD 3",IF($M8407="PADD IV","PADD 4",IF($M8407="PADD V","PADD 5","")))))</f>
        <v>PADD 2</v>
      </c>
      <c r="G8407" s="6">
        <f>IF(AND($H8407="ATMOS DISTILLATION",ISNUMBER(SEARCH("VPS",$I8407))=FALSE,LEFT($I8407,6)&lt;&gt;"VACUUM"),"CDU",IF($H8407="FLUID CAT CRACKING","FCC",IF(OR($H8407="HYDROCRACKING",$H8407="RESID_HYDROCRACKING"),"Hydrocracker",IF($H8407="REFORMING","Reformer",""))))</f>
        <v/>
      </c>
      <c r="H8407" s="6" t="s">
        <v>378</v>
      </c>
      <c r="I8407" s="6" t="s">
        <v>964</v>
      </c>
      <c r="J8407" s="6" t="s">
        <v>349</v>
      </c>
      <c r="K8407" s="10">
        <v>12</v>
      </c>
      <c r="L8407" s="10">
        <v>12</v>
      </c>
      <c r="M8407" s="6" t="s">
        <v>375</v>
      </c>
    </row>
    <row r="8408" spans="1:13">
      <c r="A8408" s="6">
        <v>2027</v>
      </c>
      <c r="B8408" s="6">
        <v>3</v>
      </c>
      <c r="C8408" s="6" t="s">
        <v>61</v>
      </c>
      <c r="D8408" s="6" t="s">
        <v>632</v>
      </c>
      <c r="E8408" s="6" t="s">
        <v>633</v>
      </c>
      <c r="F8408" s="6" t="str">
        <f>IF($M8408="PADD I","PADD 1",IF($M8408="PADD II","PADD 2",IF($M8408="PADD III","PADD 3",IF($M8408="PADD IV","PADD 4",IF($M8408="PADD V","PADD 5","")))))</f>
        <v>PADD 4</v>
      </c>
      <c r="G8408" s="6" t="str">
        <f>IF(AND($H8408="ATMOS DISTILLATION",ISNUMBER(SEARCH("VPS",$I8408))=FALSE,LEFT($I8408,6)&lt;&gt;"VACUUM"),"CDU",IF($H8408="FLUID CAT CRACKING","FCC",IF(OR($H8408="HYDROCRACKING",$H8408="RESID_HYDROCRACKING"),"Hydrocracker",IF($H8408="REFORMING","Reformer",""))))</f>
        <v>FCC</v>
      </c>
      <c r="H8408" s="6" t="s">
        <v>376</v>
      </c>
      <c r="I8408" s="6" t="s">
        <v>634</v>
      </c>
      <c r="J8408" s="6" t="s">
        <v>349</v>
      </c>
      <c r="K8408" s="10">
        <v>11.5</v>
      </c>
      <c r="L8408" s="10">
        <v>11.5</v>
      </c>
      <c r="M8408" s="6" t="s">
        <v>430</v>
      </c>
    </row>
    <row r="8409" spans="1:13">
      <c r="A8409" s="6">
        <v>2027</v>
      </c>
      <c r="B8409" s="6">
        <v>3</v>
      </c>
      <c r="C8409" s="6" t="s">
        <v>61</v>
      </c>
      <c r="D8409" s="6" t="s">
        <v>322</v>
      </c>
      <c r="E8409" s="6" t="s">
        <v>369</v>
      </c>
      <c r="F8409" s="6" t="str">
        <f>IF($M8409="PADD I","PADD 1",IF($M8409="PADD II","PADD 2",IF($M8409="PADD III","PADD 3",IF($M8409="PADD IV","PADD 4",IF($M8409="PADD V","PADD 5","")))))</f>
        <v>PADD 2</v>
      </c>
      <c r="G8409" s="6">
        <f>IF(AND($H8409="ATMOS DISTILLATION",ISNUMBER(SEARCH("VPS",$I8409))=FALSE,LEFT($I8409,6)&lt;&gt;"VACUUM"),"CDU",IF($H8409="FLUID CAT CRACKING","FCC",IF(OR($H8409="HYDROCRACKING",$H8409="RESID_HYDROCRACKING"),"Hydrocracker",IF($H8409="REFORMING","Reformer",""))))</f>
        <v/>
      </c>
      <c r="H8409" s="6" t="s">
        <v>435</v>
      </c>
      <c r="I8409" s="6" t="s">
        <v>1392</v>
      </c>
      <c r="J8409" s="6" t="s">
        <v>349</v>
      </c>
      <c r="K8409" s="10">
        <v>11.05</v>
      </c>
      <c r="L8409" s="10">
        <v>17</v>
      </c>
      <c r="M8409" s="6" t="s">
        <v>375</v>
      </c>
    </row>
    <row r="8410" spans="1:13">
      <c r="A8410" s="6">
        <v>2027</v>
      </c>
      <c r="B8410" s="6">
        <v>3</v>
      </c>
      <c r="C8410" s="6" t="s">
        <v>61</v>
      </c>
      <c r="D8410" s="6" t="s">
        <v>680</v>
      </c>
      <c r="E8410" s="6" t="s">
        <v>681</v>
      </c>
      <c r="F8410" s="6" t="str">
        <f>IF($M8410="PADD I","PADD 1",IF($M8410="PADD II","PADD 2",IF($M8410="PADD III","PADD 3",IF($M8410="PADD IV","PADD 4",IF($M8410="PADD V","PADD 5","")))))</f>
        <v>PADD 3</v>
      </c>
      <c r="G8410" s="6">
        <f>IF(AND($H8410="ATMOS DISTILLATION",ISNUMBER(SEARCH("VPS",$I8410))=FALSE,LEFT($I8410,6)&lt;&gt;"VACUUM"),"CDU",IF($H8410="FLUID CAT CRACKING","FCC",IF(OR($H8410="HYDROCRACKING",$H8410="RESID_HYDROCRACKING"),"Hydrocracker",IF($H8410="REFORMING","Reformer",""))))</f>
        <v/>
      </c>
      <c r="H8410" s="6" t="s">
        <v>43</v>
      </c>
      <c r="I8410" s="6" t="s">
        <v>709</v>
      </c>
      <c r="J8410" s="6" t="s">
        <v>349</v>
      </c>
      <c r="K8410" s="10">
        <v>10.44</v>
      </c>
      <c r="L8410" s="10">
        <v>12</v>
      </c>
      <c r="M8410" s="6" t="s">
        <v>371</v>
      </c>
    </row>
    <row r="8411" spans="1:13">
      <c r="A8411" s="6">
        <v>2027</v>
      </c>
      <c r="B8411" s="6">
        <v>3</v>
      </c>
      <c r="C8411" s="6" t="s">
        <v>61</v>
      </c>
      <c r="D8411" s="6" t="s">
        <v>839</v>
      </c>
      <c r="E8411" s="6" t="s">
        <v>840</v>
      </c>
      <c r="F8411" s="6" t="str">
        <f>IF($M8411="PADD I","PADD 1",IF($M8411="PADD II","PADD 2",IF($M8411="PADD III","PADD 3",IF($M8411="PADD IV","PADD 4",IF($M8411="PADD V","PADD 5","")))))</f>
        <v>PADD 1</v>
      </c>
      <c r="G8411" s="6">
        <f>IF(AND($H8411="ATMOS DISTILLATION",ISNUMBER(SEARCH("VPS",$I8411))=FALSE,LEFT($I8411,6)&lt;&gt;"VACUUM"),"CDU",IF($H8411="FLUID CAT CRACKING","FCC",IF(OR($H8411="HYDROCRACKING",$H8411="RESID_HYDROCRACKING"),"Hydrocracker",IF($H8411="REFORMING","Reformer",""))))</f>
        <v/>
      </c>
      <c r="H8411" s="6" t="s">
        <v>523</v>
      </c>
      <c r="I8411" s="6" t="s">
        <v>524</v>
      </c>
      <c r="J8411" s="6" t="s">
        <v>349</v>
      </c>
      <c r="K8411" s="10">
        <v>10.44</v>
      </c>
      <c r="L8411" s="10">
        <v>12</v>
      </c>
      <c r="M8411" s="6" t="s">
        <v>413</v>
      </c>
    </row>
    <row r="8412" spans="1:13">
      <c r="A8412" s="6">
        <v>2027</v>
      </c>
      <c r="B8412" s="6">
        <v>3</v>
      </c>
      <c r="C8412" s="6" t="s">
        <v>61</v>
      </c>
      <c r="D8412" s="6" t="s">
        <v>632</v>
      </c>
      <c r="E8412" s="6" t="s">
        <v>633</v>
      </c>
      <c r="F8412" s="6" t="str">
        <f>IF($M8412="PADD I","PADD 1",IF($M8412="PADD II","PADD 2",IF($M8412="PADD III","PADD 3",IF($M8412="PADD IV","PADD 4",IF($M8412="PADD V","PADD 5","")))))</f>
        <v>PADD 4</v>
      </c>
      <c r="G8412" s="6" t="str">
        <f>IF(AND($H8412="ATMOS DISTILLATION",ISNUMBER(SEARCH("VPS",$I8412))=FALSE,LEFT($I8412,6)&lt;&gt;"VACUUM"),"CDU",IF($H8412="FLUID CAT CRACKING","FCC",IF(OR($H8412="HYDROCRACKING",$H8412="RESID_HYDROCRACKING"),"Hydrocracker",IF($H8412="REFORMING","Reformer",""))))</f>
        <v>Reformer</v>
      </c>
      <c r="H8412" s="6" t="s">
        <v>421</v>
      </c>
      <c r="I8412" s="6" t="s">
        <v>1070</v>
      </c>
      <c r="J8412" s="6" t="s">
        <v>349</v>
      </c>
      <c r="K8412" s="10">
        <v>10</v>
      </c>
      <c r="L8412" s="10">
        <v>10</v>
      </c>
      <c r="M8412" s="6" t="s">
        <v>430</v>
      </c>
    </row>
    <row r="8413" spans="1:13">
      <c r="A8413" s="6">
        <v>2027</v>
      </c>
      <c r="B8413" s="6">
        <v>3</v>
      </c>
      <c r="C8413" s="6" t="s">
        <v>61</v>
      </c>
      <c r="D8413" s="6" t="s">
        <v>429</v>
      </c>
      <c r="E8413" s="6" t="s">
        <v>388</v>
      </c>
      <c r="F8413" s="6" t="str">
        <f>IF($M8413="PADD I","PADD 1",IF($M8413="PADD II","PADD 2",IF($M8413="PADD III","PADD 3",IF($M8413="PADD IV","PADD 4",IF($M8413="PADD V","PADD 5","")))))</f>
        <v>PADD 4</v>
      </c>
      <c r="G8413" s="6">
        <f>IF(AND($H8413="ATMOS DISTILLATION",ISNUMBER(SEARCH("VPS",$I8413))=FALSE,LEFT($I8413,6)&lt;&gt;"VACUUM"),"CDU",IF($H8413="FLUID CAT CRACKING","FCC",IF(OR($H8413="HYDROCRACKING",$H8413="RESID_HYDROCRACKING"),"Hydrocracker",IF($H8413="REFORMING","Reformer",""))))</f>
        <v/>
      </c>
      <c r="H8413" s="6" t="s">
        <v>43</v>
      </c>
      <c r="I8413" s="6" t="s">
        <v>514</v>
      </c>
      <c r="J8413" s="6" t="s">
        <v>349</v>
      </c>
      <c r="K8413" s="10">
        <v>9.917999999999999</v>
      </c>
      <c r="L8413" s="10">
        <v>17.1</v>
      </c>
      <c r="M8413" s="6" t="s">
        <v>430</v>
      </c>
    </row>
    <row r="8414" spans="1:13">
      <c r="A8414" s="6">
        <v>2027</v>
      </c>
      <c r="B8414" s="6">
        <v>3</v>
      </c>
      <c r="C8414" s="6" t="s">
        <v>61</v>
      </c>
      <c r="D8414" s="6" t="s">
        <v>646</v>
      </c>
      <c r="E8414" s="6" t="s">
        <v>405</v>
      </c>
      <c r="F8414" s="6" t="str">
        <f>IF($M8414="PADD I","PADD 1",IF($M8414="PADD II","PADD 2",IF($M8414="PADD III","PADD 3",IF($M8414="PADD IV","PADD 4",IF($M8414="PADD V","PADD 5","")))))</f>
        <v>PADD 3</v>
      </c>
      <c r="G8414" s="6">
        <f>IF(AND($H8414="ATMOS DISTILLATION",ISNUMBER(SEARCH("VPS",$I8414))=FALSE,LEFT($I8414,6)&lt;&gt;"VACUUM"),"CDU",IF($H8414="FLUID CAT CRACKING","FCC",IF(OR($H8414="HYDROCRACKING",$H8414="RESID_HYDROCRACKING"),"Hydrocracker",IF($H8414="REFORMING","Reformer",""))))</f>
        <v/>
      </c>
      <c r="H8414" s="6" t="s">
        <v>435</v>
      </c>
      <c r="I8414" s="6" t="s">
        <v>441</v>
      </c>
      <c r="J8414" s="6" t="s">
        <v>349</v>
      </c>
      <c r="K8414" s="10">
        <v>9.9</v>
      </c>
      <c r="L8414" s="10">
        <v>18</v>
      </c>
      <c r="M8414" s="6" t="s">
        <v>371</v>
      </c>
    </row>
    <row r="8415" spans="1:13">
      <c r="A8415" s="6">
        <v>2027</v>
      </c>
      <c r="B8415" s="6">
        <v>3</v>
      </c>
      <c r="C8415" s="6" t="s">
        <v>61</v>
      </c>
      <c r="D8415" s="6" t="s">
        <v>680</v>
      </c>
      <c r="E8415" s="6" t="s">
        <v>681</v>
      </c>
      <c r="F8415" s="6" t="str">
        <f>IF($M8415="PADD I","PADD 1",IF($M8415="PADD II","PADD 2",IF($M8415="PADD III","PADD 3",IF($M8415="PADD IV","PADD 4",IF($M8415="PADD V","PADD 5","")))))</f>
        <v>PADD 3</v>
      </c>
      <c r="G8415" s="6">
        <f>IF(AND($H8415="ATMOS DISTILLATION",ISNUMBER(SEARCH("VPS",$I8415))=FALSE,LEFT($I8415,6)&lt;&gt;"VACUUM"),"CDU",IF($H8415="FLUID CAT CRACKING","FCC",IF(OR($H8415="HYDROCRACKING",$H8415="RESID_HYDROCRACKING"),"Hydrocracker",IF($H8415="REFORMING","Reformer",""))))</f>
        <v/>
      </c>
      <c r="H8415" s="6" t="s">
        <v>568</v>
      </c>
      <c r="I8415" s="6" t="s">
        <v>713</v>
      </c>
      <c r="J8415" s="6" t="s">
        <v>349</v>
      </c>
      <c r="K8415" s="10">
        <v>9.57</v>
      </c>
      <c r="L8415" s="10">
        <v>11</v>
      </c>
      <c r="M8415" s="6" t="s">
        <v>371</v>
      </c>
    </row>
    <row r="8416" spans="1:13">
      <c r="A8416" s="6">
        <v>2027</v>
      </c>
      <c r="B8416" s="6">
        <v>3</v>
      </c>
      <c r="C8416" s="6" t="s">
        <v>61</v>
      </c>
      <c r="D8416" s="6" t="s">
        <v>922</v>
      </c>
      <c r="E8416" s="6" t="s">
        <v>452</v>
      </c>
      <c r="F8416" s="6" t="str">
        <f>IF($M8416="PADD I","PADD 1",IF($M8416="PADD II","PADD 2",IF($M8416="PADD III","PADD 3",IF($M8416="PADD IV","PADD 4",IF($M8416="PADD V","PADD 5","")))))</f>
        <v>PADD 4</v>
      </c>
      <c r="G8416" s="6">
        <f>IF(AND($H8416="ATMOS DISTILLATION",ISNUMBER(SEARCH("VPS",$I8416))=FALSE,LEFT($I8416,6)&lt;&gt;"VACUUM"),"CDU",IF($H8416="FLUID CAT CRACKING","FCC",IF(OR($H8416="HYDROCRACKING",$H8416="RESID_HYDROCRACKING"),"Hydrocracker",IF($H8416="REFORMING","Reformer",""))))</f>
        <v/>
      </c>
      <c r="H8416" s="6" t="s">
        <v>43</v>
      </c>
      <c r="I8416" s="6" t="s">
        <v>933</v>
      </c>
      <c r="J8416" s="6" t="s">
        <v>349</v>
      </c>
      <c r="K8416" s="10">
        <v>9.5</v>
      </c>
      <c r="L8416" s="10">
        <v>9.5</v>
      </c>
      <c r="M8416" s="6" t="s">
        <v>430</v>
      </c>
    </row>
    <row r="8417" spans="1:13">
      <c r="A8417" s="6">
        <v>2027</v>
      </c>
      <c r="B8417" s="6">
        <v>3</v>
      </c>
      <c r="C8417" s="6" t="s">
        <v>61</v>
      </c>
      <c r="D8417" s="6" t="s">
        <v>451</v>
      </c>
      <c r="E8417" s="6" t="s">
        <v>452</v>
      </c>
      <c r="F8417" s="6" t="str">
        <f>IF($M8417="PADD I","PADD 1",IF($M8417="PADD II","PADD 2",IF($M8417="PADD III","PADD 3",IF($M8417="PADD IV","PADD 4",IF($M8417="PADD V","PADD 5","")))))</f>
        <v>PADD 2</v>
      </c>
      <c r="G8417" s="6" t="str">
        <f>IF(AND($H8417="ATMOS DISTILLATION",ISNUMBER(SEARCH("VPS",$I8417))=FALSE,LEFT($I8417,6)&lt;&gt;"VACUUM"),"CDU",IF($H8417="FLUID CAT CRACKING","FCC",IF(OR($H8417="HYDROCRACKING",$H8417="RESID_HYDROCRACKING"),"Hydrocracker",IF($H8417="REFORMING","Reformer",""))))</f>
        <v>CDU</v>
      </c>
      <c r="H8417" s="6" t="s">
        <v>38</v>
      </c>
      <c r="I8417" s="6" t="s">
        <v>481</v>
      </c>
      <c r="J8417" s="6" t="s">
        <v>349</v>
      </c>
      <c r="K8417" s="10">
        <v>9.199999999999999</v>
      </c>
      <c r="L8417" s="10">
        <v>40</v>
      </c>
      <c r="M8417" s="6" t="s">
        <v>375</v>
      </c>
    </row>
    <row r="8418" spans="1:13">
      <c r="A8418" s="6">
        <v>2027</v>
      </c>
      <c r="B8418" s="6">
        <v>3</v>
      </c>
      <c r="C8418" s="6" t="s">
        <v>61</v>
      </c>
      <c r="D8418" s="6" t="s">
        <v>922</v>
      </c>
      <c r="E8418" s="6" t="s">
        <v>452</v>
      </c>
      <c r="F8418" s="6" t="str">
        <f>IF($M8418="PADD I","PADD 1",IF($M8418="PADD II","PADD 2",IF($M8418="PADD III","PADD 3",IF($M8418="PADD IV","PADD 4",IF($M8418="PADD V","PADD 5","")))))</f>
        <v>PADD 4</v>
      </c>
      <c r="G8418" s="6">
        <f>IF(AND($H8418="ATMOS DISTILLATION",ISNUMBER(SEARCH("VPS",$I8418))=FALSE,LEFT($I8418,6)&lt;&gt;"VACUUM"),"CDU",IF($H8418="FLUID CAT CRACKING","FCC",IF(OR($H8418="HYDROCRACKING",$H8418="RESID_HYDROCRACKING"),"Hydrocracker",IF($H8418="REFORMING","Reformer",""))))</f>
        <v/>
      </c>
      <c r="H8418" s="6" t="s">
        <v>43</v>
      </c>
      <c r="I8418" s="6" t="s">
        <v>726</v>
      </c>
      <c r="J8418" s="6" t="s">
        <v>349</v>
      </c>
      <c r="K8418" s="10">
        <v>9</v>
      </c>
      <c r="L8418" s="10">
        <v>9</v>
      </c>
      <c r="M8418" s="6" t="s">
        <v>430</v>
      </c>
    </row>
    <row r="8419" spans="1:13">
      <c r="A8419" s="6">
        <v>2027</v>
      </c>
      <c r="B8419" s="6">
        <v>3</v>
      </c>
      <c r="C8419" s="6" t="s">
        <v>61</v>
      </c>
      <c r="D8419" s="6" t="s">
        <v>1390</v>
      </c>
      <c r="E8419" s="6" t="s">
        <v>681</v>
      </c>
      <c r="F8419" s="6" t="str">
        <f>IF($M8419="PADD I","PADD 1",IF($M8419="PADD II","PADD 2",IF($M8419="PADD III","PADD 3",IF($M8419="PADD IV","PADD 4",IF($M8419="PADD V","PADD 5","")))))</f>
        <v>PADD 3</v>
      </c>
      <c r="G8419" s="6">
        <f>IF(AND($H8419="ATMOS DISTILLATION",ISNUMBER(SEARCH("VPS",$I8419))=FALSE,LEFT($I8419,6)&lt;&gt;"VACUUM"),"CDU",IF($H8419="FLUID CAT CRACKING","FCC",IF(OR($H8419="HYDROCRACKING",$H8419="RESID_HYDROCRACKING"),"Hydrocracker",IF($H8419="REFORMING","Reformer",""))))</f>
        <v/>
      </c>
      <c r="H8419" s="6" t="s">
        <v>378</v>
      </c>
      <c r="I8419" s="6" t="s">
        <v>431</v>
      </c>
      <c r="J8419" s="6" t="s">
        <v>349</v>
      </c>
      <c r="K8419" s="10">
        <v>8.699999999999999</v>
      </c>
      <c r="L8419" s="10">
        <v>10</v>
      </c>
      <c r="M8419" s="6" t="s">
        <v>371</v>
      </c>
    </row>
    <row r="8420" spans="1:13">
      <c r="A8420" s="6">
        <v>2027</v>
      </c>
      <c r="B8420" s="6">
        <v>3</v>
      </c>
      <c r="C8420" s="6" t="s">
        <v>61</v>
      </c>
      <c r="D8420" s="6" t="s">
        <v>334</v>
      </c>
      <c r="E8420" s="6" t="s">
        <v>552</v>
      </c>
      <c r="F8420" s="6" t="str">
        <f>IF($M8420="PADD I","PADD 1",IF($M8420="PADD II","PADD 2",IF($M8420="PADD III","PADD 3",IF($M8420="PADD IV","PADD 4",IF($M8420="PADD V","PADD 5","")))))</f>
        <v>PADD 3</v>
      </c>
      <c r="G8420" s="6">
        <f>IF(AND($H8420="ATMOS DISTILLATION",ISNUMBER(SEARCH("VPS",$I8420))=FALSE,LEFT($I8420,6)&lt;&gt;"VACUUM"),"CDU",IF($H8420="FLUID CAT CRACKING","FCC",IF(OR($H8420="HYDROCRACKING",$H8420="RESID_HYDROCRACKING"),"Hydrocracker",IF($H8420="REFORMING","Reformer",""))))</f>
        <v/>
      </c>
      <c r="H8420" s="6" t="s">
        <v>637</v>
      </c>
      <c r="I8420" s="6" t="s">
        <v>1387</v>
      </c>
      <c r="J8420" s="6" t="s">
        <v>349</v>
      </c>
      <c r="K8420" s="10">
        <v>8.5</v>
      </c>
      <c r="L8420" s="10">
        <v>8.5</v>
      </c>
      <c r="M8420" s="6" t="s">
        <v>371</v>
      </c>
    </row>
    <row r="8421" spans="1:13">
      <c r="A8421" s="6">
        <v>2027</v>
      </c>
      <c r="B8421" s="6">
        <v>3</v>
      </c>
      <c r="C8421" s="6" t="s">
        <v>61</v>
      </c>
      <c r="D8421" s="6" t="s">
        <v>628</v>
      </c>
      <c r="E8421" s="6" t="s">
        <v>388</v>
      </c>
      <c r="F8421" s="6" t="str">
        <f>IF($M8421="PADD I","PADD 1",IF($M8421="PADD II","PADD 2",IF($M8421="PADD III","PADD 3",IF($M8421="PADD IV","PADD 4",IF($M8421="PADD V","PADD 5","")))))</f>
        <v>PADD 3</v>
      </c>
      <c r="G8421" s="6" t="str">
        <f>IF(AND($H8421="ATMOS DISTILLATION",ISNUMBER(SEARCH("VPS",$I8421))=FALSE,LEFT($I8421,6)&lt;&gt;"VACUUM"),"CDU",IF($H8421="FLUID CAT CRACKING","FCC",IF(OR($H8421="HYDROCRACKING",$H8421="RESID_HYDROCRACKING"),"Hydrocracker",IF($H8421="REFORMING","Reformer",""))))</f>
        <v>CDU</v>
      </c>
      <c r="H8421" s="6" t="s">
        <v>38</v>
      </c>
      <c r="I8421" s="6" t="s">
        <v>1048</v>
      </c>
      <c r="J8421" s="6" t="s">
        <v>349</v>
      </c>
      <c r="K8421" s="10">
        <v>8</v>
      </c>
      <c r="L8421" s="10">
        <v>50</v>
      </c>
      <c r="M8421" s="6" t="s">
        <v>371</v>
      </c>
    </row>
    <row r="8422" spans="1:13">
      <c r="A8422" s="6">
        <v>2027</v>
      </c>
      <c r="B8422" s="6">
        <v>3</v>
      </c>
      <c r="C8422" s="6" t="s">
        <v>61</v>
      </c>
      <c r="D8422" s="6" t="s">
        <v>334</v>
      </c>
      <c r="E8422" s="6" t="s">
        <v>552</v>
      </c>
      <c r="F8422" s="6" t="str">
        <f>IF($M8422="PADD I","PADD 1",IF($M8422="PADD II","PADD 2",IF($M8422="PADD III","PADD 3",IF($M8422="PADD IV","PADD 4",IF($M8422="PADD V","PADD 5","")))))</f>
        <v>PADD 3</v>
      </c>
      <c r="G8422" s="6">
        <f>IF(AND($H8422="ATMOS DISTILLATION",ISNUMBER(SEARCH("VPS",$I8422))=FALSE,LEFT($I8422,6)&lt;&gt;"VACUUM"),"CDU",IF($H8422="FLUID CAT CRACKING","FCC",IF(OR($H8422="HYDROCRACKING",$H8422="RESID_HYDROCRACKING"),"Hydrocracker",IF($H8422="REFORMING","Reformer",""))))</f>
        <v/>
      </c>
      <c r="H8422" s="6" t="s">
        <v>43</v>
      </c>
      <c r="I8422" s="6" t="s">
        <v>619</v>
      </c>
      <c r="J8422" s="6" t="s">
        <v>349</v>
      </c>
      <c r="K8422" s="10">
        <v>8</v>
      </c>
      <c r="L8422" s="10">
        <v>8</v>
      </c>
      <c r="M8422" s="6" t="s">
        <v>371</v>
      </c>
    </row>
    <row r="8423" spans="1:13">
      <c r="A8423" s="6">
        <v>2027</v>
      </c>
      <c r="B8423" s="6">
        <v>3</v>
      </c>
      <c r="C8423" s="6" t="s">
        <v>61</v>
      </c>
      <c r="D8423" s="6" t="s">
        <v>326</v>
      </c>
      <c r="E8423" s="6" t="s">
        <v>385</v>
      </c>
      <c r="F8423" s="6" t="str">
        <f>IF($M8423="PADD I","PADD 1",IF($M8423="PADD II","PADD 2",IF($M8423="PADD III","PADD 3",IF($M8423="PADD IV","PADD 4",IF($M8423="PADD V","PADD 5","")))))</f>
        <v>PADD 5</v>
      </c>
      <c r="G8423" s="6" t="str">
        <f>IF(AND($H8423="ATMOS DISTILLATION",ISNUMBER(SEARCH("VPS",$I8423))=FALSE,LEFT($I8423,6)&lt;&gt;"VACUUM"),"CDU",IF($H8423="FLUID CAT CRACKING","FCC",IF(OR($H8423="HYDROCRACKING",$H8423="RESID_HYDROCRACKING"),"Hydrocracker",IF($H8423="REFORMING","Reformer",""))))</f>
        <v>Hydrocracker</v>
      </c>
      <c r="H8423" s="6" t="s">
        <v>444</v>
      </c>
      <c r="I8423" s="6" t="s">
        <v>498</v>
      </c>
      <c r="J8423" s="6" t="s">
        <v>349</v>
      </c>
      <c r="K8423" s="10">
        <v>7.98</v>
      </c>
      <c r="L8423" s="10">
        <v>42</v>
      </c>
      <c r="M8423" s="6" t="s">
        <v>386</v>
      </c>
    </row>
    <row r="8424" spans="1:13">
      <c r="A8424" s="6">
        <v>2027</v>
      </c>
      <c r="B8424" s="6">
        <v>3</v>
      </c>
      <c r="C8424" s="6" t="s">
        <v>61</v>
      </c>
      <c r="D8424" s="6" t="s">
        <v>922</v>
      </c>
      <c r="E8424" s="6" t="s">
        <v>452</v>
      </c>
      <c r="F8424" s="6" t="str">
        <f>IF($M8424="PADD I","PADD 1",IF($M8424="PADD II","PADD 2",IF($M8424="PADD III","PADD 3",IF($M8424="PADD IV","PADD 4",IF($M8424="PADD V","PADD 5","")))))</f>
        <v>PADD 4</v>
      </c>
      <c r="G8424" s="6">
        <f>IF(AND($H8424="ATMOS DISTILLATION",ISNUMBER(SEARCH("VPS",$I8424))=FALSE,LEFT($I8424,6)&lt;&gt;"VACUUM"),"CDU",IF($H8424="FLUID CAT CRACKING","FCC",IF(OR($H8424="HYDROCRACKING",$H8424="RESID_HYDROCRACKING"),"Hydrocracker",IF($H8424="REFORMING","Reformer",""))))</f>
        <v/>
      </c>
      <c r="H8424" s="6" t="s">
        <v>378</v>
      </c>
      <c r="I8424" s="6" t="s">
        <v>935</v>
      </c>
      <c r="J8424" s="6" t="s">
        <v>349</v>
      </c>
      <c r="K8424" s="10">
        <v>7.8</v>
      </c>
      <c r="L8424" s="10">
        <v>7.8</v>
      </c>
      <c r="M8424" s="6" t="s">
        <v>430</v>
      </c>
    </row>
    <row r="8425" spans="1:13">
      <c r="A8425" s="6">
        <v>2027</v>
      </c>
      <c r="B8425" s="6">
        <v>3</v>
      </c>
      <c r="C8425" s="6" t="s">
        <v>61</v>
      </c>
      <c r="D8425" s="6" t="s">
        <v>922</v>
      </c>
      <c r="E8425" s="6" t="s">
        <v>452</v>
      </c>
      <c r="F8425" s="6" t="str">
        <f>IF($M8425="PADD I","PADD 1",IF($M8425="PADD II","PADD 2",IF($M8425="PADD III","PADD 3",IF($M8425="PADD IV","PADD 4",IF($M8425="PADD V","PADD 5","")))))</f>
        <v>PADD 4</v>
      </c>
      <c r="G8425" s="6" t="str">
        <f>IF(AND($H8425="ATMOS DISTILLATION",ISNUMBER(SEARCH("VPS",$I8425))=FALSE,LEFT($I8425,6)&lt;&gt;"VACUUM"),"CDU",IF($H8425="FLUID CAT CRACKING","FCC",IF(OR($H8425="HYDROCRACKING",$H8425="RESID_HYDROCRACKING"),"Hydrocracker",IF($H8425="REFORMING","Reformer",""))))</f>
        <v>Reformer</v>
      </c>
      <c r="H8425" s="6" t="s">
        <v>421</v>
      </c>
      <c r="I8425" s="6" t="s">
        <v>15</v>
      </c>
      <c r="J8425" s="6" t="s">
        <v>349</v>
      </c>
      <c r="K8425" s="10">
        <v>7.5</v>
      </c>
      <c r="L8425" s="10">
        <v>7.5</v>
      </c>
      <c r="M8425" s="6" t="s">
        <v>430</v>
      </c>
    </row>
    <row r="8426" spans="1:13">
      <c r="A8426" s="6">
        <v>2027</v>
      </c>
      <c r="B8426" s="6">
        <v>3</v>
      </c>
      <c r="C8426" s="6" t="s">
        <v>61</v>
      </c>
      <c r="D8426" s="6" t="s">
        <v>390</v>
      </c>
      <c r="E8426" s="6" t="s">
        <v>391</v>
      </c>
      <c r="F8426" s="6" t="str">
        <f>IF($M8426="PADD I","PADD 1",IF($M8426="PADD II","PADD 2",IF($M8426="PADD III","PADD 3",IF($M8426="PADD IV","PADD 4",IF($M8426="PADD V","PADD 5","")))))</f>
        <v>PADD 3</v>
      </c>
      <c r="G8426" s="6">
        <f>IF(AND($H8426="ATMOS DISTILLATION",ISNUMBER(SEARCH("VPS",$I8426))=FALSE,LEFT($I8426,6)&lt;&gt;"VACUUM"),"CDU",IF($H8426="FLUID CAT CRACKING","FCC",IF(OR($H8426="HYDROCRACKING",$H8426="RESID_HYDROCRACKING"),"Hydrocracker",IF($H8426="REFORMING","Reformer",""))))</f>
        <v/>
      </c>
      <c r="H8426" s="6" t="s">
        <v>460</v>
      </c>
      <c r="I8426" s="6" t="s">
        <v>1388</v>
      </c>
      <c r="J8426" s="6" t="s">
        <v>349</v>
      </c>
      <c r="K8426" s="10">
        <v>7.2</v>
      </c>
      <c r="L8426" s="10">
        <v>8</v>
      </c>
      <c r="M8426" s="6" t="s">
        <v>371</v>
      </c>
    </row>
    <row r="8427" spans="1:13">
      <c r="A8427" s="6">
        <v>2027</v>
      </c>
      <c r="B8427" s="6">
        <v>3</v>
      </c>
      <c r="C8427" s="6" t="s">
        <v>61</v>
      </c>
      <c r="D8427" s="6" t="s">
        <v>429</v>
      </c>
      <c r="E8427" s="6" t="s">
        <v>388</v>
      </c>
      <c r="F8427" s="6" t="str">
        <f>IF($M8427="PADD I","PADD 1",IF($M8427="PADD II","PADD 2",IF($M8427="PADD III","PADD 3",IF($M8427="PADD IV","PADD 4",IF($M8427="PADD V","PADD 5","")))))</f>
        <v>PADD 4</v>
      </c>
      <c r="G8427" s="6">
        <f>IF(AND($H8427="ATMOS DISTILLATION",ISNUMBER(SEARCH("VPS",$I8427))=FALSE,LEFT($I8427,6)&lt;&gt;"VACUUM"),"CDU",IF($H8427="FLUID CAT CRACKING","FCC",IF(OR($H8427="HYDROCRACKING",$H8427="RESID_HYDROCRACKING"),"Hydrocracker",IF($H8427="REFORMING","Reformer",""))))</f>
        <v/>
      </c>
      <c r="H8427" s="6" t="s">
        <v>43</v>
      </c>
      <c r="I8427" s="6" t="s">
        <v>1057</v>
      </c>
      <c r="J8427" s="6" t="s">
        <v>349</v>
      </c>
      <c r="K8427" s="10">
        <v>6.96</v>
      </c>
      <c r="L8427" s="10">
        <v>12</v>
      </c>
      <c r="M8427" s="6" t="s">
        <v>430</v>
      </c>
    </row>
    <row r="8428" spans="1:13">
      <c r="A8428" s="6">
        <v>2027</v>
      </c>
      <c r="B8428" s="6">
        <v>3</v>
      </c>
      <c r="C8428" s="6" t="s">
        <v>61</v>
      </c>
      <c r="D8428" s="6" t="s">
        <v>429</v>
      </c>
      <c r="E8428" s="6" t="s">
        <v>388</v>
      </c>
      <c r="F8428" s="6" t="str">
        <f>IF($M8428="PADD I","PADD 1",IF($M8428="PADD II","PADD 2",IF($M8428="PADD III","PADD 3",IF($M8428="PADD IV","PADD 4",IF($M8428="PADD V","PADD 5","")))))</f>
        <v>PADD 4</v>
      </c>
      <c r="G8428" s="6" t="str">
        <f>IF(AND($H8428="ATMOS DISTILLATION",ISNUMBER(SEARCH("VPS",$I8428))=FALSE,LEFT($I8428,6)&lt;&gt;"VACUUM"),"CDU",IF($H8428="FLUID CAT CRACKING","FCC",IF(OR($H8428="HYDROCRACKING",$H8428="RESID_HYDROCRACKING"),"Hydrocracker",IF($H8428="REFORMING","Reformer",""))))</f>
        <v>Reformer</v>
      </c>
      <c r="H8428" s="6" t="s">
        <v>421</v>
      </c>
      <c r="I8428" s="6" t="s">
        <v>1131</v>
      </c>
      <c r="J8428" s="6" t="s">
        <v>349</v>
      </c>
      <c r="K8428" s="10">
        <v>6.96</v>
      </c>
      <c r="L8428" s="10">
        <v>12</v>
      </c>
      <c r="M8428" s="6" t="s">
        <v>430</v>
      </c>
    </row>
    <row r="8429" spans="1:13">
      <c r="A8429" s="6">
        <v>2027</v>
      </c>
      <c r="B8429" s="6">
        <v>3</v>
      </c>
      <c r="C8429" s="6" t="s">
        <v>61</v>
      </c>
      <c r="D8429" s="6" t="s">
        <v>334</v>
      </c>
      <c r="E8429" s="6" t="s">
        <v>552</v>
      </c>
      <c r="F8429" s="6" t="str">
        <f>IF($M8429="PADD I","PADD 1",IF($M8429="PADD II","PADD 2",IF($M8429="PADD III","PADD 3",IF($M8429="PADD IV","PADD 4",IF($M8429="PADD V","PADD 5","")))))</f>
        <v>PADD 3</v>
      </c>
      <c r="G8429" s="6">
        <f>IF(AND($H8429="ATMOS DISTILLATION",ISNUMBER(SEARCH("VPS",$I8429))=FALSE,LEFT($I8429,6)&lt;&gt;"VACUUM"),"CDU",IF($H8429="FLUID CAT CRACKING","FCC",IF(OR($H8429="HYDROCRACKING",$H8429="RESID_HYDROCRACKING"),"Hydrocracker",IF($H8429="REFORMING","Reformer",""))))</f>
        <v/>
      </c>
      <c r="H8429" s="6" t="s">
        <v>523</v>
      </c>
      <c r="I8429" s="6" t="s">
        <v>524</v>
      </c>
      <c r="J8429" s="6" t="s">
        <v>349</v>
      </c>
      <c r="K8429" s="10">
        <v>6.93</v>
      </c>
      <c r="L8429" s="10">
        <v>6.93</v>
      </c>
      <c r="M8429" s="6" t="s">
        <v>371</v>
      </c>
    </row>
    <row r="8430" spans="1:13">
      <c r="A8430" s="6">
        <v>2027</v>
      </c>
      <c r="B8430" s="6">
        <v>3</v>
      </c>
      <c r="C8430" s="6" t="s">
        <v>61</v>
      </c>
      <c r="D8430" s="6" t="s">
        <v>334</v>
      </c>
      <c r="E8430" s="6" t="s">
        <v>552</v>
      </c>
      <c r="F8430" s="6" t="str">
        <f>IF($M8430="PADD I","PADD 1",IF($M8430="PADD II","PADD 2",IF($M8430="PADD III","PADD 3",IF($M8430="PADD IV","PADD 4",IF($M8430="PADD V","PADD 5","")))))</f>
        <v>PADD 3</v>
      </c>
      <c r="G8430" s="6">
        <f>IF(AND($H8430="ATMOS DISTILLATION",ISNUMBER(SEARCH("VPS",$I8430))=FALSE,LEFT($I8430,6)&lt;&gt;"VACUUM"),"CDU",IF($H8430="FLUID CAT CRACKING","FCC",IF(OR($H8430="HYDROCRACKING",$H8430="RESID_HYDROCRACKING"),"Hydrocracker",IF($H8430="REFORMING","Reformer",""))))</f>
        <v/>
      </c>
      <c r="H8430" s="6" t="s">
        <v>568</v>
      </c>
      <c r="I8430" s="6" t="s">
        <v>623</v>
      </c>
      <c r="J8430" s="6" t="s">
        <v>349</v>
      </c>
      <c r="K8430" s="10">
        <v>6</v>
      </c>
      <c r="L8430" s="10">
        <v>6</v>
      </c>
      <c r="M8430" s="6" t="s">
        <v>371</v>
      </c>
    </row>
    <row r="8431" spans="1:13">
      <c r="A8431" s="6">
        <v>2027</v>
      </c>
      <c r="B8431" s="6">
        <v>3</v>
      </c>
      <c r="C8431" s="6" t="s">
        <v>61</v>
      </c>
      <c r="D8431" s="6" t="s">
        <v>326</v>
      </c>
      <c r="E8431" s="6" t="s">
        <v>385</v>
      </c>
      <c r="F8431" s="6" t="str">
        <f>IF($M8431="PADD I","PADD 1",IF($M8431="PADD II","PADD 2",IF($M8431="PADD III","PADD 3",IF($M8431="PADD IV","PADD 4",IF($M8431="PADD V","PADD 5","")))))</f>
        <v>PADD 5</v>
      </c>
      <c r="G8431" s="6" t="str">
        <f>IF(AND($H8431="ATMOS DISTILLATION",ISNUMBER(SEARCH("VPS",$I8431))=FALSE,LEFT($I8431,6)&lt;&gt;"VACUUM"),"CDU",IF($H8431="FLUID CAT CRACKING","FCC",IF(OR($H8431="HYDROCRACKING",$H8431="RESID_HYDROCRACKING"),"Hydrocracker",IF($H8431="REFORMING","Reformer",""))))</f>
        <v>Reformer</v>
      </c>
      <c r="H8431" s="6" t="s">
        <v>421</v>
      </c>
      <c r="I8431" s="6" t="s">
        <v>15</v>
      </c>
      <c r="J8431" s="6" t="s">
        <v>349</v>
      </c>
      <c r="K8431" s="10">
        <v>5.605</v>
      </c>
      <c r="L8431" s="10">
        <v>29.5</v>
      </c>
      <c r="M8431" s="6" t="s">
        <v>386</v>
      </c>
    </row>
    <row r="8432" spans="1:13">
      <c r="A8432" s="6">
        <v>2027</v>
      </c>
      <c r="B8432" s="6">
        <v>3</v>
      </c>
      <c r="C8432" s="6" t="s">
        <v>61</v>
      </c>
      <c r="D8432" s="6" t="s">
        <v>628</v>
      </c>
      <c r="E8432" s="6" t="s">
        <v>388</v>
      </c>
      <c r="F8432" s="6" t="str">
        <f>IF($M8432="PADD I","PADD 1",IF($M8432="PADD II","PADD 2",IF($M8432="PADD III","PADD 3",IF($M8432="PADD IV","PADD 4",IF($M8432="PADD V","PADD 5","")))))</f>
        <v>PADD 3</v>
      </c>
      <c r="G8432" s="6" t="str">
        <f>IF(AND($H8432="ATMOS DISTILLATION",ISNUMBER(SEARCH("VPS",$I8432))=FALSE,LEFT($I8432,6)&lt;&gt;"VACUUM"),"CDU",IF($H8432="FLUID CAT CRACKING","FCC",IF(OR($H8432="HYDROCRACKING",$H8432="RESID_HYDROCRACKING"),"Hydrocracker",IF($H8432="REFORMING","Reformer",""))))</f>
        <v>CDU</v>
      </c>
      <c r="H8432" s="6" t="s">
        <v>38</v>
      </c>
      <c r="I8432" s="6" t="s">
        <v>1053</v>
      </c>
      <c r="J8432" s="6" t="s">
        <v>349</v>
      </c>
      <c r="K8432" s="10">
        <v>5.6</v>
      </c>
      <c r="L8432" s="10">
        <v>35</v>
      </c>
      <c r="M8432" s="6" t="s">
        <v>371</v>
      </c>
    </row>
    <row r="8433" spans="1:13">
      <c r="A8433" s="6">
        <v>2027</v>
      </c>
      <c r="B8433" s="6">
        <v>3</v>
      </c>
      <c r="C8433" s="6" t="s">
        <v>61</v>
      </c>
      <c r="D8433" s="6" t="s">
        <v>326</v>
      </c>
      <c r="E8433" s="6" t="s">
        <v>385</v>
      </c>
      <c r="F8433" s="6" t="str">
        <f>IF($M8433="PADD I","PADD 1",IF($M8433="PADD II","PADD 2",IF($M8433="PADD III","PADD 3",IF($M8433="PADD IV","PADD 4",IF($M8433="PADD V","PADD 5","")))))</f>
        <v>PADD 5</v>
      </c>
      <c r="G8433" s="6">
        <f>IF(AND($H8433="ATMOS DISTILLATION",ISNUMBER(SEARCH("VPS",$I8433))=FALSE,LEFT($I8433,6)&lt;&gt;"VACUUM"),"CDU",IF($H8433="FLUID CAT CRACKING","FCC",IF(OR($H8433="HYDROCRACKING",$H8433="RESID_HYDROCRACKING"),"Hydrocracker",IF($H8433="REFORMING","Reformer",""))))</f>
        <v/>
      </c>
      <c r="H8433" s="6" t="s">
        <v>43</v>
      </c>
      <c r="I8433" s="6" t="s">
        <v>501</v>
      </c>
      <c r="J8433" s="6" t="s">
        <v>349</v>
      </c>
      <c r="K8433" s="10">
        <v>5.32</v>
      </c>
      <c r="L8433" s="10">
        <v>28</v>
      </c>
      <c r="M8433" s="6" t="s">
        <v>386</v>
      </c>
    </row>
    <row r="8434" spans="1:13">
      <c r="A8434" s="6">
        <v>2027</v>
      </c>
      <c r="B8434" s="6">
        <v>3</v>
      </c>
      <c r="C8434" s="6" t="s">
        <v>61</v>
      </c>
      <c r="D8434" s="6" t="s">
        <v>922</v>
      </c>
      <c r="E8434" s="6" t="s">
        <v>452</v>
      </c>
      <c r="F8434" s="6" t="str">
        <f>IF($M8434="PADD I","PADD 1",IF($M8434="PADD II","PADD 2",IF($M8434="PADD III","PADD 3",IF($M8434="PADD IV","PADD 4",IF($M8434="PADD V","PADD 5","")))))</f>
        <v>PADD 4</v>
      </c>
      <c r="G8434" s="6">
        <f>IF(AND($H8434="ATMOS DISTILLATION",ISNUMBER(SEARCH("VPS",$I8434))=FALSE,LEFT($I8434,6)&lt;&gt;"VACUUM"),"CDU",IF($H8434="FLUID CAT CRACKING","FCC",IF(OR($H8434="HYDROCRACKING",$H8434="RESID_HYDROCRACKING"),"Hydrocracker",IF($H8434="REFORMING","Reformer",""))))</f>
        <v/>
      </c>
      <c r="H8434" s="6" t="s">
        <v>43</v>
      </c>
      <c r="I8434" s="6" t="s">
        <v>937</v>
      </c>
      <c r="J8434" s="6" t="s">
        <v>349</v>
      </c>
      <c r="K8434" s="10">
        <v>5</v>
      </c>
      <c r="L8434" s="10">
        <v>5</v>
      </c>
      <c r="M8434" s="6" t="s">
        <v>430</v>
      </c>
    </row>
    <row r="8435" spans="1:13">
      <c r="A8435" s="6">
        <v>2027</v>
      </c>
      <c r="B8435" s="6">
        <v>3</v>
      </c>
      <c r="C8435" s="6" t="s">
        <v>61</v>
      </c>
      <c r="D8435" s="6" t="s">
        <v>762</v>
      </c>
      <c r="E8435" s="6" t="s">
        <v>763</v>
      </c>
      <c r="F8435" s="6" t="str">
        <f>IF($M8435="PADD I","PADD 1",IF($M8435="PADD II","PADD 2",IF($M8435="PADD III","PADD 3",IF($M8435="PADD IV","PADD 4",IF($M8435="PADD V","PADD 5","")))))</f>
        <v>PADD 2</v>
      </c>
      <c r="G8435" s="6">
        <f>IF(AND($H8435="ATMOS DISTILLATION",ISNUMBER(SEARCH("VPS",$I8435))=FALSE,LEFT($I8435,6)&lt;&gt;"VACUUM"),"CDU",IF($H8435="FLUID CAT CRACKING","FCC",IF(OR($H8435="HYDROCRACKING",$H8435="RESID_HYDROCRACKING"),"Hydrocracker",IF($H8435="REFORMING","Reformer",""))))</f>
        <v/>
      </c>
      <c r="H8435" s="6" t="s">
        <v>460</v>
      </c>
      <c r="I8435" s="6" t="s">
        <v>616</v>
      </c>
      <c r="J8435" s="6" t="s">
        <v>349</v>
      </c>
      <c r="K8435" s="10">
        <v>5</v>
      </c>
      <c r="L8435" s="10">
        <v>5</v>
      </c>
      <c r="M8435" s="6" t="s">
        <v>375</v>
      </c>
    </row>
    <row r="8436" spans="1:13">
      <c r="A8436" s="6">
        <v>2027</v>
      </c>
      <c r="B8436" s="6">
        <v>3</v>
      </c>
      <c r="C8436" s="6" t="s">
        <v>61</v>
      </c>
      <c r="D8436" s="6" t="s">
        <v>680</v>
      </c>
      <c r="E8436" s="6" t="s">
        <v>681</v>
      </c>
      <c r="F8436" s="6" t="str">
        <f>IF($M8436="PADD I","PADD 1",IF($M8436="PADD II","PADD 2",IF($M8436="PADD III","PADD 3",IF($M8436="PADD IV","PADD 4",IF($M8436="PADD V","PADD 5","")))))</f>
        <v>PADD 3</v>
      </c>
      <c r="G8436" s="6">
        <f>IF(AND($H8436="ATMOS DISTILLATION",ISNUMBER(SEARCH("VPS",$I8436))=FALSE,LEFT($I8436,6)&lt;&gt;"VACUUM"),"CDU",IF($H8436="FLUID CAT CRACKING","FCC",IF(OR($H8436="HYDROCRACKING",$H8436="RESID_HYDROCRACKING"),"Hydrocracker",IF($H8436="REFORMING","Reformer",""))))</f>
        <v/>
      </c>
      <c r="H8436" s="6" t="s">
        <v>460</v>
      </c>
      <c r="I8436" s="6" t="s">
        <v>616</v>
      </c>
      <c r="J8436" s="6" t="s">
        <v>349</v>
      </c>
      <c r="K8436" s="10">
        <v>4.959</v>
      </c>
      <c r="L8436" s="10">
        <v>5.7</v>
      </c>
      <c r="M8436" s="6" t="s">
        <v>371</v>
      </c>
    </row>
    <row r="8437" spans="1:13">
      <c r="A8437" s="6">
        <v>2027</v>
      </c>
      <c r="B8437" s="6">
        <v>3</v>
      </c>
      <c r="C8437" s="6" t="s">
        <v>61</v>
      </c>
      <c r="D8437" s="6" t="s">
        <v>326</v>
      </c>
      <c r="E8437" s="6" t="s">
        <v>385</v>
      </c>
      <c r="F8437" s="6" t="str">
        <f>IF($M8437="PADD I","PADD 1",IF($M8437="PADD II","PADD 2",IF($M8437="PADD III","PADD 3",IF($M8437="PADD IV","PADD 4",IF($M8437="PADD V","PADD 5","")))))</f>
        <v>PADD 5</v>
      </c>
      <c r="G8437" s="6">
        <f>IF(AND($H8437="ATMOS DISTILLATION",ISNUMBER(SEARCH("VPS",$I8437))=FALSE,LEFT($I8437,6)&lt;&gt;"VACUUM"),"CDU",IF($H8437="FLUID CAT CRACKING","FCC",IF(OR($H8437="HYDROCRACKING",$H8437="RESID_HYDROCRACKING"),"Hydrocracker",IF($H8437="REFORMING","Reformer",""))))</f>
        <v/>
      </c>
      <c r="H8437" s="6" t="s">
        <v>43</v>
      </c>
      <c r="I8437" s="6" t="s">
        <v>1183</v>
      </c>
      <c r="J8437" s="6" t="s">
        <v>349</v>
      </c>
      <c r="K8437" s="10">
        <v>4.94</v>
      </c>
      <c r="L8437" s="10">
        <v>26</v>
      </c>
      <c r="M8437" s="6" t="s">
        <v>386</v>
      </c>
    </row>
    <row r="8438" spans="1:13">
      <c r="A8438" s="6">
        <v>2027</v>
      </c>
      <c r="B8438" s="6">
        <v>3</v>
      </c>
      <c r="C8438" s="6" t="s">
        <v>61</v>
      </c>
      <c r="D8438" s="6" t="s">
        <v>1286</v>
      </c>
      <c r="E8438" s="6" t="s">
        <v>1287</v>
      </c>
      <c r="F8438" s="6" t="str">
        <f>IF($M8438="PADD I","PADD 1",IF($M8438="PADD II","PADD 2",IF($M8438="PADD III","PADD 3",IF($M8438="PADD IV","PADD 4",IF($M8438="PADD V","PADD 5","")))))</f>
        <v>PADD 4</v>
      </c>
      <c r="G8438" s="6" t="str">
        <f>IF(AND($H8438="ATMOS DISTILLATION",ISNUMBER(SEARCH("VPS",$I8438))=FALSE,LEFT($I8438,6)&lt;&gt;"VACUUM"),"CDU",IF($H8438="FLUID CAT CRACKING","FCC",IF(OR($H8438="HYDROCRACKING",$H8438="RESID_HYDROCRACKING"),"Hydrocracker",IF($H8438="REFORMING","Reformer",""))))</f>
        <v>FCC</v>
      </c>
      <c r="H8438" s="6" t="s">
        <v>376</v>
      </c>
      <c r="I8438" s="6" t="s">
        <v>105</v>
      </c>
      <c r="J8438" s="6" t="s">
        <v>349</v>
      </c>
      <c r="K8438" s="10">
        <v>4.785</v>
      </c>
      <c r="L8438" s="10">
        <v>5.5</v>
      </c>
      <c r="M8438" s="6" t="s">
        <v>430</v>
      </c>
    </row>
    <row r="8439" spans="1:13">
      <c r="A8439" s="6">
        <v>2027</v>
      </c>
      <c r="B8439" s="6">
        <v>3</v>
      </c>
      <c r="C8439" s="6" t="s">
        <v>61</v>
      </c>
      <c r="D8439" s="6" t="s">
        <v>1286</v>
      </c>
      <c r="E8439" s="6" t="s">
        <v>1287</v>
      </c>
      <c r="F8439" s="6" t="str">
        <f>IF($M8439="PADD I","PADD 1",IF($M8439="PADD II","PADD 2",IF($M8439="PADD III","PADD 3",IF($M8439="PADD IV","PADD 4",IF($M8439="PADD V","PADD 5","")))))</f>
        <v>PADD 4</v>
      </c>
      <c r="G8439" s="6">
        <f>IF(AND($H8439="ATMOS DISTILLATION",ISNUMBER(SEARCH("VPS",$I8439))=FALSE,LEFT($I8439,6)&lt;&gt;"VACUUM"),"CDU",IF($H8439="FLUID CAT CRACKING","FCC",IF(OR($H8439="HYDROCRACKING",$H8439="RESID_HYDROCRACKING"),"Hydrocracker",IF($H8439="REFORMING","Reformer",""))))</f>
        <v/>
      </c>
      <c r="H8439" s="6" t="s">
        <v>43</v>
      </c>
      <c r="I8439" s="6" t="s">
        <v>1291</v>
      </c>
      <c r="J8439" s="6" t="s">
        <v>349</v>
      </c>
      <c r="K8439" s="10">
        <v>4.785</v>
      </c>
      <c r="L8439" s="10">
        <v>5.5</v>
      </c>
      <c r="M8439" s="6" t="s">
        <v>430</v>
      </c>
    </row>
    <row r="8440" spans="1:13">
      <c r="A8440" s="6">
        <v>2027</v>
      </c>
      <c r="B8440" s="6">
        <v>3</v>
      </c>
      <c r="C8440" s="6" t="s">
        <v>61</v>
      </c>
      <c r="D8440" s="6" t="s">
        <v>839</v>
      </c>
      <c r="E8440" s="6" t="s">
        <v>840</v>
      </c>
      <c r="F8440" s="6" t="str">
        <f>IF($M8440="PADD I","PADD 1",IF($M8440="PADD II","PADD 2",IF($M8440="PADD III","PADD 3",IF($M8440="PADD IV","PADD 4",IF($M8440="PADD V","PADD 5","")))))</f>
        <v>PADD 1</v>
      </c>
      <c r="G8440" s="6">
        <f>IF(AND($H8440="ATMOS DISTILLATION",ISNUMBER(SEARCH("VPS",$I8440))=FALSE,LEFT($I8440,6)&lt;&gt;"VACUUM"),"CDU",IF($H8440="FLUID CAT CRACKING","FCC",IF(OR($H8440="HYDROCRACKING",$H8440="RESID_HYDROCRACKING"),"Hydrocracker",IF($H8440="REFORMING","Reformer",""))))</f>
        <v/>
      </c>
      <c r="H8440" s="6" t="s">
        <v>568</v>
      </c>
      <c r="I8440" s="6" t="s">
        <v>604</v>
      </c>
      <c r="J8440" s="6" t="s">
        <v>349</v>
      </c>
      <c r="K8440" s="10">
        <v>4.785</v>
      </c>
      <c r="L8440" s="10">
        <v>5.5</v>
      </c>
      <c r="M8440" s="6" t="s">
        <v>413</v>
      </c>
    </row>
    <row r="8441" spans="1:13">
      <c r="A8441" s="6">
        <v>2027</v>
      </c>
      <c r="B8441" s="6">
        <v>3</v>
      </c>
      <c r="C8441" s="6" t="s">
        <v>61</v>
      </c>
      <c r="D8441" s="6" t="s">
        <v>429</v>
      </c>
      <c r="E8441" s="6" t="s">
        <v>388</v>
      </c>
      <c r="F8441" s="6" t="str">
        <f>IF($M8441="PADD I","PADD 1",IF($M8441="PADD II","PADD 2",IF($M8441="PADD III","PADD 3",IF($M8441="PADD IV","PADD 4",IF($M8441="PADD V","PADD 5","")))))</f>
        <v>PADD 4</v>
      </c>
      <c r="G8441" s="6">
        <f>IF(AND($H8441="ATMOS DISTILLATION",ISNUMBER(SEARCH("VPS",$I8441))=FALSE,LEFT($I8441,6)&lt;&gt;"VACUUM"),"CDU",IF($H8441="FLUID CAT CRACKING","FCC",IF(OR($H8441="HYDROCRACKING",$H8441="RESID_HYDROCRACKING"),"Hydrocracker",IF($H8441="REFORMING","Reformer",""))))</f>
        <v/>
      </c>
      <c r="H8441" s="6" t="s">
        <v>43</v>
      </c>
      <c r="I8441" s="6" t="s">
        <v>1133</v>
      </c>
      <c r="J8441" s="6" t="s">
        <v>349</v>
      </c>
      <c r="K8441" s="10">
        <v>4.64</v>
      </c>
      <c r="L8441" s="10">
        <v>8</v>
      </c>
      <c r="M8441" s="6" t="s">
        <v>430</v>
      </c>
    </row>
    <row r="8442" spans="1:13">
      <c r="A8442" s="6">
        <v>2027</v>
      </c>
      <c r="B8442" s="6">
        <v>3</v>
      </c>
      <c r="C8442" s="6" t="s">
        <v>61</v>
      </c>
      <c r="D8442" s="6" t="s">
        <v>670</v>
      </c>
      <c r="E8442" s="6" t="s">
        <v>405</v>
      </c>
      <c r="F8442" s="6" t="str">
        <f>IF($M8442="PADD I","PADD 1",IF($M8442="PADD II","PADD 2",IF($M8442="PADD III","PADD 3",IF($M8442="PADD IV","PADD 4",IF($M8442="PADD V","PADD 5","")))))</f>
        <v>PADD 2</v>
      </c>
      <c r="G8442" s="6">
        <f>IF(AND($H8442="ATMOS DISTILLATION",ISNUMBER(SEARCH("VPS",$I8442))=FALSE,LEFT($I8442,6)&lt;&gt;"VACUUM"),"CDU",IF($H8442="FLUID CAT CRACKING","FCC",IF(OR($H8442="HYDROCRACKING",$H8442="RESID_HYDROCRACKING"),"Hydrocracker",IF($H8442="REFORMING","Reformer",""))))</f>
        <v/>
      </c>
      <c r="H8442" s="6" t="s">
        <v>568</v>
      </c>
      <c r="I8442" s="6" t="s">
        <v>604</v>
      </c>
      <c r="J8442" s="6" t="s">
        <v>349</v>
      </c>
      <c r="K8442" s="10">
        <v>4</v>
      </c>
      <c r="L8442" s="10">
        <v>4</v>
      </c>
      <c r="M8442" s="6" t="s">
        <v>375</v>
      </c>
    </row>
    <row r="8443" spans="1:13">
      <c r="A8443" s="6">
        <v>2027</v>
      </c>
      <c r="B8443" s="6">
        <v>3</v>
      </c>
      <c r="C8443" s="6" t="s">
        <v>61</v>
      </c>
      <c r="D8443" s="6" t="s">
        <v>334</v>
      </c>
      <c r="E8443" s="6" t="s">
        <v>552</v>
      </c>
      <c r="F8443" s="6" t="str">
        <f>IF($M8443="PADD I","PADD 1",IF($M8443="PADD II","PADD 2",IF($M8443="PADD III","PADD 3",IF($M8443="PADD IV","PADD 4",IF($M8443="PADD V","PADD 5","")))))</f>
        <v>PADD 3</v>
      </c>
      <c r="G8443" s="6">
        <f>IF(AND($H8443="ATMOS DISTILLATION",ISNUMBER(SEARCH("VPS",$I8443))=FALSE,LEFT($I8443,6)&lt;&gt;"VACUUM"),"CDU",IF($H8443="FLUID CAT CRACKING","FCC",IF(OR($H8443="HYDROCRACKING",$H8443="RESID_HYDROCRACKING"),"Hydrocracker",IF($H8443="REFORMING","Reformer",""))))</f>
        <v/>
      </c>
      <c r="H8443" s="6" t="s">
        <v>460</v>
      </c>
      <c r="I8443" s="6" t="s">
        <v>461</v>
      </c>
      <c r="J8443" s="6" t="s">
        <v>349</v>
      </c>
      <c r="K8443" s="10">
        <v>4</v>
      </c>
      <c r="L8443" s="10">
        <v>4</v>
      </c>
      <c r="M8443" s="6" t="s">
        <v>371</v>
      </c>
    </row>
    <row r="8444" spans="1:13">
      <c r="A8444" s="6">
        <v>2027</v>
      </c>
      <c r="B8444" s="6">
        <v>3</v>
      </c>
      <c r="C8444" s="6" t="s">
        <v>61</v>
      </c>
      <c r="D8444" s="6" t="s">
        <v>326</v>
      </c>
      <c r="E8444" s="6" t="s">
        <v>385</v>
      </c>
      <c r="F8444" s="6" t="str">
        <f>IF($M8444="PADD I","PADD 1",IF($M8444="PADD II","PADD 2",IF($M8444="PADD III","PADD 3",IF($M8444="PADD IV","PADD 4",IF($M8444="PADD V","PADD 5","")))))</f>
        <v>PADD 5</v>
      </c>
      <c r="G8444" s="6">
        <f>IF(AND($H8444="ATMOS DISTILLATION",ISNUMBER(SEARCH("VPS",$I8444))=FALSE,LEFT($I8444,6)&lt;&gt;"VACUUM"),"CDU",IF($H8444="FLUID CAT CRACKING","FCC",IF(OR($H8444="HYDROCRACKING",$H8444="RESID_HYDROCRACKING"),"Hydrocracker",IF($H8444="REFORMING","Reformer",""))))</f>
        <v/>
      </c>
      <c r="H8444" s="6" t="s">
        <v>435</v>
      </c>
      <c r="I8444" s="6" t="s">
        <v>813</v>
      </c>
      <c r="J8444" s="6" t="s">
        <v>349</v>
      </c>
      <c r="K8444" s="10">
        <v>3.971</v>
      </c>
      <c r="L8444" s="10">
        <v>20.9</v>
      </c>
      <c r="M8444" s="6" t="s">
        <v>386</v>
      </c>
    </row>
    <row r="8445" spans="1:13">
      <c r="A8445" s="6">
        <v>2027</v>
      </c>
      <c r="B8445" s="6">
        <v>3</v>
      </c>
      <c r="C8445" s="6" t="s">
        <v>61</v>
      </c>
      <c r="D8445" s="6" t="s">
        <v>742</v>
      </c>
      <c r="E8445" s="6" t="s">
        <v>388</v>
      </c>
      <c r="F8445" s="6" t="str">
        <f>IF($M8445="PADD I","PADD 1",IF($M8445="PADD II","PADD 2",IF($M8445="PADD III","PADD 3",IF($M8445="PADD IV","PADD 4",IF($M8445="PADD V","PADD 5","")))))</f>
        <v>PADD 5</v>
      </c>
      <c r="G8445" s="6">
        <f>IF(AND($H8445="ATMOS DISTILLATION",ISNUMBER(SEARCH("VPS",$I8445))=FALSE,LEFT($I8445,6)&lt;&gt;"VACUUM"),"CDU",IF($H8445="FLUID CAT CRACKING","FCC",IF(OR($H8445="HYDROCRACKING",$H8445="RESID_HYDROCRACKING"),"Hydrocracker",IF($H8445="REFORMING","Reformer",""))))</f>
        <v/>
      </c>
      <c r="H8445" s="6" t="s">
        <v>568</v>
      </c>
      <c r="I8445" s="6" t="s">
        <v>768</v>
      </c>
      <c r="J8445" s="6" t="s">
        <v>349</v>
      </c>
      <c r="K8445" s="10">
        <v>3.5</v>
      </c>
      <c r="L8445" s="10">
        <v>3.5</v>
      </c>
      <c r="M8445" s="6" t="s">
        <v>386</v>
      </c>
    </row>
    <row r="8446" spans="1:13">
      <c r="A8446" s="6">
        <v>2027</v>
      </c>
      <c r="B8446" s="6">
        <v>3</v>
      </c>
      <c r="C8446" s="6" t="s">
        <v>61</v>
      </c>
      <c r="D8446" s="6" t="s">
        <v>429</v>
      </c>
      <c r="E8446" s="6" t="s">
        <v>388</v>
      </c>
      <c r="F8446" s="6" t="str">
        <f>IF($M8446="PADD I","PADD 1",IF($M8446="PADD II","PADD 2",IF($M8446="PADD III","PADD 3",IF($M8446="PADD IV","PADD 4",IF($M8446="PADD V","PADD 5","")))))</f>
        <v>PADD 4</v>
      </c>
      <c r="G8446" s="6">
        <f>IF(AND($H8446="ATMOS DISTILLATION",ISNUMBER(SEARCH("VPS",$I8446))=FALSE,LEFT($I8446,6)&lt;&gt;"VACUUM"),"CDU",IF($H8446="FLUID CAT CRACKING","FCC",IF(OR($H8446="HYDROCRACKING",$H8446="RESID_HYDROCRACKING"),"Hydrocracker",IF($H8446="REFORMING","Reformer",""))))</f>
        <v/>
      </c>
      <c r="H8446" s="6" t="s">
        <v>460</v>
      </c>
      <c r="I8446" s="6" t="s">
        <v>461</v>
      </c>
      <c r="J8446" s="6" t="s">
        <v>349</v>
      </c>
      <c r="K8446" s="10">
        <v>3.48</v>
      </c>
      <c r="L8446" s="10">
        <v>6</v>
      </c>
      <c r="M8446" s="6" t="s">
        <v>430</v>
      </c>
    </row>
    <row r="8447" spans="1:13">
      <c r="A8447" s="6">
        <v>2027</v>
      </c>
      <c r="B8447" s="6">
        <v>3</v>
      </c>
      <c r="C8447" s="6" t="s">
        <v>61</v>
      </c>
      <c r="D8447" s="6" t="s">
        <v>1286</v>
      </c>
      <c r="E8447" s="6" t="s">
        <v>1287</v>
      </c>
      <c r="F8447" s="6" t="str">
        <f>IF($M8447="PADD I","PADD 1",IF($M8447="PADD II","PADD 2",IF($M8447="PADD III","PADD 3",IF($M8447="PADD IV","PADD 4",IF($M8447="PADD V","PADD 5","")))))</f>
        <v>PADD 4</v>
      </c>
      <c r="G8447" s="6">
        <f>IF(AND($H8447="ATMOS DISTILLATION",ISNUMBER(SEARCH("VPS",$I8447))=FALSE,LEFT($I8447,6)&lt;&gt;"VACUUM"),"CDU",IF($H8447="FLUID CAT CRACKING","FCC",IF(OR($H8447="HYDROCRACKING",$H8447="RESID_HYDROCRACKING"),"Hydrocracker",IF($H8447="REFORMING","Reformer",""))))</f>
        <v/>
      </c>
      <c r="H8447" s="6" t="s">
        <v>43</v>
      </c>
      <c r="I8447" s="6" t="s">
        <v>1292</v>
      </c>
      <c r="J8447" s="6" t="s">
        <v>349</v>
      </c>
      <c r="K8447" s="10">
        <v>3.045</v>
      </c>
      <c r="L8447" s="10">
        <v>3.5</v>
      </c>
      <c r="M8447" s="6" t="s">
        <v>430</v>
      </c>
    </row>
    <row r="8448" spans="1:13">
      <c r="A8448" s="6">
        <v>2027</v>
      </c>
      <c r="B8448" s="6">
        <v>3</v>
      </c>
      <c r="C8448" s="6" t="s">
        <v>61</v>
      </c>
      <c r="D8448" s="6" t="s">
        <v>632</v>
      </c>
      <c r="E8448" s="6" t="s">
        <v>633</v>
      </c>
      <c r="F8448" s="6" t="str">
        <f>IF($M8448="PADD I","PADD 1",IF($M8448="PADD II","PADD 2",IF($M8448="PADD III","PADD 3",IF($M8448="PADD IV","PADD 4",IF($M8448="PADD V","PADD 5","")))))</f>
        <v>PADD 4</v>
      </c>
      <c r="G8448" s="6">
        <f>IF(AND($H8448="ATMOS DISTILLATION",ISNUMBER(SEARCH("VPS",$I8448))=FALSE,LEFT($I8448,6)&lt;&gt;"VACUUM"),"CDU",IF($H8448="FLUID CAT CRACKING","FCC",IF(OR($H8448="HYDROCRACKING",$H8448="RESID_HYDROCRACKING"),"Hydrocracker",IF($H8448="REFORMING","Reformer",""))))</f>
        <v/>
      </c>
      <c r="H8448" s="6" t="s">
        <v>460</v>
      </c>
      <c r="I8448" s="6" t="s">
        <v>616</v>
      </c>
      <c r="J8448" s="6" t="s">
        <v>349</v>
      </c>
      <c r="K8448" s="10">
        <v>2.8</v>
      </c>
      <c r="L8448" s="10">
        <v>2.8</v>
      </c>
      <c r="M8448" s="6" t="s">
        <v>430</v>
      </c>
    </row>
    <row r="8449" spans="1:13">
      <c r="A8449" s="6">
        <v>2027</v>
      </c>
      <c r="B8449" s="6">
        <v>3</v>
      </c>
      <c r="C8449" s="6" t="s">
        <v>61</v>
      </c>
      <c r="D8449" s="6" t="s">
        <v>1286</v>
      </c>
      <c r="E8449" s="6" t="s">
        <v>1287</v>
      </c>
      <c r="F8449" s="6" t="str">
        <f>IF($M8449="PADD I","PADD 1",IF($M8449="PADD II","PADD 2",IF($M8449="PADD III","PADD 3",IF($M8449="PADD IV","PADD 4",IF($M8449="PADD V","PADD 5","")))))</f>
        <v>PADD 4</v>
      </c>
      <c r="G8449" s="6" t="str">
        <f>IF(AND($H8449="ATMOS DISTILLATION",ISNUMBER(SEARCH("VPS",$I8449))=FALSE,LEFT($I8449,6)&lt;&gt;"VACUUM"),"CDU",IF($H8449="FLUID CAT CRACKING","FCC",IF(OR($H8449="HYDROCRACKING",$H8449="RESID_HYDROCRACKING"),"Hydrocracker",IF($H8449="REFORMING","Reformer",""))))</f>
        <v>Reformer</v>
      </c>
      <c r="H8449" s="6" t="s">
        <v>421</v>
      </c>
      <c r="I8449" s="6" t="s">
        <v>15</v>
      </c>
      <c r="J8449" s="6" t="s">
        <v>349</v>
      </c>
      <c r="K8449" s="10">
        <v>2.784</v>
      </c>
      <c r="L8449" s="10">
        <v>3.2</v>
      </c>
      <c r="M8449" s="6" t="s">
        <v>430</v>
      </c>
    </row>
    <row r="8450" spans="1:13">
      <c r="A8450" s="6">
        <v>2027</v>
      </c>
      <c r="B8450" s="6">
        <v>3</v>
      </c>
      <c r="C8450" s="6" t="s">
        <v>61</v>
      </c>
      <c r="D8450" s="6" t="s">
        <v>839</v>
      </c>
      <c r="E8450" s="6" t="s">
        <v>840</v>
      </c>
      <c r="F8450" s="6" t="str">
        <f>IF($M8450="PADD I","PADD 1",IF($M8450="PADD II","PADD 2",IF($M8450="PADD III","PADD 3",IF($M8450="PADD IV","PADD 4",IF($M8450="PADD V","PADD 5","")))))</f>
        <v>PADD 1</v>
      </c>
      <c r="G8450" s="6">
        <f>IF(AND($H8450="ATMOS DISTILLATION",ISNUMBER(SEARCH("VPS",$I8450))=FALSE,LEFT($I8450,6)&lt;&gt;"VACUUM"),"CDU",IF($H8450="FLUID CAT CRACKING","FCC",IF(OR($H8450="HYDROCRACKING",$H8450="RESID_HYDROCRACKING"),"Hydrocracker",IF($H8450="REFORMING","Reformer",""))))</f>
        <v/>
      </c>
      <c r="H8450" s="6" t="s">
        <v>460</v>
      </c>
      <c r="I8450" s="6" t="s">
        <v>461</v>
      </c>
      <c r="J8450" s="6" t="s">
        <v>349</v>
      </c>
      <c r="K8450" s="10">
        <v>2.349</v>
      </c>
      <c r="L8450" s="10">
        <v>2.7</v>
      </c>
      <c r="M8450" s="6" t="s">
        <v>413</v>
      </c>
    </row>
    <row r="8451" spans="1:13">
      <c r="A8451" s="6">
        <v>2027</v>
      </c>
      <c r="B8451" s="6">
        <v>3</v>
      </c>
      <c r="C8451" s="6" t="s">
        <v>61</v>
      </c>
      <c r="D8451" s="6" t="s">
        <v>659</v>
      </c>
      <c r="E8451" s="6" t="s">
        <v>660</v>
      </c>
      <c r="F8451" s="6" t="str">
        <f>IF($M8451="PADD I","PADD 1",IF($M8451="PADD II","PADD 2",IF($M8451="PADD III","PADD 3",IF($M8451="PADD IV","PADD 4",IF($M8451="PADD V","PADD 5","")))))</f>
        <v>PADD 3</v>
      </c>
      <c r="G8451" s="6" t="str">
        <f>IF(AND($H8451="ATMOS DISTILLATION",ISNUMBER(SEARCH("VPS",$I8451))=FALSE,LEFT($I8451,6)&lt;&gt;"VACUUM"),"CDU",IF($H8451="FLUID CAT CRACKING","FCC",IF(OR($H8451="HYDROCRACKING",$H8451="RESID_HYDROCRACKING"),"Hydrocracker",IF($H8451="REFORMING","Reformer",""))))</f>
        <v>CDU</v>
      </c>
      <c r="H8451" s="6" t="s">
        <v>38</v>
      </c>
      <c r="I8451" s="6" t="s">
        <v>81</v>
      </c>
      <c r="J8451" s="6" t="s">
        <v>349</v>
      </c>
      <c r="K8451" s="10">
        <v>2.3</v>
      </c>
      <c r="L8451" s="10">
        <v>10</v>
      </c>
      <c r="M8451" s="6" t="s">
        <v>371</v>
      </c>
    </row>
    <row r="8452" spans="1:13">
      <c r="A8452" s="6">
        <v>2027</v>
      </c>
      <c r="B8452" s="6">
        <v>3</v>
      </c>
      <c r="C8452" s="6" t="s">
        <v>61</v>
      </c>
      <c r="D8452" s="6" t="s">
        <v>326</v>
      </c>
      <c r="E8452" s="6" t="s">
        <v>385</v>
      </c>
      <c r="F8452" s="6" t="str">
        <f>IF($M8452="PADD I","PADD 1",IF($M8452="PADD II","PADD 2",IF($M8452="PADD III","PADD 3",IF($M8452="PADD IV","PADD 4",IF($M8452="PADD V","PADD 5","")))))</f>
        <v>PADD 5</v>
      </c>
      <c r="G8452" s="6">
        <f>IF(AND($H8452="ATMOS DISTILLATION",ISNUMBER(SEARCH("VPS",$I8452))=FALSE,LEFT($I8452,6)&lt;&gt;"VACUUM"),"CDU",IF($H8452="FLUID CAT CRACKING","FCC",IF(OR($H8452="HYDROCRACKING",$H8452="RESID_HYDROCRACKING"),"Hydrocracker",IF($H8452="REFORMING","Reformer",""))))</f>
        <v/>
      </c>
      <c r="H8452" s="6" t="s">
        <v>460</v>
      </c>
      <c r="I8452" s="6" t="s">
        <v>1288</v>
      </c>
      <c r="J8452" s="6" t="s">
        <v>349</v>
      </c>
      <c r="K8452" s="10">
        <v>2.28</v>
      </c>
      <c r="L8452" s="10">
        <v>12</v>
      </c>
      <c r="M8452" s="6" t="s">
        <v>386</v>
      </c>
    </row>
    <row r="8453" spans="1:13">
      <c r="A8453" s="6">
        <v>2027</v>
      </c>
      <c r="B8453" s="6">
        <v>3</v>
      </c>
      <c r="C8453" s="6" t="s">
        <v>61</v>
      </c>
      <c r="D8453" s="6" t="s">
        <v>451</v>
      </c>
      <c r="E8453" s="6" t="s">
        <v>452</v>
      </c>
      <c r="F8453" s="6" t="str">
        <f>IF($M8453="PADD I","PADD 1",IF($M8453="PADD II","PADD 2",IF($M8453="PADD III","PADD 3",IF($M8453="PADD IV","PADD 4",IF($M8453="PADD V","PADD 5","")))))</f>
        <v>PADD 2</v>
      </c>
      <c r="G8453" s="6">
        <f>IF(AND($H8453="ATMOS DISTILLATION",ISNUMBER(SEARCH("VPS",$I8453))=FALSE,LEFT($I8453,6)&lt;&gt;"VACUUM"),"CDU",IF($H8453="FLUID CAT CRACKING","FCC",IF(OR($H8453="HYDROCRACKING",$H8453="RESID_HYDROCRACKING"),"Hydrocracker",IF($H8453="REFORMING","Reformer",""))))</f>
        <v/>
      </c>
      <c r="H8453" s="6" t="s">
        <v>460</v>
      </c>
      <c r="I8453" s="6" t="s">
        <v>461</v>
      </c>
      <c r="J8453" s="6" t="s">
        <v>349</v>
      </c>
      <c r="K8453" s="10">
        <v>2.04</v>
      </c>
      <c r="L8453" s="10">
        <v>3</v>
      </c>
      <c r="M8453" s="6" t="s">
        <v>375</v>
      </c>
    </row>
    <row r="8454" spans="1:13">
      <c r="A8454" s="6">
        <v>2027</v>
      </c>
      <c r="B8454" s="6">
        <v>3</v>
      </c>
      <c r="C8454" s="6" t="s">
        <v>61</v>
      </c>
      <c r="D8454" s="6" t="s">
        <v>659</v>
      </c>
      <c r="E8454" s="6" t="s">
        <v>660</v>
      </c>
      <c r="F8454" s="6" t="str">
        <f>IF($M8454="PADD I","PADD 1",IF($M8454="PADD II","PADD 2",IF($M8454="PADD III","PADD 3",IF($M8454="PADD IV","PADD 4",IF($M8454="PADD V","PADD 5","")))))</f>
        <v>PADD 3</v>
      </c>
      <c r="G8454" s="6">
        <f>IF(AND($H8454="ATMOS DISTILLATION",ISNUMBER(SEARCH("VPS",$I8454))=FALSE,LEFT($I8454,6)&lt;&gt;"VACUUM"),"CDU",IF($H8454="FLUID CAT CRACKING","FCC",IF(OR($H8454="HYDROCRACKING",$H8454="RESID_HYDROCRACKING"),"Hydrocracker",IF($H8454="REFORMING","Reformer",""))))</f>
        <v/>
      </c>
      <c r="H8454" s="6" t="s">
        <v>378</v>
      </c>
      <c r="I8454" s="6" t="s">
        <v>431</v>
      </c>
      <c r="J8454" s="6" t="s">
        <v>349</v>
      </c>
      <c r="K8454" s="10">
        <v>1.495</v>
      </c>
      <c r="L8454" s="10">
        <v>6.5</v>
      </c>
      <c r="M8454" s="6" t="s">
        <v>371</v>
      </c>
    </row>
    <row r="8455" spans="1:13">
      <c r="A8455" s="6">
        <v>2027</v>
      </c>
      <c r="B8455" s="6">
        <v>3</v>
      </c>
      <c r="C8455" s="6" t="s">
        <v>61</v>
      </c>
      <c r="D8455" s="6" t="s">
        <v>1286</v>
      </c>
      <c r="E8455" s="6" t="s">
        <v>1287</v>
      </c>
      <c r="F8455" s="6" t="str">
        <f>IF($M8455="PADD I","PADD 1",IF($M8455="PADD II","PADD 2",IF($M8455="PADD III","PADD 3",IF($M8455="PADD IV","PADD 4",IF($M8455="PADD V","PADD 5","")))))</f>
        <v>PADD 4</v>
      </c>
      <c r="G8455" s="6">
        <f>IF(AND($H8455="ATMOS DISTILLATION",ISNUMBER(SEARCH("VPS",$I8455))=FALSE,LEFT($I8455,6)&lt;&gt;"VACUUM"),"CDU",IF($H8455="FLUID CAT CRACKING","FCC",IF(OR($H8455="HYDROCRACKING",$H8455="RESID_HYDROCRACKING"),"Hydrocracker",IF($H8455="REFORMING","Reformer",""))))</f>
        <v/>
      </c>
      <c r="H8455" s="6" t="s">
        <v>378</v>
      </c>
      <c r="I8455" s="6" t="s">
        <v>431</v>
      </c>
      <c r="J8455" s="6" t="s">
        <v>349</v>
      </c>
      <c r="K8455" s="10">
        <v>1.305</v>
      </c>
      <c r="L8455" s="10">
        <v>1.5</v>
      </c>
      <c r="M8455" s="6" t="s">
        <v>430</v>
      </c>
    </row>
    <row r="8456" spans="1:13">
      <c r="A8456" s="6">
        <v>2027</v>
      </c>
      <c r="B8456" s="6">
        <v>3</v>
      </c>
      <c r="C8456" s="6" t="s">
        <v>61</v>
      </c>
      <c r="D8456" s="6" t="s">
        <v>1286</v>
      </c>
      <c r="E8456" s="6" t="s">
        <v>1287</v>
      </c>
      <c r="F8456" s="6" t="str">
        <f>IF($M8456="PADD I","PADD 1",IF($M8456="PADD II","PADD 2",IF($M8456="PADD III","PADD 3",IF($M8456="PADD IV","PADD 4",IF($M8456="PADD V","PADD 5","")))))</f>
        <v>PADD 4</v>
      </c>
      <c r="G8456" s="6">
        <f>IF(AND($H8456="ATMOS DISTILLATION",ISNUMBER(SEARCH("VPS",$I8456))=FALSE,LEFT($I8456,6)&lt;&gt;"VACUUM"),"CDU",IF($H8456="FLUID CAT CRACKING","FCC",IF(OR($H8456="HYDROCRACKING",$H8456="RESID_HYDROCRACKING"),"Hydrocracker",IF($H8456="REFORMING","Reformer",""))))</f>
        <v/>
      </c>
      <c r="H8456" s="6" t="s">
        <v>460</v>
      </c>
      <c r="I8456" s="6" t="s">
        <v>616</v>
      </c>
      <c r="J8456" s="6" t="s">
        <v>349</v>
      </c>
      <c r="K8456" s="10">
        <v>1.131</v>
      </c>
      <c r="L8456" s="10">
        <v>1.3</v>
      </c>
      <c r="M8456" s="6" t="s">
        <v>430</v>
      </c>
    </row>
    <row r="8457" spans="1:13">
      <c r="A8457" s="6">
        <v>2027</v>
      </c>
      <c r="B8457" s="6">
        <v>3</v>
      </c>
      <c r="C8457" s="6" t="s">
        <v>61</v>
      </c>
      <c r="D8457" s="6" t="s">
        <v>380</v>
      </c>
      <c r="E8457" s="6" t="s">
        <v>381</v>
      </c>
      <c r="F8457" s="6" t="str">
        <f>IF($M8457="PADD I","PADD 1",IF($M8457="PADD II","PADD 2",IF($M8457="PADD III","PADD 3",IF($M8457="PADD IV","PADD 4",IF($M8457="PADD V","PADD 5","")))))</f>
        <v>PADD 3</v>
      </c>
      <c r="G8457" s="6">
        <f>IF(AND($H8457="ATMOS DISTILLATION",ISNUMBER(SEARCH("VPS",$I8457))=FALSE,LEFT($I8457,6)&lt;&gt;"VACUUM"),"CDU",IF($H8457="FLUID CAT CRACKING","FCC",IF(OR($H8457="HYDROCRACKING",$H8457="RESID_HYDROCRACKING"),"Hydrocracker",IF($H8457="REFORMING","Reformer",""))))</f>
        <v/>
      </c>
      <c r="H8457" s="6" t="s">
        <v>460</v>
      </c>
      <c r="I8457" s="6" t="s">
        <v>1257</v>
      </c>
      <c r="J8457" s="6" t="s">
        <v>349</v>
      </c>
      <c r="K8457" s="10">
        <v>0.5625</v>
      </c>
      <c r="L8457" s="10">
        <v>18.75</v>
      </c>
      <c r="M8457" s="6" t="s">
        <v>371</v>
      </c>
    </row>
    <row r="8458" spans="1:13">
      <c r="A8458" s="6">
        <v>2027</v>
      </c>
      <c r="B8458" s="6">
        <v>3</v>
      </c>
      <c r="C8458" s="6" t="s">
        <v>61</v>
      </c>
      <c r="D8458" s="6" t="s">
        <v>839</v>
      </c>
      <c r="E8458" s="6" t="s">
        <v>840</v>
      </c>
      <c r="F8458" s="6" t="str">
        <f>IF($M8458="PADD I","PADD 1",IF($M8458="PADD II","PADD 2",IF($M8458="PADD III","PADD 3",IF($M8458="PADD IV","PADD 4",IF($M8458="PADD V","PADD 5","")))))</f>
        <v>PADD 1</v>
      </c>
      <c r="G8458" s="6">
        <f>IF(AND($H8458="ATMOS DISTILLATION",ISNUMBER(SEARCH("VPS",$I8458))=FALSE,LEFT($I8458,6)&lt;&gt;"VACUUM"),"CDU",IF($H8458="FLUID CAT CRACKING","FCC",IF(OR($H8458="HYDROCRACKING",$H8458="RESID_HYDROCRACKING"),"Hydrocracker",IF($H8458="REFORMING","Reformer",""))))</f>
        <v/>
      </c>
      <c r="H8458" s="6" t="s">
        <v>637</v>
      </c>
      <c r="I8458" s="6" t="s">
        <v>548</v>
      </c>
      <c r="J8458" s="6" t="s">
        <v>349</v>
      </c>
      <c r="K8458" s="10">
        <v>0.0348</v>
      </c>
      <c r="L8458" s="10">
        <v>0.04</v>
      </c>
      <c r="M8458" s="6" t="s">
        <v>413</v>
      </c>
    </row>
    <row r="8459" spans="1:13">
      <c r="A8459" s="6">
        <v>2027</v>
      </c>
      <c r="B8459" s="6">
        <v>4</v>
      </c>
      <c r="C8459" s="6" t="s">
        <v>62</v>
      </c>
      <c r="D8459" s="6" t="s">
        <v>321</v>
      </c>
      <c r="E8459" s="6" t="s">
        <v>381</v>
      </c>
      <c r="F8459" s="6" t="str">
        <f>IF($M8459="PADD I","PADD 1",IF($M8459="PADD II","PADD 2",IF($M8459="PADD III","PADD 3",IF($M8459="PADD IV","PADD 4",IF($M8459="PADD V","PADD 5","")))))</f>
        <v>PADD 2</v>
      </c>
      <c r="G8459" s="6" t="str">
        <f>IF(AND($H8459="ATMOS DISTILLATION",ISNUMBER(SEARCH("VPS",$I8459))=FALSE,LEFT($I8459,6)&lt;&gt;"VACUUM"),"CDU",IF($H8459="FLUID CAT CRACKING","FCC",IF(OR($H8459="HYDROCRACKING",$H8459="RESID_HYDROCRACKING"),"Hydrocracker",IF($H8459="REFORMING","Reformer",""))))</f>
        <v>CDU</v>
      </c>
      <c r="H8459" s="6" t="s">
        <v>38</v>
      </c>
      <c r="I8459" s="6" t="s">
        <v>81</v>
      </c>
      <c r="J8459" s="6" t="s">
        <v>349</v>
      </c>
      <c r="K8459" s="10">
        <v>217.5</v>
      </c>
      <c r="L8459" s="10">
        <v>250</v>
      </c>
      <c r="M8459" s="6" t="s">
        <v>375</v>
      </c>
    </row>
    <row r="8460" spans="1:13">
      <c r="A8460" s="6">
        <v>2027</v>
      </c>
      <c r="B8460" s="6">
        <v>4</v>
      </c>
      <c r="C8460" s="6" t="s">
        <v>62</v>
      </c>
      <c r="D8460" s="6" t="s">
        <v>328</v>
      </c>
      <c r="E8460" s="6" t="s">
        <v>416</v>
      </c>
      <c r="F8460" s="6" t="str">
        <f>IF($M8460="PADD I","PADD 1",IF($M8460="PADD II","PADD 2",IF($M8460="PADD III","PADD 3",IF($M8460="PADD IV","PADD 4",IF($M8460="PADD V","PADD 5","")))))</f>
        <v>PADD 2</v>
      </c>
      <c r="G8460" s="6" t="str">
        <f>IF(AND($H8460="ATMOS DISTILLATION",ISNUMBER(SEARCH("VPS",$I8460))=FALSE,LEFT($I8460,6)&lt;&gt;"VACUUM"),"CDU",IF($H8460="FLUID CAT CRACKING","FCC",IF(OR($H8460="HYDROCRACKING",$H8460="RESID_HYDROCRACKING"),"Hydrocracker",IF($H8460="REFORMING","Reformer",""))))</f>
        <v>CDU</v>
      </c>
      <c r="H8460" s="6" t="s">
        <v>38</v>
      </c>
      <c r="I8460" s="6" t="s">
        <v>91</v>
      </c>
      <c r="J8460" s="6" t="s">
        <v>349</v>
      </c>
      <c r="K8460" s="10">
        <v>127.75</v>
      </c>
      <c r="L8460" s="10">
        <v>175</v>
      </c>
      <c r="M8460" s="6" t="s">
        <v>375</v>
      </c>
    </row>
    <row r="8461" spans="1:13">
      <c r="A8461" s="6">
        <v>2027</v>
      </c>
      <c r="B8461" s="6">
        <v>4</v>
      </c>
      <c r="C8461" s="6" t="s">
        <v>62</v>
      </c>
      <c r="D8461" s="6" t="s">
        <v>321</v>
      </c>
      <c r="E8461" s="6" t="s">
        <v>381</v>
      </c>
      <c r="F8461" s="6" t="str">
        <f>IF($M8461="PADD I","PADD 1",IF($M8461="PADD II","PADD 2",IF($M8461="PADD III","PADD 3",IF($M8461="PADD IV","PADD 4",IF($M8461="PADD V","PADD 5","")))))</f>
        <v>PADD 2</v>
      </c>
      <c r="G8461" s="6">
        <f>IF(AND($H8461="ATMOS DISTILLATION",ISNUMBER(SEARCH("VPS",$I8461))=FALSE,LEFT($I8461,6)&lt;&gt;"VACUUM"),"CDU",IF($H8461="FLUID CAT CRACKING","FCC",IF(OR($H8461="HYDROCRACKING",$H8461="RESID_HYDROCRACKING"),"Hydrocracker",IF($H8461="REFORMING","Reformer",""))))</f>
        <v/>
      </c>
      <c r="H8461" s="6" t="s">
        <v>378</v>
      </c>
      <c r="I8461" s="6" t="s">
        <v>431</v>
      </c>
      <c r="J8461" s="6" t="s">
        <v>349</v>
      </c>
      <c r="K8461" s="10">
        <v>110.49</v>
      </c>
      <c r="L8461" s="10">
        <v>127</v>
      </c>
      <c r="M8461" s="6" t="s">
        <v>375</v>
      </c>
    </row>
    <row r="8462" spans="1:13">
      <c r="A8462" s="6">
        <v>2027</v>
      </c>
      <c r="B8462" s="6">
        <v>4</v>
      </c>
      <c r="C8462" s="6" t="s">
        <v>62</v>
      </c>
      <c r="D8462" s="6" t="s">
        <v>321</v>
      </c>
      <c r="E8462" s="6" t="s">
        <v>381</v>
      </c>
      <c r="F8462" s="6" t="str">
        <f>IF($M8462="PADD I","PADD 1",IF($M8462="PADD II","PADD 2",IF($M8462="PADD III","PADD 3",IF($M8462="PADD IV","PADD 4",IF($M8462="PADD V","PADD 5","")))))</f>
        <v>PADD 2</v>
      </c>
      <c r="G8462" s="6">
        <f>IF(AND($H8462="ATMOS DISTILLATION",ISNUMBER(SEARCH("VPS",$I8462))=FALSE,LEFT($I8462,6)&lt;&gt;"VACUUM"),"CDU",IF($H8462="FLUID CAT CRACKING","FCC",IF(OR($H8462="HYDROCRACKING",$H8462="RESID_HYDROCRACKING"),"Hydrocracker",IF($H8462="REFORMING","Reformer",""))))</f>
        <v/>
      </c>
      <c r="H8462" s="6" t="s">
        <v>43</v>
      </c>
      <c r="I8462" s="6" t="s">
        <v>1165</v>
      </c>
      <c r="J8462" s="6" t="s">
        <v>349</v>
      </c>
      <c r="K8462" s="10">
        <v>69.59999999999999</v>
      </c>
      <c r="L8462" s="10">
        <v>80</v>
      </c>
      <c r="M8462" s="6" t="s">
        <v>375</v>
      </c>
    </row>
    <row r="8463" spans="1:13">
      <c r="A8463" s="6">
        <v>2027</v>
      </c>
      <c r="B8463" s="6">
        <v>4</v>
      </c>
      <c r="C8463" s="6" t="s">
        <v>62</v>
      </c>
      <c r="D8463" s="6" t="s">
        <v>680</v>
      </c>
      <c r="E8463" s="6" t="s">
        <v>681</v>
      </c>
      <c r="F8463" s="6" t="str">
        <f>IF($M8463="PADD I","PADD 1",IF($M8463="PADD II","PADD 2",IF($M8463="PADD III","PADD 3",IF($M8463="PADD IV","PADD 4",IF($M8463="PADD V","PADD 5","")))))</f>
        <v>PADD 3</v>
      </c>
      <c r="G8463" s="6" t="str">
        <f>IF(AND($H8463="ATMOS DISTILLATION",ISNUMBER(SEARCH("VPS",$I8463))=FALSE,LEFT($I8463,6)&lt;&gt;"VACUUM"),"CDU",IF($H8463="FLUID CAT CRACKING","FCC",IF(OR($H8463="HYDROCRACKING",$H8463="RESID_HYDROCRACKING"),"Hydrocracker",IF($H8463="REFORMING","Reformer",""))))</f>
        <v>CDU</v>
      </c>
      <c r="H8463" s="6" t="s">
        <v>38</v>
      </c>
      <c r="I8463" s="6" t="s">
        <v>81</v>
      </c>
      <c r="J8463" s="6" t="s">
        <v>349</v>
      </c>
      <c r="K8463" s="10">
        <v>65.09999999999999</v>
      </c>
      <c r="L8463" s="10">
        <v>70</v>
      </c>
      <c r="M8463" s="6" t="s">
        <v>371</v>
      </c>
    </row>
    <row r="8464" spans="1:13">
      <c r="A8464" s="6">
        <v>2027</v>
      </c>
      <c r="B8464" s="6">
        <v>4</v>
      </c>
      <c r="C8464" s="6" t="s">
        <v>62</v>
      </c>
      <c r="D8464" s="6" t="s">
        <v>328</v>
      </c>
      <c r="E8464" s="6" t="s">
        <v>416</v>
      </c>
      <c r="F8464" s="6" t="str">
        <f>IF($M8464="PADD I","PADD 1",IF($M8464="PADD II","PADD 2",IF($M8464="PADD III","PADD 3",IF($M8464="PADD IV","PADD 4",IF($M8464="PADD V","PADD 5","")))))</f>
        <v>PADD 2</v>
      </c>
      <c r="G8464" s="6">
        <f>IF(AND($H8464="ATMOS DISTILLATION",ISNUMBER(SEARCH("VPS",$I8464))=FALSE,LEFT($I8464,6)&lt;&gt;"VACUUM"),"CDU",IF($H8464="FLUID CAT CRACKING","FCC",IF(OR($H8464="HYDROCRACKING",$H8464="RESID_HYDROCRACKING"),"Hydrocracker",IF($H8464="REFORMING","Reformer",""))))</f>
        <v/>
      </c>
      <c r="H8464" s="6" t="s">
        <v>378</v>
      </c>
      <c r="I8464" s="6" t="s">
        <v>1244</v>
      </c>
      <c r="J8464" s="6" t="s">
        <v>349</v>
      </c>
      <c r="K8464" s="10">
        <v>54.75</v>
      </c>
      <c r="L8464" s="10">
        <v>75</v>
      </c>
      <c r="M8464" s="6" t="s">
        <v>375</v>
      </c>
    </row>
    <row r="8465" spans="1:13">
      <c r="A8465" s="6">
        <v>2027</v>
      </c>
      <c r="B8465" s="6">
        <v>4</v>
      </c>
      <c r="C8465" s="6" t="s">
        <v>62</v>
      </c>
      <c r="D8465" s="6" t="s">
        <v>50</v>
      </c>
      <c r="E8465" s="6" t="s">
        <v>381</v>
      </c>
      <c r="F8465" s="6" t="str">
        <f>IF($M8465="PADD I","PADD 1",IF($M8465="PADD II","PADD 2",IF($M8465="PADD III","PADD 3",IF($M8465="PADD IV","PADD 4",IF($M8465="PADD V","PADD 5","")))))</f>
        <v>PADD 3</v>
      </c>
      <c r="G8465" s="6" t="str">
        <f>IF(AND($H8465="ATMOS DISTILLATION",ISNUMBER(SEARCH("VPS",$I8465))=FALSE,LEFT($I8465,6)&lt;&gt;"VACUUM"),"CDU",IF($H8465="FLUID CAT CRACKING","FCC",IF(OR($H8465="HYDROCRACKING",$H8465="RESID_HYDROCRACKING"),"Hydrocracker",IF($H8465="REFORMING","Reformer",""))))</f>
        <v>FCC</v>
      </c>
      <c r="H8465" s="6" t="s">
        <v>376</v>
      </c>
      <c r="I8465" s="6" t="s">
        <v>102</v>
      </c>
      <c r="J8465" s="6" t="s">
        <v>349</v>
      </c>
      <c r="K8465" s="10">
        <v>53.75</v>
      </c>
      <c r="L8465" s="10">
        <v>125</v>
      </c>
      <c r="M8465" s="6" t="s">
        <v>371</v>
      </c>
    </row>
    <row r="8466" spans="1:13">
      <c r="A8466" s="6">
        <v>2027</v>
      </c>
      <c r="B8466" s="6">
        <v>4</v>
      </c>
      <c r="C8466" s="6" t="s">
        <v>62</v>
      </c>
      <c r="D8466" s="6" t="s">
        <v>321</v>
      </c>
      <c r="E8466" s="6" t="s">
        <v>381</v>
      </c>
      <c r="F8466" s="6" t="str">
        <f>IF($M8466="PADD I","PADD 1",IF($M8466="PADD II","PADD 2",IF($M8466="PADD III","PADD 3",IF($M8466="PADD IV","PADD 4",IF($M8466="PADD V","PADD 5","")))))</f>
        <v>PADD 2</v>
      </c>
      <c r="G8466" s="6">
        <f>IF(AND($H8466="ATMOS DISTILLATION",ISNUMBER(SEARCH("VPS",$I8466))=FALSE,LEFT($I8466,6)&lt;&gt;"VACUUM"),"CDU",IF($H8466="FLUID CAT CRACKING","FCC",IF(OR($H8466="HYDROCRACKING",$H8466="RESID_HYDROCRACKING"),"Hydrocracker",IF($H8466="REFORMING","Reformer",""))))</f>
        <v/>
      </c>
      <c r="H8466" s="6" t="s">
        <v>435</v>
      </c>
      <c r="I8466" s="6" t="s">
        <v>441</v>
      </c>
      <c r="J8466" s="6" t="s">
        <v>349</v>
      </c>
      <c r="K8466" s="10">
        <v>51.33</v>
      </c>
      <c r="L8466" s="10">
        <v>59</v>
      </c>
      <c r="M8466" s="6" t="s">
        <v>375</v>
      </c>
    </row>
    <row r="8467" spans="1:13">
      <c r="A8467" s="6">
        <v>2027</v>
      </c>
      <c r="B8467" s="6">
        <v>4</v>
      </c>
      <c r="C8467" s="6" t="s">
        <v>62</v>
      </c>
      <c r="D8467" s="6" t="s">
        <v>321</v>
      </c>
      <c r="E8467" s="6" t="s">
        <v>381</v>
      </c>
      <c r="F8467" s="6" t="str">
        <f>IF($M8467="PADD I","PADD 1",IF($M8467="PADD II","PADD 2",IF($M8467="PADD III","PADD 3",IF($M8467="PADD IV","PADD 4",IF($M8467="PADD V","PADD 5","")))))</f>
        <v>PADD 2</v>
      </c>
      <c r="G8467" s="6" t="str">
        <f>IF(AND($H8467="ATMOS DISTILLATION",ISNUMBER(SEARCH("VPS",$I8467))=FALSE,LEFT($I8467,6)&lt;&gt;"VACUUM"),"CDU",IF($H8467="FLUID CAT CRACKING","FCC",IF(OR($H8467="HYDROCRACKING",$H8467="RESID_HYDROCRACKING"),"Hydrocracker",IF($H8467="REFORMING","Reformer",""))))</f>
        <v>Reformer</v>
      </c>
      <c r="H8467" s="6" t="s">
        <v>421</v>
      </c>
      <c r="I8467" s="6" t="s">
        <v>228</v>
      </c>
      <c r="J8467" s="6" t="s">
        <v>349</v>
      </c>
      <c r="K8467" s="10">
        <v>45.24</v>
      </c>
      <c r="L8467" s="10">
        <v>52</v>
      </c>
      <c r="M8467" s="6" t="s">
        <v>375</v>
      </c>
    </row>
    <row r="8468" spans="1:13">
      <c r="A8468" s="6">
        <v>2027</v>
      </c>
      <c r="B8468" s="6">
        <v>4</v>
      </c>
      <c r="C8468" s="6" t="s">
        <v>62</v>
      </c>
      <c r="D8468" s="6" t="s">
        <v>321</v>
      </c>
      <c r="E8468" s="6" t="s">
        <v>381</v>
      </c>
      <c r="F8468" s="6" t="str">
        <f>IF($M8468="PADD I","PADD 1",IF($M8468="PADD II","PADD 2",IF($M8468="PADD III","PADD 3",IF($M8468="PADD IV","PADD 4",IF($M8468="PADD V","PADD 5","")))))</f>
        <v>PADD 2</v>
      </c>
      <c r="G8468" s="6">
        <f>IF(AND($H8468="ATMOS DISTILLATION",ISNUMBER(SEARCH("VPS",$I8468))=FALSE,LEFT($I8468,6)&lt;&gt;"VACUUM"),"CDU",IF($H8468="FLUID CAT CRACKING","FCC",IF(OR($H8468="HYDROCRACKING",$H8468="RESID_HYDROCRACKING"),"Hydrocracker",IF($H8468="REFORMING","Reformer",""))))</f>
        <v/>
      </c>
      <c r="H8468" s="6" t="s">
        <v>43</v>
      </c>
      <c r="I8468" s="6" t="s">
        <v>744</v>
      </c>
      <c r="J8468" s="6" t="s">
        <v>349</v>
      </c>
      <c r="K8468" s="10">
        <v>43.5</v>
      </c>
      <c r="L8468" s="10">
        <v>50</v>
      </c>
      <c r="M8468" s="6" t="s">
        <v>375</v>
      </c>
    </row>
    <row r="8469" spans="1:13">
      <c r="A8469" s="6">
        <v>2027</v>
      </c>
      <c r="B8469" s="6">
        <v>4</v>
      </c>
      <c r="C8469" s="6" t="s">
        <v>62</v>
      </c>
      <c r="D8469" s="6" t="s">
        <v>335</v>
      </c>
      <c r="E8469" s="6" t="s">
        <v>369</v>
      </c>
      <c r="F8469" s="6" t="str">
        <f>IF($M8469="PADD I","PADD 1",IF($M8469="PADD II","PADD 2",IF($M8469="PADD III","PADD 3",IF($M8469="PADD IV","PADD 4",IF($M8469="PADD V","PADD 5","")))))</f>
        <v>PADD 3</v>
      </c>
      <c r="G8469" s="6" t="str">
        <f>IF(AND($H8469="ATMOS DISTILLATION",ISNUMBER(SEARCH("VPS",$I8469))=FALSE,LEFT($I8469,6)&lt;&gt;"VACUUM"),"CDU",IF($H8469="FLUID CAT CRACKING","FCC",IF(OR($H8469="HYDROCRACKING",$H8469="RESID_HYDROCRACKING"),"Hydrocracker",IF($H8469="REFORMING","Reformer",""))))</f>
        <v>CDU</v>
      </c>
      <c r="H8469" s="6" t="s">
        <v>38</v>
      </c>
      <c r="I8469" s="6" t="s">
        <v>117</v>
      </c>
      <c r="J8469" s="6" t="s">
        <v>349</v>
      </c>
      <c r="K8469" s="10">
        <v>43.43</v>
      </c>
      <c r="L8469" s="10">
        <v>101</v>
      </c>
      <c r="M8469" s="6" t="s">
        <v>371</v>
      </c>
    </row>
    <row r="8470" spans="1:13">
      <c r="A8470" s="6">
        <v>2027</v>
      </c>
      <c r="B8470" s="6">
        <v>4</v>
      </c>
      <c r="C8470" s="6" t="s">
        <v>62</v>
      </c>
      <c r="D8470" s="6" t="s">
        <v>48</v>
      </c>
      <c r="E8470" s="6" t="s">
        <v>388</v>
      </c>
      <c r="F8470" s="6" t="str">
        <f>IF($M8470="PADD I","PADD 1",IF($M8470="PADD II","PADD 2",IF($M8470="PADD III","PADD 3",IF($M8470="PADD IV","PADD 4",IF($M8470="PADD V","PADD 5","")))))</f>
        <v>PADD 2</v>
      </c>
      <c r="G8470" s="6">
        <f>IF(AND($H8470="ATMOS DISTILLATION",ISNUMBER(SEARCH("VPS",$I8470))=FALSE,LEFT($I8470,6)&lt;&gt;"VACUUM"),"CDU",IF($H8470="FLUID CAT CRACKING","FCC",IF(OR($H8470="HYDROCRACKING",$H8470="RESID_HYDROCRACKING"),"Hydrocracker",IF($H8470="REFORMING","Reformer",""))))</f>
        <v/>
      </c>
      <c r="H8470" s="6" t="s">
        <v>43</v>
      </c>
      <c r="I8470" s="6" t="s">
        <v>696</v>
      </c>
      <c r="J8470" s="6" t="s">
        <v>349</v>
      </c>
      <c r="K8470" s="10">
        <v>42.5</v>
      </c>
      <c r="L8470" s="10">
        <v>85</v>
      </c>
      <c r="M8470" s="6" t="s">
        <v>375</v>
      </c>
    </row>
    <row r="8471" spans="1:13">
      <c r="A8471" s="6">
        <v>2027</v>
      </c>
      <c r="B8471" s="6">
        <v>4</v>
      </c>
      <c r="C8471" s="6" t="s">
        <v>62</v>
      </c>
      <c r="D8471" s="6" t="s">
        <v>380</v>
      </c>
      <c r="E8471" s="6" t="s">
        <v>381</v>
      </c>
      <c r="F8471" s="6" t="str">
        <f>IF($M8471="PADD I","PADD 1",IF($M8471="PADD II","PADD 2",IF($M8471="PADD III","PADD 3",IF($M8471="PADD IV","PADD 4",IF($M8471="PADD V","PADD 5","")))))</f>
        <v>PADD 3</v>
      </c>
      <c r="G8471" s="6">
        <f>IF(AND($H8471="ATMOS DISTILLATION",ISNUMBER(SEARCH("VPS",$I8471))=FALSE,LEFT($I8471,6)&lt;&gt;"VACUUM"),"CDU",IF($H8471="FLUID CAT CRACKING","FCC",IF(OR($H8471="HYDROCRACKING",$H8471="RESID_HYDROCRACKING"),"Hydrocracker",IF($H8471="REFORMING","Reformer",""))))</f>
        <v/>
      </c>
      <c r="H8471" s="6" t="s">
        <v>43</v>
      </c>
      <c r="I8471" s="6" t="s">
        <v>1247</v>
      </c>
      <c r="J8471" s="6" t="s">
        <v>349</v>
      </c>
      <c r="K8471" s="10">
        <v>32</v>
      </c>
      <c r="L8471" s="10">
        <v>40</v>
      </c>
      <c r="M8471" s="6" t="s">
        <v>371</v>
      </c>
    </row>
    <row r="8472" spans="1:13">
      <c r="A8472" s="6">
        <v>2027</v>
      </c>
      <c r="B8472" s="6">
        <v>4</v>
      </c>
      <c r="C8472" s="6" t="s">
        <v>62</v>
      </c>
      <c r="D8472" s="6" t="s">
        <v>839</v>
      </c>
      <c r="E8472" s="6" t="s">
        <v>840</v>
      </c>
      <c r="F8472" s="6" t="str">
        <f>IF($M8472="PADD I","PADD 1",IF($M8472="PADD II","PADD 2",IF($M8472="PADD III","PADD 3",IF($M8472="PADD IV","PADD 4",IF($M8472="PADD V","PADD 5","")))))</f>
        <v>PADD 1</v>
      </c>
      <c r="G8472" s="6" t="str">
        <f>IF(AND($H8472="ATMOS DISTILLATION",ISNUMBER(SEARCH("VPS",$I8472))=FALSE,LEFT($I8472,6)&lt;&gt;"VACUUM"),"CDU",IF($H8472="FLUID CAT CRACKING","FCC",IF(OR($H8472="HYDROCRACKING",$H8472="RESID_HYDROCRACKING"),"Hydrocracker",IF($H8472="REFORMING","Reformer",""))))</f>
        <v>CDU</v>
      </c>
      <c r="H8472" s="6" t="s">
        <v>38</v>
      </c>
      <c r="I8472" s="6" t="s">
        <v>133</v>
      </c>
      <c r="J8472" s="6" t="s">
        <v>349</v>
      </c>
      <c r="K8472" s="10">
        <v>30.1</v>
      </c>
      <c r="L8472" s="10">
        <v>70</v>
      </c>
      <c r="M8472" s="6" t="s">
        <v>413</v>
      </c>
    </row>
    <row r="8473" spans="1:13">
      <c r="A8473" s="6">
        <v>2027</v>
      </c>
      <c r="B8473" s="6">
        <v>4</v>
      </c>
      <c r="C8473" s="6" t="s">
        <v>62</v>
      </c>
      <c r="D8473" s="6" t="s">
        <v>680</v>
      </c>
      <c r="E8473" s="6" t="s">
        <v>681</v>
      </c>
      <c r="F8473" s="6" t="str">
        <f>IF($M8473="PADD I","PADD 1",IF($M8473="PADD II","PADD 2",IF($M8473="PADD III","PADD 3",IF($M8473="PADD IV","PADD 4",IF($M8473="PADD V","PADD 5","")))))</f>
        <v>PADD 3</v>
      </c>
      <c r="G8473" s="6">
        <f>IF(AND($H8473="ATMOS DISTILLATION",ISNUMBER(SEARCH("VPS",$I8473))=FALSE,LEFT($I8473,6)&lt;&gt;"VACUUM"),"CDU",IF($H8473="FLUID CAT CRACKING","FCC",IF(OR($H8473="HYDROCRACKING",$H8473="RESID_HYDROCRACKING"),"Hydrocracker",IF($H8473="REFORMING","Reformer",""))))</f>
        <v/>
      </c>
      <c r="H8473" s="6" t="s">
        <v>43</v>
      </c>
      <c r="I8473" s="6" t="s">
        <v>689</v>
      </c>
      <c r="J8473" s="6" t="s">
        <v>349</v>
      </c>
      <c r="K8473" s="10">
        <v>29.76</v>
      </c>
      <c r="L8473" s="10">
        <v>32</v>
      </c>
      <c r="M8473" s="6" t="s">
        <v>371</v>
      </c>
    </row>
    <row r="8474" spans="1:13">
      <c r="A8474" s="6">
        <v>2027</v>
      </c>
      <c r="B8474" s="6">
        <v>4</v>
      </c>
      <c r="C8474" s="6" t="s">
        <v>62</v>
      </c>
      <c r="D8474" s="6" t="s">
        <v>1390</v>
      </c>
      <c r="E8474" s="6" t="s">
        <v>681</v>
      </c>
      <c r="F8474" s="6" t="str">
        <f>IF($M8474="PADD I","PADD 1",IF($M8474="PADD II","PADD 2",IF($M8474="PADD III","PADD 3",IF($M8474="PADD IV","PADD 4",IF($M8474="PADD V","PADD 5","")))))</f>
        <v>PADD 3</v>
      </c>
      <c r="G8474" s="6" t="str">
        <f>IF(AND($H8474="ATMOS DISTILLATION",ISNUMBER(SEARCH("VPS",$I8474))=FALSE,LEFT($I8474,6)&lt;&gt;"VACUUM"),"CDU",IF($H8474="FLUID CAT CRACKING","FCC",IF(OR($H8474="HYDROCRACKING",$H8474="RESID_HYDROCRACKING"),"Hydrocracker",IF($H8474="REFORMING","Reformer",""))))</f>
        <v>CDU</v>
      </c>
      <c r="H8474" s="6" t="s">
        <v>38</v>
      </c>
      <c r="I8474" s="6" t="s">
        <v>81</v>
      </c>
      <c r="J8474" s="6" t="s">
        <v>349</v>
      </c>
      <c r="K8474" s="10">
        <v>27.9</v>
      </c>
      <c r="L8474" s="10">
        <v>30</v>
      </c>
      <c r="M8474" s="6" t="s">
        <v>371</v>
      </c>
    </row>
    <row r="8475" spans="1:13">
      <c r="A8475" s="6">
        <v>2027</v>
      </c>
      <c r="B8475" s="6">
        <v>4</v>
      </c>
      <c r="C8475" s="6" t="s">
        <v>62</v>
      </c>
      <c r="D8475" s="6" t="s">
        <v>328</v>
      </c>
      <c r="E8475" s="6" t="s">
        <v>416</v>
      </c>
      <c r="F8475" s="6" t="str">
        <f>IF($M8475="PADD I","PADD 1",IF($M8475="PADD II","PADD 2",IF($M8475="PADD III","PADD 3",IF($M8475="PADD IV","PADD 4",IF($M8475="PADD V","PADD 5","")))))</f>
        <v>PADD 2</v>
      </c>
      <c r="G8475" s="6">
        <f>IF(AND($H8475="ATMOS DISTILLATION",ISNUMBER(SEARCH("VPS",$I8475))=FALSE,LEFT($I8475,6)&lt;&gt;"VACUUM"),"CDU",IF($H8475="FLUID CAT CRACKING","FCC",IF(OR($H8475="HYDROCRACKING",$H8475="RESID_HYDROCRACKING"),"Hydrocracker",IF($H8475="REFORMING","Reformer",""))))</f>
        <v/>
      </c>
      <c r="H8475" s="6" t="s">
        <v>435</v>
      </c>
      <c r="I8475" s="6" t="s">
        <v>1059</v>
      </c>
      <c r="J8475" s="6" t="s">
        <v>349</v>
      </c>
      <c r="K8475" s="10">
        <v>27.74</v>
      </c>
      <c r="L8475" s="10">
        <v>38</v>
      </c>
      <c r="M8475" s="6" t="s">
        <v>375</v>
      </c>
    </row>
    <row r="8476" spans="1:13">
      <c r="A8476" s="6">
        <v>2027</v>
      </c>
      <c r="B8476" s="6">
        <v>4</v>
      </c>
      <c r="C8476" s="6" t="s">
        <v>62</v>
      </c>
      <c r="D8476" s="6" t="s">
        <v>321</v>
      </c>
      <c r="E8476" s="6" t="s">
        <v>381</v>
      </c>
      <c r="F8476" s="6" t="str">
        <f>IF($M8476="PADD I","PADD 1",IF($M8476="PADD II","PADD 2",IF($M8476="PADD III","PADD 3",IF($M8476="PADD IV","PADD 4",IF($M8476="PADD V","PADD 5","")))))</f>
        <v>PADD 2</v>
      </c>
      <c r="G8476" s="6">
        <f>IF(AND($H8476="ATMOS DISTILLATION",ISNUMBER(SEARCH("VPS",$I8476))=FALSE,LEFT($I8476,6)&lt;&gt;"VACUUM"),"CDU",IF($H8476="FLUID CAT CRACKING","FCC",IF(OR($H8476="HYDROCRACKING",$H8476="RESID_HYDROCRACKING"),"Hydrocracker",IF($H8476="REFORMING","Reformer",""))))</f>
        <v/>
      </c>
      <c r="H8476" s="6" t="s">
        <v>460</v>
      </c>
      <c r="I8476" s="6" t="s">
        <v>616</v>
      </c>
      <c r="J8476" s="6" t="s">
        <v>349</v>
      </c>
      <c r="K8476" s="10">
        <v>26.2</v>
      </c>
      <c r="L8476" s="10">
        <v>26.2</v>
      </c>
      <c r="M8476" s="6" t="s">
        <v>375</v>
      </c>
    </row>
    <row r="8477" spans="1:13">
      <c r="A8477" s="6">
        <v>2027</v>
      </c>
      <c r="B8477" s="6">
        <v>4</v>
      </c>
      <c r="C8477" s="6" t="s">
        <v>62</v>
      </c>
      <c r="D8477" s="6" t="s">
        <v>865</v>
      </c>
      <c r="E8477" s="6" t="s">
        <v>369</v>
      </c>
      <c r="F8477" s="6" t="str">
        <f>IF($M8477="PADD I","PADD 1",IF($M8477="PADD II","PADD 2",IF($M8477="PADD III","PADD 3",IF($M8477="PADD IV","PADD 4",IF($M8477="PADD V","PADD 5","")))))</f>
        <v>PADD 4</v>
      </c>
      <c r="G8477" s="6" t="str">
        <f>IF(AND($H8477="ATMOS DISTILLATION",ISNUMBER(SEARCH("VPS",$I8477))=FALSE,LEFT($I8477,6)&lt;&gt;"VACUUM"),"CDU",IF($H8477="FLUID CAT CRACKING","FCC",IF(OR($H8477="HYDROCRACKING",$H8477="RESID_HYDROCRACKING"),"Hydrocracker",IF($H8477="REFORMING","Reformer",""))))</f>
        <v>CDU</v>
      </c>
      <c r="H8477" s="6" t="s">
        <v>38</v>
      </c>
      <c r="I8477" s="6" t="s">
        <v>866</v>
      </c>
      <c r="J8477" s="6" t="s">
        <v>349</v>
      </c>
      <c r="K8477" s="10">
        <v>25.55</v>
      </c>
      <c r="L8477" s="10">
        <v>35</v>
      </c>
      <c r="M8477" s="6" t="s">
        <v>430</v>
      </c>
    </row>
    <row r="8478" spans="1:13">
      <c r="A8478" s="6">
        <v>2027</v>
      </c>
      <c r="B8478" s="6">
        <v>4</v>
      </c>
      <c r="C8478" s="6" t="s">
        <v>62</v>
      </c>
      <c r="D8478" s="6" t="s">
        <v>865</v>
      </c>
      <c r="E8478" s="6" t="s">
        <v>369</v>
      </c>
      <c r="F8478" s="6" t="str">
        <f>IF($M8478="PADD I","PADD 1",IF($M8478="PADD II","PADD 2",IF($M8478="PADD III","PADD 3",IF($M8478="PADD IV","PADD 4",IF($M8478="PADD V","PADD 5","")))))</f>
        <v>PADD 4</v>
      </c>
      <c r="G8478" s="6">
        <f>IF(AND($H8478="ATMOS DISTILLATION",ISNUMBER(SEARCH("VPS",$I8478))=FALSE,LEFT($I8478,6)&lt;&gt;"VACUUM"),"CDU",IF($H8478="FLUID CAT CRACKING","FCC",IF(OR($H8478="HYDROCRACKING",$H8478="RESID_HYDROCRACKING"),"Hydrocracker",IF($H8478="REFORMING","Reformer",""))))</f>
        <v/>
      </c>
      <c r="H8478" s="6" t="s">
        <v>378</v>
      </c>
      <c r="I8478" s="6" t="s">
        <v>867</v>
      </c>
      <c r="J8478" s="6" t="s">
        <v>349</v>
      </c>
      <c r="K8478" s="10">
        <v>25.55</v>
      </c>
      <c r="L8478" s="10">
        <v>35</v>
      </c>
      <c r="M8478" s="6" t="s">
        <v>430</v>
      </c>
    </row>
    <row r="8479" spans="1:13">
      <c r="A8479" s="6">
        <v>2027</v>
      </c>
      <c r="B8479" s="6">
        <v>4</v>
      </c>
      <c r="C8479" s="6" t="s">
        <v>62</v>
      </c>
      <c r="D8479" s="6" t="s">
        <v>319</v>
      </c>
      <c r="E8479" s="6" t="s">
        <v>665</v>
      </c>
      <c r="F8479" s="6" t="str">
        <f>IF($M8479="PADD I","PADD 1",IF($M8479="PADD II","PADD 2",IF($M8479="PADD III","PADD 3",IF($M8479="PADD IV","PADD 4",IF($M8479="PADD V","PADD 5","")))))</f>
        <v>PADD 3</v>
      </c>
      <c r="G8479" s="6">
        <f>IF(AND($H8479="ATMOS DISTILLATION",ISNUMBER(SEARCH("VPS",$I8479))=FALSE,LEFT($I8479,6)&lt;&gt;"VACUUM"),"CDU",IF($H8479="FLUID CAT CRACKING","FCC",IF(OR($H8479="HYDROCRACKING",$H8479="RESID_HYDROCRACKING"),"Hydrocracker",IF($H8479="REFORMING","Reformer",""))))</f>
        <v/>
      </c>
      <c r="H8479" s="6" t="s">
        <v>43</v>
      </c>
      <c r="I8479" s="6" t="s">
        <v>888</v>
      </c>
      <c r="J8479" s="6" t="s">
        <v>349</v>
      </c>
      <c r="K8479" s="10">
        <v>25.2</v>
      </c>
      <c r="L8479" s="10">
        <v>40</v>
      </c>
      <c r="M8479" s="6" t="s">
        <v>371</v>
      </c>
    </row>
    <row r="8480" spans="1:13">
      <c r="A8480" s="6">
        <v>2027</v>
      </c>
      <c r="B8480" s="6">
        <v>4</v>
      </c>
      <c r="C8480" s="6" t="s">
        <v>62</v>
      </c>
      <c r="D8480" s="6" t="s">
        <v>319</v>
      </c>
      <c r="E8480" s="6" t="s">
        <v>665</v>
      </c>
      <c r="F8480" s="6" t="str">
        <f>IF($M8480="PADD I","PADD 1",IF($M8480="PADD II","PADD 2",IF($M8480="PADD III","PADD 3",IF($M8480="PADD IV","PADD 4",IF($M8480="PADD V","PADD 5","")))))</f>
        <v>PADD 3</v>
      </c>
      <c r="G8480" s="6" t="str">
        <f>IF(AND($H8480="ATMOS DISTILLATION",ISNUMBER(SEARCH("VPS",$I8480))=FALSE,LEFT($I8480,6)&lt;&gt;"VACUUM"),"CDU",IF($H8480="FLUID CAT CRACKING","FCC",IF(OR($H8480="HYDROCRACKING",$H8480="RESID_HYDROCRACKING"),"Hydrocracker",IF($H8480="REFORMING","Reformer",""))))</f>
        <v>Hydrocracker</v>
      </c>
      <c r="H8480" s="6" t="s">
        <v>444</v>
      </c>
      <c r="I8480" s="6" t="s">
        <v>14</v>
      </c>
      <c r="J8480" s="6" t="s">
        <v>349</v>
      </c>
      <c r="K8480" s="10">
        <v>25.2</v>
      </c>
      <c r="L8480" s="10">
        <v>40</v>
      </c>
      <c r="M8480" s="6" t="s">
        <v>371</v>
      </c>
    </row>
    <row r="8481" spans="1:13">
      <c r="A8481" s="6">
        <v>2027</v>
      </c>
      <c r="B8481" s="6">
        <v>4</v>
      </c>
      <c r="C8481" s="6" t="s">
        <v>62</v>
      </c>
      <c r="D8481" s="6" t="s">
        <v>319</v>
      </c>
      <c r="E8481" s="6" t="s">
        <v>665</v>
      </c>
      <c r="F8481" s="6" t="str">
        <f>IF($M8481="PADD I","PADD 1",IF($M8481="PADD II","PADD 2",IF($M8481="PADD III","PADD 3",IF($M8481="PADD IV","PADD 4",IF($M8481="PADD V","PADD 5","")))))</f>
        <v>PADD 3</v>
      </c>
      <c r="G8481" s="6" t="str">
        <f>IF(AND($H8481="ATMOS DISTILLATION",ISNUMBER(SEARCH("VPS",$I8481))=FALSE,LEFT($I8481,6)&lt;&gt;"VACUUM"),"CDU",IF($H8481="FLUID CAT CRACKING","FCC",IF(OR($H8481="HYDROCRACKING",$H8481="RESID_HYDROCRACKING"),"Hydrocracker",IF($H8481="REFORMING","Reformer",""))))</f>
        <v>Reformer</v>
      </c>
      <c r="H8481" s="6" t="s">
        <v>421</v>
      </c>
      <c r="I8481" s="6" t="s">
        <v>889</v>
      </c>
      <c r="J8481" s="6" t="s">
        <v>349</v>
      </c>
      <c r="K8481" s="10">
        <v>25.2</v>
      </c>
      <c r="L8481" s="10">
        <v>40</v>
      </c>
      <c r="M8481" s="6" t="s">
        <v>371</v>
      </c>
    </row>
    <row r="8482" spans="1:13">
      <c r="A8482" s="6">
        <v>2027</v>
      </c>
      <c r="B8482" s="6">
        <v>4</v>
      </c>
      <c r="C8482" s="6" t="s">
        <v>62</v>
      </c>
      <c r="D8482" s="6" t="s">
        <v>542</v>
      </c>
      <c r="E8482" s="6" t="s">
        <v>543</v>
      </c>
      <c r="F8482" s="6" t="str">
        <f>IF($M8482="PADD I","PADD 1",IF($M8482="PADD II","PADD 2",IF($M8482="PADD III","PADD 3",IF($M8482="PADD IV","PADD 4",IF($M8482="PADD V","PADD 5","")))))</f>
        <v>PADD 2</v>
      </c>
      <c r="G8482" s="6">
        <f>IF(AND($H8482="ATMOS DISTILLATION",ISNUMBER(SEARCH("VPS",$I8482))=FALSE,LEFT($I8482,6)&lt;&gt;"VACUUM"),"CDU",IF($H8482="FLUID CAT CRACKING","FCC",IF(OR($H8482="HYDROCRACKING",$H8482="RESID_HYDROCRACKING"),"Hydrocracker",IF($H8482="REFORMING","Reformer",""))))</f>
        <v/>
      </c>
      <c r="H8482" s="6" t="s">
        <v>43</v>
      </c>
      <c r="I8482" s="6" t="s">
        <v>1112</v>
      </c>
      <c r="J8482" s="6" t="s">
        <v>349</v>
      </c>
      <c r="K8482" s="10">
        <v>24.3</v>
      </c>
      <c r="L8482" s="10">
        <v>24.3</v>
      </c>
      <c r="M8482" s="6" t="s">
        <v>375</v>
      </c>
    </row>
    <row r="8483" spans="1:13">
      <c r="A8483" s="6">
        <v>2027</v>
      </c>
      <c r="B8483" s="6">
        <v>4</v>
      </c>
      <c r="C8483" s="6" t="s">
        <v>62</v>
      </c>
      <c r="D8483" s="6" t="s">
        <v>680</v>
      </c>
      <c r="E8483" s="6" t="s">
        <v>681</v>
      </c>
      <c r="F8483" s="6" t="str">
        <f>IF($M8483="PADD I","PADD 1",IF($M8483="PADD II","PADD 2",IF($M8483="PADD III","PADD 3",IF($M8483="PADD IV","PADD 4",IF($M8483="PADD V","PADD 5","")))))</f>
        <v>PADD 3</v>
      </c>
      <c r="G8483" s="6" t="str">
        <f>IF(AND($H8483="ATMOS DISTILLATION",ISNUMBER(SEARCH("VPS",$I8483))=FALSE,LEFT($I8483,6)&lt;&gt;"VACUUM"),"CDU",IF($H8483="FLUID CAT CRACKING","FCC",IF(OR($H8483="HYDROCRACKING",$H8483="RESID_HYDROCRACKING"),"Hydrocracker",IF($H8483="REFORMING","Reformer",""))))</f>
        <v>FCC</v>
      </c>
      <c r="H8483" s="6" t="s">
        <v>376</v>
      </c>
      <c r="I8483" s="6" t="s">
        <v>105</v>
      </c>
      <c r="J8483" s="6" t="s">
        <v>349</v>
      </c>
      <c r="K8483" s="10">
        <v>23.25</v>
      </c>
      <c r="L8483" s="10">
        <v>25</v>
      </c>
      <c r="M8483" s="6" t="s">
        <v>371</v>
      </c>
    </row>
    <row r="8484" spans="1:13">
      <c r="A8484" s="6">
        <v>2027</v>
      </c>
      <c r="B8484" s="6">
        <v>4</v>
      </c>
      <c r="C8484" s="6" t="s">
        <v>62</v>
      </c>
      <c r="D8484" s="6" t="s">
        <v>680</v>
      </c>
      <c r="E8484" s="6" t="s">
        <v>681</v>
      </c>
      <c r="F8484" s="6" t="str">
        <f>IF($M8484="PADD I","PADD 1",IF($M8484="PADD II","PADD 2",IF($M8484="PADD III","PADD 3",IF($M8484="PADD IV","PADD 4",IF($M8484="PADD V","PADD 5","")))))</f>
        <v>PADD 3</v>
      </c>
      <c r="G8484" s="6">
        <f>IF(AND($H8484="ATMOS DISTILLATION",ISNUMBER(SEARCH("VPS",$I8484))=FALSE,LEFT($I8484,6)&lt;&gt;"VACUUM"),"CDU",IF($H8484="FLUID CAT CRACKING","FCC",IF(OR($H8484="HYDROCRACKING",$H8484="RESID_HYDROCRACKING"),"Hydrocracker",IF($H8484="REFORMING","Reformer",""))))</f>
        <v/>
      </c>
      <c r="H8484" s="6" t="s">
        <v>378</v>
      </c>
      <c r="I8484" s="6" t="s">
        <v>431</v>
      </c>
      <c r="J8484" s="6" t="s">
        <v>349</v>
      </c>
      <c r="K8484" s="10">
        <v>23.25</v>
      </c>
      <c r="L8484" s="10">
        <v>25</v>
      </c>
      <c r="M8484" s="6" t="s">
        <v>371</v>
      </c>
    </row>
    <row r="8485" spans="1:13">
      <c r="A8485" s="6">
        <v>2027</v>
      </c>
      <c r="B8485" s="6">
        <v>4</v>
      </c>
      <c r="C8485" s="6" t="s">
        <v>62</v>
      </c>
      <c r="D8485" s="6" t="s">
        <v>680</v>
      </c>
      <c r="E8485" s="6" t="s">
        <v>681</v>
      </c>
      <c r="F8485" s="6" t="str">
        <f>IF($M8485="PADD I","PADD 1",IF($M8485="PADD II","PADD 2",IF($M8485="PADD III","PADD 3",IF($M8485="PADD IV","PADD 4",IF($M8485="PADD V","PADD 5","")))))</f>
        <v>PADD 3</v>
      </c>
      <c r="G8485" s="6">
        <f>IF(AND($H8485="ATMOS DISTILLATION",ISNUMBER(SEARCH("VPS",$I8485))=FALSE,LEFT($I8485,6)&lt;&gt;"VACUUM"),"CDU",IF($H8485="FLUID CAT CRACKING","FCC",IF(OR($H8485="HYDROCRACKING",$H8485="RESID_HYDROCRACKING"),"Hydrocracker",IF($H8485="REFORMING","Reformer",""))))</f>
        <v/>
      </c>
      <c r="H8485" s="6" t="s">
        <v>43</v>
      </c>
      <c r="I8485" s="6" t="s">
        <v>692</v>
      </c>
      <c r="J8485" s="6" t="s">
        <v>349</v>
      </c>
      <c r="K8485" s="10">
        <v>22.32</v>
      </c>
      <c r="L8485" s="10">
        <v>24</v>
      </c>
      <c r="M8485" s="6" t="s">
        <v>371</v>
      </c>
    </row>
    <row r="8486" spans="1:13">
      <c r="A8486" s="6">
        <v>2027</v>
      </c>
      <c r="B8486" s="6">
        <v>4</v>
      </c>
      <c r="C8486" s="6" t="s">
        <v>62</v>
      </c>
      <c r="D8486" s="6" t="s">
        <v>468</v>
      </c>
      <c r="E8486" s="6" t="s">
        <v>369</v>
      </c>
      <c r="F8486" s="6" t="str">
        <f>IF($M8486="PADD I","PADD 1",IF($M8486="PADD II","PADD 2",IF($M8486="PADD III","PADD 3",IF($M8486="PADD IV","PADD 4",IF($M8486="PADD V","PADD 5","")))))</f>
        <v>PADD 3</v>
      </c>
      <c r="G8486" s="6" t="str">
        <f>IF(AND($H8486="ATMOS DISTILLATION",ISNUMBER(SEARCH("VPS",$I8486))=FALSE,LEFT($I8486,6)&lt;&gt;"VACUUM"),"CDU",IF($H8486="FLUID CAT CRACKING","FCC",IF(OR($H8486="HYDROCRACKING",$H8486="RESID_HYDROCRACKING"),"Hydrocracker",IF($H8486="REFORMING","Reformer",""))))</f>
        <v>FCC</v>
      </c>
      <c r="H8486" s="6" t="s">
        <v>376</v>
      </c>
      <c r="I8486" s="6" t="s">
        <v>469</v>
      </c>
      <c r="J8486" s="6" t="s">
        <v>349</v>
      </c>
      <c r="K8486" s="10">
        <v>21.9</v>
      </c>
      <c r="L8486" s="10">
        <v>30</v>
      </c>
      <c r="M8486" s="6" t="s">
        <v>371</v>
      </c>
    </row>
    <row r="8487" spans="1:13">
      <c r="A8487" s="6">
        <v>2027</v>
      </c>
      <c r="B8487" s="6">
        <v>4</v>
      </c>
      <c r="C8487" s="6" t="s">
        <v>62</v>
      </c>
      <c r="D8487" s="6" t="s">
        <v>321</v>
      </c>
      <c r="E8487" s="6" t="s">
        <v>381</v>
      </c>
      <c r="F8487" s="6" t="str">
        <f>IF($M8487="PADD I","PADD 1",IF($M8487="PADD II","PADD 2",IF($M8487="PADD III","PADD 3",IF($M8487="PADD IV","PADD 4",IF($M8487="PADD V","PADD 5","")))))</f>
        <v>PADD 2</v>
      </c>
      <c r="G8487" s="6">
        <f>IF(AND($H8487="ATMOS DISTILLATION",ISNUMBER(SEARCH("VPS",$I8487))=FALSE,LEFT($I8487,6)&lt;&gt;"VACUUM"),"CDU",IF($H8487="FLUID CAT CRACKING","FCC",IF(OR($H8487="HYDROCRACKING",$H8487="RESID_HYDROCRACKING"),"Hydrocracker",IF($H8487="REFORMING","Reformer",""))))</f>
        <v/>
      </c>
      <c r="H8487" s="6" t="s">
        <v>43</v>
      </c>
      <c r="I8487" s="6" t="s">
        <v>1170</v>
      </c>
      <c r="J8487" s="6" t="s">
        <v>349</v>
      </c>
      <c r="K8487" s="10">
        <v>21.75</v>
      </c>
      <c r="L8487" s="10">
        <v>25</v>
      </c>
      <c r="M8487" s="6" t="s">
        <v>375</v>
      </c>
    </row>
    <row r="8488" spans="1:13">
      <c r="A8488" s="6">
        <v>2027</v>
      </c>
      <c r="B8488" s="6">
        <v>4</v>
      </c>
      <c r="C8488" s="6" t="s">
        <v>62</v>
      </c>
      <c r="D8488" s="6" t="s">
        <v>612</v>
      </c>
      <c r="E8488" s="6" t="s">
        <v>416</v>
      </c>
      <c r="F8488" s="6" t="str">
        <f>IF($M8488="PADD I","PADD 1",IF($M8488="PADD II","PADD 2",IF($M8488="PADD III","PADD 3",IF($M8488="PADD IV","PADD 4",IF($M8488="PADD V","PADD 5","")))))</f>
        <v>PADD 3</v>
      </c>
      <c r="G8488" s="6">
        <f>IF(AND($H8488="ATMOS DISTILLATION",ISNUMBER(SEARCH("VPS",$I8488))=FALSE,LEFT($I8488,6)&lt;&gt;"VACUUM"),"CDU",IF($H8488="FLUID CAT CRACKING","FCC",IF(OR($H8488="HYDROCRACKING",$H8488="RESID_HYDROCRACKING"),"Hydrocracker",IF($H8488="REFORMING","Reformer",""))))</f>
        <v/>
      </c>
      <c r="H8488" s="6" t="s">
        <v>460</v>
      </c>
      <c r="I8488" s="6" t="s">
        <v>835</v>
      </c>
      <c r="J8488" s="6" t="s">
        <v>349</v>
      </c>
      <c r="K8488" s="10">
        <v>21</v>
      </c>
      <c r="L8488" s="10">
        <v>21</v>
      </c>
      <c r="M8488" s="6" t="s">
        <v>371</v>
      </c>
    </row>
    <row r="8489" spans="1:13">
      <c r="A8489" s="6">
        <v>2027</v>
      </c>
      <c r="B8489" s="6">
        <v>4</v>
      </c>
      <c r="C8489" s="6" t="s">
        <v>62</v>
      </c>
      <c r="D8489" s="6" t="s">
        <v>680</v>
      </c>
      <c r="E8489" s="6" t="s">
        <v>681</v>
      </c>
      <c r="F8489" s="6" t="str">
        <f>IF($M8489="PADD I","PADD 1",IF($M8489="PADD II","PADD 2",IF($M8489="PADD III","PADD 3",IF($M8489="PADD IV","PADD 4",IF($M8489="PADD V","PADD 5","")))))</f>
        <v>PADD 3</v>
      </c>
      <c r="G8489" s="6">
        <f>IF(AND($H8489="ATMOS DISTILLATION",ISNUMBER(SEARCH("VPS",$I8489))=FALSE,LEFT($I8489,6)&lt;&gt;"VACUUM"),"CDU",IF($H8489="FLUID CAT CRACKING","FCC",IF(OR($H8489="HYDROCRACKING",$H8489="RESID_HYDROCRACKING"),"Hydrocracker",IF($H8489="REFORMING","Reformer",""))))</f>
        <v/>
      </c>
      <c r="H8489" s="6" t="s">
        <v>43</v>
      </c>
      <c r="I8489" s="6" t="s">
        <v>694</v>
      </c>
      <c r="J8489" s="6" t="s">
        <v>349</v>
      </c>
      <c r="K8489" s="10">
        <v>20.46</v>
      </c>
      <c r="L8489" s="10">
        <v>22</v>
      </c>
      <c r="M8489" s="6" t="s">
        <v>371</v>
      </c>
    </row>
    <row r="8490" spans="1:13">
      <c r="A8490" s="6">
        <v>2027</v>
      </c>
      <c r="B8490" s="6">
        <v>4</v>
      </c>
      <c r="C8490" s="6" t="s">
        <v>62</v>
      </c>
      <c r="D8490" s="6" t="s">
        <v>576</v>
      </c>
      <c r="E8490" s="6" t="s">
        <v>369</v>
      </c>
      <c r="F8490" s="6" t="str">
        <f>IF($M8490="PADD I","PADD 1",IF($M8490="PADD II","PADD 2",IF($M8490="PADD III","PADD 3",IF($M8490="PADD IV","PADD 4",IF($M8490="PADD V","PADD 5","")))))</f>
        <v>PADD 3</v>
      </c>
      <c r="G8490" s="6" t="str">
        <f>IF(AND($H8490="ATMOS DISTILLATION",ISNUMBER(SEARCH("VPS",$I8490))=FALSE,LEFT($I8490,6)&lt;&gt;"VACUUM"),"CDU",IF($H8490="FLUID CAT CRACKING","FCC",IF(OR($H8490="HYDROCRACKING",$H8490="RESID_HYDROCRACKING"),"Hydrocracker",IF($H8490="REFORMING","Reformer",""))))</f>
        <v>CDU</v>
      </c>
      <c r="H8490" s="6" t="s">
        <v>38</v>
      </c>
      <c r="I8490" s="6" t="s">
        <v>332</v>
      </c>
      <c r="J8490" s="6" t="s">
        <v>349</v>
      </c>
      <c r="K8490" s="10">
        <v>18.9</v>
      </c>
      <c r="L8490" s="10">
        <v>70</v>
      </c>
      <c r="M8490" s="6" t="s">
        <v>371</v>
      </c>
    </row>
    <row r="8491" spans="1:13">
      <c r="A8491" s="6">
        <v>2027</v>
      </c>
      <c r="B8491" s="6">
        <v>4</v>
      </c>
      <c r="C8491" s="6" t="s">
        <v>62</v>
      </c>
      <c r="D8491" s="6" t="s">
        <v>865</v>
      </c>
      <c r="E8491" s="6" t="s">
        <v>369</v>
      </c>
      <c r="F8491" s="6" t="str">
        <f>IF($M8491="PADD I","PADD 1",IF($M8491="PADD II","PADD 2",IF($M8491="PADD III","PADD 3",IF($M8491="PADD IV","PADD 4",IF($M8491="PADD V","PADD 5","")))))</f>
        <v>PADD 4</v>
      </c>
      <c r="G8491" s="6">
        <f>IF(AND($H8491="ATMOS DISTILLATION",ISNUMBER(SEARCH("VPS",$I8491))=FALSE,LEFT($I8491,6)&lt;&gt;"VACUUM"),"CDU",IF($H8491="FLUID CAT CRACKING","FCC",IF(OR($H8491="HYDROCRACKING",$H8491="RESID_HYDROCRACKING"),"Hydrocracker",IF($H8491="REFORMING","Reformer",""))))</f>
        <v/>
      </c>
      <c r="H8491" s="6" t="s">
        <v>43</v>
      </c>
      <c r="I8491" s="6" t="s">
        <v>1393</v>
      </c>
      <c r="J8491" s="6" t="s">
        <v>349</v>
      </c>
      <c r="K8491" s="10">
        <v>18.25</v>
      </c>
      <c r="L8491" s="10">
        <v>25</v>
      </c>
      <c r="M8491" s="6" t="s">
        <v>430</v>
      </c>
    </row>
    <row r="8492" spans="1:13">
      <c r="A8492" s="6">
        <v>2027</v>
      </c>
      <c r="B8492" s="6">
        <v>4</v>
      </c>
      <c r="C8492" s="6" t="s">
        <v>62</v>
      </c>
      <c r="D8492" s="6" t="s">
        <v>437</v>
      </c>
      <c r="E8492" s="6" t="s">
        <v>438</v>
      </c>
      <c r="F8492" s="6" t="str">
        <f>IF($M8492="PADD I","PADD 1",IF($M8492="PADD II","PADD 2",IF($M8492="PADD III","PADD 3",IF($M8492="PADD IV","PADD 4",IF($M8492="PADD V","PADD 5","")))))</f>
        <v>PADD 4</v>
      </c>
      <c r="G8492" s="6" t="str">
        <f>IF(AND($H8492="ATMOS DISTILLATION",ISNUMBER(SEARCH("VPS",$I8492))=FALSE,LEFT($I8492,6)&lt;&gt;"VACUUM"),"CDU",IF($H8492="FLUID CAT CRACKING","FCC",IF(OR($H8492="HYDROCRACKING",$H8492="RESID_HYDROCRACKING"),"Hydrocracker",IF($H8492="REFORMING","Reformer",""))))</f>
        <v>CDU</v>
      </c>
      <c r="H8492" s="6" t="s">
        <v>38</v>
      </c>
      <c r="I8492" s="6" t="s">
        <v>330</v>
      </c>
      <c r="J8492" s="6" t="s">
        <v>349</v>
      </c>
      <c r="K8492" s="10">
        <v>17.64</v>
      </c>
      <c r="L8492" s="10">
        <v>28</v>
      </c>
      <c r="M8492" s="6" t="s">
        <v>430</v>
      </c>
    </row>
    <row r="8493" spans="1:13">
      <c r="A8493" s="6">
        <v>2027</v>
      </c>
      <c r="B8493" s="6">
        <v>4</v>
      </c>
      <c r="C8493" s="6" t="s">
        <v>62</v>
      </c>
      <c r="D8493" s="6" t="s">
        <v>865</v>
      </c>
      <c r="E8493" s="6" t="s">
        <v>369</v>
      </c>
      <c r="F8493" s="6" t="str">
        <f>IF($M8493="PADD I","PADD 1",IF($M8493="PADD II","PADD 2",IF($M8493="PADD III","PADD 3",IF($M8493="PADD IV","PADD 4",IF($M8493="PADD V","PADD 5","")))))</f>
        <v>PADD 4</v>
      </c>
      <c r="G8493" s="6">
        <f>IF(AND($H8493="ATMOS DISTILLATION",ISNUMBER(SEARCH("VPS",$I8493))=FALSE,LEFT($I8493,6)&lt;&gt;"VACUUM"),"CDU",IF($H8493="FLUID CAT CRACKING","FCC",IF(OR($H8493="HYDROCRACKING",$H8493="RESID_HYDROCRACKING"),"Hydrocracker",IF($H8493="REFORMING","Reformer",""))))</f>
        <v/>
      </c>
      <c r="H8493" s="6" t="s">
        <v>43</v>
      </c>
      <c r="I8493" s="6" t="s">
        <v>1394</v>
      </c>
      <c r="J8493" s="6" t="s">
        <v>349</v>
      </c>
      <c r="K8493" s="10">
        <v>17.52</v>
      </c>
      <c r="L8493" s="10">
        <v>24</v>
      </c>
      <c r="M8493" s="6" t="s">
        <v>430</v>
      </c>
    </row>
    <row r="8494" spans="1:13">
      <c r="A8494" s="6">
        <v>2027</v>
      </c>
      <c r="B8494" s="6">
        <v>4</v>
      </c>
      <c r="C8494" s="6" t="s">
        <v>62</v>
      </c>
      <c r="D8494" s="6" t="s">
        <v>48</v>
      </c>
      <c r="E8494" s="6" t="s">
        <v>388</v>
      </c>
      <c r="F8494" s="6" t="str">
        <f>IF($M8494="PADD I","PADD 1",IF($M8494="PADD II","PADD 2",IF($M8494="PADD III","PADD 3",IF($M8494="PADD IV","PADD 4",IF($M8494="PADD V","PADD 5","")))))</f>
        <v>PADD 2</v>
      </c>
      <c r="G8494" s="6" t="str">
        <f>IF(AND($H8494="ATMOS DISTILLATION",ISNUMBER(SEARCH("VPS",$I8494))=FALSE,LEFT($I8494,6)&lt;&gt;"VACUUM"),"CDU",IF($H8494="FLUID CAT CRACKING","FCC",IF(OR($H8494="HYDROCRACKING",$H8494="RESID_HYDROCRACKING"),"Hydrocracker",IF($H8494="REFORMING","Reformer",""))))</f>
        <v>Reformer</v>
      </c>
      <c r="H8494" s="6" t="s">
        <v>421</v>
      </c>
      <c r="I8494" s="6" t="s">
        <v>1391</v>
      </c>
      <c r="J8494" s="6" t="s">
        <v>349</v>
      </c>
      <c r="K8494" s="10">
        <v>17.5</v>
      </c>
      <c r="L8494" s="10">
        <v>35</v>
      </c>
      <c r="M8494" s="6" t="s">
        <v>375</v>
      </c>
    </row>
    <row r="8495" spans="1:13">
      <c r="A8495" s="6">
        <v>2027</v>
      </c>
      <c r="B8495" s="6">
        <v>4</v>
      </c>
      <c r="C8495" s="6" t="s">
        <v>62</v>
      </c>
      <c r="D8495" s="6" t="s">
        <v>680</v>
      </c>
      <c r="E8495" s="6" t="s">
        <v>681</v>
      </c>
      <c r="F8495" s="6" t="str">
        <f>IF($M8495="PADD I","PADD 1",IF($M8495="PADD II","PADD 2",IF($M8495="PADD III","PADD 3",IF($M8495="PADD IV","PADD 4",IF($M8495="PADD V","PADD 5","")))))</f>
        <v>PADD 3</v>
      </c>
      <c r="G8495" s="6" t="str">
        <f>IF(AND($H8495="ATMOS DISTILLATION",ISNUMBER(SEARCH("VPS",$I8495))=FALSE,LEFT($I8495,6)&lt;&gt;"VACUUM"),"CDU",IF($H8495="FLUID CAT CRACKING","FCC",IF(OR($H8495="HYDROCRACKING",$H8495="RESID_HYDROCRACKING"),"Hydrocracker",IF($H8495="REFORMING","Reformer",""))))</f>
        <v>Reformer</v>
      </c>
      <c r="H8495" s="6" t="s">
        <v>421</v>
      </c>
      <c r="I8495" s="6" t="s">
        <v>539</v>
      </c>
      <c r="J8495" s="6" t="s">
        <v>349</v>
      </c>
      <c r="K8495" s="10">
        <v>15.81</v>
      </c>
      <c r="L8495" s="10">
        <v>17</v>
      </c>
      <c r="M8495" s="6" t="s">
        <v>371</v>
      </c>
    </row>
    <row r="8496" spans="1:13">
      <c r="A8496" s="6">
        <v>2027</v>
      </c>
      <c r="B8496" s="6">
        <v>4</v>
      </c>
      <c r="C8496" s="6" t="s">
        <v>62</v>
      </c>
      <c r="D8496" s="6" t="s">
        <v>680</v>
      </c>
      <c r="E8496" s="6" t="s">
        <v>681</v>
      </c>
      <c r="F8496" s="6" t="str">
        <f>IF($M8496="PADD I","PADD 1",IF($M8496="PADD II","PADD 2",IF($M8496="PADD III","PADD 3",IF($M8496="PADD IV","PADD 4",IF($M8496="PADD V","PADD 5","")))))</f>
        <v>PADD 3</v>
      </c>
      <c r="G8496" s="6">
        <f>IF(AND($H8496="ATMOS DISTILLATION",ISNUMBER(SEARCH("VPS",$I8496))=FALSE,LEFT($I8496,6)&lt;&gt;"VACUUM"),"CDU",IF($H8496="FLUID CAT CRACKING","FCC",IF(OR($H8496="HYDROCRACKING",$H8496="RESID_HYDROCRACKING"),"Hydrocracker",IF($H8496="REFORMING","Reformer",""))))</f>
        <v/>
      </c>
      <c r="H8496" s="6" t="s">
        <v>43</v>
      </c>
      <c r="I8496" s="6" t="s">
        <v>702</v>
      </c>
      <c r="J8496" s="6" t="s">
        <v>349</v>
      </c>
      <c r="K8496" s="10">
        <v>15.81</v>
      </c>
      <c r="L8496" s="10">
        <v>17</v>
      </c>
      <c r="M8496" s="6" t="s">
        <v>371</v>
      </c>
    </row>
    <row r="8497" spans="1:13">
      <c r="A8497" s="6">
        <v>2027</v>
      </c>
      <c r="B8497" s="6">
        <v>4</v>
      </c>
      <c r="C8497" s="6" t="s">
        <v>62</v>
      </c>
      <c r="D8497" s="6" t="s">
        <v>319</v>
      </c>
      <c r="E8497" s="6" t="s">
        <v>665</v>
      </c>
      <c r="F8497" s="6" t="str">
        <f>IF($M8497="PADD I","PADD 1",IF($M8497="PADD II","PADD 2",IF($M8497="PADD III","PADD 3",IF($M8497="PADD IV","PADD 4",IF($M8497="PADD V","PADD 5","")))))</f>
        <v>PADD 3</v>
      </c>
      <c r="G8497" s="6">
        <f>IF(AND($H8497="ATMOS DISTILLATION",ISNUMBER(SEARCH("VPS",$I8497))=FALSE,LEFT($I8497,6)&lt;&gt;"VACUUM"),"CDU",IF($H8497="FLUID CAT CRACKING","FCC",IF(OR($H8497="HYDROCRACKING",$H8497="RESID_HYDROCRACKING"),"Hydrocracker",IF($H8497="REFORMING","Reformer",""))))</f>
        <v/>
      </c>
      <c r="H8497" s="6" t="s">
        <v>435</v>
      </c>
      <c r="I8497" s="6" t="s">
        <v>441</v>
      </c>
      <c r="J8497" s="6" t="s">
        <v>349</v>
      </c>
      <c r="K8497" s="10">
        <v>15.75</v>
      </c>
      <c r="L8497" s="10">
        <v>25</v>
      </c>
      <c r="M8497" s="6" t="s">
        <v>371</v>
      </c>
    </row>
    <row r="8498" spans="1:13">
      <c r="A8498" s="6">
        <v>2027</v>
      </c>
      <c r="B8498" s="6">
        <v>4</v>
      </c>
      <c r="C8498" s="6" t="s">
        <v>62</v>
      </c>
      <c r="D8498" s="6" t="s">
        <v>1286</v>
      </c>
      <c r="E8498" s="6" t="s">
        <v>1287</v>
      </c>
      <c r="F8498" s="6" t="str">
        <f>IF($M8498="PADD I","PADD 1",IF($M8498="PADD II","PADD 2",IF($M8498="PADD III","PADD 3",IF($M8498="PADD IV","PADD 4",IF($M8498="PADD V","PADD 5","")))))</f>
        <v>PADD 4</v>
      </c>
      <c r="G8498" s="6" t="str">
        <f>IF(AND($H8498="ATMOS DISTILLATION",ISNUMBER(SEARCH("VPS",$I8498))=FALSE,LEFT($I8498,6)&lt;&gt;"VACUUM"),"CDU",IF($H8498="FLUID CAT CRACKING","FCC",IF(OR($H8498="HYDROCRACKING",$H8498="RESID_HYDROCRACKING"),"Hydrocracker",IF($H8498="REFORMING","Reformer",""))))</f>
        <v>CDU</v>
      </c>
      <c r="H8498" s="6" t="s">
        <v>38</v>
      </c>
      <c r="I8498" s="6" t="s">
        <v>81</v>
      </c>
      <c r="J8498" s="6" t="s">
        <v>349</v>
      </c>
      <c r="K8498" s="10">
        <v>15.4</v>
      </c>
      <c r="L8498" s="10">
        <v>20</v>
      </c>
      <c r="M8498" s="6" t="s">
        <v>430</v>
      </c>
    </row>
    <row r="8499" spans="1:13">
      <c r="A8499" s="6">
        <v>2027</v>
      </c>
      <c r="B8499" s="6">
        <v>4</v>
      </c>
      <c r="C8499" s="6" t="s">
        <v>62</v>
      </c>
      <c r="D8499" s="6" t="s">
        <v>676</v>
      </c>
      <c r="E8499" s="6" t="s">
        <v>677</v>
      </c>
      <c r="F8499" s="6" t="str">
        <f>IF($M8499="PADD I","PADD 1",IF($M8499="PADD II","PADD 2",IF($M8499="PADD III","PADD 3",IF($M8499="PADD IV","PADD 4",IF($M8499="PADD V","PADD 5","")))))</f>
        <v>PADD 1</v>
      </c>
      <c r="G8499" s="6" t="str">
        <f>IF(AND($H8499="ATMOS DISTILLATION",ISNUMBER(SEARCH("VPS",$I8499))=FALSE,LEFT($I8499,6)&lt;&gt;"VACUUM"),"CDU",IF($H8499="FLUID CAT CRACKING","FCC",IF(OR($H8499="HYDROCRACKING",$H8499="RESID_HYDROCRACKING"),"Hydrocracker",IF($H8499="REFORMING","Reformer",""))))</f>
        <v>CDU</v>
      </c>
      <c r="H8499" s="6" t="s">
        <v>38</v>
      </c>
      <c r="I8499" s="6" t="s">
        <v>1266</v>
      </c>
      <c r="J8499" s="6" t="s">
        <v>349</v>
      </c>
      <c r="K8499" s="10">
        <v>14.85</v>
      </c>
      <c r="L8499" s="10">
        <v>55</v>
      </c>
      <c r="M8499" s="6" t="s">
        <v>413</v>
      </c>
    </row>
    <row r="8500" spans="1:13">
      <c r="A8500" s="6">
        <v>2027</v>
      </c>
      <c r="B8500" s="6">
        <v>4</v>
      </c>
      <c r="C8500" s="6" t="s">
        <v>62</v>
      </c>
      <c r="D8500" s="6" t="s">
        <v>865</v>
      </c>
      <c r="E8500" s="6" t="s">
        <v>369</v>
      </c>
      <c r="F8500" s="6" t="str">
        <f>IF($M8500="PADD I","PADD 1",IF($M8500="PADD II","PADD 2",IF($M8500="PADD III","PADD 3",IF($M8500="PADD IV","PADD 4",IF($M8500="PADD V","PADD 5","")))))</f>
        <v>PADD 4</v>
      </c>
      <c r="G8500" s="6" t="str">
        <f>IF(AND($H8500="ATMOS DISTILLATION",ISNUMBER(SEARCH("VPS",$I8500))=FALSE,LEFT($I8500,6)&lt;&gt;"VACUUM"),"CDU",IF($H8500="FLUID CAT CRACKING","FCC",IF(OR($H8500="HYDROCRACKING",$H8500="RESID_HYDROCRACKING"),"Hydrocracker",IF($H8500="REFORMING","Reformer",""))))</f>
        <v>CDU</v>
      </c>
      <c r="H8500" s="6" t="s">
        <v>38</v>
      </c>
      <c r="I8500" s="6" t="s">
        <v>1127</v>
      </c>
      <c r="J8500" s="6" t="s">
        <v>349</v>
      </c>
      <c r="K8500" s="10">
        <v>14.6</v>
      </c>
      <c r="L8500" s="10">
        <v>20</v>
      </c>
      <c r="M8500" s="6" t="s">
        <v>430</v>
      </c>
    </row>
    <row r="8501" spans="1:13">
      <c r="A8501" s="6">
        <v>2027</v>
      </c>
      <c r="B8501" s="6">
        <v>4</v>
      </c>
      <c r="C8501" s="6" t="s">
        <v>62</v>
      </c>
      <c r="D8501" s="6" t="s">
        <v>865</v>
      </c>
      <c r="E8501" s="6" t="s">
        <v>369</v>
      </c>
      <c r="F8501" s="6" t="str">
        <f>IF($M8501="PADD I","PADD 1",IF($M8501="PADD II","PADD 2",IF($M8501="PADD III","PADD 3",IF($M8501="PADD IV","PADD 4",IF($M8501="PADD V","PADD 5","")))))</f>
        <v>PADD 4</v>
      </c>
      <c r="G8501" s="6" t="str">
        <f>IF(AND($H8501="ATMOS DISTILLATION",ISNUMBER(SEARCH("VPS",$I8501))=FALSE,LEFT($I8501,6)&lt;&gt;"VACUUM"),"CDU",IF($H8501="FLUID CAT CRACKING","FCC",IF(OR($H8501="HYDROCRACKING",$H8501="RESID_HYDROCRACKING"),"Hydrocracker",IF($H8501="REFORMING","Reformer",""))))</f>
        <v>FCC</v>
      </c>
      <c r="H8501" s="6" t="s">
        <v>376</v>
      </c>
      <c r="I8501" s="6" t="s">
        <v>1370</v>
      </c>
      <c r="J8501" s="6" t="s">
        <v>349</v>
      </c>
      <c r="K8501" s="10">
        <v>14.6</v>
      </c>
      <c r="L8501" s="10">
        <v>20</v>
      </c>
      <c r="M8501" s="6" t="s">
        <v>430</v>
      </c>
    </row>
    <row r="8502" spans="1:13">
      <c r="A8502" s="6">
        <v>2027</v>
      </c>
      <c r="B8502" s="6">
        <v>4</v>
      </c>
      <c r="C8502" s="6" t="s">
        <v>62</v>
      </c>
      <c r="D8502" s="6" t="s">
        <v>680</v>
      </c>
      <c r="E8502" s="6" t="s">
        <v>681</v>
      </c>
      <c r="F8502" s="6" t="str">
        <f>IF($M8502="PADD I","PADD 1",IF($M8502="PADD II","PADD 2",IF($M8502="PADD III","PADD 3",IF($M8502="PADD IV","PADD 4",IF($M8502="PADD V","PADD 5","")))))</f>
        <v>PADD 3</v>
      </c>
      <c r="G8502" s="6" t="str">
        <f>IF(AND($H8502="ATMOS DISTILLATION",ISNUMBER(SEARCH("VPS",$I8502))=FALSE,LEFT($I8502,6)&lt;&gt;"VACUUM"),"CDU",IF($H8502="FLUID CAT CRACKING","FCC",IF(OR($H8502="HYDROCRACKING",$H8502="RESID_HYDROCRACKING"),"Hydrocracker",IF($H8502="REFORMING","Reformer",""))))</f>
        <v>Hydrocracker</v>
      </c>
      <c r="H8502" s="6" t="s">
        <v>444</v>
      </c>
      <c r="I8502" s="6" t="s">
        <v>707</v>
      </c>
      <c r="J8502" s="6" t="s">
        <v>349</v>
      </c>
      <c r="K8502" s="10">
        <v>13.95</v>
      </c>
      <c r="L8502" s="10">
        <v>15</v>
      </c>
      <c r="M8502" s="6" t="s">
        <v>371</v>
      </c>
    </row>
    <row r="8503" spans="1:13">
      <c r="A8503" s="6">
        <v>2027</v>
      </c>
      <c r="B8503" s="6">
        <v>4</v>
      </c>
      <c r="C8503" s="6" t="s">
        <v>62</v>
      </c>
      <c r="D8503" s="6" t="s">
        <v>334</v>
      </c>
      <c r="E8503" s="6" t="s">
        <v>552</v>
      </c>
      <c r="F8503" s="6" t="str">
        <f>IF($M8503="PADD I","PADD 1",IF($M8503="PADD II","PADD 2",IF($M8503="PADD III","PADD 3",IF($M8503="PADD IV","PADD 4",IF($M8503="PADD V","PADD 5","")))))</f>
        <v>PADD 3</v>
      </c>
      <c r="G8503" s="6" t="str">
        <f>IF(AND($H8503="ATMOS DISTILLATION",ISNUMBER(SEARCH("VPS",$I8503))=FALSE,LEFT($I8503,6)&lt;&gt;"VACUUM"),"CDU",IF($H8503="FLUID CAT CRACKING","FCC",IF(OR($H8503="HYDROCRACKING",$H8503="RESID_HYDROCRACKING"),"Hydrocracker",IF($H8503="REFORMING","Reformer",""))))</f>
        <v>CDU</v>
      </c>
      <c r="H8503" s="6" t="s">
        <v>38</v>
      </c>
      <c r="I8503" s="6" t="s">
        <v>137</v>
      </c>
      <c r="J8503" s="6" t="s">
        <v>349</v>
      </c>
      <c r="K8503" s="10">
        <v>13.6</v>
      </c>
      <c r="L8503" s="10">
        <v>80</v>
      </c>
      <c r="M8503" s="6" t="s">
        <v>371</v>
      </c>
    </row>
    <row r="8504" spans="1:13">
      <c r="A8504" s="6">
        <v>2027</v>
      </c>
      <c r="B8504" s="6">
        <v>4</v>
      </c>
      <c r="C8504" s="6" t="s">
        <v>62</v>
      </c>
      <c r="D8504" s="6" t="s">
        <v>335</v>
      </c>
      <c r="E8504" s="6" t="s">
        <v>369</v>
      </c>
      <c r="F8504" s="6" t="str">
        <f>IF($M8504="PADD I","PADD 1",IF($M8504="PADD II","PADD 2",IF($M8504="PADD III","PADD 3",IF($M8504="PADD IV","PADD 4",IF($M8504="PADD V","PADD 5","")))))</f>
        <v>PADD 3</v>
      </c>
      <c r="G8504" s="6" t="str">
        <f>IF(AND($H8504="ATMOS DISTILLATION",ISNUMBER(SEARCH("VPS",$I8504))=FALSE,LEFT($I8504,6)&lt;&gt;"VACUUM"),"CDU",IF($H8504="FLUID CAT CRACKING","FCC",IF(OR($H8504="HYDROCRACKING",$H8504="RESID_HYDROCRACKING"),"Hydrocracker",IF($H8504="REFORMING","Reformer",""))))</f>
        <v>FCC</v>
      </c>
      <c r="H8504" s="6" t="s">
        <v>376</v>
      </c>
      <c r="I8504" s="6" t="s">
        <v>472</v>
      </c>
      <c r="J8504" s="6" t="s">
        <v>349</v>
      </c>
      <c r="K8504" s="10">
        <v>12.9</v>
      </c>
      <c r="L8504" s="10">
        <v>30</v>
      </c>
      <c r="M8504" s="6" t="s">
        <v>371</v>
      </c>
    </row>
    <row r="8505" spans="1:13">
      <c r="A8505" s="6">
        <v>2027</v>
      </c>
      <c r="B8505" s="6">
        <v>4</v>
      </c>
      <c r="C8505" s="6" t="s">
        <v>62</v>
      </c>
      <c r="D8505" s="6" t="s">
        <v>437</v>
      </c>
      <c r="E8505" s="6" t="s">
        <v>438</v>
      </c>
      <c r="F8505" s="6" t="str">
        <f>IF($M8505="PADD I","PADD 1",IF($M8505="PADD II","PADD 2",IF($M8505="PADD III","PADD 3",IF($M8505="PADD IV","PADD 4",IF($M8505="PADD V","PADD 5","")))))</f>
        <v>PADD 4</v>
      </c>
      <c r="G8505" s="6">
        <f>IF(AND($H8505="ATMOS DISTILLATION",ISNUMBER(SEARCH("VPS",$I8505))=FALSE,LEFT($I8505,6)&lt;&gt;"VACUUM"),"CDU",IF($H8505="FLUID CAT CRACKING","FCC",IF(OR($H8505="HYDROCRACKING",$H8505="RESID_HYDROCRACKING"),"Hydrocracker",IF($H8505="REFORMING","Reformer",""))))</f>
        <v/>
      </c>
      <c r="H8505" s="6" t="s">
        <v>378</v>
      </c>
      <c r="I8505" s="6" t="s">
        <v>494</v>
      </c>
      <c r="J8505" s="6" t="s">
        <v>349</v>
      </c>
      <c r="K8505" s="10">
        <v>12.6</v>
      </c>
      <c r="L8505" s="10">
        <v>20</v>
      </c>
      <c r="M8505" s="6" t="s">
        <v>430</v>
      </c>
    </row>
    <row r="8506" spans="1:13">
      <c r="A8506" s="6">
        <v>2027</v>
      </c>
      <c r="B8506" s="6">
        <v>4</v>
      </c>
      <c r="C8506" s="6" t="s">
        <v>62</v>
      </c>
      <c r="D8506" s="6" t="s">
        <v>50</v>
      </c>
      <c r="E8506" s="6" t="s">
        <v>381</v>
      </c>
      <c r="F8506" s="6" t="str">
        <f>IF($M8506="PADD I","PADD 1",IF($M8506="PADD II","PADD 2",IF($M8506="PADD III","PADD 3",IF($M8506="PADD IV","PADD 4",IF($M8506="PADD V","PADD 5","")))))</f>
        <v>PADD 3</v>
      </c>
      <c r="G8506" s="6">
        <f>IF(AND($H8506="ATMOS DISTILLATION",ISNUMBER(SEARCH("VPS",$I8506))=FALSE,LEFT($I8506,6)&lt;&gt;"VACUUM"),"CDU",IF($H8506="FLUID CAT CRACKING","FCC",IF(OR($H8506="HYDROCRACKING",$H8506="RESID_HYDROCRACKING"),"Hydrocracker",IF($H8506="REFORMING","Reformer",""))))</f>
        <v/>
      </c>
      <c r="H8506" s="6" t="s">
        <v>460</v>
      </c>
      <c r="I8506" s="6" t="s">
        <v>620</v>
      </c>
      <c r="J8506" s="6" t="s">
        <v>349</v>
      </c>
      <c r="K8506" s="10">
        <v>12.6</v>
      </c>
      <c r="L8506" s="10">
        <v>21</v>
      </c>
      <c r="M8506" s="6" t="s">
        <v>371</v>
      </c>
    </row>
    <row r="8507" spans="1:13">
      <c r="A8507" s="6">
        <v>2027</v>
      </c>
      <c r="B8507" s="6">
        <v>4</v>
      </c>
      <c r="C8507" s="6" t="s">
        <v>62</v>
      </c>
      <c r="D8507" s="6" t="s">
        <v>865</v>
      </c>
      <c r="E8507" s="6" t="s">
        <v>369</v>
      </c>
      <c r="F8507" s="6" t="str">
        <f>IF($M8507="PADD I","PADD 1",IF($M8507="PADD II","PADD 2",IF($M8507="PADD III","PADD 3",IF($M8507="PADD IV","PADD 4",IF($M8507="PADD V","PADD 5","")))))</f>
        <v>PADD 4</v>
      </c>
      <c r="G8507" s="6">
        <f>IF(AND($H8507="ATMOS DISTILLATION",ISNUMBER(SEARCH("VPS",$I8507))=FALSE,LEFT($I8507,6)&lt;&gt;"VACUUM"),"CDU",IF($H8507="FLUID CAT CRACKING","FCC",IF(OR($H8507="HYDROCRACKING",$H8507="RESID_HYDROCRACKING"),"Hydrocracker",IF($H8507="REFORMING","Reformer",""))))</f>
        <v/>
      </c>
      <c r="H8507" s="6" t="s">
        <v>435</v>
      </c>
      <c r="I8507" s="6" t="s">
        <v>870</v>
      </c>
      <c r="J8507" s="6" t="s">
        <v>349</v>
      </c>
      <c r="K8507" s="10">
        <v>11.68</v>
      </c>
      <c r="L8507" s="10">
        <v>16</v>
      </c>
      <c r="M8507" s="6" t="s">
        <v>430</v>
      </c>
    </row>
    <row r="8508" spans="1:13">
      <c r="A8508" s="6">
        <v>2027</v>
      </c>
      <c r="B8508" s="6">
        <v>4</v>
      </c>
      <c r="C8508" s="6" t="s">
        <v>62</v>
      </c>
      <c r="D8508" s="6" t="s">
        <v>680</v>
      </c>
      <c r="E8508" s="6" t="s">
        <v>681</v>
      </c>
      <c r="F8508" s="6" t="str">
        <f>IF($M8508="PADD I","PADD 1",IF($M8508="PADD II","PADD 2",IF($M8508="PADD III","PADD 3",IF($M8508="PADD IV","PADD 4",IF($M8508="PADD V","PADD 5","")))))</f>
        <v>PADD 3</v>
      </c>
      <c r="G8508" s="6">
        <f>IF(AND($H8508="ATMOS DISTILLATION",ISNUMBER(SEARCH("VPS",$I8508))=FALSE,LEFT($I8508,6)&lt;&gt;"VACUUM"),"CDU",IF($H8508="FLUID CAT CRACKING","FCC",IF(OR($H8508="HYDROCRACKING",$H8508="RESID_HYDROCRACKING"),"Hydrocracker",IF($H8508="REFORMING","Reformer",""))))</f>
        <v/>
      </c>
      <c r="H8508" s="6" t="s">
        <v>43</v>
      </c>
      <c r="I8508" s="6" t="s">
        <v>709</v>
      </c>
      <c r="J8508" s="6" t="s">
        <v>349</v>
      </c>
      <c r="K8508" s="10">
        <v>11.16</v>
      </c>
      <c r="L8508" s="10">
        <v>12</v>
      </c>
      <c r="M8508" s="6" t="s">
        <v>371</v>
      </c>
    </row>
    <row r="8509" spans="1:13">
      <c r="A8509" s="6">
        <v>2027</v>
      </c>
      <c r="B8509" s="6">
        <v>4</v>
      </c>
      <c r="C8509" s="6" t="s">
        <v>62</v>
      </c>
      <c r="D8509" s="6" t="s">
        <v>865</v>
      </c>
      <c r="E8509" s="6" t="s">
        <v>369</v>
      </c>
      <c r="F8509" s="6" t="str">
        <f>IF($M8509="PADD I","PADD 1",IF($M8509="PADD II","PADD 2",IF($M8509="PADD III","PADD 3",IF($M8509="PADD IV","PADD 4",IF($M8509="PADD V","PADD 5","")))))</f>
        <v>PADD 4</v>
      </c>
      <c r="G8509" s="6">
        <f>IF(AND($H8509="ATMOS DISTILLATION",ISNUMBER(SEARCH("VPS",$I8509))=FALSE,LEFT($I8509,6)&lt;&gt;"VACUUM"),"CDU",IF($H8509="FLUID CAT CRACKING","FCC",IF(OR($H8509="HYDROCRACKING",$H8509="RESID_HYDROCRACKING"),"Hydrocracker",IF($H8509="REFORMING","Reformer",""))))</f>
        <v/>
      </c>
      <c r="H8509" s="6" t="s">
        <v>43</v>
      </c>
      <c r="I8509" s="6" t="s">
        <v>1395</v>
      </c>
      <c r="J8509" s="6" t="s">
        <v>349</v>
      </c>
      <c r="K8509" s="10">
        <v>10.95</v>
      </c>
      <c r="L8509" s="10">
        <v>15</v>
      </c>
      <c r="M8509" s="6" t="s">
        <v>430</v>
      </c>
    </row>
    <row r="8510" spans="1:13">
      <c r="A8510" s="6">
        <v>2027</v>
      </c>
      <c r="B8510" s="6">
        <v>4</v>
      </c>
      <c r="C8510" s="6" t="s">
        <v>62</v>
      </c>
      <c r="D8510" s="6" t="s">
        <v>865</v>
      </c>
      <c r="E8510" s="6" t="s">
        <v>369</v>
      </c>
      <c r="F8510" s="6" t="str">
        <f>IF($M8510="PADD I","PADD 1",IF($M8510="PADD II","PADD 2",IF($M8510="PADD III","PADD 3",IF($M8510="PADD IV","PADD 4",IF($M8510="PADD V","PADD 5","")))))</f>
        <v>PADD 4</v>
      </c>
      <c r="G8510" s="6">
        <f>IF(AND($H8510="ATMOS DISTILLATION",ISNUMBER(SEARCH("VPS",$I8510))=FALSE,LEFT($I8510,6)&lt;&gt;"VACUUM"),"CDU",IF($H8510="FLUID CAT CRACKING","FCC",IF(OR($H8510="HYDROCRACKING",$H8510="RESID_HYDROCRACKING"),"Hydrocracker",IF($H8510="REFORMING","Reformer",""))))</f>
        <v/>
      </c>
      <c r="H8510" s="6" t="s">
        <v>43</v>
      </c>
      <c r="I8510" s="6" t="s">
        <v>1396</v>
      </c>
      <c r="J8510" s="6" t="s">
        <v>349</v>
      </c>
      <c r="K8510" s="10">
        <v>10.95</v>
      </c>
      <c r="L8510" s="10">
        <v>15</v>
      </c>
      <c r="M8510" s="6" t="s">
        <v>430</v>
      </c>
    </row>
    <row r="8511" spans="1:13">
      <c r="A8511" s="6">
        <v>2027</v>
      </c>
      <c r="B8511" s="6">
        <v>4</v>
      </c>
      <c r="C8511" s="6" t="s">
        <v>62</v>
      </c>
      <c r="D8511" s="6" t="s">
        <v>839</v>
      </c>
      <c r="E8511" s="6" t="s">
        <v>840</v>
      </c>
      <c r="F8511" s="6" t="str">
        <f>IF($M8511="PADD I","PADD 1",IF($M8511="PADD II","PADD 2",IF($M8511="PADD III","PADD 3",IF($M8511="PADD IV","PADD 4",IF($M8511="PADD V","PADD 5","")))))</f>
        <v>PADD 1</v>
      </c>
      <c r="G8511" s="6">
        <f>IF(AND($H8511="ATMOS DISTILLATION",ISNUMBER(SEARCH("VPS",$I8511))=FALSE,LEFT($I8511,6)&lt;&gt;"VACUUM"),"CDU",IF($H8511="FLUID CAT CRACKING","FCC",IF(OR($H8511="HYDROCRACKING",$H8511="RESID_HYDROCRACKING"),"Hydrocracker",IF($H8511="REFORMING","Reformer",""))))</f>
        <v/>
      </c>
      <c r="H8511" s="6" t="s">
        <v>43</v>
      </c>
      <c r="I8511" s="6" t="s">
        <v>841</v>
      </c>
      <c r="J8511" s="6" t="s">
        <v>349</v>
      </c>
      <c r="K8511" s="10">
        <v>10.75</v>
      </c>
      <c r="L8511" s="10">
        <v>25</v>
      </c>
      <c r="M8511" s="6" t="s">
        <v>413</v>
      </c>
    </row>
    <row r="8512" spans="1:13">
      <c r="A8512" s="6">
        <v>2027</v>
      </c>
      <c r="B8512" s="6">
        <v>4</v>
      </c>
      <c r="C8512" s="6" t="s">
        <v>62</v>
      </c>
      <c r="D8512" s="6" t="s">
        <v>680</v>
      </c>
      <c r="E8512" s="6" t="s">
        <v>681</v>
      </c>
      <c r="F8512" s="6" t="str">
        <f>IF($M8512="PADD I","PADD 1",IF($M8512="PADD II","PADD 2",IF($M8512="PADD III","PADD 3",IF($M8512="PADD IV","PADD 4",IF($M8512="PADD V","PADD 5","")))))</f>
        <v>PADD 3</v>
      </c>
      <c r="G8512" s="6">
        <f>IF(AND($H8512="ATMOS DISTILLATION",ISNUMBER(SEARCH("VPS",$I8512))=FALSE,LEFT($I8512,6)&lt;&gt;"VACUUM"),"CDU",IF($H8512="FLUID CAT CRACKING","FCC",IF(OR($H8512="HYDROCRACKING",$H8512="RESID_HYDROCRACKING"),"Hydrocracker",IF($H8512="REFORMING","Reformer",""))))</f>
        <v/>
      </c>
      <c r="H8512" s="6" t="s">
        <v>568</v>
      </c>
      <c r="I8512" s="6" t="s">
        <v>713</v>
      </c>
      <c r="J8512" s="6" t="s">
        <v>349</v>
      </c>
      <c r="K8512" s="10">
        <v>10.23</v>
      </c>
      <c r="L8512" s="10">
        <v>11</v>
      </c>
      <c r="M8512" s="6" t="s">
        <v>371</v>
      </c>
    </row>
    <row r="8513" spans="1:13">
      <c r="A8513" s="6">
        <v>2027</v>
      </c>
      <c r="B8513" s="6">
        <v>4</v>
      </c>
      <c r="C8513" s="6" t="s">
        <v>62</v>
      </c>
      <c r="D8513" s="6" t="s">
        <v>789</v>
      </c>
      <c r="E8513" s="6" t="s">
        <v>790</v>
      </c>
      <c r="F8513" s="6" t="str">
        <f>IF($M8513="PADD I","PADD 1",IF($M8513="PADD II","PADD 2",IF($M8513="PADD III","PADD 3",IF($M8513="PADD IV","PADD 4",IF($M8513="PADD V","PADD 5","")))))</f>
        <v>PADD 3</v>
      </c>
      <c r="G8513" s="6" t="str">
        <f>IF(AND($H8513="ATMOS DISTILLATION",ISNUMBER(SEARCH("VPS",$I8513))=FALSE,LEFT($I8513,6)&lt;&gt;"VACUUM"),"CDU",IF($H8513="FLUID CAT CRACKING","FCC",IF(OR($H8513="HYDROCRACKING",$H8513="RESID_HYDROCRACKING"),"Hydrocracker",IF($H8513="REFORMING","Reformer",""))))</f>
        <v>CDU</v>
      </c>
      <c r="H8513" s="6" t="s">
        <v>38</v>
      </c>
      <c r="I8513" s="6" t="s">
        <v>791</v>
      </c>
      <c r="J8513" s="6" t="s">
        <v>349</v>
      </c>
      <c r="K8513" s="10">
        <v>10</v>
      </c>
      <c r="L8513" s="10">
        <v>25</v>
      </c>
      <c r="M8513" s="6" t="s">
        <v>371</v>
      </c>
    </row>
    <row r="8514" spans="1:13">
      <c r="A8514" s="6">
        <v>2027</v>
      </c>
      <c r="B8514" s="6">
        <v>4</v>
      </c>
      <c r="C8514" s="6" t="s">
        <v>62</v>
      </c>
      <c r="D8514" s="6" t="s">
        <v>839</v>
      </c>
      <c r="E8514" s="6" t="s">
        <v>840</v>
      </c>
      <c r="F8514" s="6" t="str">
        <f>IF($M8514="PADD I","PADD 1",IF($M8514="PADD II","PADD 2",IF($M8514="PADD III","PADD 3",IF($M8514="PADD IV","PADD 4",IF($M8514="PADD V","PADD 5","")))))</f>
        <v>PADD 1</v>
      </c>
      <c r="G8514" s="6">
        <f>IF(AND($H8514="ATMOS DISTILLATION",ISNUMBER(SEARCH("VPS",$I8514))=FALSE,LEFT($I8514,6)&lt;&gt;"VACUUM"),"CDU",IF($H8514="FLUID CAT CRACKING","FCC",IF(OR($H8514="HYDROCRACKING",$H8514="RESID_HYDROCRACKING"),"Hydrocracker",IF($H8514="REFORMING","Reformer",""))))</f>
        <v/>
      </c>
      <c r="H8514" s="6" t="s">
        <v>43</v>
      </c>
      <c r="I8514" s="6" t="s">
        <v>1154</v>
      </c>
      <c r="J8514" s="6" t="s">
        <v>349</v>
      </c>
      <c r="K8514" s="10">
        <v>9.890000000000001</v>
      </c>
      <c r="L8514" s="10">
        <v>23</v>
      </c>
      <c r="M8514" s="6" t="s">
        <v>413</v>
      </c>
    </row>
    <row r="8515" spans="1:13">
      <c r="A8515" s="6">
        <v>2027</v>
      </c>
      <c r="B8515" s="6">
        <v>4</v>
      </c>
      <c r="C8515" s="6" t="s">
        <v>62</v>
      </c>
      <c r="D8515" s="6" t="s">
        <v>322</v>
      </c>
      <c r="E8515" s="6" t="s">
        <v>369</v>
      </c>
      <c r="F8515" s="6" t="str">
        <f>IF($M8515="PADD I","PADD 1",IF($M8515="PADD II","PADD 2",IF($M8515="PADD III","PADD 3",IF($M8515="PADD IV","PADD 4",IF($M8515="PADD V","PADD 5","")))))</f>
        <v>PADD 2</v>
      </c>
      <c r="G8515" s="6" t="str">
        <f>IF(AND($H8515="ATMOS DISTILLATION",ISNUMBER(SEARCH("VPS",$I8515))=FALSE,LEFT($I8515,6)&lt;&gt;"VACUUM"),"CDU",IF($H8515="FLUID CAT CRACKING","FCC",IF(OR($H8515="HYDROCRACKING",$H8515="RESID_HYDROCRACKING"),"Hydrocracker",IF($H8515="REFORMING","Reformer",""))))</f>
        <v>CDU</v>
      </c>
      <c r="H8515" s="6" t="s">
        <v>38</v>
      </c>
      <c r="I8515" s="6" t="s">
        <v>911</v>
      </c>
      <c r="J8515" s="6" t="s">
        <v>349</v>
      </c>
      <c r="K8515" s="10">
        <v>9.75</v>
      </c>
      <c r="L8515" s="10">
        <v>75</v>
      </c>
      <c r="M8515" s="6" t="s">
        <v>375</v>
      </c>
    </row>
    <row r="8516" spans="1:13">
      <c r="A8516" s="6">
        <v>2027</v>
      </c>
      <c r="B8516" s="6">
        <v>4</v>
      </c>
      <c r="C8516" s="6" t="s">
        <v>62</v>
      </c>
      <c r="D8516" s="6" t="s">
        <v>839</v>
      </c>
      <c r="E8516" s="6" t="s">
        <v>840</v>
      </c>
      <c r="F8516" s="6" t="str">
        <f>IF($M8516="PADD I","PADD 1",IF($M8516="PADD II","PADD 2",IF($M8516="PADD III","PADD 3",IF($M8516="PADD IV","PADD 4",IF($M8516="PADD V","PADD 5","")))))</f>
        <v>PADD 1</v>
      </c>
      <c r="G8516" s="6">
        <f>IF(AND($H8516="ATMOS DISTILLATION",ISNUMBER(SEARCH("VPS",$I8516))=FALSE,LEFT($I8516,6)&lt;&gt;"VACUUM"),"CDU",IF($H8516="FLUID CAT CRACKING","FCC",IF(OR($H8516="HYDROCRACKING",$H8516="RESID_HYDROCRACKING"),"Hydrocracker",IF($H8516="REFORMING","Reformer",""))))</f>
        <v/>
      </c>
      <c r="H8516" s="6" t="s">
        <v>43</v>
      </c>
      <c r="I8516" s="6" t="s">
        <v>747</v>
      </c>
      <c r="J8516" s="6" t="s">
        <v>349</v>
      </c>
      <c r="K8516" s="10">
        <v>9.460000000000001</v>
      </c>
      <c r="L8516" s="10">
        <v>22</v>
      </c>
      <c r="M8516" s="6" t="s">
        <v>413</v>
      </c>
    </row>
    <row r="8517" spans="1:13">
      <c r="A8517" s="6">
        <v>2027</v>
      </c>
      <c r="B8517" s="6">
        <v>4</v>
      </c>
      <c r="C8517" s="6" t="s">
        <v>62</v>
      </c>
      <c r="D8517" s="6" t="s">
        <v>1390</v>
      </c>
      <c r="E8517" s="6" t="s">
        <v>681</v>
      </c>
      <c r="F8517" s="6" t="str">
        <f>IF($M8517="PADD I","PADD 1",IF($M8517="PADD II","PADD 2",IF($M8517="PADD III","PADD 3",IF($M8517="PADD IV","PADD 4",IF($M8517="PADD V","PADD 5","")))))</f>
        <v>PADD 3</v>
      </c>
      <c r="G8517" s="6">
        <f>IF(AND($H8517="ATMOS DISTILLATION",ISNUMBER(SEARCH("VPS",$I8517))=FALSE,LEFT($I8517,6)&lt;&gt;"VACUUM"),"CDU",IF($H8517="FLUID CAT CRACKING","FCC",IF(OR($H8517="HYDROCRACKING",$H8517="RESID_HYDROCRACKING"),"Hydrocracker",IF($H8517="REFORMING","Reformer",""))))</f>
        <v/>
      </c>
      <c r="H8517" s="6" t="s">
        <v>378</v>
      </c>
      <c r="I8517" s="6" t="s">
        <v>431</v>
      </c>
      <c r="J8517" s="6" t="s">
        <v>349</v>
      </c>
      <c r="K8517" s="10">
        <v>9.300000000000001</v>
      </c>
      <c r="L8517" s="10">
        <v>10</v>
      </c>
      <c r="M8517" s="6" t="s">
        <v>371</v>
      </c>
    </row>
    <row r="8518" spans="1:13">
      <c r="A8518" s="6">
        <v>2027</v>
      </c>
      <c r="B8518" s="6">
        <v>4</v>
      </c>
      <c r="C8518" s="6" t="s">
        <v>62</v>
      </c>
      <c r="D8518" s="6" t="s">
        <v>576</v>
      </c>
      <c r="E8518" s="6" t="s">
        <v>369</v>
      </c>
      <c r="F8518" s="6" t="str">
        <f>IF($M8518="PADD I","PADD 1",IF($M8518="PADD II","PADD 2",IF($M8518="PADD III","PADD 3",IF($M8518="PADD IV","PADD 4",IF($M8518="PADD V","PADD 5","")))))</f>
        <v>PADD 3</v>
      </c>
      <c r="G8518" s="6" t="str">
        <f>IF(AND($H8518="ATMOS DISTILLATION",ISNUMBER(SEARCH("VPS",$I8518))=FALSE,LEFT($I8518,6)&lt;&gt;"VACUUM"),"CDU",IF($H8518="FLUID CAT CRACKING","FCC",IF(OR($H8518="HYDROCRACKING",$H8518="RESID_HYDROCRACKING"),"Hydrocracker",IF($H8518="REFORMING","Reformer",""))))</f>
        <v>Reformer</v>
      </c>
      <c r="H8518" s="6" t="s">
        <v>421</v>
      </c>
      <c r="I8518" s="6" t="s">
        <v>876</v>
      </c>
      <c r="J8518" s="6" t="s">
        <v>349</v>
      </c>
      <c r="K8518" s="10">
        <v>9.18</v>
      </c>
      <c r="L8518" s="10">
        <v>34</v>
      </c>
      <c r="M8518" s="6" t="s">
        <v>371</v>
      </c>
    </row>
    <row r="8519" spans="1:13">
      <c r="A8519" s="6">
        <v>2027</v>
      </c>
      <c r="B8519" s="6">
        <v>4</v>
      </c>
      <c r="C8519" s="6" t="s">
        <v>62</v>
      </c>
      <c r="D8519" s="6" t="s">
        <v>839</v>
      </c>
      <c r="E8519" s="6" t="s">
        <v>840</v>
      </c>
      <c r="F8519" s="6" t="str">
        <f>IF($M8519="PADD I","PADD 1",IF($M8519="PADD II","PADD 2",IF($M8519="PADD III","PADD 3",IF($M8519="PADD IV","PADD 4",IF($M8519="PADD V","PADD 5","")))))</f>
        <v>PADD 1</v>
      </c>
      <c r="G8519" s="6" t="str">
        <f>IF(AND($H8519="ATMOS DISTILLATION",ISNUMBER(SEARCH("VPS",$I8519))=FALSE,LEFT($I8519,6)&lt;&gt;"VACUUM"),"CDU",IF($H8519="FLUID CAT CRACKING","FCC",IF(OR($H8519="HYDROCRACKING",$H8519="RESID_HYDROCRACKING"),"Hydrocracker",IF($H8519="REFORMING","Reformer",""))))</f>
        <v>FCC</v>
      </c>
      <c r="H8519" s="6" t="s">
        <v>376</v>
      </c>
      <c r="I8519" s="6" t="s">
        <v>105</v>
      </c>
      <c r="J8519" s="6" t="s">
        <v>349</v>
      </c>
      <c r="K8519" s="10">
        <v>9.029999999999999</v>
      </c>
      <c r="L8519" s="10">
        <v>21</v>
      </c>
      <c r="M8519" s="6" t="s">
        <v>413</v>
      </c>
    </row>
    <row r="8520" spans="1:13">
      <c r="A8520" s="6">
        <v>2027</v>
      </c>
      <c r="B8520" s="6">
        <v>4</v>
      </c>
      <c r="C8520" s="6" t="s">
        <v>62</v>
      </c>
      <c r="D8520" s="6" t="s">
        <v>865</v>
      </c>
      <c r="E8520" s="6" t="s">
        <v>369</v>
      </c>
      <c r="F8520" s="6" t="str">
        <f>IF($M8520="PADD I","PADD 1",IF($M8520="PADD II","PADD 2",IF($M8520="PADD III","PADD 3",IF($M8520="PADD IV","PADD 4",IF($M8520="PADD V","PADD 5","")))))</f>
        <v>PADD 4</v>
      </c>
      <c r="G8520" s="6" t="str">
        <f>IF(AND($H8520="ATMOS DISTILLATION",ISNUMBER(SEARCH("VPS",$I8520))=FALSE,LEFT($I8520,6)&lt;&gt;"VACUUM"),"CDU",IF($H8520="FLUID CAT CRACKING","FCC",IF(OR($H8520="HYDROCRACKING",$H8520="RESID_HYDROCRACKING"),"Hydrocracker",IF($H8520="REFORMING","Reformer",""))))</f>
        <v>Reformer</v>
      </c>
      <c r="H8520" s="6" t="s">
        <v>421</v>
      </c>
      <c r="I8520" s="6" t="s">
        <v>557</v>
      </c>
      <c r="J8520" s="6" t="s">
        <v>349</v>
      </c>
      <c r="K8520" s="10">
        <v>8.906000000000001</v>
      </c>
      <c r="L8520" s="10">
        <v>12.2</v>
      </c>
      <c r="M8520" s="6" t="s">
        <v>430</v>
      </c>
    </row>
    <row r="8521" spans="1:13">
      <c r="A8521" s="6">
        <v>2027</v>
      </c>
      <c r="B8521" s="6">
        <v>4</v>
      </c>
      <c r="C8521" s="6" t="s">
        <v>62</v>
      </c>
      <c r="D8521" s="6" t="s">
        <v>839</v>
      </c>
      <c r="E8521" s="6" t="s">
        <v>840</v>
      </c>
      <c r="F8521" s="6" t="str">
        <f>IF($M8521="PADD I","PADD 1",IF($M8521="PADD II","PADD 2",IF($M8521="PADD III","PADD 3",IF($M8521="PADD IV","PADD 4",IF($M8521="PADD V","PADD 5","")))))</f>
        <v>PADD 1</v>
      </c>
      <c r="G8521" s="6">
        <f>IF(AND($H8521="ATMOS DISTILLATION",ISNUMBER(SEARCH("VPS",$I8521))=FALSE,LEFT($I8521,6)&lt;&gt;"VACUUM"),"CDU",IF($H8521="FLUID CAT CRACKING","FCC",IF(OR($H8521="HYDROCRACKING",$H8521="RESID_HYDROCRACKING"),"Hydrocracker",IF($H8521="REFORMING","Reformer",""))))</f>
        <v/>
      </c>
      <c r="H8521" s="6" t="s">
        <v>378</v>
      </c>
      <c r="I8521" s="6" t="s">
        <v>431</v>
      </c>
      <c r="J8521" s="6" t="s">
        <v>349</v>
      </c>
      <c r="K8521" s="10">
        <v>8.6</v>
      </c>
      <c r="L8521" s="10">
        <v>20</v>
      </c>
      <c r="M8521" s="6" t="s">
        <v>413</v>
      </c>
    </row>
    <row r="8522" spans="1:13">
      <c r="A8522" s="6">
        <v>2027</v>
      </c>
      <c r="B8522" s="6">
        <v>4</v>
      </c>
      <c r="C8522" s="6" t="s">
        <v>62</v>
      </c>
      <c r="D8522" s="6" t="s">
        <v>322</v>
      </c>
      <c r="E8522" s="6" t="s">
        <v>369</v>
      </c>
      <c r="F8522" s="6" t="str">
        <f>IF($M8522="PADD I","PADD 1",IF($M8522="PADD II","PADD 2",IF($M8522="PADD III","PADD 3",IF($M8522="PADD IV","PADD 4",IF($M8522="PADD V","PADD 5","")))))</f>
        <v>PADD 2</v>
      </c>
      <c r="G8522" s="6">
        <f>IF(AND($H8522="ATMOS DISTILLATION",ISNUMBER(SEARCH("VPS",$I8522))=FALSE,LEFT($I8522,6)&lt;&gt;"VACUUM"),"CDU",IF($H8522="FLUID CAT CRACKING","FCC",IF(OR($H8522="HYDROCRACKING",$H8522="RESID_HYDROCRACKING"),"Hydrocracker",IF($H8522="REFORMING","Reformer",""))))</f>
        <v/>
      </c>
      <c r="H8522" s="6" t="s">
        <v>435</v>
      </c>
      <c r="I8522" s="6" t="s">
        <v>1392</v>
      </c>
      <c r="J8522" s="6" t="s">
        <v>349</v>
      </c>
      <c r="K8522" s="10">
        <v>8.5</v>
      </c>
      <c r="L8522" s="10">
        <v>17</v>
      </c>
      <c r="M8522" s="6" t="s">
        <v>375</v>
      </c>
    </row>
    <row r="8523" spans="1:13">
      <c r="A8523" s="6">
        <v>2027</v>
      </c>
      <c r="B8523" s="6">
        <v>4</v>
      </c>
      <c r="C8523" s="6" t="s">
        <v>62</v>
      </c>
      <c r="D8523" s="6" t="s">
        <v>322</v>
      </c>
      <c r="E8523" s="6" t="s">
        <v>369</v>
      </c>
      <c r="F8523" s="6" t="str">
        <f>IF($M8523="PADD I","PADD 1",IF($M8523="PADD II","PADD 2",IF($M8523="PADD III","PADD 3",IF($M8523="PADD IV","PADD 4",IF($M8523="PADD V","PADD 5","")))))</f>
        <v>PADD 2</v>
      </c>
      <c r="G8523" s="6">
        <f>IF(AND($H8523="ATMOS DISTILLATION",ISNUMBER(SEARCH("VPS",$I8523))=FALSE,LEFT($I8523,6)&lt;&gt;"VACUUM"),"CDU",IF($H8523="FLUID CAT CRACKING","FCC",IF(OR($H8523="HYDROCRACKING",$H8523="RESID_HYDROCRACKING"),"Hydrocracker",IF($H8523="REFORMING","Reformer",""))))</f>
        <v/>
      </c>
      <c r="H8523" s="6" t="s">
        <v>378</v>
      </c>
      <c r="I8523" s="6" t="s">
        <v>1389</v>
      </c>
      <c r="J8523" s="6" t="s">
        <v>349</v>
      </c>
      <c r="K8523" s="10">
        <v>7.54</v>
      </c>
      <c r="L8523" s="10">
        <v>58</v>
      </c>
      <c r="M8523" s="6" t="s">
        <v>375</v>
      </c>
    </row>
    <row r="8524" spans="1:13">
      <c r="A8524" s="6">
        <v>2027</v>
      </c>
      <c r="B8524" s="6">
        <v>4</v>
      </c>
      <c r="C8524" s="6" t="s">
        <v>62</v>
      </c>
      <c r="D8524" s="6" t="s">
        <v>839</v>
      </c>
      <c r="E8524" s="6" t="s">
        <v>840</v>
      </c>
      <c r="F8524" s="6" t="str">
        <f>IF($M8524="PADD I","PADD 1",IF($M8524="PADD II","PADD 2",IF($M8524="PADD III","PADD 3",IF($M8524="PADD IV","PADD 4",IF($M8524="PADD V","PADD 5","")))))</f>
        <v>PADD 1</v>
      </c>
      <c r="G8524" s="6" t="str">
        <f>IF(AND($H8524="ATMOS DISTILLATION",ISNUMBER(SEARCH("VPS",$I8524))=FALSE,LEFT($I8524,6)&lt;&gt;"VACUUM"),"CDU",IF($H8524="FLUID CAT CRACKING","FCC",IF(OR($H8524="HYDROCRACKING",$H8524="RESID_HYDROCRACKING"),"Hydrocracker",IF($H8524="REFORMING","Reformer",""))))</f>
        <v>Reformer</v>
      </c>
      <c r="H8524" s="6" t="s">
        <v>421</v>
      </c>
      <c r="I8524" s="6" t="s">
        <v>15</v>
      </c>
      <c r="J8524" s="6" t="s">
        <v>349</v>
      </c>
      <c r="K8524" s="10">
        <v>6.88</v>
      </c>
      <c r="L8524" s="10">
        <v>16</v>
      </c>
      <c r="M8524" s="6" t="s">
        <v>413</v>
      </c>
    </row>
    <row r="8525" spans="1:13">
      <c r="A8525" s="6">
        <v>2027</v>
      </c>
      <c r="B8525" s="6">
        <v>4</v>
      </c>
      <c r="C8525" s="6" t="s">
        <v>62</v>
      </c>
      <c r="D8525" s="6" t="s">
        <v>437</v>
      </c>
      <c r="E8525" s="6" t="s">
        <v>438</v>
      </c>
      <c r="F8525" s="6" t="str">
        <f>IF($M8525="PADD I","PADD 1",IF($M8525="PADD II","PADD 2",IF($M8525="PADD III","PADD 3",IF($M8525="PADD IV","PADD 4",IF($M8525="PADD V","PADD 5","")))))</f>
        <v>PADD 4</v>
      </c>
      <c r="G8525" s="6">
        <f>IF(AND($H8525="ATMOS DISTILLATION",ISNUMBER(SEARCH("VPS",$I8525))=FALSE,LEFT($I8525,6)&lt;&gt;"VACUUM"),"CDU",IF($H8525="FLUID CAT CRACKING","FCC",IF(OR($H8525="HYDROCRACKING",$H8525="RESID_HYDROCRACKING"),"Hydrocracker",IF($H8525="REFORMING","Reformer",""))))</f>
        <v/>
      </c>
      <c r="H8525" s="6" t="s">
        <v>43</v>
      </c>
      <c r="I8525" s="6" t="s">
        <v>493</v>
      </c>
      <c r="J8525" s="6" t="s">
        <v>349</v>
      </c>
      <c r="K8525" s="10">
        <v>6.3</v>
      </c>
      <c r="L8525" s="10">
        <v>10</v>
      </c>
      <c r="M8525" s="6" t="s">
        <v>430</v>
      </c>
    </row>
    <row r="8526" spans="1:13">
      <c r="A8526" s="6">
        <v>2027</v>
      </c>
      <c r="B8526" s="6">
        <v>4</v>
      </c>
      <c r="C8526" s="6" t="s">
        <v>62</v>
      </c>
      <c r="D8526" s="6" t="s">
        <v>437</v>
      </c>
      <c r="E8526" s="6" t="s">
        <v>438</v>
      </c>
      <c r="F8526" s="6" t="str">
        <f>IF($M8526="PADD I","PADD 1",IF($M8526="PADD II","PADD 2",IF($M8526="PADD III","PADD 3",IF($M8526="PADD IV","PADD 4",IF($M8526="PADD V","PADD 5","")))))</f>
        <v>PADD 4</v>
      </c>
      <c r="G8526" s="6" t="str">
        <f>IF(AND($H8526="ATMOS DISTILLATION",ISNUMBER(SEARCH("VPS",$I8526))=FALSE,LEFT($I8526,6)&lt;&gt;"VACUUM"),"CDU",IF($H8526="FLUID CAT CRACKING","FCC",IF(OR($H8526="HYDROCRACKING",$H8526="RESID_HYDROCRACKING"),"Hydrocracker",IF($H8526="REFORMING","Reformer",""))))</f>
        <v>Reformer</v>
      </c>
      <c r="H8526" s="6" t="s">
        <v>421</v>
      </c>
      <c r="I8526" s="6" t="s">
        <v>557</v>
      </c>
      <c r="J8526" s="6" t="s">
        <v>349</v>
      </c>
      <c r="K8526" s="10">
        <v>6.3</v>
      </c>
      <c r="L8526" s="10">
        <v>10</v>
      </c>
      <c r="M8526" s="6" t="s">
        <v>430</v>
      </c>
    </row>
    <row r="8527" spans="1:13">
      <c r="A8527" s="6">
        <v>2027</v>
      </c>
      <c r="B8527" s="6">
        <v>4</v>
      </c>
      <c r="C8527" s="6" t="s">
        <v>62</v>
      </c>
      <c r="D8527" s="6" t="s">
        <v>437</v>
      </c>
      <c r="E8527" s="6" t="s">
        <v>438</v>
      </c>
      <c r="F8527" s="6" t="str">
        <f>IF($M8527="PADD I","PADD 1",IF($M8527="PADD II","PADD 2",IF($M8527="PADD III","PADD 3",IF($M8527="PADD IV","PADD 4",IF($M8527="PADD V","PADD 5","")))))</f>
        <v>PADD 4</v>
      </c>
      <c r="G8527" s="6" t="str">
        <f>IF(AND($H8527="ATMOS DISTILLATION",ISNUMBER(SEARCH("VPS",$I8527))=FALSE,LEFT($I8527,6)&lt;&gt;"VACUUM"),"CDU",IF($H8527="FLUID CAT CRACKING","FCC",IF(OR($H8527="HYDROCRACKING",$H8527="RESID_HYDROCRACKING"),"Hydrocracker",IF($H8527="REFORMING","Reformer",""))))</f>
        <v>FCC</v>
      </c>
      <c r="H8527" s="6" t="s">
        <v>376</v>
      </c>
      <c r="I8527" s="6" t="s">
        <v>428</v>
      </c>
      <c r="J8527" s="6" t="s">
        <v>349</v>
      </c>
      <c r="K8527" s="10">
        <v>5.355</v>
      </c>
      <c r="L8527" s="10">
        <v>8.5</v>
      </c>
      <c r="M8527" s="6" t="s">
        <v>430</v>
      </c>
    </row>
    <row r="8528" spans="1:13">
      <c r="A8528" s="6">
        <v>2027</v>
      </c>
      <c r="B8528" s="6">
        <v>4</v>
      </c>
      <c r="C8528" s="6" t="s">
        <v>62</v>
      </c>
      <c r="D8528" s="6" t="s">
        <v>680</v>
      </c>
      <c r="E8528" s="6" t="s">
        <v>681</v>
      </c>
      <c r="F8528" s="6" t="str">
        <f>IF($M8528="PADD I","PADD 1",IF($M8528="PADD II","PADD 2",IF($M8528="PADD III","PADD 3",IF($M8528="PADD IV","PADD 4",IF($M8528="PADD V","PADD 5","")))))</f>
        <v>PADD 3</v>
      </c>
      <c r="G8528" s="6">
        <f>IF(AND($H8528="ATMOS DISTILLATION",ISNUMBER(SEARCH("VPS",$I8528))=FALSE,LEFT($I8528,6)&lt;&gt;"VACUUM"),"CDU",IF($H8528="FLUID CAT CRACKING","FCC",IF(OR($H8528="HYDROCRACKING",$H8528="RESID_HYDROCRACKING"),"Hydrocracker",IF($H8528="REFORMING","Reformer",""))))</f>
        <v/>
      </c>
      <c r="H8528" s="6" t="s">
        <v>460</v>
      </c>
      <c r="I8528" s="6" t="s">
        <v>616</v>
      </c>
      <c r="J8528" s="6" t="s">
        <v>349</v>
      </c>
      <c r="K8528" s="10">
        <v>5.301</v>
      </c>
      <c r="L8528" s="10">
        <v>5.7</v>
      </c>
      <c r="M8528" s="6" t="s">
        <v>371</v>
      </c>
    </row>
    <row r="8529" spans="1:13">
      <c r="A8529" s="6">
        <v>2027</v>
      </c>
      <c r="B8529" s="6">
        <v>4</v>
      </c>
      <c r="C8529" s="6" t="s">
        <v>62</v>
      </c>
      <c r="D8529" s="6" t="s">
        <v>839</v>
      </c>
      <c r="E8529" s="6" t="s">
        <v>840</v>
      </c>
      <c r="F8529" s="6" t="str">
        <f>IF($M8529="PADD I","PADD 1",IF($M8529="PADD II","PADD 2",IF($M8529="PADD III","PADD 3",IF($M8529="PADD IV","PADD 4",IF($M8529="PADD V","PADD 5","")))))</f>
        <v>PADD 1</v>
      </c>
      <c r="G8529" s="6">
        <f>IF(AND($H8529="ATMOS DISTILLATION",ISNUMBER(SEARCH("VPS",$I8529))=FALSE,LEFT($I8529,6)&lt;&gt;"VACUUM"),"CDU",IF($H8529="FLUID CAT CRACKING","FCC",IF(OR($H8529="HYDROCRACKING",$H8529="RESID_HYDROCRACKING"),"Hydrocracker",IF($H8529="REFORMING","Reformer",""))))</f>
        <v/>
      </c>
      <c r="H8529" s="6" t="s">
        <v>523</v>
      </c>
      <c r="I8529" s="6" t="s">
        <v>524</v>
      </c>
      <c r="J8529" s="6" t="s">
        <v>349</v>
      </c>
      <c r="K8529" s="10">
        <v>5.16</v>
      </c>
      <c r="L8529" s="10">
        <v>12</v>
      </c>
      <c r="M8529" s="6" t="s">
        <v>413</v>
      </c>
    </row>
    <row r="8530" spans="1:13">
      <c r="A8530" s="6">
        <v>2027</v>
      </c>
      <c r="B8530" s="6">
        <v>4</v>
      </c>
      <c r="C8530" s="6" t="s">
        <v>62</v>
      </c>
      <c r="D8530" s="6" t="s">
        <v>334</v>
      </c>
      <c r="E8530" s="6" t="s">
        <v>552</v>
      </c>
      <c r="F8530" s="6" t="str">
        <f>IF($M8530="PADD I","PADD 1",IF($M8530="PADD II","PADD 2",IF($M8530="PADD III","PADD 3",IF($M8530="PADD IV","PADD 4",IF($M8530="PADD V","PADD 5","")))))</f>
        <v>PADD 3</v>
      </c>
      <c r="G8530" s="6">
        <f>IF(AND($H8530="ATMOS DISTILLATION",ISNUMBER(SEARCH("VPS",$I8530))=FALSE,LEFT($I8530,6)&lt;&gt;"VACUUM"),"CDU",IF($H8530="FLUID CAT CRACKING","FCC",IF(OR($H8530="HYDROCRACKING",$H8530="RESID_HYDROCRACKING"),"Hydrocracker",IF($H8530="REFORMING","Reformer",""))))</f>
        <v/>
      </c>
      <c r="H8530" s="6" t="s">
        <v>43</v>
      </c>
      <c r="I8530" s="6" t="s">
        <v>594</v>
      </c>
      <c r="J8530" s="6" t="s">
        <v>349</v>
      </c>
      <c r="K8530" s="10">
        <v>5.1</v>
      </c>
      <c r="L8530" s="10">
        <v>30</v>
      </c>
      <c r="M8530" s="6" t="s">
        <v>371</v>
      </c>
    </row>
    <row r="8531" spans="1:13">
      <c r="A8531" s="6">
        <v>2027</v>
      </c>
      <c r="B8531" s="6">
        <v>4</v>
      </c>
      <c r="C8531" s="6" t="s">
        <v>62</v>
      </c>
      <c r="D8531" s="6" t="s">
        <v>865</v>
      </c>
      <c r="E8531" s="6" t="s">
        <v>369</v>
      </c>
      <c r="F8531" s="6" t="str">
        <f>IF($M8531="PADD I","PADD 1",IF($M8531="PADD II","PADD 2",IF($M8531="PADD III","PADD 3",IF($M8531="PADD IV","PADD 4",IF($M8531="PADD V","PADD 5","")))))</f>
        <v>PADD 4</v>
      </c>
      <c r="G8531" s="6">
        <f>IF(AND($H8531="ATMOS DISTILLATION",ISNUMBER(SEARCH("VPS",$I8531))=FALSE,LEFT($I8531,6)&lt;&gt;"VACUUM"),"CDU",IF($H8531="FLUID CAT CRACKING","FCC",IF(OR($H8531="HYDROCRACKING",$H8531="RESID_HYDROCRACKING"),"Hydrocracker",IF($H8531="REFORMING","Reformer",""))))</f>
        <v/>
      </c>
      <c r="H8531" s="6" t="s">
        <v>460</v>
      </c>
      <c r="I8531" s="6" t="s">
        <v>616</v>
      </c>
      <c r="J8531" s="6" t="s">
        <v>349</v>
      </c>
      <c r="K8531" s="10">
        <v>4.745</v>
      </c>
      <c r="L8531" s="10">
        <v>6.5</v>
      </c>
      <c r="M8531" s="6" t="s">
        <v>430</v>
      </c>
    </row>
    <row r="8532" spans="1:13">
      <c r="A8532" s="6">
        <v>2027</v>
      </c>
      <c r="B8532" s="6">
        <v>4</v>
      </c>
      <c r="C8532" s="6" t="s">
        <v>62</v>
      </c>
      <c r="D8532" s="6" t="s">
        <v>334</v>
      </c>
      <c r="E8532" s="6" t="s">
        <v>552</v>
      </c>
      <c r="F8532" s="6" t="str">
        <f>IF($M8532="PADD I","PADD 1",IF($M8532="PADD II","PADD 2",IF($M8532="PADD III","PADD 3",IF($M8532="PADD IV","PADD 4",IF($M8532="PADD V","PADD 5","")))))</f>
        <v>PADD 3</v>
      </c>
      <c r="G8532" s="6">
        <f>IF(AND($H8532="ATMOS DISTILLATION",ISNUMBER(SEARCH("VPS",$I8532))=FALSE,LEFT($I8532,6)&lt;&gt;"VACUUM"),"CDU",IF($H8532="FLUID CAT CRACKING","FCC",IF(OR($H8532="HYDROCRACKING",$H8532="RESID_HYDROCRACKING"),"Hydrocracker",IF($H8532="REFORMING","Reformer",""))))</f>
        <v/>
      </c>
      <c r="H8532" s="6" t="s">
        <v>43</v>
      </c>
      <c r="I8532" s="6" t="s">
        <v>598</v>
      </c>
      <c r="J8532" s="6" t="s">
        <v>349</v>
      </c>
      <c r="K8532" s="10">
        <v>4.25</v>
      </c>
      <c r="L8532" s="10">
        <v>25</v>
      </c>
      <c r="M8532" s="6" t="s">
        <v>371</v>
      </c>
    </row>
    <row r="8533" spans="1:13">
      <c r="A8533" s="6">
        <v>2027</v>
      </c>
      <c r="B8533" s="6">
        <v>4</v>
      </c>
      <c r="C8533" s="6" t="s">
        <v>62</v>
      </c>
      <c r="D8533" s="6" t="s">
        <v>1286</v>
      </c>
      <c r="E8533" s="6" t="s">
        <v>1287</v>
      </c>
      <c r="F8533" s="6" t="str">
        <f>IF($M8533="PADD I","PADD 1",IF($M8533="PADD II","PADD 2",IF($M8533="PADD III","PADD 3",IF($M8533="PADD IV","PADD 4",IF($M8533="PADD V","PADD 5","")))))</f>
        <v>PADD 4</v>
      </c>
      <c r="G8533" s="6" t="str">
        <f>IF(AND($H8533="ATMOS DISTILLATION",ISNUMBER(SEARCH("VPS",$I8533))=FALSE,LEFT($I8533,6)&lt;&gt;"VACUUM"),"CDU",IF($H8533="FLUID CAT CRACKING","FCC",IF(OR($H8533="HYDROCRACKING",$H8533="RESID_HYDROCRACKING"),"Hydrocracker",IF($H8533="REFORMING","Reformer",""))))</f>
        <v>FCC</v>
      </c>
      <c r="H8533" s="6" t="s">
        <v>376</v>
      </c>
      <c r="I8533" s="6" t="s">
        <v>105</v>
      </c>
      <c r="J8533" s="6" t="s">
        <v>349</v>
      </c>
      <c r="K8533" s="10">
        <v>4.235</v>
      </c>
      <c r="L8533" s="10">
        <v>5.5</v>
      </c>
      <c r="M8533" s="6" t="s">
        <v>430</v>
      </c>
    </row>
    <row r="8534" spans="1:13">
      <c r="A8534" s="6">
        <v>2027</v>
      </c>
      <c r="B8534" s="6">
        <v>4</v>
      </c>
      <c r="C8534" s="6" t="s">
        <v>62</v>
      </c>
      <c r="D8534" s="6" t="s">
        <v>1286</v>
      </c>
      <c r="E8534" s="6" t="s">
        <v>1287</v>
      </c>
      <c r="F8534" s="6" t="str">
        <f>IF($M8534="PADD I","PADD 1",IF($M8534="PADD II","PADD 2",IF($M8534="PADD III","PADD 3",IF($M8534="PADD IV","PADD 4",IF($M8534="PADD V","PADD 5","")))))</f>
        <v>PADD 4</v>
      </c>
      <c r="G8534" s="6">
        <f>IF(AND($H8534="ATMOS DISTILLATION",ISNUMBER(SEARCH("VPS",$I8534))=FALSE,LEFT($I8534,6)&lt;&gt;"VACUUM"),"CDU",IF($H8534="FLUID CAT CRACKING","FCC",IF(OR($H8534="HYDROCRACKING",$H8534="RESID_HYDROCRACKING"),"Hydrocracker",IF($H8534="REFORMING","Reformer",""))))</f>
        <v/>
      </c>
      <c r="H8534" s="6" t="s">
        <v>43</v>
      </c>
      <c r="I8534" s="6" t="s">
        <v>1291</v>
      </c>
      <c r="J8534" s="6" t="s">
        <v>349</v>
      </c>
      <c r="K8534" s="10">
        <v>4.235</v>
      </c>
      <c r="L8534" s="10">
        <v>5.5</v>
      </c>
      <c r="M8534" s="6" t="s">
        <v>430</v>
      </c>
    </row>
    <row r="8535" spans="1:13">
      <c r="A8535" s="6">
        <v>2027</v>
      </c>
      <c r="B8535" s="6">
        <v>4</v>
      </c>
      <c r="C8535" s="6" t="s">
        <v>62</v>
      </c>
      <c r="D8535" s="6" t="s">
        <v>742</v>
      </c>
      <c r="E8535" s="6" t="s">
        <v>388</v>
      </c>
      <c r="F8535" s="6" t="str">
        <f>IF($M8535="PADD I","PADD 1",IF($M8535="PADD II","PADD 2",IF($M8535="PADD III","PADD 3",IF($M8535="PADD IV","PADD 4",IF($M8535="PADD V","PADD 5","")))))</f>
        <v>PADD 5</v>
      </c>
      <c r="G8535" s="6">
        <f>IF(AND($H8535="ATMOS DISTILLATION",ISNUMBER(SEARCH("VPS",$I8535))=FALSE,LEFT($I8535,6)&lt;&gt;"VACUUM"),"CDU",IF($H8535="FLUID CAT CRACKING","FCC",IF(OR($H8535="HYDROCRACKING",$H8535="RESID_HYDROCRACKING"),"Hydrocracker",IF($H8535="REFORMING","Reformer",""))))</f>
        <v/>
      </c>
      <c r="H8535" s="6" t="s">
        <v>568</v>
      </c>
      <c r="I8535" s="6" t="s">
        <v>768</v>
      </c>
      <c r="J8535" s="6" t="s">
        <v>349</v>
      </c>
      <c r="K8535" s="10">
        <v>3.5</v>
      </c>
      <c r="L8535" s="10">
        <v>3.5</v>
      </c>
      <c r="M8535" s="6" t="s">
        <v>386</v>
      </c>
    </row>
    <row r="8536" spans="1:13">
      <c r="A8536" s="6">
        <v>2027</v>
      </c>
      <c r="B8536" s="6">
        <v>4</v>
      </c>
      <c r="C8536" s="6" t="s">
        <v>62</v>
      </c>
      <c r="D8536" s="6" t="s">
        <v>334</v>
      </c>
      <c r="E8536" s="6" t="s">
        <v>552</v>
      </c>
      <c r="F8536" s="6" t="str">
        <f>IF($M8536="PADD I","PADD 1",IF($M8536="PADD II","PADD 2",IF($M8536="PADD III","PADD 3",IF($M8536="PADD IV","PADD 4",IF($M8536="PADD V","PADD 5","")))))</f>
        <v>PADD 3</v>
      </c>
      <c r="G8536" s="6" t="str">
        <f>IF(AND($H8536="ATMOS DISTILLATION",ISNUMBER(SEARCH("VPS",$I8536))=FALSE,LEFT($I8536,6)&lt;&gt;"VACUUM"),"CDU",IF($H8536="FLUID CAT CRACKING","FCC",IF(OR($H8536="HYDROCRACKING",$H8536="RESID_HYDROCRACKING"),"Hydrocracker",IF($H8536="REFORMING","Reformer",""))))</f>
        <v>FCC</v>
      </c>
      <c r="H8536" s="6" t="s">
        <v>376</v>
      </c>
      <c r="I8536" s="6" t="s">
        <v>613</v>
      </c>
      <c r="J8536" s="6" t="s">
        <v>349</v>
      </c>
      <c r="K8536" s="10">
        <v>3.4</v>
      </c>
      <c r="L8536" s="10">
        <v>20</v>
      </c>
      <c r="M8536" s="6" t="s">
        <v>371</v>
      </c>
    </row>
    <row r="8537" spans="1:13">
      <c r="A8537" s="6">
        <v>2027</v>
      </c>
      <c r="B8537" s="6">
        <v>4</v>
      </c>
      <c r="C8537" s="6" t="s">
        <v>62</v>
      </c>
      <c r="D8537" s="6" t="s">
        <v>922</v>
      </c>
      <c r="E8537" s="6" t="s">
        <v>452</v>
      </c>
      <c r="F8537" s="6" t="str">
        <f>IF($M8537="PADD I","PADD 1",IF($M8537="PADD II","PADD 2",IF($M8537="PADD III","PADD 3",IF($M8537="PADD IV","PADD 4",IF($M8537="PADD V","PADD 5","")))))</f>
        <v>PADD 4</v>
      </c>
      <c r="G8537" s="6" t="str">
        <f>IF(AND($H8537="ATMOS DISTILLATION",ISNUMBER(SEARCH("VPS",$I8537))=FALSE,LEFT($I8537,6)&lt;&gt;"VACUUM"),"CDU",IF($H8537="FLUID CAT CRACKING","FCC",IF(OR($H8537="HYDROCRACKING",$H8537="RESID_HYDROCRACKING"),"Hydrocracker",IF($H8537="REFORMING","Reformer",""))))</f>
        <v>CDU</v>
      </c>
      <c r="H8537" s="6" t="s">
        <v>38</v>
      </c>
      <c r="I8537" s="6" t="s">
        <v>923</v>
      </c>
      <c r="J8537" s="6" t="s">
        <v>349</v>
      </c>
      <c r="K8537" s="10">
        <v>3.25</v>
      </c>
      <c r="L8537" s="10">
        <v>25</v>
      </c>
      <c r="M8537" s="6" t="s">
        <v>430</v>
      </c>
    </row>
    <row r="8538" spans="1:13">
      <c r="A8538" s="6">
        <v>2027</v>
      </c>
      <c r="B8538" s="6">
        <v>4</v>
      </c>
      <c r="C8538" s="6" t="s">
        <v>62</v>
      </c>
      <c r="D8538" s="6" t="s">
        <v>334</v>
      </c>
      <c r="E8538" s="6" t="s">
        <v>552</v>
      </c>
      <c r="F8538" s="6" t="str">
        <f>IF($M8538="PADD I","PADD 1",IF($M8538="PADD II","PADD 2",IF($M8538="PADD III","PADD 3",IF($M8538="PADD IV","PADD 4",IF($M8538="PADD V","PADD 5","")))))</f>
        <v>PADD 3</v>
      </c>
      <c r="G8538" s="6">
        <f>IF(AND($H8538="ATMOS DISTILLATION",ISNUMBER(SEARCH("VPS",$I8538))=FALSE,LEFT($I8538,6)&lt;&gt;"VACUUM"),"CDU",IF($H8538="FLUID CAT CRACKING","FCC",IF(OR($H8538="HYDROCRACKING",$H8538="RESID_HYDROCRACKING"),"Hydrocracker",IF($H8538="REFORMING","Reformer",""))))</f>
        <v/>
      </c>
      <c r="H8538" s="6" t="s">
        <v>43</v>
      </c>
      <c r="I8538" s="6" t="s">
        <v>607</v>
      </c>
      <c r="J8538" s="6" t="s">
        <v>349</v>
      </c>
      <c r="K8538" s="10">
        <v>3.213</v>
      </c>
      <c r="L8538" s="10">
        <v>18.9</v>
      </c>
      <c r="M8538" s="6" t="s">
        <v>371</v>
      </c>
    </row>
    <row r="8539" spans="1:13">
      <c r="A8539" s="6">
        <v>2027</v>
      </c>
      <c r="B8539" s="6">
        <v>4</v>
      </c>
      <c r="C8539" s="6" t="s">
        <v>62</v>
      </c>
      <c r="D8539" s="6" t="s">
        <v>334</v>
      </c>
      <c r="E8539" s="6" t="s">
        <v>552</v>
      </c>
      <c r="F8539" s="6" t="str">
        <f>IF($M8539="PADD I","PADD 1",IF($M8539="PADD II","PADD 2",IF($M8539="PADD III","PADD 3",IF($M8539="PADD IV","PADD 4",IF($M8539="PADD V","PADD 5","")))))</f>
        <v>PADD 3</v>
      </c>
      <c r="G8539" s="6">
        <f>IF(AND($H8539="ATMOS DISTILLATION",ISNUMBER(SEARCH("VPS",$I8539))=FALSE,LEFT($I8539,6)&lt;&gt;"VACUUM"),"CDU",IF($H8539="FLUID CAT CRACKING","FCC",IF(OR($H8539="HYDROCRACKING",$H8539="RESID_HYDROCRACKING"),"Hydrocracker",IF($H8539="REFORMING","Reformer",""))))</f>
        <v/>
      </c>
      <c r="H8539" s="6" t="s">
        <v>378</v>
      </c>
      <c r="I8539" s="6" t="s">
        <v>555</v>
      </c>
      <c r="J8539" s="6" t="s">
        <v>349</v>
      </c>
      <c r="K8539" s="10">
        <v>3.1501</v>
      </c>
      <c r="L8539" s="10">
        <v>18.53</v>
      </c>
      <c r="M8539" s="6" t="s">
        <v>371</v>
      </c>
    </row>
    <row r="8540" spans="1:13">
      <c r="A8540" s="6">
        <v>2027</v>
      </c>
      <c r="B8540" s="6">
        <v>4</v>
      </c>
      <c r="C8540" s="6" t="s">
        <v>62</v>
      </c>
      <c r="D8540" s="6" t="s">
        <v>1155</v>
      </c>
      <c r="E8540" s="6" t="s">
        <v>1156</v>
      </c>
      <c r="F8540" s="6" t="str">
        <f>IF($M8540="PADD I","PADD 1",IF($M8540="PADD II","PADD 2",IF($M8540="PADD III","PADD 3",IF($M8540="PADD IV","PADD 4",IF($M8540="PADD V","PADD 5","")))))</f>
        <v>PADD 5</v>
      </c>
      <c r="G8540" s="6" t="str">
        <f>IF(AND($H8540="ATMOS DISTILLATION",ISNUMBER(SEARCH("VPS",$I8540))=FALSE,LEFT($I8540,6)&lt;&gt;"VACUUM"),"CDU",IF($H8540="FLUID CAT CRACKING","FCC",IF(OR($H8540="HYDROCRACKING",$H8540="RESID_HYDROCRACKING"),"Hydrocracker",IF($H8540="REFORMING","Reformer",""))))</f>
        <v>CDU</v>
      </c>
      <c r="H8540" s="6" t="s">
        <v>38</v>
      </c>
      <c r="I8540" s="6" t="s">
        <v>81</v>
      </c>
      <c r="J8540" s="6" t="s">
        <v>349</v>
      </c>
      <c r="K8540" s="10">
        <v>2.805</v>
      </c>
      <c r="L8540" s="10">
        <v>8.5</v>
      </c>
      <c r="M8540" s="6" t="s">
        <v>386</v>
      </c>
    </row>
    <row r="8541" spans="1:13">
      <c r="A8541" s="6">
        <v>2027</v>
      </c>
      <c r="B8541" s="6">
        <v>4</v>
      </c>
      <c r="C8541" s="6" t="s">
        <v>62</v>
      </c>
      <c r="D8541" s="6" t="s">
        <v>865</v>
      </c>
      <c r="E8541" s="6" t="s">
        <v>369</v>
      </c>
      <c r="F8541" s="6" t="str">
        <f>IF($M8541="PADD I","PADD 1",IF($M8541="PADD II","PADD 2",IF($M8541="PADD III","PADD 3",IF($M8541="PADD IV","PADD 4",IF($M8541="PADD V","PADD 5","")))))</f>
        <v>PADD 4</v>
      </c>
      <c r="G8541" s="6">
        <f>IF(AND($H8541="ATMOS DISTILLATION",ISNUMBER(SEARCH("VPS",$I8541))=FALSE,LEFT($I8541,6)&lt;&gt;"VACUUM"),"CDU",IF($H8541="FLUID CAT CRACKING","FCC",IF(OR($H8541="HYDROCRACKING",$H8541="RESID_HYDROCRACKING"),"Hydrocracker",IF($H8541="REFORMING","Reformer",""))))</f>
        <v/>
      </c>
      <c r="H8541" s="6" t="s">
        <v>568</v>
      </c>
      <c r="I8541" s="6" t="s">
        <v>768</v>
      </c>
      <c r="J8541" s="6" t="s">
        <v>349</v>
      </c>
      <c r="K8541" s="10">
        <v>2.774</v>
      </c>
      <c r="L8541" s="10">
        <v>3.8</v>
      </c>
      <c r="M8541" s="6" t="s">
        <v>430</v>
      </c>
    </row>
    <row r="8542" spans="1:13">
      <c r="A8542" s="6">
        <v>2027</v>
      </c>
      <c r="B8542" s="6">
        <v>4</v>
      </c>
      <c r="C8542" s="6" t="s">
        <v>62</v>
      </c>
      <c r="D8542" s="6" t="s">
        <v>334</v>
      </c>
      <c r="E8542" s="6" t="s">
        <v>552</v>
      </c>
      <c r="F8542" s="6" t="str">
        <f>IF($M8542="PADD I","PADD 1",IF($M8542="PADD II","PADD 2",IF($M8542="PADD III","PADD 3",IF($M8542="PADD IV","PADD 4",IF($M8542="PADD V","PADD 5","")))))</f>
        <v>PADD 3</v>
      </c>
      <c r="G8542" s="6" t="str">
        <f>IF(AND($H8542="ATMOS DISTILLATION",ISNUMBER(SEARCH("VPS",$I8542))=FALSE,LEFT($I8542,6)&lt;&gt;"VACUUM"),"CDU",IF($H8542="FLUID CAT CRACKING","FCC",IF(OR($H8542="HYDROCRACKING",$H8542="RESID_HYDROCRACKING"),"Hydrocracker",IF($H8542="REFORMING","Reformer",""))))</f>
        <v>Reformer</v>
      </c>
      <c r="H8542" s="6" t="s">
        <v>421</v>
      </c>
      <c r="I8542" s="6" t="s">
        <v>592</v>
      </c>
      <c r="J8542" s="6" t="s">
        <v>349</v>
      </c>
      <c r="K8542" s="10">
        <v>2.72</v>
      </c>
      <c r="L8542" s="10">
        <v>16</v>
      </c>
      <c r="M8542" s="6" t="s">
        <v>371</v>
      </c>
    </row>
    <row r="8543" spans="1:13">
      <c r="A8543" s="6">
        <v>2027</v>
      </c>
      <c r="B8543" s="6">
        <v>4</v>
      </c>
      <c r="C8543" s="6" t="s">
        <v>62</v>
      </c>
      <c r="D8543" s="6" t="s">
        <v>1286</v>
      </c>
      <c r="E8543" s="6" t="s">
        <v>1287</v>
      </c>
      <c r="F8543" s="6" t="str">
        <f>IF($M8543="PADD I","PADD 1",IF($M8543="PADD II","PADD 2",IF($M8543="PADD III","PADD 3",IF($M8543="PADD IV","PADD 4",IF($M8543="PADD V","PADD 5","")))))</f>
        <v>PADD 4</v>
      </c>
      <c r="G8543" s="6">
        <f>IF(AND($H8543="ATMOS DISTILLATION",ISNUMBER(SEARCH("VPS",$I8543))=FALSE,LEFT($I8543,6)&lt;&gt;"VACUUM"),"CDU",IF($H8543="FLUID CAT CRACKING","FCC",IF(OR($H8543="HYDROCRACKING",$H8543="RESID_HYDROCRACKING"),"Hydrocracker",IF($H8543="REFORMING","Reformer",""))))</f>
        <v/>
      </c>
      <c r="H8543" s="6" t="s">
        <v>43</v>
      </c>
      <c r="I8543" s="6" t="s">
        <v>1292</v>
      </c>
      <c r="J8543" s="6" t="s">
        <v>349</v>
      </c>
      <c r="K8543" s="10">
        <v>2.695</v>
      </c>
      <c r="L8543" s="10">
        <v>3.5</v>
      </c>
      <c r="M8543" s="6" t="s">
        <v>430</v>
      </c>
    </row>
    <row r="8544" spans="1:13">
      <c r="A8544" s="6">
        <v>2027</v>
      </c>
      <c r="B8544" s="6">
        <v>4</v>
      </c>
      <c r="C8544" s="6" t="s">
        <v>62</v>
      </c>
      <c r="D8544" s="6" t="s">
        <v>1286</v>
      </c>
      <c r="E8544" s="6" t="s">
        <v>1287</v>
      </c>
      <c r="F8544" s="6" t="str">
        <f>IF($M8544="PADD I","PADD 1",IF($M8544="PADD II","PADD 2",IF($M8544="PADD III","PADD 3",IF($M8544="PADD IV","PADD 4",IF($M8544="PADD V","PADD 5","")))))</f>
        <v>PADD 4</v>
      </c>
      <c r="G8544" s="6" t="str">
        <f>IF(AND($H8544="ATMOS DISTILLATION",ISNUMBER(SEARCH("VPS",$I8544))=FALSE,LEFT($I8544,6)&lt;&gt;"VACUUM"),"CDU",IF($H8544="FLUID CAT CRACKING","FCC",IF(OR($H8544="HYDROCRACKING",$H8544="RESID_HYDROCRACKING"),"Hydrocracker",IF($H8544="REFORMING","Reformer",""))))</f>
        <v>Reformer</v>
      </c>
      <c r="H8544" s="6" t="s">
        <v>421</v>
      </c>
      <c r="I8544" s="6" t="s">
        <v>15</v>
      </c>
      <c r="J8544" s="6" t="s">
        <v>349</v>
      </c>
      <c r="K8544" s="10">
        <v>2.464</v>
      </c>
      <c r="L8544" s="10">
        <v>3.2</v>
      </c>
      <c r="M8544" s="6" t="s">
        <v>430</v>
      </c>
    </row>
    <row r="8545" spans="1:13">
      <c r="A8545" s="6">
        <v>2027</v>
      </c>
      <c r="B8545" s="6">
        <v>4</v>
      </c>
      <c r="C8545" s="6" t="s">
        <v>62</v>
      </c>
      <c r="D8545" s="6" t="s">
        <v>670</v>
      </c>
      <c r="E8545" s="6" t="s">
        <v>405</v>
      </c>
      <c r="F8545" s="6" t="str">
        <f>IF($M8545="PADD I","PADD 1",IF($M8545="PADD II","PADD 2",IF($M8545="PADD III","PADD 3",IF($M8545="PADD IV","PADD 4",IF($M8545="PADD V","PADD 5","")))))</f>
        <v>PADD 2</v>
      </c>
      <c r="G8545" s="6" t="str">
        <f>IF(AND($H8545="ATMOS DISTILLATION",ISNUMBER(SEARCH("VPS",$I8545))=FALSE,LEFT($I8545,6)&lt;&gt;"VACUUM"),"CDU",IF($H8545="FLUID CAT CRACKING","FCC",IF(OR($H8545="HYDROCRACKING",$H8545="RESID_HYDROCRACKING"),"Hydrocracker",IF($H8545="REFORMING","Reformer",""))))</f>
        <v>CDU</v>
      </c>
      <c r="H8545" s="6" t="s">
        <v>38</v>
      </c>
      <c r="I8545" s="6" t="s">
        <v>138</v>
      </c>
      <c r="J8545" s="6" t="s">
        <v>349</v>
      </c>
      <c r="K8545" s="10">
        <v>2.4</v>
      </c>
      <c r="L8545" s="10">
        <v>80</v>
      </c>
      <c r="M8545" s="6" t="s">
        <v>375</v>
      </c>
    </row>
    <row r="8546" spans="1:13">
      <c r="A8546" s="6">
        <v>2027</v>
      </c>
      <c r="B8546" s="6">
        <v>4</v>
      </c>
      <c r="C8546" s="6" t="s">
        <v>62</v>
      </c>
      <c r="D8546" s="6" t="s">
        <v>839</v>
      </c>
      <c r="E8546" s="6" t="s">
        <v>840</v>
      </c>
      <c r="F8546" s="6" t="str">
        <f>IF($M8546="PADD I","PADD 1",IF($M8546="PADD II","PADD 2",IF($M8546="PADD III","PADD 3",IF($M8546="PADD IV","PADD 4",IF($M8546="PADD V","PADD 5","")))))</f>
        <v>PADD 1</v>
      </c>
      <c r="G8546" s="6">
        <f>IF(AND($H8546="ATMOS DISTILLATION",ISNUMBER(SEARCH("VPS",$I8546))=FALSE,LEFT($I8546,6)&lt;&gt;"VACUUM"),"CDU",IF($H8546="FLUID CAT CRACKING","FCC",IF(OR($H8546="HYDROCRACKING",$H8546="RESID_HYDROCRACKING"),"Hydrocracker",IF($H8546="REFORMING","Reformer",""))))</f>
        <v/>
      </c>
      <c r="H8546" s="6" t="s">
        <v>568</v>
      </c>
      <c r="I8546" s="6" t="s">
        <v>604</v>
      </c>
      <c r="J8546" s="6" t="s">
        <v>349</v>
      </c>
      <c r="K8546" s="10">
        <v>2.365</v>
      </c>
      <c r="L8546" s="10">
        <v>5.5</v>
      </c>
      <c r="M8546" s="6" t="s">
        <v>413</v>
      </c>
    </row>
    <row r="8547" spans="1:13">
      <c r="A8547" s="6">
        <v>2027</v>
      </c>
      <c r="B8547" s="6">
        <v>4</v>
      </c>
      <c r="C8547" s="6" t="s">
        <v>62</v>
      </c>
      <c r="D8547" s="6" t="s">
        <v>1155</v>
      </c>
      <c r="E8547" s="6" t="s">
        <v>1156</v>
      </c>
      <c r="F8547" s="6" t="str">
        <f>IF($M8547="PADD I","PADD 1",IF($M8547="PADD II","PADD 2",IF($M8547="PADD III","PADD 3",IF($M8547="PADD IV","PADD 4",IF($M8547="PADD V","PADD 5","")))))</f>
        <v>PADD 5</v>
      </c>
      <c r="G8547" s="6">
        <f>IF(AND($H8547="ATMOS DISTILLATION",ISNUMBER(SEARCH("VPS",$I8547))=FALSE,LEFT($I8547,6)&lt;&gt;"VACUUM"),"CDU",IF($H8547="FLUID CAT CRACKING","FCC",IF(OR($H8547="HYDROCRACKING",$H8547="RESID_HYDROCRACKING"),"Hydrocracker",IF($H8547="REFORMING","Reformer",""))))</f>
        <v/>
      </c>
      <c r="H8547" s="6" t="s">
        <v>378</v>
      </c>
      <c r="I8547" s="6" t="s">
        <v>431</v>
      </c>
      <c r="J8547" s="6" t="s">
        <v>349</v>
      </c>
      <c r="K8547" s="10">
        <v>2.31</v>
      </c>
      <c r="L8547" s="10">
        <v>7</v>
      </c>
      <c r="M8547" s="6" t="s">
        <v>386</v>
      </c>
    </row>
    <row r="8548" spans="1:13">
      <c r="A8548" s="6">
        <v>2027</v>
      </c>
      <c r="B8548" s="6">
        <v>4</v>
      </c>
      <c r="C8548" s="6" t="s">
        <v>62</v>
      </c>
      <c r="D8548" s="6" t="s">
        <v>334</v>
      </c>
      <c r="E8548" s="6" t="s">
        <v>552</v>
      </c>
      <c r="F8548" s="6" t="str">
        <f>IF($M8548="PADD I","PADD 1",IF($M8548="PADD II","PADD 2",IF($M8548="PADD III","PADD 3",IF($M8548="PADD IV","PADD 4",IF($M8548="PADD V","PADD 5","")))))</f>
        <v>PADD 3</v>
      </c>
      <c r="G8548" s="6">
        <f>IF(AND($H8548="ATMOS DISTILLATION",ISNUMBER(SEARCH("VPS",$I8548))=FALSE,LEFT($I8548,6)&lt;&gt;"VACUUM"),"CDU",IF($H8548="FLUID CAT CRACKING","FCC",IF(OR($H8548="HYDROCRACKING",$H8548="RESID_HYDROCRACKING"),"Hydrocracker",IF($H8548="REFORMING","Reformer",""))))</f>
        <v/>
      </c>
      <c r="H8548" s="6" t="s">
        <v>43</v>
      </c>
      <c r="I8548" s="6" t="s">
        <v>501</v>
      </c>
      <c r="J8548" s="6" t="s">
        <v>349</v>
      </c>
      <c r="K8548" s="10">
        <v>2.295</v>
      </c>
      <c r="L8548" s="10">
        <v>13.5</v>
      </c>
      <c r="M8548" s="6" t="s">
        <v>371</v>
      </c>
    </row>
    <row r="8549" spans="1:13">
      <c r="A8549" s="6">
        <v>2027</v>
      </c>
      <c r="B8549" s="6">
        <v>4</v>
      </c>
      <c r="C8549" s="6" t="s">
        <v>62</v>
      </c>
      <c r="D8549" s="6" t="s">
        <v>1155</v>
      </c>
      <c r="E8549" s="6" t="s">
        <v>1156</v>
      </c>
      <c r="F8549" s="6" t="str">
        <f>IF($M8549="PADD I","PADD 1",IF($M8549="PADD II","PADD 2",IF($M8549="PADD III","PADD 3",IF($M8549="PADD IV","PADD 4",IF($M8549="PADD V","PADD 5","")))))</f>
        <v>PADD 5</v>
      </c>
      <c r="G8549" s="6">
        <f>IF(AND($H8549="ATMOS DISTILLATION",ISNUMBER(SEARCH("VPS",$I8549))=FALSE,LEFT($I8549,6)&lt;&gt;"VACUUM"),"CDU",IF($H8549="FLUID CAT CRACKING","FCC",IF(OR($H8549="HYDROCRACKING",$H8549="RESID_HYDROCRACKING"),"Hydrocracker",IF($H8549="REFORMING","Reformer",""))))</f>
        <v/>
      </c>
      <c r="H8549" s="6" t="s">
        <v>523</v>
      </c>
      <c r="I8549" s="6" t="s">
        <v>524</v>
      </c>
      <c r="J8549" s="6" t="s">
        <v>349</v>
      </c>
      <c r="K8549" s="10">
        <v>1.914</v>
      </c>
      <c r="L8549" s="10">
        <v>5.8</v>
      </c>
      <c r="M8549" s="6" t="s">
        <v>386</v>
      </c>
    </row>
    <row r="8550" spans="1:13">
      <c r="A8550" s="6">
        <v>2027</v>
      </c>
      <c r="B8550" s="6">
        <v>4</v>
      </c>
      <c r="C8550" s="6" t="s">
        <v>62</v>
      </c>
      <c r="D8550" s="6" t="s">
        <v>54</v>
      </c>
      <c r="E8550" s="6" t="s">
        <v>856</v>
      </c>
      <c r="F8550" s="6" t="str">
        <f>IF($M8550="PADD I","PADD 1",IF($M8550="PADD II","PADD 2",IF($M8550="PADD III","PADD 3",IF($M8550="PADD IV","PADD 4",IF($M8550="PADD V","PADD 5","")))))</f>
        <v>PADD 5</v>
      </c>
      <c r="G8550" s="6" t="str">
        <f>IF(AND($H8550="ATMOS DISTILLATION",ISNUMBER(SEARCH("VPS",$I8550))=FALSE,LEFT($I8550,6)&lt;&gt;"VACUUM"),"CDU",IF($H8550="FLUID CAT CRACKING","FCC",IF(OR($H8550="HYDROCRACKING",$H8550="RESID_HYDROCRACKING"),"Hydrocracker",IF($H8550="REFORMING","Reformer",""))))</f>
        <v>CDU</v>
      </c>
      <c r="H8550" s="6" t="s">
        <v>38</v>
      </c>
      <c r="I8550" s="6" t="s">
        <v>857</v>
      </c>
      <c r="J8550" s="6" t="s">
        <v>349</v>
      </c>
      <c r="K8550" s="10">
        <v>1.8</v>
      </c>
      <c r="L8550" s="10">
        <v>60</v>
      </c>
      <c r="M8550" s="6" t="s">
        <v>386</v>
      </c>
    </row>
    <row r="8551" spans="1:13">
      <c r="A8551" s="6">
        <v>2027</v>
      </c>
      <c r="B8551" s="6">
        <v>4</v>
      </c>
      <c r="C8551" s="6" t="s">
        <v>62</v>
      </c>
      <c r="D8551" s="6" t="s">
        <v>922</v>
      </c>
      <c r="E8551" s="6" t="s">
        <v>452</v>
      </c>
      <c r="F8551" s="6" t="str">
        <f>IF($M8551="PADD I","PADD 1",IF($M8551="PADD II","PADD 2",IF($M8551="PADD III","PADD 3",IF($M8551="PADD IV","PADD 4",IF($M8551="PADD V","PADD 5","")))))</f>
        <v>PADD 4</v>
      </c>
      <c r="G8551" s="6" t="str">
        <f>IF(AND($H8551="ATMOS DISTILLATION",ISNUMBER(SEARCH("VPS",$I8551))=FALSE,LEFT($I8551,6)&lt;&gt;"VACUUM"),"CDU",IF($H8551="FLUID CAT CRACKING","FCC",IF(OR($H8551="HYDROCRACKING",$H8551="RESID_HYDROCRACKING"),"Hydrocracker",IF($H8551="REFORMING","Reformer",""))))</f>
        <v>FCC</v>
      </c>
      <c r="H8551" s="6" t="s">
        <v>376</v>
      </c>
      <c r="I8551" s="6" t="s">
        <v>105</v>
      </c>
      <c r="J8551" s="6" t="s">
        <v>349</v>
      </c>
      <c r="K8551" s="10">
        <v>1.69</v>
      </c>
      <c r="L8551" s="10">
        <v>13</v>
      </c>
      <c r="M8551" s="6" t="s">
        <v>430</v>
      </c>
    </row>
    <row r="8552" spans="1:13">
      <c r="A8552" s="6">
        <v>2027</v>
      </c>
      <c r="B8552" s="6">
        <v>4</v>
      </c>
      <c r="C8552" s="6" t="s">
        <v>62</v>
      </c>
      <c r="D8552" s="6" t="s">
        <v>670</v>
      </c>
      <c r="E8552" s="6" t="s">
        <v>405</v>
      </c>
      <c r="F8552" s="6" t="str">
        <f>IF($M8552="PADD I","PADD 1",IF($M8552="PADD II","PADD 2",IF($M8552="PADD III","PADD 3",IF($M8552="PADD IV","PADD 4",IF($M8552="PADD V","PADD 5","")))))</f>
        <v>PADD 2</v>
      </c>
      <c r="G8552" s="6">
        <f>IF(AND($H8552="ATMOS DISTILLATION",ISNUMBER(SEARCH("VPS",$I8552))=FALSE,LEFT($I8552,6)&lt;&gt;"VACUUM"),"CDU",IF($H8552="FLUID CAT CRACKING","FCC",IF(OR($H8552="HYDROCRACKING",$H8552="RESID_HYDROCRACKING"),"Hydrocracker",IF($H8552="REFORMING","Reformer",""))))</f>
        <v/>
      </c>
      <c r="H8552" s="6" t="s">
        <v>43</v>
      </c>
      <c r="I8552" s="6" t="s">
        <v>912</v>
      </c>
      <c r="J8552" s="6" t="s">
        <v>349</v>
      </c>
      <c r="K8552" s="10">
        <v>1.59</v>
      </c>
      <c r="L8552" s="10">
        <v>53</v>
      </c>
      <c r="M8552" s="6" t="s">
        <v>375</v>
      </c>
    </row>
    <row r="8553" spans="1:13">
      <c r="A8553" s="6">
        <v>2027</v>
      </c>
      <c r="B8553" s="6">
        <v>4</v>
      </c>
      <c r="C8553" s="6" t="s">
        <v>62</v>
      </c>
      <c r="D8553" s="6" t="s">
        <v>334</v>
      </c>
      <c r="E8553" s="6" t="s">
        <v>552</v>
      </c>
      <c r="F8553" s="6" t="str">
        <f>IF($M8553="PADD I","PADD 1",IF($M8553="PADD II","PADD 2",IF($M8553="PADD III","PADD 3",IF($M8553="PADD IV","PADD 4",IF($M8553="PADD V","PADD 5","")))))</f>
        <v>PADD 3</v>
      </c>
      <c r="G8553" s="6">
        <f>IF(AND($H8553="ATMOS DISTILLATION",ISNUMBER(SEARCH("VPS",$I8553))=FALSE,LEFT($I8553,6)&lt;&gt;"VACUUM"),"CDU",IF($H8553="FLUID CAT CRACKING","FCC",IF(OR($H8553="HYDROCRACKING",$H8553="RESID_HYDROCRACKING"),"Hydrocracker",IF($H8553="REFORMING","Reformer",""))))</f>
        <v/>
      </c>
      <c r="H8553" s="6" t="s">
        <v>637</v>
      </c>
      <c r="I8553" s="6" t="s">
        <v>1387</v>
      </c>
      <c r="J8553" s="6" t="s">
        <v>349</v>
      </c>
      <c r="K8553" s="10">
        <v>1.445</v>
      </c>
      <c r="L8553" s="10">
        <v>8.5</v>
      </c>
      <c r="M8553" s="6" t="s">
        <v>371</v>
      </c>
    </row>
    <row r="8554" spans="1:13">
      <c r="A8554" s="6">
        <v>2027</v>
      </c>
      <c r="B8554" s="6">
        <v>4</v>
      </c>
      <c r="C8554" s="6" t="s">
        <v>62</v>
      </c>
      <c r="D8554" s="6" t="s">
        <v>334</v>
      </c>
      <c r="E8554" s="6" t="s">
        <v>552</v>
      </c>
      <c r="F8554" s="6" t="str">
        <f>IF($M8554="PADD I","PADD 1",IF($M8554="PADD II","PADD 2",IF($M8554="PADD III","PADD 3",IF($M8554="PADD IV","PADD 4",IF($M8554="PADD V","PADD 5","")))))</f>
        <v>PADD 3</v>
      </c>
      <c r="G8554" s="6">
        <f>IF(AND($H8554="ATMOS DISTILLATION",ISNUMBER(SEARCH("VPS",$I8554))=FALSE,LEFT($I8554,6)&lt;&gt;"VACUUM"),"CDU",IF($H8554="FLUID CAT CRACKING","FCC",IF(OR($H8554="HYDROCRACKING",$H8554="RESID_HYDROCRACKING"),"Hydrocracker",IF($H8554="REFORMING","Reformer",""))))</f>
        <v/>
      </c>
      <c r="H8554" s="6" t="s">
        <v>43</v>
      </c>
      <c r="I8554" s="6" t="s">
        <v>619</v>
      </c>
      <c r="J8554" s="6" t="s">
        <v>349</v>
      </c>
      <c r="K8554" s="10">
        <v>1.36</v>
      </c>
      <c r="L8554" s="10">
        <v>8</v>
      </c>
      <c r="M8554" s="6" t="s">
        <v>371</v>
      </c>
    </row>
    <row r="8555" spans="1:13">
      <c r="A8555" s="6">
        <v>2027</v>
      </c>
      <c r="B8555" s="6">
        <v>4</v>
      </c>
      <c r="C8555" s="6" t="s">
        <v>62</v>
      </c>
      <c r="D8555" s="6" t="s">
        <v>922</v>
      </c>
      <c r="E8555" s="6" t="s">
        <v>452</v>
      </c>
      <c r="F8555" s="6" t="str">
        <f>IF($M8555="PADD I","PADD 1",IF($M8555="PADD II","PADD 2",IF($M8555="PADD III","PADD 3",IF($M8555="PADD IV","PADD 4",IF($M8555="PADD V","PADD 5","")))))</f>
        <v>PADD 4</v>
      </c>
      <c r="G8555" s="6">
        <f>IF(AND($H8555="ATMOS DISTILLATION",ISNUMBER(SEARCH("VPS",$I8555))=FALSE,LEFT($I8555,6)&lt;&gt;"VACUUM"),"CDU",IF($H8555="FLUID CAT CRACKING","FCC",IF(OR($H8555="HYDROCRACKING",$H8555="RESID_HYDROCRACKING"),"Hydrocracker",IF($H8555="REFORMING","Reformer",""))))</f>
        <v/>
      </c>
      <c r="H8555" s="6" t="s">
        <v>43</v>
      </c>
      <c r="I8555" s="6" t="s">
        <v>933</v>
      </c>
      <c r="J8555" s="6" t="s">
        <v>349</v>
      </c>
      <c r="K8555" s="10">
        <v>1.235</v>
      </c>
      <c r="L8555" s="10">
        <v>9.5</v>
      </c>
      <c r="M8555" s="6" t="s">
        <v>430</v>
      </c>
    </row>
    <row r="8556" spans="1:13">
      <c r="A8556" s="6">
        <v>2027</v>
      </c>
      <c r="B8556" s="6">
        <v>4</v>
      </c>
      <c r="C8556" s="6" t="s">
        <v>62</v>
      </c>
      <c r="D8556" s="6" t="s">
        <v>670</v>
      </c>
      <c r="E8556" s="6" t="s">
        <v>405</v>
      </c>
      <c r="F8556" s="6" t="str">
        <f>IF($M8556="PADD I","PADD 1",IF($M8556="PADD II","PADD 2",IF($M8556="PADD III","PADD 3",IF($M8556="PADD IV","PADD 4",IF($M8556="PADD V","PADD 5","")))))</f>
        <v>PADD 2</v>
      </c>
      <c r="G8556" s="6">
        <f>IF(AND($H8556="ATMOS DISTILLATION",ISNUMBER(SEARCH("VPS",$I8556))=FALSE,LEFT($I8556,6)&lt;&gt;"VACUUM"),"CDU",IF($H8556="FLUID CAT CRACKING","FCC",IF(OR($H8556="HYDROCRACKING",$H8556="RESID_HYDROCRACKING"),"Hydrocracker",IF($H8556="REFORMING","Reformer",""))))</f>
        <v/>
      </c>
      <c r="H8556" s="6" t="s">
        <v>43</v>
      </c>
      <c r="I8556" s="6" t="s">
        <v>458</v>
      </c>
      <c r="J8556" s="6" t="s">
        <v>349</v>
      </c>
      <c r="K8556" s="10">
        <v>1.2</v>
      </c>
      <c r="L8556" s="10">
        <v>40</v>
      </c>
      <c r="M8556" s="6" t="s">
        <v>375</v>
      </c>
    </row>
    <row r="8557" spans="1:13">
      <c r="A8557" s="6">
        <v>2027</v>
      </c>
      <c r="B8557" s="6">
        <v>4</v>
      </c>
      <c r="C8557" s="6" t="s">
        <v>62</v>
      </c>
      <c r="D8557" s="6" t="s">
        <v>334</v>
      </c>
      <c r="E8557" s="6" t="s">
        <v>552</v>
      </c>
      <c r="F8557" s="6" t="str">
        <f>IF($M8557="PADD I","PADD 1",IF($M8557="PADD II","PADD 2",IF($M8557="PADD III","PADD 3",IF($M8557="PADD IV","PADD 4",IF($M8557="PADD V","PADD 5","")))))</f>
        <v>PADD 3</v>
      </c>
      <c r="G8557" s="6">
        <f>IF(AND($H8557="ATMOS DISTILLATION",ISNUMBER(SEARCH("VPS",$I8557))=FALSE,LEFT($I8557,6)&lt;&gt;"VACUUM"),"CDU",IF($H8557="FLUID CAT CRACKING","FCC",IF(OR($H8557="HYDROCRACKING",$H8557="RESID_HYDROCRACKING"),"Hydrocracker",IF($H8557="REFORMING","Reformer",""))))</f>
        <v/>
      </c>
      <c r="H8557" s="6" t="s">
        <v>523</v>
      </c>
      <c r="I8557" s="6" t="s">
        <v>524</v>
      </c>
      <c r="J8557" s="6" t="s">
        <v>349</v>
      </c>
      <c r="K8557" s="10">
        <v>1.1781</v>
      </c>
      <c r="L8557" s="10">
        <v>6.93</v>
      </c>
      <c r="M8557" s="6" t="s">
        <v>371</v>
      </c>
    </row>
    <row r="8558" spans="1:13">
      <c r="A8558" s="6">
        <v>2027</v>
      </c>
      <c r="B8558" s="6">
        <v>4</v>
      </c>
      <c r="C8558" s="6" t="s">
        <v>62</v>
      </c>
      <c r="D8558" s="6" t="s">
        <v>922</v>
      </c>
      <c r="E8558" s="6" t="s">
        <v>452</v>
      </c>
      <c r="F8558" s="6" t="str">
        <f>IF($M8558="PADD I","PADD 1",IF($M8558="PADD II","PADD 2",IF($M8558="PADD III","PADD 3",IF($M8558="PADD IV","PADD 4",IF($M8558="PADD V","PADD 5","")))))</f>
        <v>PADD 4</v>
      </c>
      <c r="G8558" s="6">
        <f>IF(AND($H8558="ATMOS DISTILLATION",ISNUMBER(SEARCH("VPS",$I8558))=FALSE,LEFT($I8558,6)&lt;&gt;"VACUUM"),"CDU",IF($H8558="FLUID CAT CRACKING","FCC",IF(OR($H8558="HYDROCRACKING",$H8558="RESID_HYDROCRACKING"),"Hydrocracker",IF($H8558="REFORMING","Reformer",""))))</f>
        <v/>
      </c>
      <c r="H8558" s="6" t="s">
        <v>43</v>
      </c>
      <c r="I8558" s="6" t="s">
        <v>726</v>
      </c>
      <c r="J8558" s="6" t="s">
        <v>349</v>
      </c>
      <c r="K8558" s="10">
        <v>1.17</v>
      </c>
      <c r="L8558" s="10">
        <v>9</v>
      </c>
      <c r="M8558" s="6" t="s">
        <v>430</v>
      </c>
    </row>
    <row r="8559" spans="1:13">
      <c r="A8559" s="6">
        <v>2027</v>
      </c>
      <c r="B8559" s="6">
        <v>4</v>
      </c>
      <c r="C8559" s="6" t="s">
        <v>62</v>
      </c>
      <c r="D8559" s="6" t="s">
        <v>839</v>
      </c>
      <c r="E8559" s="6" t="s">
        <v>840</v>
      </c>
      <c r="F8559" s="6" t="str">
        <f>IF($M8559="PADD I","PADD 1",IF($M8559="PADD II","PADD 2",IF($M8559="PADD III","PADD 3",IF($M8559="PADD IV","PADD 4",IF($M8559="PADD V","PADD 5","")))))</f>
        <v>PADD 1</v>
      </c>
      <c r="G8559" s="6">
        <f>IF(AND($H8559="ATMOS DISTILLATION",ISNUMBER(SEARCH("VPS",$I8559))=FALSE,LEFT($I8559,6)&lt;&gt;"VACUUM"),"CDU",IF($H8559="FLUID CAT CRACKING","FCC",IF(OR($H8559="HYDROCRACKING",$H8559="RESID_HYDROCRACKING"),"Hydrocracker",IF($H8559="REFORMING","Reformer",""))))</f>
        <v/>
      </c>
      <c r="H8559" s="6" t="s">
        <v>460</v>
      </c>
      <c r="I8559" s="6" t="s">
        <v>461</v>
      </c>
      <c r="J8559" s="6" t="s">
        <v>349</v>
      </c>
      <c r="K8559" s="10">
        <v>1.161</v>
      </c>
      <c r="L8559" s="10">
        <v>2.7</v>
      </c>
      <c r="M8559" s="6" t="s">
        <v>413</v>
      </c>
    </row>
    <row r="8560" spans="1:13">
      <c r="A8560" s="6">
        <v>2027</v>
      </c>
      <c r="B8560" s="6">
        <v>4</v>
      </c>
      <c r="C8560" s="6" t="s">
        <v>62</v>
      </c>
      <c r="D8560" s="6" t="s">
        <v>1286</v>
      </c>
      <c r="E8560" s="6" t="s">
        <v>1287</v>
      </c>
      <c r="F8560" s="6" t="str">
        <f>IF($M8560="PADD I","PADD 1",IF($M8560="PADD II","PADD 2",IF($M8560="PADD III","PADD 3",IF($M8560="PADD IV","PADD 4",IF($M8560="PADD V","PADD 5","")))))</f>
        <v>PADD 4</v>
      </c>
      <c r="G8560" s="6">
        <f>IF(AND($H8560="ATMOS DISTILLATION",ISNUMBER(SEARCH("VPS",$I8560))=FALSE,LEFT($I8560,6)&lt;&gt;"VACUUM"),"CDU",IF($H8560="FLUID CAT CRACKING","FCC",IF(OR($H8560="HYDROCRACKING",$H8560="RESID_HYDROCRACKING"),"Hydrocracker",IF($H8560="REFORMING","Reformer",""))))</f>
        <v/>
      </c>
      <c r="H8560" s="6" t="s">
        <v>378</v>
      </c>
      <c r="I8560" s="6" t="s">
        <v>431</v>
      </c>
      <c r="J8560" s="6" t="s">
        <v>349</v>
      </c>
      <c r="K8560" s="10">
        <v>1.155</v>
      </c>
      <c r="L8560" s="10">
        <v>1.5</v>
      </c>
      <c r="M8560" s="6" t="s">
        <v>430</v>
      </c>
    </row>
    <row r="8561" spans="1:13">
      <c r="A8561" s="6">
        <v>2027</v>
      </c>
      <c r="B8561" s="6">
        <v>4</v>
      </c>
      <c r="C8561" s="6" t="s">
        <v>62</v>
      </c>
      <c r="D8561" s="6" t="s">
        <v>334</v>
      </c>
      <c r="E8561" s="6" t="s">
        <v>552</v>
      </c>
      <c r="F8561" s="6" t="str">
        <f>IF($M8561="PADD I","PADD 1",IF($M8561="PADD II","PADD 2",IF($M8561="PADD III","PADD 3",IF($M8561="PADD IV","PADD 4",IF($M8561="PADD V","PADD 5","")))))</f>
        <v>PADD 3</v>
      </c>
      <c r="G8561" s="6">
        <f>IF(AND($H8561="ATMOS DISTILLATION",ISNUMBER(SEARCH("VPS",$I8561))=FALSE,LEFT($I8561,6)&lt;&gt;"VACUUM"),"CDU",IF($H8561="FLUID CAT CRACKING","FCC",IF(OR($H8561="HYDROCRACKING",$H8561="RESID_HYDROCRACKING"),"Hydrocracker",IF($H8561="REFORMING","Reformer",""))))</f>
        <v/>
      </c>
      <c r="H8561" s="6" t="s">
        <v>568</v>
      </c>
      <c r="I8561" s="6" t="s">
        <v>623</v>
      </c>
      <c r="J8561" s="6" t="s">
        <v>349</v>
      </c>
      <c r="K8561" s="10">
        <v>1.02</v>
      </c>
      <c r="L8561" s="10">
        <v>6</v>
      </c>
      <c r="M8561" s="6" t="s">
        <v>371</v>
      </c>
    </row>
    <row r="8562" spans="1:13">
      <c r="A8562" s="6">
        <v>2027</v>
      </c>
      <c r="B8562" s="6">
        <v>4</v>
      </c>
      <c r="C8562" s="6" t="s">
        <v>62</v>
      </c>
      <c r="D8562" s="6" t="s">
        <v>922</v>
      </c>
      <c r="E8562" s="6" t="s">
        <v>452</v>
      </c>
      <c r="F8562" s="6" t="str">
        <f>IF($M8562="PADD I","PADD 1",IF($M8562="PADD II","PADD 2",IF($M8562="PADD III","PADD 3",IF($M8562="PADD IV","PADD 4",IF($M8562="PADD V","PADD 5","")))))</f>
        <v>PADD 4</v>
      </c>
      <c r="G8562" s="6">
        <f>IF(AND($H8562="ATMOS DISTILLATION",ISNUMBER(SEARCH("VPS",$I8562))=FALSE,LEFT($I8562,6)&lt;&gt;"VACUUM"),"CDU",IF($H8562="FLUID CAT CRACKING","FCC",IF(OR($H8562="HYDROCRACKING",$H8562="RESID_HYDROCRACKING"),"Hydrocracker",IF($H8562="REFORMING","Reformer",""))))</f>
        <v/>
      </c>
      <c r="H8562" s="6" t="s">
        <v>378</v>
      </c>
      <c r="I8562" s="6" t="s">
        <v>935</v>
      </c>
      <c r="J8562" s="6" t="s">
        <v>349</v>
      </c>
      <c r="K8562" s="10">
        <v>1.014</v>
      </c>
      <c r="L8562" s="10">
        <v>7.8</v>
      </c>
      <c r="M8562" s="6" t="s">
        <v>430</v>
      </c>
    </row>
    <row r="8563" spans="1:13">
      <c r="A8563" s="6">
        <v>2027</v>
      </c>
      <c r="B8563" s="6">
        <v>4</v>
      </c>
      <c r="C8563" s="6" t="s">
        <v>62</v>
      </c>
      <c r="D8563" s="6" t="s">
        <v>1286</v>
      </c>
      <c r="E8563" s="6" t="s">
        <v>1287</v>
      </c>
      <c r="F8563" s="6" t="str">
        <f>IF($M8563="PADD I","PADD 1",IF($M8563="PADD II","PADD 2",IF($M8563="PADD III","PADD 3",IF($M8563="PADD IV","PADD 4",IF($M8563="PADD V","PADD 5","")))))</f>
        <v>PADD 4</v>
      </c>
      <c r="G8563" s="6">
        <f>IF(AND($H8563="ATMOS DISTILLATION",ISNUMBER(SEARCH("VPS",$I8563))=FALSE,LEFT($I8563,6)&lt;&gt;"VACUUM"),"CDU",IF($H8563="FLUID CAT CRACKING","FCC",IF(OR($H8563="HYDROCRACKING",$H8563="RESID_HYDROCRACKING"),"Hydrocracker",IF($H8563="REFORMING","Reformer",""))))</f>
        <v/>
      </c>
      <c r="H8563" s="6" t="s">
        <v>460</v>
      </c>
      <c r="I8563" s="6" t="s">
        <v>616</v>
      </c>
      <c r="J8563" s="6" t="s">
        <v>349</v>
      </c>
      <c r="K8563" s="10">
        <v>1.001</v>
      </c>
      <c r="L8563" s="10">
        <v>1.3</v>
      </c>
      <c r="M8563" s="6" t="s">
        <v>430</v>
      </c>
    </row>
    <row r="8564" spans="1:13">
      <c r="A8564" s="6">
        <v>2027</v>
      </c>
      <c r="B8564" s="6">
        <v>4</v>
      </c>
      <c r="C8564" s="6" t="s">
        <v>62</v>
      </c>
      <c r="D8564" s="6" t="s">
        <v>922</v>
      </c>
      <c r="E8564" s="6" t="s">
        <v>452</v>
      </c>
      <c r="F8564" s="6" t="str">
        <f>IF($M8564="PADD I","PADD 1",IF($M8564="PADD II","PADD 2",IF($M8564="PADD III","PADD 3",IF($M8564="PADD IV","PADD 4",IF($M8564="PADD V","PADD 5","")))))</f>
        <v>PADD 4</v>
      </c>
      <c r="G8564" s="6" t="str">
        <f>IF(AND($H8564="ATMOS DISTILLATION",ISNUMBER(SEARCH("VPS",$I8564))=FALSE,LEFT($I8564,6)&lt;&gt;"VACUUM"),"CDU",IF($H8564="FLUID CAT CRACKING","FCC",IF(OR($H8564="HYDROCRACKING",$H8564="RESID_HYDROCRACKING"),"Hydrocracker",IF($H8564="REFORMING","Reformer",""))))</f>
        <v>Reformer</v>
      </c>
      <c r="H8564" s="6" t="s">
        <v>421</v>
      </c>
      <c r="I8564" s="6" t="s">
        <v>15</v>
      </c>
      <c r="J8564" s="6" t="s">
        <v>349</v>
      </c>
      <c r="K8564" s="10">
        <v>0.975</v>
      </c>
      <c r="L8564" s="10">
        <v>7.5</v>
      </c>
      <c r="M8564" s="6" t="s">
        <v>430</v>
      </c>
    </row>
    <row r="8565" spans="1:13">
      <c r="A8565" s="6">
        <v>2027</v>
      </c>
      <c r="B8565" s="6">
        <v>4</v>
      </c>
      <c r="C8565" s="6" t="s">
        <v>62</v>
      </c>
      <c r="D8565" s="6" t="s">
        <v>632</v>
      </c>
      <c r="E8565" s="6" t="s">
        <v>633</v>
      </c>
      <c r="F8565" s="6" t="str">
        <f>IF($M8565="PADD I","PADD 1",IF($M8565="PADD II","PADD 2",IF($M8565="PADD III","PADD 3",IF($M8565="PADD IV","PADD 4",IF($M8565="PADD V","PADD 5","")))))</f>
        <v>PADD 4</v>
      </c>
      <c r="G8565" s="6" t="str">
        <f>IF(AND($H8565="ATMOS DISTILLATION",ISNUMBER(SEARCH("VPS",$I8565))=FALSE,LEFT($I8565,6)&lt;&gt;"VACUUM"),"CDU",IF($H8565="FLUID CAT CRACKING","FCC",IF(OR($H8565="HYDROCRACKING",$H8565="RESID_HYDROCRACKING"),"Hydrocracker",IF($H8565="REFORMING","Reformer",""))))</f>
        <v>CDU</v>
      </c>
      <c r="H8565" s="6" t="s">
        <v>38</v>
      </c>
      <c r="I8565" s="6" t="s">
        <v>81</v>
      </c>
      <c r="J8565" s="6" t="s">
        <v>349</v>
      </c>
      <c r="K8565" s="10">
        <v>0.93</v>
      </c>
      <c r="L8565" s="10">
        <v>31</v>
      </c>
      <c r="M8565" s="6" t="s">
        <v>430</v>
      </c>
    </row>
    <row r="8566" spans="1:13">
      <c r="A8566" s="6">
        <v>2027</v>
      </c>
      <c r="B8566" s="6">
        <v>4</v>
      </c>
      <c r="C8566" s="6" t="s">
        <v>62</v>
      </c>
      <c r="D8566" s="6" t="s">
        <v>334</v>
      </c>
      <c r="E8566" s="6" t="s">
        <v>552</v>
      </c>
      <c r="F8566" s="6" t="str">
        <f>IF($M8566="PADD I","PADD 1",IF($M8566="PADD II","PADD 2",IF($M8566="PADD III","PADD 3",IF($M8566="PADD IV","PADD 4",IF($M8566="PADD V","PADD 5","")))))</f>
        <v>PADD 3</v>
      </c>
      <c r="G8566" s="6">
        <f>IF(AND($H8566="ATMOS DISTILLATION",ISNUMBER(SEARCH("VPS",$I8566))=FALSE,LEFT($I8566,6)&lt;&gt;"VACUUM"),"CDU",IF($H8566="FLUID CAT CRACKING","FCC",IF(OR($H8566="HYDROCRACKING",$H8566="RESID_HYDROCRACKING"),"Hydrocracker",IF($H8566="REFORMING","Reformer",""))))</f>
        <v/>
      </c>
      <c r="H8566" s="6" t="s">
        <v>460</v>
      </c>
      <c r="I8566" s="6" t="s">
        <v>461</v>
      </c>
      <c r="J8566" s="6" t="s">
        <v>349</v>
      </c>
      <c r="K8566" s="10">
        <v>0.68</v>
      </c>
      <c r="L8566" s="10">
        <v>4</v>
      </c>
      <c r="M8566" s="6" t="s">
        <v>371</v>
      </c>
    </row>
    <row r="8567" spans="1:13">
      <c r="A8567" s="6">
        <v>2027</v>
      </c>
      <c r="B8567" s="6">
        <v>4</v>
      </c>
      <c r="C8567" s="6" t="s">
        <v>62</v>
      </c>
      <c r="D8567" s="6" t="s">
        <v>922</v>
      </c>
      <c r="E8567" s="6" t="s">
        <v>452</v>
      </c>
      <c r="F8567" s="6" t="str">
        <f>IF($M8567="PADD I","PADD 1",IF($M8567="PADD II","PADD 2",IF($M8567="PADD III","PADD 3",IF($M8567="PADD IV","PADD 4",IF($M8567="PADD V","PADD 5","")))))</f>
        <v>PADD 4</v>
      </c>
      <c r="G8567" s="6">
        <f>IF(AND($H8567="ATMOS DISTILLATION",ISNUMBER(SEARCH("VPS",$I8567))=FALSE,LEFT($I8567,6)&lt;&gt;"VACUUM"),"CDU",IF($H8567="FLUID CAT CRACKING","FCC",IF(OR($H8567="HYDROCRACKING",$H8567="RESID_HYDROCRACKING"),"Hydrocracker",IF($H8567="REFORMING","Reformer",""))))</f>
        <v/>
      </c>
      <c r="H8567" s="6" t="s">
        <v>43</v>
      </c>
      <c r="I8567" s="6" t="s">
        <v>937</v>
      </c>
      <c r="J8567" s="6" t="s">
        <v>349</v>
      </c>
      <c r="K8567" s="10">
        <v>0.65</v>
      </c>
      <c r="L8567" s="10">
        <v>5</v>
      </c>
      <c r="M8567" s="6" t="s">
        <v>430</v>
      </c>
    </row>
    <row r="8568" spans="1:13">
      <c r="A8568" s="6">
        <v>2027</v>
      </c>
      <c r="B8568" s="6">
        <v>4</v>
      </c>
      <c r="C8568" s="6" t="s">
        <v>62</v>
      </c>
      <c r="D8568" s="6" t="s">
        <v>51</v>
      </c>
      <c r="E8568" s="6" t="s">
        <v>391</v>
      </c>
      <c r="F8568" s="6" t="str">
        <f>IF($M8568="PADD I","PADD 1",IF($M8568="PADD II","PADD 2",IF($M8568="PADD III","PADD 3",IF($M8568="PADD IV","PADD 4",IF($M8568="PADD V","PADD 5","")))))</f>
        <v>PADD 5</v>
      </c>
      <c r="G8568" s="6">
        <f>IF(AND($H8568="ATMOS DISTILLATION",ISNUMBER(SEARCH("VPS",$I8568))=FALSE,LEFT($I8568,6)&lt;&gt;"VACUUM"),"CDU",IF($H8568="FLUID CAT CRACKING","FCC",IF(OR($H8568="HYDROCRACKING",$H8568="RESID_HYDROCRACKING"),"Hydrocracker",IF($H8568="REFORMING","Reformer",""))))</f>
        <v/>
      </c>
      <c r="H8568" s="6" t="s">
        <v>43</v>
      </c>
      <c r="I8568" s="6" t="s">
        <v>1337</v>
      </c>
      <c r="J8568" s="6" t="s">
        <v>349</v>
      </c>
      <c r="K8568" s="10">
        <v>0.63</v>
      </c>
      <c r="L8568" s="10">
        <v>21</v>
      </c>
      <c r="M8568" s="6" t="s">
        <v>386</v>
      </c>
    </row>
    <row r="8569" spans="1:13">
      <c r="A8569" s="6">
        <v>2027</v>
      </c>
      <c r="B8569" s="6">
        <v>4</v>
      </c>
      <c r="C8569" s="6" t="s">
        <v>62</v>
      </c>
      <c r="D8569" s="6" t="s">
        <v>51</v>
      </c>
      <c r="E8569" s="6" t="s">
        <v>391</v>
      </c>
      <c r="F8569" s="6" t="str">
        <f>IF($M8569="PADD I","PADD 1",IF($M8569="PADD II","PADD 2",IF($M8569="PADD III","PADD 3",IF($M8569="PADD IV","PADD 4",IF($M8569="PADD V","PADD 5","")))))</f>
        <v>PADD 5</v>
      </c>
      <c r="G8569" s="6">
        <f>IF(AND($H8569="ATMOS DISTILLATION",ISNUMBER(SEARCH("VPS",$I8569))=FALSE,LEFT($I8569,6)&lt;&gt;"VACUUM"),"CDU",IF($H8569="FLUID CAT CRACKING","FCC",IF(OR($H8569="HYDROCRACKING",$H8569="RESID_HYDROCRACKING"),"Hydrocracker",IF($H8569="REFORMING","Reformer",""))))</f>
        <v/>
      </c>
      <c r="H8569" s="6" t="s">
        <v>43</v>
      </c>
      <c r="I8569" s="6" t="s">
        <v>1338</v>
      </c>
      <c r="J8569" s="6" t="s">
        <v>349</v>
      </c>
      <c r="K8569" s="10">
        <v>0.6</v>
      </c>
      <c r="L8569" s="10">
        <v>20</v>
      </c>
      <c r="M8569" s="6" t="s">
        <v>386</v>
      </c>
    </row>
    <row r="8570" spans="1:13">
      <c r="A8570" s="6">
        <v>2027</v>
      </c>
      <c r="B8570" s="6">
        <v>4</v>
      </c>
      <c r="C8570" s="6" t="s">
        <v>62</v>
      </c>
      <c r="D8570" s="6" t="s">
        <v>632</v>
      </c>
      <c r="E8570" s="6" t="s">
        <v>633</v>
      </c>
      <c r="F8570" s="6" t="str">
        <f>IF($M8570="PADD I","PADD 1",IF($M8570="PADD II","PADD 2",IF($M8570="PADD III","PADD 3",IF($M8570="PADD IV","PADD 4",IF($M8570="PADD V","PADD 5","")))))</f>
        <v>PADD 4</v>
      </c>
      <c r="G8570" s="6" t="str">
        <f>IF(AND($H8570="ATMOS DISTILLATION",ISNUMBER(SEARCH("VPS",$I8570))=FALSE,LEFT($I8570,6)&lt;&gt;"VACUUM"),"CDU",IF($H8570="FLUID CAT CRACKING","FCC",IF(OR($H8570="HYDROCRACKING",$H8570="RESID_HYDROCRACKING"),"Hydrocracker",IF($H8570="REFORMING","Reformer",""))))</f>
        <v>FCC</v>
      </c>
      <c r="H8570" s="6" t="s">
        <v>376</v>
      </c>
      <c r="I8570" s="6" t="s">
        <v>634</v>
      </c>
      <c r="J8570" s="6" t="s">
        <v>349</v>
      </c>
      <c r="K8570" s="10">
        <v>0.345</v>
      </c>
      <c r="L8570" s="10">
        <v>11.5</v>
      </c>
      <c r="M8570" s="6" t="s">
        <v>430</v>
      </c>
    </row>
    <row r="8571" spans="1:13">
      <c r="A8571" s="6">
        <v>2027</v>
      </c>
      <c r="B8571" s="6">
        <v>4</v>
      </c>
      <c r="C8571" s="6" t="s">
        <v>62</v>
      </c>
      <c r="D8571" s="6" t="s">
        <v>632</v>
      </c>
      <c r="E8571" s="6" t="s">
        <v>633</v>
      </c>
      <c r="F8571" s="6" t="str">
        <f>IF($M8571="PADD I","PADD 1",IF($M8571="PADD II","PADD 2",IF($M8571="PADD III","PADD 3",IF($M8571="PADD IV","PADD 4",IF($M8571="PADD V","PADD 5","")))))</f>
        <v>PADD 4</v>
      </c>
      <c r="G8571" s="6" t="str">
        <f>IF(AND($H8571="ATMOS DISTILLATION",ISNUMBER(SEARCH("VPS",$I8571))=FALSE,LEFT($I8571,6)&lt;&gt;"VACUUM"),"CDU",IF($H8571="FLUID CAT CRACKING","FCC",IF(OR($H8571="HYDROCRACKING",$H8571="RESID_HYDROCRACKING"),"Hydrocracker",IF($H8571="REFORMING","Reformer",""))))</f>
        <v>Reformer</v>
      </c>
      <c r="H8571" s="6" t="s">
        <v>421</v>
      </c>
      <c r="I8571" s="6" t="s">
        <v>1070</v>
      </c>
      <c r="J8571" s="6" t="s">
        <v>349</v>
      </c>
      <c r="K8571" s="10">
        <v>0.3</v>
      </c>
      <c r="L8571" s="10">
        <v>10</v>
      </c>
      <c r="M8571" s="6" t="s">
        <v>430</v>
      </c>
    </row>
    <row r="8572" spans="1:13">
      <c r="A8572" s="6">
        <v>2027</v>
      </c>
      <c r="B8572" s="6">
        <v>4</v>
      </c>
      <c r="C8572" s="6" t="s">
        <v>62</v>
      </c>
      <c r="D8572" s="6" t="s">
        <v>670</v>
      </c>
      <c r="E8572" s="6" t="s">
        <v>405</v>
      </c>
      <c r="F8572" s="6" t="str">
        <f>IF($M8572="PADD I","PADD 1",IF($M8572="PADD II","PADD 2",IF($M8572="PADD III","PADD 3",IF($M8572="PADD IV","PADD 4",IF($M8572="PADD V","PADD 5","")))))</f>
        <v>PADD 2</v>
      </c>
      <c r="G8572" s="6">
        <f>IF(AND($H8572="ATMOS DISTILLATION",ISNUMBER(SEARCH("VPS",$I8572))=FALSE,LEFT($I8572,6)&lt;&gt;"VACUUM"),"CDU",IF($H8572="FLUID CAT CRACKING","FCC",IF(OR($H8572="HYDROCRACKING",$H8572="RESID_HYDROCRACKING"),"Hydrocracker",IF($H8572="REFORMING","Reformer",""))))</f>
        <v/>
      </c>
      <c r="H8572" s="6" t="s">
        <v>568</v>
      </c>
      <c r="I8572" s="6" t="s">
        <v>604</v>
      </c>
      <c r="J8572" s="6" t="s">
        <v>349</v>
      </c>
      <c r="K8572" s="10">
        <v>0.12</v>
      </c>
      <c r="L8572" s="10">
        <v>4</v>
      </c>
      <c r="M8572" s="6" t="s">
        <v>375</v>
      </c>
    </row>
    <row r="8573" spans="1:13">
      <c r="A8573" s="6">
        <v>2027</v>
      </c>
      <c r="B8573" s="6">
        <v>4</v>
      </c>
      <c r="C8573" s="6" t="s">
        <v>62</v>
      </c>
      <c r="D8573" s="6" t="s">
        <v>632</v>
      </c>
      <c r="E8573" s="6" t="s">
        <v>633</v>
      </c>
      <c r="F8573" s="6" t="str">
        <f>IF($M8573="PADD I","PADD 1",IF($M8573="PADD II","PADD 2",IF($M8573="PADD III","PADD 3",IF($M8573="PADD IV","PADD 4",IF($M8573="PADD V","PADD 5","")))))</f>
        <v>PADD 4</v>
      </c>
      <c r="G8573" s="6">
        <f>IF(AND($H8573="ATMOS DISTILLATION",ISNUMBER(SEARCH("VPS",$I8573))=FALSE,LEFT($I8573,6)&lt;&gt;"VACUUM"),"CDU",IF($H8573="FLUID CAT CRACKING","FCC",IF(OR($H8573="HYDROCRACKING",$H8573="RESID_HYDROCRACKING"),"Hydrocracker",IF($H8573="REFORMING","Reformer",""))))</f>
        <v/>
      </c>
      <c r="H8573" s="6" t="s">
        <v>460</v>
      </c>
      <c r="I8573" s="6" t="s">
        <v>616</v>
      </c>
      <c r="J8573" s="6" t="s">
        <v>349</v>
      </c>
      <c r="K8573" s="10">
        <v>0.08400000000000001</v>
      </c>
      <c r="L8573" s="10">
        <v>2.8</v>
      </c>
      <c r="M8573" s="6" t="s">
        <v>430</v>
      </c>
    </row>
    <row r="8574" spans="1:13">
      <c r="A8574" s="6">
        <v>2027</v>
      </c>
      <c r="B8574" s="6">
        <v>4</v>
      </c>
      <c r="C8574" s="6" t="s">
        <v>62</v>
      </c>
      <c r="D8574" s="6" t="s">
        <v>839</v>
      </c>
      <c r="E8574" s="6" t="s">
        <v>840</v>
      </c>
      <c r="F8574" s="6" t="str">
        <f>IF($M8574="PADD I","PADD 1",IF($M8574="PADD II","PADD 2",IF($M8574="PADD III","PADD 3",IF($M8574="PADD IV","PADD 4",IF($M8574="PADD V","PADD 5","")))))</f>
        <v>PADD 1</v>
      </c>
      <c r="G8574" s="6">
        <f>IF(AND($H8574="ATMOS DISTILLATION",ISNUMBER(SEARCH("VPS",$I8574))=FALSE,LEFT($I8574,6)&lt;&gt;"VACUUM"),"CDU",IF($H8574="FLUID CAT CRACKING","FCC",IF(OR($H8574="HYDROCRACKING",$H8574="RESID_HYDROCRACKING"),"Hydrocracker",IF($H8574="REFORMING","Reformer",""))))</f>
        <v/>
      </c>
      <c r="H8574" s="6" t="s">
        <v>637</v>
      </c>
      <c r="I8574" s="6" t="s">
        <v>548</v>
      </c>
      <c r="J8574" s="6" t="s">
        <v>349</v>
      </c>
      <c r="K8574" s="10">
        <v>0.0172</v>
      </c>
      <c r="L8574" s="10">
        <v>0.04</v>
      </c>
      <c r="M8574" s="6" t="s">
        <v>413</v>
      </c>
    </row>
    <row r="8575" spans="1:13">
      <c r="A8575" s="6">
        <v>2027</v>
      </c>
      <c r="B8575" s="6">
        <v>5</v>
      </c>
      <c r="C8575" s="6" t="s">
        <v>63</v>
      </c>
      <c r="D8575" s="6" t="s">
        <v>321</v>
      </c>
      <c r="E8575" s="6" t="s">
        <v>381</v>
      </c>
      <c r="F8575" s="6" t="str">
        <f>IF($M8575="PADD I","PADD 1",IF($M8575="PADD II","PADD 2",IF($M8575="PADD III","PADD 3",IF($M8575="PADD IV","PADD 4",IF($M8575="PADD V","PADD 5","")))))</f>
        <v>PADD 2</v>
      </c>
      <c r="G8575" s="6" t="str">
        <f>IF(AND($H8575="ATMOS DISTILLATION",ISNUMBER(SEARCH("VPS",$I8575))=FALSE,LEFT($I8575,6)&lt;&gt;"VACUUM"),"CDU",IF($H8575="FLUID CAT CRACKING","FCC",IF(OR($H8575="HYDROCRACKING",$H8575="RESID_HYDROCRACKING"),"Hydrocracker",IF($H8575="REFORMING","Reformer",""))))</f>
        <v>CDU</v>
      </c>
      <c r="H8575" s="6" t="s">
        <v>38</v>
      </c>
      <c r="I8575" s="6" t="s">
        <v>81</v>
      </c>
      <c r="J8575" s="6" t="s">
        <v>349</v>
      </c>
      <c r="K8575" s="10">
        <v>105</v>
      </c>
      <c r="L8575" s="10">
        <v>250</v>
      </c>
      <c r="M8575" s="6" t="s">
        <v>375</v>
      </c>
    </row>
    <row r="8576" spans="1:13">
      <c r="A8576" s="6">
        <v>2027</v>
      </c>
      <c r="B8576" s="6">
        <v>5</v>
      </c>
      <c r="C8576" s="6" t="s">
        <v>63</v>
      </c>
      <c r="D8576" s="6" t="s">
        <v>328</v>
      </c>
      <c r="E8576" s="6" t="s">
        <v>416</v>
      </c>
      <c r="F8576" s="6" t="str">
        <f>IF($M8576="PADD I","PADD 1",IF($M8576="PADD II","PADD 2",IF($M8576="PADD III","PADD 3",IF($M8576="PADD IV","PADD 4",IF($M8576="PADD V","PADD 5","")))))</f>
        <v>PADD 2</v>
      </c>
      <c r="G8576" s="6" t="str">
        <f>IF(AND($H8576="ATMOS DISTILLATION",ISNUMBER(SEARCH("VPS",$I8576))=FALSE,LEFT($I8576,6)&lt;&gt;"VACUUM"),"CDU",IF($H8576="FLUID CAT CRACKING","FCC",IF(OR($H8576="HYDROCRACKING",$H8576="RESID_HYDROCRACKING"),"Hydrocracker",IF($H8576="REFORMING","Reformer",""))))</f>
        <v>CDU</v>
      </c>
      <c r="H8576" s="6" t="s">
        <v>38</v>
      </c>
      <c r="I8576" s="6" t="s">
        <v>91</v>
      </c>
      <c r="J8576" s="6" t="s">
        <v>349</v>
      </c>
      <c r="K8576" s="10">
        <v>101.5</v>
      </c>
      <c r="L8576" s="10">
        <v>175</v>
      </c>
      <c r="M8576" s="6" t="s">
        <v>375</v>
      </c>
    </row>
    <row r="8577" spans="1:13">
      <c r="A8577" s="6">
        <v>2027</v>
      </c>
      <c r="B8577" s="6">
        <v>5</v>
      </c>
      <c r="C8577" s="6" t="s">
        <v>63</v>
      </c>
      <c r="D8577" s="6" t="s">
        <v>333</v>
      </c>
      <c r="E8577" s="6" t="s">
        <v>381</v>
      </c>
      <c r="F8577" s="6" t="str">
        <f>IF($M8577="PADD I","PADD 1",IF($M8577="PADD II","PADD 2",IF($M8577="PADD III","PADD 3",IF($M8577="PADD IV","PADD 4",IF($M8577="PADD V","PADD 5","")))))</f>
        <v>PADD 3</v>
      </c>
      <c r="G8577" s="6">
        <f>IF(AND($H8577="ATMOS DISTILLATION",ISNUMBER(SEARCH("VPS",$I8577))=FALSE,LEFT($I8577,6)&lt;&gt;"VACUUM"),"CDU",IF($H8577="FLUID CAT CRACKING","FCC",IF(OR($H8577="HYDROCRACKING",$H8577="RESID_HYDROCRACKING"),"Hydrocracker",IF($H8577="REFORMING","Reformer",""))))</f>
        <v/>
      </c>
      <c r="H8577" s="6" t="s">
        <v>435</v>
      </c>
      <c r="I8577" s="6" t="s">
        <v>441</v>
      </c>
      <c r="J8577" s="6" t="s">
        <v>349</v>
      </c>
      <c r="K8577" s="10">
        <v>56.4</v>
      </c>
      <c r="L8577" s="10">
        <v>60</v>
      </c>
      <c r="M8577" s="6" t="s">
        <v>371</v>
      </c>
    </row>
    <row r="8578" spans="1:13">
      <c r="A8578" s="6">
        <v>2027</v>
      </c>
      <c r="B8578" s="6">
        <v>5</v>
      </c>
      <c r="C8578" s="6" t="s">
        <v>63</v>
      </c>
      <c r="D8578" s="6" t="s">
        <v>321</v>
      </c>
      <c r="E8578" s="6" t="s">
        <v>381</v>
      </c>
      <c r="F8578" s="6" t="str">
        <f>IF($M8578="PADD I","PADD 1",IF($M8578="PADD II","PADD 2",IF($M8578="PADD III","PADD 3",IF($M8578="PADD IV","PADD 4",IF($M8578="PADD V","PADD 5","")))))</f>
        <v>PADD 2</v>
      </c>
      <c r="G8578" s="6">
        <f>IF(AND($H8578="ATMOS DISTILLATION",ISNUMBER(SEARCH("VPS",$I8578))=FALSE,LEFT($I8578,6)&lt;&gt;"VACUUM"),"CDU",IF($H8578="FLUID CAT CRACKING","FCC",IF(OR($H8578="HYDROCRACKING",$H8578="RESID_HYDROCRACKING"),"Hydrocracker",IF($H8578="REFORMING","Reformer",""))))</f>
        <v/>
      </c>
      <c r="H8578" s="6" t="s">
        <v>378</v>
      </c>
      <c r="I8578" s="6" t="s">
        <v>431</v>
      </c>
      <c r="J8578" s="6" t="s">
        <v>349</v>
      </c>
      <c r="K8578" s="10">
        <v>53.34</v>
      </c>
      <c r="L8578" s="10">
        <v>127</v>
      </c>
      <c r="M8578" s="6" t="s">
        <v>375</v>
      </c>
    </row>
    <row r="8579" spans="1:13">
      <c r="A8579" s="6">
        <v>2027</v>
      </c>
      <c r="B8579" s="6">
        <v>5</v>
      </c>
      <c r="C8579" s="6" t="s">
        <v>63</v>
      </c>
      <c r="D8579" s="6" t="s">
        <v>328</v>
      </c>
      <c r="E8579" s="6" t="s">
        <v>416</v>
      </c>
      <c r="F8579" s="6" t="str">
        <f>IF($M8579="PADD I","PADD 1",IF($M8579="PADD II","PADD 2",IF($M8579="PADD III","PADD 3",IF($M8579="PADD IV","PADD 4",IF($M8579="PADD V","PADD 5","")))))</f>
        <v>PADD 2</v>
      </c>
      <c r="G8579" s="6">
        <f>IF(AND($H8579="ATMOS DISTILLATION",ISNUMBER(SEARCH("VPS",$I8579))=FALSE,LEFT($I8579,6)&lt;&gt;"VACUUM"),"CDU",IF($H8579="FLUID CAT CRACKING","FCC",IF(OR($H8579="HYDROCRACKING",$H8579="RESID_HYDROCRACKING"),"Hydrocracker",IF($H8579="REFORMING","Reformer",""))))</f>
        <v/>
      </c>
      <c r="H8579" s="6" t="s">
        <v>378</v>
      </c>
      <c r="I8579" s="6" t="s">
        <v>1244</v>
      </c>
      <c r="J8579" s="6" t="s">
        <v>349</v>
      </c>
      <c r="K8579" s="10">
        <v>43.5</v>
      </c>
      <c r="L8579" s="10">
        <v>75</v>
      </c>
      <c r="M8579" s="6" t="s">
        <v>375</v>
      </c>
    </row>
    <row r="8580" spans="1:13">
      <c r="A8580" s="6">
        <v>2027</v>
      </c>
      <c r="B8580" s="6">
        <v>5</v>
      </c>
      <c r="C8580" s="6" t="s">
        <v>63</v>
      </c>
      <c r="D8580" s="6" t="s">
        <v>50</v>
      </c>
      <c r="E8580" s="6" t="s">
        <v>381</v>
      </c>
      <c r="F8580" s="6" t="str">
        <f>IF($M8580="PADD I","PADD 1",IF($M8580="PADD II","PADD 2",IF($M8580="PADD III","PADD 3",IF($M8580="PADD IV","PADD 4",IF($M8580="PADD V","PADD 5","")))))</f>
        <v>PADD 3</v>
      </c>
      <c r="G8580" s="6">
        <f>IF(AND($H8580="ATMOS DISTILLATION",ISNUMBER(SEARCH("VPS",$I8580))=FALSE,LEFT($I8580,6)&lt;&gt;"VACUUM"),"CDU",IF($H8580="FLUID CAT CRACKING","FCC",IF(OR($H8580="HYDROCRACKING",$H8580="RESID_HYDROCRACKING"),"Hydrocracker",IF($H8580="REFORMING","Reformer",""))))</f>
        <v/>
      </c>
      <c r="H8580" s="6" t="s">
        <v>43</v>
      </c>
      <c r="I8580" s="6" t="s">
        <v>1397</v>
      </c>
      <c r="J8580" s="6" t="s">
        <v>349</v>
      </c>
      <c r="K8580" s="10">
        <v>41.25</v>
      </c>
      <c r="L8580" s="10">
        <v>75</v>
      </c>
      <c r="M8580" s="6" t="s">
        <v>371</v>
      </c>
    </row>
    <row r="8581" spans="1:13">
      <c r="A8581" s="6">
        <v>2027</v>
      </c>
      <c r="B8581" s="6">
        <v>5</v>
      </c>
      <c r="C8581" s="6" t="s">
        <v>63</v>
      </c>
      <c r="D8581" s="6" t="s">
        <v>54</v>
      </c>
      <c r="E8581" s="6" t="s">
        <v>856</v>
      </c>
      <c r="F8581" s="6" t="str">
        <f>IF($M8581="PADD I","PADD 1",IF($M8581="PADD II","PADD 2",IF($M8581="PADD III","PADD 3",IF($M8581="PADD IV","PADD 4",IF($M8581="PADD V","PADD 5","")))))</f>
        <v>PADD 5</v>
      </c>
      <c r="G8581" s="6" t="str">
        <f>IF(AND($H8581="ATMOS DISTILLATION",ISNUMBER(SEARCH("VPS",$I8581))=FALSE,LEFT($I8581,6)&lt;&gt;"VACUUM"),"CDU",IF($H8581="FLUID CAT CRACKING","FCC",IF(OR($H8581="HYDROCRACKING",$H8581="RESID_HYDROCRACKING"),"Hydrocracker",IF($H8581="REFORMING","Reformer",""))))</f>
        <v>CDU</v>
      </c>
      <c r="H8581" s="6" t="s">
        <v>38</v>
      </c>
      <c r="I8581" s="6" t="s">
        <v>857</v>
      </c>
      <c r="J8581" s="6" t="s">
        <v>349</v>
      </c>
      <c r="K8581" s="10">
        <v>40.8</v>
      </c>
      <c r="L8581" s="10">
        <v>60</v>
      </c>
      <c r="M8581" s="6" t="s">
        <v>386</v>
      </c>
    </row>
    <row r="8582" spans="1:13">
      <c r="A8582" s="6">
        <v>2027</v>
      </c>
      <c r="B8582" s="6">
        <v>5</v>
      </c>
      <c r="C8582" s="6" t="s">
        <v>63</v>
      </c>
      <c r="D8582" s="6" t="s">
        <v>380</v>
      </c>
      <c r="E8582" s="6" t="s">
        <v>381</v>
      </c>
      <c r="F8582" s="6" t="str">
        <f>IF($M8582="PADD I","PADD 1",IF($M8582="PADD II","PADD 2",IF($M8582="PADD III","PADD 3",IF($M8582="PADD IV","PADD 4",IF($M8582="PADD V","PADD 5","")))))</f>
        <v>PADD 3</v>
      </c>
      <c r="G8582" s="6">
        <f>IF(AND($H8582="ATMOS DISTILLATION",ISNUMBER(SEARCH("VPS",$I8582))=FALSE,LEFT($I8582,6)&lt;&gt;"VACUUM"),"CDU",IF($H8582="FLUID CAT CRACKING","FCC",IF(OR($H8582="HYDROCRACKING",$H8582="RESID_HYDROCRACKING"),"Hydrocracker",IF($H8582="REFORMING","Reformer",""))))</f>
        <v/>
      </c>
      <c r="H8582" s="6" t="s">
        <v>43</v>
      </c>
      <c r="I8582" s="6" t="s">
        <v>1203</v>
      </c>
      <c r="J8582" s="6" t="s">
        <v>349</v>
      </c>
      <c r="K8582" s="10">
        <v>34.65</v>
      </c>
      <c r="L8582" s="10">
        <v>45</v>
      </c>
      <c r="M8582" s="6" t="s">
        <v>371</v>
      </c>
    </row>
    <row r="8583" spans="1:13">
      <c r="A8583" s="6">
        <v>2027</v>
      </c>
      <c r="B8583" s="6">
        <v>5</v>
      </c>
      <c r="C8583" s="6" t="s">
        <v>63</v>
      </c>
      <c r="D8583" s="6" t="s">
        <v>865</v>
      </c>
      <c r="E8583" s="6" t="s">
        <v>369</v>
      </c>
      <c r="F8583" s="6" t="str">
        <f>IF($M8583="PADD I","PADD 1",IF($M8583="PADD II","PADD 2",IF($M8583="PADD III","PADD 3",IF($M8583="PADD IV","PADD 4",IF($M8583="PADD V","PADD 5","")))))</f>
        <v>PADD 4</v>
      </c>
      <c r="G8583" s="6" t="str">
        <f>IF(AND($H8583="ATMOS DISTILLATION",ISNUMBER(SEARCH("VPS",$I8583))=FALSE,LEFT($I8583,6)&lt;&gt;"VACUUM"),"CDU",IF($H8583="FLUID CAT CRACKING","FCC",IF(OR($H8583="HYDROCRACKING",$H8583="RESID_HYDROCRACKING"),"Hydrocracker",IF($H8583="REFORMING","Reformer",""))))</f>
        <v>CDU</v>
      </c>
      <c r="H8583" s="6" t="s">
        <v>38</v>
      </c>
      <c r="I8583" s="6" t="s">
        <v>866</v>
      </c>
      <c r="J8583" s="6" t="s">
        <v>349</v>
      </c>
      <c r="K8583" s="10">
        <v>25.9</v>
      </c>
      <c r="L8583" s="10">
        <v>35</v>
      </c>
      <c r="M8583" s="6" t="s">
        <v>430</v>
      </c>
    </row>
    <row r="8584" spans="1:13">
      <c r="A8584" s="6">
        <v>2027</v>
      </c>
      <c r="B8584" s="6">
        <v>5</v>
      </c>
      <c r="C8584" s="6" t="s">
        <v>63</v>
      </c>
      <c r="D8584" s="6" t="s">
        <v>865</v>
      </c>
      <c r="E8584" s="6" t="s">
        <v>369</v>
      </c>
      <c r="F8584" s="6" t="str">
        <f>IF($M8584="PADD I","PADD 1",IF($M8584="PADD II","PADD 2",IF($M8584="PADD III","PADD 3",IF($M8584="PADD IV","PADD 4",IF($M8584="PADD V","PADD 5","")))))</f>
        <v>PADD 4</v>
      </c>
      <c r="G8584" s="6">
        <f>IF(AND($H8584="ATMOS DISTILLATION",ISNUMBER(SEARCH("VPS",$I8584))=FALSE,LEFT($I8584,6)&lt;&gt;"VACUUM"),"CDU",IF($H8584="FLUID CAT CRACKING","FCC",IF(OR($H8584="HYDROCRACKING",$H8584="RESID_HYDROCRACKING"),"Hydrocracker",IF($H8584="REFORMING","Reformer",""))))</f>
        <v/>
      </c>
      <c r="H8584" s="6" t="s">
        <v>378</v>
      </c>
      <c r="I8584" s="6" t="s">
        <v>867</v>
      </c>
      <c r="J8584" s="6" t="s">
        <v>349</v>
      </c>
      <c r="K8584" s="10">
        <v>25.9</v>
      </c>
      <c r="L8584" s="10">
        <v>35</v>
      </c>
      <c r="M8584" s="6" t="s">
        <v>430</v>
      </c>
    </row>
    <row r="8585" spans="1:13">
      <c r="A8585" s="6">
        <v>2027</v>
      </c>
      <c r="B8585" s="6">
        <v>5</v>
      </c>
      <c r="C8585" s="6" t="s">
        <v>63</v>
      </c>
      <c r="D8585" s="6" t="s">
        <v>321</v>
      </c>
      <c r="E8585" s="6" t="s">
        <v>381</v>
      </c>
      <c r="F8585" s="6" t="str">
        <f>IF($M8585="PADD I","PADD 1",IF($M8585="PADD II","PADD 2",IF($M8585="PADD III","PADD 3",IF($M8585="PADD IV","PADD 4",IF($M8585="PADD V","PADD 5","")))))</f>
        <v>PADD 2</v>
      </c>
      <c r="G8585" s="6">
        <f>IF(AND($H8585="ATMOS DISTILLATION",ISNUMBER(SEARCH("VPS",$I8585))=FALSE,LEFT($I8585,6)&lt;&gt;"VACUUM"),"CDU",IF($H8585="FLUID CAT CRACKING","FCC",IF(OR($H8585="HYDROCRACKING",$H8585="RESID_HYDROCRACKING"),"Hydrocracker",IF($H8585="REFORMING","Reformer",""))))</f>
        <v/>
      </c>
      <c r="H8585" s="6" t="s">
        <v>43</v>
      </c>
      <c r="I8585" s="6" t="s">
        <v>1165</v>
      </c>
      <c r="J8585" s="6" t="s">
        <v>349</v>
      </c>
      <c r="K8585" s="10">
        <v>25.6</v>
      </c>
      <c r="L8585" s="10">
        <v>80</v>
      </c>
      <c r="M8585" s="6" t="s">
        <v>375</v>
      </c>
    </row>
    <row r="8586" spans="1:13">
      <c r="A8586" s="6">
        <v>2027</v>
      </c>
      <c r="B8586" s="6">
        <v>5</v>
      </c>
      <c r="C8586" s="6" t="s">
        <v>63</v>
      </c>
      <c r="D8586" s="6" t="s">
        <v>321</v>
      </c>
      <c r="E8586" s="6" t="s">
        <v>381</v>
      </c>
      <c r="F8586" s="6" t="str">
        <f>IF($M8586="PADD I","PADD 1",IF($M8586="PADD II","PADD 2",IF($M8586="PADD III","PADD 3",IF($M8586="PADD IV","PADD 4",IF($M8586="PADD V","PADD 5","")))))</f>
        <v>PADD 2</v>
      </c>
      <c r="G8586" s="6" t="str">
        <f>IF(AND($H8586="ATMOS DISTILLATION",ISNUMBER(SEARCH("VPS",$I8586))=FALSE,LEFT($I8586,6)&lt;&gt;"VACUUM"),"CDU",IF($H8586="FLUID CAT CRACKING","FCC",IF(OR($H8586="HYDROCRACKING",$H8586="RESID_HYDROCRACKING"),"Hydrocracker",IF($H8586="REFORMING","Reformer",""))))</f>
        <v>Reformer</v>
      </c>
      <c r="H8586" s="6" t="s">
        <v>421</v>
      </c>
      <c r="I8586" s="6" t="s">
        <v>228</v>
      </c>
      <c r="J8586" s="6" t="s">
        <v>349</v>
      </c>
      <c r="K8586" s="10">
        <v>24.96</v>
      </c>
      <c r="L8586" s="10">
        <v>52</v>
      </c>
      <c r="M8586" s="6" t="s">
        <v>375</v>
      </c>
    </row>
    <row r="8587" spans="1:13">
      <c r="A8587" s="6">
        <v>2027</v>
      </c>
      <c r="B8587" s="6">
        <v>5</v>
      </c>
      <c r="C8587" s="6" t="s">
        <v>63</v>
      </c>
      <c r="D8587" s="6" t="s">
        <v>437</v>
      </c>
      <c r="E8587" s="6" t="s">
        <v>438</v>
      </c>
      <c r="F8587" s="6" t="str">
        <f>IF($M8587="PADD I","PADD 1",IF($M8587="PADD II","PADD 2",IF($M8587="PADD III","PADD 3",IF($M8587="PADD IV","PADD 4",IF($M8587="PADD V","PADD 5","")))))</f>
        <v>PADD 4</v>
      </c>
      <c r="G8587" s="6" t="str">
        <f>IF(AND($H8587="ATMOS DISTILLATION",ISNUMBER(SEARCH("VPS",$I8587))=FALSE,LEFT($I8587,6)&lt;&gt;"VACUUM"),"CDU",IF($H8587="FLUID CAT CRACKING","FCC",IF(OR($H8587="HYDROCRACKING",$H8587="RESID_HYDROCRACKING"),"Hydrocracker",IF($H8587="REFORMING","Reformer",""))))</f>
        <v>CDU</v>
      </c>
      <c r="H8587" s="6" t="s">
        <v>38</v>
      </c>
      <c r="I8587" s="6" t="s">
        <v>330</v>
      </c>
      <c r="J8587" s="6" t="s">
        <v>349</v>
      </c>
      <c r="K8587" s="10">
        <v>23.52</v>
      </c>
      <c r="L8587" s="10">
        <v>28</v>
      </c>
      <c r="M8587" s="6" t="s">
        <v>430</v>
      </c>
    </row>
    <row r="8588" spans="1:13">
      <c r="A8588" s="6">
        <v>2027</v>
      </c>
      <c r="B8588" s="6">
        <v>5</v>
      </c>
      <c r="C8588" s="6" t="s">
        <v>63</v>
      </c>
      <c r="D8588" s="6" t="s">
        <v>328</v>
      </c>
      <c r="E8588" s="6" t="s">
        <v>416</v>
      </c>
      <c r="F8588" s="6" t="str">
        <f>IF($M8588="PADD I","PADD 1",IF($M8588="PADD II","PADD 2",IF($M8588="PADD III","PADD 3",IF($M8588="PADD IV","PADD 4",IF($M8588="PADD V","PADD 5","")))))</f>
        <v>PADD 2</v>
      </c>
      <c r="G8588" s="6">
        <f>IF(AND($H8588="ATMOS DISTILLATION",ISNUMBER(SEARCH("VPS",$I8588))=FALSE,LEFT($I8588,6)&lt;&gt;"VACUUM"),"CDU",IF($H8588="FLUID CAT CRACKING","FCC",IF(OR($H8588="HYDROCRACKING",$H8588="RESID_HYDROCRACKING"),"Hydrocracker",IF($H8588="REFORMING","Reformer",""))))</f>
        <v/>
      </c>
      <c r="H8588" s="6" t="s">
        <v>435</v>
      </c>
      <c r="I8588" s="6" t="s">
        <v>1059</v>
      </c>
      <c r="J8588" s="6" t="s">
        <v>349</v>
      </c>
      <c r="K8588" s="10">
        <v>22.04</v>
      </c>
      <c r="L8588" s="10">
        <v>38</v>
      </c>
      <c r="M8588" s="6" t="s">
        <v>375</v>
      </c>
    </row>
    <row r="8589" spans="1:13">
      <c r="A8589" s="6">
        <v>2027</v>
      </c>
      <c r="B8589" s="6">
        <v>5</v>
      </c>
      <c r="C8589" s="6" t="s">
        <v>63</v>
      </c>
      <c r="D8589" s="6" t="s">
        <v>321</v>
      </c>
      <c r="E8589" s="6" t="s">
        <v>381</v>
      </c>
      <c r="F8589" s="6" t="str">
        <f>IF($M8589="PADD I","PADD 1",IF($M8589="PADD II","PADD 2",IF($M8589="PADD III","PADD 3",IF($M8589="PADD IV","PADD 4",IF($M8589="PADD V","PADD 5","")))))</f>
        <v>PADD 2</v>
      </c>
      <c r="G8589" s="6">
        <f>IF(AND($H8589="ATMOS DISTILLATION",ISNUMBER(SEARCH("VPS",$I8589))=FALSE,LEFT($I8589,6)&lt;&gt;"VACUUM"),"CDU",IF($H8589="FLUID CAT CRACKING","FCC",IF(OR($H8589="HYDROCRACKING",$H8589="RESID_HYDROCRACKING"),"Hydrocracker",IF($H8589="REFORMING","Reformer",""))))</f>
        <v/>
      </c>
      <c r="H8589" s="6" t="s">
        <v>43</v>
      </c>
      <c r="I8589" s="6" t="s">
        <v>744</v>
      </c>
      <c r="J8589" s="6" t="s">
        <v>349</v>
      </c>
      <c r="K8589" s="10">
        <v>21</v>
      </c>
      <c r="L8589" s="10">
        <v>50</v>
      </c>
      <c r="M8589" s="6" t="s">
        <v>375</v>
      </c>
    </row>
    <row r="8590" spans="1:13">
      <c r="A8590" s="6">
        <v>2027</v>
      </c>
      <c r="B8590" s="6">
        <v>5</v>
      </c>
      <c r="C8590" s="6" t="s">
        <v>63</v>
      </c>
      <c r="D8590" s="6" t="s">
        <v>865</v>
      </c>
      <c r="E8590" s="6" t="s">
        <v>369</v>
      </c>
      <c r="F8590" s="6" t="str">
        <f>IF($M8590="PADD I","PADD 1",IF($M8590="PADD II","PADD 2",IF($M8590="PADD III","PADD 3",IF($M8590="PADD IV","PADD 4",IF($M8590="PADD V","PADD 5","")))))</f>
        <v>PADD 4</v>
      </c>
      <c r="G8590" s="6">
        <f>IF(AND($H8590="ATMOS DISTILLATION",ISNUMBER(SEARCH("VPS",$I8590))=FALSE,LEFT($I8590,6)&lt;&gt;"VACUUM"),"CDU",IF($H8590="FLUID CAT CRACKING","FCC",IF(OR($H8590="HYDROCRACKING",$H8590="RESID_HYDROCRACKING"),"Hydrocracker",IF($H8590="REFORMING","Reformer",""))))</f>
        <v/>
      </c>
      <c r="H8590" s="6" t="s">
        <v>43</v>
      </c>
      <c r="I8590" s="6" t="s">
        <v>1393</v>
      </c>
      <c r="J8590" s="6" t="s">
        <v>349</v>
      </c>
      <c r="K8590" s="10">
        <v>18.5</v>
      </c>
      <c r="L8590" s="10">
        <v>25</v>
      </c>
      <c r="M8590" s="6" t="s">
        <v>430</v>
      </c>
    </row>
    <row r="8591" spans="1:13">
      <c r="A8591" s="6">
        <v>2027</v>
      </c>
      <c r="B8591" s="6">
        <v>5</v>
      </c>
      <c r="C8591" s="6" t="s">
        <v>63</v>
      </c>
      <c r="D8591" s="6" t="s">
        <v>865</v>
      </c>
      <c r="E8591" s="6" t="s">
        <v>369</v>
      </c>
      <c r="F8591" s="6" t="str">
        <f>IF($M8591="PADD I","PADD 1",IF($M8591="PADD II","PADD 2",IF($M8591="PADD III","PADD 3",IF($M8591="PADD IV","PADD 4",IF($M8591="PADD V","PADD 5","")))))</f>
        <v>PADD 4</v>
      </c>
      <c r="G8591" s="6">
        <f>IF(AND($H8591="ATMOS DISTILLATION",ISNUMBER(SEARCH("VPS",$I8591))=FALSE,LEFT($I8591,6)&lt;&gt;"VACUUM"),"CDU",IF($H8591="FLUID CAT CRACKING","FCC",IF(OR($H8591="HYDROCRACKING",$H8591="RESID_HYDROCRACKING"),"Hydrocracker",IF($H8591="REFORMING","Reformer",""))))</f>
        <v/>
      </c>
      <c r="H8591" s="6" t="s">
        <v>43</v>
      </c>
      <c r="I8591" s="6" t="s">
        <v>1394</v>
      </c>
      <c r="J8591" s="6" t="s">
        <v>349</v>
      </c>
      <c r="K8591" s="10">
        <v>17.76</v>
      </c>
      <c r="L8591" s="10">
        <v>24</v>
      </c>
      <c r="M8591" s="6" t="s">
        <v>430</v>
      </c>
    </row>
    <row r="8592" spans="1:13">
      <c r="A8592" s="6">
        <v>2027</v>
      </c>
      <c r="B8592" s="6">
        <v>5</v>
      </c>
      <c r="C8592" s="6" t="s">
        <v>63</v>
      </c>
      <c r="D8592" s="6" t="s">
        <v>437</v>
      </c>
      <c r="E8592" s="6" t="s">
        <v>438</v>
      </c>
      <c r="F8592" s="6" t="str">
        <f>IF($M8592="PADD I","PADD 1",IF($M8592="PADD II","PADD 2",IF($M8592="PADD III","PADD 3",IF($M8592="PADD IV","PADD 4",IF($M8592="PADD V","PADD 5","")))))</f>
        <v>PADD 4</v>
      </c>
      <c r="G8592" s="6">
        <f>IF(AND($H8592="ATMOS DISTILLATION",ISNUMBER(SEARCH("VPS",$I8592))=FALSE,LEFT($I8592,6)&lt;&gt;"VACUUM"),"CDU",IF($H8592="FLUID CAT CRACKING","FCC",IF(OR($H8592="HYDROCRACKING",$H8592="RESID_HYDROCRACKING"),"Hydrocracker",IF($H8592="REFORMING","Reformer",""))))</f>
        <v/>
      </c>
      <c r="H8592" s="6" t="s">
        <v>378</v>
      </c>
      <c r="I8592" s="6" t="s">
        <v>494</v>
      </c>
      <c r="J8592" s="6" t="s">
        <v>349</v>
      </c>
      <c r="K8592" s="10">
        <v>16.8</v>
      </c>
      <c r="L8592" s="10">
        <v>20</v>
      </c>
      <c r="M8592" s="6" t="s">
        <v>430</v>
      </c>
    </row>
    <row r="8593" spans="1:13">
      <c r="A8593" s="6">
        <v>2027</v>
      </c>
      <c r="B8593" s="6">
        <v>5</v>
      </c>
      <c r="C8593" s="6" t="s">
        <v>63</v>
      </c>
      <c r="D8593" s="6" t="s">
        <v>321</v>
      </c>
      <c r="E8593" s="6" t="s">
        <v>381</v>
      </c>
      <c r="F8593" s="6" t="str">
        <f>IF($M8593="PADD I","PADD 1",IF($M8593="PADD II","PADD 2",IF($M8593="PADD III","PADD 3",IF($M8593="PADD IV","PADD 4",IF($M8593="PADD V","PADD 5","")))))</f>
        <v>PADD 2</v>
      </c>
      <c r="G8593" s="6">
        <f>IF(AND($H8593="ATMOS DISTILLATION",ISNUMBER(SEARCH("VPS",$I8593))=FALSE,LEFT($I8593,6)&lt;&gt;"VACUUM"),"CDU",IF($H8593="FLUID CAT CRACKING","FCC",IF(OR($H8593="HYDROCRACKING",$H8593="RESID_HYDROCRACKING"),"Hydrocracker",IF($H8593="REFORMING","Reformer",""))))</f>
        <v/>
      </c>
      <c r="H8593" s="6" t="s">
        <v>435</v>
      </c>
      <c r="I8593" s="6" t="s">
        <v>441</v>
      </c>
      <c r="J8593" s="6" t="s">
        <v>349</v>
      </c>
      <c r="K8593" s="10">
        <v>15.34</v>
      </c>
      <c r="L8593" s="10">
        <v>59</v>
      </c>
      <c r="M8593" s="6" t="s">
        <v>375</v>
      </c>
    </row>
    <row r="8594" spans="1:13">
      <c r="A8594" s="6">
        <v>2027</v>
      </c>
      <c r="B8594" s="6">
        <v>5</v>
      </c>
      <c r="C8594" s="6" t="s">
        <v>63</v>
      </c>
      <c r="D8594" s="6" t="s">
        <v>865</v>
      </c>
      <c r="E8594" s="6" t="s">
        <v>369</v>
      </c>
      <c r="F8594" s="6" t="str">
        <f>IF($M8594="PADD I","PADD 1",IF($M8594="PADD II","PADD 2",IF($M8594="PADD III","PADD 3",IF($M8594="PADD IV","PADD 4",IF($M8594="PADD V","PADD 5","")))))</f>
        <v>PADD 4</v>
      </c>
      <c r="G8594" s="6" t="str">
        <f>IF(AND($H8594="ATMOS DISTILLATION",ISNUMBER(SEARCH("VPS",$I8594))=FALSE,LEFT($I8594,6)&lt;&gt;"VACUUM"),"CDU",IF($H8594="FLUID CAT CRACKING","FCC",IF(OR($H8594="HYDROCRACKING",$H8594="RESID_HYDROCRACKING"),"Hydrocracker",IF($H8594="REFORMING","Reformer",""))))</f>
        <v>CDU</v>
      </c>
      <c r="H8594" s="6" t="s">
        <v>38</v>
      </c>
      <c r="I8594" s="6" t="s">
        <v>1127</v>
      </c>
      <c r="J8594" s="6" t="s">
        <v>349</v>
      </c>
      <c r="K8594" s="10">
        <v>14.8</v>
      </c>
      <c r="L8594" s="10">
        <v>20</v>
      </c>
      <c r="M8594" s="6" t="s">
        <v>430</v>
      </c>
    </row>
    <row r="8595" spans="1:13">
      <c r="A8595" s="6">
        <v>2027</v>
      </c>
      <c r="B8595" s="6">
        <v>5</v>
      </c>
      <c r="C8595" s="6" t="s">
        <v>63</v>
      </c>
      <c r="D8595" s="6" t="s">
        <v>865</v>
      </c>
      <c r="E8595" s="6" t="s">
        <v>369</v>
      </c>
      <c r="F8595" s="6" t="str">
        <f>IF($M8595="PADD I","PADD 1",IF($M8595="PADD II","PADD 2",IF($M8595="PADD III","PADD 3",IF($M8595="PADD IV","PADD 4",IF($M8595="PADD V","PADD 5","")))))</f>
        <v>PADD 4</v>
      </c>
      <c r="G8595" s="6" t="str">
        <f>IF(AND($H8595="ATMOS DISTILLATION",ISNUMBER(SEARCH("VPS",$I8595))=FALSE,LEFT($I8595,6)&lt;&gt;"VACUUM"),"CDU",IF($H8595="FLUID CAT CRACKING","FCC",IF(OR($H8595="HYDROCRACKING",$H8595="RESID_HYDROCRACKING"),"Hydrocracker",IF($H8595="REFORMING","Reformer",""))))</f>
        <v>FCC</v>
      </c>
      <c r="H8595" s="6" t="s">
        <v>376</v>
      </c>
      <c r="I8595" s="6" t="s">
        <v>1370</v>
      </c>
      <c r="J8595" s="6" t="s">
        <v>349</v>
      </c>
      <c r="K8595" s="10">
        <v>14.8</v>
      </c>
      <c r="L8595" s="10">
        <v>20</v>
      </c>
      <c r="M8595" s="6" t="s">
        <v>430</v>
      </c>
    </row>
    <row r="8596" spans="1:13">
      <c r="A8596" s="6">
        <v>2027</v>
      </c>
      <c r="B8596" s="6">
        <v>5</v>
      </c>
      <c r="C8596" s="6" t="s">
        <v>63</v>
      </c>
      <c r="D8596" s="6" t="s">
        <v>865</v>
      </c>
      <c r="E8596" s="6" t="s">
        <v>369</v>
      </c>
      <c r="F8596" s="6" t="str">
        <f>IF($M8596="PADD I","PADD 1",IF($M8596="PADD II","PADD 2",IF($M8596="PADD III","PADD 3",IF($M8596="PADD IV","PADD 4",IF($M8596="PADD V","PADD 5","")))))</f>
        <v>PADD 4</v>
      </c>
      <c r="G8596" s="6">
        <f>IF(AND($H8596="ATMOS DISTILLATION",ISNUMBER(SEARCH("VPS",$I8596))=FALSE,LEFT($I8596,6)&lt;&gt;"VACUUM"),"CDU",IF($H8596="FLUID CAT CRACKING","FCC",IF(OR($H8596="HYDROCRACKING",$H8596="RESID_HYDROCRACKING"),"Hydrocracker",IF($H8596="REFORMING","Reformer",""))))</f>
        <v/>
      </c>
      <c r="H8596" s="6" t="s">
        <v>435</v>
      </c>
      <c r="I8596" s="6" t="s">
        <v>870</v>
      </c>
      <c r="J8596" s="6" t="s">
        <v>349</v>
      </c>
      <c r="K8596" s="10">
        <v>11.84</v>
      </c>
      <c r="L8596" s="10">
        <v>16</v>
      </c>
      <c r="M8596" s="6" t="s">
        <v>430</v>
      </c>
    </row>
    <row r="8597" spans="1:13">
      <c r="A8597" s="6">
        <v>2027</v>
      </c>
      <c r="B8597" s="6">
        <v>5</v>
      </c>
      <c r="C8597" s="6" t="s">
        <v>63</v>
      </c>
      <c r="D8597" s="6" t="s">
        <v>865</v>
      </c>
      <c r="E8597" s="6" t="s">
        <v>369</v>
      </c>
      <c r="F8597" s="6" t="str">
        <f>IF($M8597="PADD I","PADD 1",IF($M8597="PADD II","PADD 2",IF($M8597="PADD III","PADD 3",IF($M8597="PADD IV","PADD 4",IF($M8597="PADD V","PADD 5","")))))</f>
        <v>PADD 4</v>
      </c>
      <c r="G8597" s="6">
        <f>IF(AND($H8597="ATMOS DISTILLATION",ISNUMBER(SEARCH("VPS",$I8597))=FALSE,LEFT($I8597,6)&lt;&gt;"VACUUM"),"CDU",IF($H8597="FLUID CAT CRACKING","FCC",IF(OR($H8597="HYDROCRACKING",$H8597="RESID_HYDROCRACKING"),"Hydrocracker",IF($H8597="REFORMING","Reformer",""))))</f>
        <v/>
      </c>
      <c r="H8597" s="6" t="s">
        <v>43</v>
      </c>
      <c r="I8597" s="6" t="s">
        <v>1395</v>
      </c>
      <c r="J8597" s="6" t="s">
        <v>349</v>
      </c>
      <c r="K8597" s="10">
        <v>11.1</v>
      </c>
      <c r="L8597" s="10">
        <v>15</v>
      </c>
      <c r="M8597" s="6" t="s">
        <v>430</v>
      </c>
    </row>
    <row r="8598" spans="1:13">
      <c r="A8598" s="6">
        <v>2027</v>
      </c>
      <c r="B8598" s="6">
        <v>5</v>
      </c>
      <c r="C8598" s="6" t="s">
        <v>63</v>
      </c>
      <c r="D8598" s="6" t="s">
        <v>865</v>
      </c>
      <c r="E8598" s="6" t="s">
        <v>369</v>
      </c>
      <c r="F8598" s="6" t="str">
        <f>IF($M8598="PADD I","PADD 1",IF($M8598="PADD II","PADD 2",IF($M8598="PADD III","PADD 3",IF($M8598="PADD IV","PADD 4",IF($M8598="PADD V","PADD 5","")))))</f>
        <v>PADD 4</v>
      </c>
      <c r="G8598" s="6">
        <f>IF(AND($H8598="ATMOS DISTILLATION",ISNUMBER(SEARCH("VPS",$I8598))=FALSE,LEFT($I8598,6)&lt;&gt;"VACUUM"),"CDU",IF($H8598="FLUID CAT CRACKING","FCC",IF(OR($H8598="HYDROCRACKING",$H8598="RESID_HYDROCRACKING"),"Hydrocracker",IF($H8598="REFORMING","Reformer",""))))</f>
        <v/>
      </c>
      <c r="H8598" s="6" t="s">
        <v>43</v>
      </c>
      <c r="I8598" s="6" t="s">
        <v>1396</v>
      </c>
      <c r="J8598" s="6" t="s">
        <v>349</v>
      </c>
      <c r="K8598" s="10">
        <v>11.1</v>
      </c>
      <c r="L8598" s="10">
        <v>15</v>
      </c>
      <c r="M8598" s="6" t="s">
        <v>430</v>
      </c>
    </row>
    <row r="8599" spans="1:13">
      <c r="A8599" s="6">
        <v>2027</v>
      </c>
      <c r="B8599" s="6">
        <v>5</v>
      </c>
      <c r="C8599" s="6" t="s">
        <v>63</v>
      </c>
      <c r="D8599" s="6" t="s">
        <v>437</v>
      </c>
      <c r="E8599" s="6" t="s">
        <v>438</v>
      </c>
      <c r="F8599" s="6" t="str">
        <f>IF($M8599="PADD I","PADD 1",IF($M8599="PADD II","PADD 2",IF($M8599="PADD III","PADD 3",IF($M8599="PADD IV","PADD 4",IF($M8599="PADD V","PADD 5","")))))</f>
        <v>PADD 4</v>
      </c>
      <c r="G8599" s="6">
        <f>IF(AND($H8599="ATMOS DISTILLATION",ISNUMBER(SEARCH("VPS",$I8599))=FALSE,LEFT($I8599,6)&lt;&gt;"VACUUM"),"CDU",IF($H8599="FLUID CAT CRACKING","FCC",IF(OR($H8599="HYDROCRACKING",$H8599="RESID_HYDROCRACKING"),"Hydrocracker",IF($H8599="REFORMING","Reformer",""))))</f>
        <v/>
      </c>
      <c r="H8599" s="6" t="s">
        <v>43</v>
      </c>
      <c r="I8599" s="6" t="s">
        <v>493</v>
      </c>
      <c r="J8599" s="6" t="s">
        <v>349</v>
      </c>
      <c r="K8599" s="10">
        <v>10</v>
      </c>
      <c r="L8599" s="10">
        <v>10</v>
      </c>
      <c r="M8599" s="6" t="s">
        <v>430</v>
      </c>
    </row>
    <row r="8600" spans="1:13">
      <c r="A8600" s="6">
        <v>2027</v>
      </c>
      <c r="B8600" s="6">
        <v>5</v>
      </c>
      <c r="C8600" s="6" t="s">
        <v>63</v>
      </c>
      <c r="D8600" s="6" t="s">
        <v>437</v>
      </c>
      <c r="E8600" s="6" t="s">
        <v>438</v>
      </c>
      <c r="F8600" s="6" t="str">
        <f>IF($M8600="PADD I","PADD 1",IF($M8600="PADD II","PADD 2",IF($M8600="PADD III","PADD 3",IF($M8600="PADD IV","PADD 4",IF($M8600="PADD V","PADD 5","")))))</f>
        <v>PADD 4</v>
      </c>
      <c r="G8600" s="6" t="str">
        <f>IF(AND($H8600="ATMOS DISTILLATION",ISNUMBER(SEARCH("VPS",$I8600))=FALSE,LEFT($I8600,6)&lt;&gt;"VACUUM"),"CDU",IF($H8600="FLUID CAT CRACKING","FCC",IF(OR($H8600="HYDROCRACKING",$H8600="RESID_HYDROCRACKING"),"Hydrocracker",IF($H8600="REFORMING","Reformer",""))))</f>
        <v>Reformer</v>
      </c>
      <c r="H8600" s="6" t="s">
        <v>421</v>
      </c>
      <c r="I8600" s="6" t="s">
        <v>557</v>
      </c>
      <c r="J8600" s="6" t="s">
        <v>349</v>
      </c>
      <c r="K8600" s="10">
        <v>10</v>
      </c>
      <c r="L8600" s="10">
        <v>10</v>
      </c>
      <c r="M8600" s="6" t="s">
        <v>430</v>
      </c>
    </row>
    <row r="8601" spans="1:13">
      <c r="A8601" s="6">
        <v>2027</v>
      </c>
      <c r="B8601" s="6">
        <v>5</v>
      </c>
      <c r="C8601" s="6" t="s">
        <v>63</v>
      </c>
      <c r="D8601" s="6" t="s">
        <v>321</v>
      </c>
      <c r="E8601" s="6" t="s">
        <v>381</v>
      </c>
      <c r="F8601" s="6" t="str">
        <f>IF($M8601="PADD I","PADD 1",IF($M8601="PADD II","PADD 2",IF($M8601="PADD III","PADD 3",IF($M8601="PADD IV","PADD 4",IF($M8601="PADD V","PADD 5","")))))</f>
        <v>PADD 2</v>
      </c>
      <c r="G8601" s="6">
        <f>IF(AND($H8601="ATMOS DISTILLATION",ISNUMBER(SEARCH("VPS",$I8601))=FALSE,LEFT($I8601,6)&lt;&gt;"VACUUM"),"CDU",IF($H8601="FLUID CAT CRACKING","FCC",IF(OR($H8601="HYDROCRACKING",$H8601="RESID_HYDROCRACKING"),"Hydrocracker",IF($H8601="REFORMING","Reformer",""))))</f>
        <v/>
      </c>
      <c r="H8601" s="6" t="s">
        <v>460</v>
      </c>
      <c r="I8601" s="6" t="s">
        <v>616</v>
      </c>
      <c r="J8601" s="6" t="s">
        <v>349</v>
      </c>
      <c r="K8601" s="10">
        <v>9.17</v>
      </c>
      <c r="L8601" s="10">
        <v>26.2</v>
      </c>
      <c r="M8601" s="6" t="s">
        <v>375</v>
      </c>
    </row>
    <row r="8602" spans="1:13">
      <c r="A8602" s="6">
        <v>2027</v>
      </c>
      <c r="B8602" s="6">
        <v>5</v>
      </c>
      <c r="C8602" s="6" t="s">
        <v>63</v>
      </c>
      <c r="D8602" s="6" t="s">
        <v>865</v>
      </c>
      <c r="E8602" s="6" t="s">
        <v>369</v>
      </c>
      <c r="F8602" s="6" t="str">
        <f>IF($M8602="PADD I","PADD 1",IF($M8602="PADD II","PADD 2",IF($M8602="PADD III","PADD 3",IF($M8602="PADD IV","PADD 4",IF($M8602="PADD V","PADD 5","")))))</f>
        <v>PADD 4</v>
      </c>
      <c r="G8602" s="6" t="str">
        <f>IF(AND($H8602="ATMOS DISTILLATION",ISNUMBER(SEARCH("VPS",$I8602))=FALSE,LEFT($I8602,6)&lt;&gt;"VACUUM"),"CDU",IF($H8602="FLUID CAT CRACKING","FCC",IF(OR($H8602="HYDROCRACKING",$H8602="RESID_HYDROCRACKING"),"Hydrocracker",IF($H8602="REFORMING","Reformer",""))))</f>
        <v>Reformer</v>
      </c>
      <c r="H8602" s="6" t="s">
        <v>421</v>
      </c>
      <c r="I8602" s="6" t="s">
        <v>557</v>
      </c>
      <c r="J8602" s="6" t="s">
        <v>349</v>
      </c>
      <c r="K8602" s="10">
        <v>9.028</v>
      </c>
      <c r="L8602" s="10">
        <v>12.2</v>
      </c>
      <c r="M8602" s="6" t="s">
        <v>430</v>
      </c>
    </row>
    <row r="8603" spans="1:13">
      <c r="A8603" s="6">
        <v>2027</v>
      </c>
      <c r="B8603" s="6">
        <v>5</v>
      </c>
      <c r="C8603" s="6" t="s">
        <v>63</v>
      </c>
      <c r="D8603" s="6" t="s">
        <v>437</v>
      </c>
      <c r="E8603" s="6" t="s">
        <v>438</v>
      </c>
      <c r="F8603" s="6" t="str">
        <f>IF($M8603="PADD I","PADD 1",IF($M8603="PADD II","PADD 2",IF($M8603="PADD III","PADD 3",IF($M8603="PADD IV","PADD 4",IF($M8603="PADD V","PADD 5","")))))</f>
        <v>PADD 4</v>
      </c>
      <c r="G8603" s="6" t="str">
        <f>IF(AND($H8603="ATMOS DISTILLATION",ISNUMBER(SEARCH("VPS",$I8603))=FALSE,LEFT($I8603,6)&lt;&gt;"VACUUM"),"CDU",IF($H8603="FLUID CAT CRACKING","FCC",IF(OR($H8603="HYDROCRACKING",$H8603="RESID_HYDROCRACKING"),"Hydrocracker",IF($H8603="REFORMING","Reformer",""))))</f>
        <v>FCC</v>
      </c>
      <c r="H8603" s="6" t="s">
        <v>376</v>
      </c>
      <c r="I8603" s="6" t="s">
        <v>428</v>
      </c>
      <c r="J8603" s="6" t="s">
        <v>349</v>
      </c>
      <c r="K8603" s="10">
        <v>8.5</v>
      </c>
      <c r="L8603" s="10">
        <v>8.5</v>
      </c>
      <c r="M8603" s="6" t="s">
        <v>430</v>
      </c>
    </row>
    <row r="8604" spans="1:13">
      <c r="A8604" s="6">
        <v>2027</v>
      </c>
      <c r="B8604" s="6">
        <v>5</v>
      </c>
      <c r="C8604" s="6" t="s">
        <v>63</v>
      </c>
      <c r="D8604" s="6" t="s">
        <v>862</v>
      </c>
      <c r="E8604" s="6" t="s">
        <v>856</v>
      </c>
      <c r="F8604" s="6" t="str">
        <f>IF($M8604="PADD I","PADD 1",IF($M8604="PADD II","PADD 2",IF($M8604="PADD III","PADD 3",IF($M8604="PADD IV","PADD 4",IF($M8604="PADD V","PADD 5","")))))</f>
        <v>PADD 5</v>
      </c>
      <c r="G8604" s="6" t="str">
        <f>IF(AND($H8604="ATMOS DISTILLATION",ISNUMBER(SEARCH("VPS",$I8604))=FALSE,LEFT($I8604,6)&lt;&gt;"VACUUM"),"CDU",IF($H8604="FLUID CAT CRACKING","FCC",IF(OR($H8604="HYDROCRACKING",$H8604="RESID_HYDROCRACKING"),"Hydrocracker",IF($H8604="REFORMING","Reformer",""))))</f>
        <v>CDU</v>
      </c>
      <c r="H8604" s="6" t="s">
        <v>38</v>
      </c>
      <c r="I8604" s="6" t="s">
        <v>857</v>
      </c>
      <c r="J8604" s="6" t="s">
        <v>349</v>
      </c>
      <c r="K8604" s="10">
        <v>7.04</v>
      </c>
      <c r="L8604" s="10">
        <v>22</v>
      </c>
      <c r="M8604" s="6" t="s">
        <v>386</v>
      </c>
    </row>
    <row r="8605" spans="1:13">
      <c r="A8605" s="6">
        <v>2027</v>
      </c>
      <c r="B8605" s="6">
        <v>5</v>
      </c>
      <c r="C8605" s="6" t="s">
        <v>63</v>
      </c>
      <c r="D8605" s="6" t="s">
        <v>865</v>
      </c>
      <c r="E8605" s="6" t="s">
        <v>369</v>
      </c>
      <c r="F8605" s="6" t="str">
        <f>IF($M8605="PADD I","PADD 1",IF($M8605="PADD II","PADD 2",IF($M8605="PADD III","PADD 3",IF($M8605="PADD IV","PADD 4",IF($M8605="PADD V","PADD 5","")))))</f>
        <v>PADD 4</v>
      </c>
      <c r="G8605" s="6">
        <f>IF(AND($H8605="ATMOS DISTILLATION",ISNUMBER(SEARCH("VPS",$I8605))=FALSE,LEFT($I8605,6)&lt;&gt;"VACUUM"),"CDU",IF($H8605="FLUID CAT CRACKING","FCC",IF(OR($H8605="HYDROCRACKING",$H8605="RESID_HYDROCRACKING"),"Hydrocracker",IF($H8605="REFORMING","Reformer",""))))</f>
        <v/>
      </c>
      <c r="H8605" s="6" t="s">
        <v>460</v>
      </c>
      <c r="I8605" s="6" t="s">
        <v>616</v>
      </c>
      <c r="J8605" s="6" t="s">
        <v>349</v>
      </c>
      <c r="K8605" s="10">
        <v>4.81</v>
      </c>
      <c r="L8605" s="10">
        <v>6.5</v>
      </c>
      <c r="M8605" s="6" t="s">
        <v>430</v>
      </c>
    </row>
    <row r="8606" spans="1:13">
      <c r="A8606" s="6">
        <v>2027</v>
      </c>
      <c r="B8606" s="6">
        <v>5</v>
      </c>
      <c r="C8606" s="6" t="s">
        <v>63</v>
      </c>
      <c r="D8606" s="6" t="s">
        <v>321</v>
      </c>
      <c r="E8606" s="6" t="s">
        <v>381</v>
      </c>
      <c r="F8606" s="6" t="str">
        <f>IF($M8606="PADD I","PADD 1",IF($M8606="PADD II","PADD 2",IF($M8606="PADD III","PADD 3",IF($M8606="PADD IV","PADD 4",IF($M8606="PADD V","PADD 5","")))))</f>
        <v>PADD 2</v>
      </c>
      <c r="G8606" s="6">
        <f>IF(AND($H8606="ATMOS DISTILLATION",ISNUMBER(SEARCH("VPS",$I8606))=FALSE,LEFT($I8606,6)&lt;&gt;"VACUUM"),"CDU",IF($H8606="FLUID CAT CRACKING","FCC",IF(OR($H8606="HYDROCRACKING",$H8606="RESID_HYDROCRACKING"),"Hydrocracker",IF($H8606="REFORMING","Reformer",""))))</f>
        <v/>
      </c>
      <c r="H8606" s="6" t="s">
        <v>43</v>
      </c>
      <c r="I8606" s="6" t="s">
        <v>1170</v>
      </c>
      <c r="J8606" s="6" t="s">
        <v>349</v>
      </c>
      <c r="K8606" s="10">
        <v>4.75</v>
      </c>
      <c r="L8606" s="10">
        <v>25</v>
      </c>
      <c r="M8606" s="6" t="s">
        <v>375</v>
      </c>
    </row>
    <row r="8607" spans="1:13">
      <c r="A8607" s="6">
        <v>2027</v>
      </c>
      <c r="B8607" s="6">
        <v>5</v>
      </c>
      <c r="C8607" s="6" t="s">
        <v>63</v>
      </c>
      <c r="D8607" s="6" t="s">
        <v>742</v>
      </c>
      <c r="E8607" s="6" t="s">
        <v>388</v>
      </c>
      <c r="F8607" s="6" t="str">
        <f>IF($M8607="PADD I","PADD 1",IF($M8607="PADD II","PADD 2",IF($M8607="PADD III","PADD 3",IF($M8607="PADD IV","PADD 4",IF($M8607="PADD V","PADD 5","")))))</f>
        <v>PADD 5</v>
      </c>
      <c r="G8607" s="6">
        <f>IF(AND($H8607="ATMOS DISTILLATION",ISNUMBER(SEARCH("VPS",$I8607))=FALSE,LEFT($I8607,6)&lt;&gt;"VACUUM"),"CDU",IF($H8607="FLUID CAT CRACKING","FCC",IF(OR($H8607="HYDROCRACKING",$H8607="RESID_HYDROCRACKING"),"Hydrocracker",IF($H8607="REFORMING","Reformer",""))))</f>
        <v/>
      </c>
      <c r="H8607" s="6" t="s">
        <v>568</v>
      </c>
      <c r="I8607" s="6" t="s">
        <v>768</v>
      </c>
      <c r="J8607" s="6" t="s">
        <v>349</v>
      </c>
      <c r="K8607" s="10">
        <v>3.5</v>
      </c>
      <c r="L8607" s="10">
        <v>3.5</v>
      </c>
      <c r="M8607" s="6" t="s">
        <v>386</v>
      </c>
    </row>
    <row r="8608" spans="1:13">
      <c r="A8608" s="6">
        <v>2027</v>
      </c>
      <c r="B8608" s="6">
        <v>5</v>
      </c>
      <c r="C8608" s="6" t="s">
        <v>63</v>
      </c>
      <c r="D8608" s="6" t="s">
        <v>865</v>
      </c>
      <c r="E8608" s="6" t="s">
        <v>369</v>
      </c>
      <c r="F8608" s="6" t="str">
        <f>IF($M8608="PADD I","PADD 1",IF($M8608="PADD II","PADD 2",IF($M8608="PADD III","PADD 3",IF($M8608="PADD IV","PADD 4",IF($M8608="PADD V","PADD 5","")))))</f>
        <v>PADD 4</v>
      </c>
      <c r="G8608" s="6">
        <f>IF(AND($H8608="ATMOS DISTILLATION",ISNUMBER(SEARCH("VPS",$I8608))=FALSE,LEFT($I8608,6)&lt;&gt;"VACUUM"),"CDU",IF($H8608="FLUID CAT CRACKING","FCC",IF(OR($H8608="HYDROCRACKING",$H8608="RESID_HYDROCRACKING"),"Hydrocracker",IF($H8608="REFORMING","Reformer",""))))</f>
        <v/>
      </c>
      <c r="H8608" s="6" t="s">
        <v>568</v>
      </c>
      <c r="I8608" s="6" t="s">
        <v>768</v>
      </c>
      <c r="J8608" s="6" t="s">
        <v>349</v>
      </c>
      <c r="K8608" s="10">
        <v>2.812</v>
      </c>
      <c r="L8608" s="10">
        <v>3.8</v>
      </c>
      <c r="M8608" s="6" t="s">
        <v>430</v>
      </c>
    </row>
    <row r="8609" spans="1:13">
      <c r="A8609" s="6">
        <v>2027</v>
      </c>
      <c r="B8609" s="6">
        <v>5</v>
      </c>
      <c r="C8609" s="6" t="s">
        <v>63</v>
      </c>
      <c r="D8609" s="6" t="s">
        <v>542</v>
      </c>
      <c r="E8609" s="6" t="s">
        <v>543</v>
      </c>
      <c r="F8609" s="6" t="str">
        <f>IF($M8609="PADD I","PADD 1",IF($M8609="PADD II","PADD 2",IF($M8609="PADD III","PADD 3",IF($M8609="PADD IV","PADD 4",IF($M8609="PADD V","PADD 5","")))))</f>
        <v>PADD 2</v>
      </c>
      <c r="G8609" s="6">
        <f>IF(AND($H8609="ATMOS DISTILLATION",ISNUMBER(SEARCH("VPS",$I8609))=FALSE,LEFT($I8609,6)&lt;&gt;"VACUUM"),"CDU",IF($H8609="FLUID CAT CRACKING","FCC",IF(OR($H8609="HYDROCRACKING",$H8609="RESID_HYDROCRACKING"),"Hydrocracker",IF($H8609="REFORMING","Reformer",""))))</f>
        <v/>
      </c>
      <c r="H8609" s="6" t="s">
        <v>43</v>
      </c>
      <c r="I8609" s="6" t="s">
        <v>1112</v>
      </c>
      <c r="J8609" s="6" t="s">
        <v>349</v>
      </c>
      <c r="K8609" s="10">
        <v>2.43</v>
      </c>
      <c r="L8609" s="10">
        <v>24.3</v>
      </c>
      <c r="M8609" s="6" t="s">
        <v>375</v>
      </c>
    </row>
    <row r="8610" spans="1:13">
      <c r="A8610" s="6">
        <v>2027</v>
      </c>
      <c r="B8610" s="6">
        <v>5</v>
      </c>
      <c r="C8610" s="6" t="s">
        <v>63</v>
      </c>
      <c r="D8610" s="6" t="s">
        <v>612</v>
      </c>
      <c r="E8610" s="6" t="s">
        <v>416</v>
      </c>
      <c r="F8610" s="6" t="str">
        <f>IF($M8610="PADD I","PADD 1",IF($M8610="PADD II","PADD 2",IF($M8610="PADD III","PADD 3",IF($M8610="PADD IV","PADD 4",IF($M8610="PADD V","PADD 5","")))))</f>
        <v>PADD 3</v>
      </c>
      <c r="G8610" s="6">
        <f>IF(AND($H8610="ATMOS DISTILLATION",ISNUMBER(SEARCH("VPS",$I8610))=FALSE,LEFT($I8610,6)&lt;&gt;"VACUUM"),"CDU",IF($H8610="FLUID CAT CRACKING","FCC",IF(OR($H8610="HYDROCRACKING",$H8610="RESID_HYDROCRACKING"),"Hydrocracker",IF($H8610="REFORMING","Reformer",""))))</f>
        <v/>
      </c>
      <c r="H8610" s="6" t="s">
        <v>460</v>
      </c>
      <c r="I8610" s="6" t="s">
        <v>835</v>
      </c>
      <c r="J8610" s="6" t="s">
        <v>349</v>
      </c>
      <c r="K8610" s="10">
        <v>2.1</v>
      </c>
      <c r="L8610" s="10">
        <v>21</v>
      </c>
      <c r="M8610" s="6" t="s">
        <v>371</v>
      </c>
    </row>
    <row r="8611" spans="1:13">
      <c r="A8611" s="6">
        <v>2027</v>
      </c>
      <c r="B8611" s="6">
        <v>5</v>
      </c>
      <c r="C8611" s="6" t="s">
        <v>63</v>
      </c>
      <c r="D8611" s="6" t="s">
        <v>871</v>
      </c>
      <c r="E8611" s="6" t="s">
        <v>872</v>
      </c>
      <c r="F8611" s="6" t="str">
        <f>IF($M8611="PADD I","PADD 1",IF($M8611="PADD II","PADD 2",IF($M8611="PADD III","PADD 3",IF($M8611="PADD IV","PADD 4",IF($M8611="PADD V","PADD 5","")))))</f>
        <v>PADD 4</v>
      </c>
      <c r="G8611" s="6" t="str">
        <f>IF(AND($H8611="ATMOS DISTILLATION",ISNUMBER(SEARCH("VPS",$I8611))=FALSE,LEFT($I8611,6)&lt;&gt;"VACUUM"),"CDU",IF($H8611="FLUID CAT CRACKING","FCC",IF(OR($H8611="HYDROCRACKING",$H8611="RESID_HYDROCRACKING"),"Hydrocracker",IF($H8611="REFORMING","Reformer",""))))</f>
        <v>CDU</v>
      </c>
      <c r="H8611" s="6" t="s">
        <v>38</v>
      </c>
      <c r="I8611" s="6" t="s">
        <v>81</v>
      </c>
      <c r="J8611" s="6" t="s">
        <v>349</v>
      </c>
      <c r="K8611" s="10">
        <v>1.632</v>
      </c>
      <c r="L8611" s="10">
        <v>3.4</v>
      </c>
      <c r="M8611" s="6" t="s">
        <v>430</v>
      </c>
    </row>
    <row r="8612" spans="1:13">
      <c r="A8612" s="6">
        <v>2027</v>
      </c>
      <c r="B8612" s="6">
        <v>5</v>
      </c>
      <c r="C8612" s="6" t="s">
        <v>63</v>
      </c>
      <c r="D8612" s="6" t="s">
        <v>871</v>
      </c>
      <c r="E8612" s="6" t="s">
        <v>872</v>
      </c>
      <c r="F8612" s="6" t="str">
        <f>IF($M8612="PADD I","PADD 1",IF($M8612="PADD II","PADD 2",IF($M8612="PADD III","PADD 3",IF($M8612="PADD IV","PADD 4",IF($M8612="PADD V","PADD 5","")))))</f>
        <v>PADD 4</v>
      </c>
      <c r="G8612" s="6" t="str">
        <f>IF(AND($H8612="ATMOS DISTILLATION",ISNUMBER(SEARCH("VPS",$I8612))=FALSE,LEFT($I8612,6)&lt;&gt;"VACUUM"),"CDU",IF($H8612="FLUID CAT CRACKING","FCC",IF(OR($H8612="HYDROCRACKING",$H8612="RESID_HYDROCRACKING"),"Hydrocracker",IF($H8612="REFORMING","Reformer",""))))</f>
        <v>Reformer</v>
      </c>
      <c r="H8612" s="6" t="s">
        <v>421</v>
      </c>
      <c r="I8612" s="6" t="s">
        <v>15</v>
      </c>
      <c r="J8612" s="6" t="s">
        <v>349</v>
      </c>
      <c r="K8612" s="10">
        <v>1.44</v>
      </c>
      <c r="L8612" s="10">
        <v>3</v>
      </c>
      <c r="M8612" s="6" t="s">
        <v>430</v>
      </c>
    </row>
    <row r="8613" spans="1:13">
      <c r="A8613" s="6">
        <v>2027</v>
      </c>
      <c r="B8613" s="6">
        <v>5</v>
      </c>
      <c r="C8613" s="6" t="s">
        <v>63</v>
      </c>
      <c r="D8613" s="6" t="s">
        <v>871</v>
      </c>
      <c r="E8613" s="6" t="s">
        <v>872</v>
      </c>
      <c r="F8613" s="6" t="str">
        <f>IF($M8613="PADD I","PADD 1",IF($M8613="PADD II","PADD 2",IF($M8613="PADD III","PADD 3",IF($M8613="PADD IV","PADD 4",IF($M8613="PADD V","PADD 5","")))))</f>
        <v>PADD 4</v>
      </c>
      <c r="G8613" s="6">
        <f>IF(AND($H8613="ATMOS DISTILLATION",ISNUMBER(SEARCH("VPS",$I8613))=FALSE,LEFT($I8613,6)&lt;&gt;"VACUUM"),"CDU",IF($H8613="FLUID CAT CRACKING","FCC",IF(OR($H8613="HYDROCRACKING",$H8613="RESID_HYDROCRACKING"),"Hydrocracker",IF($H8613="REFORMING","Reformer",""))))</f>
        <v/>
      </c>
      <c r="H8613" s="6" t="s">
        <v>43</v>
      </c>
      <c r="I8613" s="6" t="s">
        <v>873</v>
      </c>
      <c r="J8613" s="6" t="s">
        <v>349</v>
      </c>
      <c r="K8613" s="10">
        <v>1.44</v>
      </c>
      <c r="L8613" s="10">
        <v>3</v>
      </c>
      <c r="M8613" s="6" t="s">
        <v>430</v>
      </c>
    </row>
    <row r="8614" spans="1:13">
      <c r="A8614" s="6">
        <v>2027</v>
      </c>
      <c r="B8614" s="6">
        <v>5</v>
      </c>
      <c r="C8614" s="6" t="s">
        <v>63</v>
      </c>
      <c r="D8614" s="6" t="s">
        <v>871</v>
      </c>
      <c r="E8614" s="6" t="s">
        <v>872</v>
      </c>
      <c r="F8614" s="6" t="str">
        <f>IF($M8614="PADD I","PADD 1",IF($M8614="PADD II","PADD 2",IF($M8614="PADD III","PADD 3",IF($M8614="PADD IV","PADD 4",IF($M8614="PADD V","PADD 5","")))))</f>
        <v>PADD 4</v>
      </c>
      <c r="G8614" s="6">
        <f>IF(AND($H8614="ATMOS DISTILLATION",ISNUMBER(SEARCH("VPS",$I8614))=FALSE,LEFT($I8614,6)&lt;&gt;"VACUUM"),"CDU",IF($H8614="FLUID CAT CRACKING","FCC",IF(OR($H8614="HYDROCRACKING",$H8614="RESID_HYDROCRACKING"),"Hydrocracker",IF($H8614="REFORMING","Reformer",""))))</f>
        <v/>
      </c>
      <c r="H8614" s="6" t="s">
        <v>568</v>
      </c>
      <c r="I8614" s="6" t="s">
        <v>1202</v>
      </c>
      <c r="J8614" s="6" t="s">
        <v>349</v>
      </c>
      <c r="K8614" s="10">
        <v>0.48</v>
      </c>
      <c r="L8614" s="10">
        <v>1</v>
      </c>
      <c r="M8614" s="6" t="s">
        <v>430</v>
      </c>
    </row>
    <row r="8615" spans="1:13">
      <c r="A8615" s="6">
        <v>2027</v>
      </c>
      <c r="B8615" s="6">
        <v>6</v>
      </c>
      <c r="C8615" s="6" t="s">
        <v>64</v>
      </c>
      <c r="D8615" s="6" t="s">
        <v>329</v>
      </c>
      <c r="E8615" s="6" t="s">
        <v>427</v>
      </c>
      <c r="F8615" s="6" t="str">
        <f>IF($M8615="PADD I","PADD 1",IF($M8615="PADD II","PADD 2",IF($M8615="PADD III","PADD 3",IF($M8615="PADD IV","PADD 4",IF($M8615="PADD V","PADD 5","")))))</f>
        <v>PADD 3</v>
      </c>
      <c r="G8615" s="6" t="str">
        <f>IF(AND($H8615="ATMOS DISTILLATION",ISNUMBER(SEARCH("VPS",$I8615))=FALSE,LEFT($I8615,6)&lt;&gt;"VACUUM"),"CDU",IF($H8615="FLUID CAT CRACKING","FCC",IF(OR($H8615="HYDROCRACKING",$H8615="RESID_HYDROCRACKING"),"Hydrocracker",IF($H8615="REFORMING","Reformer",""))))</f>
        <v>CDU</v>
      </c>
      <c r="H8615" s="6" t="s">
        <v>38</v>
      </c>
      <c r="I8615" s="6" t="s">
        <v>123</v>
      </c>
      <c r="J8615" s="6" t="s">
        <v>349</v>
      </c>
      <c r="K8615" s="10">
        <v>96</v>
      </c>
      <c r="L8615" s="10">
        <v>96</v>
      </c>
      <c r="M8615" s="6" t="s">
        <v>371</v>
      </c>
    </row>
    <row r="8616" spans="1:13">
      <c r="A8616" s="6">
        <v>2027</v>
      </c>
      <c r="B8616" s="6">
        <v>6</v>
      </c>
      <c r="C8616" s="6" t="s">
        <v>64</v>
      </c>
      <c r="D8616" s="6" t="s">
        <v>329</v>
      </c>
      <c r="E8616" s="6" t="s">
        <v>427</v>
      </c>
      <c r="F8616" s="6" t="str">
        <f>IF($M8616="PADD I","PADD 1",IF($M8616="PADD II","PADD 2",IF($M8616="PADD III","PADD 3",IF($M8616="PADD IV","PADD 4",IF($M8616="PADD V","PADD 5","")))))</f>
        <v>PADD 3</v>
      </c>
      <c r="G8616" s="6" t="str">
        <f>IF(AND($H8616="ATMOS DISTILLATION",ISNUMBER(SEARCH("VPS",$I8616))=FALSE,LEFT($I8616,6)&lt;&gt;"VACUUM"),"CDU",IF($H8616="FLUID CAT CRACKING","FCC",IF(OR($H8616="HYDROCRACKING",$H8616="RESID_HYDROCRACKING"),"Hydrocracker",IF($H8616="REFORMING","Reformer",""))))</f>
        <v>FCC</v>
      </c>
      <c r="H8616" s="6" t="s">
        <v>376</v>
      </c>
      <c r="I8616" s="6" t="s">
        <v>428</v>
      </c>
      <c r="J8616" s="6" t="s">
        <v>349</v>
      </c>
      <c r="K8616" s="10">
        <v>68</v>
      </c>
      <c r="L8616" s="10">
        <v>68</v>
      </c>
      <c r="M8616" s="6" t="s">
        <v>371</v>
      </c>
    </row>
    <row r="8617" spans="1:13">
      <c r="A8617" s="6">
        <v>2027</v>
      </c>
      <c r="B8617" s="6">
        <v>6</v>
      </c>
      <c r="C8617" s="6" t="s">
        <v>64</v>
      </c>
      <c r="D8617" s="6" t="s">
        <v>50</v>
      </c>
      <c r="E8617" s="6" t="s">
        <v>381</v>
      </c>
      <c r="F8617" s="6" t="str">
        <f>IF($M8617="PADD I","PADD 1",IF($M8617="PADD II","PADD 2",IF($M8617="PADD III","PADD 3",IF($M8617="PADD IV","PADD 4",IF($M8617="PADD V","PADD 5","")))))</f>
        <v>PADD 3</v>
      </c>
      <c r="G8617" s="6">
        <f>IF(AND($H8617="ATMOS DISTILLATION",ISNUMBER(SEARCH("VPS",$I8617))=FALSE,LEFT($I8617,6)&lt;&gt;"VACUUM"),"CDU",IF($H8617="FLUID CAT CRACKING","FCC",IF(OR($H8617="HYDROCRACKING",$H8617="RESID_HYDROCRACKING"),"Hydrocracker",IF($H8617="REFORMING","Reformer",""))))</f>
        <v/>
      </c>
      <c r="H8617" s="6" t="s">
        <v>43</v>
      </c>
      <c r="I8617" s="6" t="s">
        <v>1397</v>
      </c>
      <c r="J8617" s="6" t="s">
        <v>349</v>
      </c>
      <c r="K8617" s="10">
        <v>42.75</v>
      </c>
      <c r="L8617" s="10">
        <v>75</v>
      </c>
      <c r="M8617" s="6" t="s">
        <v>371</v>
      </c>
    </row>
    <row r="8618" spans="1:13">
      <c r="A8618" s="6">
        <v>2027</v>
      </c>
      <c r="B8618" s="6">
        <v>6</v>
      </c>
      <c r="C8618" s="6" t="s">
        <v>64</v>
      </c>
      <c r="D8618" s="6" t="s">
        <v>333</v>
      </c>
      <c r="E8618" s="6" t="s">
        <v>381</v>
      </c>
      <c r="F8618" s="6" t="str">
        <f>IF($M8618="PADD I","PADD 1",IF($M8618="PADD II","PADD 2",IF($M8618="PADD III","PADD 3",IF($M8618="PADD IV","PADD 4",IF($M8618="PADD V","PADD 5","")))))</f>
        <v>PADD 3</v>
      </c>
      <c r="G8618" s="6">
        <f>IF(AND($H8618="ATMOS DISTILLATION",ISNUMBER(SEARCH("VPS",$I8618))=FALSE,LEFT($I8618,6)&lt;&gt;"VACUUM"),"CDU",IF($H8618="FLUID CAT CRACKING","FCC",IF(OR($H8618="HYDROCRACKING",$H8618="RESID_HYDROCRACKING"),"Hydrocracker",IF($H8618="REFORMING","Reformer",""))))</f>
        <v/>
      </c>
      <c r="H8618" s="6" t="s">
        <v>435</v>
      </c>
      <c r="I8618" s="6" t="s">
        <v>441</v>
      </c>
      <c r="J8618" s="6" t="s">
        <v>349</v>
      </c>
      <c r="K8618" s="10">
        <v>4.2</v>
      </c>
      <c r="L8618" s="10">
        <v>60</v>
      </c>
      <c r="M8618" s="6" t="s">
        <v>371</v>
      </c>
    </row>
    <row r="8619" spans="1:13">
      <c r="A8619" s="6">
        <v>2027</v>
      </c>
      <c r="B8619" s="6">
        <v>6</v>
      </c>
      <c r="C8619" s="6" t="s">
        <v>64</v>
      </c>
      <c r="D8619" s="6" t="s">
        <v>742</v>
      </c>
      <c r="E8619" s="6" t="s">
        <v>388</v>
      </c>
      <c r="F8619" s="6" t="str">
        <f>IF($M8619="PADD I","PADD 1",IF($M8619="PADD II","PADD 2",IF($M8619="PADD III","PADD 3",IF($M8619="PADD IV","PADD 4",IF($M8619="PADD V","PADD 5","")))))</f>
        <v>PADD 5</v>
      </c>
      <c r="G8619" s="6">
        <f>IF(AND($H8619="ATMOS DISTILLATION",ISNUMBER(SEARCH("VPS",$I8619))=FALSE,LEFT($I8619,6)&lt;&gt;"VACUUM"),"CDU",IF($H8619="FLUID CAT CRACKING","FCC",IF(OR($H8619="HYDROCRACKING",$H8619="RESID_HYDROCRACKING"),"Hydrocracker",IF($H8619="REFORMING","Reformer",""))))</f>
        <v/>
      </c>
      <c r="H8619" s="6" t="s">
        <v>568</v>
      </c>
      <c r="I8619" s="6" t="s">
        <v>768</v>
      </c>
      <c r="J8619" s="6" t="s">
        <v>349</v>
      </c>
      <c r="K8619" s="10">
        <v>3.5</v>
      </c>
      <c r="L8619" s="10">
        <v>3.5</v>
      </c>
      <c r="M8619" s="6" t="s">
        <v>386</v>
      </c>
    </row>
    <row r="8620" spans="1:13">
      <c r="A8620" s="6">
        <v>2027</v>
      </c>
      <c r="B8620" s="6">
        <v>6</v>
      </c>
      <c r="C8620" s="6" t="s">
        <v>64</v>
      </c>
      <c r="D8620" s="6" t="s">
        <v>437</v>
      </c>
      <c r="E8620" s="6" t="s">
        <v>438</v>
      </c>
      <c r="F8620" s="6" t="str">
        <f>IF($M8620="PADD I","PADD 1",IF($M8620="PADD II","PADD 2",IF($M8620="PADD III","PADD 3",IF($M8620="PADD IV","PADD 4",IF($M8620="PADD V","PADD 5","")))))</f>
        <v>PADD 4</v>
      </c>
      <c r="G8620" s="6">
        <f>IF(AND($H8620="ATMOS DISTILLATION",ISNUMBER(SEARCH("VPS",$I8620))=FALSE,LEFT($I8620,6)&lt;&gt;"VACUUM"),"CDU",IF($H8620="FLUID CAT CRACKING","FCC",IF(OR($H8620="HYDROCRACKING",$H8620="RESID_HYDROCRACKING"),"Hydrocracker",IF($H8620="REFORMING","Reformer",""))))</f>
        <v/>
      </c>
      <c r="H8620" s="6" t="s">
        <v>43</v>
      </c>
      <c r="I8620" s="6" t="s">
        <v>493</v>
      </c>
      <c r="J8620" s="6" t="s">
        <v>349</v>
      </c>
      <c r="K8620" s="10">
        <v>0.3</v>
      </c>
      <c r="L8620" s="10">
        <v>10</v>
      </c>
      <c r="M8620" s="6" t="s">
        <v>430</v>
      </c>
    </row>
    <row r="8621" spans="1:13">
      <c r="A8621" s="6">
        <v>2027</v>
      </c>
      <c r="B8621" s="6">
        <v>6</v>
      </c>
      <c r="C8621" s="6" t="s">
        <v>64</v>
      </c>
      <c r="D8621" s="6" t="s">
        <v>437</v>
      </c>
      <c r="E8621" s="6" t="s">
        <v>438</v>
      </c>
      <c r="F8621" s="6" t="str">
        <f>IF($M8621="PADD I","PADD 1",IF($M8621="PADD II","PADD 2",IF($M8621="PADD III","PADD 3",IF($M8621="PADD IV","PADD 4",IF($M8621="PADD V","PADD 5","")))))</f>
        <v>PADD 4</v>
      </c>
      <c r="G8621" s="6" t="str">
        <f>IF(AND($H8621="ATMOS DISTILLATION",ISNUMBER(SEARCH("VPS",$I8621))=FALSE,LEFT($I8621,6)&lt;&gt;"VACUUM"),"CDU",IF($H8621="FLUID CAT CRACKING","FCC",IF(OR($H8621="HYDROCRACKING",$H8621="RESID_HYDROCRACKING"),"Hydrocracker",IF($H8621="REFORMING","Reformer",""))))</f>
        <v>Reformer</v>
      </c>
      <c r="H8621" s="6" t="s">
        <v>421</v>
      </c>
      <c r="I8621" s="6" t="s">
        <v>557</v>
      </c>
      <c r="J8621" s="6" t="s">
        <v>349</v>
      </c>
      <c r="K8621" s="10">
        <v>0.3</v>
      </c>
      <c r="L8621" s="10">
        <v>10</v>
      </c>
      <c r="M8621" s="6" t="s">
        <v>430</v>
      </c>
    </row>
    <row r="8622" spans="1:13">
      <c r="A8622" s="6">
        <v>2027</v>
      </c>
      <c r="B8622" s="6">
        <v>6</v>
      </c>
      <c r="C8622" s="6" t="s">
        <v>64</v>
      </c>
      <c r="D8622" s="6" t="s">
        <v>437</v>
      </c>
      <c r="E8622" s="6" t="s">
        <v>438</v>
      </c>
      <c r="F8622" s="6" t="str">
        <f>IF($M8622="PADD I","PADD 1",IF($M8622="PADD II","PADD 2",IF($M8622="PADD III","PADD 3",IF($M8622="PADD IV","PADD 4",IF($M8622="PADD V","PADD 5","")))))</f>
        <v>PADD 4</v>
      </c>
      <c r="G8622" s="6" t="str">
        <f>IF(AND($H8622="ATMOS DISTILLATION",ISNUMBER(SEARCH("VPS",$I8622))=FALSE,LEFT($I8622,6)&lt;&gt;"VACUUM"),"CDU",IF($H8622="FLUID CAT CRACKING","FCC",IF(OR($H8622="HYDROCRACKING",$H8622="RESID_HYDROCRACKING"),"Hydrocracker",IF($H8622="REFORMING","Reformer",""))))</f>
        <v>FCC</v>
      </c>
      <c r="H8622" s="6" t="s">
        <v>376</v>
      </c>
      <c r="I8622" s="6" t="s">
        <v>428</v>
      </c>
      <c r="J8622" s="6" t="s">
        <v>349</v>
      </c>
      <c r="K8622" s="10">
        <v>0.255</v>
      </c>
      <c r="L8622" s="10">
        <v>8.5</v>
      </c>
      <c r="M8622" s="6" t="s">
        <v>430</v>
      </c>
    </row>
    <row r="8623" spans="1:13">
      <c r="A8623" s="6">
        <v>2027</v>
      </c>
      <c r="B8623" s="6">
        <v>7</v>
      </c>
      <c r="C8623" s="6" t="s">
        <v>65</v>
      </c>
      <c r="D8623" s="6" t="s">
        <v>329</v>
      </c>
      <c r="E8623" s="6" t="s">
        <v>427</v>
      </c>
      <c r="F8623" s="6" t="str">
        <f>IF($M8623="PADD I","PADD 1",IF($M8623="PADD II","PADD 2",IF($M8623="PADD III","PADD 3",IF($M8623="PADD IV","PADD 4",IF($M8623="PADD V","PADD 5","")))))</f>
        <v>PADD 3</v>
      </c>
      <c r="G8623" s="6" t="str">
        <f>IF(AND($H8623="ATMOS DISTILLATION",ISNUMBER(SEARCH("VPS",$I8623))=FALSE,LEFT($I8623,6)&lt;&gt;"VACUUM"),"CDU",IF($H8623="FLUID CAT CRACKING","FCC",IF(OR($H8623="HYDROCRACKING",$H8623="RESID_HYDROCRACKING"),"Hydrocracker",IF($H8623="REFORMING","Reformer",""))))</f>
        <v>CDU</v>
      </c>
      <c r="H8623" s="6" t="s">
        <v>38</v>
      </c>
      <c r="I8623" s="6" t="s">
        <v>123</v>
      </c>
      <c r="J8623" s="6" t="s">
        <v>349</v>
      </c>
      <c r="K8623" s="10">
        <v>96</v>
      </c>
      <c r="L8623" s="10">
        <v>96</v>
      </c>
      <c r="M8623" s="6" t="s">
        <v>371</v>
      </c>
    </row>
    <row r="8624" spans="1:13">
      <c r="A8624" s="6">
        <v>2027</v>
      </c>
      <c r="B8624" s="6">
        <v>7</v>
      </c>
      <c r="C8624" s="6" t="s">
        <v>65</v>
      </c>
      <c r="D8624" s="6" t="s">
        <v>329</v>
      </c>
      <c r="E8624" s="6" t="s">
        <v>427</v>
      </c>
      <c r="F8624" s="6" t="str">
        <f>IF($M8624="PADD I","PADD 1",IF($M8624="PADD II","PADD 2",IF($M8624="PADD III","PADD 3",IF($M8624="PADD IV","PADD 4",IF($M8624="PADD V","PADD 5","")))))</f>
        <v>PADD 3</v>
      </c>
      <c r="G8624" s="6" t="str">
        <f>IF(AND($H8624="ATMOS DISTILLATION",ISNUMBER(SEARCH("VPS",$I8624))=FALSE,LEFT($I8624,6)&lt;&gt;"VACUUM"),"CDU",IF($H8624="FLUID CAT CRACKING","FCC",IF(OR($H8624="HYDROCRACKING",$H8624="RESID_HYDROCRACKING"),"Hydrocracker",IF($H8624="REFORMING","Reformer",""))))</f>
        <v>FCC</v>
      </c>
      <c r="H8624" s="6" t="s">
        <v>376</v>
      </c>
      <c r="I8624" s="6" t="s">
        <v>428</v>
      </c>
      <c r="J8624" s="6" t="s">
        <v>349</v>
      </c>
      <c r="K8624" s="10">
        <v>68</v>
      </c>
      <c r="L8624" s="10">
        <v>68</v>
      </c>
      <c r="M8624" s="6" t="s">
        <v>371</v>
      </c>
    </row>
    <row r="8625" spans="1:13">
      <c r="A8625" s="6">
        <v>2027</v>
      </c>
      <c r="B8625" s="6">
        <v>7</v>
      </c>
      <c r="C8625" s="6" t="s">
        <v>65</v>
      </c>
      <c r="D8625" s="6" t="s">
        <v>742</v>
      </c>
      <c r="E8625" s="6" t="s">
        <v>388</v>
      </c>
      <c r="F8625" s="6" t="str">
        <f>IF($M8625="PADD I","PADD 1",IF($M8625="PADD II","PADD 2",IF($M8625="PADD III","PADD 3",IF($M8625="PADD IV","PADD 4",IF($M8625="PADD V","PADD 5","")))))</f>
        <v>PADD 5</v>
      </c>
      <c r="G8625" s="6">
        <f>IF(AND($H8625="ATMOS DISTILLATION",ISNUMBER(SEARCH("VPS",$I8625))=FALSE,LEFT($I8625,6)&lt;&gt;"VACUUM"),"CDU",IF($H8625="FLUID CAT CRACKING","FCC",IF(OR($H8625="HYDROCRACKING",$H8625="RESID_HYDROCRACKING"),"Hydrocracker",IF($H8625="REFORMING","Reformer",""))))</f>
        <v/>
      </c>
      <c r="H8625" s="6" t="s">
        <v>568</v>
      </c>
      <c r="I8625" s="6" t="s">
        <v>768</v>
      </c>
      <c r="J8625" s="6" t="s">
        <v>349</v>
      </c>
      <c r="K8625" s="10">
        <v>3.5</v>
      </c>
      <c r="L8625" s="10">
        <v>3.5</v>
      </c>
      <c r="M8625" s="6" t="s">
        <v>386</v>
      </c>
    </row>
    <row r="8626" spans="1:13">
      <c r="A8626" s="6">
        <v>2027</v>
      </c>
      <c r="B8626" s="6">
        <v>8</v>
      </c>
      <c r="C8626" s="6" t="s">
        <v>66</v>
      </c>
      <c r="D8626" s="6" t="s">
        <v>329</v>
      </c>
      <c r="E8626" s="6" t="s">
        <v>427</v>
      </c>
      <c r="F8626" s="6" t="str">
        <f>IF($M8626="PADD I","PADD 1",IF($M8626="PADD II","PADD 2",IF($M8626="PADD III","PADD 3",IF($M8626="PADD IV","PADD 4",IF($M8626="PADD V","PADD 5","")))))</f>
        <v>PADD 3</v>
      </c>
      <c r="G8626" s="6" t="str">
        <f>IF(AND($H8626="ATMOS DISTILLATION",ISNUMBER(SEARCH("VPS",$I8626))=FALSE,LEFT($I8626,6)&lt;&gt;"VACUUM"),"CDU",IF($H8626="FLUID CAT CRACKING","FCC",IF(OR($H8626="HYDROCRACKING",$H8626="RESID_HYDROCRACKING"),"Hydrocracker",IF($H8626="REFORMING","Reformer",""))))</f>
        <v>CDU</v>
      </c>
      <c r="H8626" s="6" t="s">
        <v>38</v>
      </c>
      <c r="I8626" s="6" t="s">
        <v>123</v>
      </c>
      <c r="J8626" s="6" t="s">
        <v>349</v>
      </c>
      <c r="K8626" s="10">
        <v>27.84</v>
      </c>
      <c r="L8626" s="10">
        <v>96</v>
      </c>
      <c r="M8626" s="6" t="s">
        <v>371</v>
      </c>
    </row>
    <row r="8627" spans="1:13">
      <c r="A8627" s="6">
        <v>2027</v>
      </c>
      <c r="B8627" s="6">
        <v>8</v>
      </c>
      <c r="C8627" s="6" t="s">
        <v>66</v>
      </c>
      <c r="D8627" s="6" t="s">
        <v>329</v>
      </c>
      <c r="E8627" s="6" t="s">
        <v>427</v>
      </c>
      <c r="F8627" s="6" t="str">
        <f>IF($M8627="PADD I","PADD 1",IF($M8627="PADD II","PADD 2",IF($M8627="PADD III","PADD 3",IF($M8627="PADD IV","PADD 4",IF($M8627="PADD V","PADD 5","")))))</f>
        <v>PADD 3</v>
      </c>
      <c r="G8627" s="6" t="str">
        <f>IF(AND($H8627="ATMOS DISTILLATION",ISNUMBER(SEARCH("VPS",$I8627))=FALSE,LEFT($I8627,6)&lt;&gt;"VACUUM"),"CDU",IF($H8627="FLUID CAT CRACKING","FCC",IF(OR($H8627="HYDROCRACKING",$H8627="RESID_HYDROCRACKING"),"Hydrocracker",IF($H8627="REFORMING","Reformer",""))))</f>
        <v>FCC</v>
      </c>
      <c r="H8627" s="6" t="s">
        <v>376</v>
      </c>
      <c r="I8627" s="6" t="s">
        <v>428</v>
      </c>
      <c r="J8627" s="6" t="s">
        <v>349</v>
      </c>
      <c r="K8627" s="10">
        <v>19.72</v>
      </c>
      <c r="L8627" s="10">
        <v>68</v>
      </c>
      <c r="M8627" s="6" t="s">
        <v>371</v>
      </c>
    </row>
    <row r="8628" spans="1:13">
      <c r="A8628" s="6">
        <v>2027</v>
      </c>
      <c r="B8628" s="6">
        <v>8</v>
      </c>
      <c r="C8628" s="6" t="s">
        <v>66</v>
      </c>
      <c r="D8628" s="6" t="s">
        <v>742</v>
      </c>
      <c r="E8628" s="6" t="s">
        <v>388</v>
      </c>
      <c r="F8628" s="6" t="str">
        <f>IF($M8628="PADD I","PADD 1",IF($M8628="PADD II","PADD 2",IF($M8628="PADD III","PADD 3",IF($M8628="PADD IV","PADD 4",IF($M8628="PADD V","PADD 5","")))))</f>
        <v>PADD 5</v>
      </c>
      <c r="G8628" s="6">
        <f>IF(AND($H8628="ATMOS DISTILLATION",ISNUMBER(SEARCH("VPS",$I8628))=FALSE,LEFT($I8628,6)&lt;&gt;"VACUUM"),"CDU",IF($H8628="FLUID CAT CRACKING","FCC",IF(OR($H8628="HYDROCRACKING",$H8628="RESID_HYDROCRACKING"),"Hydrocracker",IF($H8628="REFORMING","Reformer",""))))</f>
        <v/>
      </c>
      <c r="H8628" s="6" t="s">
        <v>568</v>
      </c>
      <c r="I8628" s="6" t="s">
        <v>768</v>
      </c>
      <c r="J8628" s="6" t="s">
        <v>349</v>
      </c>
      <c r="K8628" s="10">
        <v>3.5</v>
      </c>
      <c r="L8628" s="10">
        <v>3.5</v>
      </c>
      <c r="M8628" s="6" t="s">
        <v>386</v>
      </c>
    </row>
    <row r="8629" spans="1:13">
      <c r="A8629" s="6">
        <v>2027</v>
      </c>
      <c r="B8629" s="6">
        <v>9</v>
      </c>
      <c r="C8629" s="6" t="s">
        <v>67</v>
      </c>
      <c r="D8629" s="6" t="s">
        <v>490</v>
      </c>
      <c r="E8629" s="6" t="s">
        <v>491</v>
      </c>
      <c r="F8629" s="6" t="str">
        <f>IF($M8629="PADD I","PADD 1",IF($M8629="PADD II","PADD 2",IF($M8629="PADD III","PADD 3",IF($M8629="PADD IV","PADD 4",IF($M8629="PADD V","PADD 5","")))))</f>
        <v>PADD 3</v>
      </c>
      <c r="G8629" s="6">
        <f>IF(AND($H8629="ATMOS DISTILLATION",ISNUMBER(SEARCH("VPS",$I8629))=FALSE,LEFT($I8629,6)&lt;&gt;"VACUUM"),"CDU",IF($H8629="FLUID CAT CRACKING","FCC",IF(OR($H8629="HYDROCRACKING",$H8629="RESID_HYDROCRACKING"),"Hydrocracker",IF($H8629="REFORMING","Reformer",""))))</f>
        <v/>
      </c>
      <c r="H8629" s="6" t="s">
        <v>38</v>
      </c>
      <c r="I8629" s="6" t="s">
        <v>1080</v>
      </c>
      <c r="J8629" s="6" t="s">
        <v>349</v>
      </c>
      <c r="K8629" s="10">
        <v>325.5</v>
      </c>
      <c r="L8629" s="10">
        <v>350</v>
      </c>
      <c r="M8629" s="6" t="s">
        <v>371</v>
      </c>
    </row>
    <row r="8630" spans="1:13">
      <c r="A8630" s="6">
        <v>2027</v>
      </c>
      <c r="B8630" s="6">
        <v>9</v>
      </c>
      <c r="C8630" s="6" t="s">
        <v>67</v>
      </c>
      <c r="D8630" s="6" t="s">
        <v>324</v>
      </c>
      <c r="E8630" s="6" t="s">
        <v>388</v>
      </c>
      <c r="F8630" s="6" t="str">
        <f>IF($M8630="PADD I","PADD 1",IF($M8630="PADD II","PADD 2",IF($M8630="PADD III","PADD 3",IF($M8630="PADD IV","PADD 4",IF($M8630="PADD V","PADD 5","")))))</f>
        <v>PADD 3</v>
      </c>
      <c r="G8630" s="6" t="str">
        <f>IF(AND($H8630="ATMOS DISTILLATION",ISNUMBER(SEARCH("VPS",$I8630))=FALSE,LEFT($I8630,6)&lt;&gt;"VACUUM"),"CDU",IF($H8630="FLUID CAT CRACKING","FCC",IF(OR($H8630="HYDROCRACKING",$H8630="RESID_HYDROCRACKING"),"Hydrocracker",IF($H8630="REFORMING","Reformer",""))))</f>
        <v>CDU</v>
      </c>
      <c r="H8630" s="6" t="s">
        <v>38</v>
      </c>
      <c r="I8630" s="6" t="s">
        <v>98</v>
      </c>
      <c r="J8630" s="6" t="s">
        <v>349</v>
      </c>
      <c r="K8630" s="10">
        <v>134.85</v>
      </c>
      <c r="L8630" s="10">
        <v>145</v>
      </c>
      <c r="M8630" s="6" t="s">
        <v>371</v>
      </c>
    </row>
    <row r="8631" spans="1:13">
      <c r="A8631" s="6">
        <v>2027</v>
      </c>
      <c r="B8631" s="6">
        <v>9</v>
      </c>
      <c r="C8631" s="6" t="s">
        <v>67</v>
      </c>
      <c r="D8631" s="6" t="s">
        <v>324</v>
      </c>
      <c r="E8631" s="6" t="s">
        <v>388</v>
      </c>
      <c r="F8631" s="6" t="str">
        <f>IF($M8631="PADD I","PADD 1",IF($M8631="PADD II","PADD 2",IF($M8631="PADD III","PADD 3",IF($M8631="PADD IV","PADD 4",IF($M8631="PADD V","PADD 5","")))))</f>
        <v>PADD 3</v>
      </c>
      <c r="G8631" s="6" t="str">
        <f>IF(AND($H8631="ATMOS DISTILLATION",ISNUMBER(SEARCH("VPS",$I8631))=FALSE,LEFT($I8631,6)&lt;&gt;"VACUUM"),"CDU",IF($H8631="FLUID CAT CRACKING","FCC",IF(OR($H8631="HYDROCRACKING",$H8631="RESID_HYDROCRACKING"),"Hydrocracker",IF($H8631="REFORMING","Reformer",""))))</f>
        <v>CDU</v>
      </c>
      <c r="H8631" s="6" t="s">
        <v>38</v>
      </c>
      <c r="I8631" s="6" t="s">
        <v>96</v>
      </c>
      <c r="J8631" s="6" t="s">
        <v>349</v>
      </c>
      <c r="K8631" s="10">
        <v>134.85</v>
      </c>
      <c r="L8631" s="10">
        <v>145</v>
      </c>
      <c r="M8631" s="6" t="s">
        <v>371</v>
      </c>
    </row>
    <row r="8632" spans="1:13">
      <c r="A8632" s="6">
        <v>2027</v>
      </c>
      <c r="B8632" s="6">
        <v>9</v>
      </c>
      <c r="C8632" s="6" t="s">
        <v>67</v>
      </c>
      <c r="D8632" s="6" t="s">
        <v>670</v>
      </c>
      <c r="E8632" s="6" t="s">
        <v>405</v>
      </c>
      <c r="F8632" s="6" t="str">
        <f>IF($M8632="PADD I","PADD 1",IF($M8632="PADD II","PADD 2",IF($M8632="PADD III","PADD 3",IF($M8632="PADD IV","PADD 4",IF($M8632="PADD V","PADD 5","")))))</f>
        <v>PADD 2</v>
      </c>
      <c r="G8632" s="6" t="str">
        <f>IF(AND($H8632="ATMOS DISTILLATION",ISNUMBER(SEARCH("VPS",$I8632))=FALSE,LEFT($I8632,6)&lt;&gt;"VACUUM"),"CDU",IF($H8632="FLUID CAT CRACKING","FCC",IF(OR($H8632="HYDROCRACKING",$H8632="RESID_HYDROCRACKING"),"Hydrocracker",IF($H8632="REFORMING","Reformer",""))))</f>
        <v>CDU</v>
      </c>
      <c r="H8632" s="6" t="s">
        <v>38</v>
      </c>
      <c r="I8632" s="6" t="s">
        <v>107</v>
      </c>
      <c r="J8632" s="6" t="s">
        <v>349</v>
      </c>
      <c r="K8632" s="10">
        <v>110</v>
      </c>
      <c r="L8632" s="10">
        <v>110</v>
      </c>
      <c r="M8632" s="6" t="s">
        <v>375</v>
      </c>
    </row>
    <row r="8633" spans="1:13">
      <c r="A8633" s="6">
        <v>2027</v>
      </c>
      <c r="B8633" s="6">
        <v>9</v>
      </c>
      <c r="C8633" s="6" t="s">
        <v>67</v>
      </c>
      <c r="D8633" s="6" t="s">
        <v>490</v>
      </c>
      <c r="E8633" s="6" t="s">
        <v>491</v>
      </c>
      <c r="F8633" s="6" t="str">
        <f>IF($M8633="PADD I","PADD 1",IF($M8633="PADD II","PADD 2",IF($M8633="PADD III","PADD 3",IF($M8633="PADD IV","PADD 4",IF($M8633="PADD V","PADD 5","")))))</f>
        <v>PADD 3</v>
      </c>
      <c r="G8633" s="6">
        <f>IF(AND($H8633="ATMOS DISTILLATION",ISNUMBER(SEARCH("VPS",$I8633))=FALSE,LEFT($I8633,6)&lt;&gt;"VACUUM"),"CDU",IF($H8633="FLUID CAT CRACKING","FCC",IF(OR($H8633="HYDROCRACKING",$H8633="RESID_HYDROCRACKING"),"Hydrocracker",IF($H8633="REFORMING","Reformer",""))))</f>
        <v/>
      </c>
      <c r="H8633" s="6" t="s">
        <v>435</v>
      </c>
      <c r="I8633" s="6" t="s">
        <v>643</v>
      </c>
      <c r="J8633" s="6" t="s">
        <v>349</v>
      </c>
      <c r="K8633" s="10">
        <v>102.3</v>
      </c>
      <c r="L8633" s="10">
        <v>110</v>
      </c>
      <c r="M8633" s="6" t="s">
        <v>371</v>
      </c>
    </row>
    <row r="8634" spans="1:13">
      <c r="A8634" s="6">
        <v>2027</v>
      </c>
      <c r="B8634" s="6">
        <v>9</v>
      </c>
      <c r="C8634" s="6" t="s">
        <v>67</v>
      </c>
      <c r="D8634" s="6" t="s">
        <v>602</v>
      </c>
      <c r="E8634" s="6" t="s">
        <v>369</v>
      </c>
      <c r="F8634" s="6" t="str">
        <f>IF($M8634="PADD I","PADD 1",IF($M8634="PADD II","PADD 2",IF($M8634="PADD III","PADD 3",IF($M8634="PADD IV","PADD 4",IF($M8634="PADD V","PADD 5","")))))</f>
        <v>PADD 2</v>
      </c>
      <c r="G8634" s="6" t="str">
        <f>IF(AND($H8634="ATMOS DISTILLATION",ISNUMBER(SEARCH("VPS",$I8634))=FALSE,LEFT($I8634,6)&lt;&gt;"VACUUM"),"CDU",IF($H8634="FLUID CAT CRACKING","FCC",IF(OR($H8634="HYDROCRACKING",$H8634="RESID_HYDROCRACKING"),"Hydrocracker",IF($H8634="REFORMING","Reformer",""))))</f>
        <v>CDU</v>
      </c>
      <c r="H8634" s="6" t="s">
        <v>38</v>
      </c>
      <c r="I8634" s="6" t="s">
        <v>129</v>
      </c>
      <c r="J8634" s="6" t="s">
        <v>349</v>
      </c>
      <c r="K8634" s="10">
        <v>95</v>
      </c>
      <c r="L8634" s="10">
        <v>95</v>
      </c>
      <c r="M8634" s="6" t="s">
        <v>375</v>
      </c>
    </row>
    <row r="8635" spans="1:13">
      <c r="A8635" s="6">
        <v>2027</v>
      </c>
      <c r="B8635" s="6">
        <v>9</v>
      </c>
      <c r="C8635" s="6" t="s">
        <v>67</v>
      </c>
      <c r="D8635" s="6" t="s">
        <v>542</v>
      </c>
      <c r="E8635" s="6" t="s">
        <v>543</v>
      </c>
      <c r="F8635" s="6" t="str">
        <f>IF($M8635="PADD I","PADD 1",IF($M8635="PADD II","PADD 2",IF($M8635="PADD III","PADD 3",IF($M8635="PADD IV","PADD 4",IF($M8635="PADD V","PADD 5","")))))</f>
        <v>PADD 2</v>
      </c>
      <c r="G8635" s="6">
        <f>IF(AND($H8635="ATMOS DISTILLATION",ISNUMBER(SEARCH("VPS",$I8635))=FALSE,LEFT($I8635,6)&lt;&gt;"VACUUM"),"CDU",IF($H8635="FLUID CAT CRACKING","FCC",IF(OR($H8635="HYDROCRACKING",$H8635="RESID_HYDROCRACKING"),"Hydrocracker",IF($H8635="REFORMING","Reformer",""))))</f>
        <v/>
      </c>
      <c r="H8635" s="6" t="s">
        <v>435</v>
      </c>
      <c r="I8635" s="6" t="s">
        <v>441</v>
      </c>
      <c r="J8635" s="6" t="s">
        <v>349</v>
      </c>
      <c r="K8635" s="10">
        <v>94.86</v>
      </c>
      <c r="L8635" s="10">
        <v>102</v>
      </c>
      <c r="M8635" s="6" t="s">
        <v>375</v>
      </c>
    </row>
    <row r="8636" spans="1:13">
      <c r="A8636" s="6">
        <v>2027</v>
      </c>
      <c r="B8636" s="6">
        <v>9</v>
      </c>
      <c r="C8636" s="6" t="s">
        <v>67</v>
      </c>
      <c r="D8636" s="6" t="s">
        <v>490</v>
      </c>
      <c r="E8636" s="6" t="s">
        <v>491</v>
      </c>
      <c r="F8636" s="6" t="str">
        <f>IF($M8636="PADD I","PADD 1",IF($M8636="PADD II","PADD 2",IF($M8636="PADD III","PADD 3",IF($M8636="PADD IV","PADD 4",IF($M8636="PADD V","PADD 5","")))))</f>
        <v>PADD 3</v>
      </c>
      <c r="G8636" s="6">
        <f>IF(AND($H8636="ATMOS DISTILLATION",ISNUMBER(SEARCH("VPS",$I8636))=FALSE,LEFT($I8636,6)&lt;&gt;"VACUUM"),"CDU",IF($H8636="FLUID CAT CRACKING","FCC",IF(OR($H8636="HYDROCRACKING",$H8636="RESID_HYDROCRACKING"),"Hydrocracker",IF($H8636="REFORMING","Reformer",""))))</f>
        <v/>
      </c>
      <c r="H8636" s="6" t="s">
        <v>38</v>
      </c>
      <c r="I8636" s="6" t="s">
        <v>492</v>
      </c>
      <c r="J8636" s="6" t="s">
        <v>349</v>
      </c>
      <c r="K8636" s="10">
        <v>94</v>
      </c>
      <c r="L8636" s="10">
        <v>200</v>
      </c>
      <c r="M8636" s="6" t="s">
        <v>371</v>
      </c>
    </row>
    <row r="8637" spans="1:13">
      <c r="A8637" s="6">
        <v>2027</v>
      </c>
      <c r="B8637" s="6">
        <v>9</v>
      </c>
      <c r="C8637" s="6" t="s">
        <v>67</v>
      </c>
      <c r="D8637" s="6" t="s">
        <v>324</v>
      </c>
      <c r="E8637" s="6" t="s">
        <v>388</v>
      </c>
      <c r="F8637" s="6" t="str">
        <f>IF($M8637="PADD I","PADD 1",IF($M8637="PADD II","PADD 2",IF($M8637="PADD III","PADD 3",IF($M8637="PADD IV","PADD 4",IF($M8637="PADD V","PADD 5","")))))</f>
        <v>PADD 3</v>
      </c>
      <c r="G8637" s="6">
        <f>IF(AND($H8637="ATMOS DISTILLATION",ISNUMBER(SEARCH("VPS",$I8637))=FALSE,LEFT($I8637,6)&lt;&gt;"VACUUM"),"CDU",IF($H8637="FLUID CAT CRACKING","FCC",IF(OR($H8637="HYDROCRACKING",$H8637="RESID_HYDROCRACKING"),"Hydrocracker",IF($H8637="REFORMING","Reformer",""))))</f>
        <v/>
      </c>
      <c r="H8637" s="6" t="s">
        <v>43</v>
      </c>
      <c r="I8637" s="6" t="s">
        <v>948</v>
      </c>
      <c r="J8637" s="6" t="s">
        <v>349</v>
      </c>
      <c r="K8637" s="10">
        <v>87.42</v>
      </c>
      <c r="L8637" s="10">
        <v>94</v>
      </c>
      <c r="M8637" s="6" t="s">
        <v>371</v>
      </c>
    </row>
    <row r="8638" spans="1:13">
      <c r="A8638" s="6">
        <v>2027</v>
      </c>
      <c r="B8638" s="6">
        <v>9</v>
      </c>
      <c r="C8638" s="6" t="s">
        <v>67</v>
      </c>
      <c r="D8638" s="6" t="s">
        <v>739</v>
      </c>
      <c r="E8638" s="6" t="s">
        <v>405</v>
      </c>
      <c r="F8638" s="6" t="str">
        <f>IF($M8638="PADD I","PADD 1",IF($M8638="PADD II","PADD 2",IF($M8638="PADD III","PADD 3",IF($M8638="PADD IV","PADD 4",IF($M8638="PADD V","PADD 5","")))))</f>
        <v>PADD 2</v>
      </c>
      <c r="G8638" s="6" t="str">
        <f>IF(AND($H8638="ATMOS DISTILLATION",ISNUMBER(SEARCH("VPS",$I8638))=FALSE,LEFT($I8638,6)&lt;&gt;"VACUUM"),"CDU",IF($H8638="FLUID CAT CRACKING","FCC",IF(OR($H8638="HYDROCRACKING",$H8638="RESID_HYDROCRACKING"),"Hydrocracker",IF($H8638="REFORMING","Reformer",""))))</f>
        <v>CDU</v>
      </c>
      <c r="H8638" s="6" t="s">
        <v>38</v>
      </c>
      <c r="I8638" s="6" t="s">
        <v>133</v>
      </c>
      <c r="J8638" s="6" t="s">
        <v>349</v>
      </c>
      <c r="K8638" s="10">
        <v>85.095</v>
      </c>
      <c r="L8638" s="10">
        <v>91.5</v>
      </c>
      <c r="M8638" s="6" t="s">
        <v>375</v>
      </c>
    </row>
    <row r="8639" spans="1:13">
      <c r="A8639" s="6">
        <v>2027</v>
      </c>
      <c r="B8639" s="6">
        <v>9</v>
      </c>
      <c r="C8639" s="6" t="s">
        <v>67</v>
      </c>
      <c r="D8639" s="6" t="s">
        <v>490</v>
      </c>
      <c r="E8639" s="6" t="s">
        <v>491</v>
      </c>
      <c r="F8639" s="6" t="str">
        <f>IF($M8639="PADD I","PADD 1",IF($M8639="PADD II","PADD 2",IF($M8639="PADD III","PADD 3",IF($M8639="PADD IV","PADD 4",IF($M8639="PADD V","PADD 5","")))))</f>
        <v>PADD 3</v>
      </c>
      <c r="G8639" s="6">
        <f>IF(AND($H8639="ATMOS DISTILLATION",ISNUMBER(SEARCH("VPS",$I8639))=FALSE,LEFT($I8639,6)&lt;&gt;"VACUUM"),"CDU",IF($H8639="FLUID CAT CRACKING","FCC",IF(OR($H8639="HYDROCRACKING",$H8639="RESID_HYDROCRACKING"),"Hydrocracker",IF($H8639="REFORMING","Reformer",""))))</f>
        <v/>
      </c>
      <c r="H8639" s="6" t="s">
        <v>43</v>
      </c>
      <c r="I8639" s="6" t="s">
        <v>1398</v>
      </c>
      <c r="J8639" s="6" t="s">
        <v>349</v>
      </c>
      <c r="K8639" s="10">
        <v>80</v>
      </c>
      <c r="L8639" s="10">
        <v>80</v>
      </c>
      <c r="M8639" s="6" t="s">
        <v>371</v>
      </c>
    </row>
    <row r="8640" spans="1:13">
      <c r="A8640" s="6">
        <v>2027</v>
      </c>
      <c r="B8640" s="6">
        <v>9</v>
      </c>
      <c r="C8640" s="6" t="s">
        <v>67</v>
      </c>
      <c r="D8640" s="6" t="s">
        <v>446</v>
      </c>
      <c r="E8640" s="6" t="s">
        <v>391</v>
      </c>
      <c r="F8640" s="6" t="str">
        <f>IF($M8640="PADD I","PADD 1",IF($M8640="PADD II","PADD 2",IF($M8640="PADD III","PADD 3",IF($M8640="PADD IV","PADD 4",IF($M8640="PADD V","PADD 5","")))))</f>
        <v>PADD 3</v>
      </c>
      <c r="G8640" s="6" t="str">
        <f>IF(AND($H8640="ATMOS DISTILLATION",ISNUMBER(SEARCH("VPS",$I8640))=FALSE,LEFT($I8640,6)&lt;&gt;"VACUUM"),"CDU",IF($H8640="FLUID CAT CRACKING","FCC",IF(OR($H8640="HYDROCRACKING",$H8640="RESID_HYDROCRACKING"),"Hydrocracker",IF($H8640="REFORMING","Reformer",""))))</f>
        <v>CDU</v>
      </c>
      <c r="H8640" s="6" t="s">
        <v>38</v>
      </c>
      <c r="I8640" s="6" t="s">
        <v>81</v>
      </c>
      <c r="J8640" s="6" t="s">
        <v>349</v>
      </c>
      <c r="K8640" s="10">
        <v>70</v>
      </c>
      <c r="L8640" s="10">
        <v>100</v>
      </c>
      <c r="M8640" s="6" t="s">
        <v>371</v>
      </c>
    </row>
    <row r="8641" spans="1:13">
      <c r="A8641" s="6">
        <v>2027</v>
      </c>
      <c r="B8641" s="6">
        <v>9</v>
      </c>
      <c r="C8641" s="6" t="s">
        <v>67</v>
      </c>
      <c r="D8641" s="6" t="s">
        <v>1060</v>
      </c>
      <c r="E8641" s="6" t="s">
        <v>1039</v>
      </c>
      <c r="F8641" s="6" t="str">
        <f>IF($M8641="PADD I","PADD 1",IF($M8641="PADD II","PADD 2",IF($M8641="PADD III","PADD 3",IF($M8641="PADD IV","PADD 4",IF($M8641="PADD V","PADD 5","")))))</f>
        <v>PADD 2</v>
      </c>
      <c r="G8641" s="6" t="str">
        <f>IF(AND($H8641="ATMOS DISTILLATION",ISNUMBER(SEARCH("VPS",$I8641))=FALSE,LEFT($I8641,6)&lt;&gt;"VACUUM"),"CDU",IF($H8641="FLUID CAT CRACKING","FCC",IF(OR($H8641="HYDROCRACKING",$H8641="RESID_HYDROCRACKING"),"Hydrocracker",IF($H8641="REFORMING","Reformer",""))))</f>
        <v>FCC</v>
      </c>
      <c r="H8641" s="6" t="s">
        <v>376</v>
      </c>
      <c r="I8641" s="6" t="s">
        <v>105</v>
      </c>
      <c r="J8641" s="6" t="s">
        <v>349</v>
      </c>
      <c r="K8641" s="10">
        <v>68.59999999999999</v>
      </c>
      <c r="L8641" s="10">
        <v>98</v>
      </c>
      <c r="M8641" s="6" t="s">
        <v>375</v>
      </c>
    </row>
    <row r="8642" spans="1:13">
      <c r="A8642" s="6">
        <v>2027</v>
      </c>
      <c r="B8642" s="6">
        <v>9</v>
      </c>
      <c r="C8642" s="6" t="s">
        <v>67</v>
      </c>
      <c r="D8642" s="6" t="s">
        <v>576</v>
      </c>
      <c r="E8642" s="6" t="s">
        <v>369</v>
      </c>
      <c r="F8642" s="6" t="str">
        <f>IF($M8642="PADD I","PADD 1",IF($M8642="PADD II","PADD 2",IF($M8642="PADD III","PADD 3",IF($M8642="PADD IV","PADD 4",IF($M8642="PADD V","PADD 5","")))))</f>
        <v>PADD 3</v>
      </c>
      <c r="G8642" s="6" t="str">
        <f>IF(AND($H8642="ATMOS DISTILLATION",ISNUMBER(SEARCH("VPS",$I8642))=FALSE,LEFT($I8642,6)&lt;&gt;"VACUUM"),"CDU",IF($H8642="FLUID CAT CRACKING","FCC",IF(OR($H8642="HYDROCRACKING",$H8642="RESID_HYDROCRACKING"),"Hydrocracker",IF($H8642="REFORMING","Reformer",""))))</f>
        <v>CDU</v>
      </c>
      <c r="H8642" s="6" t="s">
        <v>38</v>
      </c>
      <c r="I8642" s="6" t="s">
        <v>110</v>
      </c>
      <c r="J8642" s="6" t="s">
        <v>349</v>
      </c>
      <c r="K8642" s="10">
        <v>66</v>
      </c>
      <c r="L8642" s="10">
        <v>110</v>
      </c>
      <c r="M8642" s="6" t="s">
        <v>371</v>
      </c>
    </row>
    <row r="8643" spans="1:13">
      <c r="A8643" s="6">
        <v>2027</v>
      </c>
      <c r="B8643" s="6">
        <v>9</v>
      </c>
      <c r="C8643" s="6" t="s">
        <v>67</v>
      </c>
      <c r="D8643" s="6" t="s">
        <v>380</v>
      </c>
      <c r="E8643" s="6" t="s">
        <v>381</v>
      </c>
      <c r="F8643" s="6" t="str">
        <f>IF($M8643="PADD I","PADD 1",IF($M8643="PADD II","PADD 2",IF($M8643="PADD III","PADD 3",IF($M8643="PADD IV","PADD 4",IF($M8643="PADD V","PADD 5","")))))</f>
        <v>PADD 3</v>
      </c>
      <c r="G8643" s="6" t="str">
        <f>IF(AND($H8643="ATMOS DISTILLATION",ISNUMBER(SEARCH("VPS",$I8643))=FALSE,LEFT($I8643,6)&lt;&gt;"VACUUM"),"CDU",IF($H8643="FLUID CAT CRACKING","FCC",IF(OR($H8643="HYDROCRACKING",$H8643="RESID_HYDROCRACKING"),"Hydrocracker",IF($H8643="REFORMING","Reformer",""))))</f>
        <v>CDU</v>
      </c>
      <c r="H8643" s="6" t="s">
        <v>38</v>
      </c>
      <c r="I8643" s="6" t="s">
        <v>114</v>
      </c>
      <c r="J8643" s="6" t="s">
        <v>349</v>
      </c>
      <c r="K8643" s="10">
        <v>62.7</v>
      </c>
      <c r="L8643" s="10">
        <v>110</v>
      </c>
      <c r="M8643" s="6" t="s">
        <v>371</v>
      </c>
    </row>
    <row r="8644" spans="1:13">
      <c r="A8644" s="6">
        <v>2027</v>
      </c>
      <c r="B8644" s="6">
        <v>9</v>
      </c>
      <c r="C8644" s="6" t="s">
        <v>67</v>
      </c>
      <c r="D8644" s="6" t="s">
        <v>387</v>
      </c>
      <c r="E8644" s="6" t="s">
        <v>388</v>
      </c>
      <c r="F8644" s="6" t="str">
        <f>IF($M8644="PADD I","PADD 1",IF($M8644="PADD II","PADD 2",IF($M8644="PADD III","PADD 3",IF($M8644="PADD IV","PADD 4",IF($M8644="PADD V","PADD 5","")))))</f>
        <v>PADD 3</v>
      </c>
      <c r="G8644" s="6" t="str">
        <f>IF(AND($H8644="ATMOS DISTILLATION",ISNUMBER(SEARCH("VPS",$I8644))=FALSE,LEFT($I8644,6)&lt;&gt;"VACUUM"),"CDU",IF($H8644="FLUID CAT CRACKING","FCC",IF(OR($H8644="HYDROCRACKING",$H8644="RESID_HYDROCRACKING"),"Hydrocracker",IF($H8644="REFORMING","Reformer",""))))</f>
        <v>Hydrocracker</v>
      </c>
      <c r="H8644" s="6" t="s">
        <v>444</v>
      </c>
      <c r="I8644" s="6" t="s">
        <v>476</v>
      </c>
      <c r="J8644" s="6" t="s">
        <v>349</v>
      </c>
      <c r="K8644" s="10">
        <v>55.8</v>
      </c>
      <c r="L8644" s="10">
        <v>60</v>
      </c>
      <c r="M8644" s="6" t="s">
        <v>371</v>
      </c>
    </row>
    <row r="8645" spans="1:13">
      <c r="A8645" s="6">
        <v>2027</v>
      </c>
      <c r="B8645" s="6">
        <v>9</v>
      </c>
      <c r="C8645" s="6" t="s">
        <v>67</v>
      </c>
      <c r="D8645" s="6" t="s">
        <v>542</v>
      </c>
      <c r="E8645" s="6" t="s">
        <v>543</v>
      </c>
      <c r="F8645" s="6" t="str">
        <f>IF($M8645="PADD I","PADD 1",IF($M8645="PADD II","PADD 2",IF($M8645="PADD III","PADD 3",IF($M8645="PADD IV","PADD 4",IF($M8645="PADD V","PADD 5","")))))</f>
        <v>PADD 2</v>
      </c>
      <c r="G8645" s="6" t="str">
        <f>IF(AND($H8645="ATMOS DISTILLATION",ISNUMBER(SEARCH("VPS",$I8645))=FALSE,LEFT($I8645,6)&lt;&gt;"VACUUM"),"CDU",IF($H8645="FLUID CAT CRACKING","FCC",IF(OR($H8645="HYDROCRACKING",$H8645="RESID_HYDROCRACKING"),"Hydrocracker",IF($H8645="REFORMING","Reformer",""))))</f>
        <v>Reformer</v>
      </c>
      <c r="H8645" s="6" t="s">
        <v>421</v>
      </c>
      <c r="I8645" s="6" t="s">
        <v>1114</v>
      </c>
      <c r="J8645" s="6" t="s">
        <v>349</v>
      </c>
      <c r="K8645" s="10">
        <v>55.8</v>
      </c>
      <c r="L8645" s="10">
        <v>60</v>
      </c>
      <c r="M8645" s="6" t="s">
        <v>375</v>
      </c>
    </row>
    <row r="8646" spans="1:13">
      <c r="A8646" s="6">
        <v>2027</v>
      </c>
      <c r="B8646" s="6">
        <v>9</v>
      </c>
      <c r="C8646" s="6" t="s">
        <v>67</v>
      </c>
      <c r="D8646" s="6" t="s">
        <v>511</v>
      </c>
      <c r="E8646" s="6" t="s">
        <v>405</v>
      </c>
      <c r="F8646" s="6" t="str">
        <f>IF($M8646="PADD I","PADD 1",IF($M8646="PADD II","PADD 2",IF($M8646="PADD III","PADD 3",IF($M8646="PADD IV","PADD 4",IF($M8646="PADD V","PADD 5","")))))</f>
        <v>PADD 3</v>
      </c>
      <c r="G8646" s="6" t="str">
        <f>IF(AND($H8646="ATMOS DISTILLATION",ISNUMBER(SEARCH("VPS",$I8646))=FALSE,LEFT($I8646,6)&lt;&gt;"VACUUM"),"CDU",IF($H8646="FLUID CAT CRACKING","FCC",IF(OR($H8646="HYDROCRACKING",$H8646="RESID_HYDROCRACKING"),"Hydrocracker",IF($H8646="REFORMING","Reformer",""))))</f>
        <v>CDU</v>
      </c>
      <c r="H8646" s="6" t="s">
        <v>38</v>
      </c>
      <c r="I8646" s="6" t="s">
        <v>112</v>
      </c>
      <c r="J8646" s="6" t="s">
        <v>349</v>
      </c>
      <c r="K8646" s="10">
        <v>51.7</v>
      </c>
      <c r="L8646" s="10">
        <v>110</v>
      </c>
      <c r="M8646" s="6" t="s">
        <v>371</v>
      </c>
    </row>
    <row r="8647" spans="1:13">
      <c r="A8647" s="6">
        <v>2027</v>
      </c>
      <c r="B8647" s="6">
        <v>9</v>
      </c>
      <c r="C8647" s="6" t="s">
        <v>67</v>
      </c>
      <c r="D8647" s="6" t="s">
        <v>511</v>
      </c>
      <c r="E8647" s="6" t="s">
        <v>405</v>
      </c>
      <c r="F8647" s="6" t="str">
        <f>IF($M8647="PADD I","PADD 1",IF($M8647="PADD II","PADD 2",IF($M8647="PADD III","PADD 3",IF($M8647="PADD IV","PADD 4",IF($M8647="PADD V","PADD 5","")))))</f>
        <v>PADD 3</v>
      </c>
      <c r="G8647" s="6" t="str">
        <f>IF(AND($H8647="ATMOS DISTILLATION",ISNUMBER(SEARCH("VPS",$I8647))=FALSE,LEFT($I8647,6)&lt;&gt;"VACUUM"),"CDU",IF($H8647="FLUID CAT CRACKING","FCC",IF(OR($H8647="HYDROCRACKING",$H8647="RESID_HYDROCRACKING"),"Hydrocracker",IF($H8647="REFORMING","Reformer",""))))</f>
        <v>CDU</v>
      </c>
      <c r="H8647" s="6" t="s">
        <v>38</v>
      </c>
      <c r="I8647" s="6" t="s">
        <v>115</v>
      </c>
      <c r="J8647" s="6" t="s">
        <v>349</v>
      </c>
      <c r="K8647" s="10">
        <v>50.29</v>
      </c>
      <c r="L8647" s="10">
        <v>107</v>
      </c>
      <c r="M8647" s="6" t="s">
        <v>371</v>
      </c>
    </row>
    <row r="8648" spans="1:13">
      <c r="A8648" s="6">
        <v>2027</v>
      </c>
      <c r="B8648" s="6">
        <v>9</v>
      </c>
      <c r="C8648" s="6" t="s">
        <v>67</v>
      </c>
      <c r="D8648" s="6" t="s">
        <v>490</v>
      </c>
      <c r="E8648" s="6" t="s">
        <v>491</v>
      </c>
      <c r="F8648" s="6" t="str">
        <f>IF($M8648="PADD I","PADD 1",IF($M8648="PADD II","PADD 2",IF($M8648="PADD III","PADD 3",IF($M8648="PADD IV","PADD 4",IF($M8648="PADD V","PADD 5","")))))</f>
        <v>PADD 3</v>
      </c>
      <c r="G8648" s="6">
        <f>IF(AND($H8648="ATMOS DISTILLATION",ISNUMBER(SEARCH("VPS",$I8648))=FALSE,LEFT($I8648,6)&lt;&gt;"VACUUM"),"CDU",IF($H8648="FLUID CAT CRACKING","FCC",IF(OR($H8648="HYDROCRACKING",$H8648="RESID_HYDROCRACKING"),"Hydrocracker",IF($H8648="REFORMING","Reformer",""))))</f>
        <v/>
      </c>
      <c r="H8648" s="6" t="s">
        <v>378</v>
      </c>
      <c r="I8648" s="6" t="s">
        <v>560</v>
      </c>
      <c r="J8648" s="6" t="s">
        <v>349</v>
      </c>
      <c r="K8648" s="10">
        <v>48.88</v>
      </c>
      <c r="L8648" s="10">
        <v>104</v>
      </c>
      <c r="M8648" s="6" t="s">
        <v>371</v>
      </c>
    </row>
    <row r="8649" spans="1:13">
      <c r="A8649" s="6">
        <v>2027</v>
      </c>
      <c r="B8649" s="6">
        <v>9</v>
      </c>
      <c r="C8649" s="6" t="s">
        <v>67</v>
      </c>
      <c r="D8649" s="6" t="s">
        <v>1323</v>
      </c>
      <c r="E8649" s="6" t="s">
        <v>369</v>
      </c>
      <c r="F8649" s="6" t="str">
        <f>IF($M8649="PADD I","PADD 1",IF($M8649="PADD II","PADD 2",IF($M8649="PADD III","PADD 3",IF($M8649="PADD IV","PADD 4",IF($M8649="PADD V","PADD 5","")))))</f>
        <v>PADD 5</v>
      </c>
      <c r="G8649" s="6" t="str">
        <f>IF(AND($H8649="ATMOS DISTILLATION",ISNUMBER(SEARCH("VPS",$I8649))=FALSE,LEFT($I8649,6)&lt;&gt;"VACUUM"),"CDU",IF($H8649="FLUID CAT CRACKING","FCC",IF(OR($H8649="HYDROCRACKING",$H8649="RESID_HYDROCRACKING"),"Hydrocracker",IF($H8649="REFORMING","Reformer",""))))</f>
        <v>CDU</v>
      </c>
      <c r="H8649" s="6" t="s">
        <v>38</v>
      </c>
      <c r="I8649" s="6" t="s">
        <v>81</v>
      </c>
      <c r="J8649" s="6" t="s">
        <v>349</v>
      </c>
      <c r="K8649" s="10">
        <v>47</v>
      </c>
      <c r="L8649" s="10">
        <v>100</v>
      </c>
      <c r="M8649" s="6" t="s">
        <v>386</v>
      </c>
    </row>
    <row r="8650" spans="1:13">
      <c r="A8650" s="6">
        <v>2027</v>
      </c>
      <c r="B8650" s="6">
        <v>9</v>
      </c>
      <c r="C8650" s="6" t="s">
        <v>67</v>
      </c>
      <c r="D8650" s="6" t="s">
        <v>324</v>
      </c>
      <c r="E8650" s="6" t="s">
        <v>388</v>
      </c>
      <c r="F8650" s="6" t="str">
        <f>IF($M8650="PADD I","PADD 1",IF($M8650="PADD II","PADD 2",IF($M8650="PADD III","PADD 3",IF($M8650="PADD IV","PADD 4",IF($M8650="PADD V","PADD 5","")))))</f>
        <v>PADD 3</v>
      </c>
      <c r="G8650" s="6">
        <f>IF(AND($H8650="ATMOS DISTILLATION",ISNUMBER(SEARCH("VPS",$I8650))=FALSE,LEFT($I8650,6)&lt;&gt;"VACUUM"),"CDU",IF($H8650="FLUID CAT CRACKING","FCC",IF(OR($H8650="HYDROCRACKING",$H8650="RESID_HYDROCRACKING"),"Hydrocracker",IF($H8650="REFORMING","Reformer",""))))</f>
        <v/>
      </c>
      <c r="H8650" s="6" t="s">
        <v>43</v>
      </c>
      <c r="I8650" s="6" t="s">
        <v>693</v>
      </c>
      <c r="J8650" s="6" t="s">
        <v>349</v>
      </c>
      <c r="K8650" s="10">
        <v>39.99</v>
      </c>
      <c r="L8650" s="10">
        <v>43</v>
      </c>
      <c r="M8650" s="6" t="s">
        <v>371</v>
      </c>
    </row>
    <row r="8651" spans="1:13">
      <c r="A8651" s="6">
        <v>2027</v>
      </c>
      <c r="B8651" s="6">
        <v>9</v>
      </c>
      <c r="C8651" s="6" t="s">
        <v>67</v>
      </c>
      <c r="D8651" s="6" t="s">
        <v>434</v>
      </c>
      <c r="E8651" s="6" t="s">
        <v>388</v>
      </c>
      <c r="F8651" s="6" t="str">
        <f>IF($M8651="PADD I","PADD 1",IF($M8651="PADD II","PADD 2",IF($M8651="PADD III","PADD 3",IF($M8651="PADD IV","PADD 4",IF($M8651="PADD V","PADD 5","")))))</f>
        <v>PADD 5</v>
      </c>
      <c r="G8651" s="6">
        <f>IF(AND($H8651="ATMOS DISTILLATION",ISNUMBER(SEARCH("VPS",$I8651))=FALSE,LEFT($I8651,6)&lt;&gt;"VACUUM"),"CDU",IF($H8651="FLUID CAT CRACKING","FCC",IF(OR($H8651="HYDROCRACKING",$H8651="RESID_HYDROCRACKING"),"Hydrocracker",IF($H8651="REFORMING","Reformer",""))))</f>
        <v/>
      </c>
      <c r="H8651" s="6" t="s">
        <v>43</v>
      </c>
      <c r="I8651" s="6" t="s">
        <v>1399</v>
      </c>
      <c r="J8651" s="6" t="s">
        <v>349</v>
      </c>
      <c r="K8651" s="10">
        <v>38</v>
      </c>
      <c r="L8651" s="10">
        <v>38</v>
      </c>
      <c r="M8651" s="6" t="s">
        <v>386</v>
      </c>
    </row>
    <row r="8652" spans="1:13">
      <c r="A8652" s="6">
        <v>2027</v>
      </c>
      <c r="B8652" s="6">
        <v>9</v>
      </c>
      <c r="C8652" s="6" t="s">
        <v>67</v>
      </c>
      <c r="D8652" s="6" t="s">
        <v>602</v>
      </c>
      <c r="E8652" s="6" t="s">
        <v>369</v>
      </c>
      <c r="F8652" s="6" t="str">
        <f>IF($M8652="PADD I","PADD 1",IF($M8652="PADD II","PADD 2",IF($M8652="PADD III","PADD 3",IF($M8652="PADD IV","PADD 4",IF($M8652="PADD V","PADD 5","")))))</f>
        <v>PADD 2</v>
      </c>
      <c r="G8652" s="6" t="str">
        <f>IF(AND($H8652="ATMOS DISTILLATION",ISNUMBER(SEARCH("VPS",$I8652))=FALSE,LEFT($I8652,6)&lt;&gt;"VACUUM"),"CDU",IF($H8652="FLUID CAT CRACKING","FCC",IF(OR($H8652="HYDROCRACKING",$H8652="RESID_HYDROCRACKING"),"Hydrocracker",IF($H8652="REFORMING","Reformer",""))))</f>
        <v>CDU</v>
      </c>
      <c r="H8652" s="6" t="s">
        <v>38</v>
      </c>
      <c r="I8652" s="6" t="s">
        <v>661</v>
      </c>
      <c r="J8652" s="6" t="s">
        <v>349</v>
      </c>
      <c r="K8652" s="10">
        <v>35</v>
      </c>
      <c r="L8652" s="10">
        <v>35</v>
      </c>
      <c r="M8652" s="6" t="s">
        <v>375</v>
      </c>
    </row>
    <row r="8653" spans="1:13">
      <c r="A8653" s="6">
        <v>2027</v>
      </c>
      <c r="B8653" s="6">
        <v>9</v>
      </c>
      <c r="C8653" s="6" t="s">
        <v>67</v>
      </c>
      <c r="D8653" s="6" t="s">
        <v>602</v>
      </c>
      <c r="E8653" s="6" t="s">
        <v>369</v>
      </c>
      <c r="F8653" s="6" t="str">
        <f>IF($M8653="PADD I","PADD 1",IF($M8653="PADD II","PADD 2",IF($M8653="PADD III","PADD 3",IF($M8653="PADD IV","PADD 4",IF($M8653="PADD V","PADD 5","")))))</f>
        <v>PADD 2</v>
      </c>
      <c r="G8653" s="6" t="str">
        <f>IF(AND($H8653="ATMOS DISTILLATION",ISNUMBER(SEARCH("VPS",$I8653))=FALSE,LEFT($I8653,6)&lt;&gt;"VACUUM"),"CDU",IF($H8653="FLUID CAT CRACKING","FCC",IF(OR($H8653="HYDROCRACKING",$H8653="RESID_HYDROCRACKING"),"Hydrocracker",IF($H8653="REFORMING","Reformer",""))))</f>
        <v>FCC</v>
      </c>
      <c r="H8653" s="6" t="s">
        <v>376</v>
      </c>
      <c r="I8653" s="6" t="s">
        <v>1124</v>
      </c>
      <c r="J8653" s="6" t="s">
        <v>349</v>
      </c>
      <c r="K8653" s="10">
        <v>35</v>
      </c>
      <c r="L8653" s="10">
        <v>35</v>
      </c>
      <c r="M8653" s="6" t="s">
        <v>375</v>
      </c>
    </row>
    <row r="8654" spans="1:13">
      <c r="A8654" s="6">
        <v>2027</v>
      </c>
      <c r="B8654" s="6">
        <v>9</v>
      </c>
      <c r="C8654" s="6" t="s">
        <v>67</v>
      </c>
      <c r="D8654" s="6" t="s">
        <v>490</v>
      </c>
      <c r="E8654" s="6" t="s">
        <v>491</v>
      </c>
      <c r="F8654" s="6" t="str">
        <f>IF($M8654="PADD I","PADD 1",IF($M8654="PADD II","PADD 2",IF($M8654="PADD III","PADD 3",IF($M8654="PADD IV","PADD 4",IF($M8654="PADD V","PADD 5","")))))</f>
        <v>PADD 3</v>
      </c>
      <c r="G8654" s="6">
        <f>IF(AND($H8654="ATMOS DISTILLATION",ISNUMBER(SEARCH("VPS",$I8654))=FALSE,LEFT($I8654,6)&lt;&gt;"VACUUM"),"CDU",IF($H8654="FLUID CAT CRACKING","FCC",IF(OR($H8654="HYDROCRACKING",$H8654="RESID_HYDROCRACKING"),"Hydrocracker",IF($H8654="REFORMING","Reformer",""))))</f>
        <v/>
      </c>
      <c r="H8654" s="6" t="s">
        <v>43</v>
      </c>
      <c r="I8654" s="6" t="s">
        <v>1400</v>
      </c>
      <c r="J8654" s="6" t="s">
        <v>349</v>
      </c>
      <c r="K8654" s="10">
        <v>32</v>
      </c>
      <c r="L8654" s="10">
        <v>32</v>
      </c>
      <c r="M8654" s="6" t="s">
        <v>371</v>
      </c>
    </row>
    <row r="8655" spans="1:13">
      <c r="A8655" s="6">
        <v>2027</v>
      </c>
      <c r="B8655" s="6">
        <v>9</v>
      </c>
      <c r="C8655" s="6" t="s">
        <v>67</v>
      </c>
      <c r="D8655" s="6" t="s">
        <v>602</v>
      </c>
      <c r="E8655" s="6" t="s">
        <v>369</v>
      </c>
      <c r="F8655" s="6" t="str">
        <f>IF($M8655="PADD I","PADD 1",IF($M8655="PADD II","PADD 2",IF($M8655="PADD III","PADD 3",IF($M8655="PADD IV","PADD 4",IF($M8655="PADD V","PADD 5","")))))</f>
        <v>PADD 2</v>
      </c>
      <c r="G8655" s="6">
        <f>IF(AND($H8655="ATMOS DISTILLATION",ISNUMBER(SEARCH("VPS",$I8655))=FALSE,LEFT($I8655,6)&lt;&gt;"VACUUM"),"CDU",IF($H8655="FLUID CAT CRACKING","FCC",IF(OR($H8655="HYDROCRACKING",$H8655="RESID_HYDROCRACKING"),"Hydrocracker",IF($H8655="REFORMING","Reformer",""))))</f>
        <v/>
      </c>
      <c r="H8655" s="6" t="s">
        <v>43</v>
      </c>
      <c r="I8655" s="6" t="s">
        <v>999</v>
      </c>
      <c r="J8655" s="6" t="s">
        <v>349</v>
      </c>
      <c r="K8655" s="10">
        <v>30</v>
      </c>
      <c r="L8655" s="10">
        <v>30</v>
      </c>
      <c r="M8655" s="6" t="s">
        <v>375</v>
      </c>
    </row>
    <row r="8656" spans="1:13">
      <c r="A8656" s="6">
        <v>2027</v>
      </c>
      <c r="B8656" s="6">
        <v>9</v>
      </c>
      <c r="C8656" s="6" t="s">
        <v>67</v>
      </c>
      <c r="D8656" s="6" t="s">
        <v>602</v>
      </c>
      <c r="E8656" s="6" t="s">
        <v>369</v>
      </c>
      <c r="F8656" s="6" t="str">
        <f>IF($M8656="PADD I","PADD 1",IF($M8656="PADD II","PADD 2",IF($M8656="PADD III","PADD 3",IF($M8656="PADD IV","PADD 4",IF($M8656="PADD V","PADD 5","")))))</f>
        <v>PADD 2</v>
      </c>
      <c r="G8656" s="6">
        <f>IF(AND($H8656="ATMOS DISTILLATION",ISNUMBER(SEARCH("VPS",$I8656))=FALSE,LEFT($I8656,6)&lt;&gt;"VACUUM"),"CDU",IF($H8656="FLUID CAT CRACKING","FCC",IF(OR($H8656="HYDROCRACKING",$H8656="RESID_HYDROCRACKING"),"Hydrocracker",IF($H8656="REFORMING","Reformer",""))))</f>
        <v/>
      </c>
      <c r="H8656" s="6" t="s">
        <v>43</v>
      </c>
      <c r="I8656" s="6" t="s">
        <v>998</v>
      </c>
      <c r="J8656" s="6" t="s">
        <v>349</v>
      </c>
      <c r="K8656" s="10">
        <v>30</v>
      </c>
      <c r="L8656" s="10">
        <v>30</v>
      </c>
      <c r="M8656" s="6" t="s">
        <v>375</v>
      </c>
    </row>
    <row r="8657" spans="1:13">
      <c r="A8657" s="6">
        <v>2027</v>
      </c>
      <c r="B8657" s="6">
        <v>9</v>
      </c>
      <c r="C8657" s="6" t="s">
        <v>67</v>
      </c>
      <c r="D8657" s="6" t="s">
        <v>739</v>
      </c>
      <c r="E8657" s="6" t="s">
        <v>405</v>
      </c>
      <c r="F8657" s="6" t="str">
        <f>IF($M8657="PADD I","PADD 1",IF($M8657="PADD II","PADD 2",IF($M8657="PADD III","PADD 3",IF($M8657="PADD IV","PADD 4",IF($M8657="PADD V","PADD 5","")))))</f>
        <v>PADD 2</v>
      </c>
      <c r="G8657" s="6">
        <f>IF(AND($H8657="ATMOS DISTILLATION",ISNUMBER(SEARCH("VPS",$I8657))=FALSE,LEFT($I8657,6)&lt;&gt;"VACUUM"),"CDU",IF($H8657="FLUID CAT CRACKING","FCC",IF(OR($H8657="HYDROCRACKING",$H8657="RESID_HYDROCRACKING"),"Hydrocracker",IF($H8657="REFORMING","Reformer",""))))</f>
        <v/>
      </c>
      <c r="H8657" s="6" t="s">
        <v>43</v>
      </c>
      <c r="I8657" s="6" t="s">
        <v>740</v>
      </c>
      <c r="J8657" s="6" t="s">
        <v>349</v>
      </c>
      <c r="K8657" s="10">
        <v>29.76</v>
      </c>
      <c r="L8657" s="10">
        <v>32</v>
      </c>
      <c r="M8657" s="6" t="s">
        <v>375</v>
      </c>
    </row>
    <row r="8658" spans="1:13">
      <c r="A8658" s="6">
        <v>2027</v>
      </c>
      <c r="B8658" s="6">
        <v>9</v>
      </c>
      <c r="C8658" s="6" t="s">
        <v>67</v>
      </c>
      <c r="D8658" s="6" t="s">
        <v>739</v>
      </c>
      <c r="E8658" s="6" t="s">
        <v>405</v>
      </c>
      <c r="F8658" s="6" t="str">
        <f>IF($M8658="PADD I","PADD 1",IF($M8658="PADD II","PADD 2",IF($M8658="PADD III","PADD 3",IF($M8658="PADD IV","PADD 4",IF($M8658="PADD V","PADD 5","")))))</f>
        <v>PADD 2</v>
      </c>
      <c r="G8658" s="6">
        <f>IF(AND($H8658="ATMOS DISTILLATION",ISNUMBER(SEARCH("VPS",$I8658))=FALSE,LEFT($I8658,6)&lt;&gt;"VACUUM"),"CDU",IF($H8658="FLUID CAT CRACKING","FCC",IF(OR($H8658="HYDROCRACKING",$H8658="RESID_HYDROCRACKING"),"Hydrocracker",IF($H8658="REFORMING","Reformer",""))))</f>
        <v/>
      </c>
      <c r="H8658" s="6" t="s">
        <v>43</v>
      </c>
      <c r="I8658" s="6" t="s">
        <v>689</v>
      </c>
      <c r="J8658" s="6" t="s">
        <v>349</v>
      </c>
      <c r="K8658" s="10">
        <v>29.76</v>
      </c>
      <c r="L8658" s="10">
        <v>32</v>
      </c>
      <c r="M8658" s="6" t="s">
        <v>375</v>
      </c>
    </row>
    <row r="8659" spans="1:13">
      <c r="A8659" s="6">
        <v>2027</v>
      </c>
      <c r="B8659" s="6">
        <v>9</v>
      </c>
      <c r="C8659" s="6" t="s">
        <v>67</v>
      </c>
      <c r="D8659" s="6" t="s">
        <v>739</v>
      </c>
      <c r="E8659" s="6" t="s">
        <v>405</v>
      </c>
      <c r="F8659" s="6" t="str">
        <f>IF($M8659="PADD I","PADD 1",IF($M8659="PADD II","PADD 2",IF($M8659="PADD III","PADD 3",IF($M8659="PADD IV","PADD 4",IF($M8659="PADD V","PADD 5","")))))</f>
        <v>PADD 2</v>
      </c>
      <c r="G8659" s="6">
        <f>IF(AND($H8659="ATMOS DISTILLATION",ISNUMBER(SEARCH("VPS",$I8659))=FALSE,LEFT($I8659,6)&lt;&gt;"VACUUM"),"CDU",IF($H8659="FLUID CAT CRACKING","FCC",IF(OR($H8659="HYDROCRACKING",$H8659="RESID_HYDROCRACKING"),"Hydrocracker",IF($H8659="REFORMING","Reformer",""))))</f>
        <v/>
      </c>
      <c r="H8659" s="6" t="s">
        <v>378</v>
      </c>
      <c r="I8659" s="6" t="s">
        <v>431</v>
      </c>
      <c r="J8659" s="6" t="s">
        <v>349</v>
      </c>
      <c r="K8659" s="10">
        <v>29.76</v>
      </c>
      <c r="L8659" s="10">
        <v>32</v>
      </c>
      <c r="M8659" s="6" t="s">
        <v>375</v>
      </c>
    </row>
    <row r="8660" spans="1:13">
      <c r="A8660" s="6">
        <v>2027</v>
      </c>
      <c r="B8660" s="6">
        <v>9</v>
      </c>
      <c r="C8660" s="6" t="s">
        <v>67</v>
      </c>
      <c r="D8660" s="6" t="s">
        <v>739</v>
      </c>
      <c r="E8660" s="6" t="s">
        <v>405</v>
      </c>
      <c r="F8660" s="6" t="str">
        <f>IF($M8660="PADD I","PADD 1",IF($M8660="PADD II","PADD 2",IF($M8660="PADD III","PADD 3",IF($M8660="PADD IV","PADD 4",IF($M8660="PADD V","PADD 5","")))))</f>
        <v>PADD 2</v>
      </c>
      <c r="G8660" s="6" t="str">
        <f>IF(AND($H8660="ATMOS DISTILLATION",ISNUMBER(SEARCH("VPS",$I8660))=FALSE,LEFT($I8660,6)&lt;&gt;"VACUUM"),"CDU",IF($H8660="FLUID CAT CRACKING","FCC",IF(OR($H8660="HYDROCRACKING",$H8660="RESID_HYDROCRACKING"),"Hydrocracker",IF($H8660="REFORMING","Reformer",""))))</f>
        <v>FCC</v>
      </c>
      <c r="H8660" s="6" t="s">
        <v>376</v>
      </c>
      <c r="I8660" s="6" t="s">
        <v>105</v>
      </c>
      <c r="J8660" s="6" t="s">
        <v>349</v>
      </c>
      <c r="K8660" s="10">
        <v>27.9</v>
      </c>
      <c r="L8660" s="10">
        <v>30</v>
      </c>
      <c r="M8660" s="6" t="s">
        <v>375</v>
      </c>
    </row>
    <row r="8661" spans="1:13">
      <c r="A8661" s="6">
        <v>2027</v>
      </c>
      <c r="B8661" s="6">
        <v>9</v>
      </c>
      <c r="C8661" s="6" t="s">
        <v>67</v>
      </c>
      <c r="D8661" s="6" t="s">
        <v>739</v>
      </c>
      <c r="E8661" s="6" t="s">
        <v>405</v>
      </c>
      <c r="F8661" s="6" t="str">
        <f>IF($M8661="PADD I","PADD 1",IF($M8661="PADD II","PADD 2",IF($M8661="PADD III","PADD 3",IF($M8661="PADD IV","PADD 4",IF($M8661="PADD V","PADD 5","")))))</f>
        <v>PADD 2</v>
      </c>
      <c r="G8661" s="6" t="str">
        <f>IF(AND($H8661="ATMOS DISTILLATION",ISNUMBER(SEARCH("VPS",$I8661))=FALSE,LEFT($I8661,6)&lt;&gt;"VACUUM"),"CDU",IF($H8661="FLUID CAT CRACKING","FCC",IF(OR($H8661="HYDROCRACKING",$H8661="RESID_HYDROCRACKING"),"Hydrocracker",IF($H8661="REFORMING","Reformer",""))))</f>
        <v>Reformer</v>
      </c>
      <c r="H8661" s="6" t="s">
        <v>421</v>
      </c>
      <c r="I8661" s="6" t="s">
        <v>782</v>
      </c>
      <c r="J8661" s="6" t="s">
        <v>349</v>
      </c>
      <c r="K8661" s="10">
        <v>27.9</v>
      </c>
      <c r="L8661" s="10">
        <v>30</v>
      </c>
      <c r="M8661" s="6" t="s">
        <v>375</v>
      </c>
    </row>
    <row r="8662" spans="1:13">
      <c r="A8662" s="6">
        <v>2027</v>
      </c>
      <c r="B8662" s="6">
        <v>9</v>
      </c>
      <c r="C8662" s="6" t="s">
        <v>67</v>
      </c>
      <c r="D8662" s="6" t="s">
        <v>446</v>
      </c>
      <c r="E8662" s="6" t="s">
        <v>391</v>
      </c>
      <c r="F8662" s="6" t="str">
        <f>IF($M8662="PADD I","PADD 1",IF($M8662="PADD II","PADD 2",IF($M8662="PADD III","PADD 3",IF($M8662="PADD IV","PADD 4",IF($M8662="PADD V","PADD 5","")))))</f>
        <v>PADD 3</v>
      </c>
      <c r="G8662" s="6">
        <f>IF(AND($H8662="ATMOS DISTILLATION",ISNUMBER(SEARCH("VPS",$I8662))=FALSE,LEFT($I8662,6)&lt;&gt;"VACUUM"),"CDU",IF($H8662="FLUID CAT CRACKING","FCC",IF(OR($H8662="HYDROCRACKING",$H8662="RESID_HYDROCRACKING"),"Hydrocracker",IF($H8662="REFORMING","Reformer",""))))</f>
        <v/>
      </c>
      <c r="H8662" s="6" t="s">
        <v>378</v>
      </c>
      <c r="I8662" s="6" t="s">
        <v>1041</v>
      </c>
      <c r="J8662" s="6" t="s">
        <v>349</v>
      </c>
      <c r="K8662" s="10">
        <v>26.6</v>
      </c>
      <c r="L8662" s="10">
        <v>38</v>
      </c>
      <c r="M8662" s="6" t="s">
        <v>371</v>
      </c>
    </row>
    <row r="8663" spans="1:13">
      <c r="A8663" s="6">
        <v>2027</v>
      </c>
      <c r="B8663" s="6">
        <v>9</v>
      </c>
      <c r="C8663" s="6" t="s">
        <v>67</v>
      </c>
      <c r="D8663" s="6" t="s">
        <v>602</v>
      </c>
      <c r="E8663" s="6" t="s">
        <v>369</v>
      </c>
      <c r="F8663" s="6" t="str">
        <f>IF($M8663="PADD I","PADD 1",IF($M8663="PADD II","PADD 2",IF($M8663="PADD III","PADD 3",IF($M8663="PADD IV","PADD 4",IF($M8663="PADD V","PADD 5","")))))</f>
        <v>PADD 2</v>
      </c>
      <c r="G8663" s="6" t="str">
        <f>IF(AND($H8663="ATMOS DISTILLATION",ISNUMBER(SEARCH("VPS",$I8663))=FALSE,LEFT($I8663,6)&lt;&gt;"VACUUM"),"CDU",IF($H8663="FLUID CAT CRACKING","FCC",IF(OR($H8663="HYDROCRACKING",$H8663="RESID_HYDROCRACKING"),"Hydrocracker",IF($H8663="REFORMING","Reformer",""))))</f>
        <v>FCC</v>
      </c>
      <c r="H8663" s="6" t="s">
        <v>376</v>
      </c>
      <c r="I8663" s="6" t="s">
        <v>654</v>
      </c>
      <c r="J8663" s="6" t="s">
        <v>349</v>
      </c>
      <c r="K8663" s="10">
        <v>26</v>
      </c>
      <c r="L8663" s="10">
        <v>26</v>
      </c>
      <c r="M8663" s="6" t="s">
        <v>375</v>
      </c>
    </row>
    <row r="8664" spans="1:13">
      <c r="A8664" s="6">
        <v>2027</v>
      </c>
      <c r="B8664" s="6">
        <v>9</v>
      </c>
      <c r="C8664" s="6" t="s">
        <v>67</v>
      </c>
      <c r="D8664" s="6" t="s">
        <v>602</v>
      </c>
      <c r="E8664" s="6" t="s">
        <v>369</v>
      </c>
      <c r="F8664" s="6" t="str">
        <f>IF($M8664="PADD I","PADD 1",IF($M8664="PADD II","PADD 2",IF($M8664="PADD III","PADD 3",IF($M8664="PADD IV","PADD 4",IF($M8664="PADD V","PADD 5","")))))</f>
        <v>PADD 2</v>
      </c>
      <c r="G8664" s="6">
        <f>IF(AND($H8664="ATMOS DISTILLATION",ISNUMBER(SEARCH("VPS",$I8664))=FALSE,LEFT($I8664,6)&lt;&gt;"VACUUM"),"CDU",IF($H8664="FLUID CAT CRACKING","FCC",IF(OR($H8664="HYDROCRACKING",$H8664="RESID_HYDROCRACKING"),"Hydrocracker",IF($H8664="REFORMING","Reformer",""))))</f>
        <v/>
      </c>
      <c r="H8664" s="6" t="s">
        <v>43</v>
      </c>
      <c r="I8664" s="6" t="s">
        <v>1001</v>
      </c>
      <c r="J8664" s="6" t="s">
        <v>349</v>
      </c>
      <c r="K8664" s="10">
        <v>25</v>
      </c>
      <c r="L8664" s="10">
        <v>25</v>
      </c>
      <c r="M8664" s="6" t="s">
        <v>375</v>
      </c>
    </row>
    <row r="8665" spans="1:13">
      <c r="A8665" s="6">
        <v>2027</v>
      </c>
      <c r="B8665" s="6">
        <v>9</v>
      </c>
      <c r="C8665" s="6" t="s">
        <v>67</v>
      </c>
      <c r="D8665" s="6" t="s">
        <v>739</v>
      </c>
      <c r="E8665" s="6" t="s">
        <v>405</v>
      </c>
      <c r="F8665" s="6" t="str">
        <f>IF($M8665="PADD I","PADD 1",IF($M8665="PADD II","PADD 2",IF($M8665="PADD III","PADD 3",IF($M8665="PADD IV","PADD 4",IF($M8665="PADD V","PADD 5","")))))</f>
        <v>PADD 2</v>
      </c>
      <c r="G8665" s="6">
        <f>IF(AND($H8665="ATMOS DISTILLATION",ISNUMBER(SEARCH("VPS",$I8665))=FALSE,LEFT($I8665,6)&lt;&gt;"VACUUM"),"CDU",IF($H8665="FLUID CAT CRACKING","FCC",IF(OR($H8665="HYDROCRACKING",$H8665="RESID_HYDROCRACKING"),"Hydrocracker",IF($H8665="REFORMING","Reformer",""))))</f>
        <v/>
      </c>
      <c r="H8665" s="6" t="s">
        <v>43</v>
      </c>
      <c r="I8665" s="6" t="s">
        <v>493</v>
      </c>
      <c r="J8665" s="6" t="s">
        <v>349</v>
      </c>
      <c r="K8665" s="10">
        <v>24.645</v>
      </c>
      <c r="L8665" s="10">
        <v>26.5</v>
      </c>
      <c r="M8665" s="6" t="s">
        <v>375</v>
      </c>
    </row>
    <row r="8666" spans="1:13">
      <c r="A8666" s="6">
        <v>2027</v>
      </c>
      <c r="B8666" s="6">
        <v>9</v>
      </c>
      <c r="C8666" s="6" t="s">
        <v>67</v>
      </c>
      <c r="D8666" s="6" t="s">
        <v>40</v>
      </c>
      <c r="E8666" s="6" t="s">
        <v>736</v>
      </c>
      <c r="F8666" s="6" t="str">
        <f>IF($M8666="PADD I","PADD 1",IF($M8666="PADD II","PADD 2",IF($M8666="PADD III","PADD 3",IF($M8666="PADD IV","PADD 4",IF($M8666="PADD V","PADD 5","")))))</f>
        <v>PADD 1</v>
      </c>
      <c r="G8666" s="6">
        <f>IF(AND($H8666="ATMOS DISTILLATION",ISNUMBER(SEARCH("VPS",$I8666))=FALSE,LEFT($I8666,6)&lt;&gt;"VACUUM"),"CDU",IF($H8666="FLUID CAT CRACKING","FCC",IF(OR($H8666="HYDROCRACKING",$H8666="RESID_HYDROCRACKING"),"Hydrocracker",IF($H8666="REFORMING","Reformer",""))))</f>
        <v/>
      </c>
      <c r="H8666" s="6" t="s">
        <v>378</v>
      </c>
      <c r="I8666" s="6" t="s">
        <v>1010</v>
      </c>
      <c r="J8666" s="6" t="s">
        <v>349</v>
      </c>
      <c r="K8666" s="10">
        <v>22.6269</v>
      </c>
      <c r="L8666" s="10">
        <v>24.33</v>
      </c>
      <c r="M8666" s="6" t="s">
        <v>413</v>
      </c>
    </row>
    <row r="8667" spans="1:13">
      <c r="A8667" s="6">
        <v>2027</v>
      </c>
      <c r="B8667" s="6">
        <v>9</v>
      </c>
      <c r="C8667" s="6" t="s">
        <v>67</v>
      </c>
      <c r="D8667" s="6" t="s">
        <v>1323</v>
      </c>
      <c r="E8667" s="6" t="s">
        <v>369</v>
      </c>
      <c r="F8667" s="6" t="str">
        <f>IF($M8667="PADD I","PADD 1",IF($M8667="PADD II","PADD 2",IF($M8667="PADD III","PADD 3",IF($M8667="PADD IV","PADD 4",IF($M8667="PADD V","PADD 5","")))))</f>
        <v>PADD 5</v>
      </c>
      <c r="G8667" s="6">
        <f>IF(AND($H8667="ATMOS DISTILLATION",ISNUMBER(SEARCH("VPS",$I8667))=FALSE,LEFT($I8667,6)&lt;&gt;"VACUUM"),"CDU",IF($H8667="FLUID CAT CRACKING","FCC",IF(OR($H8667="HYDROCRACKING",$H8667="RESID_HYDROCRACKING"),"Hydrocracker",IF($H8667="REFORMING","Reformer",""))))</f>
        <v/>
      </c>
      <c r="H8667" s="6" t="s">
        <v>378</v>
      </c>
      <c r="I8667" s="6" t="s">
        <v>431</v>
      </c>
      <c r="J8667" s="6" t="s">
        <v>349</v>
      </c>
      <c r="K8667" s="10">
        <v>21.855</v>
      </c>
      <c r="L8667" s="10">
        <v>46.5</v>
      </c>
      <c r="M8667" s="6" t="s">
        <v>386</v>
      </c>
    </row>
    <row r="8668" spans="1:13">
      <c r="A8668" s="6">
        <v>2027</v>
      </c>
      <c r="B8668" s="6">
        <v>9</v>
      </c>
      <c r="C8668" s="6" t="s">
        <v>67</v>
      </c>
      <c r="D8668" s="6" t="s">
        <v>457</v>
      </c>
      <c r="E8668" s="6" t="s">
        <v>388</v>
      </c>
      <c r="F8668" s="6" t="str">
        <f>IF($M8668="PADD I","PADD 1",IF($M8668="PADD II","PADD 2",IF($M8668="PADD III","PADD 3",IF($M8668="PADD IV","PADD 4",IF($M8668="PADD V","PADD 5","")))))</f>
        <v>PADD 5</v>
      </c>
      <c r="G8668" s="6" t="str">
        <f>IF(AND($H8668="ATMOS DISTILLATION",ISNUMBER(SEARCH("VPS",$I8668))=FALSE,LEFT($I8668,6)&lt;&gt;"VACUUM"),"CDU",IF($H8668="FLUID CAT CRACKING","FCC",IF(OR($H8668="HYDROCRACKING",$H8668="RESID_HYDROCRACKING"),"Hydrocracker",IF($H8668="REFORMING","Reformer",""))))</f>
        <v>Reformer</v>
      </c>
      <c r="H8668" s="6" t="s">
        <v>421</v>
      </c>
      <c r="I8668" s="6" t="s">
        <v>559</v>
      </c>
      <c r="J8668" s="6" t="s">
        <v>349</v>
      </c>
      <c r="K8668" s="10">
        <v>20</v>
      </c>
      <c r="L8668" s="10">
        <v>20</v>
      </c>
      <c r="M8668" s="6" t="s">
        <v>386</v>
      </c>
    </row>
    <row r="8669" spans="1:13">
      <c r="A8669" s="6">
        <v>2027</v>
      </c>
      <c r="B8669" s="6">
        <v>9</v>
      </c>
      <c r="C8669" s="6" t="s">
        <v>67</v>
      </c>
      <c r="D8669" s="6" t="s">
        <v>739</v>
      </c>
      <c r="E8669" s="6" t="s">
        <v>405</v>
      </c>
      <c r="F8669" s="6" t="str">
        <f>IF($M8669="PADD I","PADD 1",IF($M8669="PADD II","PADD 2",IF($M8669="PADD III","PADD 3",IF($M8669="PADD IV","PADD 4",IF($M8669="PADD V","PADD 5","")))))</f>
        <v>PADD 2</v>
      </c>
      <c r="G8669" s="6">
        <f>IF(AND($H8669="ATMOS DISTILLATION",ISNUMBER(SEARCH("VPS",$I8669))=FALSE,LEFT($I8669,6)&lt;&gt;"VACUUM"),"CDU",IF($H8669="FLUID CAT CRACKING","FCC",IF(OR($H8669="HYDROCRACKING",$H8669="RESID_HYDROCRACKING"),"Hydrocracker",IF($H8669="REFORMING","Reformer",""))))</f>
        <v/>
      </c>
      <c r="H8669" s="6" t="s">
        <v>43</v>
      </c>
      <c r="I8669" s="6" t="s">
        <v>1196</v>
      </c>
      <c r="J8669" s="6" t="s">
        <v>349</v>
      </c>
      <c r="K8669" s="10">
        <v>18.6</v>
      </c>
      <c r="L8669" s="10">
        <v>20</v>
      </c>
      <c r="M8669" s="6" t="s">
        <v>375</v>
      </c>
    </row>
    <row r="8670" spans="1:13">
      <c r="A8670" s="6">
        <v>2027</v>
      </c>
      <c r="B8670" s="6">
        <v>9</v>
      </c>
      <c r="C8670" s="6" t="s">
        <v>67</v>
      </c>
      <c r="D8670" s="6" t="s">
        <v>542</v>
      </c>
      <c r="E8670" s="6" t="s">
        <v>543</v>
      </c>
      <c r="F8670" s="6" t="str">
        <f>IF($M8670="PADD I","PADD 1",IF($M8670="PADD II","PADD 2",IF($M8670="PADD III","PADD 3",IF($M8670="PADD IV","PADD 4",IF($M8670="PADD V","PADD 5","")))))</f>
        <v>PADD 2</v>
      </c>
      <c r="G8670" s="6">
        <f>IF(AND($H8670="ATMOS DISTILLATION",ISNUMBER(SEARCH("VPS",$I8670))=FALSE,LEFT($I8670,6)&lt;&gt;"VACUUM"),"CDU",IF($H8670="FLUID CAT CRACKING","FCC",IF(OR($H8670="HYDROCRACKING",$H8670="RESID_HYDROCRACKING"),"Hydrocracker",IF($H8670="REFORMING","Reformer",""))))</f>
        <v/>
      </c>
      <c r="H8670" s="6" t="s">
        <v>43</v>
      </c>
      <c r="I8670" s="6" t="s">
        <v>1006</v>
      </c>
      <c r="J8670" s="6" t="s">
        <v>349</v>
      </c>
      <c r="K8670" s="10">
        <v>18</v>
      </c>
      <c r="L8670" s="10">
        <v>36</v>
      </c>
      <c r="M8670" s="6" t="s">
        <v>375</v>
      </c>
    </row>
    <row r="8671" spans="1:13">
      <c r="A8671" s="6">
        <v>2027</v>
      </c>
      <c r="B8671" s="6">
        <v>9</v>
      </c>
      <c r="C8671" s="6" t="s">
        <v>67</v>
      </c>
      <c r="D8671" s="6" t="s">
        <v>380</v>
      </c>
      <c r="E8671" s="6" t="s">
        <v>381</v>
      </c>
      <c r="F8671" s="6" t="str">
        <f>IF($M8671="PADD I","PADD 1",IF($M8671="PADD II","PADD 2",IF($M8671="PADD III","PADD 3",IF($M8671="PADD IV","PADD 4",IF($M8671="PADD V","PADD 5","")))))</f>
        <v>PADD 3</v>
      </c>
      <c r="G8671" s="6">
        <f>IF(AND($H8671="ATMOS DISTILLATION",ISNUMBER(SEARCH("VPS",$I8671))=FALSE,LEFT($I8671,6)&lt;&gt;"VACUUM"),"CDU",IF($H8671="FLUID CAT CRACKING","FCC",IF(OR($H8671="HYDROCRACKING",$H8671="RESID_HYDROCRACKING"),"Hydrocracker",IF($H8671="REFORMING","Reformer",""))))</f>
        <v/>
      </c>
      <c r="H8671" s="6" t="s">
        <v>43</v>
      </c>
      <c r="I8671" s="6" t="s">
        <v>1251</v>
      </c>
      <c r="J8671" s="6" t="s">
        <v>349</v>
      </c>
      <c r="K8671" s="10">
        <v>17.1</v>
      </c>
      <c r="L8671" s="10">
        <v>30</v>
      </c>
      <c r="M8671" s="6" t="s">
        <v>371</v>
      </c>
    </row>
    <row r="8672" spans="1:13">
      <c r="A8672" s="6">
        <v>2027</v>
      </c>
      <c r="B8672" s="6">
        <v>9</v>
      </c>
      <c r="C8672" s="6" t="s">
        <v>67</v>
      </c>
      <c r="D8672" s="6" t="s">
        <v>1323</v>
      </c>
      <c r="E8672" s="6" t="s">
        <v>369</v>
      </c>
      <c r="F8672" s="6" t="str">
        <f>IF($M8672="PADD I","PADD 1",IF($M8672="PADD II","PADD 2",IF($M8672="PADD III","PADD 3",IF($M8672="PADD IV","PADD 4",IF($M8672="PADD V","PADD 5","")))))</f>
        <v>PADD 5</v>
      </c>
      <c r="G8672" s="6" t="str">
        <f>IF(AND($H8672="ATMOS DISTILLATION",ISNUMBER(SEARCH("VPS",$I8672))=FALSE,LEFT($I8672,6)&lt;&gt;"VACUUM"),"CDU",IF($H8672="FLUID CAT CRACKING","FCC",IF(OR($H8672="HYDROCRACKING",$H8672="RESID_HYDROCRACKING"),"Hydrocracker",IF($H8672="REFORMING","Reformer",""))))</f>
        <v>FCC</v>
      </c>
      <c r="H8672" s="6" t="s">
        <v>376</v>
      </c>
      <c r="I8672" s="6" t="s">
        <v>105</v>
      </c>
      <c r="J8672" s="6" t="s">
        <v>349</v>
      </c>
      <c r="K8672" s="10">
        <v>16.45</v>
      </c>
      <c r="L8672" s="10">
        <v>35</v>
      </c>
      <c r="M8672" s="6" t="s">
        <v>386</v>
      </c>
    </row>
    <row r="8673" spans="1:13">
      <c r="A8673" s="6">
        <v>2027</v>
      </c>
      <c r="B8673" s="6">
        <v>9</v>
      </c>
      <c r="C8673" s="6" t="s">
        <v>67</v>
      </c>
      <c r="D8673" s="6" t="s">
        <v>40</v>
      </c>
      <c r="E8673" s="6" t="s">
        <v>736</v>
      </c>
      <c r="F8673" s="6" t="str">
        <f>IF($M8673="PADD I","PADD 1",IF($M8673="PADD II","PADD 2",IF($M8673="PADD III","PADD 3",IF($M8673="PADD IV","PADD 4",IF($M8673="PADD V","PADD 5","")))))</f>
        <v>PADD 1</v>
      </c>
      <c r="G8673" s="6" t="str">
        <f>IF(AND($H8673="ATMOS DISTILLATION",ISNUMBER(SEARCH("VPS",$I8673))=FALSE,LEFT($I8673,6)&lt;&gt;"VACUUM"),"CDU",IF($H8673="FLUID CAT CRACKING","FCC",IF(OR($H8673="HYDROCRACKING",$H8673="RESID_HYDROCRACKING"),"Hydrocracker",IF($H8673="REFORMING","Reformer",""))))</f>
        <v>Hydrocracker</v>
      </c>
      <c r="H8673" s="6" t="s">
        <v>444</v>
      </c>
      <c r="I8673" s="6" t="s">
        <v>445</v>
      </c>
      <c r="J8673" s="6" t="s">
        <v>349</v>
      </c>
      <c r="K8673" s="10">
        <v>16.08</v>
      </c>
      <c r="L8673" s="10">
        <v>24</v>
      </c>
      <c r="M8673" s="6" t="s">
        <v>413</v>
      </c>
    </row>
    <row r="8674" spans="1:13">
      <c r="A8674" s="6">
        <v>2027</v>
      </c>
      <c r="B8674" s="6">
        <v>9</v>
      </c>
      <c r="C8674" s="6" t="s">
        <v>67</v>
      </c>
      <c r="D8674" s="6" t="s">
        <v>380</v>
      </c>
      <c r="E8674" s="6" t="s">
        <v>381</v>
      </c>
      <c r="F8674" s="6" t="str">
        <f>IF($M8674="PADD I","PADD 1",IF($M8674="PADD II","PADD 2",IF($M8674="PADD III","PADD 3",IF($M8674="PADD IV","PADD 4",IF($M8674="PADD V","PADD 5","")))))</f>
        <v>PADD 3</v>
      </c>
      <c r="G8674" s="6">
        <f>IF(AND($H8674="ATMOS DISTILLATION",ISNUMBER(SEARCH("VPS",$I8674))=FALSE,LEFT($I8674,6)&lt;&gt;"VACUUM"),"CDU",IF($H8674="FLUID CAT CRACKING","FCC",IF(OR($H8674="HYDROCRACKING",$H8674="RESID_HYDROCRACKING"),"Hydrocracker",IF($H8674="REFORMING","Reformer",""))))</f>
        <v/>
      </c>
      <c r="H8674" s="6" t="s">
        <v>435</v>
      </c>
      <c r="I8674" s="6" t="s">
        <v>515</v>
      </c>
      <c r="J8674" s="6" t="s">
        <v>349</v>
      </c>
      <c r="K8674" s="10">
        <v>15.675</v>
      </c>
      <c r="L8674" s="10">
        <v>27.5</v>
      </c>
      <c r="M8674" s="6" t="s">
        <v>371</v>
      </c>
    </row>
    <row r="8675" spans="1:13">
      <c r="A8675" s="6">
        <v>2027</v>
      </c>
      <c r="B8675" s="6">
        <v>9</v>
      </c>
      <c r="C8675" s="6" t="s">
        <v>67</v>
      </c>
      <c r="D8675" s="6" t="s">
        <v>1323</v>
      </c>
      <c r="E8675" s="6" t="s">
        <v>369</v>
      </c>
      <c r="F8675" s="6" t="str">
        <f>IF($M8675="PADD I","PADD 1",IF($M8675="PADD II","PADD 2",IF($M8675="PADD III","PADD 3",IF($M8675="PADD IV","PADD 4",IF($M8675="PADD V","PADD 5","")))))</f>
        <v>PADD 5</v>
      </c>
      <c r="G8675" s="6">
        <f>IF(AND($H8675="ATMOS DISTILLATION",ISNUMBER(SEARCH("VPS",$I8675))=FALSE,LEFT($I8675,6)&lt;&gt;"VACUUM"),"CDU",IF($H8675="FLUID CAT CRACKING","FCC",IF(OR($H8675="HYDROCRACKING",$H8675="RESID_HYDROCRACKING"),"Hydrocracker",IF($H8675="REFORMING","Reformer",""))))</f>
        <v/>
      </c>
      <c r="H8675" s="6" t="s">
        <v>43</v>
      </c>
      <c r="I8675" s="6" t="s">
        <v>811</v>
      </c>
      <c r="J8675" s="6" t="s">
        <v>349</v>
      </c>
      <c r="K8675" s="10">
        <v>15.04</v>
      </c>
      <c r="L8675" s="10">
        <v>32</v>
      </c>
      <c r="M8675" s="6" t="s">
        <v>386</v>
      </c>
    </row>
    <row r="8676" spans="1:13">
      <c r="A8676" s="6">
        <v>2027</v>
      </c>
      <c r="B8676" s="6">
        <v>9</v>
      </c>
      <c r="C8676" s="6" t="s">
        <v>67</v>
      </c>
      <c r="D8676" s="6" t="s">
        <v>1330</v>
      </c>
      <c r="E8676" s="6" t="s">
        <v>1331</v>
      </c>
      <c r="F8676" s="6" t="str">
        <f>IF($M8676="PADD I","PADD 1",IF($M8676="PADD II","PADD 2",IF($M8676="PADD III","PADD 3",IF($M8676="PADD IV","PADD 4",IF($M8676="PADD V","PADD 5","")))))</f>
        <v>PADD 4</v>
      </c>
      <c r="G8676" s="6" t="str">
        <f>IF(AND($H8676="ATMOS DISTILLATION",ISNUMBER(SEARCH("VPS",$I8676))=FALSE,LEFT($I8676,6)&lt;&gt;"VACUUM"),"CDU",IF($H8676="FLUID CAT CRACKING","FCC",IF(OR($H8676="HYDROCRACKING",$H8676="RESID_HYDROCRACKING"),"Hydrocracker",IF($H8676="REFORMING","Reformer",""))))</f>
        <v>Hydrocracker</v>
      </c>
      <c r="H8676" s="6" t="s">
        <v>444</v>
      </c>
      <c r="I8676" s="6" t="s">
        <v>707</v>
      </c>
      <c r="J8676" s="6" t="s">
        <v>349</v>
      </c>
      <c r="K8676" s="10">
        <v>14.94</v>
      </c>
      <c r="L8676" s="10">
        <v>18</v>
      </c>
      <c r="M8676" s="6" t="s">
        <v>430</v>
      </c>
    </row>
    <row r="8677" spans="1:13">
      <c r="A8677" s="6">
        <v>2027</v>
      </c>
      <c r="B8677" s="6">
        <v>9</v>
      </c>
      <c r="C8677" s="6" t="s">
        <v>67</v>
      </c>
      <c r="D8677" s="6" t="s">
        <v>572</v>
      </c>
      <c r="E8677" s="6" t="s">
        <v>573</v>
      </c>
      <c r="F8677" s="6" t="str">
        <f>IF($M8677="PADD I","PADD 1",IF($M8677="PADD II","PADD 2",IF($M8677="PADD III","PADD 3",IF($M8677="PADD IV","PADD 4",IF($M8677="PADD V","PADD 5","")))))</f>
        <v>PADD 3</v>
      </c>
      <c r="G8677" s="6" t="str">
        <f>IF(AND($H8677="ATMOS DISTILLATION",ISNUMBER(SEARCH("VPS",$I8677))=FALSE,LEFT($I8677,6)&lt;&gt;"VACUUM"),"CDU",IF($H8677="FLUID CAT CRACKING","FCC",IF(OR($H8677="HYDROCRACKING",$H8677="RESID_HYDROCRACKING"),"Hydrocracker",IF($H8677="REFORMING","Reformer",""))))</f>
        <v>CDU</v>
      </c>
      <c r="H8677" s="6" t="s">
        <v>38</v>
      </c>
      <c r="I8677" s="6" t="s">
        <v>574</v>
      </c>
      <c r="J8677" s="6" t="s">
        <v>349</v>
      </c>
      <c r="K8677" s="10">
        <v>13.5</v>
      </c>
      <c r="L8677" s="10">
        <v>50</v>
      </c>
      <c r="M8677" s="6" t="s">
        <v>371</v>
      </c>
    </row>
    <row r="8678" spans="1:13">
      <c r="A8678" s="6">
        <v>2027</v>
      </c>
      <c r="B8678" s="6">
        <v>9</v>
      </c>
      <c r="C8678" s="6" t="s">
        <v>67</v>
      </c>
      <c r="D8678" s="6" t="s">
        <v>1060</v>
      </c>
      <c r="E8678" s="6" t="s">
        <v>1039</v>
      </c>
      <c r="F8678" s="6" t="str">
        <f>IF($M8678="PADD I","PADD 1",IF($M8678="PADD II","PADD 2",IF($M8678="PADD III","PADD 3",IF($M8678="PADD IV","PADD 4",IF($M8678="PADD V","PADD 5","")))))</f>
        <v>PADD 2</v>
      </c>
      <c r="G8678" s="6">
        <f>IF(AND($H8678="ATMOS DISTILLATION",ISNUMBER(SEARCH("VPS",$I8678))=FALSE,LEFT($I8678,6)&lt;&gt;"VACUUM"),"CDU",IF($H8678="FLUID CAT CRACKING","FCC",IF(OR($H8678="HYDROCRACKING",$H8678="RESID_HYDROCRACKING"),"Hydrocracker",IF($H8678="REFORMING","Reformer",""))))</f>
        <v/>
      </c>
      <c r="H8678" s="6" t="s">
        <v>460</v>
      </c>
      <c r="I8678" s="6" t="s">
        <v>616</v>
      </c>
      <c r="J8678" s="6" t="s">
        <v>349</v>
      </c>
      <c r="K8678" s="10">
        <v>13.3</v>
      </c>
      <c r="L8678" s="10">
        <v>19</v>
      </c>
      <c r="M8678" s="6" t="s">
        <v>375</v>
      </c>
    </row>
    <row r="8679" spans="1:13">
      <c r="A8679" s="6">
        <v>2027</v>
      </c>
      <c r="B8679" s="6">
        <v>9</v>
      </c>
      <c r="C8679" s="6" t="s">
        <v>67</v>
      </c>
      <c r="D8679" s="6" t="s">
        <v>1330</v>
      </c>
      <c r="E8679" s="6" t="s">
        <v>1331</v>
      </c>
      <c r="F8679" s="6" t="str">
        <f>IF($M8679="PADD I","PADD 1",IF($M8679="PADD II","PADD 2",IF($M8679="PADD III","PADD 3",IF($M8679="PADD IV","PADD 4",IF($M8679="PADD V","PADD 5","")))))</f>
        <v>PADD 4</v>
      </c>
      <c r="G8679" s="6" t="str">
        <f>IF(AND($H8679="ATMOS DISTILLATION",ISNUMBER(SEARCH("VPS",$I8679))=FALSE,LEFT($I8679,6)&lt;&gt;"VACUUM"),"CDU",IF($H8679="FLUID CAT CRACKING","FCC",IF(OR($H8679="HYDROCRACKING",$H8679="RESID_HYDROCRACKING"),"Hydrocracker",IF($H8679="REFORMING","Reformer",""))))</f>
        <v>CDU</v>
      </c>
      <c r="H8679" s="6" t="s">
        <v>38</v>
      </c>
      <c r="I8679" s="6" t="s">
        <v>135</v>
      </c>
      <c r="J8679" s="6" t="s">
        <v>349</v>
      </c>
      <c r="K8679" s="10">
        <v>12.45</v>
      </c>
      <c r="L8679" s="10">
        <v>15</v>
      </c>
      <c r="M8679" s="6" t="s">
        <v>430</v>
      </c>
    </row>
    <row r="8680" spans="1:13">
      <c r="A8680" s="6">
        <v>2027</v>
      </c>
      <c r="B8680" s="6">
        <v>9</v>
      </c>
      <c r="C8680" s="6" t="s">
        <v>67</v>
      </c>
      <c r="D8680" s="6" t="s">
        <v>602</v>
      </c>
      <c r="E8680" s="6" t="s">
        <v>369</v>
      </c>
      <c r="F8680" s="6" t="str">
        <f>IF($M8680="PADD I","PADD 1",IF($M8680="PADD II","PADD 2",IF($M8680="PADD III","PADD 3",IF($M8680="PADD IV","PADD 4",IF($M8680="PADD V","PADD 5","")))))</f>
        <v>PADD 2</v>
      </c>
      <c r="G8680" s="6">
        <f>IF(AND($H8680="ATMOS DISTILLATION",ISNUMBER(SEARCH("VPS",$I8680))=FALSE,LEFT($I8680,6)&lt;&gt;"VACUUM"),"CDU",IF($H8680="FLUID CAT CRACKING","FCC",IF(OR($H8680="HYDROCRACKING",$H8680="RESID_HYDROCRACKING"),"Hydrocracker",IF($H8680="REFORMING","Reformer",""))))</f>
        <v/>
      </c>
      <c r="H8680" s="6" t="s">
        <v>460</v>
      </c>
      <c r="I8680" s="6" t="s">
        <v>616</v>
      </c>
      <c r="J8680" s="6" t="s">
        <v>349</v>
      </c>
      <c r="K8680" s="10">
        <v>12</v>
      </c>
      <c r="L8680" s="10">
        <v>12</v>
      </c>
      <c r="M8680" s="6" t="s">
        <v>375</v>
      </c>
    </row>
    <row r="8681" spans="1:13">
      <c r="A8681" s="6">
        <v>2027</v>
      </c>
      <c r="B8681" s="6">
        <v>9</v>
      </c>
      <c r="C8681" s="6" t="s">
        <v>67</v>
      </c>
      <c r="D8681" s="6" t="s">
        <v>380</v>
      </c>
      <c r="E8681" s="6" t="s">
        <v>381</v>
      </c>
      <c r="F8681" s="6" t="str">
        <f>IF($M8681="PADD I","PADD 1",IF($M8681="PADD II","PADD 2",IF($M8681="PADD III","PADD 3",IF($M8681="PADD IV","PADD 4",IF($M8681="PADD V","PADD 5","")))))</f>
        <v>PADD 3</v>
      </c>
      <c r="G8681" s="6">
        <f>IF(AND($H8681="ATMOS DISTILLATION",ISNUMBER(SEARCH("VPS",$I8681))=FALSE,LEFT($I8681,6)&lt;&gt;"VACUUM"),"CDU",IF($H8681="FLUID CAT CRACKING","FCC",IF(OR($H8681="HYDROCRACKING",$H8681="RESID_HYDROCRACKING"),"Hydrocracker",IF($H8681="REFORMING","Reformer",""))))</f>
        <v/>
      </c>
      <c r="H8681" s="6" t="s">
        <v>43</v>
      </c>
      <c r="I8681" s="6" t="s">
        <v>1247</v>
      </c>
      <c r="J8681" s="6" t="s">
        <v>349</v>
      </c>
      <c r="K8681" s="10">
        <v>12</v>
      </c>
      <c r="L8681" s="10">
        <v>40</v>
      </c>
      <c r="M8681" s="6" t="s">
        <v>371</v>
      </c>
    </row>
    <row r="8682" spans="1:13">
      <c r="A8682" s="6">
        <v>2027</v>
      </c>
      <c r="B8682" s="6">
        <v>9</v>
      </c>
      <c r="C8682" s="6" t="s">
        <v>67</v>
      </c>
      <c r="D8682" s="6" t="s">
        <v>739</v>
      </c>
      <c r="E8682" s="6" t="s">
        <v>405</v>
      </c>
      <c r="F8682" s="6" t="str">
        <f>IF($M8682="PADD I","PADD 1",IF($M8682="PADD II","PADD 2",IF($M8682="PADD III","PADD 3",IF($M8682="PADD IV","PADD 4",IF($M8682="PADD V","PADD 5","")))))</f>
        <v>PADD 2</v>
      </c>
      <c r="G8682" s="6" t="str">
        <f>IF(AND($H8682="ATMOS DISTILLATION",ISNUMBER(SEARCH("VPS",$I8682))=FALSE,LEFT($I8682,6)&lt;&gt;"VACUUM"),"CDU",IF($H8682="FLUID CAT CRACKING","FCC",IF(OR($H8682="HYDROCRACKING",$H8682="RESID_HYDROCRACKING"),"Hydrocracker",IF($H8682="REFORMING","Reformer",""))))</f>
        <v>Hydrocracker</v>
      </c>
      <c r="H8682" s="6" t="s">
        <v>444</v>
      </c>
      <c r="I8682" s="6" t="s">
        <v>795</v>
      </c>
      <c r="J8682" s="6" t="s">
        <v>349</v>
      </c>
      <c r="K8682" s="10">
        <v>11.16</v>
      </c>
      <c r="L8682" s="10">
        <v>12</v>
      </c>
      <c r="M8682" s="6" t="s">
        <v>375</v>
      </c>
    </row>
    <row r="8683" spans="1:13">
      <c r="A8683" s="6">
        <v>2027</v>
      </c>
      <c r="B8683" s="6">
        <v>9</v>
      </c>
      <c r="C8683" s="6" t="s">
        <v>67</v>
      </c>
      <c r="D8683" s="6" t="s">
        <v>1323</v>
      </c>
      <c r="E8683" s="6" t="s">
        <v>369</v>
      </c>
      <c r="F8683" s="6" t="str">
        <f>IF($M8683="PADD I","PADD 1",IF($M8683="PADD II","PADD 2",IF($M8683="PADD III","PADD 3",IF($M8683="PADD IV","PADD 4",IF($M8683="PADD V","PADD 5","")))))</f>
        <v>PADD 5</v>
      </c>
      <c r="G8683" s="6">
        <f>IF(AND($H8683="ATMOS DISTILLATION",ISNUMBER(SEARCH("VPS",$I8683))=FALSE,LEFT($I8683,6)&lt;&gt;"VACUUM"),"CDU",IF($H8683="FLUID CAT CRACKING","FCC",IF(OR($H8683="HYDROCRACKING",$H8683="RESID_HYDROCRACKING"),"Hydrocracker",IF($H8683="REFORMING","Reformer",""))))</f>
        <v/>
      </c>
      <c r="H8683" s="6" t="s">
        <v>43</v>
      </c>
      <c r="I8683" s="6" t="s">
        <v>458</v>
      </c>
      <c r="J8683" s="6" t="s">
        <v>349</v>
      </c>
      <c r="K8683" s="10">
        <v>9.4</v>
      </c>
      <c r="L8683" s="10">
        <v>20</v>
      </c>
      <c r="M8683" s="6" t="s">
        <v>386</v>
      </c>
    </row>
    <row r="8684" spans="1:13">
      <c r="A8684" s="6">
        <v>2027</v>
      </c>
      <c r="B8684" s="6">
        <v>9</v>
      </c>
      <c r="C8684" s="6" t="s">
        <v>67</v>
      </c>
      <c r="D8684" s="6" t="s">
        <v>1330</v>
      </c>
      <c r="E8684" s="6" t="s">
        <v>1331</v>
      </c>
      <c r="F8684" s="6" t="str">
        <f>IF($M8684="PADD I","PADD 1",IF($M8684="PADD II","PADD 2",IF($M8684="PADD III","PADD 3",IF($M8684="PADD IV","PADD 4",IF($M8684="PADD V","PADD 5","")))))</f>
        <v>PADD 4</v>
      </c>
      <c r="G8684" s="6" t="str">
        <f>IF(AND($H8684="ATMOS DISTILLATION",ISNUMBER(SEARCH("VPS",$I8684))=FALSE,LEFT($I8684,6)&lt;&gt;"VACUUM"),"CDU",IF($H8684="FLUID CAT CRACKING","FCC",IF(OR($H8684="HYDROCRACKING",$H8684="RESID_HYDROCRACKING"),"Hydrocracker",IF($H8684="REFORMING","Reformer",""))))</f>
        <v>CDU</v>
      </c>
      <c r="H8684" s="6" t="s">
        <v>38</v>
      </c>
      <c r="I8684" s="6" t="s">
        <v>131</v>
      </c>
      <c r="J8684" s="6" t="s">
        <v>349</v>
      </c>
      <c r="K8684" s="10">
        <v>8.300000000000001</v>
      </c>
      <c r="L8684" s="10">
        <v>10</v>
      </c>
      <c r="M8684" s="6" t="s">
        <v>430</v>
      </c>
    </row>
    <row r="8685" spans="1:13">
      <c r="A8685" s="6">
        <v>2027</v>
      </c>
      <c r="B8685" s="6">
        <v>9</v>
      </c>
      <c r="C8685" s="6" t="s">
        <v>67</v>
      </c>
      <c r="D8685" s="6" t="s">
        <v>468</v>
      </c>
      <c r="E8685" s="6" t="s">
        <v>369</v>
      </c>
      <c r="F8685" s="6" t="str">
        <f>IF($M8685="PADD I","PADD 1",IF($M8685="PADD II","PADD 2",IF($M8685="PADD III","PADD 3",IF($M8685="PADD IV","PADD 4",IF($M8685="PADD V","PADD 5","")))))</f>
        <v>PADD 3</v>
      </c>
      <c r="G8685" s="6">
        <f>IF(AND($H8685="ATMOS DISTILLATION",ISNUMBER(SEARCH("VPS",$I8685))=FALSE,LEFT($I8685,6)&lt;&gt;"VACUUM"),"CDU",IF($H8685="FLUID CAT CRACKING","FCC",IF(OR($H8685="HYDROCRACKING",$H8685="RESID_HYDROCRACKING"),"Hydrocracker",IF($H8685="REFORMING","Reformer",""))))</f>
        <v/>
      </c>
      <c r="H8685" s="6" t="s">
        <v>43</v>
      </c>
      <c r="I8685" s="6" t="s">
        <v>1176</v>
      </c>
      <c r="J8685" s="6" t="s">
        <v>349</v>
      </c>
      <c r="K8685" s="10">
        <v>8.050000000000001</v>
      </c>
      <c r="L8685" s="10">
        <v>35</v>
      </c>
      <c r="M8685" s="6" t="s">
        <v>371</v>
      </c>
    </row>
    <row r="8686" spans="1:13">
      <c r="A8686" s="6">
        <v>2027</v>
      </c>
      <c r="B8686" s="6">
        <v>9</v>
      </c>
      <c r="C8686" s="6" t="s">
        <v>67</v>
      </c>
      <c r="D8686" s="6" t="s">
        <v>1323</v>
      </c>
      <c r="E8686" s="6" t="s">
        <v>369</v>
      </c>
      <c r="F8686" s="6" t="str">
        <f>IF($M8686="PADD I","PADD 1",IF($M8686="PADD II","PADD 2",IF($M8686="PADD III","PADD 3",IF($M8686="PADD IV","PADD 4",IF($M8686="PADD V","PADD 5","")))))</f>
        <v>PADD 5</v>
      </c>
      <c r="G8686" s="6">
        <f>IF(AND($H8686="ATMOS DISTILLATION",ISNUMBER(SEARCH("VPS",$I8686))=FALSE,LEFT($I8686,6)&lt;&gt;"VACUUM"),"CDU",IF($H8686="FLUID CAT CRACKING","FCC",IF(OR($H8686="HYDROCRACKING",$H8686="RESID_HYDROCRACKING"),"Hydrocracker",IF($H8686="REFORMING","Reformer",""))))</f>
        <v/>
      </c>
      <c r="H8686" s="6" t="s">
        <v>43</v>
      </c>
      <c r="I8686" s="6" t="s">
        <v>1373</v>
      </c>
      <c r="J8686" s="6" t="s">
        <v>349</v>
      </c>
      <c r="K8686" s="10">
        <v>7.99</v>
      </c>
      <c r="L8686" s="10">
        <v>17</v>
      </c>
      <c r="M8686" s="6" t="s">
        <v>386</v>
      </c>
    </row>
    <row r="8687" spans="1:13">
      <c r="A8687" s="6">
        <v>2027</v>
      </c>
      <c r="B8687" s="6">
        <v>9</v>
      </c>
      <c r="C8687" s="6" t="s">
        <v>67</v>
      </c>
      <c r="D8687" s="6" t="s">
        <v>1323</v>
      </c>
      <c r="E8687" s="6" t="s">
        <v>369</v>
      </c>
      <c r="F8687" s="6" t="str">
        <f>IF($M8687="PADD I","PADD 1",IF($M8687="PADD II","PADD 2",IF($M8687="PADD III","PADD 3",IF($M8687="PADD IV","PADD 4",IF($M8687="PADD V","PADD 5","")))))</f>
        <v>PADD 5</v>
      </c>
      <c r="G8687" s="6" t="str">
        <f>IF(AND($H8687="ATMOS DISTILLATION",ISNUMBER(SEARCH("VPS",$I8687))=FALSE,LEFT($I8687,6)&lt;&gt;"VACUUM"),"CDU",IF($H8687="FLUID CAT CRACKING","FCC",IF(OR($H8687="HYDROCRACKING",$H8687="RESID_HYDROCRACKING"),"Hydrocracker",IF($H8687="REFORMING","Reformer",""))))</f>
        <v>Reformer</v>
      </c>
      <c r="H8687" s="6" t="s">
        <v>421</v>
      </c>
      <c r="I8687" s="6" t="s">
        <v>1103</v>
      </c>
      <c r="J8687" s="6" t="s">
        <v>349</v>
      </c>
      <c r="K8687" s="10">
        <v>7.52</v>
      </c>
      <c r="L8687" s="10">
        <v>16</v>
      </c>
      <c r="M8687" s="6" t="s">
        <v>386</v>
      </c>
    </row>
    <row r="8688" spans="1:13">
      <c r="A8688" s="6">
        <v>2027</v>
      </c>
      <c r="B8688" s="6">
        <v>9</v>
      </c>
      <c r="C8688" s="6" t="s">
        <v>67</v>
      </c>
      <c r="D8688" s="6" t="s">
        <v>887</v>
      </c>
      <c r="E8688" s="6" t="s">
        <v>405</v>
      </c>
      <c r="F8688" s="6" t="str">
        <f>IF($M8688="PADD I","PADD 1",IF($M8688="PADD II","PADD 2",IF($M8688="PADD III","PADD 3",IF($M8688="PADD IV","PADD 4",IF($M8688="PADD V","PADD 5","")))))</f>
        <v>PADD 3</v>
      </c>
      <c r="G8688" s="6" t="str">
        <f>IF(AND($H8688="ATMOS DISTILLATION",ISNUMBER(SEARCH("VPS",$I8688))=FALSE,LEFT($I8688,6)&lt;&gt;"VACUUM"),"CDU",IF($H8688="FLUID CAT CRACKING","FCC",IF(OR($H8688="HYDROCRACKING",$H8688="RESID_HYDROCRACKING"),"Hydrocracker",IF($H8688="REFORMING","Reformer",""))))</f>
        <v>Hydrocracker</v>
      </c>
      <c r="H8688" s="6" t="s">
        <v>444</v>
      </c>
      <c r="I8688" s="6" t="s">
        <v>1022</v>
      </c>
      <c r="J8688" s="6" t="s">
        <v>349</v>
      </c>
      <c r="K8688" s="10">
        <v>6.9</v>
      </c>
      <c r="L8688" s="10">
        <v>30</v>
      </c>
      <c r="M8688" s="6" t="s">
        <v>371</v>
      </c>
    </row>
    <row r="8689" spans="1:13">
      <c r="A8689" s="6">
        <v>2027</v>
      </c>
      <c r="B8689" s="6">
        <v>9</v>
      </c>
      <c r="C8689" s="6" t="s">
        <v>67</v>
      </c>
      <c r="D8689" s="6" t="s">
        <v>739</v>
      </c>
      <c r="E8689" s="6" t="s">
        <v>405</v>
      </c>
      <c r="F8689" s="6" t="str">
        <f>IF($M8689="PADD I","PADD 1",IF($M8689="PADD II","PADD 2",IF($M8689="PADD III","PADD 3",IF($M8689="PADD IV","PADD 4",IF($M8689="PADD V","PADD 5","")))))</f>
        <v>PADD 2</v>
      </c>
      <c r="G8689" s="6">
        <f>IF(AND($H8689="ATMOS DISTILLATION",ISNUMBER(SEARCH("VPS",$I8689))=FALSE,LEFT($I8689,6)&lt;&gt;"VACUUM"),"CDU",IF($H8689="FLUID CAT CRACKING","FCC",IF(OR($H8689="HYDROCRACKING",$H8689="RESID_HYDROCRACKING"),"Hydrocracker",IF($H8689="REFORMING","Reformer",""))))</f>
        <v/>
      </c>
      <c r="H8689" s="6" t="s">
        <v>568</v>
      </c>
      <c r="I8689" s="6" t="s">
        <v>604</v>
      </c>
      <c r="J8689" s="6" t="s">
        <v>349</v>
      </c>
      <c r="K8689" s="10">
        <v>6.51</v>
      </c>
      <c r="L8689" s="10">
        <v>7</v>
      </c>
      <c r="M8689" s="6" t="s">
        <v>375</v>
      </c>
    </row>
    <row r="8690" spans="1:13">
      <c r="A8690" s="6">
        <v>2027</v>
      </c>
      <c r="B8690" s="6">
        <v>9</v>
      </c>
      <c r="C8690" s="6" t="s">
        <v>67</v>
      </c>
      <c r="D8690" s="6" t="s">
        <v>739</v>
      </c>
      <c r="E8690" s="6" t="s">
        <v>405</v>
      </c>
      <c r="F8690" s="6" t="str">
        <f>IF($M8690="PADD I","PADD 1",IF($M8690="PADD II","PADD 2",IF($M8690="PADD III","PADD 3",IF($M8690="PADD IV","PADD 4",IF($M8690="PADD V","PADD 5","")))))</f>
        <v>PADD 2</v>
      </c>
      <c r="G8690" s="6">
        <f>IF(AND($H8690="ATMOS DISTILLATION",ISNUMBER(SEARCH("VPS",$I8690))=FALSE,LEFT($I8690,6)&lt;&gt;"VACUUM"),"CDU",IF($H8690="FLUID CAT CRACKING","FCC",IF(OR($H8690="HYDROCRACKING",$H8690="RESID_HYDROCRACKING"),"Hydrocracker",IF($H8690="REFORMING","Reformer",""))))</f>
        <v/>
      </c>
      <c r="H8690" s="6" t="s">
        <v>460</v>
      </c>
      <c r="I8690" s="6" t="s">
        <v>616</v>
      </c>
      <c r="J8690" s="6" t="s">
        <v>349</v>
      </c>
      <c r="K8690" s="10">
        <v>5.766</v>
      </c>
      <c r="L8690" s="10">
        <v>6.2</v>
      </c>
      <c r="M8690" s="6" t="s">
        <v>375</v>
      </c>
    </row>
    <row r="8691" spans="1:13">
      <c r="A8691" s="6">
        <v>2027</v>
      </c>
      <c r="B8691" s="6">
        <v>9</v>
      </c>
      <c r="C8691" s="6" t="s">
        <v>67</v>
      </c>
      <c r="D8691" s="6" t="s">
        <v>333</v>
      </c>
      <c r="E8691" s="6" t="s">
        <v>381</v>
      </c>
      <c r="F8691" s="6" t="str">
        <f>IF($M8691="PADD I","PADD 1",IF($M8691="PADD II","PADD 2",IF($M8691="PADD III","PADD 3",IF($M8691="PADD IV","PADD 4",IF($M8691="PADD V","PADD 5","")))))</f>
        <v>PADD 3</v>
      </c>
      <c r="G8691" s="6">
        <f>IF(AND($H8691="ATMOS DISTILLATION",ISNUMBER(SEARCH("VPS",$I8691))=FALSE,LEFT($I8691,6)&lt;&gt;"VACUUM"),"CDU",IF($H8691="FLUID CAT CRACKING","FCC",IF(OR($H8691="HYDROCRACKING",$H8691="RESID_HYDROCRACKING"),"Hydrocracker",IF($H8691="REFORMING","Reformer",""))))</f>
        <v/>
      </c>
      <c r="H8691" s="6" t="s">
        <v>43</v>
      </c>
      <c r="I8691" s="6" t="s">
        <v>943</v>
      </c>
      <c r="J8691" s="6" t="s">
        <v>349</v>
      </c>
      <c r="K8691" s="10">
        <v>5.2</v>
      </c>
      <c r="L8691" s="10">
        <v>40</v>
      </c>
      <c r="M8691" s="6" t="s">
        <v>371</v>
      </c>
    </row>
    <row r="8692" spans="1:13">
      <c r="A8692" s="6">
        <v>2027</v>
      </c>
      <c r="B8692" s="6">
        <v>9</v>
      </c>
      <c r="C8692" s="6" t="s">
        <v>67</v>
      </c>
      <c r="D8692" s="6" t="s">
        <v>468</v>
      </c>
      <c r="E8692" s="6" t="s">
        <v>369</v>
      </c>
      <c r="F8692" s="6" t="str">
        <f>IF($M8692="PADD I","PADD 1",IF($M8692="PADD II","PADD 2",IF($M8692="PADD III","PADD 3",IF($M8692="PADD IV","PADD 4",IF($M8692="PADD V","PADD 5","")))))</f>
        <v>PADD 3</v>
      </c>
      <c r="G8692" s="6">
        <f>IF(AND($H8692="ATMOS DISTILLATION",ISNUMBER(SEARCH("VPS",$I8692))=FALSE,LEFT($I8692,6)&lt;&gt;"VACUUM"),"CDU",IF($H8692="FLUID CAT CRACKING","FCC",IF(OR($H8692="HYDROCRACKING",$H8692="RESID_HYDROCRACKING"),"Hydrocracker",IF($H8692="REFORMING","Reformer",""))))</f>
        <v/>
      </c>
      <c r="H8692" s="6" t="s">
        <v>568</v>
      </c>
      <c r="I8692" s="6" t="s">
        <v>1401</v>
      </c>
      <c r="J8692" s="6" t="s">
        <v>349</v>
      </c>
      <c r="K8692" s="10">
        <v>4.6</v>
      </c>
      <c r="L8692" s="10">
        <v>20</v>
      </c>
      <c r="M8692" s="6" t="s">
        <v>371</v>
      </c>
    </row>
    <row r="8693" spans="1:13">
      <c r="A8693" s="6">
        <v>2027</v>
      </c>
      <c r="B8693" s="6">
        <v>9</v>
      </c>
      <c r="C8693" s="6" t="s">
        <v>67</v>
      </c>
      <c r="D8693" s="6" t="s">
        <v>1330</v>
      </c>
      <c r="E8693" s="6" t="s">
        <v>1331</v>
      </c>
      <c r="F8693" s="6" t="str">
        <f>IF($M8693="PADD I","PADD 1",IF($M8693="PADD II","PADD 2",IF($M8693="PADD III","PADD 3",IF($M8693="PADD IV","PADD 4",IF($M8693="PADD V","PADD 5","")))))</f>
        <v>PADD 4</v>
      </c>
      <c r="G8693" s="6">
        <f>IF(AND($H8693="ATMOS DISTILLATION",ISNUMBER(SEARCH("VPS",$I8693))=FALSE,LEFT($I8693,6)&lt;&gt;"VACUUM"),"CDU",IF($H8693="FLUID CAT CRACKING","FCC",IF(OR($H8693="HYDROCRACKING",$H8693="RESID_HYDROCRACKING"),"Hydrocracker",IF($H8693="REFORMING","Reformer",""))))</f>
        <v/>
      </c>
      <c r="H8693" s="6" t="s">
        <v>43</v>
      </c>
      <c r="I8693" s="6" t="s">
        <v>1402</v>
      </c>
      <c r="J8693" s="6" t="s">
        <v>349</v>
      </c>
      <c r="K8693" s="10">
        <v>4.15</v>
      </c>
      <c r="L8693" s="10">
        <v>5</v>
      </c>
      <c r="M8693" s="6" t="s">
        <v>430</v>
      </c>
    </row>
    <row r="8694" spans="1:13">
      <c r="A8694" s="6">
        <v>2027</v>
      </c>
      <c r="B8694" s="6">
        <v>9</v>
      </c>
      <c r="C8694" s="6" t="s">
        <v>67</v>
      </c>
      <c r="D8694" s="6" t="s">
        <v>1323</v>
      </c>
      <c r="E8694" s="6" t="s">
        <v>369</v>
      </c>
      <c r="F8694" s="6" t="str">
        <f>IF($M8694="PADD I","PADD 1",IF($M8694="PADD II","PADD 2",IF($M8694="PADD III","PADD 3",IF($M8694="PADD IV","PADD 4",IF($M8694="PADD V","PADD 5","")))))</f>
        <v>PADD 5</v>
      </c>
      <c r="G8694" s="6">
        <f>IF(AND($H8694="ATMOS DISTILLATION",ISNUMBER(SEARCH("VPS",$I8694))=FALSE,LEFT($I8694,6)&lt;&gt;"VACUUM"),"CDU",IF($H8694="FLUID CAT CRACKING","FCC",IF(OR($H8694="HYDROCRACKING",$H8694="RESID_HYDROCRACKING"),"Hydrocracker",IF($H8694="REFORMING","Reformer",""))))</f>
        <v/>
      </c>
      <c r="H8694" s="6" t="s">
        <v>460</v>
      </c>
      <c r="I8694" s="6" t="s">
        <v>616</v>
      </c>
      <c r="J8694" s="6" t="s">
        <v>349</v>
      </c>
      <c r="K8694" s="10">
        <v>3.995</v>
      </c>
      <c r="L8694" s="10">
        <v>8.5</v>
      </c>
      <c r="M8694" s="6" t="s">
        <v>386</v>
      </c>
    </row>
    <row r="8695" spans="1:13">
      <c r="A8695" s="6">
        <v>2027</v>
      </c>
      <c r="B8695" s="6">
        <v>9</v>
      </c>
      <c r="C8695" s="6" t="s">
        <v>67</v>
      </c>
      <c r="D8695" s="6" t="s">
        <v>742</v>
      </c>
      <c r="E8695" s="6" t="s">
        <v>388</v>
      </c>
      <c r="F8695" s="6" t="str">
        <f>IF($M8695="PADD I","PADD 1",IF($M8695="PADD II","PADD 2",IF($M8695="PADD III","PADD 3",IF($M8695="PADD IV","PADD 4",IF($M8695="PADD V","PADD 5","")))))</f>
        <v>PADD 5</v>
      </c>
      <c r="G8695" s="6">
        <f>IF(AND($H8695="ATMOS DISTILLATION",ISNUMBER(SEARCH("VPS",$I8695))=FALSE,LEFT($I8695,6)&lt;&gt;"VACUUM"),"CDU",IF($H8695="FLUID CAT CRACKING","FCC",IF(OR($H8695="HYDROCRACKING",$H8695="RESID_HYDROCRACKING"),"Hydrocracker",IF($H8695="REFORMING","Reformer",""))))</f>
        <v/>
      </c>
      <c r="H8695" s="6" t="s">
        <v>568</v>
      </c>
      <c r="I8695" s="6" t="s">
        <v>768</v>
      </c>
      <c r="J8695" s="6" t="s">
        <v>349</v>
      </c>
      <c r="K8695" s="10">
        <v>3.5</v>
      </c>
      <c r="L8695" s="10">
        <v>3.5</v>
      </c>
      <c r="M8695" s="6" t="s">
        <v>386</v>
      </c>
    </row>
    <row r="8696" spans="1:13">
      <c r="A8696" s="6">
        <v>2027</v>
      </c>
      <c r="B8696" s="6">
        <v>9</v>
      </c>
      <c r="C8696" s="6" t="s">
        <v>67</v>
      </c>
      <c r="D8696" s="6" t="s">
        <v>1330</v>
      </c>
      <c r="E8696" s="6" t="s">
        <v>1331</v>
      </c>
      <c r="F8696" s="6" t="str">
        <f>IF($M8696="PADD I","PADD 1",IF($M8696="PADD II","PADD 2",IF($M8696="PADD III","PADD 3",IF($M8696="PADD IV","PADD 4",IF($M8696="PADD V","PADD 5","")))))</f>
        <v>PADD 4</v>
      </c>
      <c r="G8696" s="6" t="str">
        <f>IF(AND($H8696="ATMOS DISTILLATION",ISNUMBER(SEARCH("VPS",$I8696))=FALSE,LEFT($I8696,6)&lt;&gt;"VACUUM"),"CDU",IF($H8696="FLUID CAT CRACKING","FCC",IF(OR($H8696="HYDROCRACKING",$H8696="RESID_HYDROCRACKING"),"Hydrocracker",IF($H8696="REFORMING","Reformer",""))))</f>
        <v>FCC</v>
      </c>
      <c r="H8696" s="6" t="s">
        <v>376</v>
      </c>
      <c r="I8696" s="6" t="s">
        <v>105</v>
      </c>
      <c r="J8696" s="6" t="s">
        <v>349</v>
      </c>
      <c r="K8696" s="10">
        <v>2.324</v>
      </c>
      <c r="L8696" s="10">
        <v>2.8</v>
      </c>
      <c r="M8696" s="6" t="s">
        <v>430</v>
      </c>
    </row>
    <row r="8697" spans="1:13">
      <c r="A8697" s="6">
        <v>2027</v>
      </c>
      <c r="B8697" s="6">
        <v>9</v>
      </c>
      <c r="C8697" s="6" t="s">
        <v>67</v>
      </c>
      <c r="D8697" s="6" t="s">
        <v>1330</v>
      </c>
      <c r="E8697" s="6" t="s">
        <v>1331</v>
      </c>
      <c r="F8697" s="6" t="str">
        <f>IF($M8697="PADD I","PADD 1",IF($M8697="PADD II","PADD 2",IF($M8697="PADD III","PADD 3",IF($M8697="PADD IV","PADD 4",IF($M8697="PADD V","PADD 5","")))))</f>
        <v>PADD 4</v>
      </c>
      <c r="G8697" s="6" t="str">
        <f>IF(AND($H8697="ATMOS DISTILLATION",ISNUMBER(SEARCH("VPS",$I8697))=FALSE,LEFT($I8697,6)&lt;&gt;"VACUUM"),"CDU",IF($H8697="FLUID CAT CRACKING","FCC",IF(OR($H8697="HYDROCRACKING",$H8697="RESID_HYDROCRACKING"),"Hydrocracker",IF($H8697="REFORMING","Reformer",""))))</f>
        <v>Reformer</v>
      </c>
      <c r="H8697" s="6" t="s">
        <v>421</v>
      </c>
      <c r="I8697" s="6" t="s">
        <v>15</v>
      </c>
      <c r="J8697" s="6" t="s">
        <v>349</v>
      </c>
      <c r="K8697" s="10">
        <v>0.83</v>
      </c>
      <c r="L8697" s="10">
        <v>1</v>
      </c>
      <c r="M8697" s="6" t="s">
        <v>430</v>
      </c>
    </row>
    <row r="8698" spans="1:13">
      <c r="A8698" s="6">
        <v>2027</v>
      </c>
      <c r="B8698" s="6">
        <v>10</v>
      </c>
      <c r="C8698" s="6" t="s">
        <v>68</v>
      </c>
      <c r="D8698" s="6" t="s">
        <v>547</v>
      </c>
      <c r="E8698" s="6" t="s">
        <v>391</v>
      </c>
      <c r="F8698" s="6" t="str">
        <f>IF($M8698="PADD I","PADD 1",IF($M8698="PADD II","PADD 2",IF($M8698="PADD III","PADD 3",IF($M8698="PADD IV","PADD 4",IF($M8698="PADD V","PADD 5","")))))</f>
        <v>PADD 5</v>
      </c>
      <c r="G8698" s="6" t="str">
        <f>IF(AND($H8698="ATMOS DISTILLATION",ISNUMBER(SEARCH("VPS",$I8698))=FALSE,LEFT($I8698,6)&lt;&gt;"VACUUM"),"CDU",IF($H8698="FLUID CAT CRACKING","FCC",IF(OR($H8698="HYDROCRACKING",$H8698="RESID_HYDROCRACKING"),"Hydrocracker",IF($H8698="REFORMING","Reformer",""))))</f>
        <v>CDU</v>
      </c>
      <c r="H8698" s="6" t="s">
        <v>38</v>
      </c>
      <c r="I8698" s="6" t="s">
        <v>81</v>
      </c>
      <c r="J8698" s="6" t="s">
        <v>349</v>
      </c>
      <c r="K8698" s="10">
        <v>232.8</v>
      </c>
      <c r="L8698" s="10">
        <v>240</v>
      </c>
      <c r="M8698" s="6" t="s">
        <v>386</v>
      </c>
    </row>
    <row r="8699" spans="1:13">
      <c r="A8699" s="6">
        <v>2027</v>
      </c>
      <c r="B8699" s="6">
        <v>10</v>
      </c>
      <c r="C8699" s="6" t="s">
        <v>68</v>
      </c>
      <c r="D8699" s="6" t="s">
        <v>319</v>
      </c>
      <c r="E8699" s="6" t="s">
        <v>665</v>
      </c>
      <c r="F8699" s="6" t="str">
        <f>IF($M8699="PADD I","PADD 1",IF($M8699="PADD II","PADD 2",IF($M8699="PADD III","PADD 3",IF($M8699="PADD IV","PADD 4",IF($M8699="PADD V","PADD 5","")))))</f>
        <v>PADD 3</v>
      </c>
      <c r="G8699" s="6" t="str">
        <f>IF(AND($H8699="ATMOS DISTILLATION",ISNUMBER(SEARCH("VPS",$I8699))=FALSE,LEFT($I8699,6)&lt;&gt;"VACUUM"),"CDU",IF($H8699="FLUID CAT CRACKING","FCC",IF(OR($H8699="HYDROCRACKING",$H8699="RESID_HYDROCRACKING"),"Hydrocracker",IF($H8699="REFORMING","Reformer",""))))</f>
        <v>CDU</v>
      </c>
      <c r="H8699" s="6" t="s">
        <v>38</v>
      </c>
      <c r="I8699" s="6" t="s">
        <v>86</v>
      </c>
      <c r="J8699" s="6" t="s">
        <v>349</v>
      </c>
      <c r="K8699" s="10">
        <v>232.8</v>
      </c>
      <c r="L8699" s="10">
        <v>240</v>
      </c>
      <c r="M8699" s="6" t="s">
        <v>371</v>
      </c>
    </row>
    <row r="8700" spans="1:13">
      <c r="A8700" s="6">
        <v>2027</v>
      </c>
      <c r="B8700" s="6">
        <v>10</v>
      </c>
      <c r="C8700" s="6" t="s">
        <v>68</v>
      </c>
      <c r="D8700" s="6" t="s">
        <v>490</v>
      </c>
      <c r="E8700" s="6" t="s">
        <v>491</v>
      </c>
      <c r="F8700" s="6" t="str">
        <f>IF($M8700="PADD I","PADD 1",IF($M8700="PADD II","PADD 2",IF($M8700="PADD III","PADD 3",IF($M8700="PADD IV","PADD 4",IF($M8700="PADD V","PADD 5","")))))</f>
        <v>PADD 3</v>
      </c>
      <c r="G8700" s="6">
        <f>IF(AND($H8700="ATMOS DISTILLATION",ISNUMBER(SEARCH("VPS",$I8700))=FALSE,LEFT($I8700,6)&lt;&gt;"VACUUM"),"CDU",IF($H8700="FLUID CAT CRACKING","FCC",IF(OR($H8700="HYDROCRACKING",$H8700="RESID_HYDROCRACKING"),"Hydrocracker",IF($H8700="REFORMING","Reformer",""))))</f>
        <v/>
      </c>
      <c r="H8700" s="6" t="s">
        <v>38</v>
      </c>
      <c r="I8700" s="6" t="s">
        <v>492</v>
      </c>
      <c r="J8700" s="6" t="s">
        <v>349</v>
      </c>
      <c r="K8700" s="10">
        <v>200</v>
      </c>
      <c r="L8700" s="10">
        <v>200</v>
      </c>
      <c r="M8700" s="6" t="s">
        <v>371</v>
      </c>
    </row>
    <row r="8701" spans="1:13">
      <c r="A8701" s="6">
        <v>2027</v>
      </c>
      <c r="B8701" s="6">
        <v>10</v>
      </c>
      <c r="C8701" s="6" t="s">
        <v>68</v>
      </c>
      <c r="D8701" s="6" t="s">
        <v>324</v>
      </c>
      <c r="E8701" s="6" t="s">
        <v>388</v>
      </c>
      <c r="F8701" s="6" t="str">
        <f>IF($M8701="PADD I","PADD 1",IF($M8701="PADD II","PADD 2",IF($M8701="PADD III","PADD 3",IF($M8701="PADD IV","PADD 4",IF($M8701="PADD V","PADD 5","")))))</f>
        <v>PADD 3</v>
      </c>
      <c r="G8701" s="6" t="str">
        <f>IF(AND($H8701="ATMOS DISTILLATION",ISNUMBER(SEARCH("VPS",$I8701))=FALSE,LEFT($I8701,6)&lt;&gt;"VACUUM"),"CDU",IF($H8701="FLUID CAT CRACKING","FCC",IF(OR($H8701="HYDROCRACKING",$H8701="RESID_HYDROCRACKING"),"Hydrocracker",IF($H8701="REFORMING","Reformer",""))))</f>
        <v>CDU</v>
      </c>
      <c r="H8701" s="6" t="s">
        <v>38</v>
      </c>
      <c r="I8701" s="6" t="s">
        <v>98</v>
      </c>
      <c r="J8701" s="6" t="s">
        <v>349</v>
      </c>
      <c r="K8701" s="10">
        <v>145</v>
      </c>
      <c r="L8701" s="10">
        <v>145</v>
      </c>
      <c r="M8701" s="6" t="s">
        <v>371</v>
      </c>
    </row>
    <row r="8702" spans="1:13">
      <c r="A8702" s="6">
        <v>2027</v>
      </c>
      <c r="B8702" s="6">
        <v>10</v>
      </c>
      <c r="C8702" s="6" t="s">
        <v>68</v>
      </c>
      <c r="D8702" s="6" t="s">
        <v>324</v>
      </c>
      <c r="E8702" s="6" t="s">
        <v>388</v>
      </c>
      <c r="F8702" s="6" t="str">
        <f>IF($M8702="PADD I","PADD 1",IF($M8702="PADD II","PADD 2",IF($M8702="PADD III","PADD 3",IF($M8702="PADD IV","PADD 4",IF($M8702="PADD V","PADD 5","")))))</f>
        <v>PADD 3</v>
      </c>
      <c r="G8702" s="6" t="str">
        <f>IF(AND($H8702="ATMOS DISTILLATION",ISNUMBER(SEARCH("VPS",$I8702))=FALSE,LEFT($I8702,6)&lt;&gt;"VACUUM"),"CDU",IF($H8702="FLUID CAT CRACKING","FCC",IF(OR($H8702="HYDROCRACKING",$H8702="RESID_HYDROCRACKING"),"Hydrocracker",IF($H8702="REFORMING","Reformer",""))))</f>
        <v>CDU</v>
      </c>
      <c r="H8702" s="6" t="s">
        <v>38</v>
      </c>
      <c r="I8702" s="6" t="s">
        <v>96</v>
      </c>
      <c r="J8702" s="6" t="s">
        <v>349</v>
      </c>
      <c r="K8702" s="10">
        <v>145</v>
      </c>
      <c r="L8702" s="10">
        <v>145</v>
      </c>
      <c r="M8702" s="6" t="s">
        <v>371</v>
      </c>
    </row>
    <row r="8703" spans="1:13">
      <c r="A8703" s="6">
        <v>2027</v>
      </c>
      <c r="B8703" s="6">
        <v>10</v>
      </c>
      <c r="C8703" s="6" t="s">
        <v>68</v>
      </c>
      <c r="D8703" s="6" t="s">
        <v>490</v>
      </c>
      <c r="E8703" s="6" t="s">
        <v>491</v>
      </c>
      <c r="F8703" s="6" t="str">
        <f>IF($M8703="PADD I","PADD 1",IF($M8703="PADD II","PADD 2",IF($M8703="PADD III","PADD 3",IF($M8703="PADD IV","PADD 4",IF($M8703="PADD V","PADD 5","")))))</f>
        <v>PADD 3</v>
      </c>
      <c r="G8703" s="6">
        <f>IF(AND($H8703="ATMOS DISTILLATION",ISNUMBER(SEARCH("VPS",$I8703))=FALSE,LEFT($I8703,6)&lt;&gt;"VACUUM"),"CDU",IF($H8703="FLUID CAT CRACKING","FCC",IF(OR($H8703="HYDROCRACKING",$H8703="RESID_HYDROCRACKING"),"Hydrocracker",IF($H8703="REFORMING","Reformer",""))))</f>
        <v/>
      </c>
      <c r="H8703" s="6" t="s">
        <v>378</v>
      </c>
      <c r="I8703" s="6" t="s">
        <v>560</v>
      </c>
      <c r="J8703" s="6" t="s">
        <v>349</v>
      </c>
      <c r="K8703" s="10">
        <v>104</v>
      </c>
      <c r="L8703" s="10">
        <v>104</v>
      </c>
      <c r="M8703" s="6" t="s">
        <v>371</v>
      </c>
    </row>
    <row r="8704" spans="1:13">
      <c r="A8704" s="6">
        <v>2027</v>
      </c>
      <c r="B8704" s="6">
        <v>10</v>
      </c>
      <c r="C8704" s="6" t="s">
        <v>68</v>
      </c>
      <c r="D8704" s="6" t="s">
        <v>1323</v>
      </c>
      <c r="E8704" s="6" t="s">
        <v>369</v>
      </c>
      <c r="F8704" s="6" t="str">
        <f>IF($M8704="PADD I","PADD 1",IF($M8704="PADD II","PADD 2",IF($M8704="PADD III","PADD 3",IF($M8704="PADD IV","PADD 4",IF($M8704="PADD V","PADD 5","")))))</f>
        <v>PADD 5</v>
      </c>
      <c r="G8704" s="6" t="str">
        <f>IF(AND($H8704="ATMOS DISTILLATION",ISNUMBER(SEARCH("VPS",$I8704))=FALSE,LEFT($I8704,6)&lt;&gt;"VACUUM"),"CDU",IF($H8704="FLUID CAT CRACKING","FCC",IF(OR($H8704="HYDROCRACKING",$H8704="RESID_HYDROCRACKING"),"Hydrocracker",IF($H8704="REFORMING","Reformer",""))))</f>
        <v>CDU</v>
      </c>
      <c r="H8704" s="6" t="s">
        <v>38</v>
      </c>
      <c r="I8704" s="6" t="s">
        <v>81</v>
      </c>
      <c r="J8704" s="6" t="s">
        <v>349</v>
      </c>
      <c r="K8704" s="10">
        <v>100</v>
      </c>
      <c r="L8704" s="10">
        <v>100</v>
      </c>
      <c r="M8704" s="6" t="s">
        <v>386</v>
      </c>
    </row>
    <row r="8705" spans="1:13">
      <c r="A8705" s="6">
        <v>2027</v>
      </c>
      <c r="B8705" s="6">
        <v>10</v>
      </c>
      <c r="C8705" s="6" t="s">
        <v>68</v>
      </c>
      <c r="D8705" s="6" t="s">
        <v>324</v>
      </c>
      <c r="E8705" s="6" t="s">
        <v>388</v>
      </c>
      <c r="F8705" s="6" t="str">
        <f>IF($M8705="PADD I","PADD 1",IF($M8705="PADD II","PADD 2",IF($M8705="PADD III","PADD 3",IF($M8705="PADD IV","PADD 4",IF($M8705="PADD V","PADD 5","")))))</f>
        <v>PADD 3</v>
      </c>
      <c r="G8705" s="6">
        <f>IF(AND($H8705="ATMOS DISTILLATION",ISNUMBER(SEARCH("VPS",$I8705))=FALSE,LEFT($I8705,6)&lt;&gt;"VACUUM"),"CDU",IF($H8705="FLUID CAT CRACKING","FCC",IF(OR($H8705="HYDROCRACKING",$H8705="RESID_HYDROCRACKING"),"Hydrocracker",IF($H8705="REFORMING","Reformer",""))))</f>
        <v/>
      </c>
      <c r="H8705" s="6" t="s">
        <v>43</v>
      </c>
      <c r="I8705" s="6" t="s">
        <v>948</v>
      </c>
      <c r="J8705" s="6" t="s">
        <v>349</v>
      </c>
      <c r="K8705" s="10">
        <v>94</v>
      </c>
      <c r="L8705" s="10">
        <v>94</v>
      </c>
      <c r="M8705" s="6" t="s">
        <v>371</v>
      </c>
    </row>
    <row r="8706" spans="1:13">
      <c r="A8706" s="6">
        <v>2027</v>
      </c>
      <c r="B8706" s="6">
        <v>10</v>
      </c>
      <c r="C8706" s="6" t="s">
        <v>68</v>
      </c>
      <c r="D8706" s="6" t="s">
        <v>490</v>
      </c>
      <c r="E8706" s="6" t="s">
        <v>491</v>
      </c>
      <c r="F8706" s="6" t="str">
        <f>IF($M8706="PADD I","PADD 1",IF($M8706="PADD II","PADD 2",IF($M8706="PADD III","PADD 3",IF($M8706="PADD IV","PADD 4",IF($M8706="PADD V","PADD 5","")))))</f>
        <v>PADD 3</v>
      </c>
      <c r="G8706" s="6">
        <f>IF(AND($H8706="ATMOS DISTILLATION",ISNUMBER(SEARCH("VPS",$I8706))=FALSE,LEFT($I8706,6)&lt;&gt;"VACUUM"),"CDU",IF($H8706="FLUID CAT CRACKING","FCC",IF(OR($H8706="HYDROCRACKING",$H8706="RESID_HYDROCRACKING"),"Hydrocracker",IF($H8706="REFORMING","Reformer",""))))</f>
        <v/>
      </c>
      <c r="H8706" s="6" t="s">
        <v>38</v>
      </c>
      <c r="I8706" s="6" t="s">
        <v>1080</v>
      </c>
      <c r="J8706" s="6" t="s">
        <v>349</v>
      </c>
      <c r="K8706" s="10">
        <v>80.5</v>
      </c>
      <c r="L8706" s="10">
        <v>350</v>
      </c>
      <c r="M8706" s="6" t="s">
        <v>371</v>
      </c>
    </row>
    <row r="8707" spans="1:13">
      <c r="A8707" s="6">
        <v>2027</v>
      </c>
      <c r="B8707" s="6">
        <v>10</v>
      </c>
      <c r="C8707" s="6" t="s">
        <v>68</v>
      </c>
      <c r="D8707" s="6" t="s">
        <v>1060</v>
      </c>
      <c r="E8707" s="6" t="s">
        <v>1039</v>
      </c>
      <c r="F8707" s="6" t="str">
        <f>IF($M8707="PADD I","PADD 1",IF($M8707="PADD II","PADD 2",IF($M8707="PADD III","PADD 3",IF($M8707="PADD IV","PADD 4",IF($M8707="PADD V","PADD 5","")))))</f>
        <v>PADD 2</v>
      </c>
      <c r="G8707" s="6" t="str">
        <f>IF(AND($H8707="ATMOS DISTILLATION",ISNUMBER(SEARCH("VPS",$I8707))=FALSE,LEFT($I8707,6)&lt;&gt;"VACUUM"),"CDU",IF($H8707="FLUID CAT CRACKING","FCC",IF(OR($H8707="HYDROCRACKING",$H8707="RESID_HYDROCRACKING"),"Hydrocracker",IF($H8707="REFORMING","Reformer",""))))</f>
        <v>FCC</v>
      </c>
      <c r="H8707" s="6" t="s">
        <v>376</v>
      </c>
      <c r="I8707" s="6" t="s">
        <v>105</v>
      </c>
      <c r="J8707" s="6" t="s">
        <v>349</v>
      </c>
      <c r="K8707" s="10">
        <v>75.45999999999999</v>
      </c>
      <c r="L8707" s="10">
        <v>98</v>
      </c>
      <c r="M8707" s="6" t="s">
        <v>375</v>
      </c>
    </row>
    <row r="8708" spans="1:13">
      <c r="A8708" s="6">
        <v>2027</v>
      </c>
      <c r="B8708" s="6">
        <v>10</v>
      </c>
      <c r="C8708" s="6" t="s">
        <v>68</v>
      </c>
      <c r="D8708" s="6" t="s">
        <v>511</v>
      </c>
      <c r="E8708" s="6" t="s">
        <v>405</v>
      </c>
      <c r="F8708" s="6" t="str">
        <f>IF($M8708="PADD I","PADD 1",IF($M8708="PADD II","PADD 2",IF($M8708="PADD III","PADD 3",IF($M8708="PADD IV","PADD 4",IF($M8708="PADD V","PADD 5","")))))</f>
        <v>PADD 3</v>
      </c>
      <c r="G8708" s="6" t="str">
        <f>IF(AND($H8708="ATMOS DISTILLATION",ISNUMBER(SEARCH("VPS",$I8708))=FALSE,LEFT($I8708,6)&lt;&gt;"VACUUM"),"CDU",IF($H8708="FLUID CAT CRACKING","FCC",IF(OR($H8708="HYDROCRACKING",$H8708="RESID_HYDROCRACKING"),"Hydrocracker",IF($H8708="REFORMING","Reformer",""))))</f>
        <v>CDU</v>
      </c>
      <c r="H8708" s="6" t="s">
        <v>38</v>
      </c>
      <c r="I8708" s="6" t="s">
        <v>112</v>
      </c>
      <c r="J8708" s="6" t="s">
        <v>349</v>
      </c>
      <c r="K8708" s="10">
        <v>63.8</v>
      </c>
      <c r="L8708" s="10">
        <v>110</v>
      </c>
      <c r="M8708" s="6" t="s">
        <v>371</v>
      </c>
    </row>
    <row r="8709" spans="1:13">
      <c r="A8709" s="6">
        <v>2027</v>
      </c>
      <c r="B8709" s="6">
        <v>10</v>
      </c>
      <c r="C8709" s="6" t="s">
        <v>68</v>
      </c>
      <c r="D8709" s="6" t="s">
        <v>511</v>
      </c>
      <c r="E8709" s="6" t="s">
        <v>405</v>
      </c>
      <c r="F8709" s="6" t="str">
        <f>IF($M8709="PADD I","PADD 1",IF($M8709="PADD II","PADD 2",IF($M8709="PADD III","PADD 3",IF($M8709="PADD IV","PADD 4",IF($M8709="PADD V","PADD 5","")))))</f>
        <v>PADD 3</v>
      </c>
      <c r="G8709" s="6" t="str">
        <f>IF(AND($H8709="ATMOS DISTILLATION",ISNUMBER(SEARCH("VPS",$I8709))=FALSE,LEFT($I8709,6)&lt;&gt;"VACUUM"),"CDU",IF($H8709="FLUID CAT CRACKING","FCC",IF(OR($H8709="HYDROCRACKING",$H8709="RESID_HYDROCRACKING"),"Hydrocracker",IF($H8709="REFORMING","Reformer",""))))</f>
        <v>CDU</v>
      </c>
      <c r="H8709" s="6" t="s">
        <v>38</v>
      </c>
      <c r="I8709" s="6" t="s">
        <v>115</v>
      </c>
      <c r="J8709" s="6" t="s">
        <v>349</v>
      </c>
      <c r="K8709" s="10">
        <v>62.06</v>
      </c>
      <c r="L8709" s="10">
        <v>107</v>
      </c>
      <c r="M8709" s="6" t="s">
        <v>371</v>
      </c>
    </row>
    <row r="8710" spans="1:13">
      <c r="A8710" s="6">
        <v>2027</v>
      </c>
      <c r="B8710" s="6">
        <v>10</v>
      </c>
      <c r="C8710" s="6" t="s">
        <v>68</v>
      </c>
      <c r="D8710" s="6" t="s">
        <v>446</v>
      </c>
      <c r="E8710" s="6" t="s">
        <v>391</v>
      </c>
      <c r="F8710" s="6" t="str">
        <f>IF($M8710="PADD I","PADD 1",IF($M8710="PADD II","PADD 2",IF($M8710="PADD III","PADD 3",IF($M8710="PADD IV","PADD 4",IF($M8710="PADD V","PADD 5","")))))</f>
        <v>PADD 3</v>
      </c>
      <c r="G8710" s="6" t="str">
        <f>IF(AND($H8710="ATMOS DISTILLATION",ISNUMBER(SEARCH("VPS",$I8710))=FALSE,LEFT($I8710,6)&lt;&gt;"VACUUM"),"CDU",IF($H8710="FLUID CAT CRACKING","FCC",IF(OR($H8710="HYDROCRACKING",$H8710="RESID_HYDROCRACKING"),"Hydrocracker",IF($H8710="REFORMING","Reformer",""))))</f>
        <v>CDU</v>
      </c>
      <c r="H8710" s="6" t="s">
        <v>38</v>
      </c>
      <c r="I8710" s="6" t="s">
        <v>81</v>
      </c>
      <c r="J8710" s="6" t="s">
        <v>349</v>
      </c>
      <c r="K8710" s="10">
        <v>61</v>
      </c>
      <c r="L8710" s="10">
        <v>100</v>
      </c>
      <c r="M8710" s="6" t="s">
        <v>371</v>
      </c>
    </row>
    <row r="8711" spans="1:13">
      <c r="A8711" s="6">
        <v>2027</v>
      </c>
      <c r="B8711" s="6">
        <v>10</v>
      </c>
      <c r="C8711" s="6" t="s">
        <v>68</v>
      </c>
      <c r="D8711" s="6" t="s">
        <v>576</v>
      </c>
      <c r="E8711" s="6" t="s">
        <v>369</v>
      </c>
      <c r="F8711" s="6" t="str">
        <f>IF($M8711="PADD I","PADD 1",IF($M8711="PADD II","PADD 2",IF($M8711="PADD III","PADD 3",IF($M8711="PADD IV","PADD 4",IF($M8711="PADD V","PADD 5","")))))</f>
        <v>PADD 3</v>
      </c>
      <c r="G8711" s="6" t="str">
        <f>IF(AND($H8711="ATMOS DISTILLATION",ISNUMBER(SEARCH("VPS",$I8711))=FALSE,LEFT($I8711,6)&lt;&gt;"VACUUM"),"CDU",IF($H8711="FLUID CAT CRACKING","FCC",IF(OR($H8711="HYDROCRACKING",$H8711="RESID_HYDROCRACKING"),"Hydrocracker",IF($H8711="REFORMING","Reformer",""))))</f>
        <v>CDU</v>
      </c>
      <c r="H8711" s="6" t="s">
        <v>38</v>
      </c>
      <c r="I8711" s="6" t="s">
        <v>110</v>
      </c>
      <c r="J8711" s="6" t="s">
        <v>349</v>
      </c>
      <c r="K8711" s="10">
        <v>60.5</v>
      </c>
      <c r="L8711" s="10">
        <v>110</v>
      </c>
      <c r="M8711" s="6" t="s">
        <v>371</v>
      </c>
    </row>
    <row r="8712" spans="1:13">
      <c r="A8712" s="6">
        <v>2027</v>
      </c>
      <c r="B8712" s="6">
        <v>10</v>
      </c>
      <c r="C8712" s="6" t="s">
        <v>68</v>
      </c>
      <c r="D8712" s="6" t="s">
        <v>542</v>
      </c>
      <c r="E8712" s="6" t="s">
        <v>543</v>
      </c>
      <c r="F8712" s="6" t="str">
        <f>IF($M8712="PADD I","PADD 1",IF($M8712="PADD II","PADD 2",IF($M8712="PADD III","PADD 3",IF($M8712="PADD IV","PADD 4",IF($M8712="PADD V","PADD 5","")))))</f>
        <v>PADD 2</v>
      </c>
      <c r="G8712" s="6" t="str">
        <f>IF(AND($H8712="ATMOS DISTILLATION",ISNUMBER(SEARCH("VPS",$I8712))=FALSE,LEFT($I8712,6)&lt;&gt;"VACUUM"),"CDU",IF($H8712="FLUID CAT CRACKING","FCC",IF(OR($H8712="HYDROCRACKING",$H8712="RESID_HYDROCRACKING"),"Hydrocracker",IF($H8712="REFORMING","Reformer",""))))</f>
        <v>Reformer</v>
      </c>
      <c r="H8712" s="6" t="s">
        <v>421</v>
      </c>
      <c r="I8712" s="6" t="s">
        <v>1114</v>
      </c>
      <c r="J8712" s="6" t="s">
        <v>349</v>
      </c>
      <c r="K8712" s="10">
        <v>60</v>
      </c>
      <c r="L8712" s="10">
        <v>60</v>
      </c>
      <c r="M8712" s="6" t="s">
        <v>375</v>
      </c>
    </row>
    <row r="8713" spans="1:13">
      <c r="A8713" s="6">
        <v>2027</v>
      </c>
      <c r="B8713" s="6">
        <v>10</v>
      </c>
      <c r="C8713" s="6" t="s">
        <v>68</v>
      </c>
      <c r="D8713" s="6" t="s">
        <v>739</v>
      </c>
      <c r="E8713" s="6" t="s">
        <v>405</v>
      </c>
      <c r="F8713" s="6" t="str">
        <f>IF($M8713="PADD I","PADD 1",IF($M8713="PADD II","PADD 2",IF($M8713="PADD III","PADD 3",IF($M8713="PADD IV","PADD 4",IF($M8713="PADD V","PADD 5","")))))</f>
        <v>PADD 2</v>
      </c>
      <c r="G8713" s="6" t="str">
        <f>IF(AND($H8713="ATMOS DISTILLATION",ISNUMBER(SEARCH("VPS",$I8713))=FALSE,LEFT($I8713,6)&lt;&gt;"VACUUM"),"CDU",IF($H8713="FLUID CAT CRACKING","FCC",IF(OR($H8713="HYDROCRACKING",$H8713="RESID_HYDROCRACKING"),"Hydrocracker",IF($H8713="REFORMING","Reformer",""))))</f>
        <v>CDU</v>
      </c>
      <c r="H8713" s="6" t="s">
        <v>38</v>
      </c>
      <c r="I8713" s="6" t="s">
        <v>133</v>
      </c>
      <c r="J8713" s="6" t="s">
        <v>349</v>
      </c>
      <c r="K8713" s="10">
        <v>50.325</v>
      </c>
      <c r="L8713" s="10">
        <v>91.5</v>
      </c>
      <c r="M8713" s="6" t="s">
        <v>375</v>
      </c>
    </row>
    <row r="8714" spans="1:13">
      <c r="A8714" s="6">
        <v>2027</v>
      </c>
      <c r="B8714" s="6">
        <v>10</v>
      </c>
      <c r="C8714" s="6" t="s">
        <v>68</v>
      </c>
      <c r="D8714" s="6" t="s">
        <v>1323</v>
      </c>
      <c r="E8714" s="6" t="s">
        <v>369</v>
      </c>
      <c r="F8714" s="6" t="str">
        <f>IF($M8714="PADD I","PADD 1",IF($M8714="PADD II","PADD 2",IF($M8714="PADD III","PADD 3",IF($M8714="PADD IV","PADD 4",IF($M8714="PADD V","PADD 5","")))))</f>
        <v>PADD 5</v>
      </c>
      <c r="G8714" s="6">
        <f>IF(AND($H8714="ATMOS DISTILLATION",ISNUMBER(SEARCH("VPS",$I8714))=FALSE,LEFT($I8714,6)&lt;&gt;"VACUUM"),"CDU",IF($H8714="FLUID CAT CRACKING","FCC",IF(OR($H8714="HYDROCRACKING",$H8714="RESID_HYDROCRACKING"),"Hydrocracker",IF($H8714="REFORMING","Reformer",""))))</f>
        <v/>
      </c>
      <c r="H8714" s="6" t="s">
        <v>378</v>
      </c>
      <c r="I8714" s="6" t="s">
        <v>431</v>
      </c>
      <c r="J8714" s="6" t="s">
        <v>349</v>
      </c>
      <c r="K8714" s="10">
        <v>46.5</v>
      </c>
      <c r="L8714" s="10">
        <v>46.5</v>
      </c>
      <c r="M8714" s="6" t="s">
        <v>386</v>
      </c>
    </row>
    <row r="8715" spans="1:13">
      <c r="A8715" s="6">
        <v>2027</v>
      </c>
      <c r="B8715" s="6">
        <v>10</v>
      </c>
      <c r="C8715" s="6" t="s">
        <v>68</v>
      </c>
      <c r="D8715" s="6" t="s">
        <v>380</v>
      </c>
      <c r="E8715" s="6" t="s">
        <v>381</v>
      </c>
      <c r="F8715" s="6" t="str">
        <f>IF($M8715="PADD I","PADD 1",IF($M8715="PADD II","PADD 2",IF($M8715="PADD III","PADD 3",IF($M8715="PADD IV","PADD 4",IF($M8715="PADD V","PADD 5","")))))</f>
        <v>PADD 3</v>
      </c>
      <c r="G8715" s="6">
        <f>IF(AND($H8715="ATMOS DISTILLATION",ISNUMBER(SEARCH("VPS",$I8715))=FALSE,LEFT($I8715,6)&lt;&gt;"VACUUM"),"CDU",IF($H8715="FLUID CAT CRACKING","FCC",IF(OR($H8715="HYDROCRACKING",$H8715="RESID_HYDROCRACKING"),"Hydrocracker",IF($H8715="REFORMING","Reformer",""))))</f>
        <v/>
      </c>
      <c r="H8715" s="6" t="s">
        <v>435</v>
      </c>
      <c r="I8715" s="6" t="s">
        <v>986</v>
      </c>
      <c r="J8715" s="6" t="s">
        <v>349</v>
      </c>
      <c r="K8715" s="10">
        <v>45</v>
      </c>
      <c r="L8715" s="10">
        <v>45</v>
      </c>
      <c r="M8715" s="6" t="s">
        <v>371</v>
      </c>
    </row>
    <row r="8716" spans="1:13">
      <c r="A8716" s="6">
        <v>2027</v>
      </c>
      <c r="B8716" s="6">
        <v>10</v>
      </c>
      <c r="C8716" s="6" t="s">
        <v>68</v>
      </c>
      <c r="D8716" s="6" t="s">
        <v>324</v>
      </c>
      <c r="E8716" s="6" t="s">
        <v>388</v>
      </c>
      <c r="F8716" s="6" t="str">
        <f>IF($M8716="PADD I","PADD 1",IF($M8716="PADD II","PADD 2",IF($M8716="PADD III","PADD 3",IF($M8716="PADD IV","PADD 4",IF($M8716="PADD V","PADD 5","")))))</f>
        <v>PADD 3</v>
      </c>
      <c r="G8716" s="6">
        <f>IF(AND($H8716="ATMOS DISTILLATION",ISNUMBER(SEARCH("VPS",$I8716))=FALSE,LEFT($I8716,6)&lt;&gt;"VACUUM"),"CDU",IF($H8716="FLUID CAT CRACKING","FCC",IF(OR($H8716="HYDROCRACKING",$H8716="RESID_HYDROCRACKING"),"Hydrocracker",IF($H8716="REFORMING","Reformer",""))))</f>
        <v/>
      </c>
      <c r="H8716" s="6" t="s">
        <v>43</v>
      </c>
      <c r="I8716" s="6" t="s">
        <v>693</v>
      </c>
      <c r="J8716" s="6" t="s">
        <v>349</v>
      </c>
      <c r="K8716" s="10">
        <v>43</v>
      </c>
      <c r="L8716" s="10">
        <v>43</v>
      </c>
      <c r="M8716" s="6" t="s">
        <v>371</v>
      </c>
    </row>
    <row r="8717" spans="1:13">
      <c r="A8717" s="6">
        <v>2027</v>
      </c>
      <c r="B8717" s="6">
        <v>10</v>
      </c>
      <c r="C8717" s="6" t="s">
        <v>68</v>
      </c>
      <c r="D8717" s="6" t="s">
        <v>408</v>
      </c>
      <c r="E8717" s="6" t="s">
        <v>409</v>
      </c>
      <c r="F8717" s="6" t="str">
        <f>IF($M8717="PADD I","PADD 1",IF($M8717="PADD II","PADD 2",IF($M8717="PADD III","PADD 3",IF($M8717="PADD IV","PADD 4",IF($M8717="PADD V","PADD 5","")))))</f>
        <v>PADD 3</v>
      </c>
      <c r="G8717" s="6" t="str">
        <f>IF(AND($H8717="ATMOS DISTILLATION",ISNUMBER(SEARCH("VPS",$I8717))=FALSE,LEFT($I8717,6)&lt;&gt;"VACUUM"),"CDU",IF($H8717="FLUID CAT CRACKING","FCC",IF(OR($H8717="HYDROCRACKING",$H8717="RESID_HYDROCRACKING"),"Hydrocracker",IF($H8717="REFORMING","Reformer",""))))</f>
        <v>FCC</v>
      </c>
      <c r="H8717" s="6" t="s">
        <v>376</v>
      </c>
      <c r="I8717" s="6" t="s">
        <v>426</v>
      </c>
      <c r="J8717" s="6" t="s">
        <v>349</v>
      </c>
      <c r="K8717" s="10">
        <v>41.8</v>
      </c>
      <c r="L8717" s="10">
        <v>76</v>
      </c>
      <c r="M8717" s="6" t="s">
        <v>371</v>
      </c>
    </row>
    <row r="8718" spans="1:13">
      <c r="A8718" s="6">
        <v>2027</v>
      </c>
      <c r="B8718" s="6">
        <v>10</v>
      </c>
      <c r="C8718" s="6" t="s">
        <v>68</v>
      </c>
      <c r="D8718" s="6" t="s">
        <v>333</v>
      </c>
      <c r="E8718" s="6" t="s">
        <v>381</v>
      </c>
      <c r="F8718" s="6" t="str">
        <f>IF($M8718="PADD I","PADD 1",IF($M8718="PADD II","PADD 2",IF($M8718="PADD III","PADD 3",IF($M8718="PADD IV","PADD 4",IF($M8718="PADD V","PADD 5","")))))</f>
        <v>PADD 3</v>
      </c>
      <c r="G8718" s="6">
        <f>IF(AND($H8718="ATMOS DISTILLATION",ISNUMBER(SEARCH("VPS",$I8718))=FALSE,LEFT($I8718,6)&lt;&gt;"VACUUM"),"CDU",IF($H8718="FLUID CAT CRACKING","FCC",IF(OR($H8718="HYDROCRACKING",$H8718="RESID_HYDROCRACKING"),"Hydrocracker",IF($H8718="REFORMING","Reformer",""))))</f>
        <v/>
      </c>
      <c r="H8718" s="6" t="s">
        <v>43</v>
      </c>
      <c r="I8718" s="6" t="s">
        <v>943</v>
      </c>
      <c r="J8718" s="6" t="s">
        <v>349</v>
      </c>
      <c r="K8718" s="10">
        <v>40</v>
      </c>
      <c r="L8718" s="10">
        <v>40</v>
      </c>
      <c r="M8718" s="6" t="s">
        <v>371</v>
      </c>
    </row>
    <row r="8719" spans="1:13">
      <c r="A8719" s="6">
        <v>2027</v>
      </c>
      <c r="B8719" s="6">
        <v>10</v>
      </c>
      <c r="C8719" s="6" t="s">
        <v>68</v>
      </c>
      <c r="D8719" s="6" t="s">
        <v>1323</v>
      </c>
      <c r="E8719" s="6" t="s">
        <v>369</v>
      </c>
      <c r="F8719" s="6" t="str">
        <f>IF($M8719="PADD I","PADD 1",IF($M8719="PADD II","PADD 2",IF($M8719="PADD III","PADD 3",IF($M8719="PADD IV","PADD 4",IF($M8719="PADD V","PADD 5","")))))</f>
        <v>PADD 5</v>
      </c>
      <c r="G8719" s="6" t="str">
        <f>IF(AND($H8719="ATMOS DISTILLATION",ISNUMBER(SEARCH("VPS",$I8719))=FALSE,LEFT($I8719,6)&lt;&gt;"VACUUM"),"CDU",IF($H8719="FLUID CAT CRACKING","FCC",IF(OR($H8719="HYDROCRACKING",$H8719="RESID_HYDROCRACKING"),"Hydrocracker",IF($H8719="REFORMING","Reformer",""))))</f>
        <v>FCC</v>
      </c>
      <c r="H8719" s="6" t="s">
        <v>376</v>
      </c>
      <c r="I8719" s="6" t="s">
        <v>105</v>
      </c>
      <c r="J8719" s="6" t="s">
        <v>349</v>
      </c>
      <c r="K8719" s="10">
        <v>35</v>
      </c>
      <c r="L8719" s="10">
        <v>35</v>
      </c>
      <c r="M8719" s="6" t="s">
        <v>386</v>
      </c>
    </row>
    <row r="8720" spans="1:13">
      <c r="A8720" s="6">
        <v>2027</v>
      </c>
      <c r="B8720" s="6">
        <v>10</v>
      </c>
      <c r="C8720" s="6" t="s">
        <v>68</v>
      </c>
      <c r="D8720" s="6" t="s">
        <v>1323</v>
      </c>
      <c r="E8720" s="6" t="s">
        <v>369</v>
      </c>
      <c r="F8720" s="6" t="str">
        <f>IF($M8720="PADD I","PADD 1",IF($M8720="PADD II","PADD 2",IF($M8720="PADD III","PADD 3",IF($M8720="PADD IV","PADD 4",IF($M8720="PADD V","PADD 5","")))))</f>
        <v>PADD 5</v>
      </c>
      <c r="G8720" s="6">
        <f>IF(AND($H8720="ATMOS DISTILLATION",ISNUMBER(SEARCH("VPS",$I8720))=FALSE,LEFT($I8720,6)&lt;&gt;"VACUUM"),"CDU",IF($H8720="FLUID CAT CRACKING","FCC",IF(OR($H8720="HYDROCRACKING",$H8720="RESID_HYDROCRACKING"),"Hydrocracker",IF($H8720="REFORMING","Reformer",""))))</f>
        <v/>
      </c>
      <c r="H8720" s="6" t="s">
        <v>43</v>
      </c>
      <c r="I8720" s="6" t="s">
        <v>811</v>
      </c>
      <c r="J8720" s="6" t="s">
        <v>349</v>
      </c>
      <c r="K8720" s="10">
        <v>32</v>
      </c>
      <c r="L8720" s="10">
        <v>32</v>
      </c>
      <c r="M8720" s="6" t="s">
        <v>386</v>
      </c>
    </row>
    <row r="8721" spans="1:13">
      <c r="A8721" s="6">
        <v>2027</v>
      </c>
      <c r="B8721" s="6">
        <v>10</v>
      </c>
      <c r="C8721" s="6" t="s">
        <v>68</v>
      </c>
      <c r="D8721" s="6" t="s">
        <v>1141</v>
      </c>
      <c r="E8721" s="6" t="s">
        <v>1079</v>
      </c>
      <c r="F8721" s="6" t="str">
        <f>IF($M8721="PADD I","PADD 1",IF($M8721="PADD II","PADD 2",IF($M8721="PADD III","PADD 3",IF($M8721="PADD IV","PADD 4",IF($M8721="PADD V","PADD 5","")))))</f>
        <v>PADD 3</v>
      </c>
      <c r="G8721" s="6" t="str">
        <f>IF(AND($H8721="ATMOS DISTILLATION",ISNUMBER(SEARCH("VPS",$I8721))=FALSE,LEFT($I8721,6)&lt;&gt;"VACUUM"),"CDU",IF($H8721="FLUID CAT CRACKING","FCC",IF(OR($H8721="HYDROCRACKING",$H8721="RESID_HYDROCRACKING"),"Hydrocracker",IF($H8721="REFORMING","Reformer",""))))</f>
        <v>CDU</v>
      </c>
      <c r="H8721" s="6" t="s">
        <v>38</v>
      </c>
      <c r="I8721" s="6" t="s">
        <v>131</v>
      </c>
      <c r="J8721" s="6" t="s">
        <v>349</v>
      </c>
      <c r="K8721" s="10">
        <v>30.8</v>
      </c>
      <c r="L8721" s="10">
        <v>40</v>
      </c>
      <c r="M8721" s="6" t="s">
        <v>371</v>
      </c>
    </row>
    <row r="8722" spans="1:13">
      <c r="A8722" s="6">
        <v>2027</v>
      </c>
      <c r="B8722" s="6">
        <v>10</v>
      </c>
      <c r="C8722" s="6" t="s">
        <v>68</v>
      </c>
      <c r="D8722" s="6" t="s">
        <v>602</v>
      </c>
      <c r="E8722" s="6" t="s">
        <v>369</v>
      </c>
      <c r="F8722" s="6" t="str">
        <f>IF($M8722="PADD I","PADD 1",IF($M8722="PADD II","PADD 2",IF($M8722="PADD III","PADD 3",IF($M8722="PADD IV","PADD 4",IF($M8722="PADD V","PADD 5","")))))</f>
        <v>PADD 2</v>
      </c>
      <c r="G8722" s="6" t="str">
        <f>IF(AND($H8722="ATMOS DISTILLATION",ISNUMBER(SEARCH("VPS",$I8722))=FALSE,LEFT($I8722,6)&lt;&gt;"VACUUM"),"CDU",IF($H8722="FLUID CAT CRACKING","FCC",IF(OR($H8722="HYDROCRACKING",$H8722="RESID_HYDROCRACKING"),"Hydrocracker",IF($H8722="REFORMING","Reformer",""))))</f>
        <v>CDU</v>
      </c>
      <c r="H8722" s="6" t="s">
        <v>38</v>
      </c>
      <c r="I8722" s="6" t="s">
        <v>129</v>
      </c>
      <c r="J8722" s="6" t="s">
        <v>349</v>
      </c>
      <c r="K8722" s="10">
        <v>30.4</v>
      </c>
      <c r="L8722" s="10">
        <v>95</v>
      </c>
      <c r="M8722" s="6" t="s">
        <v>375</v>
      </c>
    </row>
    <row r="8723" spans="1:13">
      <c r="A8723" s="6">
        <v>2027</v>
      </c>
      <c r="B8723" s="6">
        <v>10</v>
      </c>
      <c r="C8723" s="6" t="s">
        <v>68</v>
      </c>
      <c r="D8723" s="6" t="s">
        <v>887</v>
      </c>
      <c r="E8723" s="6" t="s">
        <v>405</v>
      </c>
      <c r="F8723" s="6" t="str">
        <f>IF($M8723="PADD I","PADD 1",IF($M8723="PADD II","PADD 2",IF($M8723="PADD III","PADD 3",IF($M8723="PADD IV","PADD 4",IF($M8723="PADD V","PADD 5","")))))</f>
        <v>PADD 3</v>
      </c>
      <c r="G8723" s="6" t="str">
        <f>IF(AND($H8723="ATMOS DISTILLATION",ISNUMBER(SEARCH("VPS",$I8723))=FALSE,LEFT($I8723,6)&lt;&gt;"VACUUM"),"CDU",IF($H8723="FLUID CAT CRACKING","FCC",IF(OR($H8723="HYDROCRACKING",$H8723="RESID_HYDROCRACKING"),"Hydrocracker",IF($H8723="REFORMING","Reformer",""))))</f>
        <v>Hydrocracker</v>
      </c>
      <c r="H8723" s="6" t="s">
        <v>444</v>
      </c>
      <c r="I8723" s="6" t="s">
        <v>1022</v>
      </c>
      <c r="J8723" s="6" t="s">
        <v>349</v>
      </c>
      <c r="K8723" s="10">
        <v>30</v>
      </c>
      <c r="L8723" s="10">
        <v>30</v>
      </c>
      <c r="M8723" s="6" t="s">
        <v>371</v>
      </c>
    </row>
    <row r="8724" spans="1:13">
      <c r="A8724" s="6">
        <v>2027</v>
      </c>
      <c r="B8724" s="6">
        <v>10</v>
      </c>
      <c r="C8724" s="6" t="s">
        <v>68</v>
      </c>
      <c r="D8724" s="6" t="s">
        <v>380</v>
      </c>
      <c r="E8724" s="6" t="s">
        <v>381</v>
      </c>
      <c r="F8724" s="6" t="str">
        <f>IF($M8724="PADD I","PADD 1",IF($M8724="PADD II","PADD 2",IF($M8724="PADD III","PADD 3",IF($M8724="PADD IV","PADD 4",IF($M8724="PADD V","PADD 5","")))))</f>
        <v>PADD 3</v>
      </c>
      <c r="G8724" s="6">
        <f>IF(AND($H8724="ATMOS DISTILLATION",ISNUMBER(SEARCH("VPS",$I8724))=FALSE,LEFT($I8724,6)&lt;&gt;"VACUUM"),"CDU",IF($H8724="FLUID CAT CRACKING","FCC",IF(OR($H8724="HYDROCRACKING",$H8724="RESID_HYDROCRACKING"),"Hydrocracker",IF($H8724="REFORMING","Reformer",""))))</f>
        <v/>
      </c>
      <c r="H8724" s="6" t="s">
        <v>435</v>
      </c>
      <c r="I8724" s="6" t="s">
        <v>515</v>
      </c>
      <c r="J8724" s="6" t="s">
        <v>349</v>
      </c>
      <c r="K8724" s="10">
        <v>27.5</v>
      </c>
      <c r="L8724" s="10">
        <v>27.5</v>
      </c>
      <c r="M8724" s="6" t="s">
        <v>371</v>
      </c>
    </row>
    <row r="8725" spans="1:13">
      <c r="A8725" s="6">
        <v>2027</v>
      </c>
      <c r="B8725" s="6">
        <v>10</v>
      </c>
      <c r="C8725" s="6" t="s">
        <v>68</v>
      </c>
      <c r="D8725" s="6" t="s">
        <v>490</v>
      </c>
      <c r="E8725" s="6" t="s">
        <v>491</v>
      </c>
      <c r="F8725" s="6" t="str">
        <f>IF($M8725="PADD I","PADD 1",IF($M8725="PADD II","PADD 2",IF($M8725="PADD III","PADD 3",IF($M8725="PADD IV","PADD 4",IF($M8725="PADD V","PADD 5","")))))</f>
        <v>PADD 3</v>
      </c>
      <c r="G8725" s="6">
        <f>IF(AND($H8725="ATMOS DISTILLATION",ISNUMBER(SEARCH("VPS",$I8725))=FALSE,LEFT($I8725,6)&lt;&gt;"VACUUM"),"CDU",IF($H8725="FLUID CAT CRACKING","FCC",IF(OR($H8725="HYDROCRACKING",$H8725="RESID_HYDROCRACKING"),"Hydrocracker",IF($H8725="REFORMING","Reformer",""))))</f>
        <v/>
      </c>
      <c r="H8725" s="6" t="s">
        <v>435</v>
      </c>
      <c r="I8725" s="6" t="s">
        <v>643</v>
      </c>
      <c r="J8725" s="6" t="s">
        <v>349</v>
      </c>
      <c r="K8725" s="10">
        <v>25.3</v>
      </c>
      <c r="L8725" s="10">
        <v>110</v>
      </c>
      <c r="M8725" s="6" t="s">
        <v>371</v>
      </c>
    </row>
    <row r="8726" spans="1:13">
      <c r="A8726" s="6">
        <v>2027</v>
      </c>
      <c r="B8726" s="6">
        <v>10</v>
      </c>
      <c r="C8726" s="6" t="s">
        <v>68</v>
      </c>
      <c r="D8726" s="6" t="s">
        <v>468</v>
      </c>
      <c r="E8726" s="6" t="s">
        <v>369</v>
      </c>
      <c r="F8726" s="6" t="str">
        <f>IF($M8726="PADD I","PADD 1",IF($M8726="PADD II","PADD 2",IF($M8726="PADD III","PADD 3",IF($M8726="PADD IV","PADD 4",IF($M8726="PADD V","PADD 5","")))))</f>
        <v>PADD 3</v>
      </c>
      <c r="G8726" s="6">
        <f>IF(AND($H8726="ATMOS DISTILLATION",ISNUMBER(SEARCH("VPS",$I8726))=FALSE,LEFT($I8726,6)&lt;&gt;"VACUUM"),"CDU",IF($H8726="FLUID CAT CRACKING","FCC",IF(OR($H8726="HYDROCRACKING",$H8726="RESID_HYDROCRACKING"),"Hydrocracker",IF($H8726="REFORMING","Reformer",""))))</f>
        <v/>
      </c>
      <c r="H8726" s="6" t="s">
        <v>43</v>
      </c>
      <c r="I8726" s="6" t="s">
        <v>1176</v>
      </c>
      <c r="J8726" s="6" t="s">
        <v>349</v>
      </c>
      <c r="K8726" s="10">
        <v>23.8</v>
      </c>
      <c r="L8726" s="10">
        <v>35</v>
      </c>
      <c r="M8726" s="6" t="s">
        <v>371</v>
      </c>
    </row>
    <row r="8727" spans="1:13">
      <c r="A8727" s="6">
        <v>2027</v>
      </c>
      <c r="B8727" s="6">
        <v>10</v>
      </c>
      <c r="C8727" s="6" t="s">
        <v>68</v>
      </c>
      <c r="D8727" s="6" t="s">
        <v>446</v>
      </c>
      <c r="E8727" s="6" t="s">
        <v>391</v>
      </c>
      <c r="F8727" s="6" t="str">
        <f>IF($M8727="PADD I","PADD 1",IF($M8727="PADD II","PADD 2",IF($M8727="PADD III","PADD 3",IF($M8727="PADD IV","PADD 4",IF($M8727="PADD V","PADD 5","")))))</f>
        <v>PADD 3</v>
      </c>
      <c r="G8727" s="6">
        <f>IF(AND($H8727="ATMOS DISTILLATION",ISNUMBER(SEARCH("VPS",$I8727))=FALSE,LEFT($I8727,6)&lt;&gt;"VACUUM"),"CDU",IF($H8727="FLUID CAT CRACKING","FCC",IF(OR($H8727="HYDROCRACKING",$H8727="RESID_HYDROCRACKING"),"Hydrocracker",IF($H8727="REFORMING","Reformer",""))))</f>
        <v/>
      </c>
      <c r="H8727" s="6" t="s">
        <v>378</v>
      </c>
      <c r="I8727" s="6" t="s">
        <v>1041</v>
      </c>
      <c r="J8727" s="6" t="s">
        <v>349</v>
      </c>
      <c r="K8727" s="10">
        <v>23.18</v>
      </c>
      <c r="L8727" s="10">
        <v>38</v>
      </c>
      <c r="M8727" s="6" t="s">
        <v>371</v>
      </c>
    </row>
    <row r="8728" spans="1:13">
      <c r="A8728" s="6">
        <v>2027</v>
      </c>
      <c r="B8728" s="6">
        <v>10</v>
      </c>
      <c r="C8728" s="6" t="s">
        <v>68</v>
      </c>
      <c r="D8728" s="6" t="s">
        <v>408</v>
      </c>
      <c r="E8728" s="6" t="s">
        <v>409</v>
      </c>
      <c r="F8728" s="6" t="str">
        <f>IF($M8728="PADD I","PADD 1",IF($M8728="PADD II","PADD 2",IF($M8728="PADD III","PADD 3",IF($M8728="PADD IV","PADD 4",IF($M8728="PADD V","PADD 5","")))))</f>
        <v>PADD 3</v>
      </c>
      <c r="G8728" s="6">
        <f>IF(AND($H8728="ATMOS DISTILLATION",ISNUMBER(SEARCH("VPS",$I8728))=FALSE,LEFT($I8728,6)&lt;&gt;"VACUUM"),"CDU",IF($H8728="FLUID CAT CRACKING","FCC",IF(OR($H8728="HYDROCRACKING",$H8728="RESID_HYDROCRACKING"),"Hydrocracker",IF($H8728="REFORMING","Reformer",""))))</f>
        <v/>
      </c>
      <c r="H8728" s="6" t="s">
        <v>43</v>
      </c>
      <c r="I8728" s="6" t="s">
        <v>478</v>
      </c>
      <c r="J8728" s="6" t="s">
        <v>349</v>
      </c>
      <c r="K8728" s="10">
        <v>23.1</v>
      </c>
      <c r="L8728" s="10">
        <v>42</v>
      </c>
      <c r="M8728" s="6" t="s">
        <v>371</v>
      </c>
    </row>
    <row r="8729" spans="1:13">
      <c r="A8729" s="6">
        <v>2027</v>
      </c>
      <c r="B8729" s="6">
        <v>10</v>
      </c>
      <c r="C8729" s="6" t="s">
        <v>68</v>
      </c>
      <c r="D8729" s="6" t="s">
        <v>408</v>
      </c>
      <c r="E8729" s="6" t="s">
        <v>409</v>
      </c>
      <c r="F8729" s="6" t="str">
        <f>IF($M8729="PADD I","PADD 1",IF($M8729="PADD II","PADD 2",IF($M8729="PADD III","PADD 3",IF($M8729="PADD IV","PADD 4",IF($M8729="PADD V","PADD 5","")))))</f>
        <v>PADD 3</v>
      </c>
      <c r="G8729" s="6" t="str">
        <f>IF(AND($H8729="ATMOS DISTILLATION",ISNUMBER(SEARCH("VPS",$I8729))=FALSE,LEFT($I8729,6)&lt;&gt;"VACUUM"),"CDU",IF($H8729="FLUID CAT CRACKING","FCC",IF(OR($H8729="HYDROCRACKING",$H8729="RESID_HYDROCRACKING"),"Hydrocracker",IF($H8729="REFORMING","Reformer",""))))</f>
        <v>CDU</v>
      </c>
      <c r="H8729" s="6" t="s">
        <v>38</v>
      </c>
      <c r="I8729" s="6" t="s">
        <v>522</v>
      </c>
      <c r="J8729" s="6" t="s">
        <v>349</v>
      </c>
      <c r="K8729" s="10">
        <v>22</v>
      </c>
      <c r="L8729" s="10">
        <v>40</v>
      </c>
      <c r="M8729" s="6" t="s">
        <v>371</v>
      </c>
    </row>
    <row r="8730" spans="1:13">
      <c r="A8730" s="6">
        <v>2027</v>
      </c>
      <c r="B8730" s="6">
        <v>10</v>
      </c>
      <c r="C8730" s="6" t="s">
        <v>68</v>
      </c>
      <c r="D8730" s="6" t="s">
        <v>50</v>
      </c>
      <c r="E8730" s="6" t="s">
        <v>381</v>
      </c>
      <c r="F8730" s="6" t="str">
        <f>IF($M8730="PADD I","PADD 1",IF($M8730="PADD II","PADD 2",IF($M8730="PADD III","PADD 3",IF($M8730="PADD IV","PADD 4",IF($M8730="PADD V","PADD 5","")))))</f>
        <v>PADD 3</v>
      </c>
      <c r="G8730" s="6">
        <f>IF(AND($H8730="ATMOS DISTILLATION",ISNUMBER(SEARCH("VPS",$I8730))=FALSE,LEFT($I8730,6)&lt;&gt;"VACUUM"),"CDU",IF($H8730="FLUID CAT CRACKING","FCC",IF(OR($H8730="HYDROCRACKING",$H8730="RESID_HYDROCRACKING"),"Hydrocracker",IF($H8730="REFORMING","Reformer",""))))</f>
        <v/>
      </c>
      <c r="H8730" s="6" t="s">
        <v>460</v>
      </c>
      <c r="I8730" s="6" t="s">
        <v>620</v>
      </c>
      <c r="J8730" s="6" t="s">
        <v>349</v>
      </c>
      <c r="K8730" s="10">
        <v>21</v>
      </c>
      <c r="L8730" s="10">
        <v>21</v>
      </c>
      <c r="M8730" s="6" t="s">
        <v>371</v>
      </c>
    </row>
    <row r="8731" spans="1:13">
      <c r="A8731" s="6">
        <v>2027</v>
      </c>
      <c r="B8731" s="6">
        <v>10</v>
      </c>
      <c r="C8731" s="6" t="s">
        <v>68</v>
      </c>
      <c r="D8731" s="6" t="s">
        <v>468</v>
      </c>
      <c r="E8731" s="6" t="s">
        <v>369</v>
      </c>
      <c r="F8731" s="6" t="str">
        <f>IF($M8731="PADD I","PADD 1",IF($M8731="PADD II","PADD 2",IF($M8731="PADD III","PADD 3",IF($M8731="PADD IV","PADD 4",IF($M8731="PADD V","PADD 5","")))))</f>
        <v>PADD 3</v>
      </c>
      <c r="G8731" s="6">
        <f>IF(AND($H8731="ATMOS DISTILLATION",ISNUMBER(SEARCH("VPS",$I8731))=FALSE,LEFT($I8731,6)&lt;&gt;"VACUUM"),"CDU",IF($H8731="FLUID CAT CRACKING","FCC",IF(OR($H8731="HYDROCRACKING",$H8731="RESID_HYDROCRACKING"),"Hydrocracker",IF($H8731="REFORMING","Reformer",""))))</f>
        <v/>
      </c>
      <c r="H8731" s="6" t="s">
        <v>43</v>
      </c>
      <c r="I8731" s="6" t="s">
        <v>1031</v>
      </c>
      <c r="J8731" s="6" t="s">
        <v>349</v>
      </c>
      <c r="K8731" s="10">
        <v>20</v>
      </c>
      <c r="L8731" s="10">
        <v>20</v>
      </c>
      <c r="M8731" s="6" t="s">
        <v>371</v>
      </c>
    </row>
    <row r="8732" spans="1:13">
      <c r="A8732" s="6">
        <v>2027</v>
      </c>
      <c r="B8732" s="6">
        <v>10</v>
      </c>
      <c r="C8732" s="6" t="s">
        <v>68</v>
      </c>
      <c r="D8732" s="6" t="s">
        <v>1323</v>
      </c>
      <c r="E8732" s="6" t="s">
        <v>369</v>
      </c>
      <c r="F8732" s="6" t="str">
        <f>IF($M8732="PADD I","PADD 1",IF($M8732="PADD II","PADD 2",IF($M8732="PADD III","PADD 3",IF($M8732="PADD IV","PADD 4",IF($M8732="PADD V","PADD 5","")))))</f>
        <v>PADD 5</v>
      </c>
      <c r="G8732" s="6">
        <f>IF(AND($H8732="ATMOS DISTILLATION",ISNUMBER(SEARCH("VPS",$I8732))=FALSE,LEFT($I8732,6)&lt;&gt;"VACUUM"),"CDU",IF($H8732="FLUID CAT CRACKING","FCC",IF(OR($H8732="HYDROCRACKING",$H8732="RESID_HYDROCRACKING"),"Hydrocracker",IF($H8732="REFORMING","Reformer",""))))</f>
        <v/>
      </c>
      <c r="H8732" s="6" t="s">
        <v>43</v>
      </c>
      <c r="I8732" s="6" t="s">
        <v>458</v>
      </c>
      <c r="J8732" s="6" t="s">
        <v>349</v>
      </c>
      <c r="K8732" s="10">
        <v>20</v>
      </c>
      <c r="L8732" s="10">
        <v>20</v>
      </c>
      <c r="M8732" s="6" t="s">
        <v>386</v>
      </c>
    </row>
    <row r="8733" spans="1:13">
      <c r="A8733" s="6">
        <v>2027</v>
      </c>
      <c r="B8733" s="6">
        <v>10</v>
      </c>
      <c r="C8733" s="6" t="s">
        <v>68</v>
      </c>
      <c r="D8733" s="6" t="s">
        <v>1141</v>
      </c>
      <c r="E8733" s="6" t="s">
        <v>1079</v>
      </c>
      <c r="F8733" s="6" t="str">
        <f>IF($M8733="PADD I","PADD 1",IF($M8733="PADD II","PADD 2",IF($M8733="PADD III","PADD 3",IF($M8733="PADD IV","PADD 4",IF($M8733="PADD V","PADD 5","")))))</f>
        <v>PADD 3</v>
      </c>
      <c r="G8733" s="6">
        <f>IF(AND($H8733="ATMOS DISTILLATION",ISNUMBER(SEARCH("VPS",$I8733))=FALSE,LEFT($I8733,6)&lt;&gt;"VACUUM"),"CDU",IF($H8733="FLUID CAT CRACKING","FCC",IF(OR($H8733="HYDROCRACKING",$H8733="RESID_HYDROCRACKING"),"Hydrocracker",IF($H8733="REFORMING","Reformer",""))))</f>
        <v/>
      </c>
      <c r="H8733" s="6" t="s">
        <v>43</v>
      </c>
      <c r="I8733" s="6" t="s">
        <v>927</v>
      </c>
      <c r="J8733" s="6" t="s">
        <v>349</v>
      </c>
      <c r="K8733" s="10">
        <v>19.25</v>
      </c>
      <c r="L8733" s="10">
        <v>25</v>
      </c>
      <c r="M8733" s="6" t="s">
        <v>371</v>
      </c>
    </row>
    <row r="8734" spans="1:13">
      <c r="A8734" s="6">
        <v>2027</v>
      </c>
      <c r="B8734" s="6">
        <v>10</v>
      </c>
      <c r="C8734" s="6" t="s">
        <v>68</v>
      </c>
      <c r="D8734" s="6" t="s">
        <v>739</v>
      </c>
      <c r="E8734" s="6" t="s">
        <v>405</v>
      </c>
      <c r="F8734" s="6" t="str">
        <f>IF($M8734="PADD I","PADD 1",IF($M8734="PADD II","PADD 2",IF($M8734="PADD III","PADD 3",IF($M8734="PADD IV","PADD 4",IF($M8734="PADD V","PADD 5","")))))</f>
        <v>PADD 2</v>
      </c>
      <c r="G8734" s="6">
        <f>IF(AND($H8734="ATMOS DISTILLATION",ISNUMBER(SEARCH("VPS",$I8734))=FALSE,LEFT($I8734,6)&lt;&gt;"VACUUM"),"CDU",IF($H8734="FLUID CAT CRACKING","FCC",IF(OR($H8734="HYDROCRACKING",$H8734="RESID_HYDROCRACKING"),"Hydrocracker",IF($H8734="REFORMING","Reformer",""))))</f>
        <v/>
      </c>
      <c r="H8734" s="6" t="s">
        <v>43</v>
      </c>
      <c r="I8734" s="6" t="s">
        <v>740</v>
      </c>
      <c r="J8734" s="6" t="s">
        <v>349</v>
      </c>
      <c r="K8734" s="10">
        <v>17.6</v>
      </c>
      <c r="L8734" s="10">
        <v>32</v>
      </c>
      <c r="M8734" s="6" t="s">
        <v>375</v>
      </c>
    </row>
    <row r="8735" spans="1:13">
      <c r="A8735" s="6">
        <v>2027</v>
      </c>
      <c r="B8735" s="6">
        <v>10</v>
      </c>
      <c r="C8735" s="6" t="s">
        <v>68</v>
      </c>
      <c r="D8735" s="6" t="s">
        <v>739</v>
      </c>
      <c r="E8735" s="6" t="s">
        <v>405</v>
      </c>
      <c r="F8735" s="6" t="str">
        <f>IF($M8735="PADD I","PADD 1",IF($M8735="PADD II","PADD 2",IF($M8735="PADD III","PADD 3",IF($M8735="PADD IV","PADD 4",IF($M8735="PADD V","PADD 5","")))))</f>
        <v>PADD 2</v>
      </c>
      <c r="G8735" s="6">
        <f>IF(AND($H8735="ATMOS DISTILLATION",ISNUMBER(SEARCH("VPS",$I8735))=FALSE,LEFT($I8735,6)&lt;&gt;"VACUUM"),"CDU",IF($H8735="FLUID CAT CRACKING","FCC",IF(OR($H8735="HYDROCRACKING",$H8735="RESID_HYDROCRACKING"),"Hydrocracker",IF($H8735="REFORMING","Reformer",""))))</f>
        <v/>
      </c>
      <c r="H8735" s="6" t="s">
        <v>43</v>
      </c>
      <c r="I8735" s="6" t="s">
        <v>689</v>
      </c>
      <c r="J8735" s="6" t="s">
        <v>349</v>
      </c>
      <c r="K8735" s="10">
        <v>17.6</v>
      </c>
      <c r="L8735" s="10">
        <v>32</v>
      </c>
      <c r="M8735" s="6" t="s">
        <v>375</v>
      </c>
    </row>
    <row r="8736" spans="1:13">
      <c r="A8736" s="6">
        <v>2027</v>
      </c>
      <c r="B8736" s="6">
        <v>10</v>
      </c>
      <c r="C8736" s="6" t="s">
        <v>68</v>
      </c>
      <c r="D8736" s="6" t="s">
        <v>739</v>
      </c>
      <c r="E8736" s="6" t="s">
        <v>405</v>
      </c>
      <c r="F8736" s="6" t="str">
        <f>IF($M8736="PADD I","PADD 1",IF($M8736="PADD II","PADD 2",IF($M8736="PADD III","PADD 3",IF($M8736="PADD IV","PADD 4",IF($M8736="PADD V","PADD 5","")))))</f>
        <v>PADD 2</v>
      </c>
      <c r="G8736" s="6">
        <f>IF(AND($H8736="ATMOS DISTILLATION",ISNUMBER(SEARCH("VPS",$I8736))=FALSE,LEFT($I8736,6)&lt;&gt;"VACUUM"),"CDU",IF($H8736="FLUID CAT CRACKING","FCC",IF(OR($H8736="HYDROCRACKING",$H8736="RESID_HYDROCRACKING"),"Hydrocracker",IF($H8736="REFORMING","Reformer",""))))</f>
        <v/>
      </c>
      <c r="H8736" s="6" t="s">
        <v>378</v>
      </c>
      <c r="I8736" s="6" t="s">
        <v>431</v>
      </c>
      <c r="J8736" s="6" t="s">
        <v>349</v>
      </c>
      <c r="K8736" s="10">
        <v>17.6</v>
      </c>
      <c r="L8736" s="10">
        <v>32</v>
      </c>
      <c r="M8736" s="6" t="s">
        <v>375</v>
      </c>
    </row>
    <row r="8737" spans="1:13">
      <c r="A8737" s="6">
        <v>2027</v>
      </c>
      <c r="B8737" s="6">
        <v>10</v>
      </c>
      <c r="C8737" s="6" t="s">
        <v>68</v>
      </c>
      <c r="D8737" s="6" t="s">
        <v>380</v>
      </c>
      <c r="E8737" s="6" t="s">
        <v>381</v>
      </c>
      <c r="F8737" s="6" t="str">
        <f>IF($M8737="PADD I","PADD 1",IF($M8737="PADD II","PADD 2",IF($M8737="PADD III","PADD 3",IF($M8737="PADD IV","PADD 4",IF($M8737="PADD V","PADD 5","")))))</f>
        <v>PADD 3</v>
      </c>
      <c r="G8737" s="6" t="str">
        <f>IF(AND($H8737="ATMOS DISTILLATION",ISNUMBER(SEARCH("VPS",$I8737))=FALSE,LEFT($I8737,6)&lt;&gt;"VACUUM"),"CDU",IF($H8737="FLUID CAT CRACKING","FCC",IF(OR($H8737="HYDROCRACKING",$H8737="RESID_HYDROCRACKING"),"Hydrocracker",IF($H8737="REFORMING","Reformer",""))))</f>
        <v>CDU</v>
      </c>
      <c r="H8737" s="6" t="s">
        <v>38</v>
      </c>
      <c r="I8737" s="6" t="s">
        <v>114</v>
      </c>
      <c r="J8737" s="6" t="s">
        <v>349</v>
      </c>
      <c r="K8737" s="10">
        <v>17.6</v>
      </c>
      <c r="L8737" s="10">
        <v>110</v>
      </c>
      <c r="M8737" s="6" t="s">
        <v>371</v>
      </c>
    </row>
    <row r="8738" spans="1:13">
      <c r="A8738" s="6">
        <v>2027</v>
      </c>
      <c r="B8738" s="6">
        <v>10</v>
      </c>
      <c r="C8738" s="6" t="s">
        <v>68</v>
      </c>
      <c r="D8738" s="6" t="s">
        <v>408</v>
      </c>
      <c r="E8738" s="6" t="s">
        <v>409</v>
      </c>
      <c r="F8738" s="6" t="str">
        <f>IF($M8738="PADD I","PADD 1",IF($M8738="PADD II","PADD 2",IF($M8738="PADD III","PADD 3",IF($M8738="PADD IV","PADD 4",IF($M8738="PADD V","PADD 5","")))))</f>
        <v>PADD 3</v>
      </c>
      <c r="G8738" s="6">
        <f>IF(AND($H8738="ATMOS DISTILLATION",ISNUMBER(SEARCH("VPS",$I8738))=FALSE,LEFT($I8738,6)&lt;&gt;"VACUUM"),"CDU",IF($H8738="FLUID CAT CRACKING","FCC",IF(OR($H8738="HYDROCRACKING",$H8738="RESID_HYDROCRACKING"),"Hydrocracker",IF($H8738="REFORMING","Reformer",""))))</f>
        <v/>
      </c>
      <c r="H8738" s="6" t="s">
        <v>43</v>
      </c>
      <c r="I8738" s="6" t="s">
        <v>497</v>
      </c>
      <c r="J8738" s="6" t="s">
        <v>349</v>
      </c>
      <c r="K8738" s="10">
        <v>17.05</v>
      </c>
      <c r="L8738" s="10">
        <v>31</v>
      </c>
      <c r="M8738" s="6" t="s">
        <v>371</v>
      </c>
    </row>
    <row r="8739" spans="1:13">
      <c r="A8739" s="6">
        <v>2027</v>
      </c>
      <c r="B8739" s="6">
        <v>10</v>
      </c>
      <c r="C8739" s="6" t="s">
        <v>68</v>
      </c>
      <c r="D8739" s="6" t="s">
        <v>1323</v>
      </c>
      <c r="E8739" s="6" t="s">
        <v>369</v>
      </c>
      <c r="F8739" s="6" t="str">
        <f>IF($M8739="PADD I","PADD 1",IF($M8739="PADD II","PADD 2",IF($M8739="PADD III","PADD 3",IF($M8739="PADD IV","PADD 4",IF($M8739="PADD V","PADD 5","")))))</f>
        <v>PADD 5</v>
      </c>
      <c r="G8739" s="6">
        <f>IF(AND($H8739="ATMOS DISTILLATION",ISNUMBER(SEARCH("VPS",$I8739))=FALSE,LEFT($I8739,6)&lt;&gt;"VACUUM"),"CDU",IF($H8739="FLUID CAT CRACKING","FCC",IF(OR($H8739="HYDROCRACKING",$H8739="RESID_HYDROCRACKING"),"Hydrocracker",IF($H8739="REFORMING","Reformer",""))))</f>
        <v/>
      </c>
      <c r="H8739" s="6" t="s">
        <v>43</v>
      </c>
      <c r="I8739" s="6" t="s">
        <v>1373</v>
      </c>
      <c r="J8739" s="6" t="s">
        <v>349</v>
      </c>
      <c r="K8739" s="10">
        <v>17</v>
      </c>
      <c r="L8739" s="10">
        <v>17</v>
      </c>
      <c r="M8739" s="6" t="s">
        <v>386</v>
      </c>
    </row>
    <row r="8740" spans="1:13">
      <c r="A8740" s="6">
        <v>2027</v>
      </c>
      <c r="B8740" s="6">
        <v>10</v>
      </c>
      <c r="C8740" s="6" t="s">
        <v>68</v>
      </c>
      <c r="D8740" s="6" t="s">
        <v>739</v>
      </c>
      <c r="E8740" s="6" t="s">
        <v>405</v>
      </c>
      <c r="F8740" s="6" t="str">
        <f>IF($M8740="PADD I","PADD 1",IF($M8740="PADD II","PADD 2",IF($M8740="PADD III","PADD 3",IF($M8740="PADD IV","PADD 4",IF($M8740="PADD V","PADD 5","")))))</f>
        <v>PADD 2</v>
      </c>
      <c r="G8740" s="6" t="str">
        <f>IF(AND($H8740="ATMOS DISTILLATION",ISNUMBER(SEARCH("VPS",$I8740))=FALSE,LEFT($I8740,6)&lt;&gt;"VACUUM"),"CDU",IF($H8740="FLUID CAT CRACKING","FCC",IF(OR($H8740="HYDROCRACKING",$H8740="RESID_HYDROCRACKING"),"Hydrocracker",IF($H8740="REFORMING","Reformer",""))))</f>
        <v>FCC</v>
      </c>
      <c r="H8740" s="6" t="s">
        <v>376</v>
      </c>
      <c r="I8740" s="6" t="s">
        <v>105</v>
      </c>
      <c r="J8740" s="6" t="s">
        <v>349</v>
      </c>
      <c r="K8740" s="10">
        <v>16.5</v>
      </c>
      <c r="L8740" s="10">
        <v>30</v>
      </c>
      <c r="M8740" s="6" t="s">
        <v>375</v>
      </c>
    </row>
    <row r="8741" spans="1:13">
      <c r="A8741" s="6">
        <v>2027</v>
      </c>
      <c r="B8741" s="6">
        <v>10</v>
      </c>
      <c r="C8741" s="6" t="s">
        <v>68</v>
      </c>
      <c r="D8741" s="6" t="s">
        <v>739</v>
      </c>
      <c r="E8741" s="6" t="s">
        <v>405</v>
      </c>
      <c r="F8741" s="6" t="str">
        <f>IF($M8741="PADD I","PADD 1",IF($M8741="PADD II","PADD 2",IF($M8741="PADD III","PADD 3",IF($M8741="PADD IV","PADD 4",IF($M8741="PADD V","PADD 5","")))))</f>
        <v>PADD 2</v>
      </c>
      <c r="G8741" s="6" t="str">
        <f>IF(AND($H8741="ATMOS DISTILLATION",ISNUMBER(SEARCH("VPS",$I8741))=FALSE,LEFT($I8741,6)&lt;&gt;"VACUUM"),"CDU",IF($H8741="FLUID CAT CRACKING","FCC",IF(OR($H8741="HYDROCRACKING",$H8741="RESID_HYDROCRACKING"),"Hydrocracker",IF($H8741="REFORMING","Reformer",""))))</f>
        <v>Reformer</v>
      </c>
      <c r="H8741" s="6" t="s">
        <v>421</v>
      </c>
      <c r="I8741" s="6" t="s">
        <v>782</v>
      </c>
      <c r="J8741" s="6" t="s">
        <v>349</v>
      </c>
      <c r="K8741" s="10">
        <v>16.5</v>
      </c>
      <c r="L8741" s="10">
        <v>30</v>
      </c>
      <c r="M8741" s="6" t="s">
        <v>375</v>
      </c>
    </row>
    <row r="8742" spans="1:13">
      <c r="A8742" s="6">
        <v>2027</v>
      </c>
      <c r="B8742" s="6">
        <v>10</v>
      </c>
      <c r="C8742" s="6" t="s">
        <v>68</v>
      </c>
      <c r="D8742" s="6" t="s">
        <v>1323</v>
      </c>
      <c r="E8742" s="6" t="s">
        <v>369</v>
      </c>
      <c r="F8742" s="6" t="str">
        <f>IF($M8742="PADD I","PADD 1",IF($M8742="PADD II","PADD 2",IF($M8742="PADD III","PADD 3",IF($M8742="PADD IV","PADD 4",IF($M8742="PADD V","PADD 5","")))))</f>
        <v>PADD 5</v>
      </c>
      <c r="G8742" s="6" t="str">
        <f>IF(AND($H8742="ATMOS DISTILLATION",ISNUMBER(SEARCH("VPS",$I8742))=FALSE,LEFT($I8742,6)&lt;&gt;"VACUUM"),"CDU",IF($H8742="FLUID CAT CRACKING","FCC",IF(OR($H8742="HYDROCRACKING",$H8742="RESID_HYDROCRACKING"),"Hydrocracker",IF($H8742="REFORMING","Reformer",""))))</f>
        <v>Reformer</v>
      </c>
      <c r="H8742" s="6" t="s">
        <v>421</v>
      </c>
      <c r="I8742" s="6" t="s">
        <v>1103</v>
      </c>
      <c r="J8742" s="6" t="s">
        <v>349</v>
      </c>
      <c r="K8742" s="10">
        <v>16</v>
      </c>
      <c r="L8742" s="10">
        <v>16</v>
      </c>
      <c r="M8742" s="6" t="s">
        <v>386</v>
      </c>
    </row>
    <row r="8743" spans="1:13">
      <c r="A8743" s="6">
        <v>2027</v>
      </c>
      <c r="B8743" s="6">
        <v>10</v>
      </c>
      <c r="C8743" s="6" t="s">
        <v>68</v>
      </c>
      <c r="D8743" s="6" t="s">
        <v>1060</v>
      </c>
      <c r="E8743" s="6" t="s">
        <v>1039</v>
      </c>
      <c r="F8743" s="6" t="str">
        <f>IF($M8743="PADD I","PADD 1",IF($M8743="PADD II","PADD 2",IF($M8743="PADD III","PADD 3",IF($M8743="PADD IV","PADD 4",IF($M8743="PADD V","PADD 5","")))))</f>
        <v>PADD 2</v>
      </c>
      <c r="G8743" s="6">
        <f>IF(AND($H8743="ATMOS DISTILLATION",ISNUMBER(SEARCH("VPS",$I8743))=FALSE,LEFT($I8743,6)&lt;&gt;"VACUUM"),"CDU",IF($H8743="FLUID CAT CRACKING","FCC",IF(OR($H8743="HYDROCRACKING",$H8743="RESID_HYDROCRACKING"),"Hydrocracker",IF($H8743="REFORMING","Reformer",""))))</f>
        <v/>
      </c>
      <c r="H8743" s="6" t="s">
        <v>460</v>
      </c>
      <c r="I8743" s="6" t="s">
        <v>616</v>
      </c>
      <c r="J8743" s="6" t="s">
        <v>349</v>
      </c>
      <c r="K8743" s="10">
        <v>14.63</v>
      </c>
      <c r="L8743" s="10">
        <v>19</v>
      </c>
      <c r="M8743" s="6" t="s">
        <v>375</v>
      </c>
    </row>
    <row r="8744" spans="1:13">
      <c r="A8744" s="6">
        <v>2027</v>
      </c>
      <c r="B8744" s="6">
        <v>10</v>
      </c>
      <c r="C8744" s="6" t="s">
        <v>68</v>
      </c>
      <c r="D8744" s="6" t="s">
        <v>739</v>
      </c>
      <c r="E8744" s="6" t="s">
        <v>405</v>
      </c>
      <c r="F8744" s="6" t="str">
        <f>IF($M8744="PADD I","PADD 1",IF($M8744="PADD II","PADD 2",IF($M8744="PADD III","PADD 3",IF($M8744="PADD IV","PADD 4",IF($M8744="PADD V","PADD 5","")))))</f>
        <v>PADD 2</v>
      </c>
      <c r="G8744" s="6">
        <f>IF(AND($H8744="ATMOS DISTILLATION",ISNUMBER(SEARCH("VPS",$I8744))=FALSE,LEFT($I8744,6)&lt;&gt;"VACUUM"),"CDU",IF($H8744="FLUID CAT CRACKING","FCC",IF(OR($H8744="HYDROCRACKING",$H8744="RESID_HYDROCRACKING"),"Hydrocracker",IF($H8744="REFORMING","Reformer",""))))</f>
        <v/>
      </c>
      <c r="H8744" s="6" t="s">
        <v>43</v>
      </c>
      <c r="I8744" s="6" t="s">
        <v>493</v>
      </c>
      <c r="J8744" s="6" t="s">
        <v>349</v>
      </c>
      <c r="K8744" s="10">
        <v>14.575</v>
      </c>
      <c r="L8744" s="10">
        <v>26.5</v>
      </c>
      <c r="M8744" s="6" t="s">
        <v>375</v>
      </c>
    </row>
    <row r="8745" spans="1:13">
      <c r="A8745" s="6">
        <v>2027</v>
      </c>
      <c r="B8745" s="6">
        <v>10</v>
      </c>
      <c r="C8745" s="6" t="s">
        <v>68</v>
      </c>
      <c r="D8745" s="6" t="s">
        <v>960</v>
      </c>
      <c r="E8745" s="6" t="s">
        <v>881</v>
      </c>
      <c r="F8745" s="6" t="str">
        <f>IF($M8745="PADD I","PADD 1",IF($M8745="PADD II","PADD 2",IF($M8745="PADD III","PADD 3",IF($M8745="PADD IV","PADD 4",IF($M8745="PADD V","PADD 5","")))))</f>
        <v>PADD 3</v>
      </c>
      <c r="G8745" s="6" t="str">
        <f>IF(AND($H8745="ATMOS DISTILLATION",ISNUMBER(SEARCH("VPS",$I8745))=FALSE,LEFT($I8745,6)&lt;&gt;"VACUUM"),"CDU",IF($H8745="FLUID CAT CRACKING","FCC",IF(OR($H8745="HYDROCRACKING",$H8745="RESID_HYDROCRACKING"),"Hydrocracker",IF($H8745="REFORMING","Reformer",""))))</f>
        <v>CDU</v>
      </c>
      <c r="H8745" s="6" t="s">
        <v>38</v>
      </c>
      <c r="I8745" s="6" t="s">
        <v>1047</v>
      </c>
      <c r="J8745" s="6" t="s">
        <v>349</v>
      </c>
      <c r="K8745" s="10">
        <v>13.86</v>
      </c>
      <c r="L8745" s="10">
        <v>33</v>
      </c>
      <c r="M8745" s="6" t="s">
        <v>371</v>
      </c>
    </row>
    <row r="8746" spans="1:13">
      <c r="A8746" s="6">
        <v>2027</v>
      </c>
      <c r="B8746" s="6">
        <v>10</v>
      </c>
      <c r="C8746" s="6" t="s">
        <v>68</v>
      </c>
      <c r="D8746" s="6" t="s">
        <v>387</v>
      </c>
      <c r="E8746" s="6" t="s">
        <v>388</v>
      </c>
      <c r="F8746" s="6" t="str">
        <f>IF($M8746="PADD I","PADD 1",IF($M8746="PADD II","PADD 2",IF($M8746="PADD III","PADD 3",IF($M8746="PADD IV","PADD 4",IF($M8746="PADD V","PADD 5","")))))</f>
        <v>PADD 3</v>
      </c>
      <c r="G8746" s="6" t="str">
        <f>IF(AND($H8746="ATMOS DISTILLATION",ISNUMBER(SEARCH("VPS",$I8746))=FALSE,LEFT($I8746,6)&lt;&gt;"VACUUM"),"CDU",IF($H8746="FLUID CAT CRACKING","FCC",IF(OR($H8746="HYDROCRACKING",$H8746="RESID_HYDROCRACKING"),"Hydrocracker",IF($H8746="REFORMING","Reformer",""))))</f>
        <v>Hydrocracker</v>
      </c>
      <c r="H8746" s="6" t="s">
        <v>444</v>
      </c>
      <c r="I8746" s="6" t="s">
        <v>476</v>
      </c>
      <c r="J8746" s="6" t="s">
        <v>349</v>
      </c>
      <c r="K8746" s="10">
        <v>13.8</v>
      </c>
      <c r="L8746" s="10">
        <v>60</v>
      </c>
      <c r="M8746" s="6" t="s">
        <v>371</v>
      </c>
    </row>
    <row r="8747" spans="1:13">
      <c r="A8747" s="6">
        <v>2027</v>
      </c>
      <c r="B8747" s="6">
        <v>10</v>
      </c>
      <c r="C8747" s="6" t="s">
        <v>68</v>
      </c>
      <c r="D8747" s="6" t="s">
        <v>468</v>
      </c>
      <c r="E8747" s="6" t="s">
        <v>369</v>
      </c>
      <c r="F8747" s="6" t="str">
        <f>IF($M8747="PADD I","PADD 1",IF($M8747="PADD II","PADD 2",IF($M8747="PADD III","PADD 3",IF($M8747="PADD IV","PADD 4",IF($M8747="PADD V","PADD 5","")))))</f>
        <v>PADD 3</v>
      </c>
      <c r="G8747" s="6">
        <f>IF(AND($H8747="ATMOS DISTILLATION",ISNUMBER(SEARCH("VPS",$I8747))=FALSE,LEFT($I8747,6)&lt;&gt;"VACUUM"),"CDU",IF($H8747="FLUID CAT CRACKING","FCC",IF(OR($H8747="HYDROCRACKING",$H8747="RESID_HYDROCRACKING"),"Hydrocracker",IF($H8747="REFORMING","Reformer",""))))</f>
        <v/>
      </c>
      <c r="H8747" s="6" t="s">
        <v>568</v>
      </c>
      <c r="I8747" s="6" t="s">
        <v>1401</v>
      </c>
      <c r="J8747" s="6" t="s">
        <v>349</v>
      </c>
      <c r="K8747" s="10">
        <v>13.6</v>
      </c>
      <c r="L8747" s="10">
        <v>20</v>
      </c>
      <c r="M8747" s="6" t="s">
        <v>371</v>
      </c>
    </row>
    <row r="8748" spans="1:13">
      <c r="A8748" s="6">
        <v>2027</v>
      </c>
      <c r="B8748" s="6">
        <v>10</v>
      </c>
      <c r="C8748" s="6" t="s">
        <v>68</v>
      </c>
      <c r="D8748" s="6" t="s">
        <v>960</v>
      </c>
      <c r="E8748" s="6" t="s">
        <v>881</v>
      </c>
      <c r="F8748" s="6" t="str">
        <f>IF($M8748="PADD I","PADD 1",IF($M8748="PADD II","PADD 2",IF($M8748="PADD III","PADD 3",IF($M8748="PADD IV","PADD 4",IF($M8748="PADD V","PADD 5","")))))</f>
        <v>PADD 3</v>
      </c>
      <c r="G8748" s="6" t="str">
        <f>IF(AND($H8748="ATMOS DISTILLATION",ISNUMBER(SEARCH("VPS",$I8748))=FALSE,LEFT($I8748,6)&lt;&gt;"VACUUM"),"CDU",IF($H8748="FLUID CAT CRACKING","FCC",IF(OR($H8748="HYDROCRACKING",$H8748="RESID_HYDROCRACKING"),"Hydrocracker",IF($H8748="REFORMING","Reformer",""))))</f>
        <v>CDU</v>
      </c>
      <c r="H8748" s="6" t="s">
        <v>38</v>
      </c>
      <c r="I8748" s="6" t="s">
        <v>374</v>
      </c>
      <c r="J8748" s="6" t="s">
        <v>349</v>
      </c>
      <c r="K8748" s="10">
        <v>11.34</v>
      </c>
      <c r="L8748" s="10">
        <v>27</v>
      </c>
      <c r="M8748" s="6" t="s">
        <v>371</v>
      </c>
    </row>
    <row r="8749" spans="1:13">
      <c r="A8749" s="6">
        <v>2027</v>
      </c>
      <c r="B8749" s="6">
        <v>10</v>
      </c>
      <c r="C8749" s="6" t="s">
        <v>68</v>
      </c>
      <c r="D8749" s="6" t="s">
        <v>602</v>
      </c>
      <c r="E8749" s="6" t="s">
        <v>369</v>
      </c>
      <c r="F8749" s="6" t="str">
        <f>IF($M8749="PADD I","PADD 1",IF($M8749="PADD II","PADD 2",IF($M8749="PADD III","PADD 3",IF($M8749="PADD IV","PADD 4",IF($M8749="PADD V","PADD 5","")))))</f>
        <v>PADD 2</v>
      </c>
      <c r="G8749" s="6" t="str">
        <f>IF(AND($H8749="ATMOS DISTILLATION",ISNUMBER(SEARCH("VPS",$I8749))=FALSE,LEFT($I8749,6)&lt;&gt;"VACUUM"),"CDU",IF($H8749="FLUID CAT CRACKING","FCC",IF(OR($H8749="HYDROCRACKING",$H8749="RESID_HYDROCRACKING"),"Hydrocracker",IF($H8749="REFORMING","Reformer",""))))</f>
        <v>CDU</v>
      </c>
      <c r="H8749" s="6" t="s">
        <v>38</v>
      </c>
      <c r="I8749" s="6" t="s">
        <v>661</v>
      </c>
      <c r="J8749" s="6" t="s">
        <v>349</v>
      </c>
      <c r="K8749" s="10">
        <v>11.2</v>
      </c>
      <c r="L8749" s="10">
        <v>35</v>
      </c>
      <c r="M8749" s="6" t="s">
        <v>375</v>
      </c>
    </row>
    <row r="8750" spans="1:13">
      <c r="A8750" s="6">
        <v>2027</v>
      </c>
      <c r="B8750" s="6">
        <v>10</v>
      </c>
      <c r="C8750" s="6" t="s">
        <v>68</v>
      </c>
      <c r="D8750" s="6" t="s">
        <v>602</v>
      </c>
      <c r="E8750" s="6" t="s">
        <v>369</v>
      </c>
      <c r="F8750" s="6" t="str">
        <f>IF($M8750="PADD I","PADD 1",IF($M8750="PADD II","PADD 2",IF($M8750="PADD III","PADD 3",IF($M8750="PADD IV","PADD 4",IF($M8750="PADD V","PADD 5","")))))</f>
        <v>PADD 2</v>
      </c>
      <c r="G8750" s="6" t="str">
        <f>IF(AND($H8750="ATMOS DISTILLATION",ISNUMBER(SEARCH("VPS",$I8750))=FALSE,LEFT($I8750,6)&lt;&gt;"VACUUM"),"CDU",IF($H8750="FLUID CAT CRACKING","FCC",IF(OR($H8750="HYDROCRACKING",$H8750="RESID_HYDROCRACKING"),"Hydrocracker",IF($H8750="REFORMING","Reformer",""))))</f>
        <v>FCC</v>
      </c>
      <c r="H8750" s="6" t="s">
        <v>376</v>
      </c>
      <c r="I8750" s="6" t="s">
        <v>1124</v>
      </c>
      <c r="J8750" s="6" t="s">
        <v>349</v>
      </c>
      <c r="K8750" s="10">
        <v>11.2</v>
      </c>
      <c r="L8750" s="10">
        <v>35</v>
      </c>
      <c r="M8750" s="6" t="s">
        <v>375</v>
      </c>
    </row>
    <row r="8751" spans="1:13">
      <c r="A8751" s="6">
        <v>2027</v>
      </c>
      <c r="B8751" s="6">
        <v>10</v>
      </c>
      <c r="C8751" s="6" t="s">
        <v>68</v>
      </c>
      <c r="D8751" s="6" t="s">
        <v>739</v>
      </c>
      <c r="E8751" s="6" t="s">
        <v>405</v>
      </c>
      <c r="F8751" s="6" t="str">
        <f>IF($M8751="PADD I","PADD 1",IF($M8751="PADD II","PADD 2",IF($M8751="PADD III","PADD 3",IF($M8751="PADD IV","PADD 4",IF($M8751="PADD V","PADD 5","")))))</f>
        <v>PADD 2</v>
      </c>
      <c r="G8751" s="6">
        <f>IF(AND($H8751="ATMOS DISTILLATION",ISNUMBER(SEARCH("VPS",$I8751))=FALSE,LEFT($I8751,6)&lt;&gt;"VACUUM"),"CDU",IF($H8751="FLUID CAT CRACKING","FCC",IF(OR($H8751="HYDROCRACKING",$H8751="RESID_HYDROCRACKING"),"Hydrocracker",IF($H8751="REFORMING","Reformer",""))))</f>
        <v/>
      </c>
      <c r="H8751" s="6" t="s">
        <v>43</v>
      </c>
      <c r="I8751" s="6" t="s">
        <v>1196</v>
      </c>
      <c r="J8751" s="6" t="s">
        <v>349</v>
      </c>
      <c r="K8751" s="10">
        <v>11</v>
      </c>
      <c r="L8751" s="10">
        <v>20</v>
      </c>
      <c r="M8751" s="6" t="s">
        <v>375</v>
      </c>
    </row>
    <row r="8752" spans="1:13">
      <c r="A8752" s="6">
        <v>2027</v>
      </c>
      <c r="B8752" s="6">
        <v>10</v>
      </c>
      <c r="C8752" s="6" t="s">
        <v>68</v>
      </c>
      <c r="D8752" s="6" t="s">
        <v>1141</v>
      </c>
      <c r="E8752" s="6" t="s">
        <v>1079</v>
      </c>
      <c r="F8752" s="6" t="str">
        <f>IF($M8752="PADD I","PADD 1",IF($M8752="PADD II","PADD 2",IF($M8752="PADD III","PADD 3",IF($M8752="PADD IV","PADD 4",IF($M8752="PADD V","PADD 5","")))))</f>
        <v>PADD 3</v>
      </c>
      <c r="G8752" s="6" t="str">
        <f>IF(AND($H8752="ATMOS DISTILLATION",ISNUMBER(SEARCH("VPS",$I8752))=FALSE,LEFT($I8752,6)&lt;&gt;"VACUUM"),"CDU",IF($H8752="FLUID CAT CRACKING","FCC",IF(OR($H8752="HYDROCRACKING",$H8752="RESID_HYDROCRACKING"),"Hydrocracker",IF($H8752="REFORMING","Reformer",""))))</f>
        <v>Reformer</v>
      </c>
      <c r="H8752" s="6" t="s">
        <v>421</v>
      </c>
      <c r="I8752" s="6" t="s">
        <v>559</v>
      </c>
      <c r="J8752" s="6" t="s">
        <v>349</v>
      </c>
      <c r="K8752" s="10">
        <v>10.395</v>
      </c>
      <c r="L8752" s="10">
        <v>13.5</v>
      </c>
      <c r="M8752" s="6" t="s">
        <v>371</v>
      </c>
    </row>
    <row r="8753" spans="1:13">
      <c r="A8753" s="6">
        <v>2027</v>
      </c>
      <c r="B8753" s="6">
        <v>10</v>
      </c>
      <c r="C8753" s="6" t="s">
        <v>68</v>
      </c>
      <c r="D8753" s="6" t="s">
        <v>602</v>
      </c>
      <c r="E8753" s="6" t="s">
        <v>369</v>
      </c>
      <c r="F8753" s="6" t="str">
        <f>IF($M8753="PADD I","PADD 1",IF($M8753="PADD II","PADD 2",IF($M8753="PADD III","PADD 3",IF($M8753="PADD IV","PADD 4",IF($M8753="PADD V","PADD 5","")))))</f>
        <v>PADD 2</v>
      </c>
      <c r="G8753" s="6">
        <f>IF(AND($H8753="ATMOS DISTILLATION",ISNUMBER(SEARCH("VPS",$I8753))=FALSE,LEFT($I8753,6)&lt;&gt;"VACUUM"),"CDU",IF($H8753="FLUID CAT CRACKING","FCC",IF(OR($H8753="HYDROCRACKING",$H8753="RESID_HYDROCRACKING"),"Hydrocracker",IF($H8753="REFORMING","Reformer",""))))</f>
        <v/>
      </c>
      <c r="H8753" s="6" t="s">
        <v>43</v>
      </c>
      <c r="I8753" s="6" t="s">
        <v>999</v>
      </c>
      <c r="J8753" s="6" t="s">
        <v>349</v>
      </c>
      <c r="K8753" s="10">
        <v>9.6</v>
      </c>
      <c r="L8753" s="10">
        <v>30</v>
      </c>
      <c r="M8753" s="6" t="s">
        <v>375</v>
      </c>
    </row>
    <row r="8754" spans="1:13">
      <c r="A8754" s="6">
        <v>2027</v>
      </c>
      <c r="B8754" s="6">
        <v>10</v>
      </c>
      <c r="C8754" s="6" t="s">
        <v>68</v>
      </c>
      <c r="D8754" s="6" t="s">
        <v>602</v>
      </c>
      <c r="E8754" s="6" t="s">
        <v>369</v>
      </c>
      <c r="F8754" s="6" t="str">
        <f>IF($M8754="PADD I","PADD 1",IF($M8754="PADD II","PADD 2",IF($M8754="PADD III","PADD 3",IF($M8754="PADD IV","PADD 4",IF($M8754="PADD V","PADD 5","")))))</f>
        <v>PADD 2</v>
      </c>
      <c r="G8754" s="6">
        <f>IF(AND($H8754="ATMOS DISTILLATION",ISNUMBER(SEARCH("VPS",$I8754))=FALSE,LEFT($I8754,6)&lt;&gt;"VACUUM"),"CDU",IF($H8754="FLUID CAT CRACKING","FCC",IF(OR($H8754="HYDROCRACKING",$H8754="RESID_HYDROCRACKING"),"Hydrocracker",IF($H8754="REFORMING","Reformer",""))))</f>
        <v/>
      </c>
      <c r="H8754" s="6" t="s">
        <v>43</v>
      </c>
      <c r="I8754" s="6" t="s">
        <v>998</v>
      </c>
      <c r="J8754" s="6" t="s">
        <v>349</v>
      </c>
      <c r="K8754" s="10">
        <v>9.6</v>
      </c>
      <c r="L8754" s="10">
        <v>30</v>
      </c>
      <c r="M8754" s="6" t="s">
        <v>375</v>
      </c>
    </row>
    <row r="8755" spans="1:13">
      <c r="A8755" s="6">
        <v>2027</v>
      </c>
      <c r="B8755" s="6">
        <v>10</v>
      </c>
      <c r="C8755" s="6" t="s">
        <v>68</v>
      </c>
      <c r="D8755" s="6" t="s">
        <v>1330</v>
      </c>
      <c r="E8755" s="6" t="s">
        <v>1331</v>
      </c>
      <c r="F8755" s="6" t="str">
        <f>IF($M8755="PADD I","PADD 1",IF($M8755="PADD II","PADD 2",IF($M8755="PADD III","PADD 3",IF($M8755="PADD IV","PADD 4",IF($M8755="PADD V","PADD 5","")))))</f>
        <v>PADD 4</v>
      </c>
      <c r="G8755" s="6" t="str">
        <f>IF(AND($H8755="ATMOS DISTILLATION",ISNUMBER(SEARCH("VPS",$I8755))=FALSE,LEFT($I8755,6)&lt;&gt;"VACUUM"),"CDU",IF($H8755="FLUID CAT CRACKING","FCC",IF(OR($H8755="HYDROCRACKING",$H8755="RESID_HYDROCRACKING"),"Hydrocracker",IF($H8755="REFORMING","Reformer",""))))</f>
        <v>Hydrocracker</v>
      </c>
      <c r="H8755" s="6" t="s">
        <v>444</v>
      </c>
      <c r="I8755" s="6" t="s">
        <v>707</v>
      </c>
      <c r="J8755" s="6" t="s">
        <v>349</v>
      </c>
      <c r="K8755" s="10">
        <v>8.640000000000001</v>
      </c>
      <c r="L8755" s="10">
        <v>18</v>
      </c>
      <c r="M8755" s="6" t="s">
        <v>430</v>
      </c>
    </row>
    <row r="8756" spans="1:13">
      <c r="A8756" s="6">
        <v>2027</v>
      </c>
      <c r="B8756" s="6">
        <v>10</v>
      </c>
      <c r="C8756" s="6" t="s">
        <v>68</v>
      </c>
      <c r="D8756" s="6" t="s">
        <v>1323</v>
      </c>
      <c r="E8756" s="6" t="s">
        <v>369</v>
      </c>
      <c r="F8756" s="6" t="str">
        <f>IF($M8756="PADD I","PADD 1",IF($M8756="PADD II","PADD 2",IF($M8756="PADD III","PADD 3",IF($M8756="PADD IV","PADD 4",IF($M8756="PADD V","PADD 5","")))))</f>
        <v>PADD 5</v>
      </c>
      <c r="G8756" s="6">
        <f>IF(AND($H8756="ATMOS DISTILLATION",ISNUMBER(SEARCH("VPS",$I8756))=FALSE,LEFT($I8756,6)&lt;&gt;"VACUUM"),"CDU",IF($H8756="FLUID CAT CRACKING","FCC",IF(OR($H8756="HYDROCRACKING",$H8756="RESID_HYDROCRACKING"),"Hydrocracker",IF($H8756="REFORMING","Reformer",""))))</f>
        <v/>
      </c>
      <c r="H8756" s="6" t="s">
        <v>460</v>
      </c>
      <c r="I8756" s="6" t="s">
        <v>616</v>
      </c>
      <c r="J8756" s="6" t="s">
        <v>349</v>
      </c>
      <c r="K8756" s="10">
        <v>8.5</v>
      </c>
      <c r="L8756" s="10">
        <v>8.5</v>
      </c>
      <c r="M8756" s="6" t="s">
        <v>386</v>
      </c>
    </row>
    <row r="8757" spans="1:13">
      <c r="A8757" s="6">
        <v>2027</v>
      </c>
      <c r="B8757" s="6">
        <v>10</v>
      </c>
      <c r="C8757" s="6" t="s">
        <v>68</v>
      </c>
      <c r="D8757" s="6" t="s">
        <v>602</v>
      </c>
      <c r="E8757" s="6" t="s">
        <v>369</v>
      </c>
      <c r="F8757" s="6" t="str">
        <f>IF($M8757="PADD I","PADD 1",IF($M8757="PADD II","PADD 2",IF($M8757="PADD III","PADD 3",IF($M8757="PADD IV","PADD 4",IF($M8757="PADD V","PADD 5","")))))</f>
        <v>PADD 2</v>
      </c>
      <c r="G8757" s="6" t="str">
        <f>IF(AND($H8757="ATMOS DISTILLATION",ISNUMBER(SEARCH("VPS",$I8757))=FALSE,LEFT($I8757,6)&lt;&gt;"VACUUM"),"CDU",IF($H8757="FLUID CAT CRACKING","FCC",IF(OR($H8757="HYDROCRACKING",$H8757="RESID_HYDROCRACKING"),"Hydrocracker",IF($H8757="REFORMING","Reformer",""))))</f>
        <v>FCC</v>
      </c>
      <c r="H8757" s="6" t="s">
        <v>376</v>
      </c>
      <c r="I8757" s="6" t="s">
        <v>654</v>
      </c>
      <c r="J8757" s="6" t="s">
        <v>349</v>
      </c>
      <c r="K8757" s="10">
        <v>8.32</v>
      </c>
      <c r="L8757" s="10">
        <v>26</v>
      </c>
      <c r="M8757" s="6" t="s">
        <v>375</v>
      </c>
    </row>
    <row r="8758" spans="1:13">
      <c r="A8758" s="6">
        <v>2027</v>
      </c>
      <c r="B8758" s="6">
        <v>10</v>
      </c>
      <c r="C8758" s="6" t="s">
        <v>68</v>
      </c>
      <c r="D8758" s="6" t="s">
        <v>602</v>
      </c>
      <c r="E8758" s="6" t="s">
        <v>369</v>
      </c>
      <c r="F8758" s="6" t="str">
        <f>IF($M8758="PADD I","PADD 1",IF($M8758="PADD II","PADD 2",IF($M8758="PADD III","PADD 3",IF($M8758="PADD IV","PADD 4",IF($M8758="PADD V","PADD 5","")))))</f>
        <v>PADD 2</v>
      </c>
      <c r="G8758" s="6">
        <f>IF(AND($H8758="ATMOS DISTILLATION",ISNUMBER(SEARCH("VPS",$I8758))=FALSE,LEFT($I8758,6)&lt;&gt;"VACUUM"),"CDU",IF($H8758="FLUID CAT CRACKING","FCC",IF(OR($H8758="HYDROCRACKING",$H8758="RESID_HYDROCRACKING"),"Hydrocracker",IF($H8758="REFORMING","Reformer",""))))</f>
        <v/>
      </c>
      <c r="H8758" s="6" t="s">
        <v>43</v>
      </c>
      <c r="I8758" s="6" t="s">
        <v>1001</v>
      </c>
      <c r="J8758" s="6" t="s">
        <v>349</v>
      </c>
      <c r="K8758" s="10">
        <v>8</v>
      </c>
      <c r="L8758" s="10">
        <v>25</v>
      </c>
      <c r="M8758" s="6" t="s">
        <v>375</v>
      </c>
    </row>
    <row r="8759" spans="1:13">
      <c r="A8759" s="6">
        <v>2027</v>
      </c>
      <c r="B8759" s="6">
        <v>10</v>
      </c>
      <c r="C8759" s="6" t="s">
        <v>68</v>
      </c>
      <c r="D8759" s="6" t="s">
        <v>1330</v>
      </c>
      <c r="E8759" s="6" t="s">
        <v>1331</v>
      </c>
      <c r="F8759" s="6" t="str">
        <f>IF($M8759="PADD I","PADD 1",IF($M8759="PADD II","PADD 2",IF($M8759="PADD III","PADD 3",IF($M8759="PADD IV","PADD 4",IF($M8759="PADD V","PADD 5","")))))</f>
        <v>PADD 4</v>
      </c>
      <c r="G8759" s="6" t="str">
        <f>IF(AND($H8759="ATMOS DISTILLATION",ISNUMBER(SEARCH("VPS",$I8759))=FALSE,LEFT($I8759,6)&lt;&gt;"VACUUM"),"CDU",IF($H8759="FLUID CAT CRACKING","FCC",IF(OR($H8759="HYDROCRACKING",$H8759="RESID_HYDROCRACKING"),"Hydrocracker",IF($H8759="REFORMING","Reformer",""))))</f>
        <v>CDU</v>
      </c>
      <c r="H8759" s="6" t="s">
        <v>38</v>
      </c>
      <c r="I8759" s="6" t="s">
        <v>135</v>
      </c>
      <c r="J8759" s="6" t="s">
        <v>349</v>
      </c>
      <c r="K8759" s="10">
        <v>7.2</v>
      </c>
      <c r="L8759" s="10">
        <v>15</v>
      </c>
      <c r="M8759" s="6" t="s">
        <v>430</v>
      </c>
    </row>
    <row r="8760" spans="1:13">
      <c r="A8760" s="6">
        <v>2027</v>
      </c>
      <c r="B8760" s="6">
        <v>10</v>
      </c>
      <c r="C8760" s="6" t="s">
        <v>68</v>
      </c>
      <c r="D8760" s="6" t="s">
        <v>380</v>
      </c>
      <c r="E8760" s="6" t="s">
        <v>381</v>
      </c>
      <c r="F8760" s="6" t="str">
        <f>IF($M8760="PADD I","PADD 1",IF($M8760="PADD II","PADD 2",IF($M8760="PADD III","PADD 3",IF($M8760="PADD IV","PADD 4",IF($M8760="PADD V","PADD 5","")))))</f>
        <v>PADD 3</v>
      </c>
      <c r="G8760" s="6">
        <f>IF(AND($H8760="ATMOS DISTILLATION",ISNUMBER(SEARCH("VPS",$I8760))=FALSE,LEFT($I8760,6)&lt;&gt;"VACUUM"),"CDU",IF($H8760="FLUID CAT CRACKING","FCC",IF(OR($H8760="HYDROCRACKING",$H8760="RESID_HYDROCRACKING"),"Hydrocracker",IF($H8760="REFORMING","Reformer",""))))</f>
        <v/>
      </c>
      <c r="H8760" s="6" t="s">
        <v>43</v>
      </c>
      <c r="I8760" s="6" t="s">
        <v>1251</v>
      </c>
      <c r="J8760" s="6" t="s">
        <v>349</v>
      </c>
      <c r="K8760" s="10">
        <v>6.9</v>
      </c>
      <c r="L8760" s="10">
        <v>30</v>
      </c>
      <c r="M8760" s="6" t="s">
        <v>371</v>
      </c>
    </row>
    <row r="8761" spans="1:13">
      <c r="A8761" s="6">
        <v>2027</v>
      </c>
      <c r="B8761" s="6">
        <v>10</v>
      </c>
      <c r="C8761" s="6" t="s">
        <v>68</v>
      </c>
      <c r="D8761" s="6" t="s">
        <v>960</v>
      </c>
      <c r="E8761" s="6" t="s">
        <v>881</v>
      </c>
      <c r="F8761" s="6" t="str">
        <f>IF($M8761="PADD I","PADD 1",IF($M8761="PADD II","PADD 2",IF($M8761="PADD III","PADD 3",IF($M8761="PADD IV","PADD 4",IF($M8761="PADD V","PADD 5","")))))</f>
        <v>PADD 3</v>
      </c>
      <c r="G8761" s="6">
        <f>IF(AND($H8761="ATMOS DISTILLATION",ISNUMBER(SEARCH("VPS",$I8761))=FALSE,LEFT($I8761,6)&lt;&gt;"VACUUM"),"CDU",IF($H8761="FLUID CAT CRACKING","FCC",IF(OR($H8761="HYDROCRACKING",$H8761="RESID_HYDROCRACKING"),"Hydrocracker",IF($H8761="REFORMING","Reformer",""))))</f>
        <v/>
      </c>
      <c r="H8761" s="6" t="s">
        <v>43</v>
      </c>
      <c r="I8761" s="6" t="s">
        <v>1055</v>
      </c>
      <c r="J8761" s="6" t="s">
        <v>349</v>
      </c>
      <c r="K8761" s="10">
        <v>6.72</v>
      </c>
      <c r="L8761" s="10">
        <v>16</v>
      </c>
      <c r="M8761" s="6" t="s">
        <v>371</v>
      </c>
    </row>
    <row r="8762" spans="1:13">
      <c r="A8762" s="6">
        <v>2027</v>
      </c>
      <c r="B8762" s="6">
        <v>10</v>
      </c>
      <c r="C8762" s="6" t="s">
        <v>68</v>
      </c>
      <c r="D8762" s="6" t="s">
        <v>739</v>
      </c>
      <c r="E8762" s="6" t="s">
        <v>405</v>
      </c>
      <c r="F8762" s="6" t="str">
        <f>IF($M8762="PADD I","PADD 1",IF($M8762="PADD II","PADD 2",IF($M8762="PADD III","PADD 3",IF($M8762="PADD IV","PADD 4",IF($M8762="PADD V","PADD 5","")))))</f>
        <v>PADD 2</v>
      </c>
      <c r="G8762" s="6" t="str">
        <f>IF(AND($H8762="ATMOS DISTILLATION",ISNUMBER(SEARCH("VPS",$I8762))=FALSE,LEFT($I8762,6)&lt;&gt;"VACUUM"),"CDU",IF($H8762="FLUID CAT CRACKING","FCC",IF(OR($H8762="HYDROCRACKING",$H8762="RESID_HYDROCRACKING"),"Hydrocracker",IF($H8762="REFORMING","Reformer",""))))</f>
        <v>Hydrocracker</v>
      </c>
      <c r="H8762" s="6" t="s">
        <v>444</v>
      </c>
      <c r="I8762" s="6" t="s">
        <v>795</v>
      </c>
      <c r="J8762" s="6" t="s">
        <v>349</v>
      </c>
      <c r="K8762" s="10">
        <v>6.6</v>
      </c>
      <c r="L8762" s="10">
        <v>12</v>
      </c>
      <c r="M8762" s="6" t="s">
        <v>375</v>
      </c>
    </row>
    <row r="8763" spans="1:13">
      <c r="A8763" s="6">
        <v>2027</v>
      </c>
      <c r="B8763" s="6">
        <v>10</v>
      </c>
      <c r="C8763" s="6" t="s">
        <v>68</v>
      </c>
      <c r="D8763" s="6" t="s">
        <v>542</v>
      </c>
      <c r="E8763" s="6" t="s">
        <v>543</v>
      </c>
      <c r="F8763" s="6" t="str">
        <f>IF($M8763="PADD I","PADD 1",IF($M8763="PADD II","PADD 2",IF($M8763="PADD III","PADD 3",IF($M8763="PADD IV","PADD 4",IF($M8763="PADD V","PADD 5","")))))</f>
        <v>PADD 2</v>
      </c>
      <c r="G8763" s="6">
        <f>IF(AND($H8763="ATMOS DISTILLATION",ISNUMBER(SEARCH("VPS",$I8763))=FALSE,LEFT($I8763,6)&lt;&gt;"VACUUM"),"CDU",IF($H8763="FLUID CAT CRACKING","FCC",IF(OR($H8763="HYDROCRACKING",$H8763="RESID_HYDROCRACKING"),"Hydrocracker",IF($H8763="REFORMING","Reformer",""))))</f>
        <v/>
      </c>
      <c r="H8763" s="6" t="s">
        <v>435</v>
      </c>
      <c r="I8763" s="6" t="s">
        <v>441</v>
      </c>
      <c r="J8763" s="6" t="s">
        <v>349</v>
      </c>
      <c r="K8763" s="10">
        <v>6.12</v>
      </c>
      <c r="L8763" s="10">
        <v>102</v>
      </c>
      <c r="M8763" s="6" t="s">
        <v>375</v>
      </c>
    </row>
    <row r="8764" spans="1:13">
      <c r="A8764" s="6">
        <v>2027</v>
      </c>
      <c r="B8764" s="6">
        <v>10</v>
      </c>
      <c r="C8764" s="6" t="s">
        <v>68</v>
      </c>
      <c r="D8764" s="6" t="s">
        <v>960</v>
      </c>
      <c r="E8764" s="6" t="s">
        <v>881</v>
      </c>
      <c r="F8764" s="6" t="str">
        <f>IF($M8764="PADD I","PADD 1",IF($M8764="PADD II","PADD 2",IF($M8764="PADD III","PADD 3",IF($M8764="PADD IV","PADD 4",IF($M8764="PADD V","PADD 5","")))))</f>
        <v>PADD 3</v>
      </c>
      <c r="G8764" s="6">
        <f>IF(AND($H8764="ATMOS DISTILLATION",ISNUMBER(SEARCH("VPS",$I8764))=FALSE,LEFT($I8764,6)&lt;&gt;"VACUUM"),"CDU",IF($H8764="FLUID CAT CRACKING","FCC",IF(OR($H8764="HYDROCRACKING",$H8764="RESID_HYDROCRACKING"),"Hydrocracker",IF($H8764="REFORMING","Reformer",""))))</f>
        <v/>
      </c>
      <c r="H8764" s="6" t="s">
        <v>43</v>
      </c>
      <c r="I8764" s="6" t="s">
        <v>784</v>
      </c>
      <c r="J8764" s="6" t="s">
        <v>349</v>
      </c>
      <c r="K8764" s="10">
        <v>5.88</v>
      </c>
      <c r="L8764" s="10">
        <v>14</v>
      </c>
      <c r="M8764" s="6" t="s">
        <v>371</v>
      </c>
    </row>
    <row r="8765" spans="1:13">
      <c r="A8765" s="6">
        <v>2027</v>
      </c>
      <c r="B8765" s="6">
        <v>10</v>
      </c>
      <c r="C8765" s="6" t="s">
        <v>68</v>
      </c>
      <c r="D8765" s="6" t="s">
        <v>40</v>
      </c>
      <c r="E8765" s="6" t="s">
        <v>736</v>
      </c>
      <c r="F8765" s="6" t="str">
        <f>IF($M8765="PADD I","PADD 1",IF($M8765="PADD II","PADD 2",IF($M8765="PADD III","PADD 3",IF($M8765="PADD IV","PADD 4",IF($M8765="PADD V","PADD 5","")))))</f>
        <v>PADD 1</v>
      </c>
      <c r="G8765" s="6">
        <f>IF(AND($H8765="ATMOS DISTILLATION",ISNUMBER(SEARCH("VPS",$I8765))=FALSE,LEFT($I8765,6)&lt;&gt;"VACUUM"),"CDU",IF($H8765="FLUID CAT CRACKING","FCC",IF(OR($H8765="HYDROCRACKING",$H8765="RESID_HYDROCRACKING"),"Hydrocracker",IF($H8765="REFORMING","Reformer",""))))</f>
        <v/>
      </c>
      <c r="H8765" s="6" t="s">
        <v>378</v>
      </c>
      <c r="I8765" s="6" t="s">
        <v>1010</v>
      </c>
      <c r="J8765" s="6" t="s">
        <v>349</v>
      </c>
      <c r="K8765" s="10">
        <v>5.5959</v>
      </c>
      <c r="L8765" s="10">
        <v>24.33</v>
      </c>
      <c r="M8765" s="6" t="s">
        <v>413</v>
      </c>
    </row>
    <row r="8766" spans="1:13">
      <c r="A8766" s="6">
        <v>2027</v>
      </c>
      <c r="B8766" s="6">
        <v>10</v>
      </c>
      <c r="C8766" s="6" t="s">
        <v>68</v>
      </c>
      <c r="D8766" s="6" t="s">
        <v>723</v>
      </c>
      <c r="E8766" s="6" t="s">
        <v>724</v>
      </c>
      <c r="F8766" s="6" t="str">
        <f>IF($M8766="PADD I","PADD 1",IF($M8766="PADD II","PADD 2",IF($M8766="PADD III","PADD 3",IF($M8766="PADD IV","PADD 4",IF($M8766="PADD V","PADD 5","")))))</f>
        <v>PADD 4</v>
      </c>
      <c r="G8766" s="6" t="str">
        <f>IF(AND($H8766="ATMOS DISTILLATION",ISNUMBER(SEARCH("VPS",$I8766))=FALSE,LEFT($I8766,6)&lt;&gt;"VACUUM"),"CDU",IF($H8766="FLUID CAT CRACKING","FCC",IF(OR($H8766="HYDROCRACKING",$H8766="RESID_HYDROCRACKING"),"Hydrocracker",IF($H8766="REFORMING","Reformer",""))))</f>
        <v>Hydrocracker</v>
      </c>
      <c r="H8766" s="6" t="s">
        <v>444</v>
      </c>
      <c r="I8766" s="6" t="s">
        <v>14</v>
      </c>
      <c r="J8766" s="6" t="s">
        <v>349</v>
      </c>
      <c r="K8766" s="10">
        <v>4.9</v>
      </c>
      <c r="L8766" s="10">
        <v>4.9</v>
      </c>
      <c r="M8766" s="6" t="s">
        <v>430</v>
      </c>
    </row>
    <row r="8767" spans="1:13">
      <c r="A8767" s="6">
        <v>2027</v>
      </c>
      <c r="B8767" s="6">
        <v>10</v>
      </c>
      <c r="C8767" s="6" t="s">
        <v>68</v>
      </c>
      <c r="D8767" s="6" t="s">
        <v>1330</v>
      </c>
      <c r="E8767" s="6" t="s">
        <v>1331</v>
      </c>
      <c r="F8767" s="6" t="str">
        <f>IF($M8767="PADD I","PADD 1",IF($M8767="PADD II","PADD 2",IF($M8767="PADD III","PADD 3",IF($M8767="PADD IV","PADD 4",IF($M8767="PADD V","PADD 5","")))))</f>
        <v>PADD 4</v>
      </c>
      <c r="G8767" s="6" t="str">
        <f>IF(AND($H8767="ATMOS DISTILLATION",ISNUMBER(SEARCH("VPS",$I8767))=FALSE,LEFT($I8767,6)&lt;&gt;"VACUUM"),"CDU",IF($H8767="FLUID CAT CRACKING","FCC",IF(OR($H8767="HYDROCRACKING",$H8767="RESID_HYDROCRACKING"),"Hydrocracker",IF($H8767="REFORMING","Reformer",""))))</f>
        <v>CDU</v>
      </c>
      <c r="H8767" s="6" t="s">
        <v>38</v>
      </c>
      <c r="I8767" s="6" t="s">
        <v>131</v>
      </c>
      <c r="J8767" s="6" t="s">
        <v>349</v>
      </c>
      <c r="K8767" s="10">
        <v>4.8</v>
      </c>
      <c r="L8767" s="10">
        <v>10</v>
      </c>
      <c r="M8767" s="6" t="s">
        <v>430</v>
      </c>
    </row>
    <row r="8768" spans="1:13">
      <c r="A8768" s="6">
        <v>2027</v>
      </c>
      <c r="B8768" s="6">
        <v>10</v>
      </c>
      <c r="C8768" s="6" t="s">
        <v>68</v>
      </c>
      <c r="D8768" s="6" t="s">
        <v>739</v>
      </c>
      <c r="E8768" s="6" t="s">
        <v>405</v>
      </c>
      <c r="F8768" s="6" t="str">
        <f>IF($M8768="PADD I","PADD 1",IF($M8768="PADD II","PADD 2",IF($M8768="PADD III","PADD 3",IF($M8768="PADD IV","PADD 4",IF($M8768="PADD V","PADD 5","")))))</f>
        <v>PADD 2</v>
      </c>
      <c r="G8768" s="6">
        <f>IF(AND($H8768="ATMOS DISTILLATION",ISNUMBER(SEARCH("VPS",$I8768))=FALSE,LEFT($I8768,6)&lt;&gt;"VACUUM"),"CDU",IF($H8768="FLUID CAT CRACKING","FCC",IF(OR($H8768="HYDROCRACKING",$H8768="RESID_HYDROCRACKING"),"Hydrocracker",IF($H8768="REFORMING","Reformer",""))))</f>
        <v/>
      </c>
      <c r="H8768" s="6" t="s">
        <v>568</v>
      </c>
      <c r="I8768" s="6" t="s">
        <v>604</v>
      </c>
      <c r="J8768" s="6" t="s">
        <v>349</v>
      </c>
      <c r="K8768" s="10">
        <v>3.85</v>
      </c>
      <c r="L8768" s="10">
        <v>7</v>
      </c>
      <c r="M8768" s="6" t="s">
        <v>375</v>
      </c>
    </row>
    <row r="8769" spans="1:13">
      <c r="A8769" s="6">
        <v>2027</v>
      </c>
      <c r="B8769" s="6">
        <v>10</v>
      </c>
      <c r="C8769" s="6" t="s">
        <v>68</v>
      </c>
      <c r="D8769" s="6" t="s">
        <v>602</v>
      </c>
      <c r="E8769" s="6" t="s">
        <v>369</v>
      </c>
      <c r="F8769" s="6" t="str">
        <f>IF($M8769="PADD I","PADD 1",IF($M8769="PADD II","PADD 2",IF($M8769="PADD III","PADD 3",IF($M8769="PADD IV","PADD 4",IF($M8769="PADD V","PADD 5","")))))</f>
        <v>PADD 2</v>
      </c>
      <c r="G8769" s="6">
        <f>IF(AND($H8769="ATMOS DISTILLATION",ISNUMBER(SEARCH("VPS",$I8769))=FALSE,LEFT($I8769,6)&lt;&gt;"VACUUM"),"CDU",IF($H8769="FLUID CAT CRACKING","FCC",IF(OR($H8769="HYDROCRACKING",$H8769="RESID_HYDROCRACKING"),"Hydrocracker",IF($H8769="REFORMING","Reformer",""))))</f>
        <v/>
      </c>
      <c r="H8769" s="6" t="s">
        <v>460</v>
      </c>
      <c r="I8769" s="6" t="s">
        <v>616</v>
      </c>
      <c r="J8769" s="6" t="s">
        <v>349</v>
      </c>
      <c r="K8769" s="10">
        <v>3.84</v>
      </c>
      <c r="L8769" s="10">
        <v>12</v>
      </c>
      <c r="M8769" s="6" t="s">
        <v>375</v>
      </c>
    </row>
    <row r="8770" spans="1:13">
      <c r="A8770" s="6">
        <v>2027</v>
      </c>
      <c r="B8770" s="6">
        <v>10</v>
      </c>
      <c r="C8770" s="6" t="s">
        <v>68</v>
      </c>
      <c r="D8770" s="6" t="s">
        <v>960</v>
      </c>
      <c r="E8770" s="6" t="s">
        <v>881</v>
      </c>
      <c r="F8770" s="6" t="str">
        <f>IF($M8770="PADD I","PADD 1",IF($M8770="PADD II","PADD 2",IF($M8770="PADD III","PADD 3",IF($M8770="PADD IV","PADD 4",IF($M8770="PADD V","PADD 5","")))))</f>
        <v>PADD 3</v>
      </c>
      <c r="G8770" s="6">
        <f>IF(AND($H8770="ATMOS DISTILLATION",ISNUMBER(SEARCH("VPS",$I8770))=FALSE,LEFT($I8770,6)&lt;&gt;"VACUUM"),"CDU",IF($H8770="FLUID CAT CRACKING","FCC",IF(OR($H8770="HYDROCRACKING",$H8770="RESID_HYDROCRACKING"),"Hydrocracker",IF($H8770="REFORMING","Reformer",""))))</f>
        <v/>
      </c>
      <c r="H8770" s="6" t="s">
        <v>637</v>
      </c>
      <c r="I8770" s="6" t="s">
        <v>1347</v>
      </c>
      <c r="J8770" s="6" t="s">
        <v>349</v>
      </c>
      <c r="K8770" s="10">
        <v>3.612</v>
      </c>
      <c r="L8770" s="10">
        <v>8.6</v>
      </c>
      <c r="M8770" s="6" t="s">
        <v>371</v>
      </c>
    </row>
    <row r="8771" spans="1:13">
      <c r="A8771" s="6">
        <v>2027</v>
      </c>
      <c r="B8771" s="6">
        <v>10</v>
      </c>
      <c r="C8771" s="6" t="s">
        <v>68</v>
      </c>
      <c r="D8771" s="6" t="s">
        <v>742</v>
      </c>
      <c r="E8771" s="6" t="s">
        <v>388</v>
      </c>
      <c r="F8771" s="6" t="str">
        <f>IF($M8771="PADD I","PADD 1",IF($M8771="PADD II","PADD 2",IF($M8771="PADD III","PADD 3",IF($M8771="PADD IV","PADD 4",IF($M8771="PADD V","PADD 5","")))))</f>
        <v>PADD 5</v>
      </c>
      <c r="G8771" s="6">
        <f>IF(AND($H8771="ATMOS DISTILLATION",ISNUMBER(SEARCH("VPS",$I8771))=FALSE,LEFT($I8771,6)&lt;&gt;"VACUUM"),"CDU",IF($H8771="FLUID CAT CRACKING","FCC",IF(OR($H8771="HYDROCRACKING",$H8771="RESID_HYDROCRACKING"),"Hydrocracker",IF($H8771="REFORMING","Reformer",""))))</f>
        <v/>
      </c>
      <c r="H8771" s="6" t="s">
        <v>568</v>
      </c>
      <c r="I8771" s="6" t="s">
        <v>768</v>
      </c>
      <c r="J8771" s="6" t="s">
        <v>349</v>
      </c>
      <c r="K8771" s="10">
        <v>3.5</v>
      </c>
      <c r="L8771" s="10">
        <v>3.5</v>
      </c>
      <c r="M8771" s="6" t="s">
        <v>386</v>
      </c>
    </row>
    <row r="8772" spans="1:13">
      <c r="A8772" s="6">
        <v>2027</v>
      </c>
      <c r="B8772" s="6">
        <v>10</v>
      </c>
      <c r="C8772" s="6" t="s">
        <v>68</v>
      </c>
      <c r="D8772" s="6" t="s">
        <v>739</v>
      </c>
      <c r="E8772" s="6" t="s">
        <v>405</v>
      </c>
      <c r="F8772" s="6" t="str">
        <f>IF($M8772="PADD I","PADD 1",IF($M8772="PADD II","PADD 2",IF($M8772="PADD III","PADD 3",IF($M8772="PADD IV","PADD 4",IF($M8772="PADD V","PADD 5","")))))</f>
        <v>PADD 2</v>
      </c>
      <c r="G8772" s="6">
        <f>IF(AND($H8772="ATMOS DISTILLATION",ISNUMBER(SEARCH("VPS",$I8772))=FALSE,LEFT($I8772,6)&lt;&gt;"VACUUM"),"CDU",IF($H8772="FLUID CAT CRACKING","FCC",IF(OR($H8772="HYDROCRACKING",$H8772="RESID_HYDROCRACKING"),"Hydrocracker",IF($H8772="REFORMING","Reformer",""))))</f>
        <v/>
      </c>
      <c r="H8772" s="6" t="s">
        <v>460</v>
      </c>
      <c r="I8772" s="6" t="s">
        <v>616</v>
      </c>
      <c r="J8772" s="6" t="s">
        <v>349</v>
      </c>
      <c r="K8772" s="10">
        <v>3.41</v>
      </c>
      <c r="L8772" s="10">
        <v>6.2</v>
      </c>
      <c r="M8772" s="6" t="s">
        <v>375</v>
      </c>
    </row>
    <row r="8773" spans="1:13">
      <c r="A8773" s="6">
        <v>2027</v>
      </c>
      <c r="B8773" s="6">
        <v>10</v>
      </c>
      <c r="C8773" s="6" t="s">
        <v>68</v>
      </c>
      <c r="D8773" s="6" t="s">
        <v>960</v>
      </c>
      <c r="E8773" s="6" t="s">
        <v>881</v>
      </c>
      <c r="F8773" s="6" t="str">
        <f>IF($M8773="PADD I","PADD 1",IF($M8773="PADD II","PADD 2",IF($M8773="PADD III","PADD 3",IF($M8773="PADD IV","PADD 4",IF($M8773="PADD V","PADD 5","")))))</f>
        <v>PADD 3</v>
      </c>
      <c r="G8773" s="6">
        <f>IF(AND($H8773="ATMOS DISTILLATION",ISNUMBER(SEARCH("VPS",$I8773))=FALSE,LEFT($I8773,6)&lt;&gt;"VACUUM"),"CDU",IF($H8773="FLUID CAT CRACKING","FCC",IF(OR($H8773="HYDROCRACKING",$H8773="RESID_HYDROCRACKING"),"Hydrocracker",IF($H8773="REFORMING","Reformer",""))))</f>
        <v/>
      </c>
      <c r="H8773" s="6" t="s">
        <v>43</v>
      </c>
      <c r="I8773" s="6" t="s">
        <v>961</v>
      </c>
      <c r="J8773" s="6" t="s">
        <v>349</v>
      </c>
      <c r="K8773" s="10">
        <v>3.36</v>
      </c>
      <c r="L8773" s="10">
        <v>8</v>
      </c>
      <c r="M8773" s="6" t="s">
        <v>371</v>
      </c>
    </row>
    <row r="8774" spans="1:13">
      <c r="A8774" s="6">
        <v>2027</v>
      </c>
      <c r="B8774" s="6">
        <v>10</v>
      </c>
      <c r="C8774" s="6" t="s">
        <v>68</v>
      </c>
      <c r="D8774" s="6" t="s">
        <v>670</v>
      </c>
      <c r="E8774" s="6" t="s">
        <v>405</v>
      </c>
      <c r="F8774" s="6" t="str">
        <f>IF($M8774="PADD I","PADD 1",IF($M8774="PADD II","PADD 2",IF($M8774="PADD III","PADD 3",IF($M8774="PADD IV","PADD 4",IF($M8774="PADD V","PADD 5","")))))</f>
        <v>PADD 2</v>
      </c>
      <c r="G8774" s="6" t="str">
        <f>IF(AND($H8774="ATMOS DISTILLATION",ISNUMBER(SEARCH("VPS",$I8774))=FALSE,LEFT($I8774,6)&lt;&gt;"VACUUM"),"CDU",IF($H8774="FLUID CAT CRACKING","FCC",IF(OR($H8774="HYDROCRACKING",$H8774="RESID_HYDROCRACKING"),"Hydrocracker",IF($H8774="REFORMING","Reformer",""))))</f>
        <v>CDU</v>
      </c>
      <c r="H8774" s="6" t="s">
        <v>38</v>
      </c>
      <c r="I8774" s="6" t="s">
        <v>107</v>
      </c>
      <c r="J8774" s="6" t="s">
        <v>349</v>
      </c>
      <c r="K8774" s="10">
        <v>3.3</v>
      </c>
      <c r="L8774" s="10">
        <v>110</v>
      </c>
      <c r="M8774" s="6" t="s">
        <v>375</v>
      </c>
    </row>
    <row r="8775" spans="1:13">
      <c r="A8775" s="6">
        <v>2027</v>
      </c>
      <c r="B8775" s="6">
        <v>10</v>
      </c>
      <c r="C8775" s="6" t="s">
        <v>68</v>
      </c>
      <c r="D8775" s="6" t="s">
        <v>408</v>
      </c>
      <c r="E8775" s="6" t="s">
        <v>409</v>
      </c>
      <c r="F8775" s="6" t="str">
        <f>IF($M8775="PADD I","PADD 1",IF($M8775="PADD II","PADD 2",IF($M8775="PADD III","PADD 3",IF($M8775="PADD IV","PADD 4",IF($M8775="PADD V","PADD 5","")))))</f>
        <v>PADD 3</v>
      </c>
      <c r="G8775" s="6">
        <f>IF(AND($H8775="ATMOS DISTILLATION",ISNUMBER(SEARCH("VPS",$I8775))=FALSE,LEFT($I8775,6)&lt;&gt;"VACUUM"),"CDU",IF($H8775="FLUID CAT CRACKING","FCC",IF(OR($H8775="HYDROCRACKING",$H8775="RESID_HYDROCRACKING"),"Hydrocracker",IF($H8775="REFORMING","Reformer",""))))</f>
        <v/>
      </c>
      <c r="H8775" s="6" t="s">
        <v>460</v>
      </c>
      <c r="I8775" s="6" t="s">
        <v>606</v>
      </c>
      <c r="J8775" s="6" t="s">
        <v>349</v>
      </c>
      <c r="K8775" s="10">
        <v>2.75</v>
      </c>
      <c r="L8775" s="10">
        <v>5</v>
      </c>
      <c r="M8775" s="6" t="s">
        <v>371</v>
      </c>
    </row>
    <row r="8776" spans="1:13">
      <c r="A8776" s="6">
        <v>2027</v>
      </c>
      <c r="B8776" s="6">
        <v>10</v>
      </c>
      <c r="C8776" s="6" t="s">
        <v>68</v>
      </c>
      <c r="D8776" s="6" t="s">
        <v>490</v>
      </c>
      <c r="E8776" s="6" t="s">
        <v>491</v>
      </c>
      <c r="F8776" s="6" t="str">
        <f>IF($M8776="PADD I","PADD 1",IF($M8776="PADD II","PADD 2",IF($M8776="PADD III","PADD 3",IF($M8776="PADD IV","PADD 4",IF($M8776="PADD V","PADD 5","")))))</f>
        <v>PADD 3</v>
      </c>
      <c r="G8776" s="6">
        <f>IF(AND($H8776="ATMOS DISTILLATION",ISNUMBER(SEARCH("VPS",$I8776))=FALSE,LEFT($I8776,6)&lt;&gt;"VACUUM"),"CDU",IF($H8776="FLUID CAT CRACKING","FCC",IF(OR($H8776="HYDROCRACKING",$H8776="RESID_HYDROCRACKING"),"Hydrocracker",IF($H8776="REFORMING","Reformer",""))))</f>
        <v/>
      </c>
      <c r="H8776" s="6" t="s">
        <v>43</v>
      </c>
      <c r="I8776" s="6" t="s">
        <v>1398</v>
      </c>
      <c r="J8776" s="6" t="s">
        <v>349</v>
      </c>
      <c r="K8776" s="10">
        <v>2.4</v>
      </c>
      <c r="L8776" s="10">
        <v>80</v>
      </c>
      <c r="M8776" s="6" t="s">
        <v>371</v>
      </c>
    </row>
    <row r="8777" spans="1:13">
      <c r="A8777" s="6">
        <v>2027</v>
      </c>
      <c r="B8777" s="6">
        <v>10</v>
      </c>
      <c r="C8777" s="6" t="s">
        <v>68</v>
      </c>
      <c r="D8777" s="6" t="s">
        <v>1330</v>
      </c>
      <c r="E8777" s="6" t="s">
        <v>1331</v>
      </c>
      <c r="F8777" s="6" t="str">
        <f>IF($M8777="PADD I","PADD 1",IF($M8777="PADD II","PADD 2",IF($M8777="PADD III","PADD 3",IF($M8777="PADD IV","PADD 4",IF($M8777="PADD V","PADD 5","")))))</f>
        <v>PADD 4</v>
      </c>
      <c r="G8777" s="6">
        <f>IF(AND($H8777="ATMOS DISTILLATION",ISNUMBER(SEARCH("VPS",$I8777))=FALSE,LEFT($I8777,6)&lt;&gt;"VACUUM"),"CDU",IF($H8777="FLUID CAT CRACKING","FCC",IF(OR($H8777="HYDROCRACKING",$H8777="RESID_HYDROCRACKING"),"Hydrocracker",IF($H8777="REFORMING","Reformer",""))))</f>
        <v/>
      </c>
      <c r="H8777" s="6" t="s">
        <v>43</v>
      </c>
      <c r="I8777" s="6" t="s">
        <v>1402</v>
      </c>
      <c r="J8777" s="6" t="s">
        <v>349</v>
      </c>
      <c r="K8777" s="10">
        <v>2.4</v>
      </c>
      <c r="L8777" s="10">
        <v>5</v>
      </c>
      <c r="M8777" s="6" t="s">
        <v>430</v>
      </c>
    </row>
    <row r="8778" spans="1:13">
      <c r="A8778" s="6">
        <v>2027</v>
      </c>
      <c r="B8778" s="6">
        <v>10</v>
      </c>
      <c r="C8778" s="6" t="s">
        <v>68</v>
      </c>
      <c r="D8778" s="6" t="s">
        <v>960</v>
      </c>
      <c r="E8778" s="6" t="s">
        <v>881</v>
      </c>
      <c r="F8778" s="6" t="str">
        <f>IF($M8778="PADD I","PADD 1",IF($M8778="PADD II","PADD 2",IF($M8778="PADD III","PADD 3",IF($M8778="PADD IV","PADD 4",IF($M8778="PADD V","PADD 5","")))))</f>
        <v>PADD 3</v>
      </c>
      <c r="G8778" s="6" t="str">
        <f>IF(AND($H8778="ATMOS DISTILLATION",ISNUMBER(SEARCH("VPS",$I8778))=FALSE,LEFT($I8778,6)&lt;&gt;"VACUUM"),"CDU",IF($H8778="FLUID CAT CRACKING","FCC",IF(OR($H8778="HYDROCRACKING",$H8778="RESID_HYDROCRACKING"),"Hydrocracker",IF($H8778="REFORMING","Reformer",""))))</f>
        <v>Reformer</v>
      </c>
      <c r="H8778" s="6" t="s">
        <v>421</v>
      </c>
      <c r="I8778" s="6" t="s">
        <v>1061</v>
      </c>
      <c r="J8778" s="6" t="s">
        <v>349</v>
      </c>
      <c r="K8778" s="10">
        <v>2.31</v>
      </c>
      <c r="L8778" s="10">
        <v>5.5</v>
      </c>
      <c r="M8778" s="6" t="s">
        <v>371</v>
      </c>
    </row>
    <row r="8779" spans="1:13">
      <c r="A8779" s="6">
        <v>2027</v>
      </c>
      <c r="B8779" s="6">
        <v>10</v>
      </c>
      <c r="C8779" s="6" t="s">
        <v>68</v>
      </c>
      <c r="D8779" s="6" t="s">
        <v>960</v>
      </c>
      <c r="E8779" s="6" t="s">
        <v>881</v>
      </c>
      <c r="F8779" s="6" t="str">
        <f>IF($M8779="PADD I","PADD 1",IF($M8779="PADD II","PADD 2",IF($M8779="PADD III","PADD 3",IF($M8779="PADD IV","PADD 4",IF($M8779="PADD V","PADD 5","")))))</f>
        <v>PADD 3</v>
      </c>
      <c r="G8779" s="6" t="str">
        <f>IF(AND($H8779="ATMOS DISTILLATION",ISNUMBER(SEARCH("VPS",$I8779))=FALSE,LEFT($I8779,6)&lt;&gt;"VACUUM"),"CDU",IF($H8779="FLUID CAT CRACKING","FCC",IF(OR($H8779="HYDROCRACKING",$H8779="RESID_HYDROCRACKING"),"Hydrocracker",IF($H8779="REFORMING","Reformer",""))))</f>
        <v>Reformer</v>
      </c>
      <c r="H8779" s="6" t="s">
        <v>421</v>
      </c>
      <c r="I8779" s="6" t="s">
        <v>810</v>
      </c>
      <c r="J8779" s="6" t="s">
        <v>349</v>
      </c>
      <c r="K8779" s="10">
        <v>2.31</v>
      </c>
      <c r="L8779" s="10">
        <v>5.5</v>
      </c>
      <c r="M8779" s="6" t="s">
        <v>371</v>
      </c>
    </row>
    <row r="8780" spans="1:13">
      <c r="A8780" s="6">
        <v>2027</v>
      </c>
      <c r="B8780" s="6">
        <v>10</v>
      </c>
      <c r="C8780" s="6" t="s">
        <v>68</v>
      </c>
      <c r="D8780" s="6" t="s">
        <v>871</v>
      </c>
      <c r="E8780" s="6" t="s">
        <v>872</v>
      </c>
      <c r="F8780" s="6" t="str">
        <f>IF($M8780="PADD I","PADD 1",IF($M8780="PADD II","PADD 2",IF($M8780="PADD III","PADD 3",IF($M8780="PADD IV","PADD 4",IF($M8780="PADD V","PADD 5","")))))</f>
        <v>PADD 4</v>
      </c>
      <c r="G8780" s="6" t="str">
        <f>IF(AND($H8780="ATMOS DISTILLATION",ISNUMBER(SEARCH("VPS",$I8780))=FALSE,LEFT($I8780,6)&lt;&gt;"VACUUM"),"CDU",IF($H8780="FLUID CAT CRACKING","FCC",IF(OR($H8780="HYDROCRACKING",$H8780="RESID_HYDROCRACKING"),"Hydrocracker",IF($H8780="REFORMING","Reformer",""))))</f>
        <v>CDU</v>
      </c>
      <c r="H8780" s="6" t="s">
        <v>38</v>
      </c>
      <c r="I8780" s="6" t="s">
        <v>81</v>
      </c>
      <c r="J8780" s="6" t="s">
        <v>349</v>
      </c>
      <c r="K8780" s="10">
        <v>1.53</v>
      </c>
      <c r="L8780" s="10">
        <v>3.4</v>
      </c>
      <c r="M8780" s="6" t="s">
        <v>430</v>
      </c>
    </row>
    <row r="8781" spans="1:13">
      <c r="A8781" s="6">
        <v>2027</v>
      </c>
      <c r="B8781" s="6">
        <v>10</v>
      </c>
      <c r="C8781" s="6" t="s">
        <v>68</v>
      </c>
      <c r="D8781" s="6" t="s">
        <v>871</v>
      </c>
      <c r="E8781" s="6" t="s">
        <v>872</v>
      </c>
      <c r="F8781" s="6" t="str">
        <f>IF($M8781="PADD I","PADD 1",IF($M8781="PADD II","PADD 2",IF($M8781="PADD III","PADD 3",IF($M8781="PADD IV","PADD 4",IF($M8781="PADD V","PADD 5","")))))</f>
        <v>PADD 4</v>
      </c>
      <c r="G8781" s="6">
        <f>IF(AND($H8781="ATMOS DISTILLATION",ISNUMBER(SEARCH("VPS",$I8781))=FALSE,LEFT($I8781,6)&lt;&gt;"VACUUM"),"CDU",IF($H8781="FLUID CAT CRACKING","FCC",IF(OR($H8781="HYDROCRACKING",$H8781="RESID_HYDROCRACKING"),"Hydrocracker",IF($H8781="REFORMING","Reformer",""))))</f>
        <v/>
      </c>
      <c r="H8781" s="6" t="s">
        <v>43</v>
      </c>
      <c r="I8781" s="6" t="s">
        <v>873</v>
      </c>
      <c r="J8781" s="6" t="s">
        <v>349</v>
      </c>
      <c r="K8781" s="10">
        <v>1.35</v>
      </c>
      <c r="L8781" s="10">
        <v>3</v>
      </c>
      <c r="M8781" s="6" t="s">
        <v>430</v>
      </c>
    </row>
    <row r="8782" spans="1:13">
      <c r="A8782" s="6">
        <v>2027</v>
      </c>
      <c r="B8782" s="6">
        <v>10</v>
      </c>
      <c r="C8782" s="6" t="s">
        <v>68</v>
      </c>
      <c r="D8782" s="6" t="s">
        <v>871</v>
      </c>
      <c r="E8782" s="6" t="s">
        <v>872</v>
      </c>
      <c r="F8782" s="6" t="str">
        <f>IF($M8782="PADD I","PADD 1",IF($M8782="PADD II","PADD 2",IF($M8782="PADD III","PADD 3",IF($M8782="PADD IV","PADD 4",IF($M8782="PADD V","PADD 5","")))))</f>
        <v>PADD 4</v>
      </c>
      <c r="G8782" s="6" t="str">
        <f>IF(AND($H8782="ATMOS DISTILLATION",ISNUMBER(SEARCH("VPS",$I8782))=FALSE,LEFT($I8782,6)&lt;&gt;"VACUUM"),"CDU",IF($H8782="FLUID CAT CRACKING","FCC",IF(OR($H8782="HYDROCRACKING",$H8782="RESID_HYDROCRACKING"),"Hydrocracker",IF($H8782="REFORMING","Reformer",""))))</f>
        <v>Reformer</v>
      </c>
      <c r="H8782" s="6" t="s">
        <v>421</v>
      </c>
      <c r="I8782" s="6" t="s">
        <v>15</v>
      </c>
      <c r="J8782" s="6" t="s">
        <v>349</v>
      </c>
      <c r="K8782" s="10">
        <v>1.35</v>
      </c>
      <c r="L8782" s="10">
        <v>3</v>
      </c>
      <c r="M8782" s="6" t="s">
        <v>430</v>
      </c>
    </row>
    <row r="8783" spans="1:13">
      <c r="A8783" s="6">
        <v>2027</v>
      </c>
      <c r="B8783" s="6">
        <v>10</v>
      </c>
      <c r="C8783" s="6" t="s">
        <v>68</v>
      </c>
      <c r="D8783" s="6" t="s">
        <v>1330</v>
      </c>
      <c r="E8783" s="6" t="s">
        <v>1331</v>
      </c>
      <c r="F8783" s="6" t="str">
        <f>IF($M8783="PADD I","PADD 1",IF($M8783="PADD II","PADD 2",IF($M8783="PADD III","PADD 3",IF($M8783="PADD IV","PADD 4",IF($M8783="PADD V","PADD 5","")))))</f>
        <v>PADD 4</v>
      </c>
      <c r="G8783" s="6" t="str">
        <f>IF(AND($H8783="ATMOS DISTILLATION",ISNUMBER(SEARCH("VPS",$I8783))=FALSE,LEFT($I8783,6)&lt;&gt;"VACUUM"),"CDU",IF($H8783="FLUID CAT CRACKING","FCC",IF(OR($H8783="HYDROCRACKING",$H8783="RESID_HYDROCRACKING"),"Hydrocracker",IF($H8783="REFORMING","Reformer",""))))</f>
        <v>FCC</v>
      </c>
      <c r="H8783" s="6" t="s">
        <v>376</v>
      </c>
      <c r="I8783" s="6" t="s">
        <v>105</v>
      </c>
      <c r="J8783" s="6" t="s">
        <v>349</v>
      </c>
      <c r="K8783" s="10">
        <v>1.344</v>
      </c>
      <c r="L8783" s="10">
        <v>2.8</v>
      </c>
      <c r="M8783" s="6" t="s">
        <v>430</v>
      </c>
    </row>
    <row r="8784" spans="1:13">
      <c r="A8784" s="6">
        <v>2027</v>
      </c>
      <c r="B8784" s="6">
        <v>10</v>
      </c>
      <c r="C8784" s="6" t="s">
        <v>68</v>
      </c>
      <c r="D8784" s="6" t="s">
        <v>434</v>
      </c>
      <c r="E8784" s="6" t="s">
        <v>388</v>
      </c>
      <c r="F8784" s="6" t="str">
        <f>IF($M8784="PADD I","PADD 1",IF($M8784="PADD II","PADD 2",IF($M8784="PADD III","PADD 3",IF($M8784="PADD IV","PADD 4",IF($M8784="PADD V","PADD 5","")))))</f>
        <v>PADD 5</v>
      </c>
      <c r="G8784" s="6">
        <f>IF(AND($H8784="ATMOS DISTILLATION",ISNUMBER(SEARCH("VPS",$I8784))=FALSE,LEFT($I8784,6)&lt;&gt;"VACUUM"),"CDU",IF($H8784="FLUID CAT CRACKING","FCC",IF(OR($H8784="HYDROCRACKING",$H8784="RESID_HYDROCRACKING"),"Hydrocracker",IF($H8784="REFORMING","Reformer",""))))</f>
        <v/>
      </c>
      <c r="H8784" s="6" t="s">
        <v>43</v>
      </c>
      <c r="I8784" s="6" t="s">
        <v>1399</v>
      </c>
      <c r="J8784" s="6" t="s">
        <v>349</v>
      </c>
      <c r="K8784" s="10">
        <v>1.14</v>
      </c>
      <c r="L8784" s="10">
        <v>38</v>
      </c>
      <c r="M8784" s="6" t="s">
        <v>386</v>
      </c>
    </row>
    <row r="8785" spans="1:13">
      <c r="A8785" s="6">
        <v>2027</v>
      </c>
      <c r="B8785" s="6">
        <v>10</v>
      </c>
      <c r="C8785" s="6" t="s">
        <v>68</v>
      </c>
      <c r="D8785" s="6" t="s">
        <v>490</v>
      </c>
      <c r="E8785" s="6" t="s">
        <v>491</v>
      </c>
      <c r="F8785" s="6" t="str">
        <f>IF($M8785="PADD I","PADD 1",IF($M8785="PADD II","PADD 2",IF($M8785="PADD III","PADD 3",IF($M8785="PADD IV","PADD 4",IF($M8785="PADD V","PADD 5","")))))</f>
        <v>PADD 3</v>
      </c>
      <c r="G8785" s="6">
        <f>IF(AND($H8785="ATMOS DISTILLATION",ISNUMBER(SEARCH("VPS",$I8785))=FALSE,LEFT($I8785,6)&lt;&gt;"VACUUM"),"CDU",IF($H8785="FLUID CAT CRACKING","FCC",IF(OR($H8785="HYDROCRACKING",$H8785="RESID_HYDROCRACKING"),"Hydrocracker",IF($H8785="REFORMING","Reformer",""))))</f>
        <v/>
      </c>
      <c r="H8785" s="6" t="s">
        <v>43</v>
      </c>
      <c r="I8785" s="6" t="s">
        <v>1400</v>
      </c>
      <c r="J8785" s="6" t="s">
        <v>349</v>
      </c>
      <c r="K8785" s="10">
        <v>0.96</v>
      </c>
      <c r="L8785" s="10">
        <v>32</v>
      </c>
      <c r="M8785" s="6" t="s">
        <v>371</v>
      </c>
    </row>
    <row r="8786" spans="1:13">
      <c r="A8786" s="6">
        <v>2027</v>
      </c>
      <c r="B8786" s="6">
        <v>10</v>
      </c>
      <c r="C8786" s="6" t="s">
        <v>68</v>
      </c>
      <c r="D8786" s="6" t="s">
        <v>457</v>
      </c>
      <c r="E8786" s="6" t="s">
        <v>388</v>
      </c>
      <c r="F8786" s="6" t="str">
        <f>IF($M8786="PADD I","PADD 1",IF($M8786="PADD II","PADD 2",IF($M8786="PADD III","PADD 3",IF($M8786="PADD IV","PADD 4",IF($M8786="PADD V","PADD 5","")))))</f>
        <v>PADD 5</v>
      </c>
      <c r="G8786" s="6" t="str">
        <f>IF(AND($H8786="ATMOS DISTILLATION",ISNUMBER(SEARCH("VPS",$I8786))=FALSE,LEFT($I8786,6)&lt;&gt;"VACUUM"),"CDU",IF($H8786="FLUID CAT CRACKING","FCC",IF(OR($H8786="HYDROCRACKING",$H8786="RESID_HYDROCRACKING"),"Hydrocracker",IF($H8786="REFORMING","Reformer",""))))</f>
        <v>Reformer</v>
      </c>
      <c r="H8786" s="6" t="s">
        <v>421</v>
      </c>
      <c r="I8786" s="6" t="s">
        <v>559</v>
      </c>
      <c r="J8786" s="6" t="s">
        <v>349</v>
      </c>
      <c r="K8786" s="10">
        <v>0.6</v>
      </c>
      <c r="L8786" s="10">
        <v>20</v>
      </c>
      <c r="M8786" s="6" t="s">
        <v>386</v>
      </c>
    </row>
    <row r="8787" spans="1:13">
      <c r="A8787" s="6">
        <v>2027</v>
      </c>
      <c r="B8787" s="6">
        <v>10</v>
      </c>
      <c r="C8787" s="6" t="s">
        <v>68</v>
      </c>
      <c r="D8787" s="6" t="s">
        <v>1330</v>
      </c>
      <c r="E8787" s="6" t="s">
        <v>1331</v>
      </c>
      <c r="F8787" s="6" t="str">
        <f>IF($M8787="PADD I","PADD 1",IF($M8787="PADD II","PADD 2",IF($M8787="PADD III","PADD 3",IF($M8787="PADD IV","PADD 4",IF($M8787="PADD V","PADD 5","")))))</f>
        <v>PADD 4</v>
      </c>
      <c r="G8787" s="6" t="str">
        <f>IF(AND($H8787="ATMOS DISTILLATION",ISNUMBER(SEARCH("VPS",$I8787))=FALSE,LEFT($I8787,6)&lt;&gt;"VACUUM"),"CDU",IF($H8787="FLUID CAT CRACKING","FCC",IF(OR($H8787="HYDROCRACKING",$H8787="RESID_HYDROCRACKING"),"Hydrocracker",IF($H8787="REFORMING","Reformer",""))))</f>
        <v>Reformer</v>
      </c>
      <c r="H8787" s="6" t="s">
        <v>421</v>
      </c>
      <c r="I8787" s="6" t="s">
        <v>15</v>
      </c>
      <c r="J8787" s="6" t="s">
        <v>349</v>
      </c>
      <c r="K8787" s="10">
        <v>0.48</v>
      </c>
      <c r="L8787" s="10">
        <v>1</v>
      </c>
      <c r="M8787" s="6" t="s">
        <v>430</v>
      </c>
    </row>
    <row r="8788" spans="1:13">
      <c r="A8788" s="6">
        <v>2027</v>
      </c>
      <c r="B8788" s="6">
        <v>10</v>
      </c>
      <c r="C8788" s="6" t="s">
        <v>68</v>
      </c>
      <c r="D8788" s="6" t="s">
        <v>871</v>
      </c>
      <c r="E8788" s="6" t="s">
        <v>872</v>
      </c>
      <c r="F8788" s="6" t="str">
        <f>IF($M8788="PADD I","PADD 1",IF($M8788="PADD II","PADD 2",IF($M8788="PADD III","PADD 3",IF($M8788="PADD IV","PADD 4",IF($M8788="PADD V","PADD 5","")))))</f>
        <v>PADD 4</v>
      </c>
      <c r="G8788" s="6">
        <f>IF(AND($H8788="ATMOS DISTILLATION",ISNUMBER(SEARCH("VPS",$I8788))=FALSE,LEFT($I8788,6)&lt;&gt;"VACUUM"),"CDU",IF($H8788="FLUID CAT CRACKING","FCC",IF(OR($H8788="HYDROCRACKING",$H8788="RESID_HYDROCRACKING"),"Hydrocracker",IF($H8788="REFORMING","Reformer",""))))</f>
        <v/>
      </c>
      <c r="H8788" s="6" t="s">
        <v>568</v>
      </c>
      <c r="I8788" s="6" t="s">
        <v>1202</v>
      </c>
      <c r="J8788" s="6" t="s">
        <v>349</v>
      </c>
      <c r="K8788" s="10">
        <v>0.45</v>
      </c>
      <c r="L8788" s="10">
        <v>1</v>
      </c>
      <c r="M8788" s="6" t="s">
        <v>430</v>
      </c>
    </row>
    <row r="8789" spans="1:13">
      <c r="A8789" s="6">
        <v>2027</v>
      </c>
      <c r="B8789" s="6">
        <v>11</v>
      </c>
      <c r="C8789" s="6" t="s">
        <v>69</v>
      </c>
      <c r="D8789" s="6" t="s">
        <v>319</v>
      </c>
      <c r="E8789" s="6" t="s">
        <v>665</v>
      </c>
      <c r="F8789" s="6" t="str">
        <f>IF($M8789="PADD I","PADD 1",IF($M8789="PADD II","PADD 2",IF($M8789="PADD III","PADD 3",IF($M8789="PADD IV","PADD 4",IF($M8789="PADD V","PADD 5","")))))</f>
        <v>PADD 3</v>
      </c>
      <c r="G8789" s="6" t="str">
        <f>IF(AND($H8789="ATMOS DISTILLATION",ISNUMBER(SEARCH("VPS",$I8789))=FALSE,LEFT($I8789,6)&lt;&gt;"VACUUM"),"CDU",IF($H8789="FLUID CAT CRACKING","FCC",IF(OR($H8789="HYDROCRACKING",$H8789="RESID_HYDROCRACKING"),"Hydrocracker",IF($H8789="REFORMING","Reformer",""))))</f>
        <v>CDU</v>
      </c>
      <c r="H8789" s="6" t="s">
        <v>38</v>
      </c>
      <c r="I8789" s="6" t="s">
        <v>86</v>
      </c>
      <c r="J8789" s="6" t="s">
        <v>349</v>
      </c>
      <c r="K8789" s="10">
        <v>160.8</v>
      </c>
      <c r="L8789" s="10">
        <v>240</v>
      </c>
      <c r="M8789" s="6" t="s">
        <v>371</v>
      </c>
    </row>
    <row r="8790" spans="1:13">
      <c r="A8790" s="6">
        <v>2027</v>
      </c>
      <c r="B8790" s="6">
        <v>11</v>
      </c>
      <c r="C8790" s="6" t="s">
        <v>69</v>
      </c>
      <c r="D8790" s="6" t="s">
        <v>408</v>
      </c>
      <c r="E8790" s="6" t="s">
        <v>409</v>
      </c>
      <c r="F8790" s="6" t="str">
        <f>IF($M8790="PADD I","PADD 1",IF($M8790="PADD II","PADD 2",IF($M8790="PADD III","PADD 3",IF($M8790="PADD IV","PADD 4",IF($M8790="PADD V","PADD 5","")))))</f>
        <v>PADD 3</v>
      </c>
      <c r="G8790" s="6" t="str">
        <f>IF(AND($H8790="ATMOS DISTILLATION",ISNUMBER(SEARCH("VPS",$I8790))=FALSE,LEFT($I8790,6)&lt;&gt;"VACUUM"),"CDU",IF($H8790="FLUID CAT CRACKING","FCC",IF(OR($H8790="HYDROCRACKING",$H8790="RESID_HYDROCRACKING"),"Hydrocracker",IF($H8790="REFORMING","Reformer",""))))</f>
        <v>FCC</v>
      </c>
      <c r="H8790" s="6" t="s">
        <v>376</v>
      </c>
      <c r="I8790" s="6" t="s">
        <v>426</v>
      </c>
      <c r="J8790" s="6" t="s">
        <v>349</v>
      </c>
      <c r="K8790" s="10">
        <v>43.32</v>
      </c>
      <c r="L8790" s="10">
        <v>76</v>
      </c>
      <c r="M8790" s="6" t="s">
        <v>371</v>
      </c>
    </row>
    <row r="8791" spans="1:13">
      <c r="A8791" s="6">
        <v>2027</v>
      </c>
      <c r="B8791" s="6">
        <v>11</v>
      </c>
      <c r="C8791" s="6" t="s">
        <v>69</v>
      </c>
      <c r="D8791" s="6" t="s">
        <v>1323</v>
      </c>
      <c r="E8791" s="6" t="s">
        <v>369</v>
      </c>
      <c r="F8791" s="6" t="str">
        <f>IF($M8791="PADD I","PADD 1",IF($M8791="PADD II","PADD 2",IF($M8791="PADD III","PADD 3",IF($M8791="PADD IV","PADD 4",IF($M8791="PADD V","PADD 5","")))))</f>
        <v>PADD 5</v>
      </c>
      <c r="G8791" s="6" t="str">
        <f>IF(AND($H8791="ATMOS DISTILLATION",ISNUMBER(SEARCH("VPS",$I8791))=FALSE,LEFT($I8791,6)&lt;&gt;"VACUUM"),"CDU",IF($H8791="FLUID CAT CRACKING","FCC",IF(OR($H8791="HYDROCRACKING",$H8791="RESID_HYDROCRACKING"),"Hydrocracker",IF($H8791="REFORMING","Reformer",""))))</f>
        <v>CDU</v>
      </c>
      <c r="H8791" s="6" t="s">
        <v>38</v>
      </c>
      <c r="I8791" s="6" t="s">
        <v>81</v>
      </c>
      <c r="J8791" s="6" t="s">
        <v>349</v>
      </c>
      <c r="K8791" s="10">
        <v>33</v>
      </c>
      <c r="L8791" s="10">
        <v>100</v>
      </c>
      <c r="M8791" s="6" t="s">
        <v>386</v>
      </c>
    </row>
    <row r="8792" spans="1:13">
      <c r="A8792" s="6">
        <v>2027</v>
      </c>
      <c r="B8792" s="6">
        <v>11</v>
      </c>
      <c r="C8792" s="6" t="s">
        <v>69</v>
      </c>
      <c r="D8792" s="6" t="s">
        <v>960</v>
      </c>
      <c r="E8792" s="6" t="s">
        <v>881</v>
      </c>
      <c r="F8792" s="6" t="str">
        <f>IF($M8792="PADD I","PADD 1",IF($M8792="PADD II","PADD 2",IF($M8792="PADD III","PADD 3",IF($M8792="PADD IV","PADD 4",IF($M8792="PADD V","PADD 5","")))))</f>
        <v>PADD 3</v>
      </c>
      <c r="G8792" s="6" t="str">
        <f>IF(AND($H8792="ATMOS DISTILLATION",ISNUMBER(SEARCH("VPS",$I8792))=FALSE,LEFT($I8792,6)&lt;&gt;"VACUUM"),"CDU",IF($H8792="FLUID CAT CRACKING","FCC",IF(OR($H8792="HYDROCRACKING",$H8792="RESID_HYDROCRACKING"),"Hydrocracker",IF($H8792="REFORMING","Reformer",""))))</f>
        <v>CDU</v>
      </c>
      <c r="H8792" s="6" t="s">
        <v>38</v>
      </c>
      <c r="I8792" s="6" t="s">
        <v>1047</v>
      </c>
      <c r="J8792" s="6" t="s">
        <v>349</v>
      </c>
      <c r="K8792" s="10">
        <v>24.09</v>
      </c>
      <c r="L8792" s="10">
        <v>33</v>
      </c>
      <c r="M8792" s="6" t="s">
        <v>371</v>
      </c>
    </row>
    <row r="8793" spans="1:13">
      <c r="A8793" s="6">
        <v>2027</v>
      </c>
      <c r="B8793" s="6">
        <v>11</v>
      </c>
      <c r="C8793" s="6" t="s">
        <v>69</v>
      </c>
      <c r="D8793" s="6" t="s">
        <v>408</v>
      </c>
      <c r="E8793" s="6" t="s">
        <v>409</v>
      </c>
      <c r="F8793" s="6" t="str">
        <f>IF($M8793="PADD I","PADD 1",IF($M8793="PADD II","PADD 2",IF($M8793="PADD III","PADD 3",IF($M8793="PADD IV","PADD 4",IF($M8793="PADD V","PADD 5","")))))</f>
        <v>PADD 3</v>
      </c>
      <c r="G8793" s="6">
        <f>IF(AND($H8793="ATMOS DISTILLATION",ISNUMBER(SEARCH("VPS",$I8793))=FALSE,LEFT($I8793,6)&lt;&gt;"VACUUM"),"CDU",IF($H8793="FLUID CAT CRACKING","FCC",IF(OR($H8793="HYDROCRACKING",$H8793="RESID_HYDROCRACKING"),"Hydrocracker",IF($H8793="REFORMING","Reformer",""))))</f>
        <v/>
      </c>
      <c r="H8793" s="6" t="s">
        <v>43</v>
      </c>
      <c r="I8793" s="6" t="s">
        <v>478</v>
      </c>
      <c r="J8793" s="6" t="s">
        <v>349</v>
      </c>
      <c r="K8793" s="10">
        <v>23.94</v>
      </c>
      <c r="L8793" s="10">
        <v>42</v>
      </c>
      <c r="M8793" s="6" t="s">
        <v>371</v>
      </c>
    </row>
    <row r="8794" spans="1:13">
      <c r="A8794" s="6">
        <v>2027</v>
      </c>
      <c r="B8794" s="6">
        <v>11</v>
      </c>
      <c r="C8794" s="6" t="s">
        <v>69</v>
      </c>
      <c r="D8794" s="6" t="s">
        <v>408</v>
      </c>
      <c r="E8794" s="6" t="s">
        <v>409</v>
      </c>
      <c r="F8794" s="6" t="str">
        <f>IF($M8794="PADD I","PADD 1",IF($M8794="PADD II","PADD 2",IF($M8794="PADD III","PADD 3",IF($M8794="PADD IV","PADD 4",IF($M8794="PADD V","PADD 5","")))))</f>
        <v>PADD 3</v>
      </c>
      <c r="G8794" s="6" t="str">
        <f>IF(AND($H8794="ATMOS DISTILLATION",ISNUMBER(SEARCH("VPS",$I8794))=FALSE,LEFT($I8794,6)&lt;&gt;"VACUUM"),"CDU",IF($H8794="FLUID CAT CRACKING","FCC",IF(OR($H8794="HYDROCRACKING",$H8794="RESID_HYDROCRACKING"),"Hydrocracker",IF($H8794="REFORMING","Reformer",""))))</f>
        <v>CDU</v>
      </c>
      <c r="H8794" s="6" t="s">
        <v>38</v>
      </c>
      <c r="I8794" s="6" t="s">
        <v>522</v>
      </c>
      <c r="J8794" s="6" t="s">
        <v>349</v>
      </c>
      <c r="K8794" s="10">
        <v>22.8</v>
      </c>
      <c r="L8794" s="10">
        <v>40</v>
      </c>
      <c r="M8794" s="6" t="s">
        <v>371</v>
      </c>
    </row>
    <row r="8795" spans="1:13">
      <c r="A8795" s="6">
        <v>2027</v>
      </c>
      <c r="B8795" s="6">
        <v>11</v>
      </c>
      <c r="C8795" s="6" t="s">
        <v>69</v>
      </c>
      <c r="D8795" s="6" t="s">
        <v>50</v>
      </c>
      <c r="E8795" s="6" t="s">
        <v>381</v>
      </c>
      <c r="F8795" s="6" t="str">
        <f>IF($M8795="PADD I","PADD 1",IF($M8795="PADD II","PADD 2",IF($M8795="PADD III","PADD 3",IF($M8795="PADD IV","PADD 4",IF($M8795="PADD V","PADD 5","")))))</f>
        <v>PADD 3</v>
      </c>
      <c r="G8795" s="6">
        <f>IF(AND($H8795="ATMOS DISTILLATION",ISNUMBER(SEARCH("VPS",$I8795))=FALSE,LEFT($I8795,6)&lt;&gt;"VACUUM"),"CDU",IF($H8795="FLUID CAT CRACKING","FCC",IF(OR($H8795="HYDROCRACKING",$H8795="RESID_HYDROCRACKING"),"Hydrocracker",IF($H8795="REFORMING","Reformer",""))))</f>
        <v/>
      </c>
      <c r="H8795" s="6" t="s">
        <v>460</v>
      </c>
      <c r="I8795" s="6" t="s">
        <v>620</v>
      </c>
      <c r="J8795" s="6" t="s">
        <v>349</v>
      </c>
      <c r="K8795" s="10">
        <v>21</v>
      </c>
      <c r="L8795" s="10">
        <v>21</v>
      </c>
      <c r="M8795" s="6" t="s">
        <v>371</v>
      </c>
    </row>
    <row r="8796" spans="1:13">
      <c r="A8796" s="6">
        <v>2027</v>
      </c>
      <c r="B8796" s="6">
        <v>11</v>
      </c>
      <c r="C8796" s="6" t="s">
        <v>69</v>
      </c>
      <c r="D8796" s="6" t="s">
        <v>960</v>
      </c>
      <c r="E8796" s="6" t="s">
        <v>881</v>
      </c>
      <c r="F8796" s="6" t="str">
        <f>IF($M8796="PADD I","PADD 1",IF($M8796="PADD II","PADD 2",IF($M8796="PADD III","PADD 3",IF($M8796="PADD IV","PADD 4",IF($M8796="PADD V","PADD 5","")))))</f>
        <v>PADD 3</v>
      </c>
      <c r="G8796" s="6" t="str">
        <f>IF(AND($H8796="ATMOS DISTILLATION",ISNUMBER(SEARCH("VPS",$I8796))=FALSE,LEFT($I8796,6)&lt;&gt;"VACUUM"),"CDU",IF($H8796="FLUID CAT CRACKING","FCC",IF(OR($H8796="HYDROCRACKING",$H8796="RESID_HYDROCRACKING"),"Hydrocracker",IF($H8796="REFORMING","Reformer",""))))</f>
        <v>CDU</v>
      </c>
      <c r="H8796" s="6" t="s">
        <v>38</v>
      </c>
      <c r="I8796" s="6" t="s">
        <v>374</v>
      </c>
      <c r="J8796" s="6" t="s">
        <v>349</v>
      </c>
      <c r="K8796" s="10">
        <v>19.71</v>
      </c>
      <c r="L8796" s="10">
        <v>27</v>
      </c>
      <c r="M8796" s="6" t="s">
        <v>371</v>
      </c>
    </row>
    <row r="8797" spans="1:13">
      <c r="A8797" s="6">
        <v>2027</v>
      </c>
      <c r="B8797" s="6">
        <v>11</v>
      </c>
      <c r="C8797" s="6" t="s">
        <v>69</v>
      </c>
      <c r="D8797" s="6" t="s">
        <v>408</v>
      </c>
      <c r="E8797" s="6" t="s">
        <v>409</v>
      </c>
      <c r="F8797" s="6" t="str">
        <f>IF($M8797="PADD I","PADD 1",IF($M8797="PADD II","PADD 2",IF($M8797="PADD III","PADD 3",IF($M8797="PADD IV","PADD 4",IF($M8797="PADD V","PADD 5","")))))</f>
        <v>PADD 3</v>
      </c>
      <c r="G8797" s="6">
        <f>IF(AND($H8797="ATMOS DISTILLATION",ISNUMBER(SEARCH("VPS",$I8797))=FALSE,LEFT($I8797,6)&lt;&gt;"VACUUM"),"CDU",IF($H8797="FLUID CAT CRACKING","FCC",IF(OR($H8797="HYDROCRACKING",$H8797="RESID_HYDROCRACKING"),"Hydrocracker",IF($H8797="REFORMING","Reformer",""))))</f>
        <v/>
      </c>
      <c r="H8797" s="6" t="s">
        <v>43</v>
      </c>
      <c r="I8797" s="6" t="s">
        <v>497</v>
      </c>
      <c r="J8797" s="6" t="s">
        <v>349</v>
      </c>
      <c r="K8797" s="10">
        <v>17.67</v>
      </c>
      <c r="L8797" s="10">
        <v>31</v>
      </c>
      <c r="M8797" s="6" t="s">
        <v>371</v>
      </c>
    </row>
    <row r="8798" spans="1:13">
      <c r="A8798" s="6">
        <v>2027</v>
      </c>
      <c r="B8798" s="6">
        <v>11</v>
      </c>
      <c r="C8798" s="6" t="s">
        <v>69</v>
      </c>
      <c r="D8798" s="6" t="s">
        <v>1323</v>
      </c>
      <c r="E8798" s="6" t="s">
        <v>369</v>
      </c>
      <c r="F8798" s="6" t="str">
        <f>IF($M8798="PADD I","PADD 1",IF($M8798="PADD II","PADD 2",IF($M8798="PADD III","PADD 3",IF($M8798="PADD IV","PADD 4",IF($M8798="PADD V","PADD 5","")))))</f>
        <v>PADD 5</v>
      </c>
      <c r="G8798" s="6">
        <f>IF(AND($H8798="ATMOS DISTILLATION",ISNUMBER(SEARCH("VPS",$I8798))=FALSE,LEFT($I8798,6)&lt;&gt;"VACUUM"),"CDU",IF($H8798="FLUID CAT CRACKING","FCC",IF(OR($H8798="HYDROCRACKING",$H8798="RESID_HYDROCRACKING"),"Hydrocracker",IF($H8798="REFORMING","Reformer",""))))</f>
        <v/>
      </c>
      <c r="H8798" s="6" t="s">
        <v>378</v>
      </c>
      <c r="I8798" s="6" t="s">
        <v>431</v>
      </c>
      <c r="J8798" s="6" t="s">
        <v>349</v>
      </c>
      <c r="K8798" s="10">
        <v>15.345</v>
      </c>
      <c r="L8798" s="10">
        <v>46.5</v>
      </c>
      <c r="M8798" s="6" t="s">
        <v>386</v>
      </c>
    </row>
    <row r="8799" spans="1:13">
      <c r="A8799" s="6">
        <v>2027</v>
      </c>
      <c r="B8799" s="6">
        <v>11</v>
      </c>
      <c r="C8799" s="6" t="s">
        <v>69</v>
      </c>
      <c r="D8799" s="6" t="s">
        <v>1141</v>
      </c>
      <c r="E8799" s="6" t="s">
        <v>1079</v>
      </c>
      <c r="F8799" s="6" t="str">
        <f>IF($M8799="PADD I","PADD 1",IF($M8799="PADD II","PADD 2",IF($M8799="PADD III","PADD 3",IF($M8799="PADD IV","PADD 4",IF($M8799="PADD V","PADD 5","")))))</f>
        <v>PADD 3</v>
      </c>
      <c r="G8799" s="6" t="str">
        <f>IF(AND($H8799="ATMOS DISTILLATION",ISNUMBER(SEARCH("VPS",$I8799))=FALSE,LEFT($I8799,6)&lt;&gt;"VACUUM"),"CDU",IF($H8799="FLUID CAT CRACKING","FCC",IF(OR($H8799="HYDROCRACKING",$H8799="RESID_HYDROCRACKING"),"Hydrocracker",IF($H8799="REFORMING","Reformer",""))))</f>
        <v>CDU</v>
      </c>
      <c r="H8799" s="6" t="s">
        <v>38</v>
      </c>
      <c r="I8799" s="6" t="s">
        <v>131</v>
      </c>
      <c r="J8799" s="6" t="s">
        <v>349</v>
      </c>
      <c r="K8799" s="10">
        <v>14.8</v>
      </c>
      <c r="L8799" s="10">
        <v>40</v>
      </c>
      <c r="M8799" s="6" t="s">
        <v>371</v>
      </c>
    </row>
    <row r="8800" spans="1:13">
      <c r="A8800" s="6">
        <v>2027</v>
      </c>
      <c r="B8800" s="6">
        <v>11</v>
      </c>
      <c r="C8800" s="6" t="s">
        <v>69</v>
      </c>
      <c r="D8800" s="6" t="s">
        <v>887</v>
      </c>
      <c r="E8800" s="6" t="s">
        <v>405</v>
      </c>
      <c r="F8800" s="6" t="str">
        <f>IF($M8800="PADD I","PADD 1",IF($M8800="PADD II","PADD 2",IF($M8800="PADD III","PADD 3",IF($M8800="PADD IV","PADD 4",IF($M8800="PADD V","PADD 5","")))))</f>
        <v>PADD 3</v>
      </c>
      <c r="G8800" s="6" t="str">
        <f>IF(AND($H8800="ATMOS DISTILLATION",ISNUMBER(SEARCH("VPS",$I8800))=FALSE,LEFT($I8800,6)&lt;&gt;"VACUUM"),"CDU",IF($H8800="FLUID CAT CRACKING","FCC",IF(OR($H8800="HYDROCRACKING",$H8800="RESID_HYDROCRACKING"),"Hydrocracker",IF($H8800="REFORMING","Reformer",""))))</f>
        <v>Hydrocracker</v>
      </c>
      <c r="H8800" s="6" t="s">
        <v>444</v>
      </c>
      <c r="I8800" s="6" t="s">
        <v>1022</v>
      </c>
      <c r="J8800" s="6" t="s">
        <v>349</v>
      </c>
      <c r="K8800" s="10">
        <v>12.9</v>
      </c>
      <c r="L8800" s="10">
        <v>30</v>
      </c>
      <c r="M8800" s="6" t="s">
        <v>371</v>
      </c>
    </row>
    <row r="8801" spans="1:13">
      <c r="A8801" s="6">
        <v>2027</v>
      </c>
      <c r="B8801" s="6">
        <v>11</v>
      </c>
      <c r="C8801" s="6" t="s">
        <v>69</v>
      </c>
      <c r="D8801" s="6" t="s">
        <v>960</v>
      </c>
      <c r="E8801" s="6" t="s">
        <v>881</v>
      </c>
      <c r="F8801" s="6" t="str">
        <f>IF($M8801="PADD I","PADD 1",IF($M8801="PADD II","PADD 2",IF($M8801="PADD III","PADD 3",IF($M8801="PADD IV","PADD 4",IF($M8801="PADD V","PADD 5","")))))</f>
        <v>PADD 3</v>
      </c>
      <c r="G8801" s="6">
        <f>IF(AND($H8801="ATMOS DISTILLATION",ISNUMBER(SEARCH("VPS",$I8801))=FALSE,LEFT($I8801,6)&lt;&gt;"VACUUM"),"CDU",IF($H8801="FLUID CAT CRACKING","FCC",IF(OR($H8801="HYDROCRACKING",$H8801="RESID_HYDROCRACKING"),"Hydrocracker",IF($H8801="REFORMING","Reformer",""))))</f>
        <v/>
      </c>
      <c r="H8801" s="6" t="s">
        <v>43</v>
      </c>
      <c r="I8801" s="6" t="s">
        <v>1055</v>
      </c>
      <c r="J8801" s="6" t="s">
        <v>349</v>
      </c>
      <c r="K8801" s="10">
        <v>11.68</v>
      </c>
      <c r="L8801" s="10">
        <v>16</v>
      </c>
      <c r="M8801" s="6" t="s">
        <v>371</v>
      </c>
    </row>
    <row r="8802" spans="1:13">
      <c r="A8802" s="6">
        <v>2027</v>
      </c>
      <c r="B8802" s="6">
        <v>11</v>
      </c>
      <c r="C8802" s="6" t="s">
        <v>69</v>
      </c>
      <c r="D8802" s="6" t="s">
        <v>1323</v>
      </c>
      <c r="E8802" s="6" t="s">
        <v>369</v>
      </c>
      <c r="F8802" s="6" t="str">
        <f>IF($M8802="PADD I","PADD 1",IF($M8802="PADD II","PADD 2",IF($M8802="PADD III","PADD 3",IF($M8802="PADD IV","PADD 4",IF($M8802="PADD V","PADD 5","")))))</f>
        <v>PADD 5</v>
      </c>
      <c r="G8802" s="6" t="str">
        <f>IF(AND($H8802="ATMOS DISTILLATION",ISNUMBER(SEARCH("VPS",$I8802))=FALSE,LEFT($I8802,6)&lt;&gt;"VACUUM"),"CDU",IF($H8802="FLUID CAT CRACKING","FCC",IF(OR($H8802="HYDROCRACKING",$H8802="RESID_HYDROCRACKING"),"Hydrocracker",IF($H8802="REFORMING","Reformer",""))))</f>
        <v>FCC</v>
      </c>
      <c r="H8802" s="6" t="s">
        <v>376</v>
      </c>
      <c r="I8802" s="6" t="s">
        <v>105</v>
      </c>
      <c r="J8802" s="6" t="s">
        <v>349</v>
      </c>
      <c r="K8802" s="10">
        <v>11.55</v>
      </c>
      <c r="L8802" s="10">
        <v>35</v>
      </c>
      <c r="M8802" s="6" t="s">
        <v>386</v>
      </c>
    </row>
    <row r="8803" spans="1:13">
      <c r="A8803" s="6">
        <v>2027</v>
      </c>
      <c r="B8803" s="6">
        <v>11</v>
      </c>
      <c r="C8803" s="6" t="s">
        <v>69</v>
      </c>
      <c r="D8803" s="6" t="s">
        <v>1323</v>
      </c>
      <c r="E8803" s="6" t="s">
        <v>369</v>
      </c>
      <c r="F8803" s="6" t="str">
        <f>IF($M8803="PADD I","PADD 1",IF($M8803="PADD II","PADD 2",IF($M8803="PADD III","PADD 3",IF($M8803="PADD IV","PADD 4",IF($M8803="PADD V","PADD 5","")))))</f>
        <v>PADD 5</v>
      </c>
      <c r="G8803" s="6">
        <f>IF(AND($H8803="ATMOS DISTILLATION",ISNUMBER(SEARCH("VPS",$I8803))=FALSE,LEFT($I8803,6)&lt;&gt;"VACUUM"),"CDU",IF($H8803="FLUID CAT CRACKING","FCC",IF(OR($H8803="HYDROCRACKING",$H8803="RESID_HYDROCRACKING"),"Hydrocracker",IF($H8803="REFORMING","Reformer",""))))</f>
        <v/>
      </c>
      <c r="H8803" s="6" t="s">
        <v>43</v>
      </c>
      <c r="I8803" s="6" t="s">
        <v>811</v>
      </c>
      <c r="J8803" s="6" t="s">
        <v>349</v>
      </c>
      <c r="K8803" s="10">
        <v>10.56</v>
      </c>
      <c r="L8803" s="10">
        <v>32</v>
      </c>
      <c r="M8803" s="6" t="s">
        <v>386</v>
      </c>
    </row>
    <row r="8804" spans="1:13">
      <c r="A8804" s="6">
        <v>2027</v>
      </c>
      <c r="B8804" s="6">
        <v>11</v>
      </c>
      <c r="C8804" s="6" t="s">
        <v>69</v>
      </c>
      <c r="D8804" s="6" t="s">
        <v>960</v>
      </c>
      <c r="E8804" s="6" t="s">
        <v>881</v>
      </c>
      <c r="F8804" s="6" t="str">
        <f>IF($M8804="PADD I","PADD 1",IF($M8804="PADD II","PADD 2",IF($M8804="PADD III","PADD 3",IF($M8804="PADD IV","PADD 4",IF($M8804="PADD V","PADD 5","")))))</f>
        <v>PADD 3</v>
      </c>
      <c r="G8804" s="6">
        <f>IF(AND($H8804="ATMOS DISTILLATION",ISNUMBER(SEARCH("VPS",$I8804))=FALSE,LEFT($I8804,6)&lt;&gt;"VACUUM"),"CDU",IF($H8804="FLUID CAT CRACKING","FCC",IF(OR($H8804="HYDROCRACKING",$H8804="RESID_HYDROCRACKING"),"Hydrocracker",IF($H8804="REFORMING","Reformer",""))))</f>
        <v/>
      </c>
      <c r="H8804" s="6" t="s">
        <v>43</v>
      </c>
      <c r="I8804" s="6" t="s">
        <v>784</v>
      </c>
      <c r="J8804" s="6" t="s">
        <v>349</v>
      </c>
      <c r="K8804" s="10">
        <v>10.22</v>
      </c>
      <c r="L8804" s="10">
        <v>14</v>
      </c>
      <c r="M8804" s="6" t="s">
        <v>371</v>
      </c>
    </row>
    <row r="8805" spans="1:13">
      <c r="A8805" s="6">
        <v>2027</v>
      </c>
      <c r="B8805" s="6">
        <v>11</v>
      </c>
      <c r="C8805" s="6" t="s">
        <v>69</v>
      </c>
      <c r="D8805" s="6" t="s">
        <v>1141</v>
      </c>
      <c r="E8805" s="6" t="s">
        <v>1079</v>
      </c>
      <c r="F8805" s="6" t="str">
        <f>IF($M8805="PADD I","PADD 1",IF($M8805="PADD II","PADD 2",IF($M8805="PADD III","PADD 3",IF($M8805="PADD IV","PADD 4",IF($M8805="PADD V","PADD 5","")))))</f>
        <v>PADD 3</v>
      </c>
      <c r="G8805" s="6">
        <f>IF(AND($H8805="ATMOS DISTILLATION",ISNUMBER(SEARCH("VPS",$I8805))=FALSE,LEFT($I8805,6)&lt;&gt;"VACUUM"),"CDU",IF($H8805="FLUID CAT CRACKING","FCC",IF(OR($H8805="HYDROCRACKING",$H8805="RESID_HYDROCRACKING"),"Hydrocracker",IF($H8805="REFORMING","Reformer",""))))</f>
        <v/>
      </c>
      <c r="H8805" s="6" t="s">
        <v>43</v>
      </c>
      <c r="I8805" s="6" t="s">
        <v>927</v>
      </c>
      <c r="J8805" s="6" t="s">
        <v>349</v>
      </c>
      <c r="K8805" s="10">
        <v>9.25</v>
      </c>
      <c r="L8805" s="10">
        <v>25</v>
      </c>
      <c r="M8805" s="6" t="s">
        <v>371</v>
      </c>
    </row>
    <row r="8806" spans="1:13">
      <c r="A8806" s="6">
        <v>2027</v>
      </c>
      <c r="B8806" s="6">
        <v>11</v>
      </c>
      <c r="C8806" s="6" t="s">
        <v>69</v>
      </c>
      <c r="D8806" s="6" t="s">
        <v>1323</v>
      </c>
      <c r="E8806" s="6" t="s">
        <v>369</v>
      </c>
      <c r="F8806" s="6" t="str">
        <f>IF($M8806="PADD I","PADD 1",IF($M8806="PADD II","PADD 2",IF($M8806="PADD III","PADD 3",IF($M8806="PADD IV","PADD 4",IF($M8806="PADD V","PADD 5","")))))</f>
        <v>PADD 5</v>
      </c>
      <c r="G8806" s="6">
        <f>IF(AND($H8806="ATMOS DISTILLATION",ISNUMBER(SEARCH("VPS",$I8806))=FALSE,LEFT($I8806,6)&lt;&gt;"VACUUM"),"CDU",IF($H8806="FLUID CAT CRACKING","FCC",IF(OR($H8806="HYDROCRACKING",$H8806="RESID_HYDROCRACKING"),"Hydrocracker",IF($H8806="REFORMING","Reformer",""))))</f>
        <v/>
      </c>
      <c r="H8806" s="6" t="s">
        <v>43</v>
      </c>
      <c r="I8806" s="6" t="s">
        <v>458</v>
      </c>
      <c r="J8806" s="6" t="s">
        <v>349</v>
      </c>
      <c r="K8806" s="10">
        <v>6.6</v>
      </c>
      <c r="L8806" s="10">
        <v>20</v>
      </c>
      <c r="M8806" s="6" t="s">
        <v>386</v>
      </c>
    </row>
    <row r="8807" spans="1:13">
      <c r="A8807" s="6">
        <v>2027</v>
      </c>
      <c r="B8807" s="6">
        <v>11</v>
      </c>
      <c r="C8807" s="6" t="s">
        <v>69</v>
      </c>
      <c r="D8807" s="6" t="s">
        <v>960</v>
      </c>
      <c r="E8807" s="6" t="s">
        <v>881</v>
      </c>
      <c r="F8807" s="6" t="str">
        <f>IF($M8807="PADD I","PADD 1",IF($M8807="PADD II","PADD 2",IF($M8807="PADD III","PADD 3",IF($M8807="PADD IV","PADD 4",IF($M8807="PADD V","PADD 5","")))))</f>
        <v>PADD 3</v>
      </c>
      <c r="G8807" s="6">
        <f>IF(AND($H8807="ATMOS DISTILLATION",ISNUMBER(SEARCH("VPS",$I8807))=FALSE,LEFT($I8807,6)&lt;&gt;"VACUUM"),"CDU",IF($H8807="FLUID CAT CRACKING","FCC",IF(OR($H8807="HYDROCRACKING",$H8807="RESID_HYDROCRACKING"),"Hydrocracker",IF($H8807="REFORMING","Reformer",""))))</f>
        <v/>
      </c>
      <c r="H8807" s="6" t="s">
        <v>637</v>
      </c>
      <c r="I8807" s="6" t="s">
        <v>1347</v>
      </c>
      <c r="J8807" s="6" t="s">
        <v>349</v>
      </c>
      <c r="K8807" s="10">
        <v>6.278</v>
      </c>
      <c r="L8807" s="10">
        <v>8.6</v>
      </c>
      <c r="M8807" s="6" t="s">
        <v>371</v>
      </c>
    </row>
    <row r="8808" spans="1:13">
      <c r="A8808" s="6">
        <v>2027</v>
      </c>
      <c r="B8808" s="6">
        <v>11</v>
      </c>
      <c r="C8808" s="6" t="s">
        <v>69</v>
      </c>
      <c r="D8808" s="6" t="s">
        <v>380</v>
      </c>
      <c r="E8808" s="6" t="s">
        <v>381</v>
      </c>
      <c r="F8808" s="6" t="str">
        <f>IF($M8808="PADD I","PADD 1",IF($M8808="PADD II","PADD 2",IF($M8808="PADD III","PADD 3",IF($M8808="PADD IV","PADD 4",IF($M8808="PADD V","PADD 5","")))))</f>
        <v>PADD 3</v>
      </c>
      <c r="G8808" s="6">
        <f>IF(AND($H8808="ATMOS DISTILLATION",ISNUMBER(SEARCH("VPS",$I8808))=FALSE,LEFT($I8808,6)&lt;&gt;"VACUUM"),"CDU",IF($H8808="FLUID CAT CRACKING","FCC",IF(OR($H8808="HYDROCRACKING",$H8808="RESID_HYDROCRACKING"),"Hydrocracker",IF($H8808="REFORMING","Reformer",""))))</f>
        <v/>
      </c>
      <c r="H8808" s="6" t="s">
        <v>435</v>
      </c>
      <c r="I8808" s="6" t="s">
        <v>986</v>
      </c>
      <c r="J8808" s="6" t="s">
        <v>349</v>
      </c>
      <c r="K8808" s="10">
        <v>5.85</v>
      </c>
      <c r="L8808" s="10">
        <v>45</v>
      </c>
      <c r="M8808" s="6" t="s">
        <v>371</v>
      </c>
    </row>
    <row r="8809" spans="1:13">
      <c r="A8809" s="6">
        <v>2027</v>
      </c>
      <c r="B8809" s="6">
        <v>11</v>
      </c>
      <c r="C8809" s="6" t="s">
        <v>69</v>
      </c>
      <c r="D8809" s="6" t="s">
        <v>960</v>
      </c>
      <c r="E8809" s="6" t="s">
        <v>881</v>
      </c>
      <c r="F8809" s="6" t="str">
        <f>IF($M8809="PADD I","PADD 1",IF($M8809="PADD II","PADD 2",IF($M8809="PADD III","PADD 3",IF($M8809="PADD IV","PADD 4",IF($M8809="PADD V","PADD 5","")))))</f>
        <v>PADD 3</v>
      </c>
      <c r="G8809" s="6">
        <f>IF(AND($H8809="ATMOS DISTILLATION",ISNUMBER(SEARCH("VPS",$I8809))=FALSE,LEFT($I8809,6)&lt;&gt;"VACUUM"),"CDU",IF($H8809="FLUID CAT CRACKING","FCC",IF(OR($H8809="HYDROCRACKING",$H8809="RESID_HYDROCRACKING"),"Hydrocracker",IF($H8809="REFORMING","Reformer",""))))</f>
        <v/>
      </c>
      <c r="H8809" s="6" t="s">
        <v>43</v>
      </c>
      <c r="I8809" s="6" t="s">
        <v>961</v>
      </c>
      <c r="J8809" s="6" t="s">
        <v>349</v>
      </c>
      <c r="K8809" s="10">
        <v>5.84</v>
      </c>
      <c r="L8809" s="10">
        <v>8</v>
      </c>
      <c r="M8809" s="6" t="s">
        <v>371</v>
      </c>
    </row>
    <row r="8810" spans="1:13">
      <c r="A8810" s="6">
        <v>2027</v>
      </c>
      <c r="B8810" s="6">
        <v>11</v>
      </c>
      <c r="C8810" s="6" t="s">
        <v>69</v>
      </c>
      <c r="D8810" s="6" t="s">
        <v>1323</v>
      </c>
      <c r="E8810" s="6" t="s">
        <v>369</v>
      </c>
      <c r="F8810" s="6" t="str">
        <f>IF($M8810="PADD I","PADD 1",IF($M8810="PADD II","PADD 2",IF($M8810="PADD III","PADD 3",IF($M8810="PADD IV","PADD 4",IF($M8810="PADD V","PADD 5","")))))</f>
        <v>PADD 5</v>
      </c>
      <c r="G8810" s="6">
        <f>IF(AND($H8810="ATMOS DISTILLATION",ISNUMBER(SEARCH("VPS",$I8810))=FALSE,LEFT($I8810,6)&lt;&gt;"VACUUM"),"CDU",IF($H8810="FLUID CAT CRACKING","FCC",IF(OR($H8810="HYDROCRACKING",$H8810="RESID_HYDROCRACKING"),"Hydrocracker",IF($H8810="REFORMING","Reformer",""))))</f>
        <v/>
      </c>
      <c r="H8810" s="6" t="s">
        <v>43</v>
      </c>
      <c r="I8810" s="6" t="s">
        <v>1373</v>
      </c>
      <c r="J8810" s="6" t="s">
        <v>349</v>
      </c>
      <c r="K8810" s="10">
        <v>5.61</v>
      </c>
      <c r="L8810" s="10">
        <v>17</v>
      </c>
      <c r="M8810" s="6" t="s">
        <v>386</v>
      </c>
    </row>
    <row r="8811" spans="1:13">
      <c r="A8811" s="6">
        <v>2027</v>
      </c>
      <c r="B8811" s="6">
        <v>11</v>
      </c>
      <c r="C8811" s="6" t="s">
        <v>69</v>
      </c>
      <c r="D8811" s="6" t="s">
        <v>380</v>
      </c>
      <c r="E8811" s="6" t="s">
        <v>381</v>
      </c>
      <c r="F8811" s="6" t="str">
        <f>IF($M8811="PADD I","PADD 1",IF($M8811="PADD II","PADD 2",IF($M8811="PADD III","PADD 3",IF($M8811="PADD IV","PADD 4",IF($M8811="PADD V","PADD 5","")))))</f>
        <v>PADD 3</v>
      </c>
      <c r="G8811" s="6">
        <f>IF(AND($H8811="ATMOS DISTILLATION",ISNUMBER(SEARCH("VPS",$I8811))=FALSE,LEFT($I8811,6)&lt;&gt;"VACUUM"),"CDU",IF($H8811="FLUID CAT CRACKING","FCC",IF(OR($H8811="HYDROCRACKING",$H8811="RESID_HYDROCRACKING"),"Hydrocracker",IF($H8811="REFORMING","Reformer",""))))</f>
        <v/>
      </c>
      <c r="H8811" s="6" t="s">
        <v>435</v>
      </c>
      <c r="I8811" s="6" t="s">
        <v>515</v>
      </c>
      <c r="J8811" s="6" t="s">
        <v>349</v>
      </c>
      <c r="K8811" s="10">
        <v>5.5</v>
      </c>
      <c r="L8811" s="10">
        <v>27.5</v>
      </c>
      <c r="M8811" s="6" t="s">
        <v>371</v>
      </c>
    </row>
    <row r="8812" spans="1:13">
      <c r="A8812" s="6">
        <v>2027</v>
      </c>
      <c r="B8812" s="6">
        <v>11</v>
      </c>
      <c r="C8812" s="6" t="s">
        <v>69</v>
      </c>
      <c r="D8812" s="6" t="s">
        <v>1323</v>
      </c>
      <c r="E8812" s="6" t="s">
        <v>369</v>
      </c>
      <c r="F8812" s="6" t="str">
        <f>IF($M8812="PADD I","PADD 1",IF($M8812="PADD II","PADD 2",IF($M8812="PADD III","PADD 3",IF($M8812="PADD IV","PADD 4",IF($M8812="PADD V","PADD 5","")))))</f>
        <v>PADD 5</v>
      </c>
      <c r="G8812" s="6" t="str">
        <f>IF(AND($H8812="ATMOS DISTILLATION",ISNUMBER(SEARCH("VPS",$I8812))=FALSE,LEFT($I8812,6)&lt;&gt;"VACUUM"),"CDU",IF($H8812="FLUID CAT CRACKING","FCC",IF(OR($H8812="HYDROCRACKING",$H8812="RESID_HYDROCRACKING"),"Hydrocracker",IF($H8812="REFORMING","Reformer",""))))</f>
        <v>Reformer</v>
      </c>
      <c r="H8812" s="6" t="s">
        <v>421</v>
      </c>
      <c r="I8812" s="6" t="s">
        <v>1103</v>
      </c>
      <c r="J8812" s="6" t="s">
        <v>349</v>
      </c>
      <c r="K8812" s="10">
        <v>5.28</v>
      </c>
      <c r="L8812" s="10">
        <v>16</v>
      </c>
      <c r="M8812" s="6" t="s">
        <v>386</v>
      </c>
    </row>
    <row r="8813" spans="1:13">
      <c r="A8813" s="6">
        <v>2027</v>
      </c>
      <c r="B8813" s="6">
        <v>11</v>
      </c>
      <c r="C8813" s="6" t="s">
        <v>69</v>
      </c>
      <c r="D8813" s="6" t="s">
        <v>1141</v>
      </c>
      <c r="E8813" s="6" t="s">
        <v>1079</v>
      </c>
      <c r="F8813" s="6" t="str">
        <f>IF($M8813="PADD I","PADD 1",IF($M8813="PADD II","PADD 2",IF($M8813="PADD III","PADD 3",IF($M8813="PADD IV","PADD 4",IF($M8813="PADD V","PADD 5","")))))</f>
        <v>PADD 3</v>
      </c>
      <c r="G8813" s="6" t="str">
        <f>IF(AND($H8813="ATMOS DISTILLATION",ISNUMBER(SEARCH("VPS",$I8813))=FALSE,LEFT($I8813,6)&lt;&gt;"VACUUM"),"CDU",IF($H8813="FLUID CAT CRACKING","FCC",IF(OR($H8813="HYDROCRACKING",$H8813="RESID_HYDROCRACKING"),"Hydrocracker",IF($H8813="REFORMING","Reformer",""))))</f>
        <v>Reformer</v>
      </c>
      <c r="H8813" s="6" t="s">
        <v>421</v>
      </c>
      <c r="I8813" s="6" t="s">
        <v>559</v>
      </c>
      <c r="J8813" s="6" t="s">
        <v>349</v>
      </c>
      <c r="K8813" s="10">
        <v>4.995</v>
      </c>
      <c r="L8813" s="10">
        <v>13.5</v>
      </c>
      <c r="M8813" s="6" t="s">
        <v>371</v>
      </c>
    </row>
    <row r="8814" spans="1:13">
      <c r="A8814" s="6">
        <v>2027</v>
      </c>
      <c r="B8814" s="6">
        <v>11</v>
      </c>
      <c r="C8814" s="6" t="s">
        <v>69</v>
      </c>
      <c r="D8814" s="6" t="s">
        <v>723</v>
      </c>
      <c r="E8814" s="6" t="s">
        <v>724</v>
      </c>
      <c r="F8814" s="6" t="str">
        <f>IF($M8814="PADD I","PADD 1",IF($M8814="PADD II","PADD 2",IF($M8814="PADD III","PADD 3",IF($M8814="PADD IV","PADD 4",IF($M8814="PADD V","PADD 5","")))))</f>
        <v>PADD 4</v>
      </c>
      <c r="G8814" s="6" t="str">
        <f>IF(AND($H8814="ATMOS DISTILLATION",ISNUMBER(SEARCH("VPS",$I8814))=FALSE,LEFT($I8814,6)&lt;&gt;"VACUUM"),"CDU",IF($H8814="FLUID CAT CRACKING","FCC",IF(OR($H8814="HYDROCRACKING",$H8814="RESID_HYDROCRACKING"),"Hydrocracker",IF($H8814="REFORMING","Reformer",""))))</f>
        <v>Hydrocracker</v>
      </c>
      <c r="H8814" s="6" t="s">
        <v>444</v>
      </c>
      <c r="I8814" s="6" t="s">
        <v>14</v>
      </c>
      <c r="J8814" s="6" t="s">
        <v>349</v>
      </c>
      <c r="K8814" s="10">
        <v>4.753</v>
      </c>
      <c r="L8814" s="10">
        <v>4.9</v>
      </c>
      <c r="M8814" s="6" t="s">
        <v>430</v>
      </c>
    </row>
    <row r="8815" spans="1:13">
      <c r="A8815" s="6">
        <v>2027</v>
      </c>
      <c r="B8815" s="6">
        <v>11</v>
      </c>
      <c r="C8815" s="6" t="s">
        <v>69</v>
      </c>
      <c r="D8815" s="6" t="s">
        <v>324</v>
      </c>
      <c r="E8815" s="6" t="s">
        <v>388</v>
      </c>
      <c r="F8815" s="6" t="str">
        <f>IF($M8815="PADD I","PADD 1",IF($M8815="PADD II","PADD 2",IF($M8815="PADD III","PADD 3",IF($M8815="PADD IV","PADD 4",IF($M8815="PADD V","PADD 5","")))))</f>
        <v>PADD 3</v>
      </c>
      <c r="G8815" s="6" t="str">
        <f>IF(AND($H8815="ATMOS DISTILLATION",ISNUMBER(SEARCH("VPS",$I8815))=FALSE,LEFT($I8815,6)&lt;&gt;"VACUUM"),"CDU",IF($H8815="FLUID CAT CRACKING","FCC",IF(OR($H8815="HYDROCRACKING",$H8815="RESID_HYDROCRACKING"),"Hydrocracker",IF($H8815="REFORMING","Reformer",""))))</f>
        <v>CDU</v>
      </c>
      <c r="H8815" s="6" t="s">
        <v>38</v>
      </c>
      <c r="I8815" s="6" t="s">
        <v>98</v>
      </c>
      <c r="J8815" s="6" t="s">
        <v>349</v>
      </c>
      <c r="K8815" s="10">
        <v>4.35</v>
      </c>
      <c r="L8815" s="10">
        <v>145</v>
      </c>
      <c r="M8815" s="6" t="s">
        <v>371</v>
      </c>
    </row>
    <row r="8816" spans="1:13">
      <c r="A8816" s="6">
        <v>2027</v>
      </c>
      <c r="B8816" s="6">
        <v>11</v>
      </c>
      <c r="C8816" s="6" t="s">
        <v>69</v>
      </c>
      <c r="D8816" s="6" t="s">
        <v>324</v>
      </c>
      <c r="E8816" s="6" t="s">
        <v>388</v>
      </c>
      <c r="F8816" s="6" t="str">
        <f>IF($M8816="PADD I","PADD 1",IF($M8816="PADD II","PADD 2",IF($M8816="PADD III","PADD 3",IF($M8816="PADD IV","PADD 4",IF($M8816="PADD V","PADD 5","")))))</f>
        <v>PADD 3</v>
      </c>
      <c r="G8816" s="6" t="str">
        <f>IF(AND($H8816="ATMOS DISTILLATION",ISNUMBER(SEARCH("VPS",$I8816))=FALSE,LEFT($I8816,6)&lt;&gt;"VACUUM"),"CDU",IF($H8816="FLUID CAT CRACKING","FCC",IF(OR($H8816="HYDROCRACKING",$H8816="RESID_HYDROCRACKING"),"Hydrocracker",IF($H8816="REFORMING","Reformer",""))))</f>
        <v>CDU</v>
      </c>
      <c r="H8816" s="6" t="s">
        <v>38</v>
      </c>
      <c r="I8816" s="6" t="s">
        <v>96</v>
      </c>
      <c r="J8816" s="6" t="s">
        <v>349</v>
      </c>
      <c r="K8816" s="10">
        <v>4.35</v>
      </c>
      <c r="L8816" s="10">
        <v>145</v>
      </c>
      <c r="M8816" s="6" t="s">
        <v>371</v>
      </c>
    </row>
    <row r="8817" spans="1:13">
      <c r="A8817" s="6">
        <v>2027</v>
      </c>
      <c r="B8817" s="6">
        <v>11</v>
      </c>
      <c r="C8817" s="6" t="s">
        <v>69</v>
      </c>
      <c r="D8817" s="6" t="s">
        <v>960</v>
      </c>
      <c r="E8817" s="6" t="s">
        <v>881</v>
      </c>
      <c r="F8817" s="6" t="str">
        <f>IF($M8817="PADD I","PADD 1",IF($M8817="PADD II","PADD 2",IF($M8817="PADD III","PADD 3",IF($M8817="PADD IV","PADD 4",IF($M8817="PADD V","PADD 5","")))))</f>
        <v>PADD 3</v>
      </c>
      <c r="G8817" s="6" t="str">
        <f>IF(AND($H8817="ATMOS DISTILLATION",ISNUMBER(SEARCH("VPS",$I8817))=FALSE,LEFT($I8817,6)&lt;&gt;"VACUUM"),"CDU",IF($H8817="FLUID CAT CRACKING","FCC",IF(OR($H8817="HYDROCRACKING",$H8817="RESID_HYDROCRACKING"),"Hydrocracker",IF($H8817="REFORMING","Reformer",""))))</f>
        <v>Reformer</v>
      </c>
      <c r="H8817" s="6" t="s">
        <v>421</v>
      </c>
      <c r="I8817" s="6" t="s">
        <v>1061</v>
      </c>
      <c r="J8817" s="6" t="s">
        <v>349</v>
      </c>
      <c r="K8817" s="10">
        <v>4.015</v>
      </c>
      <c r="L8817" s="10">
        <v>5.5</v>
      </c>
      <c r="M8817" s="6" t="s">
        <v>371</v>
      </c>
    </row>
    <row r="8818" spans="1:13">
      <c r="A8818" s="6">
        <v>2027</v>
      </c>
      <c r="B8818" s="6">
        <v>11</v>
      </c>
      <c r="C8818" s="6" t="s">
        <v>69</v>
      </c>
      <c r="D8818" s="6" t="s">
        <v>960</v>
      </c>
      <c r="E8818" s="6" t="s">
        <v>881</v>
      </c>
      <c r="F8818" s="6" t="str">
        <f>IF($M8818="PADD I","PADD 1",IF($M8818="PADD II","PADD 2",IF($M8818="PADD III","PADD 3",IF($M8818="PADD IV","PADD 4",IF($M8818="PADD V","PADD 5","")))))</f>
        <v>PADD 3</v>
      </c>
      <c r="G8818" s="6" t="str">
        <f>IF(AND($H8818="ATMOS DISTILLATION",ISNUMBER(SEARCH("VPS",$I8818))=FALSE,LEFT($I8818,6)&lt;&gt;"VACUUM"),"CDU",IF($H8818="FLUID CAT CRACKING","FCC",IF(OR($H8818="HYDROCRACKING",$H8818="RESID_HYDROCRACKING"),"Hydrocracker",IF($H8818="REFORMING","Reformer",""))))</f>
        <v>Reformer</v>
      </c>
      <c r="H8818" s="6" t="s">
        <v>421</v>
      </c>
      <c r="I8818" s="6" t="s">
        <v>810</v>
      </c>
      <c r="J8818" s="6" t="s">
        <v>349</v>
      </c>
      <c r="K8818" s="10">
        <v>4.015</v>
      </c>
      <c r="L8818" s="10">
        <v>5.5</v>
      </c>
      <c r="M8818" s="6" t="s">
        <v>371</v>
      </c>
    </row>
    <row r="8819" spans="1:13">
      <c r="A8819" s="6">
        <v>2027</v>
      </c>
      <c r="B8819" s="6">
        <v>11</v>
      </c>
      <c r="C8819" s="6" t="s">
        <v>69</v>
      </c>
      <c r="D8819" s="6" t="s">
        <v>742</v>
      </c>
      <c r="E8819" s="6" t="s">
        <v>388</v>
      </c>
      <c r="F8819" s="6" t="str">
        <f>IF($M8819="PADD I","PADD 1",IF($M8819="PADD II","PADD 2",IF($M8819="PADD III","PADD 3",IF($M8819="PADD IV","PADD 4",IF($M8819="PADD V","PADD 5","")))))</f>
        <v>PADD 5</v>
      </c>
      <c r="G8819" s="6">
        <f>IF(AND($H8819="ATMOS DISTILLATION",ISNUMBER(SEARCH("VPS",$I8819))=FALSE,LEFT($I8819,6)&lt;&gt;"VACUUM"),"CDU",IF($H8819="FLUID CAT CRACKING","FCC",IF(OR($H8819="HYDROCRACKING",$H8819="RESID_HYDROCRACKING"),"Hydrocracker",IF($H8819="REFORMING","Reformer",""))))</f>
        <v/>
      </c>
      <c r="H8819" s="6" t="s">
        <v>568</v>
      </c>
      <c r="I8819" s="6" t="s">
        <v>768</v>
      </c>
      <c r="J8819" s="6" t="s">
        <v>349</v>
      </c>
      <c r="K8819" s="10">
        <v>3.5</v>
      </c>
      <c r="L8819" s="10">
        <v>3.5</v>
      </c>
      <c r="M8819" s="6" t="s">
        <v>386</v>
      </c>
    </row>
    <row r="8820" spans="1:13">
      <c r="A8820" s="6">
        <v>2027</v>
      </c>
      <c r="B8820" s="6">
        <v>11</v>
      </c>
      <c r="C8820" s="6" t="s">
        <v>69</v>
      </c>
      <c r="D8820" s="6" t="s">
        <v>408</v>
      </c>
      <c r="E8820" s="6" t="s">
        <v>409</v>
      </c>
      <c r="F8820" s="6" t="str">
        <f>IF($M8820="PADD I","PADD 1",IF($M8820="PADD II","PADD 2",IF($M8820="PADD III","PADD 3",IF($M8820="PADD IV","PADD 4",IF($M8820="PADD V","PADD 5","")))))</f>
        <v>PADD 3</v>
      </c>
      <c r="G8820" s="6">
        <f>IF(AND($H8820="ATMOS DISTILLATION",ISNUMBER(SEARCH("VPS",$I8820))=FALSE,LEFT($I8820,6)&lt;&gt;"VACUUM"),"CDU",IF($H8820="FLUID CAT CRACKING","FCC",IF(OR($H8820="HYDROCRACKING",$H8820="RESID_HYDROCRACKING"),"Hydrocracker",IF($H8820="REFORMING","Reformer",""))))</f>
        <v/>
      </c>
      <c r="H8820" s="6" t="s">
        <v>460</v>
      </c>
      <c r="I8820" s="6" t="s">
        <v>606</v>
      </c>
      <c r="J8820" s="6" t="s">
        <v>349</v>
      </c>
      <c r="K8820" s="10">
        <v>2.85</v>
      </c>
      <c r="L8820" s="10">
        <v>5</v>
      </c>
      <c r="M8820" s="6" t="s">
        <v>371</v>
      </c>
    </row>
    <row r="8821" spans="1:13">
      <c r="A8821" s="6">
        <v>2027</v>
      </c>
      <c r="B8821" s="6">
        <v>11</v>
      </c>
      <c r="C8821" s="6" t="s">
        <v>69</v>
      </c>
      <c r="D8821" s="6" t="s">
        <v>324</v>
      </c>
      <c r="E8821" s="6" t="s">
        <v>388</v>
      </c>
      <c r="F8821" s="6" t="str">
        <f>IF($M8821="PADD I","PADD 1",IF($M8821="PADD II","PADD 2",IF($M8821="PADD III","PADD 3",IF($M8821="PADD IV","PADD 4",IF($M8821="PADD V","PADD 5","")))))</f>
        <v>PADD 3</v>
      </c>
      <c r="G8821" s="6">
        <f>IF(AND($H8821="ATMOS DISTILLATION",ISNUMBER(SEARCH("VPS",$I8821))=FALSE,LEFT($I8821,6)&lt;&gt;"VACUUM"),"CDU",IF($H8821="FLUID CAT CRACKING","FCC",IF(OR($H8821="HYDROCRACKING",$H8821="RESID_HYDROCRACKING"),"Hydrocracker",IF($H8821="REFORMING","Reformer",""))))</f>
        <v/>
      </c>
      <c r="H8821" s="6" t="s">
        <v>43</v>
      </c>
      <c r="I8821" s="6" t="s">
        <v>948</v>
      </c>
      <c r="J8821" s="6" t="s">
        <v>349</v>
      </c>
      <c r="K8821" s="10">
        <v>2.82</v>
      </c>
      <c r="L8821" s="10">
        <v>94</v>
      </c>
      <c r="M8821" s="6" t="s">
        <v>371</v>
      </c>
    </row>
    <row r="8822" spans="1:13">
      <c r="A8822" s="6">
        <v>2027</v>
      </c>
      <c r="B8822" s="6">
        <v>11</v>
      </c>
      <c r="C8822" s="6" t="s">
        <v>69</v>
      </c>
      <c r="D8822" s="6" t="s">
        <v>1323</v>
      </c>
      <c r="E8822" s="6" t="s">
        <v>369</v>
      </c>
      <c r="F8822" s="6" t="str">
        <f>IF($M8822="PADD I","PADD 1",IF($M8822="PADD II","PADD 2",IF($M8822="PADD III","PADD 3",IF($M8822="PADD IV","PADD 4",IF($M8822="PADD V","PADD 5","")))))</f>
        <v>PADD 5</v>
      </c>
      <c r="G8822" s="6">
        <f>IF(AND($H8822="ATMOS DISTILLATION",ISNUMBER(SEARCH("VPS",$I8822))=FALSE,LEFT($I8822,6)&lt;&gt;"VACUUM"),"CDU",IF($H8822="FLUID CAT CRACKING","FCC",IF(OR($H8822="HYDROCRACKING",$H8822="RESID_HYDROCRACKING"),"Hydrocracker",IF($H8822="REFORMING","Reformer",""))))</f>
        <v/>
      </c>
      <c r="H8822" s="6" t="s">
        <v>460</v>
      </c>
      <c r="I8822" s="6" t="s">
        <v>616</v>
      </c>
      <c r="J8822" s="6" t="s">
        <v>349</v>
      </c>
      <c r="K8822" s="10">
        <v>2.805</v>
      </c>
      <c r="L8822" s="10">
        <v>8.5</v>
      </c>
      <c r="M8822" s="6" t="s">
        <v>386</v>
      </c>
    </row>
    <row r="8823" spans="1:13">
      <c r="A8823" s="6">
        <v>2027</v>
      </c>
      <c r="B8823" s="6">
        <v>11</v>
      </c>
      <c r="C8823" s="6" t="s">
        <v>69</v>
      </c>
      <c r="D8823" s="6" t="s">
        <v>542</v>
      </c>
      <c r="E8823" s="6" t="s">
        <v>543</v>
      </c>
      <c r="F8823" s="6" t="str">
        <f>IF($M8823="PADD I","PADD 1",IF($M8823="PADD II","PADD 2",IF($M8823="PADD III","PADD 3",IF($M8823="PADD IV","PADD 4",IF($M8823="PADD V","PADD 5","")))))</f>
        <v>PADD 2</v>
      </c>
      <c r="G8823" s="6" t="str">
        <f>IF(AND($H8823="ATMOS DISTILLATION",ISNUMBER(SEARCH("VPS",$I8823))=FALSE,LEFT($I8823,6)&lt;&gt;"VACUUM"),"CDU",IF($H8823="FLUID CAT CRACKING","FCC",IF(OR($H8823="HYDROCRACKING",$H8823="RESID_HYDROCRACKING"),"Hydrocracker",IF($H8823="REFORMING","Reformer",""))))</f>
        <v>Reformer</v>
      </c>
      <c r="H8823" s="6" t="s">
        <v>421</v>
      </c>
      <c r="I8823" s="6" t="s">
        <v>1114</v>
      </c>
      <c r="J8823" s="6" t="s">
        <v>349</v>
      </c>
      <c r="K8823" s="10">
        <v>1.8</v>
      </c>
      <c r="L8823" s="10">
        <v>60</v>
      </c>
      <c r="M8823" s="6" t="s">
        <v>375</v>
      </c>
    </row>
    <row r="8824" spans="1:13">
      <c r="A8824" s="6">
        <v>2027</v>
      </c>
      <c r="B8824" s="6">
        <v>11</v>
      </c>
      <c r="C8824" s="6" t="s">
        <v>69</v>
      </c>
      <c r="D8824" s="6" t="s">
        <v>324</v>
      </c>
      <c r="E8824" s="6" t="s">
        <v>388</v>
      </c>
      <c r="F8824" s="6" t="str">
        <f>IF($M8824="PADD I","PADD 1",IF($M8824="PADD II","PADD 2",IF($M8824="PADD III","PADD 3",IF($M8824="PADD IV","PADD 4",IF($M8824="PADD V","PADD 5","")))))</f>
        <v>PADD 3</v>
      </c>
      <c r="G8824" s="6">
        <f>IF(AND($H8824="ATMOS DISTILLATION",ISNUMBER(SEARCH("VPS",$I8824))=FALSE,LEFT($I8824,6)&lt;&gt;"VACUUM"),"CDU",IF($H8824="FLUID CAT CRACKING","FCC",IF(OR($H8824="HYDROCRACKING",$H8824="RESID_HYDROCRACKING"),"Hydrocracker",IF($H8824="REFORMING","Reformer",""))))</f>
        <v/>
      </c>
      <c r="H8824" s="6" t="s">
        <v>43</v>
      </c>
      <c r="I8824" s="6" t="s">
        <v>693</v>
      </c>
      <c r="J8824" s="6" t="s">
        <v>349</v>
      </c>
      <c r="K8824" s="10">
        <v>1.29</v>
      </c>
      <c r="L8824" s="10">
        <v>43</v>
      </c>
      <c r="M8824" s="6" t="s">
        <v>371</v>
      </c>
    </row>
    <row r="8825" spans="1:13">
      <c r="A8825" s="6">
        <v>2027</v>
      </c>
      <c r="B8825" s="6">
        <v>11</v>
      </c>
      <c r="C8825" s="6" t="s">
        <v>69</v>
      </c>
      <c r="D8825" s="6" t="s">
        <v>333</v>
      </c>
      <c r="E8825" s="6" t="s">
        <v>381</v>
      </c>
      <c r="F8825" s="6" t="str">
        <f>IF($M8825="PADD I","PADD 1",IF($M8825="PADD II","PADD 2",IF($M8825="PADD III","PADD 3",IF($M8825="PADD IV","PADD 4",IF($M8825="PADD V","PADD 5","")))))</f>
        <v>PADD 3</v>
      </c>
      <c r="G8825" s="6">
        <f>IF(AND($H8825="ATMOS DISTILLATION",ISNUMBER(SEARCH("VPS",$I8825))=FALSE,LEFT($I8825,6)&lt;&gt;"VACUUM"),"CDU",IF($H8825="FLUID CAT CRACKING","FCC",IF(OR($H8825="HYDROCRACKING",$H8825="RESID_HYDROCRACKING"),"Hydrocracker",IF($H8825="REFORMING","Reformer",""))))</f>
        <v/>
      </c>
      <c r="H8825" s="6" t="s">
        <v>43</v>
      </c>
      <c r="I8825" s="6" t="s">
        <v>943</v>
      </c>
      <c r="J8825" s="6" t="s">
        <v>349</v>
      </c>
      <c r="K8825" s="10">
        <v>1.2</v>
      </c>
      <c r="L8825" s="10">
        <v>40</v>
      </c>
      <c r="M8825" s="6" t="s">
        <v>371</v>
      </c>
    </row>
    <row r="8826" spans="1:13">
      <c r="A8826" s="6">
        <v>2027</v>
      </c>
      <c r="B8826" s="6">
        <v>11</v>
      </c>
      <c r="C8826" s="6" t="s">
        <v>69</v>
      </c>
      <c r="D8826" s="6" t="s">
        <v>468</v>
      </c>
      <c r="E8826" s="6" t="s">
        <v>369</v>
      </c>
      <c r="F8826" s="6" t="str">
        <f>IF($M8826="PADD I","PADD 1",IF($M8826="PADD II","PADD 2",IF($M8826="PADD III","PADD 3",IF($M8826="PADD IV","PADD 4",IF($M8826="PADD V","PADD 5","")))))</f>
        <v>PADD 3</v>
      </c>
      <c r="G8826" s="6">
        <f>IF(AND($H8826="ATMOS DISTILLATION",ISNUMBER(SEARCH("VPS",$I8826))=FALSE,LEFT($I8826,6)&lt;&gt;"VACUUM"),"CDU",IF($H8826="FLUID CAT CRACKING","FCC",IF(OR($H8826="HYDROCRACKING",$H8826="RESID_HYDROCRACKING"),"Hydrocracker",IF($H8826="REFORMING","Reformer",""))))</f>
        <v/>
      </c>
      <c r="H8826" s="6" t="s">
        <v>43</v>
      </c>
      <c r="I8826" s="6" t="s">
        <v>1031</v>
      </c>
      <c r="J8826" s="6" t="s">
        <v>349</v>
      </c>
      <c r="K8826" s="10">
        <v>0.6</v>
      </c>
      <c r="L8826" s="10">
        <v>20</v>
      </c>
      <c r="M8826" s="6" t="s">
        <v>371</v>
      </c>
    </row>
    <row r="8827" spans="1:13">
      <c r="A8827" s="6">
        <v>2027</v>
      </c>
      <c r="B8827" s="6">
        <v>12</v>
      </c>
      <c r="C8827" s="6" t="s">
        <v>70</v>
      </c>
      <c r="D8827" s="6" t="s">
        <v>742</v>
      </c>
      <c r="E8827" s="6" t="s">
        <v>388</v>
      </c>
      <c r="F8827" s="6" t="str">
        <f>IF($M8827="PADD I","PADD 1",IF($M8827="PADD II","PADD 2",IF($M8827="PADD III","PADD 3",IF($M8827="PADD IV","PADD 4",IF($M8827="PADD V","PADD 5","")))))</f>
        <v>PADD 5</v>
      </c>
      <c r="G8827" s="6">
        <f>IF(AND($H8827="ATMOS DISTILLATION",ISNUMBER(SEARCH("VPS",$I8827))=FALSE,LEFT($I8827,6)&lt;&gt;"VACUUM"),"CDU",IF($H8827="FLUID CAT CRACKING","FCC",IF(OR($H8827="HYDROCRACKING",$H8827="RESID_HYDROCRACKING"),"Hydrocracker",IF($H8827="REFORMING","Reformer",""))))</f>
        <v/>
      </c>
      <c r="H8827" s="6" t="s">
        <v>568</v>
      </c>
      <c r="I8827" s="6" t="s">
        <v>768</v>
      </c>
      <c r="J8827" s="6" t="s">
        <v>349</v>
      </c>
      <c r="K8827" s="10">
        <v>3.5</v>
      </c>
      <c r="L8827" s="10">
        <v>3.5</v>
      </c>
      <c r="M8827" s="6" t="s">
        <v>386</v>
      </c>
    </row>
    <row r="8828" spans="1:13">
      <c r="F8828" s="6">
        <f>IF($M8828="PADD I","PADD 1",IF($M8828="PADD II","PADD 2",IF($M8828="PADD III","PADD 3",IF($M8828="PADD IV","PADD 4",IF($M8828="PADD V","PADD 5","")))))</f>
        <v/>
      </c>
      <c r="G8828" s="6">
        <f>IF(AND($H8828="ATMOS DISTILLATION",ISNUMBER(SEARCH("VPS",$I8828))=FALSE,LEFT($I8828,6)&lt;&gt;"VACUUM"),"CDU",IF($H8828="FLUID CAT CRACKING","FCC",IF(OR($H8828="HYDROCRACKING",$H8828="RESID_HYDROCRACKING"),"Hydrocracker",IF($H8828="REFORMING","Reformer",""))))</f>
        <v/>
      </c>
    </row>
    <row r="8829" spans="1:13">
      <c r="F8829" s="6">
        <f>IF($M8829="PADD I","PADD 1",IF($M8829="PADD II","PADD 2",IF($M8829="PADD III","PADD 3",IF($M8829="PADD IV","PADD 4",IF($M8829="PADD V","PADD 5","")))))</f>
        <v/>
      </c>
      <c r="G8829" s="6">
        <f>IF(AND($H8829="ATMOS DISTILLATION",ISNUMBER(SEARCH("VPS",$I8829))=FALSE,LEFT($I8829,6)&lt;&gt;"VACUUM"),"CDU",IF($H8829="FLUID CAT CRACKING","FCC",IF(OR($H8829="HYDROCRACKING",$H8829="RESID_HYDROCRACKING"),"Hydrocracker",IF($H8829="REFORMING","Reformer",""))))</f>
        <v/>
      </c>
    </row>
    <row r="8830" spans="1:13">
      <c r="F8830" s="6">
        <f>IF($M8830="PADD I","PADD 1",IF($M8830="PADD II","PADD 2",IF($M8830="PADD III","PADD 3",IF($M8830="PADD IV","PADD 4",IF($M8830="PADD V","PADD 5","")))))</f>
        <v/>
      </c>
      <c r="G8830" s="6">
        <f>IF(AND($H8830="ATMOS DISTILLATION",ISNUMBER(SEARCH("VPS",$I8830))=FALSE,LEFT($I8830,6)&lt;&gt;"VACUUM"),"CDU",IF($H8830="FLUID CAT CRACKING","FCC",IF(OR($H8830="HYDROCRACKING",$H8830="RESID_HYDROCRACKING"),"Hydrocracker",IF($H8830="REFORMING","Reformer",""))))</f>
        <v/>
      </c>
    </row>
    <row r="8831" spans="1:13">
      <c r="F8831" s="6">
        <f>IF($M8831="PADD I","PADD 1",IF($M8831="PADD II","PADD 2",IF($M8831="PADD III","PADD 3",IF($M8831="PADD IV","PADD 4",IF($M8831="PADD V","PADD 5","")))))</f>
        <v/>
      </c>
      <c r="G8831" s="6">
        <f>IF(AND($H8831="ATMOS DISTILLATION",ISNUMBER(SEARCH("VPS",$I8831))=FALSE,LEFT($I8831,6)&lt;&gt;"VACUUM"),"CDU",IF($H8831="FLUID CAT CRACKING","FCC",IF(OR($H8831="HYDROCRACKING",$H8831="RESID_HYDROCRACKING"),"Hydrocracker",IF($H8831="REFORMING","Reformer",""))))</f>
        <v/>
      </c>
    </row>
    <row r="8832" spans="1:13">
      <c r="F8832" s="6">
        <f>IF($M8832="PADD I","PADD 1",IF($M8832="PADD II","PADD 2",IF($M8832="PADD III","PADD 3",IF($M8832="PADD IV","PADD 4",IF($M8832="PADD V","PADD 5","")))))</f>
        <v/>
      </c>
      <c r="G8832" s="6">
        <f>IF(AND($H8832="ATMOS DISTILLATION",ISNUMBER(SEARCH("VPS",$I8832))=FALSE,LEFT($I8832,6)&lt;&gt;"VACUUM"),"CDU",IF($H8832="FLUID CAT CRACKING","FCC",IF(OR($H8832="HYDROCRACKING",$H8832="RESID_HYDROCRACKING"),"Hydrocracker",IF($H8832="REFORMING","Reformer",""))))</f>
        <v/>
      </c>
    </row>
    <row r="8833" spans="6:7">
      <c r="F8833" s="6">
        <f>IF($M8833="PADD I","PADD 1",IF($M8833="PADD II","PADD 2",IF($M8833="PADD III","PADD 3",IF($M8833="PADD IV","PADD 4",IF($M8833="PADD V","PADD 5","")))))</f>
        <v/>
      </c>
      <c r="G8833" s="6">
        <f>IF(AND($H8833="ATMOS DISTILLATION",ISNUMBER(SEARCH("VPS",$I8833))=FALSE,LEFT($I8833,6)&lt;&gt;"VACUUM"),"CDU",IF($H8833="FLUID CAT CRACKING","FCC",IF(OR($H8833="HYDROCRACKING",$H8833="RESID_HYDROCRACKING"),"Hydrocracker",IF($H8833="REFORMING","Reformer",""))))</f>
        <v/>
      </c>
    </row>
    <row r="8834" spans="6:7">
      <c r="F8834" s="6">
        <f>IF($M8834="PADD I","PADD 1",IF($M8834="PADD II","PADD 2",IF($M8834="PADD III","PADD 3",IF($M8834="PADD IV","PADD 4",IF($M8834="PADD V","PADD 5","")))))</f>
        <v/>
      </c>
      <c r="G8834" s="6">
        <f>IF(AND($H8834="ATMOS DISTILLATION",ISNUMBER(SEARCH("VPS",$I8834))=FALSE,LEFT($I8834,6)&lt;&gt;"VACUUM"),"CDU",IF($H8834="FLUID CAT CRACKING","FCC",IF(OR($H8834="HYDROCRACKING",$H8834="RESID_HYDROCRACKING"),"Hydrocracker",IF($H8834="REFORMING","Reformer",""))))</f>
        <v/>
      </c>
    </row>
    <row r="8835" spans="6:7">
      <c r="F8835" s="6">
        <f>IF($M8835="PADD I","PADD 1",IF($M8835="PADD II","PADD 2",IF($M8835="PADD III","PADD 3",IF($M8835="PADD IV","PADD 4",IF($M8835="PADD V","PADD 5","")))))</f>
        <v/>
      </c>
      <c r="G8835" s="6">
        <f>IF(AND($H8835="ATMOS DISTILLATION",ISNUMBER(SEARCH("VPS",$I8835))=FALSE,LEFT($I8835,6)&lt;&gt;"VACUUM"),"CDU",IF($H8835="FLUID CAT CRACKING","FCC",IF(OR($H8835="HYDROCRACKING",$H8835="RESID_HYDROCRACKING"),"Hydrocracker",IF($H8835="REFORMING","Reformer",""))))</f>
        <v/>
      </c>
    </row>
    <row r="8836" spans="6:7">
      <c r="F8836" s="6">
        <f>IF($M8836="PADD I","PADD 1",IF($M8836="PADD II","PADD 2",IF($M8836="PADD III","PADD 3",IF($M8836="PADD IV","PADD 4",IF($M8836="PADD V","PADD 5","")))))</f>
        <v/>
      </c>
      <c r="G8836" s="6">
        <f>IF(AND($H8836="ATMOS DISTILLATION",ISNUMBER(SEARCH("VPS",$I8836))=FALSE,LEFT($I8836,6)&lt;&gt;"VACUUM"),"CDU",IF($H8836="FLUID CAT CRACKING","FCC",IF(OR($H8836="HYDROCRACKING",$H8836="RESID_HYDROCRACKING"),"Hydrocracker",IF($H8836="REFORMING","Reformer",""))))</f>
        <v/>
      </c>
    </row>
    <row r="8837" spans="6:7">
      <c r="F8837" s="6">
        <f>IF($M8837="PADD I","PADD 1",IF($M8837="PADD II","PADD 2",IF($M8837="PADD III","PADD 3",IF($M8837="PADD IV","PADD 4",IF($M8837="PADD V","PADD 5","")))))</f>
        <v/>
      </c>
      <c r="G8837" s="6">
        <f>IF(AND($H8837="ATMOS DISTILLATION",ISNUMBER(SEARCH("VPS",$I8837))=FALSE,LEFT($I8837,6)&lt;&gt;"VACUUM"),"CDU",IF($H8837="FLUID CAT CRACKING","FCC",IF(OR($H8837="HYDROCRACKING",$H8837="RESID_HYDROCRACKING"),"Hydrocracker",IF($H8837="REFORMING","Reformer",""))))</f>
        <v/>
      </c>
    </row>
    <row r="8838" spans="6:7">
      <c r="F8838" s="6">
        <f>IF($M8838="PADD I","PADD 1",IF($M8838="PADD II","PADD 2",IF($M8838="PADD III","PADD 3",IF($M8838="PADD IV","PADD 4",IF($M8838="PADD V","PADD 5","")))))</f>
        <v/>
      </c>
      <c r="G8838" s="6">
        <f>IF(AND($H8838="ATMOS DISTILLATION",ISNUMBER(SEARCH("VPS",$I8838))=FALSE,LEFT($I8838,6)&lt;&gt;"VACUUM"),"CDU",IF($H8838="FLUID CAT CRACKING","FCC",IF(OR($H8838="HYDROCRACKING",$H8838="RESID_HYDROCRACKING"),"Hydrocracker",IF($H8838="REFORMING","Reformer",""))))</f>
        <v/>
      </c>
    </row>
    <row r="8839" spans="6:7">
      <c r="F8839" s="6">
        <f>IF($M8839="PADD I","PADD 1",IF($M8839="PADD II","PADD 2",IF($M8839="PADD III","PADD 3",IF($M8839="PADD IV","PADD 4",IF($M8839="PADD V","PADD 5","")))))</f>
        <v/>
      </c>
      <c r="G8839" s="6">
        <f>IF(AND($H8839="ATMOS DISTILLATION",ISNUMBER(SEARCH("VPS",$I8839))=FALSE,LEFT($I8839,6)&lt;&gt;"VACUUM"),"CDU",IF($H8839="FLUID CAT CRACKING","FCC",IF(OR($H8839="HYDROCRACKING",$H8839="RESID_HYDROCRACKING"),"Hydrocracker",IF($H8839="REFORMING","Reformer",""))))</f>
        <v/>
      </c>
    </row>
    <row r="8840" spans="6:7">
      <c r="F8840" s="6">
        <f>IF($M8840="PADD I","PADD 1",IF($M8840="PADD II","PADD 2",IF($M8840="PADD III","PADD 3",IF($M8840="PADD IV","PADD 4",IF($M8840="PADD V","PADD 5","")))))</f>
        <v/>
      </c>
      <c r="G8840" s="6">
        <f>IF(AND($H8840="ATMOS DISTILLATION",ISNUMBER(SEARCH("VPS",$I8840))=FALSE,LEFT($I8840,6)&lt;&gt;"VACUUM"),"CDU",IF($H8840="FLUID CAT CRACKING","FCC",IF(OR($H8840="HYDROCRACKING",$H8840="RESID_HYDROCRACKING"),"Hydrocracker",IF($H8840="REFORMING","Reformer",""))))</f>
        <v/>
      </c>
    </row>
    <row r="8841" spans="6:7">
      <c r="F8841" s="6">
        <f>IF($M8841="PADD I","PADD 1",IF($M8841="PADD II","PADD 2",IF($M8841="PADD III","PADD 3",IF($M8841="PADD IV","PADD 4",IF($M8841="PADD V","PADD 5","")))))</f>
        <v/>
      </c>
      <c r="G8841" s="6">
        <f>IF(AND($H8841="ATMOS DISTILLATION",ISNUMBER(SEARCH("VPS",$I8841))=FALSE,LEFT($I8841,6)&lt;&gt;"VACUUM"),"CDU",IF($H8841="FLUID CAT CRACKING","FCC",IF(OR($H8841="HYDROCRACKING",$H8841="RESID_HYDROCRACKING"),"Hydrocracker",IF($H8841="REFORMING","Reformer",""))))</f>
        <v/>
      </c>
    </row>
    <row r="8842" spans="6:7">
      <c r="F8842" s="6">
        <f>IF($M8842="PADD I","PADD 1",IF($M8842="PADD II","PADD 2",IF($M8842="PADD III","PADD 3",IF($M8842="PADD IV","PADD 4",IF($M8842="PADD V","PADD 5","")))))</f>
        <v/>
      </c>
      <c r="G8842" s="6">
        <f>IF(AND($H8842="ATMOS DISTILLATION",ISNUMBER(SEARCH("VPS",$I8842))=FALSE,LEFT($I8842,6)&lt;&gt;"VACUUM"),"CDU",IF($H8842="FLUID CAT CRACKING","FCC",IF(OR($H8842="HYDROCRACKING",$H8842="RESID_HYDROCRACKING"),"Hydrocracker",IF($H8842="REFORMING","Reformer",""))))</f>
        <v/>
      </c>
    </row>
    <row r="8843" spans="6:7">
      <c r="F8843" s="6">
        <f>IF($M8843="PADD I","PADD 1",IF($M8843="PADD II","PADD 2",IF($M8843="PADD III","PADD 3",IF($M8843="PADD IV","PADD 4",IF($M8843="PADD V","PADD 5","")))))</f>
        <v/>
      </c>
      <c r="G8843" s="6">
        <f>IF(AND($H8843="ATMOS DISTILLATION",ISNUMBER(SEARCH("VPS",$I8843))=FALSE,LEFT($I8843,6)&lt;&gt;"VACUUM"),"CDU",IF($H8843="FLUID CAT CRACKING","FCC",IF(OR($H8843="HYDROCRACKING",$H8843="RESID_HYDROCRACKING"),"Hydrocracker",IF($H8843="REFORMING","Reformer",""))))</f>
        <v/>
      </c>
    </row>
    <row r="8844" spans="6:7">
      <c r="F8844" s="6">
        <f>IF($M8844="PADD I","PADD 1",IF($M8844="PADD II","PADD 2",IF($M8844="PADD III","PADD 3",IF($M8844="PADD IV","PADD 4",IF($M8844="PADD V","PADD 5","")))))</f>
        <v/>
      </c>
      <c r="G8844" s="6">
        <f>IF(AND($H8844="ATMOS DISTILLATION",ISNUMBER(SEARCH("VPS",$I8844))=FALSE,LEFT($I8844,6)&lt;&gt;"VACUUM"),"CDU",IF($H8844="FLUID CAT CRACKING","FCC",IF(OR($H8844="HYDROCRACKING",$H8844="RESID_HYDROCRACKING"),"Hydrocracker",IF($H8844="REFORMING","Reformer",""))))</f>
        <v/>
      </c>
    </row>
    <row r="8845" spans="6:7">
      <c r="F8845" s="6">
        <f>IF($M8845="PADD I","PADD 1",IF($M8845="PADD II","PADD 2",IF($M8845="PADD III","PADD 3",IF($M8845="PADD IV","PADD 4",IF($M8845="PADD V","PADD 5","")))))</f>
        <v/>
      </c>
      <c r="G8845" s="6">
        <f>IF(AND($H8845="ATMOS DISTILLATION",ISNUMBER(SEARCH("VPS",$I8845))=FALSE,LEFT($I8845,6)&lt;&gt;"VACUUM"),"CDU",IF($H8845="FLUID CAT CRACKING","FCC",IF(OR($H8845="HYDROCRACKING",$H8845="RESID_HYDROCRACKING"),"Hydrocracker",IF($H8845="REFORMING","Reformer",""))))</f>
        <v/>
      </c>
    </row>
    <row r="8846" spans="6:7">
      <c r="F8846" s="6">
        <f>IF($M8846="PADD I","PADD 1",IF($M8846="PADD II","PADD 2",IF($M8846="PADD III","PADD 3",IF($M8846="PADD IV","PADD 4",IF($M8846="PADD V","PADD 5","")))))</f>
        <v/>
      </c>
      <c r="G8846" s="6">
        <f>IF(AND($H8846="ATMOS DISTILLATION",ISNUMBER(SEARCH("VPS",$I8846))=FALSE,LEFT($I8846,6)&lt;&gt;"VACUUM"),"CDU",IF($H8846="FLUID CAT CRACKING","FCC",IF(OR($H8846="HYDROCRACKING",$H8846="RESID_HYDROCRACKING"),"Hydrocracker",IF($H8846="REFORMING","Reformer",""))))</f>
        <v/>
      </c>
    </row>
    <row r="8847" spans="6:7">
      <c r="F8847" s="6">
        <f>IF($M8847="PADD I","PADD 1",IF($M8847="PADD II","PADD 2",IF($M8847="PADD III","PADD 3",IF($M8847="PADD IV","PADD 4",IF($M8847="PADD V","PADD 5","")))))</f>
        <v/>
      </c>
      <c r="G8847" s="6">
        <f>IF(AND($H8847="ATMOS DISTILLATION",ISNUMBER(SEARCH("VPS",$I8847))=FALSE,LEFT($I8847,6)&lt;&gt;"VACUUM"),"CDU",IF($H8847="FLUID CAT CRACKING","FCC",IF(OR($H8847="HYDROCRACKING",$H8847="RESID_HYDROCRACKING"),"Hydrocracker",IF($H8847="REFORMING","Reformer",""))))</f>
        <v/>
      </c>
    </row>
    <row r="8848" spans="6:7">
      <c r="F8848" s="6">
        <f>IF($M8848="PADD I","PADD 1",IF($M8848="PADD II","PADD 2",IF($M8848="PADD III","PADD 3",IF($M8848="PADD IV","PADD 4",IF($M8848="PADD V","PADD 5","")))))</f>
        <v/>
      </c>
      <c r="G8848" s="6">
        <f>IF(AND($H8848="ATMOS DISTILLATION",ISNUMBER(SEARCH("VPS",$I8848))=FALSE,LEFT($I8848,6)&lt;&gt;"VACUUM"),"CDU",IF($H8848="FLUID CAT CRACKING","FCC",IF(OR($H8848="HYDROCRACKING",$H8848="RESID_HYDROCRACKING"),"Hydrocracker",IF($H8848="REFORMING","Reformer",""))))</f>
        <v/>
      </c>
    </row>
    <row r="8849" spans="6:7">
      <c r="F8849" s="6">
        <f>IF($M8849="PADD I","PADD 1",IF($M8849="PADD II","PADD 2",IF($M8849="PADD III","PADD 3",IF($M8849="PADD IV","PADD 4",IF($M8849="PADD V","PADD 5","")))))</f>
        <v/>
      </c>
      <c r="G8849" s="6">
        <f>IF(AND($H8849="ATMOS DISTILLATION",ISNUMBER(SEARCH("VPS",$I8849))=FALSE,LEFT($I8849,6)&lt;&gt;"VACUUM"),"CDU",IF($H8849="FLUID CAT CRACKING","FCC",IF(OR($H8849="HYDROCRACKING",$H8849="RESID_HYDROCRACKING"),"Hydrocracker",IF($H8849="REFORMING","Reformer",""))))</f>
        <v/>
      </c>
    </row>
    <row r="8850" spans="6:7">
      <c r="F8850" s="6">
        <f>IF($M8850="PADD I","PADD 1",IF($M8850="PADD II","PADD 2",IF($M8850="PADD III","PADD 3",IF($M8850="PADD IV","PADD 4",IF($M8850="PADD V","PADD 5","")))))</f>
        <v/>
      </c>
      <c r="G8850" s="6">
        <f>IF(AND($H8850="ATMOS DISTILLATION",ISNUMBER(SEARCH("VPS",$I8850))=FALSE,LEFT($I8850,6)&lt;&gt;"VACUUM"),"CDU",IF($H8850="FLUID CAT CRACKING","FCC",IF(OR($H8850="HYDROCRACKING",$H8850="RESID_HYDROCRACKING"),"Hydrocracker",IF($H8850="REFORMING","Reformer",""))))</f>
        <v/>
      </c>
    </row>
    <row r="8851" spans="6:7">
      <c r="F8851" s="6">
        <f>IF($M8851="PADD I","PADD 1",IF($M8851="PADD II","PADD 2",IF($M8851="PADD III","PADD 3",IF($M8851="PADD IV","PADD 4",IF($M8851="PADD V","PADD 5","")))))</f>
        <v/>
      </c>
      <c r="G8851" s="6">
        <f>IF(AND($H8851="ATMOS DISTILLATION",ISNUMBER(SEARCH("VPS",$I8851))=FALSE,LEFT($I8851,6)&lt;&gt;"VACUUM"),"CDU",IF($H8851="FLUID CAT CRACKING","FCC",IF(OR($H8851="HYDROCRACKING",$H8851="RESID_HYDROCRACKING"),"Hydrocracker",IF($H8851="REFORMING","Reformer",""))))</f>
        <v/>
      </c>
    </row>
    <row r="8852" spans="6:7">
      <c r="F8852" s="6">
        <f>IF($M8852="PADD I","PADD 1",IF($M8852="PADD II","PADD 2",IF($M8852="PADD III","PADD 3",IF($M8852="PADD IV","PADD 4",IF($M8852="PADD V","PADD 5","")))))</f>
        <v/>
      </c>
      <c r="G8852" s="6">
        <f>IF(AND($H8852="ATMOS DISTILLATION",ISNUMBER(SEARCH("VPS",$I8852))=FALSE,LEFT($I8852,6)&lt;&gt;"VACUUM"),"CDU",IF($H8852="FLUID CAT CRACKING","FCC",IF(OR($H8852="HYDROCRACKING",$H8852="RESID_HYDROCRACKING"),"Hydrocracker",IF($H8852="REFORMING","Reformer",""))))</f>
        <v/>
      </c>
    </row>
    <row r="8853" spans="6:7">
      <c r="F8853" s="6">
        <f>IF($M8853="PADD I","PADD 1",IF($M8853="PADD II","PADD 2",IF($M8853="PADD III","PADD 3",IF($M8853="PADD IV","PADD 4",IF($M8853="PADD V","PADD 5","")))))</f>
        <v/>
      </c>
      <c r="G8853" s="6">
        <f>IF(AND($H8853="ATMOS DISTILLATION",ISNUMBER(SEARCH("VPS",$I8853))=FALSE,LEFT($I8853,6)&lt;&gt;"VACUUM"),"CDU",IF($H8853="FLUID CAT CRACKING","FCC",IF(OR($H8853="HYDROCRACKING",$H8853="RESID_HYDROCRACKING"),"Hydrocracker",IF($H8853="REFORMING","Reformer",""))))</f>
        <v/>
      </c>
    </row>
    <row r="8854" spans="6:7">
      <c r="F8854" s="6">
        <f>IF($M8854="PADD I","PADD 1",IF($M8854="PADD II","PADD 2",IF($M8854="PADD III","PADD 3",IF($M8854="PADD IV","PADD 4",IF($M8854="PADD V","PADD 5","")))))</f>
        <v/>
      </c>
      <c r="G8854" s="6">
        <f>IF(AND($H8854="ATMOS DISTILLATION",ISNUMBER(SEARCH("VPS",$I8854))=FALSE,LEFT($I8854,6)&lt;&gt;"VACUUM"),"CDU",IF($H8854="FLUID CAT CRACKING","FCC",IF(OR($H8854="HYDROCRACKING",$H8854="RESID_HYDROCRACKING"),"Hydrocracker",IF($H8854="REFORMING","Reformer",""))))</f>
        <v/>
      </c>
    </row>
    <row r="8855" spans="6:7">
      <c r="F8855" s="6">
        <f>IF($M8855="PADD I","PADD 1",IF($M8855="PADD II","PADD 2",IF($M8855="PADD III","PADD 3",IF($M8855="PADD IV","PADD 4",IF($M8855="PADD V","PADD 5","")))))</f>
        <v/>
      </c>
      <c r="G8855" s="6">
        <f>IF(AND($H8855="ATMOS DISTILLATION",ISNUMBER(SEARCH("VPS",$I8855))=FALSE,LEFT($I8855,6)&lt;&gt;"VACUUM"),"CDU",IF($H8855="FLUID CAT CRACKING","FCC",IF(OR($H8855="HYDROCRACKING",$H8855="RESID_HYDROCRACKING"),"Hydrocracker",IF($H8855="REFORMING","Reformer",""))))</f>
        <v/>
      </c>
    </row>
    <row r="8856" spans="6:7">
      <c r="F8856" s="6">
        <f>IF($M8856="PADD I","PADD 1",IF($M8856="PADD II","PADD 2",IF($M8856="PADD III","PADD 3",IF($M8856="PADD IV","PADD 4",IF($M8856="PADD V","PADD 5","")))))</f>
        <v/>
      </c>
      <c r="G8856" s="6">
        <f>IF(AND($H8856="ATMOS DISTILLATION",ISNUMBER(SEARCH("VPS",$I8856))=FALSE,LEFT($I8856,6)&lt;&gt;"VACUUM"),"CDU",IF($H8856="FLUID CAT CRACKING","FCC",IF(OR($H8856="HYDROCRACKING",$H8856="RESID_HYDROCRACKING"),"Hydrocracker",IF($H8856="REFORMING","Reformer",""))))</f>
        <v/>
      </c>
    </row>
    <row r="8857" spans="6:7">
      <c r="F8857" s="6">
        <f>IF($M8857="PADD I","PADD 1",IF($M8857="PADD II","PADD 2",IF($M8857="PADD III","PADD 3",IF($M8857="PADD IV","PADD 4",IF($M8857="PADD V","PADD 5","")))))</f>
        <v/>
      </c>
      <c r="G8857" s="6">
        <f>IF(AND($H8857="ATMOS DISTILLATION",ISNUMBER(SEARCH("VPS",$I8857))=FALSE,LEFT($I8857,6)&lt;&gt;"VACUUM"),"CDU",IF($H8857="FLUID CAT CRACKING","FCC",IF(OR($H8857="HYDROCRACKING",$H8857="RESID_HYDROCRACKING"),"Hydrocracker",IF($H8857="REFORMING","Reformer",""))))</f>
        <v/>
      </c>
    </row>
    <row r="8858" spans="6:7">
      <c r="F8858" s="6">
        <f>IF($M8858="PADD I","PADD 1",IF($M8858="PADD II","PADD 2",IF($M8858="PADD III","PADD 3",IF($M8858="PADD IV","PADD 4",IF($M8858="PADD V","PADD 5","")))))</f>
        <v/>
      </c>
      <c r="G8858" s="6">
        <f>IF(AND($H8858="ATMOS DISTILLATION",ISNUMBER(SEARCH("VPS",$I8858))=FALSE,LEFT($I8858,6)&lt;&gt;"VACUUM"),"CDU",IF($H8858="FLUID CAT CRACKING","FCC",IF(OR($H8858="HYDROCRACKING",$H8858="RESID_HYDROCRACKING"),"Hydrocracker",IF($H8858="REFORMING","Reformer",""))))</f>
        <v/>
      </c>
    </row>
    <row r="8859" spans="6:7">
      <c r="F8859" s="6">
        <f>IF($M8859="PADD I","PADD 1",IF($M8859="PADD II","PADD 2",IF($M8859="PADD III","PADD 3",IF($M8859="PADD IV","PADD 4",IF($M8859="PADD V","PADD 5","")))))</f>
        <v/>
      </c>
      <c r="G8859" s="6">
        <f>IF(AND($H8859="ATMOS DISTILLATION",ISNUMBER(SEARCH("VPS",$I8859))=FALSE,LEFT($I8859,6)&lt;&gt;"VACUUM"),"CDU",IF($H8859="FLUID CAT CRACKING","FCC",IF(OR($H8859="HYDROCRACKING",$H8859="RESID_HYDROCRACKING"),"Hydrocracker",IF($H8859="REFORMING","Reformer",""))))</f>
        <v/>
      </c>
    </row>
    <row r="8860" spans="6:7">
      <c r="F8860" s="6">
        <f>IF($M8860="PADD I","PADD 1",IF($M8860="PADD II","PADD 2",IF($M8860="PADD III","PADD 3",IF($M8860="PADD IV","PADD 4",IF($M8860="PADD V","PADD 5","")))))</f>
        <v/>
      </c>
      <c r="G8860" s="6">
        <f>IF(AND($H8860="ATMOS DISTILLATION",ISNUMBER(SEARCH("VPS",$I8860))=FALSE,LEFT($I8860,6)&lt;&gt;"VACUUM"),"CDU",IF($H8860="FLUID CAT CRACKING","FCC",IF(OR($H8860="HYDROCRACKING",$H8860="RESID_HYDROCRACKING"),"Hydrocracker",IF($H8860="REFORMING","Reformer",""))))</f>
        <v/>
      </c>
    </row>
    <row r="8861" spans="6:7">
      <c r="F8861" s="6">
        <f>IF($M8861="PADD I","PADD 1",IF($M8861="PADD II","PADD 2",IF($M8861="PADD III","PADD 3",IF($M8861="PADD IV","PADD 4",IF($M8861="PADD V","PADD 5","")))))</f>
        <v/>
      </c>
      <c r="G8861" s="6">
        <f>IF(AND($H8861="ATMOS DISTILLATION",ISNUMBER(SEARCH("VPS",$I8861))=FALSE,LEFT($I8861,6)&lt;&gt;"VACUUM"),"CDU",IF($H8861="FLUID CAT CRACKING","FCC",IF(OR($H8861="HYDROCRACKING",$H8861="RESID_HYDROCRACKING"),"Hydrocracker",IF($H8861="REFORMING","Reformer",""))))</f>
        <v/>
      </c>
    </row>
    <row r="8862" spans="6:7">
      <c r="F8862" s="6">
        <f>IF($M8862="PADD I","PADD 1",IF($M8862="PADD II","PADD 2",IF($M8862="PADD III","PADD 3",IF($M8862="PADD IV","PADD 4",IF($M8862="PADD V","PADD 5","")))))</f>
        <v/>
      </c>
      <c r="G8862" s="6">
        <f>IF(AND($H8862="ATMOS DISTILLATION",ISNUMBER(SEARCH("VPS",$I8862))=FALSE,LEFT($I8862,6)&lt;&gt;"VACUUM"),"CDU",IF($H8862="FLUID CAT CRACKING","FCC",IF(OR($H8862="HYDROCRACKING",$H8862="RESID_HYDROCRACKING"),"Hydrocracker",IF($H8862="REFORMING","Reformer",""))))</f>
        <v/>
      </c>
    </row>
    <row r="8863" spans="6:7">
      <c r="F8863" s="6">
        <f>IF($M8863="PADD I","PADD 1",IF($M8863="PADD II","PADD 2",IF($M8863="PADD III","PADD 3",IF($M8863="PADD IV","PADD 4",IF($M8863="PADD V","PADD 5","")))))</f>
        <v/>
      </c>
      <c r="G8863" s="6">
        <f>IF(AND($H8863="ATMOS DISTILLATION",ISNUMBER(SEARCH("VPS",$I8863))=FALSE,LEFT($I8863,6)&lt;&gt;"VACUUM"),"CDU",IF($H8863="FLUID CAT CRACKING","FCC",IF(OR($H8863="HYDROCRACKING",$H8863="RESID_HYDROCRACKING"),"Hydrocracker",IF($H8863="REFORMING","Reformer",""))))</f>
        <v/>
      </c>
    </row>
    <row r="8864" spans="6:7">
      <c r="F8864" s="6">
        <f>IF($M8864="PADD I","PADD 1",IF($M8864="PADD II","PADD 2",IF($M8864="PADD III","PADD 3",IF($M8864="PADD IV","PADD 4",IF($M8864="PADD V","PADD 5","")))))</f>
        <v/>
      </c>
      <c r="G8864" s="6">
        <f>IF(AND($H8864="ATMOS DISTILLATION",ISNUMBER(SEARCH("VPS",$I8864))=FALSE,LEFT($I8864,6)&lt;&gt;"VACUUM"),"CDU",IF($H8864="FLUID CAT CRACKING","FCC",IF(OR($H8864="HYDROCRACKING",$H8864="RESID_HYDROCRACKING"),"Hydrocracker",IF($H8864="REFORMING","Reformer",""))))</f>
        <v/>
      </c>
    </row>
    <row r="8865" spans="6:7">
      <c r="F8865" s="6">
        <f>IF($M8865="PADD I","PADD 1",IF($M8865="PADD II","PADD 2",IF($M8865="PADD III","PADD 3",IF($M8865="PADD IV","PADD 4",IF($M8865="PADD V","PADD 5","")))))</f>
        <v/>
      </c>
      <c r="G8865" s="6">
        <f>IF(AND($H8865="ATMOS DISTILLATION",ISNUMBER(SEARCH("VPS",$I8865))=FALSE,LEFT($I8865,6)&lt;&gt;"VACUUM"),"CDU",IF($H8865="FLUID CAT CRACKING","FCC",IF(OR($H8865="HYDROCRACKING",$H8865="RESID_HYDROCRACKING"),"Hydrocracker",IF($H8865="REFORMING","Reformer",""))))</f>
        <v/>
      </c>
    </row>
    <row r="8866" spans="6:7">
      <c r="F8866" s="6">
        <f>IF($M8866="PADD I","PADD 1",IF($M8866="PADD II","PADD 2",IF($M8866="PADD III","PADD 3",IF($M8866="PADD IV","PADD 4",IF($M8866="PADD V","PADD 5","")))))</f>
        <v/>
      </c>
      <c r="G8866" s="6">
        <f>IF(AND($H8866="ATMOS DISTILLATION",ISNUMBER(SEARCH("VPS",$I8866))=FALSE,LEFT($I8866,6)&lt;&gt;"VACUUM"),"CDU",IF($H8866="FLUID CAT CRACKING","FCC",IF(OR($H8866="HYDROCRACKING",$H8866="RESID_HYDROCRACKING"),"Hydrocracker",IF($H8866="REFORMING","Reformer",""))))</f>
        <v/>
      </c>
    </row>
    <row r="8867" spans="6:7">
      <c r="F8867" s="6">
        <f>IF($M8867="PADD I","PADD 1",IF($M8867="PADD II","PADD 2",IF($M8867="PADD III","PADD 3",IF($M8867="PADD IV","PADD 4",IF($M8867="PADD V","PADD 5","")))))</f>
        <v/>
      </c>
      <c r="G8867" s="6">
        <f>IF(AND($H8867="ATMOS DISTILLATION",ISNUMBER(SEARCH("VPS",$I8867))=FALSE,LEFT($I8867,6)&lt;&gt;"VACUUM"),"CDU",IF($H8867="FLUID CAT CRACKING","FCC",IF(OR($H8867="HYDROCRACKING",$H8867="RESID_HYDROCRACKING"),"Hydrocracker",IF($H8867="REFORMING","Reformer",""))))</f>
        <v/>
      </c>
    </row>
    <row r="8868" spans="6:7">
      <c r="F8868" s="6">
        <f>IF($M8868="PADD I","PADD 1",IF($M8868="PADD II","PADD 2",IF($M8868="PADD III","PADD 3",IF($M8868="PADD IV","PADD 4",IF($M8868="PADD V","PADD 5","")))))</f>
        <v/>
      </c>
      <c r="G8868" s="6">
        <f>IF(AND($H8868="ATMOS DISTILLATION",ISNUMBER(SEARCH("VPS",$I8868))=FALSE,LEFT($I8868,6)&lt;&gt;"VACUUM"),"CDU",IF($H8868="FLUID CAT CRACKING","FCC",IF(OR($H8868="HYDROCRACKING",$H8868="RESID_HYDROCRACKING"),"Hydrocracker",IF($H8868="REFORMING","Reformer",""))))</f>
        <v/>
      </c>
    </row>
    <row r="8869" spans="6:7">
      <c r="F8869" s="6">
        <f>IF($M8869="PADD I","PADD 1",IF($M8869="PADD II","PADD 2",IF($M8869="PADD III","PADD 3",IF($M8869="PADD IV","PADD 4",IF($M8869="PADD V","PADD 5","")))))</f>
        <v/>
      </c>
      <c r="G8869" s="6">
        <f>IF(AND($H8869="ATMOS DISTILLATION",ISNUMBER(SEARCH("VPS",$I8869))=FALSE,LEFT($I8869,6)&lt;&gt;"VACUUM"),"CDU",IF($H8869="FLUID CAT CRACKING","FCC",IF(OR($H8869="HYDROCRACKING",$H8869="RESID_HYDROCRACKING"),"Hydrocracker",IF($H8869="REFORMING","Reformer",""))))</f>
        <v/>
      </c>
    </row>
    <row r="8870" spans="6:7">
      <c r="F8870" s="6">
        <f>IF($M8870="PADD I","PADD 1",IF($M8870="PADD II","PADD 2",IF($M8870="PADD III","PADD 3",IF($M8870="PADD IV","PADD 4",IF($M8870="PADD V","PADD 5","")))))</f>
        <v/>
      </c>
      <c r="G8870" s="6">
        <f>IF(AND($H8870="ATMOS DISTILLATION",ISNUMBER(SEARCH("VPS",$I8870))=FALSE,LEFT($I8870,6)&lt;&gt;"VACUUM"),"CDU",IF($H8870="FLUID CAT CRACKING","FCC",IF(OR($H8870="HYDROCRACKING",$H8870="RESID_HYDROCRACKING"),"Hydrocracker",IF($H8870="REFORMING","Reformer",""))))</f>
        <v/>
      </c>
    </row>
    <row r="8871" spans="6:7">
      <c r="F8871" s="6">
        <f>IF($M8871="PADD I","PADD 1",IF($M8871="PADD II","PADD 2",IF($M8871="PADD III","PADD 3",IF($M8871="PADD IV","PADD 4",IF($M8871="PADD V","PADD 5","")))))</f>
        <v/>
      </c>
      <c r="G8871" s="6">
        <f>IF(AND($H8871="ATMOS DISTILLATION",ISNUMBER(SEARCH("VPS",$I8871))=FALSE,LEFT($I8871,6)&lt;&gt;"VACUUM"),"CDU",IF($H8871="FLUID CAT CRACKING","FCC",IF(OR($H8871="HYDROCRACKING",$H8871="RESID_HYDROCRACKING"),"Hydrocracker",IF($H8871="REFORMING","Reformer",""))))</f>
        <v/>
      </c>
    </row>
    <row r="8872" spans="6:7">
      <c r="F8872" s="6">
        <f>IF($M8872="PADD I","PADD 1",IF($M8872="PADD II","PADD 2",IF($M8872="PADD III","PADD 3",IF($M8872="PADD IV","PADD 4",IF($M8872="PADD V","PADD 5","")))))</f>
        <v/>
      </c>
      <c r="G8872" s="6">
        <f>IF(AND($H8872="ATMOS DISTILLATION",ISNUMBER(SEARCH("VPS",$I8872))=FALSE,LEFT($I8872,6)&lt;&gt;"VACUUM"),"CDU",IF($H8872="FLUID CAT CRACKING","FCC",IF(OR($H8872="HYDROCRACKING",$H8872="RESID_HYDROCRACKING"),"Hydrocracker",IF($H8872="REFORMING","Reformer",""))))</f>
        <v/>
      </c>
    </row>
    <row r="8873" spans="6:7">
      <c r="F8873" s="6">
        <f>IF($M8873="PADD I","PADD 1",IF($M8873="PADD II","PADD 2",IF($M8873="PADD III","PADD 3",IF($M8873="PADD IV","PADD 4",IF($M8873="PADD V","PADD 5","")))))</f>
        <v/>
      </c>
      <c r="G8873" s="6">
        <f>IF(AND($H8873="ATMOS DISTILLATION",ISNUMBER(SEARCH("VPS",$I8873))=FALSE,LEFT($I8873,6)&lt;&gt;"VACUUM"),"CDU",IF($H8873="FLUID CAT CRACKING","FCC",IF(OR($H8873="HYDROCRACKING",$H8873="RESID_HYDROCRACKING"),"Hydrocracker",IF($H8873="REFORMING","Reformer",""))))</f>
        <v/>
      </c>
    </row>
    <row r="8874" spans="6:7">
      <c r="F8874" s="6">
        <f>IF($M8874="PADD I","PADD 1",IF($M8874="PADD II","PADD 2",IF($M8874="PADD III","PADD 3",IF($M8874="PADD IV","PADD 4",IF($M8874="PADD V","PADD 5","")))))</f>
        <v/>
      </c>
      <c r="G8874" s="6">
        <f>IF(AND($H8874="ATMOS DISTILLATION",ISNUMBER(SEARCH("VPS",$I8874))=FALSE,LEFT($I8874,6)&lt;&gt;"VACUUM"),"CDU",IF($H8874="FLUID CAT CRACKING","FCC",IF(OR($H8874="HYDROCRACKING",$H8874="RESID_HYDROCRACKING"),"Hydrocracker",IF($H8874="REFORMING","Reformer",""))))</f>
        <v/>
      </c>
    </row>
    <row r="8875" spans="6:7">
      <c r="F8875" s="6">
        <f>IF($M8875="PADD I","PADD 1",IF($M8875="PADD II","PADD 2",IF($M8875="PADD III","PADD 3",IF($M8875="PADD IV","PADD 4",IF($M8875="PADD V","PADD 5","")))))</f>
        <v/>
      </c>
      <c r="G8875" s="6">
        <f>IF(AND($H8875="ATMOS DISTILLATION",ISNUMBER(SEARCH("VPS",$I8875))=FALSE,LEFT($I8875,6)&lt;&gt;"VACUUM"),"CDU",IF($H8875="FLUID CAT CRACKING","FCC",IF(OR($H8875="HYDROCRACKING",$H8875="RESID_HYDROCRACKING"),"Hydrocracker",IF($H8875="REFORMING","Reformer",""))))</f>
        <v/>
      </c>
    </row>
    <row r="8876" spans="6:7">
      <c r="F8876" s="6">
        <f>IF($M8876="PADD I","PADD 1",IF($M8876="PADD II","PADD 2",IF($M8876="PADD III","PADD 3",IF($M8876="PADD IV","PADD 4",IF($M8876="PADD V","PADD 5","")))))</f>
        <v/>
      </c>
      <c r="G8876" s="6">
        <f>IF(AND($H8876="ATMOS DISTILLATION",ISNUMBER(SEARCH("VPS",$I8876))=FALSE,LEFT($I8876,6)&lt;&gt;"VACUUM"),"CDU",IF($H8876="FLUID CAT CRACKING","FCC",IF(OR($H8876="HYDROCRACKING",$H8876="RESID_HYDROCRACKING"),"Hydrocracker",IF($H8876="REFORMING","Reformer",""))))</f>
        <v/>
      </c>
    </row>
    <row r="8877" spans="6:7">
      <c r="F8877" s="6">
        <f>IF($M8877="PADD I","PADD 1",IF($M8877="PADD II","PADD 2",IF($M8877="PADD III","PADD 3",IF($M8877="PADD IV","PADD 4",IF($M8877="PADD V","PADD 5","")))))</f>
        <v/>
      </c>
      <c r="G8877" s="6">
        <f>IF(AND($H8877="ATMOS DISTILLATION",ISNUMBER(SEARCH("VPS",$I8877))=FALSE,LEFT($I8877,6)&lt;&gt;"VACUUM"),"CDU",IF($H8877="FLUID CAT CRACKING","FCC",IF(OR($H8877="HYDROCRACKING",$H8877="RESID_HYDROCRACKING"),"Hydrocracker",IF($H8877="REFORMING","Reformer",""))))</f>
        <v/>
      </c>
    </row>
    <row r="8878" spans="6:7">
      <c r="F8878" s="6">
        <f>IF($M8878="PADD I","PADD 1",IF($M8878="PADD II","PADD 2",IF($M8878="PADD III","PADD 3",IF($M8878="PADD IV","PADD 4",IF($M8878="PADD V","PADD 5","")))))</f>
        <v/>
      </c>
      <c r="G8878" s="6">
        <f>IF(AND($H8878="ATMOS DISTILLATION",ISNUMBER(SEARCH("VPS",$I8878))=FALSE,LEFT($I8878,6)&lt;&gt;"VACUUM"),"CDU",IF($H8878="FLUID CAT CRACKING","FCC",IF(OR($H8878="HYDROCRACKING",$H8878="RESID_HYDROCRACKING"),"Hydrocracker",IF($H8878="REFORMING","Reformer",""))))</f>
        <v/>
      </c>
    </row>
    <row r="8879" spans="6:7">
      <c r="F8879" s="6">
        <f>IF($M8879="PADD I","PADD 1",IF($M8879="PADD II","PADD 2",IF($M8879="PADD III","PADD 3",IF($M8879="PADD IV","PADD 4",IF($M8879="PADD V","PADD 5","")))))</f>
        <v/>
      </c>
      <c r="G8879" s="6">
        <f>IF(AND($H8879="ATMOS DISTILLATION",ISNUMBER(SEARCH("VPS",$I8879))=FALSE,LEFT($I8879,6)&lt;&gt;"VACUUM"),"CDU",IF($H8879="FLUID CAT CRACKING","FCC",IF(OR($H8879="HYDROCRACKING",$H8879="RESID_HYDROCRACKING"),"Hydrocracker",IF($H8879="REFORMING","Reformer",""))))</f>
        <v/>
      </c>
    </row>
    <row r="8880" spans="6:7">
      <c r="F8880" s="6">
        <f>IF($M8880="PADD I","PADD 1",IF($M8880="PADD II","PADD 2",IF($M8880="PADD III","PADD 3",IF($M8880="PADD IV","PADD 4",IF($M8880="PADD V","PADD 5","")))))</f>
        <v/>
      </c>
      <c r="G8880" s="6">
        <f>IF(AND($H8880="ATMOS DISTILLATION",ISNUMBER(SEARCH("VPS",$I8880))=FALSE,LEFT($I8880,6)&lt;&gt;"VACUUM"),"CDU",IF($H8880="FLUID CAT CRACKING","FCC",IF(OR($H8880="HYDROCRACKING",$H8880="RESID_HYDROCRACKING"),"Hydrocracker",IF($H8880="REFORMING","Reformer",""))))</f>
        <v/>
      </c>
    </row>
    <row r="8881" spans="6:7">
      <c r="F8881" s="6">
        <f>IF($M8881="PADD I","PADD 1",IF($M8881="PADD II","PADD 2",IF($M8881="PADD III","PADD 3",IF($M8881="PADD IV","PADD 4",IF($M8881="PADD V","PADD 5","")))))</f>
        <v/>
      </c>
      <c r="G8881" s="6">
        <f>IF(AND($H8881="ATMOS DISTILLATION",ISNUMBER(SEARCH("VPS",$I8881))=FALSE,LEFT($I8881,6)&lt;&gt;"VACUUM"),"CDU",IF($H8881="FLUID CAT CRACKING","FCC",IF(OR($H8881="HYDROCRACKING",$H8881="RESID_HYDROCRACKING"),"Hydrocracker",IF($H8881="REFORMING","Reformer",""))))</f>
        <v/>
      </c>
    </row>
    <row r="8882" spans="6:7">
      <c r="F8882" s="6">
        <f>IF($M8882="PADD I","PADD 1",IF($M8882="PADD II","PADD 2",IF($M8882="PADD III","PADD 3",IF($M8882="PADD IV","PADD 4",IF($M8882="PADD V","PADD 5","")))))</f>
        <v/>
      </c>
      <c r="G8882" s="6">
        <f>IF(AND($H8882="ATMOS DISTILLATION",ISNUMBER(SEARCH("VPS",$I8882))=FALSE,LEFT($I8882,6)&lt;&gt;"VACUUM"),"CDU",IF($H8882="FLUID CAT CRACKING","FCC",IF(OR($H8882="HYDROCRACKING",$H8882="RESID_HYDROCRACKING"),"Hydrocracker",IF($H8882="REFORMING","Reformer",""))))</f>
        <v/>
      </c>
    </row>
    <row r="8883" spans="6:7">
      <c r="F8883" s="6">
        <f>IF($M8883="PADD I","PADD 1",IF($M8883="PADD II","PADD 2",IF($M8883="PADD III","PADD 3",IF($M8883="PADD IV","PADD 4",IF($M8883="PADD V","PADD 5","")))))</f>
        <v/>
      </c>
      <c r="G8883" s="6">
        <f>IF(AND($H8883="ATMOS DISTILLATION",ISNUMBER(SEARCH("VPS",$I8883))=FALSE,LEFT($I8883,6)&lt;&gt;"VACUUM"),"CDU",IF($H8883="FLUID CAT CRACKING","FCC",IF(OR($H8883="HYDROCRACKING",$H8883="RESID_HYDROCRACKING"),"Hydrocracker",IF($H8883="REFORMING","Reformer",""))))</f>
        <v/>
      </c>
    </row>
    <row r="8884" spans="6:7">
      <c r="F8884" s="6">
        <f>IF($M8884="PADD I","PADD 1",IF($M8884="PADD II","PADD 2",IF($M8884="PADD III","PADD 3",IF($M8884="PADD IV","PADD 4",IF($M8884="PADD V","PADD 5","")))))</f>
        <v/>
      </c>
      <c r="G8884" s="6">
        <f>IF(AND($H8884="ATMOS DISTILLATION",ISNUMBER(SEARCH("VPS",$I8884))=FALSE,LEFT($I8884,6)&lt;&gt;"VACUUM"),"CDU",IF($H8884="FLUID CAT CRACKING","FCC",IF(OR($H8884="HYDROCRACKING",$H8884="RESID_HYDROCRACKING"),"Hydrocracker",IF($H8884="REFORMING","Reformer",""))))</f>
        <v/>
      </c>
    </row>
    <row r="8885" spans="6:7">
      <c r="F8885" s="6">
        <f>IF($M8885="PADD I","PADD 1",IF($M8885="PADD II","PADD 2",IF($M8885="PADD III","PADD 3",IF($M8885="PADD IV","PADD 4",IF($M8885="PADD V","PADD 5","")))))</f>
        <v/>
      </c>
      <c r="G8885" s="6">
        <f>IF(AND($H8885="ATMOS DISTILLATION",ISNUMBER(SEARCH("VPS",$I8885))=FALSE,LEFT($I8885,6)&lt;&gt;"VACUUM"),"CDU",IF($H8885="FLUID CAT CRACKING","FCC",IF(OR($H8885="HYDROCRACKING",$H8885="RESID_HYDROCRACKING"),"Hydrocracker",IF($H8885="REFORMING","Reformer",""))))</f>
        <v/>
      </c>
    </row>
    <row r="8886" spans="6:7">
      <c r="F8886" s="6">
        <f>IF($M8886="PADD I","PADD 1",IF($M8886="PADD II","PADD 2",IF($M8886="PADD III","PADD 3",IF($M8886="PADD IV","PADD 4",IF($M8886="PADD V","PADD 5","")))))</f>
        <v/>
      </c>
      <c r="G8886" s="6">
        <f>IF(AND($H8886="ATMOS DISTILLATION",ISNUMBER(SEARCH("VPS",$I8886))=FALSE,LEFT($I8886,6)&lt;&gt;"VACUUM"),"CDU",IF($H8886="FLUID CAT CRACKING","FCC",IF(OR($H8886="HYDROCRACKING",$H8886="RESID_HYDROCRACKING"),"Hydrocracker",IF($H8886="REFORMING","Reformer",""))))</f>
        <v/>
      </c>
    </row>
    <row r="8887" spans="6:7">
      <c r="F8887" s="6">
        <f>IF($M8887="PADD I","PADD 1",IF($M8887="PADD II","PADD 2",IF($M8887="PADD III","PADD 3",IF($M8887="PADD IV","PADD 4",IF($M8887="PADD V","PADD 5","")))))</f>
        <v/>
      </c>
      <c r="G8887" s="6">
        <f>IF(AND($H8887="ATMOS DISTILLATION",ISNUMBER(SEARCH("VPS",$I8887))=FALSE,LEFT($I8887,6)&lt;&gt;"VACUUM"),"CDU",IF($H8887="FLUID CAT CRACKING","FCC",IF(OR($H8887="HYDROCRACKING",$H8887="RESID_HYDROCRACKING"),"Hydrocracker",IF($H8887="REFORMING","Reformer",""))))</f>
        <v/>
      </c>
    </row>
    <row r="8888" spans="6:7">
      <c r="F8888" s="6">
        <f>IF($M8888="PADD I","PADD 1",IF($M8888="PADD II","PADD 2",IF($M8888="PADD III","PADD 3",IF($M8888="PADD IV","PADD 4",IF($M8888="PADD V","PADD 5","")))))</f>
        <v/>
      </c>
      <c r="G8888" s="6">
        <f>IF(AND($H8888="ATMOS DISTILLATION",ISNUMBER(SEARCH("VPS",$I8888))=FALSE,LEFT($I8888,6)&lt;&gt;"VACUUM"),"CDU",IF($H8888="FLUID CAT CRACKING","FCC",IF(OR($H8888="HYDROCRACKING",$H8888="RESID_HYDROCRACKING"),"Hydrocracker",IF($H8888="REFORMING","Reformer",""))))</f>
        <v/>
      </c>
    </row>
    <row r="8889" spans="6:7">
      <c r="F8889" s="6">
        <f>IF($M8889="PADD I","PADD 1",IF($M8889="PADD II","PADD 2",IF($M8889="PADD III","PADD 3",IF($M8889="PADD IV","PADD 4",IF($M8889="PADD V","PADD 5","")))))</f>
        <v/>
      </c>
      <c r="G8889" s="6">
        <f>IF(AND($H8889="ATMOS DISTILLATION",ISNUMBER(SEARCH("VPS",$I8889))=FALSE,LEFT($I8889,6)&lt;&gt;"VACUUM"),"CDU",IF($H8889="FLUID CAT CRACKING","FCC",IF(OR($H8889="HYDROCRACKING",$H8889="RESID_HYDROCRACKING"),"Hydrocracker",IF($H8889="REFORMING","Reformer",""))))</f>
        <v/>
      </c>
    </row>
    <row r="8890" spans="6:7">
      <c r="F8890" s="6">
        <f>IF($M8890="PADD I","PADD 1",IF($M8890="PADD II","PADD 2",IF($M8890="PADD III","PADD 3",IF($M8890="PADD IV","PADD 4",IF($M8890="PADD V","PADD 5","")))))</f>
        <v/>
      </c>
      <c r="G8890" s="6">
        <f>IF(AND($H8890="ATMOS DISTILLATION",ISNUMBER(SEARCH("VPS",$I8890))=FALSE,LEFT($I8890,6)&lt;&gt;"VACUUM"),"CDU",IF($H8890="FLUID CAT CRACKING","FCC",IF(OR($H8890="HYDROCRACKING",$H8890="RESID_HYDROCRACKING"),"Hydrocracker",IF($H8890="REFORMING","Reformer",""))))</f>
        <v/>
      </c>
    </row>
    <row r="8891" spans="6:7">
      <c r="F8891" s="6">
        <f>IF($M8891="PADD I","PADD 1",IF($M8891="PADD II","PADD 2",IF($M8891="PADD III","PADD 3",IF($M8891="PADD IV","PADD 4",IF($M8891="PADD V","PADD 5","")))))</f>
        <v/>
      </c>
      <c r="G8891" s="6">
        <f>IF(AND($H8891="ATMOS DISTILLATION",ISNUMBER(SEARCH("VPS",$I8891))=FALSE,LEFT($I8891,6)&lt;&gt;"VACUUM"),"CDU",IF($H8891="FLUID CAT CRACKING","FCC",IF(OR($H8891="HYDROCRACKING",$H8891="RESID_HYDROCRACKING"),"Hydrocracker",IF($H8891="REFORMING","Reformer",""))))</f>
        <v/>
      </c>
    </row>
    <row r="8892" spans="6:7">
      <c r="F8892" s="6">
        <f>IF($M8892="PADD I","PADD 1",IF($M8892="PADD II","PADD 2",IF($M8892="PADD III","PADD 3",IF($M8892="PADD IV","PADD 4",IF($M8892="PADD V","PADD 5","")))))</f>
        <v/>
      </c>
      <c r="G8892" s="6">
        <f>IF(AND($H8892="ATMOS DISTILLATION",ISNUMBER(SEARCH("VPS",$I8892))=FALSE,LEFT($I8892,6)&lt;&gt;"VACUUM"),"CDU",IF($H8892="FLUID CAT CRACKING","FCC",IF(OR($H8892="HYDROCRACKING",$H8892="RESID_HYDROCRACKING"),"Hydrocracker",IF($H8892="REFORMING","Reformer",""))))</f>
        <v/>
      </c>
    </row>
    <row r="8893" spans="6:7">
      <c r="F8893" s="6">
        <f>IF($M8893="PADD I","PADD 1",IF($M8893="PADD II","PADD 2",IF($M8893="PADD III","PADD 3",IF($M8893="PADD IV","PADD 4",IF($M8893="PADD V","PADD 5","")))))</f>
        <v/>
      </c>
      <c r="G8893" s="6">
        <f>IF(AND($H8893="ATMOS DISTILLATION",ISNUMBER(SEARCH("VPS",$I8893))=FALSE,LEFT($I8893,6)&lt;&gt;"VACUUM"),"CDU",IF($H8893="FLUID CAT CRACKING","FCC",IF(OR($H8893="HYDROCRACKING",$H8893="RESID_HYDROCRACKING"),"Hydrocracker",IF($H8893="REFORMING","Reformer",""))))</f>
        <v/>
      </c>
    </row>
    <row r="8894" spans="6:7">
      <c r="F8894" s="6">
        <f>IF($M8894="PADD I","PADD 1",IF($M8894="PADD II","PADD 2",IF($M8894="PADD III","PADD 3",IF($M8894="PADD IV","PADD 4",IF($M8894="PADD V","PADD 5","")))))</f>
        <v/>
      </c>
      <c r="G8894" s="6">
        <f>IF(AND($H8894="ATMOS DISTILLATION",ISNUMBER(SEARCH("VPS",$I8894))=FALSE,LEFT($I8894,6)&lt;&gt;"VACUUM"),"CDU",IF($H8894="FLUID CAT CRACKING","FCC",IF(OR($H8894="HYDROCRACKING",$H8894="RESID_HYDROCRACKING"),"Hydrocracker",IF($H8894="REFORMING","Reformer",""))))</f>
        <v/>
      </c>
    </row>
    <row r="8895" spans="6:7">
      <c r="F8895" s="6">
        <f>IF($M8895="PADD I","PADD 1",IF($M8895="PADD II","PADD 2",IF($M8895="PADD III","PADD 3",IF($M8895="PADD IV","PADD 4",IF($M8895="PADD V","PADD 5","")))))</f>
        <v/>
      </c>
      <c r="G8895" s="6">
        <f>IF(AND($H8895="ATMOS DISTILLATION",ISNUMBER(SEARCH("VPS",$I8895))=FALSE,LEFT($I8895,6)&lt;&gt;"VACUUM"),"CDU",IF($H8895="FLUID CAT CRACKING","FCC",IF(OR($H8895="HYDROCRACKING",$H8895="RESID_HYDROCRACKING"),"Hydrocracker",IF($H8895="REFORMING","Reformer",""))))</f>
        <v/>
      </c>
    </row>
    <row r="8896" spans="6:7">
      <c r="F8896" s="6">
        <f>IF($M8896="PADD I","PADD 1",IF($M8896="PADD II","PADD 2",IF($M8896="PADD III","PADD 3",IF($M8896="PADD IV","PADD 4",IF($M8896="PADD V","PADD 5","")))))</f>
        <v/>
      </c>
      <c r="G8896" s="6">
        <f>IF(AND($H8896="ATMOS DISTILLATION",ISNUMBER(SEARCH("VPS",$I8896))=FALSE,LEFT($I8896,6)&lt;&gt;"VACUUM"),"CDU",IF($H8896="FLUID CAT CRACKING","FCC",IF(OR($H8896="HYDROCRACKING",$H8896="RESID_HYDROCRACKING"),"Hydrocracker",IF($H8896="REFORMING","Reformer",""))))</f>
        <v/>
      </c>
    </row>
    <row r="8897" spans="6:7">
      <c r="F8897" s="6">
        <f>IF($M8897="PADD I","PADD 1",IF($M8897="PADD II","PADD 2",IF($M8897="PADD III","PADD 3",IF($M8897="PADD IV","PADD 4",IF($M8897="PADD V","PADD 5","")))))</f>
        <v/>
      </c>
      <c r="G8897" s="6">
        <f>IF(AND($H8897="ATMOS DISTILLATION",ISNUMBER(SEARCH("VPS",$I8897))=FALSE,LEFT($I8897,6)&lt;&gt;"VACUUM"),"CDU",IF($H8897="FLUID CAT CRACKING","FCC",IF(OR($H8897="HYDROCRACKING",$H8897="RESID_HYDROCRACKING"),"Hydrocracker",IF($H8897="REFORMING","Reformer",""))))</f>
        <v/>
      </c>
    </row>
    <row r="8898" spans="6:7">
      <c r="F8898" s="6">
        <f>IF($M8898="PADD I","PADD 1",IF($M8898="PADD II","PADD 2",IF($M8898="PADD III","PADD 3",IF($M8898="PADD IV","PADD 4",IF($M8898="PADD V","PADD 5","")))))</f>
        <v/>
      </c>
      <c r="G8898" s="6">
        <f>IF(AND($H8898="ATMOS DISTILLATION",ISNUMBER(SEARCH("VPS",$I8898))=FALSE,LEFT($I8898,6)&lt;&gt;"VACUUM"),"CDU",IF($H8898="FLUID CAT CRACKING","FCC",IF(OR($H8898="HYDROCRACKING",$H8898="RESID_HYDROCRACKING"),"Hydrocracker",IF($H8898="REFORMING","Reformer",""))))</f>
        <v/>
      </c>
    </row>
    <row r="8899" spans="6:7">
      <c r="F8899" s="6">
        <f>IF($M8899="PADD I","PADD 1",IF($M8899="PADD II","PADD 2",IF($M8899="PADD III","PADD 3",IF($M8899="PADD IV","PADD 4",IF($M8899="PADD V","PADD 5","")))))</f>
        <v/>
      </c>
      <c r="G8899" s="6">
        <f>IF(AND($H8899="ATMOS DISTILLATION",ISNUMBER(SEARCH("VPS",$I8899))=FALSE,LEFT($I8899,6)&lt;&gt;"VACUUM"),"CDU",IF($H8899="FLUID CAT CRACKING","FCC",IF(OR($H8899="HYDROCRACKING",$H8899="RESID_HYDROCRACKING"),"Hydrocracker",IF($H8899="REFORMING","Reformer",""))))</f>
        <v/>
      </c>
    </row>
    <row r="8900" spans="6:7">
      <c r="F8900" s="6">
        <f>IF($M8900="PADD I","PADD 1",IF($M8900="PADD II","PADD 2",IF($M8900="PADD III","PADD 3",IF($M8900="PADD IV","PADD 4",IF($M8900="PADD V","PADD 5","")))))</f>
        <v/>
      </c>
      <c r="G8900" s="6">
        <f>IF(AND($H8900="ATMOS DISTILLATION",ISNUMBER(SEARCH("VPS",$I8900))=FALSE,LEFT($I8900,6)&lt;&gt;"VACUUM"),"CDU",IF($H8900="FLUID CAT CRACKING","FCC",IF(OR($H8900="HYDROCRACKING",$H8900="RESID_HYDROCRACKING"),"Hydrocracker",IF($H8900="REFORMING","Reformer",""))))</f>
        <v/>
      </c>
    </row>
    <row r="8901" spans="6:7">
      <c r="F8901" s="6">
        <f>IF($M8901="PADD I","PADD 1",IF($M8901="PADD II","PADD 2",IF($M8901="PADD III","PADD 3",IF($M8901="PADD IV","PADD 4",IF($M8901="PADD V","PADD 5","")))))</f>
        <v/>
      </c>
      <c r="G8901" s="6">
        <f>IF(AND($H8901="ATMOS DISTILLATION",ISNUMBER(SEARCH("VPS",$I8901))=FALSE,LEFT($I8901,6)&lt;&gt;"VACUUM"),"CDU",IF($H8901="FLUID CAT CRACKING","FCC",IF(OR($H8901="HYDROCRACKING",$H8901="RESID_HYDROCRACKING"),"Hydrocracker",IF($H8901="REFORMING","Reformer",""))))</f>
        <v/>
      </c>
    </row>
    <row r="8902" spans="6:7">
      <c r="F8902" s="6">
        <f>IF($M8902="PADD I","PADD 1",IF($M8902="PADD II","PADD 2",IF($M8902="PADD III","PADD 3",IF($M8902="PADD IV","PADD 4",IF($M8902="PADD V","PADD 5","")))))</f>
        <v/>
      </c>
      <c r="G8902" s="6">
        <f>IF(AND($H8902="ATMOS DISTILLATION",ISNUMBER(SEARCH("VPS",$I8902))=FALSE,LEFT($I8902,6)&lt;&gt;"VACUUM"),"CDU",IF($H8902="FLUID CAT CRACKING","FCC",IF(OR($H8902="HYDROCRACKING",$H8902="RESID_HYDROCRACKING"),"Hydrocracker",IF($H8902="REFORMING","Reformer",""))))</f>
        <v/>
      </c>
    </row>
    <row r="8903" spans="6:7">
      <c r="F8903" s="6">
        <f>IF($M8903="PADD I","PADD 1",IF($M8903="PADD II","PADD 2",IF($M8903="PADD III","PADD 3",IF($M8903="PADD IV","PADD 4",IF($M8903="PADD V","PADD 5","")))))</f>
        <v/>
      </c>
      <c r="G8903" s="6">
        <f>IF(AND($H8903="ATMOS DISTILLATION",ISNUMBER(SEARCH("VPS",$I8903))=FALSE,LEFT($I8903,6)&lt;&gt;"VACUUM"),"CDU",IF($H8903="FLUID CAT CRACKING","FCC",IF(OR($H8903="HYDROCRACKING",$H8903="RESID_HYDROCRACKING"),"Hydrocracker",IF($H8903="REFORMING","Reformer",""))))</f>
        <v/>
      </c>
    </row>
    <row r="8904" spans="6:7">
      <c r="F8904" s="6">
        <f>IF($M8904="PADD I","PADD 1",IF($M8904="PADD II","PADD 2",IF($M8904="PADD III","PADD 3",IF($M8904="PADD IV","PADD 4",IF($M8904="PADD V","PADD 5","")))))</f>
        <v/>
      </c>
      <c r="G8904" s="6">
        <f>IF(AND($H8904="ATMOS DISTILLATION",ISNUMBER(SEARCH("VPS",$I8904))=FALSE,LEFT($I8904,6)&lt;&gt;"VACUUM"),"CDU",IF($H8904="FLUID CAT CRACKING","FCC",IF(OR($H8904="HYDROCRACKING",$H8904="RESID_HYDROCRACKING"),"Hydrocracker",IF($H8904="REFORMING","Reformer",""))))</f>
        <v/>
      </c>
    </row>
    <row r="8905" spans="6:7">
      <c r="F8905" s="6">
        <f>IF($M8905="PADD I","PADD 1",IF($M8905="PADD II","PADD 2",IF($M8905="PADD III","PADD 3",IF($M8905="PADD IV","PADD 4",IF($M8905="PADD V","PADD 5","")))))</f>
        <v/>
      </c>
      <c r="G8905" s="6">
        <f>IF(AND($H8905="ATMOS DISTILLATION",ISNUMBER(SEARCH("VPS",$I8905))=FALSE,LEFT($I8905,6)&lt;&gt;"VACUUM"),"CDU",IF($H8905="FLUID CAT CRACKING","FCC",IF(OR($H8905="HYDROCRACKING",$H8905="RESID_HYDROCRACKING"),"Hydrocracker",IF($H8905="REFORMING","Reformer",""))))</f>
        <v/>
      </c>
    </row>
    <row r="8906" spans="6:7">
      <c r="F8906" s="6">
        <f>IF($M8906="PADD I","PADD 1",IF($M8906="PADD II","PADD 2",IF($M8906="PADD III","PADD 3",IF($M8906="PADD IV","PADD 4",IF($M8906="PADD V","PADD 5","")))))</f>
        <v/>
      </c>
      <c r="G8906" s="6">
        <f>IF(AND($H8906="ATMOS DISTILLATION",ISNUMBER(SEARCH("VPS",$I8906))=FALSE,LEFT($I8906,6)&lt;&gt;"VACUUM"),"CDU",IF($H8906="FLUID CAT CRACKING","FCC",IF(OR($H8906="HYDROCRACKING",$H8906="RESID_HYDROCRACKING"),"Hydrocracker",IF($H8906="REFORMING","Reformer",""))))</f>
        <v/>
      </c>
    </row>
    <row r="8907" spans="6:7">
      <c r="F8907" s="6">
        <f>IF($M8907="PADD I","PADD 1",IF($M8907="PADD II","PADD 2",IF($M8907="PADD III","PADD 3",IF($M8907="PADD IV","PADD 4",IF($M8907="PADD V","PADD 5","")))))</f>
        <v/>
      </c>
      <c r="G8907" s="6">
        <f>IF(AND($H8907="ATMOS DISTILLATION",ISNUMBER(SEARCH("VPS",$I8907))=FALSE,LEFT($I8907,6)&lt;&gt;"VACUUM"),"CDU",IF($H8907="FLUID CAT CRACKING","FCC",IF(OR($H8907="HYDROCRACKING",$H8907="RESID_HYDROCRACKING"),"Hydrocracker",IF($H8907="REFORMING","Reformer",""))))</f>
        <v/>
      </c>
    </row>
    <row r="8908" spans="6:7">
      <c r="F8908" s="6">
        <f>IF($M8908="PADD I","PADD 1",IF($M8908="PADD II","PADD 2",IF($M8908="PADD III","PADD 3",IF($M8908="PADD IV","PADD 4",IF($M8908="PADD V","PADD 5","")))))</f>
        <v/>
      </c>
      <c r="G8908" s="6">
        <f>IF(AND($H8908="ATMOS DISTILLATION",ISNUMBER(SEARCH("VPS",$I8908))=FALSE,LEFT($I8908,6)&lt;&gt;"VACUUM"),"CDU",IF($H8908="FLUID CAT CRACKING","FCC",IF(OR($H8908="HYDROCRACKING",$H8908="RESID_HYDROCRACKING"),"Hydrocracker",IF($H8908="REFORMING","Reformer",""))))</f>
        <v/>
      </c>
    </row>
    <row r="8909" spans="6:7">
      <c r="F8909" s="6">
        <f>IF($M8909="PADD I","PADD 1",IF($M8909="PADD II","PADD 2",IF($M8909="PADD III","PADD 3",IF($M8909="PADD IV","PADD 4",IF($M8909="PADD V","PADD 5","")))))</f>
        <v/>
      </c>
      <c r="G8909" s="6">
        <f>IF(AND($H8909="ATMOS DISTILLATION",ISNUMBER(SEARCH("VPS",$I8909))=FALSE,LEFT($I8909,6)&lt;&gt;"VACUUM"),"CDU",IF($H8909="FLUID CAT CRACKING","FCC",IF(OR($H8909="HYDROCRACKING",$H8909="RESID_HYDROCRACKING"),"Hydrocracker",IF($H8909="REFORMING","Reformer",""))))</f>
        <v/>
      </c>
    </row>
    <row r="8910" spans="6:7">
      <c r="F8910" s="6">
        <f>IF($M8910="PADD I","PADD 1",IF($M8910="PADD II","PADD 2",IF($M8910="PADD III","PADD 3",IF($M8910="PADD IV","PADD 4",IF($M8910="PADD V","PADD 5","")))))</f>
        <v/>
      </c>
      <c r="G8910" s="6">
        <f>IF(AND($H8910="ATMOS DISTILLATION",ISNUMBER(SEARCH("VPS",$I8910))=FALSE,LEFT($I8910,6)&lt;&gt;"VACUUM"),"CDU",IF($H8910="FLUID CAT CRACKING","FCC",IF(OR($H8910="HYDROCRACKING",$H8910="RESID_HYDROCRACKING"),"Hydrocracker",IF($H8910="REFORMING","Reformer",""))))</f>
        <v/>
      </c>
    </row>
    <row r="8911" spans="6:7">
      <c r="F8911" s="6">
        <f>IF($M8911="PADD I","PADD 1",IF($M8911="PADD II","PADD 2",IF($M8911="PADD III","PADD 3",IF($M8911="PADD IV","PADD 4",IF($M8911="PADD V","PADD 5","")))))</f>
        <v/>
      </c>
      <c r="G8911" s="6">
        <f>IF(AND($H8911="ATMOS DISTILLATION",ISNUMBER(SEARCH("VPS",$I8911))=FALSE,LEFT($I8911,6)&lt;&gt;"VACUUM"),"CDU",IF($H8911="FLUID CAT CRACKING","FCC",IF(OR($H8911="HYDROCRACKING",$H8911="RESID_HYDROCRACKING"),"Hydrocracker",IF($H8911="REFORMING","Reformer",""))))</f>
        <v/>
      </c>
    </row>
    <row r="8912" spans="6:7">
      <c r="F8912" s="6">
        <f>IF($M8912="PADD I","PADD 1",IF($M8912="PADD II","PADD 2",IF($M8912="PADD III","PADD 3",IF($M8912="PADD IV","PADD 4",IF($M8912="PADD V","PADD 5","")))))</f>
        <v/>
      </c>
      <c r="G8912" s="6">
        <f>IF(AND($H8912="ATMOS DISTILLATION",ISNUMBER(SEARCH("VPS",$I8912))=FALSE,LEFT($I8912,6)&lt;&gt;"VACUUM"),"CDU",IF($H8912="FLUID CAT CRACKING","FCC",IF(OR($H8912="HYDROCRACKING",$H8912="RESID_HYDROCRACKING"),"Hydrocracker",IF($H8912="REFORMING","Reformer",""))))</f>
        <v/>
      </c>
    </row>
    <row r="8913" spans="6:7">
      <c r="F8913" s="6">
        <f>IF($M8913="PADD I","PADD 1",IF($M8913="PADD II","PADD 2",IF($M8913="PADD III","PADD 3",IF($M8913="PADD IV","PADD 4",IF($M8913="PADD V","PADD 5","")))))</f>
        <v/>
      </c>
      <c r="G8913" s="6">
        <f>IF(AND($H8913="ATMOS DISTILLATION",ISNUMBER(SEARCH("VPS",$I8913))=FALSE,LEFT($I8913,6)&lt;&gt;"VACUUM"),"CDU",IF($H8913="FLUID CAT CRACKING","FCC",IF(OR($H8913="HYDROCRACKING",$H8913="RESID_HYDROCRACKING"),"Hydrocracker",IF($H8913="REFORMING","Reformer",""))))</f>
        <v/>
      </c>
    </row>
    <row r="8914" spans="6:7">
      <c r="F8914" s="6">
        <f>IF($M8914="PADD I","PADD 1",IF($M8914="PADD II","PADD 2",IF($M8914="PADD III","PADD 3",IF($M8914="PADD IV","PADD 4",IF($M8914="PADD V","PADD 5","")))))</f>
        <v/>
      </c>
      <c r="G8914" s="6">
        <f>IF(AND($H8914="ATMOS DISTILLATION",ISNUMBER(SEARCH("VPS",$I8914))=FALSE,LEFT($I8914,6)&lt;&gt;"VACUUM"),"CDU",IF($H8914="FLUID CAT CRACKING","FCC",IF(OR($H8914="HYDROCRACKING",$H8914="RESID_HYDROCRACKING"),"Hydrocracker",IF($H8914="REFORMING","Reformer",""))))</f>
        <v/>
      </c>
    </row>
    <row r="8915" spans="6:7">
      <c r="F8915" s="6">
        <f>IF($M8915="PADD I","PADD 1",IF($M8915="PADD II","PADD 2",IF($M8915="PADD III","PADD 3",IF($M8915="PADD IV","PADD 4",IF($M8915="PADD V","PADD 5","")))))</f>
        <v/>
      </c>
      <c r="G8915" s="6">
        <f>IF(AND($H8915="ATMOS DISTILLATION",ISNUMBER(SEARCH("VPS",$I8915))=FALSE,LEFT($I8915,6)&lt;&gt;"VACUUM"),"CDU",IF($H8915="FLUID CAT CRACKING","FCC",IF(OR($H8915="HYDROCRACKING",$H8915="RESID_HYDROCRACKING"),"Hydrocracker",IF($H8915="REFORMING","Reformer",""))))</f>
        <v/>
      </c>
    </row>
    <row r="8916" spans="6:7">
      <c r="F8916" s="6">
        <f>IF($M8916="PADD I","PADD 1",IF($M8916="PADD II","PADD 2",IF($M8916="PADD III","PADD 3",IF($M8916="PADD IV","PADD 4",IF($M8916="PADD V","PADD 5","")))))</f>
        <v/>
      </c>
      <c r="G8916" s="6">
        <f>IF(AND($H8916="ATMOS DISTILLATION",ISNUMBER(SEARCH("VPS",$I8916))=FALSE,LEFT($I8916,6)&lt;&gt;"VACUUM"),"CDU",IF($H8916="FLUID CAT CRACKING","FCC",IF(OR($H8916="HYDROCRACKING",$H8916="RESID_HYDROCRACKING"),"Hydrocracker",IF($H8916="REFORMING","Reformer",""))))</f>
        <v/>
      </c>
    </row>
    <row r="8917" spans="6:7">
      <c r="F8917" s="6">
        <f>IF($M8917="PADD I","PADD 1",IF($M8917="PADD II","PADD 2",IF($M8917="PADD III","PADD 3",IF($M8917="PADD IV","PADD 4",IF($M8917="PADD V","PADD 5","")))))</f>
        <v/>
      </c>
      <c r="G8917" s="6">
        <f>IF(AND($H8917="ATMOS DISTILLATION",ISNUMBER(SEARCH("VPS",$I8917))=FALSE,LEFT($I8917,6)&lt;&gt;"VACUUM"),"CDU",IF($H8917="FLUID CAT CRACKING","FCC",IF(OR($H8917="HYDROCRACKING",$H8917="RESID_HYDROCRACKING"),"Hydrocracker",IF($H8917="REFORMING","Reformer",""))))</f>
        <v/>
      </c>
    </row>
    <row r="8918" spans="6:7">
      <c r="F8918" s="6">
        <f>IF($M8918="PADD I","PADD 1",IF($M8918="PADD II","PADD 2",IF($M8918="PADD III","PADD 3",IF($M8918="PADD IV","PADD 4",IF($M8918="PADD V","PADD 5","")))))</f>
        <v/>
      </c>
      <c r="G8918" s="6">
        <f>IF(AND($H8918="ATMOS DISTILLATION",ISNUMBER(SEARCH("VPS",$I8918))=FALSE,LEFT($I8918,6)&lt;&gt;"VACUUM"),"CDU",IF($H8918="FLUID CAT CRACKING","FCC",IF(OR($H8918="HYDROCRACKING",$H8918="RESID_HYDROCRACKING"),"Hydrocracker",IF($H8918="REFORMING","Reformer",""))))</f>
        <v/>
      </c>
    </row>
    <row r="8919" spans="6:7">
      <c r="F8919" s="6">
        <f>IF($M8919="PADD I","PADD 1",IF($M8919="PADD II","PADD 2",IF($M8919="PADD III","PADD 3",IF($M8919="PADD IV","PADD 4",IF($M8919="PADD V","PADD 5","")))))</f>
        <v/>
      </c>
      <c r="G8919" s="6">
        <f>IF(AND($H8919="ATMOS DISTILLATION",ISNUMBER(SEARCH("VPS",$I8919))=FALSE,LEFT($I8919,6)&lt;&gt;"VACUUM"),"CDU",IF($H8919="FLUID CAT CRACKING","FCC",IF(OR($H8919="HYDROCRACKING",$H8919="RESID_HYDROCRACKING"),"Hydrocracker",IF($H8919="REFORMING","Reformer",""))))</f>
        <v/>
      </c>
    </row>
    <row r="8920" spans="6:7">
      <c r="F8920" s="6">
        <f>IF($M8920="PADD I","PADD 1",IF($M8920="PADD II","PADD 2",IF($M8920="PADD III","PADD 3",IF($M8920="PADD IV","PADD 4",IF($M8920="PADD V","PADD 5","")))))</f>
        <v/>
      </c>
      <c r="G8920" s="6">
        <f>IF(AND($H8920="ATMOS DISTILLATION",ISNUMBER(SEARCH("VPS",$I8920))=FALSE,LEFT($I8920,6)&lt;&gt;"VACUUM"),"CDU",IF($H8920="FLUID CAT CRACKING","FCC",IF(OR($H8920="HYDROCRACKING",$H8920="RESID_HYDROCRACKING"),"Hydrocracker",IF($H8920="REFORMING","Reformer",""))))</f>
        <v/>
      </c>
    </row>
    <row r="8921" spans="6:7">
      <c r="F8921" s="6">
        <f>IF($M8921="PADD I","PADD 1",IF($M8921="PADD II","PADD 2",IF($M8921="PADD III","PADD 3",IF($M8921="PADD IV","PADD 4",IF($M8921="PADD V","PADD 5","")))))</f>
        <v/>
      </c>
      <c r="G8921" s="6">
        <f>IF(AND($H8921="ATMOS DISTILLATION",ISNUMBER(SEARCH("VPS",$I8921))=FALSE,LEFT($I8921,6)&lt;&gt;"VACUUM"),"CDU",IF($H8921="FLUID CAT CRACKING","FCC",IF(OR($H8921="HYDROCRACKING",$H8921="RESID_HYDROCRACKING"),"Hydrocracker",IF($H8921="REFORMING","Reformer",""))))</f>
        <v/>
      </c>
    </row>
    <row r="8922" spans="6:7">
      <c r="F8922" s="6">
        <f>IF($M8922="PADD I","PADD 1",IF($M8922="PADD II","PADD 2",IF($M8922="PADD III","PADD 3",IF($M8922="PADD IV","PADD 4",IF($M8922="PADD V","PADD 5","")))))</f>
        <v/>
      </c>
      <c r="G8922" s="6">
        <f>IF(AND($H8922="ATMOS DISTILLATION",ISNUMBER(SEARCH("VPS",$I8922))=FALSE,LEFT($I8922,6)&lt;&gt;"VACUUM"),"CDU",IF($H8922="FLUID CAT CRACKING","FCC",IF(OR($H8922="HYDROCRACKING",$H8922="RESID_HYDROCRACKING"),"Hydrocracker",IF($H8922="REFORMING","Reformer",""))))</f>
        <v/>
      </c>
    </row>
    <row r="8923" spans="6:7">
      <c r="F8923" s="6">
        <f>IF($M8923="PADD I","PADD 1",IF($M8923="PADD II","PADD 2",IF($M8923="PADD III","PADD 3",IF($M8923="PADD IV","PADD 4",IF($M8923="PADD V","PADD 5","")))))</f>
        <v/>
      </c>
      <c r="G8923" s="6">
        <f>IF(AND($H8923="ATMOS DISTILLATION",ISNUMBER(SEARCH("VPS",$I8923))=FALSE,LEFT($I8923,6)&lt;&gt;"VACUUM"),"CDU",IF($H8923="FLUID CAT CRACKING","FCC",IF(OR($H8923="HYDROCRACKING",$H8923="RESID_HYDROCRACKING"),"Hydrocracker",IF($H8923="REFORMING","Reformer",""))))</f>
        <v/>
      </c>
    </row>
    <row r="8924" spans="6:7">
      <c r="F8924" s="6">
        <f>IF($M8924="PADD I","PADD 1",IF($M8924="PADD II","PADD 2",IF($M8924="PADD III","PADD 3",IF($M8924="PADD IV","PADD 4",IF($M8924="PADD V","PADD 5","")))))</f>
        <v/>
      </c>
      <c r="G8924" s="6">
        <f>IF(AND($H8924="ATMOS DISTILLATION",ISNUMBER(SEARCH("VPS",$I8924))=FALSE,LEFT($I8924,6)&lt;&gt;"VACUUM"),"CDU",IF($H8924="FLUID CAT CRACKING","FCC",IF(OR($H8924="HYDROCRACKING",$H8924="RESID_HYDROCRACKING"),"Hydrocracker",IF($H8924="REFORMING","Reformer",""))))</f>
        <v/>
      </c>
    </row>
    <row r="8925" spans="6:7">
      <c r="F8925" s="6">
        <f>IF($M8925="PADD I","PADD 1",IF($M8925="PADD II","PADD 2",IF($M8925="PADD III","PADD 3",IF($M8925="PADD IV","PADD 4",IF($M8925="PADD V","PADD 5","")))))</f>
        <v/>
      </c>
      <c r="G8925" s="6">
        <f>IF(AND($H8925="ATMOS DISTILLATION",ISNUMBER(SEARCH("VPS",$I8925))=FALSE,LEFT($I8925,6)&lt;&gt;"VACUUM"),"CDU",IF($H8925="FLUID CAT CRACKING","FCC",IF(OR($H8925="HYDROCRACKING",$H8925="RESID_HYDROCRACKING"),"Hydrocracker",IF($H8925="REFORMING","Reformer",""))))</f>
        <v/>
      </c>
    </row>
    <row r="8926" spans="6:7">
      <c r="F8926" s="6">
        <f>IF($M8926="PADD I","PADD 1",IF($M8926="PADD II","PADD 2",IF($M8926="PADD III","PADD 3",IF($M8926="PADD IV","PADD 4",IF($M8926="PADD V","PADD 5","")))))</f>
        <v/>
      </c>
      <c r="G8926" s="6">
        <f>IF(AND($H8926="ATMOS DISTILLATION",ISNUMBER(SEARCH("VPS",$I8926))=FALSE,LEFT($I8926,6)&lt;&gt;"VACUUM"),"CDU",IF($H8926="FLUID CAT CRACKING","FCC",IF(OR($H8926="HYDROCRACKING",$H8926="RESID_HYDROCRACKING"),"Hydrocracker",IF($H8926="REFORMING","Reformer",""))))</f>
        <v/>
      </c>
    </row>
    <row r="8927" spans="6:7">
      <c r="F8927" s="6">
        <f>IF($M8927="PADD I","PADD 1",IF($M8927="PADD II","PADD 2",IF($M8927="PADD III","PADD 3",IF($M8927="PADD IV","PADD 4",IF($M8927="PADD V","PADD 5","")))))</f>
        <v/>
      </c>
      <c r="G8927" s="6">
        <f>IF(AND($H8927="ATMOS DISTILLATION",ISNUMBER(SEARCH("VPS",$I8927))=FALSE,LEFT($I8927,6)&lt;&gt;"VACUUM"),"CDU",IF($H8927="FLUID CAT CRACKING","FCC",IF(OR($H8927="HYDROCRACKING",$H8927="RESID_HYDROCRACKING"),"Hydrocracker",IF($H8927="REFORMING","Reformer",""))))</f>
        <v/>
      </c>
    </row>
    <row r="8928" spans="6:7">
      <c r="F8928" s="6">
        <f>IF($M8928="PADD I","PADD 1",IF($M8928="PADD II","PADD 2",IF($M8928="PADD III","PADD 3",IF($M8928="PADD IV","PADD 4",IF($M8928="PADD V","PADD 5","")))))</f>
        <v/>
      </c>
      <c r="G8928" s="6">
        <f>IF(AND($H8928="ATMOS DISTILLATION",ISNUMBER(SEARCH("VPS",$I8928))=FALSE,LEFT($I8928,6)&lt;&gt;"VACUUM"),"CDU",IF($H8928="FLUID CAT CRACKING","FCC",IF(OR($H8928="HYDROCRACKING",$H8928="RESID_HYDROCRACKING"),"Hydrocracker",IF($H8928="REFORMING","Reformer",""))))</f>
        <v/>
      </c>
    </row>
    <row r="8929" spans="6:7">
      <c r="F8929" s="6">
        <f>IF($M8929="PADD I","PADD 1",IF($M8929="PADD II","PADD 2",IF($M8929="PADD III","PADD 3",IF($M8929="PADD IV","PADD 4",IF($M8929="PADD V","PADD 5","")))))</f>
        <v/>
      </c>
      <c r="G8929" s="6">
        <f>IF(AND($H8929="ATMOS DISTILLATION",ISNUMBER(SEARCH("VPS",$I8929))=FALSE,LEFT($I8929,6)&lt;&gt;"VACUUM"),"CDU",IF($H8929="FLUID CAT CRACKING","FCC",IF(OR($H8929="HYDROCRACKING",$H8929="RESID_HYDROCRACKING"),"Hydrocracker",IF($H8929="REFORMING","Reformer",""))))</f>
        <v/>
      </c>
    </row>
    <row r="8930" spans="6:7">
      <c r="F8930" s="6">
        <f>IF($M8930="PADD I","PADD 1",IF($M8930="PADD II","PADD 2",IF($M8930="PADD III","PADD 3",IF($M8930="PADD IV","PADD 4",IF($M8930="PADD V","PADD 5","")))))</f>
        <v/>
      </c>
      <c r="G8930" s="6">
        <f>IF(AND($H8930="ATMOS DISTILLATION",ISNUMBER(SEARCH("VPS",$I8930))=FALSE,LEFT($I8930,6)&lt;&gt;"VACUUM"),"CDU",IF($H8930="FLUID CAT CRACKING","FCC",IF(OR($H8930="HYDROCRACKING",$H8930="RESID_HYDROCRACKING"),"Hydrocracker",IF($H8930="REFORMING","Reformer",""))))</f>
        <v/>
      </c>
    </row>
    <row r="8931" spans="6:7">
      <c r="F8931" s="6">
        <f>IF($M8931="PADD I","PADD 1",IF($M8931="PADD II","PADD 2",IF($M8931="PADD III","PADD 3",IF($M8931="PADD IV","PADD 4",IF($M8931="PADD V","PADD 5","")))))</f>
        <v/>
      </c>
      <c r="G8931" s="6">
        <f>IF(AND($H8931="ATMOS DISTILLATION",ISNUMBER(SEARCH("VPS",$I8931))=FALSE,LEFT($I8931,6)&lt;&gt;"VACUUM"),"CDU",IF($H8931="FLUID CAT CRACKING","FCC",IF(OR($H8931="HYDROCRACKING",$H8931="RESID_HYDROCRACKING"),"Hydrocracker",IF($H8931="REFORMING","Reformer",""))))</f>
        <v/>
      </c>
    </row>
    <row r="8932" spans="6:7">
      <c r="F8932" s="6">
        <f>IF($M8932="PADD I","PADD 1",IF($M8932="PADD II","PADD 2",IF($M8932="PADD III","PADD 3",IF($M8932="PADD IV","PADD 4",IF($M8932="PADD V","PADD 5","")))))</f>
        <v/>
      </c>
      <c r="G8932" s="6">
        <f>IF(AND($H8932="ATMOS DISTILLATION",ISNUMBER(SEARCH("VPS",$I8932))=FALSE,LEFT($I8932,6)&lt;&gt;"VACUUM"),"CDU",IF($H8932="FLUID CAT CRACKING","FCC",IF(OR($H8932="HYDROCRACKING",$H8932="RESID_HYDROCRACKING"),"Hydrocracker",IF($H8932="REFORMING","Reformer",""))))</f>
        <v/>
      </c>
    </row>
    <row r="8933" spans="6:7">
      <c r="F8933" s="6">
        <f>IF($M8933="PADD I","PADD 1",IF($M8933="PADD II","PADD 2",IF($M8933="PADD III","PADD 3",IF($M8933="PADD IV","PADD 4",IF($M8933="PADD V","PADD 5","")))))</f>
        <v/>
      </c>
      <c r="G8933" s="6">
        <f>IF(AND($H8933="ATMOS DISTILLATION",ISNUMBER(SEARCH("VPS",$I8933))=FALSE,LEFT($I8933,6)&lt;&gt;"VACUUM"),"CDU",IF($H8933="FLUID CAT CRACKING","FCC",IF(OR($H8933="HYDROCRACKING",$H8933="RESID_HYDROCRACKING"),"Hydrocracker",IF($H8933="REFORMING","Reformer",""))))</f>
        <v/>
      </c>
    </row>
    <row r="8934" spans="6:7">
      <c r="F8934" s="6">
        <f>IF($M8934="PADD I","PADD 1",IF($M8934="PADD II","PADD 2",IF($M8934="PADD III","PADD 3",IF($M8934="PADD IV","PADD 4",IF($M8934="PADD V","PADD 5","")))))</f>
        <v/>
      </c>
      <c r="G8934" s="6">
        <f>IF(AND($H8934="ATMOS DISTILLATION",ISNUMBER(SEARCH("VPS",$I8934))=FALSE,LEFT($I8934,6)&lt;&gt;"VACUUM"),"CDU",IF($H8934="FLUID CAT CRACKING","FCC",IF(OR($H8934="HYDROCRACKING",$H8934="RESID_HYDROCRACKING"),"Hydrocracker",IF($H8934="REFORMING","Reformer",""))))</f>
        <v/>
      </c>
    </row>
    <row r="8935" spans="6:7">
      <c r="F8935" s="6">
        <f>IF($M8935="PADD I","PADD 1",IF($M8935="PADD II","PADD 2",IF($M8935="PADD III","PADD 3",IF($M8935="PADD IV","PADD 4",IF($M8935="PADD V","PADD 5","")))))</f>
        <v/>
      </c>
      <c r="G8935" s="6">
        <f>IF(AND($H8935="ATMOS DISTILLATION",ISNUMBER(SEARCH("VPS",$I8935))=FALSE,LEFT($I8935,6)&lt;&gt;"VACUUM"),"CDU",IF($H8935="FLUID CAT CRACKING","FCC",IF(OR($H8935="HYDROCRACKING",$H8935="RESID_HYDROCRACKING"),"Hydrocracker",IF($H8935="REFORMING","Reformer",""))))</f>
        <v/>
      </c>
    </row>
    <row r="8936" spans="6:7">
      <c r="F8936" s="6">
        <f>IF($M8936="PADD I","PADD 1",IF($M8936="PADD II","PADD 2",IF($M8936="PADD III","PADD 3",IF($M8936="PADD IV","PADD 4",IF($M8936="PADD V","PADD 5","")))))</f>
        <v/>
      </c>
      <c r="G8936" s="6">
        <f>IF(AND($H8936="ATMOS DISTILLATION",ISNUMBER(SEARCH("VPS",$I8936))=FALSE,LEFT($I8936,6)&lt;&gt;"VACUUM"),"CDU",IF($H8936="FLUID CAT CRACKING","FCC",IF(OR($H8936="HYDROCRACKING",$H8936="RESID_HYDROCRACKING"),"Hydrocracker",IF($H8936="REFORMING","Reformer",""))))</f>
        <v/>
      </c>
    </row>
    <row r="8937" spans="6:7">
      <c r="F8937" s="6">
        <f>IF($M8937="PADD I","PADD 1",IF($M8937="PADD II","PADD 2",IF($M8937="PADD III","PADD 3",IF($M8937="PADD IV","PADD 4",IF($M8937="PADD V","PADD 5","")))))</f>
        <v/>
      </c>
      <c r="G8937" s="6">
        <f>IF(AND($H8937="ATMOS DISTILLATION",ISNUMBER(SEARCH("VPS",$I8937))=FALSE,LEFT($I8937,6)&lt;&gt;"VACUUM"),"CDU",IF($H8937="FLUID CAT CRACKING","FCC",IF(OR($H8937="HYDROCRACKING",$H8937="RESID_HYDROCRACKING"),"Hydrocracker",IF($H8937="REFORMING","Reformer",""))))</f>
        <v/>
      </c>
    </row>
    <row r="8938" spans="6:7">
      <c r="F8938" s="6">
        <f>IF($M8938="PADD I","PADD 1",IF($M8938="PADD II","PADD 2",IF($M8938="PADD III","PADD 3",IF($M8938="PADD IV","PADD 4",IF($M8938="PADD V","PADD 5","")))))</f>
        <v/>
      </c>
      <c r="G8938" s="6">
        <f>IF(AND($H8938="ATMOS DISTILLATION",ISNUMBER(SEARCH("VPS",$I8938))=FALSE,LEFT($I8938,6)&lt;&gt;"VACUUM"),"CDU",IF($H8938="FLUID CAT CRACKING","FCC",IF(OR($H8938="HYDROCRACKING",$H8938="RESID_HYDROCRACKING"),"Hydrocracker",IF($H8938="REFORMING","Reformer",""))))</f>
        <v/>
      </c>
    </row>
    <row r="8939" spans="6:7">
      <c r="F8939" s="6">
        <f>IF($M8939="PADD I","PADD 1",IF($M8939="PADD II","PADD 2",IF($M8939="PADD III","PADD 3",IF($M8939="PADD IV","PADD 4",IF($M8939="PADD V","PADD 5","")))))</f>
        <v/>
      </c>
      <c r="G8939" s="6">
        <f>IF(AND($H8939="ATMOS DISTILLATION",ISNUMBER(SEARCH("VPS",$I8939))=FALSE,LEFT($I8939,6)&lt;&gt;"VACUUM"),"CDU",IF($H8939="FLUID CAT CRACKING","FCC",IF(OR($H8939="HYDROCRACKING",$H8939="RESID_HYDROCRACKING"),"Hydrocracker",IF($H8939="REFORMING","Reformer",""))))</f>
        <v/>
      </c>
    </row>
    <row r="8940" spans="6:7">
      <c r="F8940" s="6">
        <f>IF($M8940="PADD I","PADD 1",IF($M8940="PADD II","PADD 2",IF($M8940="PADD III","PADD 3",IF($M8940="PADD IV","PADD 4",IF($M8940="PADD V","PADD 5","")))))</f>
        <v/>
      </c>
      <c r="G8940" s="6">
        <f>IF(AND($H8940="ATMOS DISTILLATION",ISNUMBER(SEARCH("VPS",$I8940))=FALSE,LEFT($I8940,6)&lt;&gt;"VACUUM"),"CDU",IF($H8940="FLUID CAT CRACKING","FCC",IF(OR($H8940="HYDROCRACKING",$H8940="RESID_HYDROCRACKING"),"Hydrocracker",IF($H8940="REFORMING","Reformer",""))))</f>
        <v/>
      </c>
    </row>
    <row r="8941" spans="6:7">
      <c r="F8941" s="6">
        <f>IF($M8941="PADD I","PADD 1",IF($M8941="PADD II","PADD 2",IF($M8941="PADD III","PADD 3",IF($M8941="PADD IV","PADD 4",IF($M8941="PADD V","PADD 5","")))))</f>
        <v/>
      </c>
      <c r="G8941" s="6">
        <f>IF(AND($H8941="ATMOS DISTILLATION",ISNUMBER(SEARCH("VPS",$I8941))=FALSE,LEFT($I8941,6)&lt;&gt;"VACUUM"),"CDU",IF($H8941="FLUID CAT CRACKING","FCC",IF(OR($H8941="HYDROCRACKING",$H8941="RESID_HYDROCRACKING"),"Hydrocracker",IF($H8941="REFORMING","Reformer",""))))</f>
        <v/>
      </c>
    </row>
    <row r="8942" spans="6:7">
      <c r="F8942" s="6">
        <f>IF($M8942="PADD I","PADD 1",IF($M8942="PADD II","PADD 2",IF($M8942="PADD III","PADD 3",IF($M8942="PADD IV","PADD 4",IF($M8942="PADD V","PADD 5","")))))</f>
        <v/>
      </c>
      <c r="G8942" s="6">
        <f>IF(AND($H8942="ATMOS DISTILLATION",ISNUMBER(SEARCH("VPS",$I8942))=FALSE,LEFT($I8942,6)&lt;&gt;"VACUUM"),"CDU",IF($H8942="FLUID CAT CRACKING","FCC",IF(OR($H8942="HYDROCRACKING",$H8942="RESID_HYDROCRACKING"),"Hydrocracker",IF($H8942="REFORMING","Reformer",""))))</f>
        <v/>
      </c>
    </row>
    <row r="8943" spans="6:7">
      <c r="F8943" s="6">
        <f>IF($M8943="PADD I","PADD 1",IF($M8943="PADD II","PADD 2",IF($M8943="PADD III","PADD 3",IF($M8943="PADD IV","PADD 4",IF($M8943="PADD V","PADD 5","")))))</f>
        <v/>
      </c>
      <c r="G8943" s="6">
        <f>IF(AND($H8943="ATMOS DISTILLATION",ISNUMBER(SEARCH("VPS",$I8943))=FALSE,LEFT($I8943,6)&lt;&gt;"VACUUM"),"CDU",IF($H8943="FLUID CAT CRACKING","FCC",IF(OR($H8943="HYDROCRACKING",$H8943="RESID_HYDROCRACKING"),"Hydrocracker",IF($H8943="REFORMING","Reformer",""))))</f>
        <v/>
      </c>
    </row>
    <row r="8944" spans="6:7">
      <c r="F8944" s="6">
        <f>IF($M8944="PADD I","PADD 1",IF($M8944="PADD II","PADD 2",IF($M8944="PADD III","PADD 3",IF($M8944="PADD IV","PADD 4",IF($M8944="PADD V","PADD 5","")))))</f>
        <v/>
      </c>
      <c r="G8944" s="6">
        <f>IF(AND($H8944="ATMOS DISTILLATION",ISNUMBER(SEARCH("VPS",$I8944))=FALSE,LEFT($I8944,6)&lt;&gt;"VACUUM"),"CDU",IF($H8944="FLUID CAT CRACKING","FCC",IF(OR($H8944="HYDROCRACKING",$H8944="RESID_HYDROCRACKING"),"Hydrocracker",IF($H8944="REFORMING","Reformer",""))))</f>
        <v/>
      </c>
    </row>
    <row r="8945" spans="6:7">
      <c r="F8945" s="6">
        <f>IF($M8945="PADD I","PADD 1",IF($M8945="PADD II","PADD 2",IF($M8945="PADD III","PADD 3",IF($M8945="PADD IV","PADD 4",IF($M8945="PADD V","PADD 5","")))))</f>
        <v/>
      </c>
      <c r="G8945" s="6">
        <f>IF(AND($H8945="ATMOS DISTILLATION",ISNUMBER(SEARCH("VPS",$I8945))=FALSE,LEFT($I8945,6)&lt;&gt;"VACUUM"),"CDU",IF($H8945="FLUID CAT CRACKING","FCC",IF(OR($H8945="HYDROCRACKING",$H8945="RESID_HYDROCRACKING"),"Hydrocracker",IF($H8945="REFORMING","Reformer",""))))</f>
        <v/>
      </c>
    </row>
    <row r="8946" spans="6:7">
      <c r="F8946" s="6">
        <f>IF($M8946="PADD I","PADD 1",IF($M8946="PADD II","PADD 2",IF($M8946="PADD III","PADD 3",IF($M8946="PADD IV","PADD 4",IF($M8946="PADD V","PADD 5","")))))</f>
        <v/>
      </c>
      <c r="G8946" s="6">
        <f>IF(AND($H8946="ATMOS DISTILLATION",ISNUMBER(SEARCH("VPS",$I8946))=FALSE,LEFT($I8946,6)&lt;&gt;"VACUUM"),"CDU",IF($H8946="FLUID CAT CRACKING","FCC",IF(OR($H8946="HYDROCRACKING",$H8946="RESID_HYDROCRACKING"),"Hydrocracker",IF($H8946="REFORMING","Reformer",""))))</f>
        <v/>
      </c>
    </row>
    <row r="8947" spans="6:7">
      <c r="F8947" s="6">
        <f>IF($M8947="PADD I","PADD 1",IF($M8947="PADD II","PADD 2",IF($M8947="PADD III","PADD 3",IF($M8947="PADD IV","PADD 4",IF($M8947="PADD V","PADD 5","")))))</f>
        <v/>
      </c>
      <c r="G8947" s="6">
        <f>IF(AND($H8947="ATMOS DISTILLATION",ISNUMBER(SEARCH("VPS",$I8947))=FALSE,LEFT($I8947,6)&lt;&gt;"VACUUM"),"CDU",IF($H8947="FLUID CAT CRACKING","FCC",IF(OR($H8947="HYDROCRACKING",$H8947="RESID_HYDROCRACKING"),"Hydrocracker",IF($H8947="REFORMING","Reformer",""))))</f>
        <v/>
      </c>
    </row>
    <row r="8948" spans="6:7">
      <c r="F8948" s="6">
        <f>IF($M8948="PADD I","PADD 1",IF($M8948="PADD II","PADD 2",IF($M8948="PADD III","PADD 3",IF($M8948="PADD IV","PADD 4",IF($M8948="PADD V","PADD 5","")))))</f>
        <v/>
      </c>
      <c r="G8948" s="6">
        <f>IF(AND($H8948="ATMOS DISTILLATION",ISNUMBER(SEARCH("VPS",$I8948))=FALSE,LEFT($I8948,6)&lt;&gt;"VACUUM"),"CDU",IF($H8948="FLUID CAT CRACKING","FCC",IF(OR($H8948="HYDROCRACKING",$H8948="RESID_HYDROCRACKING"),"Hydrocracker",IF($H8948="REFORMING","Reformer",""))))</f>
        <v/>
      </c>
    </row>
    <row r="8949" spans="6:7">
      <c r="F8949" s="6">
        <f>IF($M8949="PADD I","PADD 1",IF($M8949="PADD II","PADD 2",IF($M8949="PADD III","PADD 3",IF($M8949="PADD IV","PADD 4",IF($M8949="PADD V","PADD 5","")))))</f>
        <v/>
      </c>
      <c r="G8949" s="6">
        <f>IF(AND($H8949="ATMOS DISTILLATION",ISNUMBER(SEARCH("VPS",$I8949))=FALSE,LEFT($I8949,6)&lt;&gt;"VACUUM"),"CDU",IF($H8949="FLUID CAT CRACKING","FCC",IF(OR($H8949="HYDROCRACKING",$H8949="RESID_HYDROCRACKING"),"Hydrocracker",IF($H8949="REFORMING","Reformer",""))))</f>
        <v/>
      </c>
    </row>
    <row r="8950" spans="6:7">
      <c r="F8950" s="6">
        <f>IF($M8950="PADD I","PADD 1",IF($M8950="PADD II","PADD 2",IF($M8950="PADD III","PADD 3",IF($M8950="PADD IV","PADD 4",IF($M8950="PADD V","PADD 5","")))))</f>
        <v/>
      </c>
      <c r="G8950" s="6">
        <f>IF(AND($H8950="ATMOS DISTILLATION",ISNUMBER(SEARCH("VPS",$I8950))=FALSE,LEFT($I8950,6)&lt;&gt;"VACUUM"),"CDU",IF($H8950="FLUID CAT CRACKING","FCC",IF(OR($H8950="HYDROCRACKING",$H8950="RESID_HYDROCRACKING"),"Hydrocracker",IF($H8950="REFORMING","Reformer",""))))</f>
        <v/>
      </c>
    </row>
    <row r="8951" spans="6:7">
      <c r="F8951" s="6">
        <f>IF($M8951="PADD I","PADD 1",IF($M8951="PADD II","PADD 2",IF($M8951="PADD III","PADD 3",IF($M8951="PADD IV","PADD 4",IF($M8951="PADD V","PADD 5","")))))</f>
        <v/>
      </c>
      <c r="G8951" s="6">
        <f>IF(AND($H8951="ATMOS DISTILLATION",ISNUMBER(SEARCH("VPS",$I8951))=FALSE,LEFT($I8951,6)&lt;&gt;"VACUUM"),"CDU",IF($H8951="FLUID CAT CRACKING","FCC",IF(OR($H8951="HYDROCRACKING",$H8951="RESID_HYDROCRACKING"),"Hydrocracker",IF($H8951="REFORMING","Reformer",""))))</f>
        <v/>
      </c>
    </row>
    <row r="8952" spans="6:7">
      <c r="F8952" s="6">
        <f>IF($M8952="PADD I","PADD 1",IF($M8952="PADD II","PADD 2",IF($M8952="PADD III","PADD 3",IF($M8952="PADD IV","PADD 4",IF($M8952="PADD V","PADD 5","")))))</f>
        <v/>
      </c>
      <c r="G8952" s="6">
        <f>IF(AND($H8952="ATMOS DISTILLATION",ISNUMBER(SEARCH("VPS",$I8952))=FALSE,LEFT($I8952,6)&lt;&gt;"VACUUM"),"CDU",IF($H8952="FLUID CAT CRACKING","FCC",IF(OR($H8952="HYDROCRACKING",$H8952="RESID_HYDROCRACKING"),"Hydrocracker",IF($H8952="REFORMING","Reformer",""))))</f>
        <v/>
      </c>
    </row>
    <row r="8953" spans="6:7">
      <c r="F8953" s="6">
        <f>IF($M8953="PADD I","PADD 1",IF($M8953="PADD II","PADD 2",IF($M8953="PADD III","PADD 3",IF($M8953="PADD IV","PADD 4",IF($M8953="PADD V","PADD 5","")))))</f>
        <v/>
      </c>
      <c r="G8953" s="6">
        <f>IF(AND($H8953="ATMOS DISTILLATION",ISNUMBER(SEARCH("VPS",$I8953))=FALSE,LEFT($I8953,6)&lt;&gt;"VACUUM"),"CDU",IF($H8953="FLUID CAT CRACKING","FCC",IF(OR($H8953="HYDROCRACKING",$H8953="RESID_HYDROCRACKING"),"Hydrocracker",IF($H8953="REFORMING","Reformer",""))))</f>
        <v/>
      </c>
    </row>
    <row r="8954" spans="6:7">
      <c r="F8954" s="6">
        <f>IF($M8954="PADD I","PADD 1",IF($M8954="PADD II","PADD 2",IF($M8954="PADD III","PADD 3",IF($M8954="PADD IV","PADD 4",IF($M8954="PADD V","PADD 5","")))))</f>
        <v/>
      </c>
      <c r="G8954" s="6">
        <f>IF(AND($H8954="ATMOS DISTILLATION",ISNUMBER(SEARCH("VPS",$I8954))=FALSE,LEFT($I8954,6)&lt;&gt;"VACUUM"),"CDU",IF($H8954="FLUID CAT CRACKING","FCC",IF(OR($H8954="HYDROCRACKING",$H8954="RESID_HYDROCRACKING"),"Hydrocracker",IF($H8954="REFORMING","Reformer",""))))</f>
        <v/>
      </c>
    </row>
    <row r="8955" spans="6:7">
      <c r="F8955" s="6">
        <f>IF($M8955="PADD I","PADD 1",IF($M8955="PADD II","PADD 2",IF($M8955="PADD III","PADD 3",IF($M8955="PADD IV","PADD 4",IF($M8955="PADD V","PADD 5","")))))</f>
        <v/>
      </c>
      <c r="G8955" s="6">
        <f>IF(AND($H8955="ATMOS DISTILLATION",ISNUMBER(SEARCH("VPS",$I8955))=FALSE,LEFT($I8955,6)&lt;&gt;"VACUUM"),"CDU",IF($H8955="FLUID CAT CRACKING","FCC",IF(OR($H8955="HYDROCRACKING",$H8955="RESID_HYDROCRACKING"),"Hydrocracker",IF($H8955="REFORMING","Reformer",""))))</f>
        <v/>
      </c>
    </row>
    <row r="8956" spans="6:7">
      <c r="F8956" s="6">
        <f>IF($M8956="PADD I","PADD 1",IF($M8956="PADD II","PADD 2",IF($M8956="PADD III","PADD 3",IF($M8956="PADD IV","PADD 4",IF($M8956="PADD V","PADD 5","")))))</f>
        <v/>
      </c>
      <c r="G8956" s="6">
        <f>IF(AND($H8956="ATMOS DISTILLATION",ISNUMBER(SEARCH("VPS",$I8956))=FALSE,LEFT($I8956,6)&lt;&gt;"VACUUM"),"CDU",IF($H8956="FLUID CAT CRACKING","FCC",IF(OR($H8956="HYDROCRACKING",$H8956="RESID_HYDROCRACKING"),"Hydrocracker",IF($H8956="REFORMING","Reformer",""))))</f>
        <v/>
      </c>
    </row>
    <row r="8957" spans="6:7">
      <c r="F8957" s="6">
        <f>IF($M8957="PADD I","PADD 1",IF($M8957="PADD II","PADD 2",IF($M8957="PADD III","PADD 3",IF($M8957="PADD IV","PADD 4",IF($M8957="PADD V","PADD 5","")))))</f>
        <v/>
      </c>
      <c r="G8957" s="6">
        <f>IF(AND($H8957="ATMOS DISTILLATION",ISNUMBER(SEARCH("VPS",$I8957))=FALSE,LEFT($I8957,6)&lt;&gt;"VACUUM"),"CDU",IF($H8957="FLUID CAT CRACKING","FCC",IF(OR($H8957="HYDROCRACKING",$H8957="RESID_HYDROCRACKING"),"Hydrocracker",IF($H8957="REFORMING","Reformer",""))))</f>
        <v/>
      </c>
    </row>
    <row r="8958" spans="6:7">
      <c r="F8958" s="6">
        <f>IF($M8958="PADD I","PADD 1",IF($M8958="PADD II","PADD 2",IF($M8958="PADD III","PADD 3",IF($M8958="PADD IV","PADD 4",IF($M8958="PADD V","PADD 5","")))))</f>
        <v/>
      </c>
      <c r="G8958" s="6">
        <f>IF(AND($H8958="ATMOS DISTILLATION",ISNUMBER(SEARCH("VPS",$I8958))=FALSE,LEFT($I8958,6)&lt;&gt;"VACUUM"),"CDU",IF($H8958="FLUID CAT CRACKING","FCC",IF(OR($H8958="HYDROCRACKING",$H8958="RESID_HYDROCRACKING"),"Hydrocracker",IF($H8958="REFORMING","Reformer",""))))</f>
        <v/>
      </c>
    </row>
    <row r="8959" spans="6:7">
      <c r="F8959" s="6">
        <f>IF($M8959="PADD I","PADD 1",IF($M8959="PADD II","PADD 2",IF($M8959="PADD III","PADD 3",IF($M8959="PADD IV","PADD 4",IF($M8959="PADD V","PADD 5","")))))</f>
        <v/>
      </c>
      <c r="G8959" s="6">
        <f>IF(AND($H8959="ATMOS DISTILLATION",ISNUMBER(SEARCH("VPS",$I8959))=FALSE,LEFT($I8959,6)&lt;&gt;"VACUUM"),"CDU",IF($H8959="FLUID CAT CRACKING","FCC",IF(OR($H8959="HYDROCRACKING",$H8959="RESID_HYDROCRACKING"),"Hydrocracker",IF($H8959="REFORMING","Reformer",""))))</f>
        <v/>
      </c>
    </row>
    <row r="8960" spans="6:7">
      <c r="F8960" s="6">
        <f>IF($M8960="PADD I","PADD 1",IF($M8960="PADD II","PADD 2",IF($M8960="PADD III","PADD 3",IF($M8960="PADD IV","PADD 4",IF($M8960="PADD V","PADD 5","")))))</f>
        <v/>
      </c>
      <c r="G8960" s="6">
        <f>IF(AND($H8960="ATMOS DISTILLATION",ISNUMBER(SEARCH("VPS",$I8960))=FALSE,LEFT($I8960,6)&lt;&gt;"VACUUM"),"CDU",IF($H8960="FLUID CAT CRACKING","FCC",IF(OR($H8960="HYDROCRACKING",$H8960="RESID_HYDROCRACKING"),"Hydrocracker",IF($H8960="REFORMING","Reformer",""))))</f>
        <v/>
      </c>
    </row>
    <row r="8961" spans="6:7">
      <c r="F8961" s="6">
        <f>IF($M8961="PADD I","PADD 1",IF($M8961="PADD II","PADD 2",IF($M8961="PADD III","PADD 3",IF($M8961="PADD IV","PADD 4",IF($M8961="PADD V","PADD 5","")))))</f>
        <v/>
      </c>
      <c r="G8961" s="6">
        <f>IF(AND($H8961="ATMOS DISTILLATION",ISNUMBER(SEARCH("VPS",$I8961))=FALSE,LEFT($I8961,6)&lt;&gt;"VACUUM"),"CDU",IF($H8961="FLUID CAT CRACKING","FCC",IF(OR($H8961="HYDROCRACKING",$H8961="RESID_HYDROCRACKING"),"Hydrocracker",IF($H8961="REFORMING","Reformer",""))))</f>
        <v/>
      </c>
    </row>
    <row r="8962" spans="6:7">
      <c r="F8962" s="6">
        <f>IF($M8962="PADD I","PADD 1",IF($M8962="PADD II","PADD 2",IF($M8962="PADD III","PADD 3",IF($M8962="PADD IV","PADD 4",IF($M8962="PADD V","PADD 5","")))))</f>
        <v/>
      </c>
      <c r="G8962" s="6">
        <f>IF(AND($H8962="ATMOS DISTILLATION",ISNUMBER(SEARCH("VPS",$I8962))=FALSE,LEFT($I8962,6)&lt;&gt;"VACUUM"),"CDU",IF($H8962="FLUID CAT CRACKING","FCC",IF(OR($H8962="HYDROCRACKING",$H8962="RESID_HYDROCRACKING"),"Hydrocracker",IF($H8962="REFORMING","Reformer",""))))</f>
        <v/>
      </c>
    </row>
    <row r="8963" spans="6:7">
      <c r="F8963" s="6">
        <f>IF($M8963="PADD I","PADD 1",IF($M8963="PADD II","PADD 2",IF($M8963="PADD III","PADD 3",IF($M8963="PADD IV","PADD 4",IF($M8963="PADD V","PADD 5","")))))</f>
        <v/>
      </c>
      <c r="G8963" s="6">
        <f>IF(AND($H8963="ATMOS DISTILLATION",ISNUMBER(SEARCH("VPS",$I8963))=FALSE,LEFT($I8963,6)&lt;&gt;"VACUUM"),"CDU",IF($H8963="FLUID CAT CRACKING","FCC",IF(OR($H8963="HYDROCRACKING",$H8963="RESID_HYDROCRACKING"),"Hydrocracker",IF($H8963="REFORMING","Reformer",""))))</f>
        <v/>
      </c>
    </row>
    <row r="8964" spans="6:7">
      <c r="F8964" s="6">
        <f>IF($M8964="PADD I","PADD 1",IF($M8964="PADD II","PADD 2",IF($M8964="PADD III","PADD 3",IF($M8964="PADD IV","PADD 4",IF($M8964="PADD V","PADD 5","")))))</f>
        <v/>
      </c>
      <c r="G8964" s="6">
        <f>IF(AND($H8964="ATMOS DISTILLATION",ISNUMBER(SEARCH("VPS",$I8964))=FALSE,LEFT($I8964,6)&lt;&gt;"VACUUM"),"CDU",IF($H8964="FLUID CAT CRACKING","FCC",IF(OR($H8964="HYDROCRACKING",$H8964="RESID_HYDROCRACKING"),"Hydrocracker",IF($H8964="REFORMING","Reformer",""))))</f>
        <v/>
      </c>
    </row>
    <row r="8965" spans="6:7">
      <c r="F8965" s="6">
        <f>IF($M8965="PADD I","PADD 1",IF($M8965="PADD II","PADD 2",IF($M8965="PADD III","PADD 3",IF($M8965="PADD IV","PADD 4",IF($M8965="PADD V","PADD 5","")))))</f>
        <v/>
      </c>
      <c r="G8965" s="6">
        <f>IF(AND($H8965="ATMOS DISTILLATION",ISNUMBER(SEARCH("VPS",$I8965))=FALSE,LEFT($I8965,6)&lt;&gt;"VACUUM"),"CDU",IF($H8965="FLUID CAT CRACKING","FCC",IF(OR($H8965="HYDROCRACKING",$H8965="RESID_HYDROCRACKING"),"Hydrocracker",IF($H8965="REFORMING","Reformer",""))))</f>
        <v/>
      </c>
    </row>
    <row r="8966" spans="6:7">
      <c r="F8966" s="6">
        <f>IF($M8966="PADD I","PADD 1",IF($M8966="PADD II","PADD 2",IF($M8966="PADD III","PADD 3",IF($M8966="PADD IV","PADD 4",IF($M8966="PADD V","PADD 5","")))))</f>
        <v/>
      </c>
      <c r="G8966" s="6">
        <f>IF(AND($H8966="ATMOS DISTILLATION",ISNUMBER(SEARCH("VPS",$I8966))=FALSE,LEFT($I8966,6)&lt;&gt;"VACUUM"),"CDU",IF($H8966="FLUID CAT CRACKING","FCC",IF(OR($H8966="HYDROCRACKING",$H8966="RESID_HYDROCRACKING"),"Hydrocracker",IF($H8966="REFORMING","Reformer",""))))</f>
        <v/>
      </c>
    </row>
    <row r="8967" spans="6:7">
      <c r="F8967" s="6">
        <f>IF($M8967="PADD I","PADD 1",IF($M8967="PADD II","PADD 2",IF($M8967="PADD III","PADD 3",IF($M8967="PADD IV","PADD 4",IF($M8967="PADD V","PADD 5","")))))</f>
        <v/>
      </c>
      <c r="G8967" s="6">
        <f>IF(AND($H8967="ATMOS DISTILLATION",ISNUMBER(SEARCH("VPS",$I8967))=FALSE,LEFT($I8967,6)&lt;&gt;"VACUUM"),"CDU",IF($H8967="FLUID CAT CRACKING","FCC",IF(OR($H8967="HYDROCRACKING",$H8967="RESID_HYDROCRACKING"),"Hydrocracker",IF($H8967="REFORMING","Reformer",""))))</f>
        <v/>
      </c>
    </row>
    <row r="8968" spans="6:7">
      <c r="F8968" s="6">
        <f>IF($M8968="PADD I","PADD 1",IF($M8968="PADD II","PADD 2",IF($M8968="PADD III","PADD 3",IF($M8968="PADD IV","PADD 4",IF($M8968="PADD V","PADD 5","")))))</f>
        <v/>
      </c>
      <c r="G8968" s="6">
        <f>IF(AND($H8968="ATMOS DISTILLATION",ISNUMBER(SEARCH("VPS",$I8968))=FALSE,LEFT($I8968,6)&lt;&gt;"VACUUM"),"CDU",IF($H8968="FLUID CAT CRACKING","FCC",IF(OR($H8968="HYDROCRACKING",$H8968="RESID_HYDROCRACKING"),"Hydrocracker",IF($H8968="REFORMING","Reformer",""))))</f>
        <v/>
      </c>
    </row>
    <row r="8969" spans="6:7">
      <c r="F8969" s="6">
        <f>IF($M8969="PADD I","PADD 1",IF($M8969="PADD II","PADD 2",IF($M8969="PADD III","PADD 3",IF($M8969="PADD IV","PADD 4",IF($M8969="PADD V","PADD 5","")))))</f>
        <v/>
      </c>
      <c r="G8969" s="6">
        <f>IF(AND($H8969="ATMOS DISTILLATION",ISNUMBER(SEARCH("VPS",$I8969))=FALSE,LEFT($I8969,6)&lt;&gt;"VACUUM"),"CDU",IF($H8969="FLUID CAT CRACKING","FCC",IF(OR($H8969="HYDROCRACKING",$H8969="RESID_HYDROCRACKING"),"Hydrocracker",IF($H8969="REFORMING","Reformer",""))))</f>
        <v/>
      </c>
    </row>
    <row r="8970" spans="6:7">
      <c r="F8970" s="6">
        <f>IF($M8970="PADD I","PADD 1",IF($M8970="PADD II","PADD 2",IF($M8970="PADD III","PADD 3",IF($M8970="PADD IV","PADD 4",IF($M8970="PADD V","PADD 5","")))))</f>
        <v/>
      </c>
      <c r="G8970" s="6">
        <f>IF(AND($H8970="ATMOS DISTILLATION",ISNUMBER(SEARCH("VPS",$I8970))=FALSE,LEFT($I8970,6)&lt;&gt;"VACUUM"),"CDU",IF($H8970="FLUID CAT CRACKING","FCC",IF(OR($H8970="HYDROCRACKING",$H8970="RESID_HYDROCRACKING"),"Hydrocracker",IF($H8970="REFORMING","Reformer",""))))</f>
        <v/>
      </c>
    </row>
    <row r="8971" spans="6:7">
      <c r="F8971" s="6">
        <f>IF($M8971="PADD I","PADD 1",IF($M8971="PADD II","PADD 2",IF($M8971="PADD III","PADD 3",IF($M8971="PADD IV","PADD 4",IF($M8971="PADD V","PADD 5","")))))</f>
        <v/>
      </c>
      <c r="G8971" s="6">
        <f>IF(AND($H8971="ATMOS DISTILLATION",ISNUMBER(SEARCH("VPS",$I8971))=FALSE,LEFT($I8971,6)&lt;&gt;"VACUUM"),"CDU",IF($H8971="FLUID CAT CRACKING","FCC",IF(OR($H8971="HYDROCRACKING",$H8971="RESID_HYDROCRACKING"),"Hydrocracker",IF($H8971="REFORMING","Reformer",""))))</f>
        <v/>
      </c>
    </row>
    <row r="8972" spans="6:7">
      <c r="F8972" s="6">
        <f>IF($M8972="PADD I","PADD 1",IF($M8972="PADD II","PADD 2",IF($M8972="PADD III","PADD 3",IF($M8972="PADD IV","PADD 4",IF($M8972="PADD V","PADD 5","")))))</f>
        <v/>
      </c>
      <c r="G8972" s="6">
        <f>IF(AND($H8972="ATMOS DISTILLATION",ISNUMBER(SEARCH("VPS",$I8972))=FALSE,LEFT($I8972,6)&lt;&gt;"VACUUM"),"CDU",IF($H8972="FLUID CAT CRACKING","FCC",IF(OR($H8972="HYDROCRACKING",$H8972="RESID_HYDROCRACKING"),"Hydrocracker",IF($H8972="REFORMING","Reformer",""))))</f>
        <v/>
      </c>
    </row>
    <row r="8973" spans="6:7">
      <c r="F8973" s="6">
        <f>IF($M8973="PADD I","PADD 1",IF($M8973="PADD II","PADD 2",IF($M8973="PADD III","PADD 3",IF($M8973="PADD IV","PADD 4",IF($M8973="PADD V","PADD 5","")))))</f>
        <v/>
      </c>
      <c r="G8973" s="6">
        <f>IF(AND($H8973="ATMOS DISTILLATION",ISNUMBER(SEARCH("VPS",$I8973))=FALSE,LEFT($I8973,6)&lt;&gt;"VACUUM"),"CDU",IF($H8973="FLUID CAT CRACKING","FCC",IF(OR($H8973="HYDROCRACKING",$H8973="RESID_HYDROCRACKING"),"Hydrocracker",IF($H8973="REFORMING","Reformer",""))))</f>
        <v/>
      </c>
    </row>
    <row r="8974" spans="6:7">
      <c r="F8974" s="6">
        <f>IF($M8974="PADD I","PADD 1",IF($M8974="PADD II","PADD 2",IF($M8974="PADD III","PADD 3",IF($M8974="PADD IV","PADD 4",IF($M8974="PADD V","PADD 5","")))))</f>
        <v/>
      </c>
      <c r="G8974" s="6">
        <f>IF(AND($H8974="ATMOS DISTILLATION",ISNUMBER(SEARCH("VPS",$I8974))=FALSE,LEFT($I8974,6)&lt;&gt;"VACUUM"),"CDU",IF($H8974="FLUID CAT CRACKING","FCC",IF(OR($H8974="HYDROCRACKING",$H8974="RESID_HYDROCRACKING"),"Hydrocracker",IF($H8974="REFORMING","Reformer",""))))</f>
        <v/>
      </c>
    </row>
    <row r="8975" spans="6:7">
      <c r="F8975" s="6">
        <f>IF($M8975="PADD I","PADD 1",IF($M8975="PADD II","PADD 2",IF($M8975="PADD III","PADD 3",IF($M8975="PADD IV","PADD 4",IF($M8975="PADD V","PADD 5","")))))</f>
        <v/>
      </c>
      <c r="G8975" s="6">
        <f>IF(AND($H8975="ATMOS DISTILLATION",ISNUMBER(SEARCH("VPS",$I8975))=FALSE,LEFT($I8975,6)&lt;&gt;"VACUUM"),"CDU",IF($H8975="FLUID CAT CRACKING","FCC",IF(OR($H8975="HYDROCRACKING",$H8975="RESID_HYDROCRACKING"),"Hydrocracker",IF($H8975="REFORMING","Reformer",""))))</f>
        <v/>
      </c>
    </row>
    <row r="8976" spans="6:7">
      <c r="F8976" s="6">
        <f>IF($M8976="PADD I","PADD 1",IF($M8976="PADD II","PADD 2",IF($M8976="PADD III","PADD 3",IF($M8976="PADD IV","PADD 4",IF($M8976="PADD V","PADD 5","")))))</f>
        <v/>
      </c>
      <c r="G8976" s="6">
        <f>IF(AND($H8976="ATMOS DISTILLATION",ISNUMBER(SEARCH("VPS",$I8976))=FALSE,LEFT($I8976,6)&lt;&gt;"VACUUM"),"CDU",IF($H8976="FLUID CAT CRACKING","FCC",IF(OR($H8976="HYDROCRACKING",$H8976="RESID_HYDROCRACKING"),"Hydrocracker",IF($H8976="REFORMING","Reformer",""))))</f>
        <v/>
      </c>
    </row>
    <row r="8977" spans="6:7">
      <c r="F8977" s="6">
        <f>IF($M8977="PADD I","PADD 1",IF($M8977="PADD II","PADD 2",IF($M8977="PADD III","PADD 3",IF($M8977="PADD IV","PADD 4",IF($M8977="PADD V","PADD 5","")))))</f>
        <v/>
      </c>
      <c r="G8977" s="6">
        <f>IF(AND($H8977="ATMOS DISTILLATION",ISNUMBER(SEARCH("VPS",$I8977))=FALSE,LEFT($I8977,6)&lt;&gt;"VACUUM"),"CDU",IF($H8977="FLUID CAT CRACKING","FCC",IF(OR($H8977="HYDROCRACKING",$H8977="RESID_HYDROCRACKING"),"Hydrocracker",IF($H8977="REFORMING","Reformer",""))))</f>
        <v/>
      </c>
    </row>
    <row r="8978" spans="6:7">
      <c r="F8978" s="6">
        <f>IF($M8978="PADD I","PADD 1",IF($M8978="PADD II","PADD 2",IF($M8978="PADD III","PADD 3",IF($M8978="PADD IV","PADD 4",IF($M8978="PADD V","PADD 5","")))))</f>
        <v/>
      </c>
      <c r="G8978" s="6">
        <f>IF(AND($H8978="ATMOS DISTILLATION",ISNUMBER(SEARCH("VPS",$I8978))=FALSE,LEFT($I8978,6)&lt;&gt;"VACUUM"),"CDU",IF($H8978="FLUID CAT CRACKING","FCC",IF(OR($H8978="HYDROCRACKING",$H8978="RESID_HYDROCRACKING"),"Hydrocracker",IF($H8978="REFORMING","Reformer",""))))</f>
        <v/>
      </c>
    </row>
    <row r="8979" spans="6:7">
      <c r="F8979" s="6">
        <f>IF($M8979="PADD I","PADD 1",IF($M8979="PADD II","PADD 2",IF($M8979="PADD III","PADD 3",IF($M8979="PADD IV","PADD 4",IF($M8979="PADD V","PADD 5","")))))</f>
        <v/>
      </c>
      <c r="G8979" s="6">
        <f>IF(AND($H8979="ATMOS DISTILLATION",ISNUMBER(SEARCH("VPS",$I8979))=FALSE,LEFT($I8979,6)&lt;&gt;"VACUUM"),"CDU",IF($H8979="FLUID CAT CRACKING","FCC",IF(OR($H8979="HYDROCRACKING",$H8979="RESID_HYDROCRACKING"),"Hydrocracker",IF($H8979="REFORMING","Reformer",""))))</f>
        <v/>
      </c>
    </row>
    <row r="8980" spans="6:7">
      <c r="F8980" s="6">
        <f>IF($M8980="PADD I","PADD 1",IF($M8980="PADD II","PADD 2",IF($M8980="PADD III","PADD 3",IF($M8980="PADD IV","PADD 4",IF($M8980="PADD V","PADD 5","")))))</f>
        <v/>
      </c>
      <c r="G8980" s="6">
        <f>IF(AND($H8980="ATMOS DISTILLATION",ISNUMBER(SEARCH("VPS",$I8980))=FALSE,LEFT($I8980,6)&lt;&gt;"VACUUM"),"CDU",IF($H8980="FLUID CAT CRACKING","FCC",IF(OR($H8980="HYDROCRACKING",$H8980="RESID_HYDROCRACKING"),"Hydrocracker",IF($H8980="REFORMING","Reformer",""))))</f>
        <v/>
      </c>
    </row>
    <row r="8981" spans="6:7">
      <c r="F8981" s="6">
        <f>IF($M8981="PADD I","PADD 1",IF($M8981="PADD II","PADD 2",IF($M8981="PADD III","PADD 3",IF($M8981="PADD IV","PADD 4",IF($M8981="PADD V","PADD 5","")))))</f>
        <v/>
      </c>
      <c r="G8981" s="6">
        <f>IF(AND($H8981="ATMOS DISTILLATION",ISNUMBER(SEARCH("VPS",$I8981))=FALSE,LEFT($I8981,6)&lt;&gt;"VACUUM"),"CDU",IF($H8981="FLUID CAT CRACKING","FCC",IF(OR($H8981="HYDROCRACKING",$H8981="RESID_HYDROCRACKING"),"Hydrocracker",IF($H8981="REFORMING","Reformer",""))))</f>
        <v/>
      </c>
    </row>
    <row r="8982" spans="6:7">
      <c r="F8982" s="6">
        <f>IF($M8982="PADD I","PADD 1",IF($M8982="PADD II","PADD 2",IF($M8982="PADD III","PADD 3",IF($M8982="PADD IV","PADD 4",IF($M8982="PADD V","PADD 5","")))))</f>
        <v/>
      </c>
      <c r="G8982" s="6">
        <f>IF(AND($H8982="ATMOS DISTILLATION",ISNUMBER(SEARCH("VPS",$I8982))=FALSE,LEFT($I8982,6)&lt;&gt;"VACUUM"),"CDU",IF($H8982="FLUID CAT CRACKING","FCC",IF(OR($H8982="HYDROCRACKING",$H8982="RESID_HYDROCRACKING"),"Hydrocracker",IF($H8982="REFORMING","Reformer",""))))</f>
        <v/>
      </c>
    </row>
    <row r="8983" spans="6:7">
      <c r="F8983" s="6">
        <f>IF($M8983="PADD I","PADD 1",IF($M8983="PADD II","PADD 2",IF($M8983="PADD III","PADD 3",IF($M8983="PADD IV","PADD 4",IF($M8983="PADD V","PADD 5","")))))</f>
        <v/>
      </c>
      <c r="G8983" s="6">
        <f>IF(AND($H8983="ATMOS DISTILLATION",ISNUMBER(SEARCH("VPS",$I8983))=FALSE,LEFT($I8983,6)&lt;&gt;"VACUUM"),"CDU",IF($H8983="FLUID CAT CRACKING","FCC",IF(OR($H8983="HYDROCRACKING",$H8983="RESID_HYDROCRACKING"),"Hydrocracker",IF($H8983="REFORMING","Reformer",""))))</f>
        <v/>
      </c>
    </row>
    <row r="8984" spans="6:7">
      <c r="F8984" s="6">
        <f>IF($M8984="PADD I","PADD 1",IF($M8984="PADD II","PADD 2",IF($M8984="PADD III","PADD 3",IF($M8984="PADD IV","PADD 4",IF($M8984="PADD V","PADD 5","")))))</f>
        <v/>
      </c>
      <c r="G8984" s="6">
        <f>IF(AND($H8984="ATMOS DISTILLATION",ISNUMBER(SEARCH("VPS",$I8984))=FALSE,LEFT($I8984,6)&lt;&gt;"VACUUM"),"CDU",IF($H8984="FLUID CAT CRACKING","FCC",IF(OR($H8984="HYDROCRACKING",$H8984="RESID_HYDROCRACKING"),"Hydrocracker",IF($H8984="REFORMING","Reformer",""))))</f>
        <v/>
      </c>
    </row>
    <row r="8985" spans="6:7">
      <c r="F8985" s="6">
        <f>IF($M8985="PADD I","PADD 1",IF($M8985="PADD II","PADD 2",IF($M8985="PADD III","PADD 3",IF($M8985="PADD IV","PADD 4",IF($M8985="PADD V","PADD 5","")))))</f>
        <v/>
      </c>
      <c r="G8985" s="6">
        <f>IF(AND($H8985="ATMOS DISTILLATION",ISNUMBER(SEARCH("VPS",$I8985))=FALSE,LEFT($I8985,6)&lt;&gt;"VACUUM"),"CDU",IF($H8985="FLUID CAT CRACKING","FCC",IF(OR($H8985="HYDROCRACKING",$H8985="RESID_HYDROCRACKING"),"Hydrocracker",IF($H8985="REFORMING","Reformer",""))))</f>
        <v/>
      </c>
    </row>
    <row r="8986" spans="6:7">
      <c r="F8986" s="6">
        <f>IF($M8986="PADD I","PADD 1",IF($M8986="PADD II","PADD 2",IF($M8986="PADD III","PADD 3",IF($M8986="PADD IV","PADD 4",IF($M8986="PADD V","PADD 5","")))))</f>
        <v/>
      </c>
      <c r="G8986" s="6">
        <f>IF(AND($H8986="ATMOS DISTILLATION",ISNUMBER(SEARCH("VPS",$I8986))=FALSE,LEFT($I8986,6)&lt;&gt;"VACUUM"),"CDU",IF($H8986="FLUID CAT CRACKING","FCC",IF(OR($H8986="HYDROCRACKING",$H8986="RESID_HYDROCRACKING"),"Hydrocracker",IF($H8986="REFORMING","Reformer",""))))</f>
        <v/>
      </c>
    </row>
    <row r="8987" spans="6:7">
      <c r="F8987" s="6">
        <f>IF($M8987="PADD I","PADD 1",IF($M8987="PADD II","PADD 2",IF($M8987="PADD III","PADD 3",IF($M8987="PADD IV","PADD 4",IF($M8987="PADD V","PADD 5","")))))</f>
        <v/>
      </c>
      <c r="G8987" s="6">
        <f>IF(AND($H8987="ATMOS DISTILLATION",ISNUMBER(SEARCH("VPS",$I8987))=FALSE,LEFT($I8987,6)&lt;&gt;"VACUUM"),"CDU",IF($H8987="FLUID CAT CRACKING","FCC",IF(OR($H8987="HYDROCRACKING",$H8987="RESID_HYDROCRACKING"),"Hydrocracker",IF($H8987="REFORMING","Reformer",""))))</f>
        <v/>
      </c>
    </row>
    <row r="8988" spans="6:7">
      <c r="F8988" s="6">
        <f>IF($M8988="PADD I","PADD 1",IF($M8988="PADD II","PADD 2",IF($M8988="PADD III","PADD 3",IF($M8988="PADD IV","PADD 4",IF($M8988="PADD V","PADD 5","")))))</f>
        <v/>
      </c>
      <c r="G8988" s="6">
        <f>IF(AND($H8988="ATMOS DISTILLATION",ISNUMBER(SEARCH("VPS",$I8988))=FALSE,LEFT($I8988,6)&lt;&gt;"VACUUM"),"CDU",IF($H8988="FLUID CAT CRACKING","FCC",IF(OR($H8988="HYDROCRACKING",$H8988="RESID_HYDROCRACKING"),"Hydrocracker",IF($H8988="REFORMING","Reformer",""))))</f>
        <v/>
      </c>
    </row>
    <row r="8989" spans="6:7">
      <c r="F8989" s="6">
        <f>IF($M8989="PADD I","PADD 1",IF($M8989="PADD II","PADD 2",IF($M8989="PADD III","PADD 3",IF($M8989="PADD IV","PADD 4",IF($M8989="PADD V","PADD 5","")))))</f>
        <v/>
      </c>
      <c r="G8989" s="6">
        <f>IF(AND($H8989="ATMOS DISTILLATION",ISNUMBER(SEARCH("VPS",$I8989))=FALSE,LEFT($I8989,6)&lt;&gt;"VACUUM"),"CDU",IF($H8989="FLUID CAT CRACKING","FCC",IF(OR($H8989="HYDROCRACKING",$H8989="RESID_HYDROCRACKING"),"Hydrocracker",IF($H8989="REFORMING","Reformer",""))))</f>
        <v/>
      </c>
    </row>
    <row r="8990" spans="6:7">
      <c r="F8990" s="6">
        <f>IF($M8990="PADD I","PADD 1",IF($M8990="PADD II","PADD 2",IF($M8990="PADD III","PADD 3",IF($M8990="PADD IV","PADD 4",IF($M8990="PADD V","PADD 5","")))))</f>
        <v/>
      </c>
      <c r="G8990" s="6">
        <f>IF(AND($H8990="ATMOS DISTILLATION",ISNUMBER(SEARCH("VPS",$I8990))=FALSE,LEFT($I8990,6)&lt;&gt;"VACUUM"),"CDU",IF($H8990="FLUID CAT CRACKING","FCC",IF(OR($H8990="HYDROCRACKING",$H8990="RESID_HYDROCRACKING"),"Hydrocracker",IF($H8990="REFORMING","Reformer",""))))</f>
        <v/>
      </c>
    </row>
    <row r="8991" spans="6:7">
      <c r="F8991" s="6">
        <f>IF($M8991="PADD I","PADD 1",IF($M8991="PADD II","PADD 2",IF($M8991="PADD III","PADD 3",IF($M8991="PADD IV","PADD 4",IF($M8991="PADD V","PADD 5","")))))</f>
        <v/>
      </c>
      <c r="G8991" s="6">
        <f>IF(AND($H8991="ATMOS DISTILLATION",ISNUMBER(SEARCH("VPS",$I8991))=FALSE,LEFT($I8991,6)&lt;&gt;"VACUUM"),"CDU",IF($H8991="FLUID CAT CRACKING","FCC",IF(OR($H8991="HYDROCRACKING",$H8991="RESID_HYDROCRACKING"),"Hydrocracker",IF($H8991="REFORMING","Reformer",""))))</f>
        <v/>
      </c>
    </row>
    <row r="8992" spans="6:7">
      <c r="F8992" s="6">
        <f>IF($M8992="PADD I","PADD 1",IF($M8992="PADD II","PADD 2",IF($M8992="PADD III","PADD 3",IF($M8992="PADD IV","PADD 4",IF($M8992="PADD V","PADD 5","")))))</f>
        <v/>
      </c>
      <c r="G8992" s="6">
        <f>IF(AND($H8992="ATMOS DISTILLATION",ISNUMBER(SEARCH("VPS",$I8992))=FALSE,LEFT($I8992,6)&lt;&gt;"VACUUM"),"CDU",IF($H8992="FLUID CAT CRACKING","FCC",IF(OR($H8992="HYDROCRACKING",$H8992="RESID_HYDROCRACKING"),"Hydrocracker",IF($H8992="REFORMING","Reformer",""))))</f>
        <v/>
      </c>
    </row>
    <row r="8993" spans="6:7">
      <c r="F8993" s="6">
        <f>IF($M8993="PADD I","PADD 1",IF($M8993="PADD II","PADD 2",IF($M8993="PADD III","PADD 3",IF($M8993="PADD IV","PADD 4",IF($M8993="PADD V","PADD 5","")))))</f>
        <v/>
      </c>
      <c r="G8993" s="6">
        <f>IF(AND($H8993="ATMOS DISTILLATION",ISNUMBER(SEARCH("VPS",$I8993))=FALSE,LEFT($I8993,6)&lt;&gt;"VACUUM"),"CDU",IF($H8993="FLUID CAT CRACKING","FCC",IF(OR($H8993="HYDROCRACKING",$H8993="RESID_HYDROCRACKING"),"Hydrocracker",IF($H8993="REFORMING","Reformer",""))))</f>
        <v/>
      </c>
    </row>
    <row r="8994" spans="6:7">
      <c r="F8994" s="6">
        <f>IF($M8994="PADD I","PADD 1",IF($M8994="PADD II","PADD 2",IF($M8994="PADD III","PADD 3",IF($M8994="PADD IV","PADD 4",IF($M8994="PADD V","PADD 5","")))))</f>
        <v/>
      </c>
      <c r="G8994" s="6">
        <f>IF(AND($H8994="ATMOS DISTILLATION",ISNUMBER(SEARCH("VPS",$I8994))=FALSE,LEFT($I8994,6)&lt;&gt;"VACUUM"),"CDU",IF($H8994="FLUID CAT CRACKING","FCC",IF(OR($H8994="HYDROCRACKING",$H8994="RESID_HYDROCRACKING"),"Hydrocracker",IF($H8994="REFORMING","Reformer",""))))</f>
        <v/>
      </c>
    </row>
    <row r="8995" spans="6:7">
      <c r="F8995" s="6">
        <f>IF($M8995="PADD I","PADD 1",IF($M8995="PADD II","PADD 2",IF($M8995="PADD III","PADD 3",IF($M8995="PADD IV","PADD 4",IF($M8995="PADD V","PADD 5","")))))</f>
        <v/>
      </c>
      <c r="G8995" s="6">
        <f>IF(AND($H8995="ATMOS DISTILLATION",ISNUMBER(SEARCH("VPS",$I8995))=FALSE,LEFT($I8995,6)&lt;&gt;"VACUUM"),"CDU",IF($H8995="FLUID CAT CRACKING","FCC",IF(OR($H8995="HYDROCRACKING",$H8995="RESID_HYDROCRACKING"),"Hydrocracker",IF($H8995="REFORMING","Reformer",""))))</f>
        <v/>
      </c>
    </row>
    <row r="8996" spans="6:7">
      <c r="F8996" s="6">
        <f>IF($M8996="PADD I","PADD 1",IF($M8996="PADD II","PADD 2",IF($M8996="PADD III","PADD 3",IF($M8996="PADD IV","PADD 4",IF($M8996="PADD V","PADD 5","")))))</f>
        <v/>
      </c>
      <c r="G8996" s="6">
        <f>IF(AND($H8996="ATMOS DISTILLATION",ISNUMBER(SEARCH("VPS",$I8996))=FALSE,LEFT($I8996,6)&lt;&gt;"VACUUM"),"CDU",IF($H8996="FLUID CAT CRACKING","FCC",IF(OR($H8996="HYDROCRACKING",$H8996="RESID_HYDROCRACKING"),"Hydrocracker",IF($H8996="REFORMING","Reformer",""))))</f>
        <v/>
      </c>
    </row>
    <row r="8997" spans="6:7">
      <c r="F8997" s="6">
        <f>IF($M8997="PADD I","PADD 1",IF($M8997="PADD II","PADD 2",IF($M8997="PADD III","PADD 3",IF($M8997="PADD IV","PADD 4",IF($M8997="PADD V","PADD 5","")))))</f>
        <v/>
      </c>
      <c r="G8997" s="6">
        <f>IF(AND($H8997="ATMOS DISTILLATION",ISNUMBER(SEARCH("VPS",$I8997))=FALSE,LEFT($I8997,6)&lt;&gt;"VACUUM"),"CDU",IF($H8997="FLUID CAT CRACKING","FCC",IF(OR($H8997="HYDROCRACKING",$H8997="RESID_HYDROCRACKING"),"Hydrocracker",IF($H8997="REFORMING","Reformer",""))))</f>
        <v/>
      </c>
    </row>
    <row r="8998" spans="6:7">
      <c r="F8998" s="6">
        <f>IF($M8998="PADD I","PADD 1",IF($M8998="PADD II","PADD 2",IF($M8998="PADD III","PADD 3",IF($M8998="PADD IV","PADD 4",IF($M8998="PADD V","PADD 5","")))))</f>
        <v/>
      </c>
      <c r="G8998" s="6">
        <f>IF(AND($H8998="ATMOS DISTILLATION",ISNUMBER(SEARCH("VPS",$I8998))=FALSE,LEFT($I8998,6)&lt;&gt;"VACUUM"),"CDU",IF($H8998="FLUID CAT CRACKING","FCC",IF(OR($H8998="HYDROCRACKING",$H8998="RESID_HYDROCRACKING"),"Hydrocracker",IF($H8998="REFORMING","Reformer",""))))</f>
        <v/>
      </c>
    </row>
    <row r="8999" spans="6:7">
      <c r="F8999" s="6">
        <f>IF($M8999="PADD I","PADD 1",IF($M8999="PADD II","PADD 2",IF($M8999="PADD III","PADD 3",IF($M8999="PADD IV","PADD 4",IF($M8999="PADD V","PADD 5","")))))</f>
        <v/>
      </c>
      <c r="G8999" s="6">
        <f>IF(AND($H8999="ATMOS DISTILLATION",ISNUMBER(SEARCH("VPS",$I8999))=FALSE,LEFT($I8999,6)&lt;&gt;"VACUUM"),"CDU",IF($H8999="FLUID CAT CRACKING","FCC",IF(OR($H8999="HYDROCRACKING",$H8999="RESID_HYDROCRACKING"),"Hydrocracker",IF($H8999="REFORMING","Reformer",""))))</f>
        <v/>
      </c>
    </row>
    <row r="9000" spans="6:7">
      <c r="F9000" s="6">
        <f>IF($M9000="PADD I","PADD 1",IF($M9000="PADD II","PADD 2",IF($M9000="PADD III","PADD 3",IF($M9000="PADD IV","PADD 4",IF($M9000="PADD V","PADD 5","")))))</f>
        <v/>
      </c>
      <c r="G9000" s="6">
        <f>IF(AND($H9000="ATMOS DISTILLATION",ISNUMBER(SEARCH("VPS",$I9000))=FALSE,LEFT($I9000,6)&lt;&gt;"VACUUM"),"CDU",IF($H9000="FLUID CAT CRACKING","FCC",IF(OR($H9000="HYDROCRACKING",$H9000="RESID_HYDROCRACKING"),"Hydrocracker",IF($H9000="REFORMING","Reformer",""))))</f>
        <v/>
      </c>
    </row>
    <row r="9001" spans="6:7">
      <c r="F9001" s="6">
        <f>IF($M9001="PADD I","PADD 1",IF($M9001="PADD II","PADD 2",IF($M9001="PADD III","PADD 3",IF($M9001="PADD IV","PADD 4",IF($M9001="PADD V","PADD 5","")))))</f>
        <v/>
      </c>
      <c r="G9001" s="6">
        <f>IF(AND($H9001="ATMOS DISTILLATION",ISNUMBER(SEARCH("VPS",$I9001))=FALSE,LEFT($I9001,6)&lt;&gt;"VACUUM"),"CDU",IF($H9001="FLUID CAT CRACKING","FCC",IF(OR($H9001="HYDROCRACKING",$H9001="RESID_HYDROCRACKING"),"Hydrocracker",IF($H9001="REFORMING","Reformer",""))))</f>
        <v/>
      </c>
    </row>
    <row r="9002" spans="6:7">
      <c r="F9002" s="6">
        <f>IF($M9002="PADD I","PADD 1",IF($M9002="PADD II","PADD 2",IF($M9002="PADD III","PADD 3",IF($M9002="PADD IV","PADD 4",IF($M9002="PADD V","PADD 5","")))))</f>
        <v/>
      </c>
      <c r="G9002" s="6">
        <f>IF(AND($H9002="ATMOS DISTILLATION",ISNUMBER(SEARCH("VPS",$I9002))=FALSE,LEFT($I9002,6)&lt;&gt;"VACUUM"),"CDU",IF($H9002="FLUID CAT CRACKING","FCC",IF(OR($H9002="HYDROCRACKING",$H9002="RESID_HYDROCRACKING"),"Hydrocracker",IF($H9002="REFORMING","Reformer",""))))</f>
        <v/>
      </c>
    </row>
    <row r="9003" spans="6:7">
      <c r="F9003" s="6">
        <f>IF($M9003="PADD I","PADD 1",IF($M9003="PADD II","PADD 2",IF($M9003="PADD III","PADD 3",IF($M9003="PADD IV","PADD 4",IF($M9003="PADD V","PADD 5","")))))</f>
        <v/>
      </c>
      <c r="G9003" s="6">
        <f>IF(AND($H9003="ATMOS DISTILLATION",ISNUMBER(SEARCH("VPS",$I9003))=FALSE,LEFT($I9003,6)&lt;&gt;"VACUUM"),"CDU",IF($H9003="FLUID CAT CRACKING","FCC",IF(OR($H9003="HYDROCRACKING",$H9003="RESID_HYDROCRACKING"),"Hydrocracker",IF($H9003="REFORMING","Reformer",""))))</f>
        <v/>
      </c>
    </row>
    <row r="9004" spans="6:7">
      <c r="F9004" s="6">
        <f>IF($M9004="PADD I","PADD 1",IF($M9004="PADD II","PADD 2",IF($M9004="PADD III","PADD 3",IF($M9004="PADD IV","PADD 4",IF($M9004="PADD V","PADD 5","")))))</f>
        <v/>
      </c>
      <c r="G9004" s="6">
        <f>IF(AND($H9004="ATMOS DISTILLATION",ISNUMBER(SEARCH("VPS",$I9004))=FALSE,LEFT($I9004,6)&lt;&gt;"VACUUM"),"CDU",IF($H9004="FLUID CAT CRACKING","FCC",IF(OR($H9004="HYDROCRACKING",$H9004="RESID_HYDROCRACKING"),"Hydrocracker",IF($H9004="REFORMING","Reformer",""))))</f>
        <v/>
      </c>
    </row>
    <row r="9005" spans="6:7">
      <c r="F9005" s="6">
        <f>IF($M9005="PADD I","PADD 1",IF($M9005="PADD II","PADD 2",IF($M9005="PADD III","PADD 3",IF($M9005="PADD IV","PADD 4",IF($M9005="PADD V","PADD 5","")))))</f>
        <v/>
      </c>
      <c r="G9005" s="6">
        <f>IF(AND($H9005="ATMOS DISTILLATION",ISNUMBER(SEARCH("VPS",$I9005))=FALSE,LEFT($I9005,6)&lt;&gt;"VACUUM"),"CDU",IF($H9005="FLUID CAT CRACKING","FCC",IF(OR($H9005="HYDROCRACKING",$H9005="RESID_HYDROCRACKING"),"Hydrocracker",IF($H9005="REFORMING","Reformer",""))))</f>
        <v/>
      </c>
    </row>
    <row r="9006" spans="6:7">
      <c r="F9006" s="6">
        <f>IF($M9006="PADD I","PADD 1",IF($M9006="PADD II","PADD 2",IF($M9006="PADD III","PADD 3",IF($M9006="PADD IV","PADD 4",IF($M9006="PADD V","PADD 5","")))))</f>
        <v/>
      </c>
      <c r="G9006" s="6">
        <f>IF(AND($H9006="ATMOS DISTILLATION",ISNUMBER(SEARCH("VPS",$I9006))=FALSE,LEFT($I9006,6)&lt;&gt;"VACUUM"),"CDU",IF($H9006="FLUID CAT CRACKING","FCC",IF(OR($H9006="HYDROCRACKING",$H9006="RESID_HYDROCRACKING"),"Hydrocracker",IF($H9006="REFORMING","Reformer",""))))</f>
        <v/>
      </c>
    </row>
    <row r="9007" spans="6:7">
      <c r="F9007" s="6">
        <f>IF($M9007="PADD I","PADD 1",IF($M9007="PADD II","PADD 2",IF($M9007="PADD III","PADD 3",IF($M9007="PADD IV","PADD 4",IF($M9007="PADD V","PADD 5","")))))</f>
        <v/>
      </c>
      <c r="G9007" s="6">
        <f>IF(AND($H9007="ATMOS DISTILLATION",ISNUMBER(SEARCH("VPS",$I9007))=FALSE,LEFT($I9007,6)&lt;&gt;"VACUUM"),"CDU",IF($H9007="FLUID CAT CRACKING","FCC",IF(OR($H9007="HYDROCRACKING",$H9007="RESID_HYDROCRACKING"),"Hydrocracker",IF($H9007="REFORMING","Reformer",""))))</f>
        <v/>
      </c>
    </row>
    <row r="9008" spans="6:7">
      <c r="F9008" s="6">
        <f>IF($M9008="PADD I","PADD 1",IF($M9008="PADD II","PADD 2",IF($M9008="PADD III","PADD 3",IF($M9008="PADD IV","PADD 4",IF($M9008="PADD V","PADD 5","")))))</f>
        <v/>
      </c>
      <c r="G9008" s="6">
        <f>IF(AND($H9008="ATMOS DISTILLATION",ISNUMBER(SEARCH("VPS",$I9008))=FALSE,LEFT($I9008,6)&lt;&gt;"VACUUM"),"CDU",IF($H9008="FLUID CAT CRACKING","FCC",IF(OR($H9008="HYDROCRACKING",$H9008="RESID_HYDROCRACKING"),"Hydrocracker",IF($H9008="REFORMING","Reformer",""))))</f>
        <v/>
      </c>
    </row>
    <row r="9009" spans="6:7">
      <c r="F9009" s="6">
        <f>IF($M9009="PADD I","PADD 1",IF($M9009="PADD II","PADD 2",IF($M9009="PADD III","PADD 3",IF($M9009="PADD IV","PADD 4",IF($M9009="PADD V","PADD 5","")))))</f>
        <v/>
      </c>
      <c r="G9009" s="6">
        <f>IF(AND($H9009="ATMOS DISTILLATION",ISNUMBER(SEARCH("VPS",$I9009))=FALSE,LEFT($I9009,6)&lt;&gt;"VACUUM"),"CDU",IF($H9009="FLUID CAT CRACKING","FCC",IF(OR($H9009="HYDROCRACKING",$H9009="RESID_HYDROCRACKING"),"Hydrocracker",IF($H9009="REFORMING","Reformer",""))))</f>
        <v/>
      </c>
    </row>
    <row r="9010" spans="6:7">
      <c r="F9010" s="6">
        <f>IF($M9010="PADD I","PADD 1",IF($M9010="PADD II","PADD 2",IF($M9010="PADD III","PADD 3",IF($M9010="PADD IV","PADD 4",IF($M9010="PADD V","PADD 5","")))))</f>
        <v/>
      </c>
      <c r="G9010" s="6">
        <f>IF(AND($H9010="ATMOS DISTILLATION",ISNUMBER(SEARCH("VPS",$I9010))=FALSE,LEFT($I9010,6)&lt;&gt;"VACUUM"),"CDU",IF($H9010="FLUID CAT CRACKING","FCC",IF(OR($H9010="HYDROCRACKING",$H9010="RESID_HYDROCRACKING"),"Hydrocracker",IF($H9010="REFORMING","Reformer",""))))</f>
        <v/>
      </c>
    </row>
    <row r="9011" spans="6:7">
      <c r="F9011" s="6">
        <f>IF($M9011="PADD I","PADD 1",IF($M9011="PADD II","PADD 2",IF($M9011="PADD III","PADD 3",IF($M9011="PADD IV","PADD 4",IF($M9011="PADD V","PADD 5","")))))</f>
        <v/>
      </c>
      <c r="G9011" s="6">
        <f>IF(AND($H9011="ATMOS DISTILLATION",ISNUMBER(SEARCH("VPS",$I9011))=FALSE,LEFT($I9011,6)&lt;&gt;"VACUUM"),"CDU",IF($H9011="FLUID CAT CRACKING","FCC",IF(OR($H9011="HYDROCRACKING",$H9011="RESID_HYDROCRACKING"),"Hydrocracker",IF($H9011="REFORMING","Reformer",""))))</f>
        <v/>
      </c>
    </row>
    <row r="9012" spans="6:7">
      <c r="F9012" s="6">
        <f>IF($M9012="PADD I","PADD 1",IF($M9012="PADD II","PADD 2",IF($M9012="PADD III","PADD 3",IF($M9012="PADD IV","PADD 4",IF($M9012="PADD V","PADD 5","")))))</f>
        <v/>
      </c>
      <c r="G9012" s="6">
        <f>IF(AND($H9012="ATMOS DISTILLATION",ISNUMBER(SEARCH("VPS",$I9012))=FALSE,LEFT($I9012,6)&lt;&gt;"VACUUM"),"CDU",IF($H9012="FLUID CAT CRACKING","FCC",IF(OR($H9012="HYDROCRACKING",$H9012="RESID_HYDROCRACKING"),"Hydrocracker",IF($H9012="REFORMING","Reformer",""))))</f>
        <v/>
      </c>
    </row>
    <row r="9013" spans="6:7">
      <c r="F9013" s="6">
        <f>IF($M9013="PADD I","PADD 1",IF($M9013="PADD II","PADD 2",IF($M9013="PADD III","PADD 3",IF($M9013="PADD IV","PADD 4",IF($M9013="PADD V","PADD 5","")))))</f>
        <v/>
      </c>
      <c r="G9013" s="6">
        <f>IF(AND($H9013="ATMOS DISTILLATION",ISNUMBER(SEARCH("VPS",$I9013))=FALSE,LEFT($I9013,6)&lt;&gt;"VACUUM"),"CDU",IF($H9013="FLUID CAT CRACKING","FCC",IF(OR($H9013="HYDROCRACKING",$H9013="RESID_HYDROCRACKING"),"Hydrocracker",IF($H9013="REFORMING","Reformer",""))))</f>
        <v/>
      </c>
    </row>
    <row r="9014" spans="6:7">
      <c r="F9014" s="6">
        <f>IF($M9014="PADD I","PADD 1",IF($M9014="PADD II","PADD 2",IF($M9014="PADD III","PADD 3",IF($M9014="PADD IV","PADD 4",IF($M9014="PADD V","PADD 5","")))))</f>
        <v/>
      </c>
      <c r="G9014" s="6">
        <f>IF(AND($H9014="ATMOS DISTILLATION",ISNUMBER(SEARCH("VPS",$I9014))=FALSE,LEFT($I9014,6)&lt;&gt;"VACUUM"),"CDU",IF($H9014="FLUID CAT CRACKING","FCC",IF(OR($H9014="HYDROCRACKING",$H9014="RESID_HYDROCRACKING"),"Hydrocracker",IF($H9014="REFORMING","Reformer",""))))</f>
        <v/>
      </c>
    </row>
    <row r="9015" spans="6:7">
      <c r="F9015" s="6">
        <f>IF($M9015="PADD I","PADD 1",IF($M9015="PADD II","PADD 2",IF($M9015="PADD III","PADD 3",IF($M9015="PADD IV","PADD 4",IF($M9015="PADD V","PADD 5","")))))</f>
        <v/>
      </c>
      <c r="G9015" s="6">
        <f>IF(AND($H9015="ATMOS DISTILLATION",ISNUMBER(SEARCH("VPS",$I9015))=FALSE,LEFT($I9015,6)&lt;&gt;"VACUUM"),"CDU",IF($H9015="FLUID CAT CRACKING","FCC",IF(OR($H9015="HYDROCRACKING",$H9015="RESID_HYDROCRACKING"),"Hydrocracker",IF($H9015="REFORMING","Reformer",""))))</f>
        <v/>
      </c>
    </row>
    <row r="9016" spans="6:7">
      <c r="F9016" s="6">
        <f>IF($M9016="PADD I","PADD 1",IF($M9016="PADD II","PADD 2",IF($M9016="PADD III","PADD 3",IF($M9016="PADD IV","PADD 4",IF($M9016="PADD V","PADD 5","")))))</f>
        <v/>
      </c>
      <c r="G9016" s="6">
        <f>IF(AND($H9016="ATMOS DISTILLATION",ISNUMBER(SEARCH("VPS",$I9016))=FALSE,LEFT($I9016,6)&lt;&gt;"VACUUM"),"CDU",IF($H9016="FLUID CAT CRACKING","FCC",IF(OR($H9016="HYDROCRACKING",$H9016="RESID_HYDROCRACKING"),"Hydrocracker",IF($H9016="REFORMING","Reformer",""))))</f>
        <v/>
      </c>
    </row>
    <row r="9017" spans="6:7">
      <c r="F9017" s="6">
        <f>IF($M9017="PADD I","PADD 1",IF($M9017="PADD II","PADD 2",IF($M9017="PADD III","PADD 3",IF($M9017="PADD IV","PADD 4",IF($M9017="PADD V","PADD 5","")))))</f>
        <v/>
      </c>
      <c r="G9017" s="6">
        <f>IF(AND($H9017="ATMOS DISTILLATION",ISNUMBER(SEARCH("VPS",$I9017))=FALSE,LEFT($I9017,6)&lt;&gt;"VACUUM"),"CDU",IF($H9017="FLUID CAT CRACKING","FCC",IF(OR($H9017="HYDROCRACKING",$H9017="RESID_HYDROCRACKING"),"Hydrocracker",IF($H9017="REFORMING","Reformer",""))))</f>
        <v/>
      </c>
    </row>
    <row r="9018" spans="6:7">
      <c r="F9018" s="6">
        <f>IF($M9018="PADD I","PADD 1",IF($M9018="PADD II","PADD 2",IF($M9018="PADD III","PADD 3",IF($M9018="PADD IV","PADD 4",IF($M9018="PADD V","PADD 5","")))))</f>
        <v/>
      </c>
      <c r="G9018" s="6">
        <f>IF(AND($H9018="ATMOS DISTILLATION",ISNUMBER(SEARCH("VPS",$I9018))=FALSE,LEFT($I9018,6)&lt;&gt;"VACUUM"),"CDU",IF($H9018="FLUID CAT CRACKING","FCC",IF(OR($H9018="HYDROCRACKING",$H9018="RESID_HYDROCRACKING"),"Hydrocracker",IF($H9018="REFORMING","Reformer",""))))</f>
        <v/>
      </c>
    </row>
    <row r="9019" spans="6:7">
      <c r="F9019" s="6">
        <f>IF($M9019="PADD I","PADD 1",IF($M9019="PADD II","PADD 2",IF($M9019="PADD III","PADD 3",IF($M9019="PADD IV","PADD 4",IF($M9019="PADD V","PADD 5","")))))</f>
        <v/>
      </c>
      <c r="G9019" s="6">
        <f>IF(AND($H9019="ATMOS DISTILLATION",ISNUMBER(SEARCH("VPS",$I9019))=FALSE,LEFT($I9019,6)&lt;&gt;"VACUUM"),"CDU",IF($H9019="FLUID CAT CRACKING","FCC",IF(OR($H9019="HYDROCRACKING",$H9019="RESID_HYDROCRACKING"),"Hydrocracker",IF($H9019="REFORMING","Reformer",""))))</f>
        <v/>
      </c>
    </row>
    <row r="9020" spans="6:7">
      <c r="F9020" s="6">
        <f>IF($M9020="PADD I","PADD 1",IF($M9020="PADD II","PADD 2",IF($M9020="PADD III","PADD 3",IF($M9020="PADD IV","PADD 4",IF($M9020="PADD V","PADD 5","")))))</f>
        <v/>
      </c>
      <c r="G9020" s="6">
        <f>IF(AND($H9020="ATMOS DISTILLATION",ISNUMBER(SEARCH("VPS",$I9020))=FALSE,LEFT($I9020,6)&lt;&gt;"VACUUM"),"CDU",IF($H9020="FLUID CAT CRACKING","FCC",IF(OR($H9020="HYDROCRACKING",$H9020="RESID_HYDROCRACKING"),"Hydrocracker",IF($H9020="REFORMING","Reformer",""))))</f>
        <v/>
      </c>
    </row>
    <row r="9021" spans="6:7">
      <c r="F9021" s="6">
        <f>IF($M9021="PADD I","PADD 1",IF($M9021="PADD II","PADD 2",IF($M9021="PADD III","PADD 3",IF($M9021="PADD IV","PADD 4",IF($M9021="PADD V","PADD 5","")))))</f>
        <v/>
      </c>
      <c r="G9021" s="6">
        <f>IF(AND($H9021="ATMOS DISTILLATION",ISNUMBER(SEARCH("VPS",$I9021))=FALSE,LEFT($I9021,6)&lt;&gt;"VACUUM"),"CDU",IF($H9021="FLUID CAT CRACKING","FCC",IF(OR($H9021="HYDROCRACKING",$H9021="RESID_HYDROCRACKING"),"Hydrocracker",IF($H9021="REFORMING","Reformer",""))))</f>
        <v/>
      </c>
    </row>
    <row r="9022" spans="6:7">
      <c r="F9022" s="6">
        <f>IF($M9022="PADD I","PADD 1",IF($M9022="PADD II","PADD 2",IF($M9022="PADD III","PADD 3",IF($M9022="PADD IV","PADD 4",IF($M9022="PADD V","PADD 5","")))))</f>
        <v/>
      </c>
      <c r="G9022" s="6">
        <f>IF(AND($H9022="ATMOS DISTILLATION",ISNUMBER(SEARCH("VPS",$I9022))=FALSE,LEFT($I9022,6)&lt;&gt;"VACUUM"),"CDU",IF($H9022="FLUID CAT CRACKING","FCC",IF(OR($H9022="HYDROCRACKING",$H9022="RESID_HYDROCRACKING"),"Hydrocracker",IF($H9022="REFORMING","Reformer",""))))</f>
        <v/>
      </c>
    </row>
    <row r="9023" spans="6:7">
      <c r="F9023" s="6">
        <f>IF($M9023="PADD I","PADD 1",IF($M9023="PADD II","PADD 2",IF($M9023="PADD III","PADD 3",IF($M9023="PADD IV","PADD 4",IF($M9023="PADD V","PADD 5","")))))</f>
        <v/>
      </c>
      <c r="G9023" s="6">
        <f>IF(AND($H9023="ATMOS DISTILLATION",ISNUMBER(SEARCH("VPS",$I9023))=FALSE,LEFT($I9023,6)&lt;&gt;"VACUUM"),"CDU",IF($H9023="FLUID CAT CRACKING","FCC",IF(OR($H9023="HYDROCRACKING",$H9023="RESID_HYDROCRACKING"),"Hydrocracker",IF($H9023="REFORMING","Reformer",""))))</f>
        <v/>
      </c>
    </row>
    <row r="9024" spans="6:7">
      <c r="F9024" s="6">
        <f>IF($M9024="PADD I","PADD 1",IF($M9024="PADD II","PADD 2",IF($M9024="PADD III","PADD 3",IF($M9024="PADD IV","PADD 4",IF($M9024="PADD V","PADD 5","")))))</f>
        <v/>
      </c>
      <c r="G9024" s="6">
        <f>IF(AND($H9024="ATMOS DISTILLATION",ISNUMBER(SEARCH("VPS",$I9024))=FALSE,LEFT($I9024,6)&lt;&gt;"VACUUM"),"CDU",IF($H9024="FLUID CAT CRACKING","FCC",IF(OR($H9024="HYDROCRACKING",$H9024="RESID_HYDROCRACKING"),"Hydrocracker",IF($H9024="REFORMING","Reformer",""))))</f>
        <v/>
      </c>
    </row>
    <row r="9025" spans="6:7">
      <c r="F9025" s="6">
        <f>IF($M9025="PADD I","PADD 1",IF($M9025="PADD II","PADD 2",IF($M9025="PADD III","PADD 3",IF($M9025="PADD IV","PADD 4",IF($M9025="PADD V","PADD 5","")))))</f>
        <v/>
      </c>
      <c r="G9025" s="6">
        <f>IF(AND($H9025="ATMOS DISTILLATION",ISNUMBER(SEARCH("VPS",$I9025))=FALSE,LEFT($I9025,6)&lt;&gt;"VACUUM"),"CDU",IF($H9025="FLUID CAT CRACKING","FCC",IF(OR($H9025="HYDROCRACKING",$H9025="RESID_HYDROCRACKING"),"Hydrocracker",IF($H9025="REFORMING","Reformer",""))))</f>
        <v/>
      </c>
    </row>
    <row r="9026" spans="6:7">
      <c r="F9026" s="6">
        <f>IF($M9026="PADD I","PADD 1",IF($M9026="PADD II","PADD 2",IF($M9026="PADD III","PADD 3",IF($M9026="PADD IV","PADD 4",IF($M9026="PADD V","PADD 5","")))))</f>
        <v/>
      </c>
      <c r="G9026" s="6">
        <f>IF(AND($H9026="ATMOS DISTILLATION",ISNUMBER(SEARCH("VPS",$I9026))=FALSE,LEFT($I9026,6)&lt;&gt;"VACUUM"),"CDU",IF($H9026="FLUID CAT CRACKING","FCC",IF(OR($H9026="HYDROCRACKING",$H9026="RESID_HYDROCRACKING"),"Hydrocracker",IF($H9026="REFORMING","Reformer",""))))</f>
        <v/>
      </c>
    </row>
    <row r="9027" spans="6:7">
      <c r="F9027" s="6">
        <f>IF($M9027="PADD I","PADD 1",IF($M9027="PADD II","PADD 2",IF($M9027="PADD III","PADD 3",IF($M9027="PADD IV","PADD 4",IF($M9027="PADD V","PADD 5","")))))</f>
        <v/>
      </c>
      <c r="G9027" s="6">
        <f>IF(AND($H9027="ATMOS DISTILLATION",ISNUMBER(SEARCH("VPS",$I9027))=FALSE,LEFT($I9027,6)&lt;&gt;"VACUUM"),"CDU",IF($H9027="FLUID CAT CRACKING","FCC",IF(OR($H9027="HYDROCRACKING",$H9027="RESID_HYDROCRACKING"),"Hydrocracker",IF($H9027="REFORMING","Reformer",""))))</f>
        <v/>
      </c>
    </row>
    <row r="9028" spans="6:7">
      <c r="F9028" s="6">
        <f>IF($M9028="PADD I","PADD 1",IF($M9028="PADD II","PADD 2",IF($M9028="PADD III","PADD 3",IF($M9028="PADD IV","PADD 4",IF($M9028="PADD V","PADD 5","")))))</f>
        <v/>
      </c>
      <c r="G9028" s="6">
        <f>IF(AND($H9028="ATMOS DISTILLATION",ISNUMBER(SEARCH("VPS",$I9028))=FALSE,LEFT($I9028,6)&lt;&gt;"VACUUM"),"CDU",IF($H9028="FLUID CAT CRACKING","FCC",IF(OR($H9028="HYDROCRACKING",$H9028="RESID_HYDROCRACKING"),"Hydrocracker",IF($H9028="REFORMING","Reformer",""))))</f>
        <v/>
      </c>
    </row>
    <row r="9029" spans="6:7">
      <c r="F9029" s="6">
        <f>IF($M9029="PADD I","PADD 1",IF($M9029="PADD II","PADD 2",IF($M9029="PADD III","PADD 3",IF($M9029="PADD IV","PADD 4",IF($M9029="PADD V","PADD 5","")))))</f>
        <v/>
      </c>
      <c r="G9029" s="6">
        <f>IF(AND($H9029="ATMOS DISTILLATION",ISNUMBER(SEARCH("VPS",$I9029))=FALSE,LEFT($I9029,6)&lt;&gt;"VACUUM"),"CDU",IF($H9029="FLUID CAT CRACKING","FCC",IF(OR($H9029="HYDROCRACKING",$H9029="RESID_HYDROCRACKING"),"Hydrocracker",IF($H9029="REFORMING","Reformer",""))))</f>
        <v/>
      </c>
    </row>
    <row r="9030" spans="6:7">
      <c r="F9030" s="6">
        <f>IF($M9030="PADD I","PADD 1",IF($M9030="PADD II","PADD 2",IF($M9030="PADD III","PADD 3",IF($M9030="PADD IV","PADD 4",IF($M9030="PADD V","PADD 5","")))))</f>
        <v/>
      </c>
      <c r="G9030" s="6">
        <f>IF(AND($H9030="ATMOS DISTILLATION",ISNUMBER(SEARCH("VPS",$I9030))=FALSE,LEFT($I9030,6)&lt;&gt;"VACUUM"),"CDU",IF($H9030="FLUID CAT CRACKING","FCC",IF(OR($H9030="HYDROCRACKING",$H9030="RESID_HYDROCRACKING"),"Hydrocracker",IF($H9030="REFORMING","Reformer",""))))</f>
        <v/>
      </c>
    </row>
    <row r="9031" spans="6:7">
      <c r="F9031" s="6">
        <f>IF($M9031="PADD I","PADD 1",IF($M9031="PADD II","PADD 2",IF($M9031="PADD III","PADD 3",IF($M9031="PADD IV","PADD 4",IF($M9031="PADD V","PADD 5","")))))</f>
        <v/>
      </c>
      <c r="G9031" s="6">
        <f>IF(AND($H9031="ATMOS DISTILLATION",ISNUMBER(SEARCH("VPS",$I9031))=FALSE,LEFT($I9031,6)&lt;&gt;"VACUUM"),"CDU",IF($H9031="FLUID CAT CRACKING","FCC",IF(OR($H9031="HYDROCRACKING",$H9031="RESID_HYDROCRACKING"),"Hydrocracker",IF($H9031="REFORMING","Reformer",""))))</f>
        <v/>
      </c>
    </row>
    <row r="9032" spans="6:7">
      <c r="F9032" s="6">
        <f>IF($M9032="PADD I","PADD 1",IF($M9032="PADD II","PADD 2",IF($M9032="PADD III","PADD 3",IF($M9032="PADD IV","PADD 4",IF($M9032="PADD V","PADD 5","")))))</f>
        <v/>
      </c>
      <c r="G9032" s="6">
        <f>IF(AND($H9032="ATMOS DISTILLATION",ISNUMBER(SEARCH("VPS",$I9032))=FALSE,LEFT($I9032,6)&lt;&gt;"VACUUM"),"CDU",IF($H9032="FLUID CAT CRACKING","FCC",IF(OR($H9032="HYDROCRACKING",$H9032="RESID_HYDROCRACKING"),"Hydrocracker",IF($H9032="REFORMING","Reformer",""))))</f>
        <v/>
      </c>
    </row>
    <row r="9033" spans="6:7">
      <c r="F9033" s="6">
        <f>IF($M9033="PADD I","PADD 1",IF($M9033="PADD II","PADD 2",IF($M9033="PADD III","PADD 3",IF($M9033="PADD IV","PADD 4",IF($M9033="PADD V","PADD 5","")))))</f>
        <v/>
      </c>
      <c r="G9033" s="6">
        <f>IF(AND($H9033="ATMOS DISTILLATION",ISNUMBER(SEARCH("VPS",$I9033))=FALSE,LEFT($I9033,6)&lt;&gt;"VACUUM"),"CDU",IF($H9033="FLUID CAT CRACKING","FCC",IF(OR($H9033="HYDROCRACKING",$H9033="RESID_HYDROCRACKING"),"Hydrocracker",IF($H9033="REFORMING","Reformer",""))))</f>
        <v/>
      </c>
    </row>
    <row r="9034" spans="6:7">
      <c r="F9034" s="6">
        <f>IF($M9034="PADD I","PADD 1",IF($M9034="PADD II","PADD 2",IF($M9034="PADD III","PADD 3",IF($M9034="PADD IV","PADD 4",IF($M9034="PADD V","PADD 5","")))))</f>
        <v/>
      </c>
      <c r="G9034" s="6">
        <f>IF(AND($H9034="ATMOS DISTILLATION",ISNUMBER(SEARCH("VPS",$I9034))=FALSE,LEFT($I9034,6)&lt;&gt;"VACUUM"),"CDU",IF($H9034="FLUID CAT CRACKING","FCC",IF(OR($H9034="HYDROCRACKING",$H9034="RESID_HYDROCRACKING"),"Hydrocracker",IF($H9034="REFORMING","Reformer",""))))</f>
        <v/>
      </c>
    </row>
    <row r="9035" spans="6:7">
      <c r="F9035" s="6">
        <f>IF($M9035="PADD I","PADD 1",IF($M9035="PADD II","PADD 2",IF($M9035="PADD III","PADD 3",IF($M9035="PADD IV","PADD 4",IF($M9035="PADD V","PADD 5","")))))</f>
        <v/>
      </c>
      <c r="G9035" s="6">
        <f>IF(AND($H9035="ATMOS DISTILLATION",ISNUMBER(SEARCH("VPS",$I9035))=FALSE,LEFT($I9035,6)&lt;&gt;"VACUUM"),"CDU",IF($H9035="FLUID CAT CRACKING","FCC",IF(OR($H9035="HYDROCRACKING",$H9035="RESID_HYDROCRACKING"),"Hydrocracker",IF($H9035="REFORMING","Reformer",""))))</f>
        <v/>
      </c>
    </row>
    <row r="9036" spans="6:7">
      <c r="F9036" s="6">
        <f>IF($M9036="PADD I","PADD 1",IF($M9036="PADD II","PADD 2",IF($M9036="PADD III","PADD 3",IF($M9036="PADD IV","PADD 4",IF($M9036="PADD V","PADD 5","")))))</f>
        <v/>
      </c>
      <c r="G9036" s="6">
        <f>IF(AND($H9036="ATMOS DISTILLATION",ISNUMBER(SEARCH("VPS",$I9036))=FALSE,LEFT($I9036,6)&lt;&gt;"VACUUM"),"CDU",IF($H9036="FLUID CAT CRACKING","FCC",IF(OR($H9036="HYDROCRACKING",$H9036="RESID_HYDROCRACKING"),"Hydrocracker",IF($H9036="REFORMING","Reformer",""))))</f>
        <v/>
      </c>
    </row>
    <row r="9037" spans="6:7">
      <c r="F9037" s="6">
        <f>IF($M9037="PADD I","PADD 1",IF($M9037="PADD II","PADD 2",IF($M9037="PADD III","PADD 3",IF($M9037="PADD IV","PADD 4",IF($M9037="PADD V","PADD 5","")))))</f>
        <v/>
      </c>
      <c r="G9037" s="6">
        <f>IF(AND($H9037="ATMOS DISTILLATION",ISNUMBER(SEARCH("VPS",$I9037))=FALSE,LEFT($I9037,6)&lt;&gt;"VACUUM"),"CDU",IF($H9037="FLUID CAT CRACKING","FCC",IF(OR($H9037="HYDROCRACKING",$H9037="RESID_HYDROCRACKING"),"Hydrocracker",IF($H9037="REFORMING","Reformer",""))))</f>
        <v/>
      </c>
    </row>
    <row r="9038" spans="6:7">
      <c r="F9038" s="6">
        <f>IF($M9038="PADD I","PADD 1",IF($M9038="PADD II","PADD 2",IF($M9038="PADD III","PADD 3",IF($M9038="PADD IV","PADD 4",IF($M9038="PADD V","PADD 5","")))))</f>
        <v/>
      </c>
      <c r="G9038" s="6">
        <f>IF(AND($H9038="ATMOS DISTILLATION",ISNUMBER(SEARCH("VPS",$I9038))=FALSE,LEFT($I9038,6)&lt;&gt;"VACUUM"),"CDU",IF($H9038="FLUID CAT CRACKING","FCC",IF(OR($H9038="HYDROCRACKING",$H9038="RESID_HYDROCRACKING"),"Hydrocracker",IF($H9038="REFORMING","Reformer",""))))</f>
        <v/>
      </c>
    </row>
    <row r="9039" spans="6:7">
      <c r="F9039" s="6">
        <f>IF($M9039="PADD I","PADD 1",IF($M9039="PADD II","PADD 2",IF($M9039="PADD III","PADD 3",IF($M9039="PADD IV","PADD 4",IF($M9039="PADD V","PADD 5","")))))</f>
        <v/>
      </c>
      <c r="G9039" s="6">
        <f>IF(AND($H9039="ATMOS DISTILLATION",ISNUMBER(SEARCH("VPS",$I9039))=FALSE,LEFT($I9039,6)&lt;&gt;"VACUUM"),"CDU",IF($H9039="FLUID CAT CRACKING","FCC",IF(OR($H9039="HYDROCRACKING",$H9039="RESID_HYDROCRACKING"),"Hydrocracker",IF($H9039="REFORMING","Reformer",""))))</f>
        <v/>
      </c>
    </row>
    <row r="9040" spans="6:7">
      <c r="F9040" s="6">
        <f>IF($M9040="PADD I","PADD 1",IF($M9040="PADD II","PADD 2",IF($M9040="PADD III","PADD 3",IF($M9040="PADD IV","PADD 4",IF($M9040="PADD V","PADD 5","")))))</f>
        <v/>
      </c>
      <c r="G9040" s="6">
        <f>IF(AND($H9040="ATMOS DISTILLATION",ISNUMBER(SEARCH("VPS",$I9040))=FALSE,LEFT($I9040,6)&lt;&gt;"VACUUM"),"CDU",IF($H9040="FLUID CAT CRACKING","FCC",IF(OR($H9040="HYDROCRACKING",$H9040="RESID_HYDROCRACKING"),"Hydrocracker",IF($H9040="REFORMING","Reformer",""))))</f>
        <v/>
      </c>
    </row>
    <row r="9041" spans="6:7">
      <c r="F9041" s="6">
        <f>IF($M9041="PADD I","PADD 1",IF($M9041="PADD II","PADD 2",IF($M9041="PADD III","PADD 3",IF($M9041="PADD IV","PADD 4",IF($M9041="PADD V","PADD 5","")))))</f>
        <v/>
      </c>
      <c r="G9041" s="6">
        <f>IF(AND($H9041="ATMOS DISTILLATION",ISNUMBER(SEARCH("VPS",$I9041))=FALSE,LEFT($I9041,6)&lt;&gt;"VACUUM"),"CDU",IF($H9041="FLUID CAT CRACKING","FCC",IF(OR($H9041="HYDROCRACKING",$H9041="RESID_HYDROCRACKING"),"Hydrocracker",IF($H9041="REFORMING","Reformer",""))))</f>
        <v/>
      </c>
    </row>
    <row r="9042" spans="6:7">
      <c r="F9042" s="6">
        <f>IF($M9042="PADD I","PADD 1",IF($M9042="PADD II","PADD 2",IF($M9042="PADD III","PADD 3",IF($M9042="PADD IV","PADD 4",IF($M9042="PADD V","PADD 5","")))))</f>
        <v/>
      </c>
      <c r="G9042" s="6">
        <f>IF(AND($H9042="ATMOS DISTILLATION",ISNUMBER(SEARCH("VPS",$I9042))=FALSE,LEFT($I9042,6)&lt;&gt;"VACUUM"),"CDU",IF($H9042="FLUID CAT CRACKING","FCC",IF(OR($H9042="HYDROCRACKING",$H9042="RESID_HYDROCRACKING"),"Hydrocracker",IF($H9042="REFORMING","Reformer",""))))</f>
        <v/>
      </c>
    </row>
    <row r="9043" spans="6:7">
      <c r="F9043" s="6">
        <f>IF($M9043="PADD I","PADD 1",IF($M9043="PADD II","PADD 2",IF($M9043="PADD III","PADD 3",IF($M9043="PADD IV","PADD 4",IF($M9043="PADD V","PADD 5","")))))</f>
        <v/>
      </c>
      <c r="G9043" s="6">
        <f>IF(AND($H9043="ATMOS DISTILLATION",ISNUMBER(SEARCH("VPS",$I9043))=FALSE,LEFT($I9043,6)&lt;&gt;"VACUUM"),"CDU",IF($H9043="FLUID CAT CRACKING","FCC",IF(OR($H9043="HYDROCRACKING",$H9043="RESID_HYDROCRACKING"),"Hydrocracker",IF($H9043="REFORMING","Reformer",""))))</f>
        <v/>
      </c>
    </row>
    <row r="9044" spans="6:7">
      <c r="F9044" s="6">
        <f>IF($M9044="PADD I","PADD 1",IF($M9044="PADD II","PADD 2",IF($M9044="PADD III","PADD 3",IF($M9044="PADD IV","PADD 4",IF($M9044="PADD V","PADD 5","")))))</f>
        <v/>
      </c>
      <c r="G9044" s="6">
        <f>IF(AND($H9044="ATMOS DISTILLATION",ISNUMBER(SEARCH("VPS",$I9044))=FALSE,LEFT($I9044,6)&lt;&gt;"VACUUM"),"CDU",IF($H9044="FLUID CAT CRACKING","FCC",IF(OR($H9044="HYDROCRACKING",$H9044="RESID_HYDROCRACKING"),"Hydrocracker",IF($H9044="REFORMING","Reformer",""))))</f>
        <v/>
      </c>
    </row>
    <row r="9045" spans="6:7">
      <c r="F9045" s="6">
        <f>IF($M9045="PADD I","PADD 1",IF($M9045="PADD II","PADD 2",IF($M9045="PADD III","PADD 3",IF($M9045="PADD IV","PADD 4",IF($M9045="PADD V","PADD 5","")))))</f>
        <v/>
      </c>
      <c r="G9045" s="6">
        <f>IF(AND($H9045="ATMOS DISTILLATION",ISNUMBER(SEARCH("VPS",$I9045))=FALSE,LEFT($I9045,6)&lt;&gt;"VACUUM"),"CDU",IF($H9045="FLUID CAT CRACKING","FCC",IF(OR($H9045="HYDROCRACKING",$H9045="RESID_HYDROCRACKING"),"Hydrocracker",IF($H9045="REFORMING","Reformer",""))))</f>
        <v/>
      </c>
    </row>
    <row r="9046" spans="6:7">
      <c r="F9046" s="6">
        <f>IF($M9046="PADD I","PADD 1",IF($M9046="PADD II","PADD 2",IF($M9046="PADD III","PADD 3",IF($M9046="PADD IV","PADD 4",IF($M9046="PADD V","PADD 5","")))))</f>
        <v/>
      </c>
      <c r="G9046" s="6">
        <f>IF(AND($H9046="ATMOS DISTILLATION",ISNUMBER(SEARCH("VPS",$I9046))=FALSE,LEFT($I9046,6)&lt;&gt;"VACUUM"),"CDU",IF($H9046="FLUID CAT CRACKING","FCC",IF(OR($H9046="HYDROCRACKING",$H9046="RESID_HYDROCRACKING"),"Hydrocracker",IF($H9046="REFORMING","Reformer",""))))</f>
        <v/>
      </c>
    </row>
    <row r="9047" spans="6:7">
      <c r="F9047" s="6">
        <f>IF($M9047="PADD I","PADD 1",IF($M9047="PADD II","PADD 2",IF($M9047="PADD III","PADD 3",IF($M9047="PADD IV","PADD 4",IF($M9047="PADD V","PADD 5","")))))</f>
        <v/>
      </c>
      <c r="G9047" s="6">
        <f>IF(AND($H9047="ATMOS DISTILLATION",ISNUMBER(SEARCH("VPS",$I9047))=FALSE,LEFT($I9047,6)&lt;&gt;"VACUUM"),"CDU",IF($H9047="FLUID CAT CRACKING","FCC",IF(OR($H9047="HYDROCRACKING",$H9047="RESID_HYDROCRACKING"),"Hydrocracker",IF($H9047="REFORMING","Reformer",""))))</f>
        <v/>
      </c>
    </row>
    <row r="9048" spans="6:7">
      <c r="F9048" s="6">
        <f>IF($M9048="PADD I","PADD 1",IF($M9048="PADD II","PADD 2",IF($M9048="PADD III","PADD 3",IF($M9048="PADD IV","PADD 4",IF($M9048="PADD V","PADD 5","")))))</f>
        <v/>
      </c>
      <c r="G9048" s="6">
        <f>IF(AND($H9048="ATMOS DISTILLATION",ISNUMBER(SEARCH("VPS",$I9048))=FALSE,LEFT($I9048,6)&lt;&gt;"VACUUM"),"CDU",IF($H9048="FLUID CAT CRACKING","FCC",IF(OR($H9048="HYDROCRACKING",$H9048="RESID_HYDROCRACKING"),"Hydrocracker",IF($H9048="REFORMING","Reformer",""))))</f>
        <v/>
      </c>
    </row>
    <row r="9049" spans="6:7">
      <c r="F9049" s="6">
        <f>IF($M9049="PADD I","PADD 1",IF($M9049="PADD II","PADD 2",IF($M9049="PADD III","PADD 3",IF($M9049="PADD IV","PADD 4",IF($M9049="PADD V","PADD 5","")))))</f>
        <v/>
      </c>
      <c r="G9049" s="6">
        <f>IF(AND($H9049="ATMOS DISTILLATION",ISNUMBER(SEARCH("VPS",$I9049))=FALSE,LEFT($I9049,6)&lt;&gt;"VACUUM"),"CDU",IF($H9049="FLUID CAT CRACKING","FCC",IF(OR($H9049="HYDROCRACKING",$H9049="RESID_HYDROCRACKING"),"Hydrocracker",IF($H9049="REFORMING","Reformer",""))))</f>
        <v/>
      </c>
    </row>
    <row r="9050" spans="6:7">
      <c r="F9050" s="6">
        <f>IF($M9050="PADD I","PADD 1",IF($M9050="PADD II","PADD 2",IF($M9050="PADD III","PADD 3",IF($M9050="PADD IV","PADD 4",IF($M9050="PADD V","PADD 5","")))))</f>
        <v/>
      </c>
      <c r="G9050" s="6">
        <f>IF(AND($H9050="ATMOS DISTILLATION",ISNUMBER(SEARCH("VPS",$I9050))=FALSE,LEFT($I9050,6)&lt;&gt;"VACUUM"),"CDU",IF($H9050="FLUID CAT CRACKING","FCC",IF(OR($H9050="HYDROCRACKING",$H9050="RESID_HYDROCRACKING"),"Hydrocracker",IF($H9050="REFORMING","Reformer",""))))</f>
        <v/>
      </c>
    </row>
    <row r="9051" spans="6:7">
      <c r="F9051" s="6">
        <f>IF($M9051="PADD I","PADD 1",IF($M9051="PADD II","PADD 2",IF($M9051="PADD III","PADD 3",IF($M9051="PADD IV","PADD 4",IF($M9051="PADD V","PADD 5","")))))</f>
        <v/>
      </c>
      <c r="G9051" s="6">
        <f>IF(AND($H9051="ATMOS DISTILLATION",ISNUMBER(SEARCH("VPS",$I9051))=FALSE,LEFT($I9051,6)&lt;&gt;"VACUUM"),"CDU",IF($H9051="FLUID CAT CRACKING","FCC",IF(OR($H9051="HYDROCRACKING",$H9051="RESID_HYDROCRACKING"),"Hydrocracker",IF($H9051="REFORMING","Reformer",""))))</f>
        <v/>
      </c>
    </row>
    <row r="9052" spans="6:7">
      <c r="F9052" s="6">
        <f>IF($M9052="PADD I","PADD 1",IF($M9052="PADD II","PADD 2",IF($M9052="PADD III","PADD 3",IF($M9052="PADD IV","PADD 4",IF($M9052="PADD V","PADD 5","")))))</f>
        <v/>
      </c>
      <c r="G9052" s="6">
        <f>IF(AND($H9052="ATMOS DISTILLATION",ISNUMBER(SEARCH("VPS",$I9052))=FALSE,LEFT($I9052,6)&lt;&gt;"VACUUM"),"CDU",IF($H9052="FLUID CAT CRACKING","FCC",IF(OR($H9052="HYDROCRACKING",$H9052="RESID_HYDROCRACKING"),"Hydrocracker",IF($H9052="REFORMING","Reformer",""))))</f>
        <v/>
      </c>
    </row>
    <row r="9053" spans="6:7">
      <c r="F9053" s="6">
        <f>IF($M9053="PADD I","PADD 1",IF($M9053="PADD II","PADD 2",IF($M9053="PADD III","PADD 3",IF($M9053="PADD IV","PADD 4",IF($M9053="PADD V","PADD 5","")))))</f>
        <v/>
      </c>
      <c r="G9053" s="6">
        <f>IF(AND($H9053="ATMOS DISTILLATION",ISNUMBER(SEARCH("VPS",$I9053))=FALSE,LEFT($I9053,6)&lt;&gt;"VACUUM"),"CDU",IF($H9053="FLUID CAT CRACKING","FCC",IF(OR($H9053="HYDROCRACKING",$H9053="RESID_HYDROCRACKING"),"Hydrocracker",IF($H9053="REFORMING","Reformer",""))))</f>
        <v/>
      </c>
    </row>
    <row r="9054" spans="6:7">
      <c r="F9054" s="6">
        <f>IF($M9054="PADD I","PADD 1",IF($M9054="PADD II","PADD 2",IF($M9054="PADD III","PADD 3",IF($M9054="PADD IV","PADD 4",IF($M9054="PADD V","PADD 5","")))))</f>
        <v/>
      </c>
      <c r="G9054" s="6">
        <f>IF(AND($H9054="ATMOS DISTILLATION",ISNUMBER(SEARCH("VPS",$I9054))=FALSE,LEFT($I9054,6)&lt;&gt;"VACUUM"),"CDU",IF($H9054="FLUID CAT CRACKING","FCC",IF(OR($H9054="HYDROCRACKING",$H9054="RESID_HYDROCRACKING"),"Hydrocracker",IF($H9054="REFORMING","Reformer",""))))</f>
        <v/>
      </c>
    </row>
    <row r="9055" spans="6:7">
      <c r="F9055" s="6">
        <f>IF($M9055="PADD I","PADD 1",IF($M9055="PADD II","PADD 2",IF($M9055="PADD III","PADD 3",IF($M9055="PADD IV","PADD 4",IF($M9055="PADD V","PADD 5","")))))</f>
        <v/>
      </c>
      <c r="G9055" s="6">
        <f>IF(AND($H9055="ATMOS DISTILLATION",ISNUMBER(SEARCH("VPS",$I9055))=FALSE,LEFT($I9055,6)&lt;&gt;"VACUUM"),"CDU",IF($H9055="FLUID CAT CRACKING","FCC",IF(OR($H9055="HYDROCRACKING",$H9055="RESID_HYDROCRACKING"),"Hydrocracker",IF($H9055="REFORMING","Reformer",""))))</f>
        <v/>
      </c>
    </row>
    <row r="9056" spans="6:7">
      <c r="F9056" s="6">
        <f>IF($M9056="PADD I","PADD 1",IF($M9056="PADD II","PADD 2",IF($M9056="PADD III","PADD 3",IF($M9056="PADD IV","PADD 4",IF($M9056="PADD V","PADD 5","")))))</f>
        <v/>
      </c>
      <c r="G9056" s="6">
        <f>IF(AND($H9056="ATMOS DISTILLATION",ISNUMBER(SEARCH("VPS",$I9056))=FALSE,LEFT($I9056,6)&lt;&gt;"VACUUM"),"CDU",IF($H9056="FLUID CAT CRACKING","FCC",IF(OR($H9056="HYDROCRACKING",$H9056="RESID_HYDROCRACKING"),"Hydrocracker",IF($H9056="REFORMING","Reformer",""))))</f>
        <v/>
      </c>
    </row>
    <row r="9057" spans="6:7">
      <c r="F9057" s="6">
        <f>IF($M9057="PADD I","PADD 1",IF($M9057="PADD II","PADD 2",IF($M9057="PADD III","PADD 3",IF($M9057="PADD IV","PADD 4",IF($M9057="PADD V","PADD 5","")))))</f>
        <v/>
      </c>
      <c r="G9057" s="6">
        <f>IF(AND($H9057="ATMOS DISTILLATION",ISNUMBER(SEARCH("VPS",$I9057))=FALSE,LEFT($I9057,6)&lt;&gt;"VACUUM"),"CDU",IF($H9057="FLUID CAT CRACKING","FCC",IF(OR($H9057="HYDROCRACKING",$H9057="RESID_HYDROCRACKING"),"Hydrocracker",IF($H9057="REFORMING","Reformer",""))))</f>
        <v/>
      </c>
    </row>
    <row r="9058" spans="6:7">
      <c r="F9058" s="6">
        <f>IF($M9058="PADD I","PADD 1",IF($M9058="PADD II","PADD 2",IF($M9058="PADD III","PADD 3",IF($M9058="PADD IV","PADD 4",IF($M9058="PADD V","PADD 5","")))))</f>
        <v/>
      </c>
      <c r="G9058" s="6">
        <f>IF(AND($H9058="ATMOS DISTILLATION",ISNUMBER(SEARCH("VPS",$I9058))=FALSE,LEFT($I9058,6)&lt;&gt;"VACUUM"),"CDU",IF($H9058="FLUID CAT CRACKING","FCC",IF(OR($H9058="HYDROCRACKING",$H9058="RESID_HYDROCRACKING"),"Hydrocracker",IF($H9058="REFORMING","Reformer",""))))</f>
        <v/>
      </c>
    </row>
    <row r="9059" spans="6:7">
      <c r="F9059" s="6">
        <f>IF($M9059="PADD I","PADD 1",IF($M9059="PADD II","PADD 2",IF($M9059="PADD III","PADD 3",IF($M9059="PADD IV","PADD 4",IF($M9059="PADD V","PADD 5","")))))</f>
        <v/>
      </c>
      <c r="G9059" s="6">
        <f>IF(AND($H9059="ATMOS DISTILLATION",ISNUMBER(SEARCH("VPS",$I9059))=FALSE,LEFT($I9059,6)&lt;&gt;"VACUUM"),"CDU",IF($H9059="FLUID CAT CRACKING","FCC",IF(OR($H9059="HYDROCRACKING",$H9059="RESID_HYDROCRACKING"),"Hydrocracker",IF($H9059="REFORMING","Reformer",""))))</f>
        <v/>
      </c>
    </row>
    <row r="9060" spans="6:7">
      <c r="F9060" s="6">
        <f>IF($M9060="PADD I","PADD 1",IF($M9060="PADD II","PADD 2",IF($M9060="PADD III","PADD 3",IF($M9060="PADD IV","PADD 4",IF($M9060="PADD V","PADD 5","")))))</f>
        <v/>
      </c>
      <c r="G9060" s="6">
        <f>IF(AND($H9060="ATMOS DISTILLATION",ISNUMBER(SEARCH("VPS",$I9060))=FALSE,LEFT($I9060,6)&lt;&gt;"VACUUM"),"CDU",IF($H9060="FLUID CAT CRACKING","FCC",IF(OR($H9060="HYDROCRACKING",$H9060="RESID_HYDROCRACKING"),"Hydrocracker",IF($H9060="REFORMING","Reformer",""))))</f>
        <v/>
      </c>
    </row>
    <row r="9061" spans="6:7">
      <c r="F9061" s="6">
        <f>IF($M9061="PADD I","PADD 1",IF($M9061="PADD II","PADD 2",IF($M9061="PADD III","PADD 3",IF($M9061="PADD IV","PADD 4",IF($M9061="PADD V","PADD 5","")))))</f>
        <v/>
      </c>
      <c r="G9061" s="6">
        <f>IF(AND($H9061="ATMOS DISTILLATION",ISNUMBER(SEARCH("VPS",$I9061))=FALSE,LEFT($I9061,6)&lt;&gt;"VACUUM"),"CDU",IF($H9061="FLUID CAT CRACKING","FCC",IF(OR($H9061="HYDROCRACKING",$H9061="RESID_HYDROCRACKING"),"Hydrocracker",IF($H9061="REFORMING","Reformer",""))))</f>
        <v/>
      </c>
    </row>
    <row r="9062" spans="6:7">
      <c r="F9062" s="6">
        <f>IF($M9062="PADD I","PADD 1",IF($M9062="PADD II","PADD 2",IF($M9062="PADD III","PADD 3",IF($M9062="PADD IV","PADD 4",IF($M9062="PADD V","PADD 5","")))))</f>
        <v/>
      </c>
      <c r="G9062" s="6">
        <f>IF(AND($H9062="ATMOS DISTILLATION",ISNUMBER(SEARCH("VPS",$I9062))=FALSE,LEFT($I9062,6)&lt;&gt;"VACUUM"),"CDU",IF($H9062="FLUID CAT CRACKING","FCC",IF(OR($H9062="HYDROCRACKING",$H9062="RESID_HYDROCRACKING"),"Hydrocracker",IF($H9062="REFORMING","Reformer",""))))</f>
        <v/>
      </c>
    </row>
    <row r="9063" spans="6:7">
      <c r="F9063" s="6">
        <f>IF($M9063="PADD I","PADD 1",IF($M9063="PADD II","PADD 2",IF($M9063="PADD III","PADD 3",IF($M9063="PADD IV","PADD 4",IF($M9063="PADD V","PADD 5","")))))</f>
        <v/>
      </c>
      <c r="G9063" s="6">
        <f>IF(AND($H9063="ATMOS DISTILLATION",ISNUMBER(SEARCH("VPS",$I9063))=FALSE,LEFT($I9063,6)&lt;&gt;"VACUUM"),"CDU",IF($H9063="FLUID CAT CRACKING","FCC",IF(OR($H9063="HYDROCRACKING",$H9063="RESID_HYDROCRACKING"),"Hydrocracker",IF($H9063="REFORMING","Reformer",""))))</f>
        <v/>
      </c>
    </row>
    <row r="9064" spans="6:7">
      <c r="F9064" s="6">
        <f>IF($M9064="PADD I","PADD 1",IF($M9064="PADD II","PADD 2",IF($M9064="PADD III","PADD 3",IF($M9064="PADD IV","PADD 4",IF($M9064="PADD V","PADD 5","")))))</f>
        <v/>
      </c>
      <c r="G9064" s="6">
        <f>IF(AND($H9064="ATMOS DISTILLATION",ISNUMBER(SEARCH("VPS",$I9064))=FALSE,LEFT($I9064,6)&lt;&gt;"VACUUM"),"CDU",IF($H9064="FLUID CAT CRACKING","FCC",IF(OR($H9064="HYDROCRACKING",$H9064="RESID_HYDROCRACKING"),"Hydrocracker",IF($H9064="REFORMING","Reformer",""))))</f>
        <v/>
      </c>
    </row>
    <row r="9065" spans="6:7">
      <c r="F9065" s="6">
        <f>IF($M9065="PADD I","PADD 1",IF($M9065="PADD II","PADD 2",IF($M9065="PADD III","PADD 3",IF($M9065="PADD IV","PADD 4",IF($M9065="PADD V","PADD 5","")))))</f>
        <v/>
      </c>
      <c r="G9065" s="6">
        <f>IF(AND($H9065="ATMOS DISTILLATION",ISNUMBER(SEARCH("VPS",$I9065))=FALSE,LEFT($I9065,6)&lt;&gt;"VACUUM"),"CDU",IF($H9065="FLUID CAT CRACKING","FCC",IF(OR($H9065="HYDROCRACKING",$H9065="RESID_HYDROCRACKING"),"Hydrocracker",IF($H9065="REFORMING","Reformer",""))))</f>
        <v/>
      </c>
    </row>
    <row r="9066" spans="6:7">
      <c r="F9066" s="6">
        <f>IF($M9066="PADD I","PADD 1",IF($M9066="PADD II","PADD 2",IF($M9066="PADD III","PADD 3",IF($M9066="PADD IV","PADD 4",IF($M9066="PADD V","PADD 5","")))))</f>
        <v/>
      </c>
      <c r="G9066" s="6">
        <f>IF(AND($H9066="ATMOS DISTILLATION",ISNUMBER(SEARCH("VPS",$I9066))=FALSE,LEFT($I9066,6)&lt;&gt;"VACUUM"),"CDU",IF($H9066="FLUID CAT CRACKING","FCC",IF(OR($H9066="HYDROCRACKING",$H9066="RESID_HYDROCRACKING"),"Hydrocracker",IF($H9066="REFORMING","Reformer",""))))</f>
        <v/>
      </c>
    </row>
    <row r="9067" spans="6:7">
      <c r="F9067" s="6">
        <f>IF($M9067="PADD I","PADD 1",IF($M9067="PADD II","PADD 2",IF($M9067="PADD III","PADD 3",IF($M9067="PADD IV","PADD 4",IF($M9067="PADD V","PADD 5","")))))</f>
        <v/>
      </c>
      <c r="G9067" s="6">
        <f>IF(AND($H9067="ATMOS DISTILLATION",ISNUMBER(SEARCH("VPS",$I9067))=FALSE,LEFT($I9067,6)&lt;&gt;"VACUUM"),"CDU",IF($H9067="FLUID CAT CRACKING","FCC",IF(OR($H9067="HYDROCRACKING",$H9067="RESID_HYDROCRACKING"),"Hydrocracker",IF($H9067="REFORMING","Reformer",""))))</f>
        <v/>
      </c>
    </row>
    <row r="9068" spans="6:7">
      <c r="F9068" s="6">
        <f>IF($M9068="PADD I","PADD 1",IF($M9068="PADD II","PADD 2",IF($M9068="PADD III","PADD 3",IF($M9068="PADD IV","PADD 4",IF($M9068="PADD V","PADD 5","")))))</f>
        <v/>
      </c>
      <c r="G9068" s="6">
        <f>IF(AND($H9068="ATMOS DISTILLATION",ISNUMBER(SEARCH("VPS",$I9068))=FALSE,LEFT($I9068,6)&lt;&gt;"VACUUM"),"CDU",IF($H9068="FLUID CAT CRACKING","FCC",IF(OR($H9068="HYDROCRACKING",$H9068="RESID_HYDROCRACKING"),"Hydrocracker",IF($H9068="REFORMING","Reformer",""))))</f>
        <v/>
      </c>
    </row>
    <row r="9069" spans="6:7">
      <c r="F9069" s="6">
        <f>IF($M9069="PADD I","PADD 1",IF($M9069="PADD II","PADD 2",IF($M9069="PADD III","PADD 3",IF($M9069="PADD IV","PADD 4",IF($M9069="PADD V","PADD 5","")))))</f>
        <v/>
      </c>
      <c r="G9069" s="6">
        <f>IF(AND($H9069="ATMOS DISTILLATION",ISNUMBER(SEARCH("VPS",$I9069))=FALSE,LEFT($I9069,6)&lt;&gt;"VACUUM"),"CDU",IF($H9069="FLUID CAT CRACKING","FCC",IF(OR($H9069="HYDROCRACKING",$H9069="RESID_HYDROCRACKING"),"Hydrocracker",IF($H9069="REFORMING","Reformer",""))))</f>
        <v/>
      </c>
    </row>
    <row r="9070" spans="6:7">
      <c r="F9070" s="6">
        <f>IF($M9070="PADD I","PADD 1",IF($M9070="PADD II","PADD 2",IF($M9070="PADD III","PADD 3",IF($M9070="PADD IV","PADD 4",IF($M9070="PADD V","PADD 5","")))))</f>
        <v/>
      </c>
      <c r="G9070" s="6">
        <f>IF(AND($H9070="ATMOS DISTILLATION",ISNUMBER(SEARCH("VPS",$I9070))=FALSE,LEFT($I9070,6)&lt;&gt;"VACUUM"),"CDU",IF($H9070="FLUID CAT CRACKING","FCC",IF(OR($H9070="HYDROCRACKING",$H9070="RESID_HYDROCRACKING"),"Hydrocracker",IF($H9070="REFORMING","Reformer",""))))</f>
        <v/>
      </c>
    </row>
    <row r="9071" spans="6:7">
      <c r="F9071" s="6">
        <f>IF($M9071="PADD I","PADD 1",IF($M9071="PADD II","PADD 2",IF($M9071="PADD III","PADD 3",IF($M9071="PADD IV","PADD 4",IF($M9071="PADD V","PADD 5","")))))</f>
        <v/>
      </c>
      <c r="G9071" s="6">
        <f>IF(AND($H9071="ATMOS DISTILLATION",ISNUMBER(SEARCH("VPS",$I9071))=FALSE,LEFT($I9071,6)&lt;&gt;"VACUUM"),"CDU",IF($H9071="FLUID CAT CRACKING","FCC",IF(OR($H9071="HYDROCRACKING",$H9071="RESID_HYDROCRACKING"),"Hydrocracker",IF($H9071="REFORMING","Reformer",""))))</f>
        <v/>
      </c>
    </row>
    <row r="9072" spans="6:7">
      <c r="F9072" s="6">
        <f>IF($M9072="PADD I","PADD 1",IF($M9072="PADD II","PADD 2",IF($M9072="PADD III","PADD 3",IF($M9072="PADD IV","PADD 4",IF($M9072="PADD V","PADD 5","")))))</f>
        <v/>
      </c>
      <c r="G9072" s="6">
        <f>IF(AND($H9072="ATMOS DISTILLATION",ISNUMBER(SEARCH("VPS",$I9072))=FALSE,LEFT($I9072,6)&lt;&gt;"VACUUM"),"CDU",IF($H9072="FLUID CAT CRACKING","FCC",IF(OR($H9072="HYDROCRACKING",$H9072="RESID_HYDROCRACKING"),"Hydrocracker",IF($H9072="REFORMING","Reformer",""))))</f>
        <v/>
      </c>
    </row>
    <row r="9073" spans="6:7">
      <c r="F9073" s="6">
        <f>IF($M9073="PADD I","PADD 1",IF($M9073="PADD II","PADD 2",IF($M9073="PADD III","PADD 3",IF($M9073="PADD IV","PADD 4",IF($M9073="PADD V","PADD 5","")))))</f>
        <v/>
      </c>
      <c r="G9073" s="6">
        <f>IF(AND($H9073="ATMOS DISTILLATION",ISNUMBER(SEARCH("VPS",$I9073))=FALSE,LEFT($I9073,6)&lt;&gt;"VACUUM"),"CDU",IF($H9073="FLUID CAT CRACKING","FCC",IF(OR($H9073="HYDROCRACKING",$H9073="RESID_HYDROCRACKING"),"Hydrocracker",IF($H9073="REFORMING","Reformer",""))))</f>
        <v/>
      </c>
    </row>
    <row r="9074" spans="6:7">
      <c r="F9074" s="6">
        <f>IF($M9074="PADD I","PADD 1",IF($M9074="PADD II","PADD 2",IF($M9074="PADD III","PADD 3",IF($M9074="PADD IV","PADD 4",IF($M9074="PADD V","PADD 5","")))))</f>
        <v/>
      </c>
      <c r="G9074" s="6">
        <f>IF(AND($H9074="ATMOS DISTILLATION",ISNUMBER(SEARCH("VPS",$I9074))=FALSE,LEFT($I9074,6)&lt;&gt;"VACUUM"),"CDU",IF($H9074="FLUID CAT CRACKING","FCC",IF(OR($H9074="HYDROCRACKING",$H9074="RESID_HYDROCRACKING"),"Hydrocracker",IF($H9074="REFORMING","Reformer",""))))</f>
        <v/>
      </c>
    </row>
    <row r="9075" spans="6:7">
      <c r="F9075" s="6">
        <f>IF($M9075="PADD I","PADD 1",IF($M9075="PADD II","PADD 2",IF($M9075="PADD III","PADD 3",IF($M9075="PADD IV","PADD 4",IF($M9075="PADD V","PADD 5","")))))</f>
        <v/>
      </c>
      <c r="G9075" s="6">
        <f>IF(AND($H9075="ATMOS DISTILLATION",ISNUMBER(SEARCH("VPS",$I9075))=FALSE,LEFT($I9075,6)&lt;&gt;"VACUUM"),"CDU",IF($H9075="FLUID CAT CRACKING","FCC",IF(OR($H9075="HYDROCRACKING",$H9075="RESID_HYDROCRACKING"),"Hydrocracker",IF($H9075="REFORMING","Reformer",""))))</f>
        <v/>
      </c>
    </row>
    <row r="9076" spans="6:7">
      <c r="F9076" s="6">
        <f>IF($M9076="PADD I","PADD 1",IF($M9076="PADD II","PADD 2",IF($M9076="PADD III","PADD 3",IF($M9076="PADD IV","PADD 4",IF($M9076="PADD V","PADD 5","")))))</f>
        <v/>
      </c>
      <c r="G9076" s="6">
        <f>IF(AND($H9076="ATMOS DISTILLATION",ISNUMBER(SEARCH("VPS",$I9076))=FALSE,LEFT($I9076,6)&lt;&gt;"VACUUM"),"CDU",IF($H9076="FLUID CAT CRACKING","FCC",IF(OR($H9076="HYDROCRACKING",$H9076="RESID_HYDROCRACKING"),"Hydrocracker",IF($H9076="REFORMING","Reformer",""))))</f>
        <v/>
      </c>
    </row>
    <row r="9077" spans="6:7">
      <c r="F9077" s="6">
        <f>IF($M9077="PADD I","PADD 1",IF($M9077="PADD II","PADD 2",IF($M9077="PADD III","PADD 3",IF($M9077="PADD IV","PADD 4",IF($M9077="PADD V","PADD 5","")))))</f>
        <v/>
      </c>
      <c r="G9077" s="6">
        <f>IF(AND($H9077="ATMOS DISTILLATION",ISNUMBER(SEARCH("VPS",$I9077))=FALSE,LEFT($I9077,6)&lt;&gt;"VACUUM"),"CDU",IF($H9077="FLUID CAT CRACKING","FCC",IF(OR($H9077="HYDROCRACKING",$H9077="RESID_HYDROCRACKING"),"Hydrocracker",IF($H9077="REFORMING","Reformer",""))))</f>
        <v/>
      </c>
    </row>
    <row r="9078" spans="6:7">
      <c r="F9078" s="6">
        <f>IF($M9078="PADD I","PADD 1",IF($M9078="PADD II","PADD 2",IF($M9078="PADD III","PADD 3",IF($M9078="PADD IV","PADD 4",IF($M9078="PADD V","PADD 5","")))))</f>
        <v/>
      </c>
      <c r="G9078" s="6">
        <f>IF(AND($H9078="ATMOS DISTILLATION",ISNUMBER(SEARCH("VPS",$I9078))=FALSE,LEFT($I9078,6)&lt;&gt;"VACUUM"),"CDU",IF($H9078="FLUID CAT CRACKING","FCC",IF(OR($H9078="HYDROCRACKING",$H9078="RESID_HYDROCRACKING"),"Hydrocracker",IF($H9078="REFORMING","Reformer",""))))</f>
        <v/>
      </c>
    </row>
    <row r="9079" spans="6:7">
      <c r="F9079" s="6">
        <f>IF($M9079="PADD I","PADD 1",IF($M9079="PADD II","PADD 2",IF($M9079="PADD III","PADD 3",IF($M9079="PADD IV","PADD 4",IF($M9079="PADD V","PADD 5","")))))</f>
        <v/>
      </c>
      <c r="G9079" s="6">
        <f>IF(AND($H9079="ATMOS DISTILLATION",ISNUMBER(SEARCH("VPS",$I9079))=FALSE,LEFT($I9079,6)&lt;&gt;"VACUUM"),"CDU",IF($H9079="FLUID CAT CRACKING","FCC",IF(OR($H9079="HYDROCRACKING",$H9079="RESID_HYDROCRACKING"),"Hydrocracker",IF($H9079="REFORMING","Reformer",""))))</f>
        <v/>
      </c>
    </row>
    <row r="9080" spans="6:7">
      <c r="F9080" s="6">
        <f>IF($M9080="PADD I","PADD 1",IF($M9080="PADD II","PADD 2",IF($M9080="PADD III","PADD 3",IF($M9080="PADD IV","PADD 4",IF($M9080="PADD V","PADD 5","")))))</f>
        <v/>
      </c>
      <c r="G9080" s="6">
        <f>IF(AND($H9080="ATMOS DISTILLATION",ISNUMBER(SEARCH("VPS",$I9080))=FALSE,LEFT($I9080,6)&lt;&gt;"VACUUM"),"CDU",IF($H9080="FLUID CAT CRACKING","FCC",IF(OR($H9080="HYDROCRACKING",$H9080="RESID_HYDROCRACKING"),"Hydrocracker",IF($H9080="REFORMING","Reformer",""))))</f>
        <v/>
      </c>
    </row>
    <row r="9081" spans="6:7">
      <c r="F9081" s="6">
        <f>IF($M9081="PADD I","PADD 1",IF($M9081="PADD II","PADD 2",IF($M9081="PADD III","PADD 3",IF($M9081="PADD IV","PADD 4",IF($M9081="PADD V","PADD 5","")))))</f>
        <v/>
      </c>
      <c r="G9081" s="6">
        <f>IF(AND($H9081="ATMOS DISTILLATION",ISNUMBER(SEARCH("VPS",$I9081))=FALSE,LEFT($I9081,6)&lt;&gt;"VACUUM"),"CDU",IF($H9081="FLUID CAT CRACKING","FCC",IF(OR($H9081="HYDROCRACKING",$H9081="RESID_HYDROCRACKING"),"Hydrocracker",IF($H9081="REFORMING","Reformer",""))))</f>
        <v/>
      </c>
    </row>
    <row r="9082" spans="6:7">
      <c r="F9082" s="6">
        <f>IF($M9082="PADD I","PADD 1",IF($M9082="PADD II","PADD 2",IF($M9082="PADD III","PADD 3",IF($M9082="PADD IV","PADD 4",IF($M9082="PADD V","PADD 5","")))))</f>
        <v/>
      </c>
      <c r="G9082" s="6">
        <f>IF(AND($H9082="ATMOS DISTILLATION",ISNUMBER(SEARCH("VPS",$I9082))=FALSE,LEFT($I9082,6)&lt;&gt;"VACUUM"),"CDU",IF($H9082="FLUID CAT CRACKING","FCC",IF(OR($H9082="HYDROCRACKING",$H9082="RESID_HYDROCRACKING"),"Hydrocracker",IF($H9082="REFORMING","Reformer",""))))</f>
        <v/>
      </c>
    </row>
    <row r="9083" spans="6:7">
      <c r="F9083" s="6">
        <f>IF($M9083="PADD I","PADD 1",IF($M9083="PADD II","PADD 2",IF($M9083="PADD III","PADD 3",IF($M9083="PADD IV","PADD 4",IF($M9083="PADD V","PADD 5","")))))</f>
        <v/>
      </c>
      <c r="G9083" s="6">
        <f>IF(AND($H9083="ATMOS DISTILLATION",ISNUMBER(SEARCH("VPS",$I9083))=FALSE,LEFT($I9083,6)&lt;&gt;"VACUUM"),"CDU",IF($H9083="FLUID CAT CRACKING","FCC",IF(OR($H9083="HYDROCRACKING",$H9083="RESID_HYDROCRACKING"),"Hydrocracker",IF($H9083="REFORMING","Reformer",""))))</f>
        <v/>
      </c>
    </row>
    <row r="9084" spans="6:7">
      <c r="F9084" s="6">
        <f>IF($M9084="PADD I","PADD 1",IF($M9084="PADD II","PADD 2",IF($M9084="PADD III","PADD 3",IF($M9084="PADD IV","PADD 4",IF($M9084="PADD V","PADD 5","")))))</f>
        <v/>
      </c>
      <c r="G9084" s="6">
        <f>IF(AND($H9084="ATMOS DISTILLATION",ISNUMBER(SEARCH("VPS",$I9084))=FALSE,LEFT($I9084,6)&lt;&gt;"VACUUM"),"CDU",IF($H9084="FLUID CAT CRACKING","FCC",IF(OR($H9084="HYDROCRACKING",$H9084="RESID_HYDROCRACKING"),"Hydrocracker",IF($H9084="REFORMING","Reformer",""))))</f>
        <v/>
      </c>
    </row>
    <row r="9085" spans="6:7">
      <c r="F9085" s="6">
        <f>IF($M9085="PADD I","PADD 1",IF($M9085="PADD II","PADD 2",IF($M9085="PADD III","PADD 3",IF($M9085="PADD IV","PADD 4",IF($M9085="PADD V","PADD 5","")))))</f>
        <v/>
      </c>
      <c r="G9085" s="6">
        <f>IF(AND($H9085="ATMOS DISTILLATION",ISNUMBER(SEARCH("VPS",$I9085))=FALSE,LEFT($I9085,6)&lt;&gt;"VACUUM"),"CDU",IF($H9085="FLUID CAT CRACKING","FCC",IF(OR($H9085="HYDROCRACKING",$H9085="RESID_HYDROCRACKING"),"Hydrocracker",IF($H9085="REFORMING","Reformer",""))))</f>
        <v/>
      </c>
    </row>
    <row r="9086" spans="6:7">
      <c r="F9086" s="6">
        <f>IF($M9086="PADD I","PADD 1",IF($M9086="PADD II","PADD 2",IF($M9086="PADD III","PADD 3",IF($M9086="PADD IV","PADD 4",IF($M9086="PADD V","PADD 5","")))))</f>
        <v/>
      </c>
      <c r="G9086" s="6">
        <f>IF(AND($H9086="ATMOS DISTILLATION",ISNUMBER(SEARCH("VPS",$I9086))=FALSE,LEFT($I9086,6)&lt;&gt;"VACUUM"),"CDU",IF($H9086="FLUID CAT CRACKING","FCC",IF(OR($H9086="HYDROCRACKING",$H9086="RESID_HYDROCRACKING"),"Hydrocracker",IF($H9086="REFORMING","Reformer",""))))</f>
        <v/>
      </c>
    </row>
    <row r="9087" spans="6:7">
      <c r="F9087" s="6">
        <f>IF($M9087="PADD I","PADD 1",IF($M9087="PADD II","PADD 2",IF($M9087="PADD III","PADD 3",IF($M9087="PADD IV","PADD 4",IF($M9087="PADD V","PADD 5","")))))</f>
        <v/>
      </c>
      <c r="G9087" s="6">
        <f>IF(AND($H9087="ATMOS DISTILLATION",ISNUMBER(SEARCH("VPS",$I9087))=FALSE,LEFT($I9087,6)&lt;&gt;"VACUUM"),"CDU",IF($H9087="FLUID CAT CRACKING","FCC",IF(OR($H9087="HYDROCRACKING",$H9087="RESID_HYDROCRACKING"),"Hydrocracker",IF($H9087="REFORMING","Reformer",""))))</f>
        <v/>
      </c>
    </row>
    <row r="9088" spans="6:7">
      <c r="F9088" s="6">
        <f>IF($M9088="PADD I","PADD 1",IF($M9088="PADD II","PADD 2",IF($M9088="PADD III","PADD 3",IF($M9088="PADD IV","PADD 4",IF($M9088="PADD V","PADD 5","")))))</f>
        <v/>
      </c>
      <c r="G9088" s="6">
        <f>IF(AND($H9088="ATMOS DISTILLATION",ISNUMBER(SEARCH("VPS",$I9088))=FALSE,LEFT($I9088,6)&lt;&gt;"VACUUM"),"CDU",IF($H9088="FLUID CAT CRACKING","FCC",IF(OR($H9088="HYDROCRACKING",$H9088="RESID_HYDROCRACKING"),"Hydrocracker",IF($H9088="REFORMING","Reformer",""))))</f>
        <v/>
      </c>
    </row>
    <row r="9089" spans="6:7">
      <c r="F9089" s="6">
        <f>IF($M9089="PADD I","PADD 1",IF($M9089="PADD II","PADD 2",IF($M9089="PADD III","PADD 3",IF($M9089="PADD IV","PADD 4",IF($M9089="PADD V","PADD 5","")))))</f>
        <v/>
      </c>
      <c r="G9089" s="6">
        <f>IF(AND($H9089="ATMOS DISTILLATION",ISNUMBER(SEARCH("VPS",$I9089))=FALSE,LEFT($I9089,6)&lt;&gt;"VACUUM"),"CDU",IF($H9089="FLUID CAT CRACKING","FCC",IF(OR($H9089="HYDROCRACKING",$H9089="RESID_HYDROCRACKING"),"Hydrocracker",IF($H9089="REFORMING","Reformer",""))))</f>
        <v/>
      </c>
    </row>
    <row r="9090" spans="6:7">
      <c r="F9090" s="6">
        <f>IF($M9090="PADD I","PADD 1",IF($M9090="PADD II","PADD 2",IF($M9090="PADD III","PADD 3",IF($M9090="PADD IV","PADD 4",IF($M9090="PADD V","PADD 5","")))))</f>
        <v/>
      </c>
      <c r="G9090" s="6">
        <f>IF(AND($H9090="ATMOS DISTILLATION",ISNUMBER(SEARCH("VPS",$I9090))=FALSE,LEFT($I9090,6)&lt;&gt;"VACUUM"),"CDU",IF($H9090="FLUID CAT CRACKING","FCC",IF(OR($H9090="HYDROCRACKING",$H9090="RESID_HYDROCRACKING"),"Hydrocracker",IF($H9090="REFORMING","Reformer",""))))</f>
        <v/>
      </c>
    </row>
    <row r="9091" spans="6:7">
      <c r="F9091" s="6">
        <f>IF($M9091="PADD I","PADD 1",IF($M9091="PADD II","PADD 2",IF($M9091="PADD III","PADD 3",IF($M9091="PADD IV","PADD 4",IF($M9091="PADD V","PADD 5","")))))</f>
        <v/>
      </c>
      <c r="G9091" s="6">
        <f>IF(AND($H9091="ATMOS DISTILLATION",ISNUMBER(SEARCH("VPS",$I9091))=FALSE,LEFT($I9091,6)&lt;&gt;"VACUUM"),"CDU",IF($H9091="FLUID CAT CRACKING","FCC",IF(OR($H9091="HYDROCRACKING",$H9091="RESID_HYDROCRACKING"),"Hydrocracker",IF($H9091="REFORMING","Reformer",""))))</f>
        <v/>
      </c>
    </row>
    <row r="9092" spans="6:7">
      <c r="F9092" s="6">
        <f>IF($M9092="PADD I","PADD 1",IF($M9092="PADD II","PADD 2",IF($M9092="PADD III","PADD 3",IF($M9092="PADD IV","PADD 4",IF($M9092="PADD V","PADD 5","")))))</f>
        <v/>
      </c>
      <c r="G9092" s="6">
        <f>IF(AND($H9092="ATMOS DISTILLATION",ISNUMBER(SEARCH("VPS",$I9092))=FALSE,LEFT($I9092,6)&lt;&gt;"VACUUM"),"CDU",IF($H9092="FLUID CAT CRACKING","FCC",IF(OR($H9092="HYDROCRACKING",$H9092="RESID_HYDROCRACKING"),"Hydrocracker",IF($H9092="REFORMING","Reformer",""))))</f>
        <v/>
      </c>
    </row>
    <row r="9093" spans="6:7">
      <c r="F9093" s="6">
        <f>IF($M9093="PADD I","PADD 1",IF($M9093="PADD II","PADD 2",IF($M9093="PADD III","PADD 3",IF($M9093="PADD IV","PADD 4",IF($M9093="PADD V","PADD 5","")))))</f>
        <v/>
      </c>
      <c r="G9093" s="6">
        <f>IF(AND($H9093="ATMOS DISTILLATION",ISNUMBER(SEARCH("VPS",$I9093))=FALSE,LEFT($I9093,6)&lt;&gt;"VACUUM"),"CDU",IF($H9093="FLUID CAT CRACKING","FCC",IF(OR($H9093="HYDROCRACKING",$H9093="RESID_HYDROCRACKING"),"Hydrocracker",IF($H9093="REFORMING","Reformer",""))))</f>
        <v/>
      </c>
    </row>
    <row r="9094" spans="6:7">
      <c r="F9094" s="6">
        <f>IF($M9094="PADD I","PADD 1",IF($M9094="PADD II","PADD 2",IF($M9094="PADD III","PADD 3",IF($M9094="PADD IV","PADD 4",IF($M9094="PADD V","PADD 5","")))))</f>
        <v/>
      </c>
      <c r="G9094" s="6">
        <f>IF(AND($H9094="ATMOS DISTILLATION",ISNUMBER(SEARCH("VPS",$I9094))=FALSE,LEFT($I9094,6)&lt;&gt;"VACUUM"),"CDU",IF($H9094="FLUID CAT CRACKING","FCC",IF(OR($H9094="HYDROCRACKING",$H9094="RESID_HYDROCRACKING"),"Hydrocracker",IF($H9094="REFORMING","Reformer",""))))</f>
        <v/>
      </c>
    </row>
    <row r="9095" spans="6:7">
      <c r="F9095" s="6">
        <f>IF($M9095="PADD I","PADD 1",IF($M9095="PADD II","PADD 2",IF($M9095="PADD III","PADD 3",IF($M9095="PADD IV","PADD 4",IF($M9095="PADD V","PADD 5","")))))</f>
        <v/>
      </c>
      <c r="G9095" s="6">
        <f>IF(AND($H9095="ATMOS DISTILLATION",ISNUMBER(SEARCH("VPS",$I9095))=FALSE,LEFT($I9095,6)&lt;&gt;"VACUUM"),"CDU",IF($H9095="FLUID CAT CRACKING","FCC",IF(OR($H9095="HYDROCRACKING",$H9095="RESID_HYDROCRACKING"),"Hydrocracker",IF($H9095="REFORMING","Reformer",""))))</f>
        <v/>
      </c>
    </row>
    <row r="9096" spans="6:7">
      <c r="F9096" s="6">
        <f>IF($M9096="PADD I","PADD 1",IF($M9096="PADD II","PADD 2",IF($M9096="PADD III","PADD 3",IF($M9096="PADD IV","PADD 4",IF($M9096="PADD V","PADD 5","")))))</f>
        <v/>
      </c>
      <c r="G9096" s="6">
        <f>IF(AND($H9096="ATMOS DISTILLATION",ISNUMBER(SEARCH("VPS",$I9096))=FALSE,LEFT($I9096,6)&lt;&gt;"VACUUM"),"CDU",IF($H9096="FLUID CAT CRACKING","FCC",IF(OR($H9096="HYDROCRACKING",$H9096="RESID_HYDROCRACKING"),"Hydrocracker",IF($H9096="REFORMING","Reformer",""))))</f>
        <v/>
      </c>
    </row>
    <row r="9097" spans="6:7">
      <c r="F9097" s="6">
        <f>IF($M9097="PADD I","PADD 1",IF($M9097="PADD II","PADD 2",IF($M9097="PADD III","PADD 3",IF($M9097="PADD IV","PADD 4",IF($M9097="PADD V","PADD 5","")))))</f>
        <v/>
      </c>
      <c r="G9097" s="6">
        <f>IF(AND($H9097="ATMOS DISTILLATION",ISNUMBER(SEARCH("VPS",$I9097))=FALSE,LEFT($I9097,6)&lt;&gt;"VACUUM"),"CDU",IF($H9097="FLUID CAT CRACKING","FCC",IF(OR($H9097="HYDROCRACKING",$H9097="RESID_HYDROCRACKING"),"Hydrocracker",IF($H9097="REFORMING","Reformer",""))))</f>
        <v/>
      </c>
    </row>
    <row r="9098" spans="6:7">
      <c r="F9098" s="6">
        <f>IF($M9098="PADD I","PADD 1",IF($M9098="PADD II","PADD 2",IF($M9098="PADD III","PADD 3",IF($M9098="PADD IV","PADD 4",IF($M9098="PADD V","PADD 5","")))))</f>
        <v/>
      </c>
      <c r="G9098" s="6">
        <f>IF(AND($H9098="ATMOS DISTILLATION",ISNUMBER(SEARCH("VPS",$I9098))=FALSE,LEFT($I9098,6)&lt;&gt;"VACUUM"),"CDU",IF($H9098="FLUID CAT CRACKING","FCC",IF(OR($H9098="HYDROCRACKING",$H9098="RESID_HYDROCRACKING"),"Hydrocracker",IF($H9098="REFORMING","Reformer",""))))</f>
        <v/>
      </c>
    </row>
    <row r="9099" spans="6:7">
      <c r="F9099" s="6">
        <f>IF($M9099="PADD I","PADD 1",IF($M9099="PADD II","PADD 2",IF($M9099="PADD III","PADD 3",IF($M9099="PADD IV","PADD 4",IF($M9099="PADD V","PADD 5","")))))</f>
        <v/>
      </c>
      <c r="G9099" s="6">
        <f>IF(AND($H9099="ATMOS DISTILLATION",ISNUMBER(SEARCH("VPS",$I9099))=FALSE,LEFT($I9099,6)&lt;&gt;"VACUUM"),"CDU",IF($H9099="FLUID CAT CRACKING","FCC",IF(OR($H9099="HYDROCRACKING",$H9099="RESID_HYDROCRACKING"),"Hydrocracker",IF($H9099="REFORMING","Reformer",""))))</f>
        <v/>
      </c>
    </row>
    <row r="9100" spans="6:7">
      <c r="F9100" s="6">
        <f>IF($M9100="PADD I","PADD 1",IF($M9100="PADD II","PADD 2",IF($M9100="PADD III","PADD 3",IF($M9100="PADD IV","PADD 4",IF($M9100="PADD V","PADD 5","")))))</f>
        <v/>
      </c>
      <c r="G9100" s="6">
        <f>IF(AND($H9100="ATMOS DISTILLATION",ISNUMBER(SEARCH("VPS",$I9100))=FALSE,LEFT($I9100,6)&lt;&gt;"VACUUM"),"CDU",IF($H9100="FLUID CAT CRACKING","FCC",IF(OR($H9100="HYDROCRACKING",$H9100="RESID_HYDROCRACKING"),"Hydrocracker",IF($H9100="REFORMING","Reformer",""))))</f>
        <v/>
      </c>
    </row>
    <row r="9101" spans="6:7">
      <c r="F9101" s="6">
        <f>IF($M9101="PADD I","PADD 1",IF($M9101="PADD II","PADD 2",IF($M9101="PADD III","PADD 3",IF($M9101="PADD IV","PADD 4",IF($M9101="PADD V","PADD 5","")))))</f>
        <v/>
      </c>
      <c r="G9101" s="6">
        <f>IF(AND($H9101="ATMOS DISTILLATION",ISNUMBER(SEARCH("VPS",$I9101))=FALSE,LEFT($I9101,6)&lt;&gt;"VACUUM"),"CDU",IF($H9101="FLUID CAT CRACKING","FCC",IF(OR($H9101="HYDROCRACKING",$H9101="RESID_HYDROCRACKING"),"Hydrocracker",IF($H9101="REFORMING","Reformer",""))))</f>
        <v/>
      </c>
    </row>
    <row r="9102" spans="6:7">
      <c r="F9102" s="6">
        <f>IF($M9102="PADD I","PADD 1",IF($M9102="PADD II","PADD 2",IF($M9102="PADD III","PADD 3",IF($M9102="PADD IV","PADD 4",IF($M9102="PADD V","PADD 5","")))))</f>
        <v/>
      </c>
      <c r="G9102" s="6">
        <f>IF(AND($H9102="ATMOS DISTILLATION",ISNUMBER(SEARCH("VPS",$I9102))=FALSE,LEFT($I9102,6)&lt;&gt;"VACUUM"),"CDU",IF($H9102="FLUID CAT CRACKING","FCC",IF(OR($H9102="HYDROCRACKING",$H9102="RESID_HYDROCRACKING"),"Hydrocracker",IF($H9102="REFORMING","Reformer",""))))</f>
        <v/>
      </c>
    </row>
    <row r="9103" spans="6:7">
      <c r="F9103" s="6">
        <f>IF($M9103="PADD I","PADD 1",IF($M9103="PADD II","PADD 2",IF($M9103="PADD III","PADD 3",IF($M9103="PADD IV","PADD 4",IF($M9103="PADD V","PADD 5","")))))</f>
        <v/>
      </c>
      <c r="G9103" s="6">
        <f>IF(AND($H9103="ATMOS DISTILLATION",ISNUMBER(SEARCH("VPS",$I9103))=FALSE,LEFT($I9103,6)&lt;&gt;"VACUUM"),"CDU",IF($H9103="FLUID CAT CRACKING","FCC",IF(OR($H9103="HYDROCRACKING",$H9103="RESID_HYDROCRACKING"),"Hydrocracker",IF($H9103="REFORMING","Reformer",""))))</f>
        <v/>
      </c>
    </row>
    <row r="9104" spans="6:7">
      <c r="F9104" s="6">
        <f>IF($M9104="PADD I","PADD 1",IF($M9104="PADD II","PADD 2",IF($M9104="PADD III","PADD 3",IF($M9104="PADD IV","PADD 4",IF($M9104="PADD V","PADD 5","")))))</f>
        <v/>
      </c>
      <c r="G9104" s="6">
        <f>IF(AND($H9104="ATMOS DISTILLATION",ISNUMBER(SEARCH("VPS",$I9104))=FALSE,LEFT($I9104,6)&lt;&gt;"VACUUM"),"CDU",IF($H9104="FLUID CAT CRACKING","FCC",IF(OR($H9104="HYDROCRACKING",$H9104="RESID_HYDROCRACKING"),"Hydrocracker",IF($H9104="REFORMING","Reformer",""))))</f>
        <v/>
      </c>
    </row>
    <row r="9105" spans="6:7">
      <c r="F9105" s="6">
        <f>IF($M9105="PADD I","PADD 1",IF($M9105="PADD II","PADD 2",IF($M9105="PADD III","PADD 3",IF($M9105="PADD IV","PADD 4",IF($M9105="PADD V","PADD 5","")))))</f>
        <v/>
      </c>
      <c r="G9105" s="6">
        <f>IF(AND($H9105="ATMOS DISTILLATION",ISNUMBER(SEARCH("VPS",$I9105))=FALSE,LEFT($I9105,6)&lt;&gt;"VACUUM"),"CDU",IF($H9105="FLUID CAT CRACKING","FCC",IF(OR($H9105="HYDROCRACKING",$H9105="RESID_HYDROCRACKING"),"Hydrocracker",IF($H9105="REFORMING","Reformer",""))))</f>
        <v/>
      </c>
    </row>
    <row r="9106" spans="6:7">
      <c r="F9106" s="6">
        <f>IF($M9106="PADD I","PADD 1",IF($M9106="PADD II","PADD 2",IF($M9106="PADD III","PADD 3",IF($M9106="PADD IV","PADD 4",IF($M9106="PADD V","PADD 5","")))))</f>
        <v/>
      </c>
      <c r="G9106" s="6">
        <f>IF(AND($H9106="ATMOS DISTILLATION",ISNUMBER(SEARCH("VPS",$I9106))=FALSE,LEFT($I9106,6)&lt;&gt;"VACUUM"),"CDU",IF($H9106="FLUID CAT CRACKING","FCC",IF(OR($H9106="HYDROCRACKING",$H9106="RESID_HYDROCRACKING"),"Hydrocracker",IF($H9106="REFORMING","Reformer",""))))</f>
        <v/>
      </c>
    </row>
    <row r="9107" spans="6:7">
      <c r="F9107" s="6">
        <f>IF($M9107="PADD I","PADD 1",IF($M9107="PADD II","PADD 2",IF($M9107="PADD III","PADD 3",IF($M9107="PADD IV","PADD 4",IF($M9107="PADD V","PADD 5","")))))</f>
        <v/>
      </c>
      <c r="G9107" s="6">
        <f>IF(AND($H9107="ATMOS DISTILLATION",ISNUMBER(SEARCH("VPS",$I9107))=FALSE,LEFT($I9107,6)&lt;&gt;"VACUUM"),"CDU",IF($H9107="FLUID CAT CRACKING","FCC",IF(OR($H9107="HYDROCRACKING",$H9107="RESID_HYDROCRACKING"),"Hydrocracker",IF($H9107="REFORMING","Reformer",""))))</f>
        <v/>
      </c>
    </row>
    <row r="9108" spans="6:7">
      <c r="F9108" s="6">
        <f>IF($M9108="PADD I","PADD 1",IF($M9108="PADD II","PADD 2",IF($M9108="PADD III","PADD 3",IF($M9108="PADD IV","PADD 4",IF($M9108="PADD V","PADD 5","")))))</f>
        <v/>
      </c>
      <c r="G9108" s="6">
        <f>IF(AND($H9108="ATMOS DISTILLATION",ISNUMBER(SEARCH("VPS",$I9108))=FALSE,LEFT($I9108,6)&lt;&gt;"VACUUM"),"CDU",IF($H9108="FLUID CAT CRACKING","FCC",IF(OR($H9108="HYDROCRACKING",$H9108="RESID_HYDROCRACKING"),"Hydrocracker",IF($H9108="REFORMING","Reformer",""))))</f>
        <v/>
      </c>
    </row>
    <row r="9109" spans="6:7">
      <c r="F9109" s="6">
        <f>IF($M9109="PADD I","PADD 1",IF($M9109="PADD II","PADD 2",IF($M9109="PADD III","PADD 3",IF($M9109="PADD IV","PADD 4",IF($M9109="PADD V","PADD 5","")))))</f>
        <v/>
      </c>
      <c r="G9109" s="6">
        <f>IF(AND($H9109="ATMOS DISTILLATION",ISNUMBER(SEARCH("VPS",$I9109))=FALSE,LEFT($I9109,6)&lt;&gt;"VACUUM"),"CDU",IF($H9109="FLUID CAT CRACKING","FCC",IF(OR($H9109="HYDROCRACKING",$H9109="RESID_HYDROCRACKING"),"Hydrocracker",IF($H9109="REFORMING","Reformer",""))))</f>
        <v/>
      </c>
    </row>
    <row r="9110" spans="6:7">
      <c r="F9110" s="6">
        <f>IF($M9110="PADD I","PADD 1",IF($M9110="PADD II","PADD 2",IF($M9110="PADD III","PADD 3",IF($M9110="PADD IV","PADD 4",IF($M9110="PADD V","PADD 5","")))))</f>
        <v/>
      </c>
      <c r="G9110" s="6">
        <f>IF(AND($H9110="ATMOS DISTILLATION",ISNUMBER(SEARCH("VPS",$I9110))=FALSE,LEFT($I9110,6)&lt;&gt;"VACUUM"),"CDU",IF($H9110="FLUID CAT CRACKING","FCC",IF(OR($H9110="HYDROCRACKING",$H9110="RESID_HYDROCRACKING"),"Hydrocracker",IF($H9110="REFORMING","Reformer",""))))</f>
        <v/>
      </c>
    </row>
    <row r="9111" spans="6:7">
      <c r="F9111" s="6">
        <f>IF($M9111="PADD I","PADD 1",IF($M9111="PADD II","PADD 2",IF($M9111="PADD III","PADD 3",IF($M9111="PADD IV","PADD 4",IF($M9111="PADD V","PADD 5","")))))</f>
        <v/>
      </c>
      <c r="G9111" s="6">
        <f>IF(AND($H9111="ATMOS DISTILLATION",ISNUMBER(SEARCH("VPS",$I9111))=FALSE,LEFT($I9111,6)&lt;&gt;"VACUUM"),"CDU",IF($H9111="FLUID CAT CRACKING","FCC",IF(OR($H9111="HYDROCRACKING",$H9111="RESID_HYDROCRACKING"),"Hydrocracker",IF($H9111="REFORMING","Reformer",""))))</f>
        <v/>
      </c>
    </row>
    <row r="9112" spans="6:7">
      <c r="F9112" s="6">
        <f>IF($M9112="PADD I","PADD 1",IF($M9112="PADD II","PADD 2",IF($M9112="PADD III","PADD 3",IF($M9112="PADD IV","PADD 4",IF($M9112="PADD V","PADD 5","")))))</f>
        <v/>
      </c>
      <c r="G9112" s="6">
        <f>IF(AND($H9112="ATMOS DISTILLATION",ISNUMBER(SEARCH("VPS",$I9112))=FALSE,LEFT($I9112,6)&lt;&gt;"VACUUM"),"CDU",IF($H9112="FLUID CAT CRACKING","FCC",IF(OR($H9112="HYDROCRACKING",$H9112="RESID_HYDROCRACKING"),"Hydrocracker",IF($H9112="REFORMING","Reformer",""))))</f>
        <v/>
      </c>
    </row>
    <row r="9113" spans="6:7">
      <c r="F9113" s="6">
        <f>IF($M9113="PADD I","PADD 1",IF($M9113="PADD II","PADD 2",IF($M9113="PADD III","PADD 3",IF($M9113="PADD IV","PADD 4",IF($M9113="PADD V","PADD 5","")))))</f>
        <v/>
      </c>
      <c r="G9113" s="6">
        <f>IF(AND($H9113="ATMOS DISTILLATION",ISNUMBER(SEARCH("VPS",$I9113))=FALSE,LEFT($I9113,6)&lt;&gt;"VACUUM"),"CDU",IF($H9113="FLUID CAT CRACKING","FCC",IF(OR($H9113="HYDROCRACKING",$H9113="RESID_HYDROCRACKING"),"Hydrocracker",IF($H9113="REFORMING","Reformer",""))))</f>
        <v/>
      </c>
    </row>
    <row r="9114" spans="6:7">
      <c r="F9114" s="6">
        <f>IF($M9114="PADD I","PADD 1",IF($M9114="PADD II","PADD 2",IF($M9114="PADD III","PADD 3",IF($M9114="PADD IV","PADD 4",IF($M9114="PADD V","PADD 5","")))))</f>
        <v/>
      </c>
      <c r="G9114" s="6">
        <f>IF(AND($H9114="ATMOS DISTILLATION",ISNUMBER(SEARCH("VPS",$I9114))=FALSE,LEFT($I9114,6)&lt;&gt;"VACUUM"),"CDU",IF($H9114="FLUID CAT CRACKING","FCC",IF(OR($H9114="HYDROCRACKING",$H9114="RESID_HYDROCRACKING"),"Hydrocracker",IF($H9114="REFORMING","Reformer",""))))</f>
        <v/>
      </c>
    </row>
    <row r="9115" spans="6:7">
      <c r="F9115" s="6">
        <f>IF($M9115="PADD I","PADD 1",IF($M9115="PADD II","PADD 2",IF($M9115="PADD III","PADD 3",IF($M9115="PADD IV","PADD 4",IF($M9115="PADD V","PADD 5","")))))</f>
        <v/>
      </c>
      <c r="G9115" s="6">
        <f>IF(AND($H9115="ATMOS DISTILLATION",ISNUMBER(SEARCH("VPS",$I9115))=FALSE,LEFT($I9115,6)&lt;&gt;"VACUUM"),"CDU",IF($H9115="FLUID CAT CRACKING","FCC",IF(OR($H9115="HYDROCRACKING",$H9115="RESID_HYDROCRACKING"),"Hydrocracker",IF($H9115="REFORMING","Reformer",""))))</f>
        <v/>
      </c>
    </row>
    <row r="9116" spans="6:7">
      <c r="F9116" s="6">
        <f>IF($M9116="PADD I","PADD 1",IF($M9116="PADD II","PADD 2",IF($M9116="PADD III","PADD 3",IF($M9116="PADD IV","PADD 4",IF($M9116="PADD V","PADD 5","")))))</f>
        <v/>
      </c>
      <c r="G9116" s="6">
        <f>IF(AND($H9116="ATMOS DISTILLATION",ISNUMBER(SEARCH("VPS",$I9116))=FALSE,LEFT($I9116,6)&lt;&gt;"VACUUM"),"CDU",IF($H9116="FLUID CAT CRACKING","FCC",IF(OR($H9116="HYDROCRACKING",$H9116="RESID_HYDROCRACKING"),"Hydrocracker",IF($H9116="REFORMING","Reformer",""))))</f>
        <v/>
      </c>
    </row>
    <row r="9117" spans="6:7">
      <c r="F9117" s="6">
        <f>IF($M9117="PADD I","PADD 1",IF($M9117="PADD II","PADD 2",IF($M9117="PADD III","PADD 3",IF($M9117="PADD IV","PADD 4",IF($M9117="PADD V","PADD 5","")))))</f>
        <v/>
      </c>
      <c r="G9117" s="6">
        <f>IF(AND($H9117="ATMOS DISTILLATION",ISNUMBER(SEARCH("VPS",$I9117))=FALSE,LEFT($I9117,6)&lt;&gt;"VACUUM"),"CDU",IF($H9117="FLUID CAT CRACKING","FCC",IF(OR($H9117="HYDROCRACKING",$H9117="RESID_HYDROCRACKING"),"Hydrocracker",IF($H9117="REFORMING","Reformer",""))))</f>
        <v/>
      </c>
    </row>
    <row r="9118" spans="6:7">
      <c r="F9118" s="6">
        <f>IF($M9118="PADD I","PADD 1",IF($M9118="PADD II","PADD 2",IF($M9118="PADD III","PADD 3",IF($M9118="PADD IV","PADD 4",IF($M9118="PADD V","PADD 5","")))))</f>
        <v/>
      </c>
      <c r="G9118" s="6">
        <f>IF(AND($H9118="ATMOS DISTILLATION",ISNUMBER(SEARCH("VPS",$I9118))=FALSE,LEFT($I9118,6)&lt;&gt;"VACUUM"),"CDU",IF($H9118="FLUID CAT CRACKING","FCC",IF(OR($H9118="HYDROCRACKING",$H9118="RESID_HYDROCRACKING"),"Hydrocracker",IF($H9118="REFORMING","Reformer",""))))</f>
        <v/>
      </c>
    </row>
    <row r="9119" spans="6:7">
      <c r="F9119" s="6">
        <f>IF($M9119="PADD I","PADD 1",IF($M9119="PADD II","PADD 2",IF($M9119="PADD III","PADD 3",IF($M9119="PADD IV","PADD 4",IF($M9119="PADD V","PADD 5","")))))</f>
        <v/>
      </c>
      <c r="G9119" s="6">
        <f>IF(AND($H9119="ATMOS DISTILLATION",ISNUMBER(SEARCH("VPS",$I9119))=FALSE,LEFT($I9119,6)&lt;&gt;"VACUUM"),"CDU",IF($H9119="FLUID CAT CRACKING","FCC",IF(OR($H9119="HYDROCRACKING",$H9119="RESID_HYDROCRACKING"),"Hydrocracker",IF($H9119="REFORMING","Reformer",""))))</f>
        <v/>
      </c>
    </row>
    <row r="9120" spans="6:7">
      <c r="F9120" s="6">
        <f>IF($M9120="PADD I","PADD 1",IF($M9120="PADD II","PADD 2",IF($M9120="PADD III","PADD 3",IF($M9120="PADD IV","PADD 4",IF($M9120="PADD V","PADD 5","")))))</f>
        <v/>
      </c>
      <c r="G9120" s="6">
        <f>IF(AND($H9120="ATMOS DISTILLATION",ISNUMBER(SEARCH("VPS",$I9120))=FALSE,LEFT($I9120,6)&lt;&gt;"VACUUM"),"CDU",IF($H9120="FLUID CAT CRACKING","FCC",IF(OR($H9120="HYDROCRACKING",$H9120="RESID_HYDROCRACKING"),"Hydrocracker",IF($H9120="REFORMING","Reformer",""))))</f>
        <v/>
      </c>
    </row>
    <row r="9121" spans="6:7">
      <c r="F9121" s="6">
        <f>IF($M9121="PADD I","PADD 1",IF($M9121="PADD II","PADD 2",IF($M9121="PADD III","PADD 3",IF($M9121="PADD IV","PADD 4",IF($M9121="PADD V","PADD 5","")))))</f>
        <v/>
      </c>
      <c r="G9121" s="6">
        <f>IF(AND($H9121="ATMOS DISTILLATION",ISNUMBER(SEARCH("VPS",$I9121))=FALSE,LEFT($I9121,6)&lt;&gt;"VACUUM"),"CDU",IF($H9121="FLUID CAT CRACKING","FCC",IF(OR($H9121="HYDROCRACKING",$H9121="RESID_HYDROCRACKING"),"Hydrocracker",IF($H9121="REFORMING","Reformer",""))))</f>
        <v/>
      </c>
    </row>
    <row r="9122" spans="6:7">
      <c r="F9122" s="6">
        <f>IF($M9122="PADD I","PADD 1",IF($M9122="PADD II","PADD 2",IF($M9122="PADD III","PADD 3",IF($M9122="PADD IV","PADD 4",IF($M9122="PADD V","PADD 5","")))))</f>
        <v/>
      </c>
      <c r="G9122" s="6">
        <f>IF(AND($H9122="ATMOS DISTILLATION",ISNUMBER(SEARCH("VPS",$I9122))=FALSE,LEFT($I9122,6)&lt;&gt;"VACUUM"),"CDU",IF($H9122="FLUID CAT CRACKING","FCC",IF(OR($H9122="HYDROCRACKING",$H9122="RESID_HYDROCRACKING"),"Hydrocracker",IF($H9122="REFORMING","Reformer",""))))</f>
        <v/>
      </c>
    </row>
    <row r="9123" spans="6:7">
      <c r="F9123" s="6">
        <f>IF($M9123="PADD I","PADD 1",IF($M9123="PADD II","PADD 2",IF($M9123="PADD III","PADD 3",IF($M9123="PADD IV","PADD 4",IF($M9123="PADD V","PADD 5","")))))</f>
        <v/>
      </c>
      <c r="G9123" s="6">
        <f>IF(AND($H9123="ATMOS DISTILLATION",ISNUMBER(SEARCH("VPS",$I9123))=FALSE,LEFT($I9123,6)&lt;&gt;"VACUUM"),"CDU",IF($H9123="FLUID CAT CRACKING","FCC",IF(OR($H9123="HYDROCRACKING",$H9123="RESID_HYDROCRACKING"),"Hydrocracker",IF($H9123="REFORMING","Reformer",""))))</f>
        <v/>
      </c>
    </row>
    <row r="9124" spans="6:7">
      <c r="F9124" s="6">
        <f>IF($M9124="PADD I","PADD 1",IF($M9124="PADD II","PADD 2",IF($M9124="PADD III","PADD 3",IF($M9124="PADD IV","PADD 4",IF($M9124="PADD V","PADD 5","")))))</f>
        <v/>
      </c>
      <c r="G9124" s="6">
        <f>IF(AND($H9124="ATMOS DISTILLATION",ISNUMBER(SEARCH("VPS",$I9124))=FALSE,LEFT($I9124,6)&lt;&gt;"VACUUM"),"CDU",IF($H9124="FLUID CAT CRACKING","FCC",IF(OR($H9124="HYDROCRACKING",$H9124="RESID_HYDROCRACKING"),"Hydrocracker",IF($H9124="REFORMING","Reformer",""))))</f>
        <v/>
      </c>
    </row>
    <row r="9125" spans="6:7">
      <c r="F9125" s="6">
        <f>IF($M9125="PADD I","PADD 1",IF($M9125="PADD II","PADD 2",IF($M9125="PADD III","PADD 3",IF($M9125="PADD IV","PADD 4",IF($M9125="PADD V","PADD 5","")))))</f>
        <v/>
      </c>
      <c r="G9125" s="6">
        <f>IF(AND($H9125="ATMOS DISTILLATION",ISNUMBER(SEARCH("VPS",$I9125))=FALSE,LEFT($I9125,6)&lt;&gt;"VACUUM"),"CDU",IF($H9125="FLUID CAT CRACKING","FCC",IF(OR($H9125="HYDROCRACKING",$H9125="RESID_HYDROCRACKING"),"Hydrocracker",IF($H9125="REFORMING","Reformer",""))))</f>
        <v/>
      </c>
    </row>
    <row r="9126" spans="6:7">
      <c r="F9126" s="6">
        <f>IF($M9126="PADD I","PADD 1",IF($M9126="PADD II","PADD 2",IF($M9126="PADD III","PADD 3",IF($M9126="PADD IV","PADD 4",IF($M9126="PADD V","PADD 5","")))))</f>
        <v/>
      </c>
      <c r="G9126" s="6">
        <f>IF(AND($H9126="ATMOS DISTILLATION",ISNUMBER(SEARCH("VPS",$I9126))=FALSE,LEFT($I9126,6)&lt;&gt;"VACUUM"),"CDU",IF($H9126="FLUID CAT CRACKING","FCC",IF(OR($H9126="HYDROCRACKING",$H9126="RESID_HYDROCRACKING"),"Hydrocracker",IF($H9126="REFORMING","Reformer",""))))</f>
        <v/>
      </c>
    </row>
    <row r="9127" spans="6:7">
      <c r="F9127" s="6">
        <f>IF($M9127="PADD I","PADD 1",IF($M9127="PADD II","PADD 2",IF($M9127="PADD III","PADD 3",IF($M9127="PADD IV","PADD 4",IF($M9127="PADD V","PADD 5","")))))</f>
        <v/>
      </c>
      <c r="G9127" s="6">
        <f>IF(AND($H9127="ATMOS DISTILLATION",ISNUMBER(SEARCH("VPS",$I9127))=FALSE,LEFT($I9127,6)&lt;&gt;"VACUUM"),"CDU",IF($H9127="FLUID CAT CRACKING","FCC",IF(OR($H9127="HYDROCRACKING",$H9127="RESID_HYDROCRACKING"),"Hydrocracker",IF($H9127="REFORMING","Reformer",""))))</f>
        <v/>
      </c>
    </row>
    <row r="9128" spans="6:7">
      <c r="F9128" s="6">
        <f>IF($M9128="PADD I","PADD 1",IF($M9128="PADD II","PADD 2",IF($M9128="PADD III","PADD 3",IF($M9128="PADD IV","PADD 4",IF($M9128="PADD V","PADD 5","")))))</f>
        <v/>
      </c>
      <c r="G9128" s="6">
        <f>IF(AND($H9128="ATMOS DISTILLATION",ISNUMBER(SEARCH("VPS",$I9128))=FALSE,LEFT($I9128,6)&lt;&gt;"VACUUM"),"CDU",IF($H9128="FLUID CAT CRACKING","FCC",IF(OR($H9128="HYDROCRACKING",$H9128="RESID_HYDROCRACKING"),"Hydrocracker",IF($H9128="REFORMING","Reformer",""))))</f>
        <v/>
      </c>
    </row>
    <row r="9129" spans="6:7">
      <c r="F9129" s="6">
        <f>IF($M9129="PADD I","PADD 1",IF($M9129="PADD II","PADD 2",IF($M9129="PADD III","PADD 3",IF($M9129="PADD IV","PADD 4",IF($M9129="PADD V","PADD 5","")))))</f>
        <v/>
      </c>
      <c r="G9129" s="6">
        <f>IF(AND($H9129="ATMOS DISTILLATION",ISNUMBER(SEARCH("VPS",$I9129))=FALSE,LEFT($I9129,6)&lt;&gt;"VACUUM"),"CDU",IF($H9129="FLUID CAT CRACKING","FCC",IF(OR($H9129="HYDROCRACKING",$H9129="RESID_HYDROCRACKING"),"Hydrocracker",IF($H9129="REFORMING","Reformer",""))))</f>
        <v/>
      </c>
    </row>
    <row r="9130" spans="6:7">
      <c r="F9130" s="6">
        <f>IF($M9130="PADD I","PADD 1",IF($M9130="PADD II","PADD 2",IF($M9130="PADD III","PADD 3",IF($M9130="PADD IV","PADD 4",IF($M9130="PADD V","PADD 5","")))))</f>
        <v/>
      </c>
      <c r="G9130" s="6">
        <f>IF(AND($H9130="ATMOS DISTILLATION",ISNUMBER(SEARCH("VPS",$I9130))=FALSE,LEFT($I9130,6)&lt;&gt;"VACUUM"),"CDU",IF($H9130="FLUID CAT CRACKING","FCC",IF(OR($H9130="HYDROCRACKING",$H9130="RESID_HYDROCRACKING"),"Hydrocracker",IF($H9130="REFORMING","Reformer",""))))</f>
        <v/>
      </c>
    </row>
    <row r="9131" spans="6:7">
      <c r="F9131" s="6">
        <f>IF($M9131="PADD I","PADD 1",IF($M9131="PADD II","PADD 2",IF($M9131="PADD III","PADD 3",IF($M9131="PADD IV","PADD 4",IF($M9131="PADD V","PADD 5","")))))</f>
        <v/>
      </c>
      <c r="G9131" s="6">
        <f>IF(AND($H9131="ATMOS DISTILLATION",ISNUMBER(SEARCH("VPS",$I9131))=FALSE,LEFT($I9131,6)&lt;&gt;"VACUUM"),"CDU",IF($H9131="FLUID CAT CRACKING","FCC",IF(OR($H9131="HYDROCRACKING",$H9131="RESID_HYDROCRACKING"),"Hydrocracker",IF($H9131="REFORMING","Reformer",""))))</f>
        <v/>
      </c>
    </row>
    <row r="9132" spans="6:7">
      <c r="F9132" s="6">
        <f>IF($M9132="PADD I","PADD 1",IF($M9132="PADD II","PADD 2",IF($M9132="PADD III","PADD 3",IF($M9132="PADD IV","PADD 4",IF($M9132="PADD V","PADD 5","")))))</f>
        <v/>
      </c>
      <c r="G9132" s="6">
        <f>IF(AND($H9132="ATMOS DISTILLATION",ISNUMBER(SEARCH("VPS",$I9132))=FALSE,LEFT($I9132,6)&lt;&gt;"VACUUM"),"CDU",IF($H9132="FLUID CAT CRACKING","FCC",IF(OR($H9132="HYDROCRACKING",$H9132="RESID_HYDROCRACKING"),"Hydrocracker",IF($H9132="REFORMING","Reformer",""))))</f>
        <v/>
      </c>
    </row>
    <row r="9133" spans="6:7">
      <c r="F9133" s="6">
        <f>IF($M9133="PADD I","PADD 1",IF($M9133="PADD II","PADD 2",IF($M9133="PADD III","PADD 3",IF($M9133="PADD IV","PADD 4",IF($M9133="PADD V","PADD 5","")))))</f>
        <v/>
      </c>
      <c r="G9133" s="6">
        <f>IF(AND($H9133="ATMOS DISTILLATION",ISNUMBER(SEARCH("VPS",$I9133))=FALSE,LEFT($I9133,6)&lt;&gt;"VACUUM"),"CDU",IF($H9133="FLUID CAT CRACKING","FCC",IF(OR($H9133="HYDROCRACKING",$H9133="RESID_HYDROCRACKING"),"Hydrocracker",IF($H9133="REFORMING","Reformer",""))))</f>
        <v/>
      </c>
    </row>
    <row r="9134" spans="6:7">
      <c r="F9134" s="6">
        <f>IF($M9134="PADD I","PADD 1",IF($M9134="PADD II","PADD 2",IF($M9134="PADD III","PADD 3",IF($M9134="PADD IV","PADD 4",IF($M9134="PADD V","PADD 5","")))))</f>
        <v/>
      </c>
      <c r="G9134" s="6">
        <f>IF(AND($H9134="ATMOS DISTILLATION",ISNUMBER(SEARCH("VPS",$I9134))=FALSE,LEFT($I9134,6)&lt;&gt;"VACUUM"),"CDU",IF($H9134="FLUID CAT CRACKING","FCC",IF(OR($H9134="HYDROCRACKING",$H9134="RESID_HYDROCRACKING"),"Hydrocracker",IF($H9134="REFORMING","Reformer",""))))</f>
        <v/>
      </c>
    </row>
    <row r="9135" spans="6:7">
      <c r="F9135" s="6">
        <f>IF($M9135="PADD I","PADD 1",IF($M9135="PADD II","PADD 2",IF($M9135="PADD III","PADD 3",IF($M9135="PADD IV","PADD 4",IF($M9135="PADD V","PADD 5","")))))</f>
        <v/>
      </c>
      <c r="G9135" s="6">
        <f>IF(AND($H9135="ATMOS DISTILLATION",ISNUMBER(SEARCH("VPS",$I9135))=FALSE,LEFT($I9135,6)&lt;&gt;"VACUUM"),"CDU",IF($H9135="FLUID CAT CRACKING","FCC",IF(OR($H9135="HYDROCRACKING",$H9135="RESID_HYDROCRACKING"),"Hydrocracker",IF($H9135="REFORMING","Reformer",""))))</f>
        <v/>
      </c>
    </row>
    <row r="9136" spans="6:7">
      <c r="F9136" s="6">
        <f>IF($M9136="PADD I","PADD 1",IF($M9136="PADD II","PADD 2",IF($M9136="PADD III","PADD 3",IF($M9136="PADD IV","PADD 4",IF($M9136="PADD V","PADD 5","")))))</f>
        <v/>
      </c>
      <c r="G9136" s="6">
        <f>IF(AND($H9136="ATMOS DISTILLATION",ISNUMBER(SEARCH("VPS",$I9136))=FALSE,LEFT($I9136,6)&lt;&gt;"VACUUM"),"CDU",IF($H9136="FLUID CAT CRACKING","FCC",IF(OR($H9136="HYDROCRACKING",$H9136="RESID_HYDROCRACKING"),"Hydrocracker",IF($H9136="REFORMING","Reformer",""))))</f>
        <v/>
      </c>
    </row>
    <row r="9137" spans="6:7">
      <c r="F9137" s="6">
        <f>IF($M9137="PADD I","PADD 1",IF($M9137="PADD II","PADD 2",IF($M9137="PADD III","PADD 3",IF($M9137="PADD IV","PADD 4",IF($M9137="PADD V","PADD 5","")))))</f>
        <v/>
      </c>
      <c r="G9137" s="6">
        <f>IF(AND($H9137="ATMOS DISTILLATION",ISNUMBER(SEARCH("VPS",$I9137))=FALSE,LEFT($I9137,6)&lt;&gt;"VACUUM"),"CDU",IF($H9137="FLUID CAT CRACKING","FCC",IF(OR($H9137="HYDROCRACKING",$H9137="RESID_HYDROCRACKING"),"Hydrocracker",IF($H9137="REFORMING","Reformer",""))))</f>
        <v/>
      </c>
    </row>
    <row r="9138" spans="6:7">
      <c r="F9138" s="6">
        <f>IF($M9138="PADD I","PADD 1",IF($M9138="PADD II","PADD 2",IF($M9138="PADD III","PADD 3",IF($M9138="PADD IV","PADD 4",IF($M9138="PADD V","PADD 5","")))))</f>
        <v/>
      </c>
      <c r="G9138" s="6">
        <f>IF(AND($H9138="ATMOS DISTILLATION",ISNUMBER(SEARCH("VPS",$I9138))=FALSE,LEFT($I9138,6)&lt;&gt;"VACUUM"),"CDU",IF($H9138="FLUID CAT CRACKING","FCC",IF(OR($H9138="HYDROCRACKING",$H9138="RESID_HYDROCRACKING"),"Hydrocracker",IF($H9138="REFORMING","Reformer",""))))</f>
        <v/>
      </c>
    </row>
    <row r="9139" spans="6:7">
      <c r="F9139" s="6">
        <f>IF($M9139="PADD I","PADD 1",IF($M9139="PADD II","PADD 2",IF($M9139="PADD III","PADD 3",IF($M9139="PADD IV","PADD 4",IF($M9139="PADD V","PADD 5","")))))</f>
        <v/>
      </c>
      <c r="G9139" s="6">
        <f>IF(AND($H9139="ATMOS DISTILLATION",ISNUMBER(SEARCH("VPS",$I9139))=FALSE,LEFT($I9139,6)&lt;&gt;"VACUUM"),"CDU",IF($H9139="FLUID CAT CRACKING","FCC",IF(OR($H9139="HYDROCRACKING",$H9139="RESID_HYDROCRACKING"),"Hydrocracker",IF($H9139="REFORMING","Reformer",""))))</f>
        <v/>
      </c>
    </row>
    <row r="9140" spans="6:7">
      <c r="F9140" s="6">
        <f>IF($M9140="PADD I","PADD 1",IF($M9140="PADD II","PADD 2",IF($M9140="PADD III","PADD 3",IF($M9140="PADD IV","PADD 4",IF($M9140="PADD V","PADD 5","")))))</f>
        <v/>
      </c>
      <c r="G9140" s="6">
        <f>IF(AND($H9140="ATMOS DISTILLATION",ISNUMBER(SEARCH("VPS",$I9140))=FALSE,LEFT($I9140,6)&lt;&gt;"VACUUM"),"CDU",IF($H9140="FLUID CAT CRACKING","FCC",IF(OR($H9140="HYDROCRACKING",$H9140="RESID_HYDROCRACKING"),"Hydrocracker",IF($H9140="REFORMING","Reformer",""))))</f>
        <v/>
      </c>
    </row>
    <row r="9141" spans="6:7">
      <c r="F9141" s="6">
        <f>IF($M9141="PADD I","PADD 1",IF($M9141="PADD II","PADD 2",IF($M9141="PADD III","PADD 3",IF($M9141="PADD IV","PADD 4",IF($M9141="PADD V","PADD 5","")))))</f>
        <v/>
      </c>
      <c r="G9141" s="6">
        <f>IF(AND($H9141="ATMOS DISTILLATION",ISNUMBER(SEARCH("VPS",$I9141))=FALSE,LEFT($I9141,6)&lt;&gt;"VACUUM"),"CDU",IF($H9141="FLUID CAT CRACKING","FCC",IF(OR($H9141="HYDROCRACKING",$H9141="RESID_HYDROCRACKING"),"Hydrocracker",IF($H9141="REFORMING","Reformer",""))))</f>
        <v/>
      </c>
    </row>
    <row r="9142" spans="6:7">
      <c r="F9142" s="6">
        <f>IF($M9142="PADD I","PADD 1",IF($M9142="PADD II","PADD 2",IF($M9142="PADD III","PADD 3",IF($M9142="PADD IV","PADD 4",IF($M9142="PADD V","PADD 5","")))))</f>
        <v/>
      </c>
      <c r="G9142" s="6">
        <f>IF(AND($H9142="ATMOS DISTILLATION",ISNUMBER(SEARCH("VPS",$I9142))=FALSE,LEFT($I9142,6)&lt;&gt;"VACUUM"),"CDU",IF($H9142="FLUID CAT CRACKING","FCC",IF(OR($H9142="HYDROCRACKING",$H9142="RESID_HYDROCRACKING"),"Hydrocracker",IF($H9142="REFORMING","Reformer",""))))</f>
        <v/>
      </c>
    </row>
    <row r="9143" spans="6:7">
      <c r="F9143" s="6">
        <f>IF($M9143="PADD I","PADD 1",IF($M9143="PADD II","PADD 2",IF($M9143="PADD III","PADD 3",IF($M9143="PADD IV","PADD 4",IF($M9143="PADD V","PADD 5","")))))</f>
        <v/>
      </c>
      <c r="G9143" s="6">
        <f>IF(AND($H9143="ATMOS DISTILLATION",ISNUMBER(SEARCH("VPS",$I9143))=FALSE,LEFT($I9143,6)&lt;&gt;"VACUUM"),"CDU",IF($H9143="FLUID CAT CRACKING","FCC",IF(OR($H9143="HYDROCRACKING",$H9143="RESID_HYDROCRACKING"),"Hydrocracker",IF($H9143="REFORMING","Reformer",""))))</f>
        <v/>
      </c>
    </row>
    <row r="9144" spans="6:7">
      <c r="F9144" s="6">
        <f>IF($M9144="PADD I","PADD 1",IF($M9144="PADD II","PADD 2",IF($M9144="PADD III","PADD 3",IF($M9144="PADD IV","PADD 4",IF($M9144="PADD V","PADD 5","")))))</f>
        <v/>
      </c>
      <c r="G9144" s="6">
        <f>IF(AND($H9144="ATMOS DISTILLATION",ISNUMBER(SEARCH("VPS",$I9144))=FALSE,LEFT($I9144,6)&lt;&gt;"VACUUM"),"CDU",IF($H9144="FLUID CAT CRACKING","FCC",IF(OR($H9144="HYDROCRACKING",$H9144="RESID_HYDROCRACKING"),"Hydrocracker",IF($H9144="REFORMING","Reformer",""))))</f>
        <v/>
      </c>
    </row>
    <row r="9145" spans="6:7">
      <c r="F9145" s="6">
        <f>IF($M9145="PADD I","PADD 1",IF($M9145="PADD II","PADD 2",IF($M9145="PADD III","PADD 3",IF($M9145="PADD IV","PADD 4",IF($M9145="PADD V","PADD 5","")))))</f>
        <v/>
      </c>
      <c r="G9145" s="6">
        <f>IF(AND($H9145="ATMOS DISTILLATION",ISNUMBER(SEARCH("VPS",$I9145))=FALSE,LEFT($I9145,6)&lt;&gt;"VACUUM"),"CDU",IF($H9145="FLUID CAT CRACKING","FCC",IF(OR($H9145="HYDROCRACKING",$H9145="RESID_HYDROCRACKING"),"Hydrocracker",IF($H9145="REFORMING","Reformer",""))))</f>
        <v/>
      </c>
    </row>
    <row r="9146" spans="6:7">
      <c r="F9146" s="6">
        <f>IF($M9146="PADD I","PADD 1",IF($M9146="PADD II","PADD 2",IF($M9146="PADD III","PADD 3",IF($M9146="PADD IV","PADD 4",IF($M9146="PADD V","PADD 5","")))))</f>
        <v/>
      </c>
      <c r="G9146" s="6">
        <f>IF(AND($H9146="ATMOS DISTILLATION",ISNUMBER(SEARCH("VPS",$I9146))=FALSE,LEFT($I9146,6)&lt;&gt;"VACUUM"),"CDU",IF($H9146="FLUID CAT CRACKING","FCC",IF(OR($H9146="HYDROCRACKING",$H9146="RESID_HYDROCRACKING"),"Hydrocracker",IF($H9146="REFORMING","Reformer",""))))</f>
        <v/>
      </c>
    </row>
    <row r="9147" spans="6:7">
      <c r="F9147" s="6">
        <f>IF($M9147="PADD I","PADD 1",IF($M9147="PADD II","PADD 2",IF($M9147="PADD III","PADD 3",IF($M9147="PADD IV","PADD 4",IF($M9147="PADD V","PADD 5","")))))</f>
        <v/>
      </c>
      <c r="G9147" s="6">
        <f>IF(AND($H9147="ATMOS DISTILLATION",ISNUMBER(SEARCH("VPS",$I9147))=FALSE,LEFT($I9147,6)&lt;&gt;"VACUUM"),"CDU",IF($H9147="FLUID CAT CRACKING","FCC",IF(OR($H9147="HYDROCRACKING",$H9147="RESID_HYDROCRACKING"),"Hydrocracker",IF($H9147="REFORMING","Reformer",""))))</f>
        <v/>
      </c>
    </row>
    <row r="9148" spans="6:7">
      <c r="F9148" s="6">
        <f>IF($M9148="PADD I","PADD 1",IF($M9148="PADD II","PADD 2",IF($M9148="PADD III","PADD 3",IF($M9148="PADD IV","PADD 4",IF($M9148="PADD V","PADD 5","")))))</f>
        <v/>
      </c>
      <c r="G9148" s="6">
        <f>IF(AND($H9148="ATMOS DISTILLATION",ISNUMBER(SEARCH("VPS",$I9148))=FALSE,LEFT($I9148,6)&lt;&gt;"VACUUM"),"CDU",IF($H9148="FLUID CAT CRACKING","FCC",IF(OR($H9148="HYDROCRACKING",$H9148="RESID_HYDROCRACKING"),"Hydrocracker",IF($H9148="REFORMING","Reformer",""))))</f>
        <v/>
      </c>
    </row>
    <row r="9149" spans="6:7">
      <c r="F9149" s="6">
        <f>IF($M9149="PADD I","PADD 1",IF($M9149="PADD II","PADD 2",IF($M9149="PADD III","PADD 3",IF($M9149="PADD IV","PADD 4",IF($M9149="PADD V","PADD 5","")))))</f>
        <v/>
      </c>
      <c r="G9149" s="6">
        <f>IF(AND($H9149="ATMOS DISTILLATION",ISNUMBER(SEARCH("VPS",$I9149))=FALSE,LEFT($I9149,6)&lt;&gt;"VACUUM"),"CDU",IF($H9149="FLUID CAT CRACKING","FCC",IF(OR($H9149="HYDROCRACKING",$H9149="RESID_HYDROCRACKING"),"Hydrocracker",IF($H9149="REFORMING","Reformer",""))))</f>
        <v/>
      </c>
    </row>
    <row r="9150" spans="6:7">
      <c r="F9150" s="6">
        <f>IF($M9150="PADD I","PADD 1",IF($M9150="PADD II","PADD 2",IF($M9150="PADD III","PADD 3",IF($M9150="PADD IV","PADD 4",IF($M9150="PADD V","PADD 5","")))))</f>
        <v/>
      </c>
      <c r="G9150" s="6">
        <f>IF(AND($H9150="ATMOS DISTILLATION",ISNUMBER(SEARCH("VPS",$I9150))=FALSE,LEFT($I9150,6)&lt;&gt;"VACUUM"),"CDU",IF($H9150="FLUID CAT CRACKING","FCC",IF(OR($H9150="HYDROCRACKING",$H9150="RESID_HYDROCRACKING"),"Hydrocracker",IF($H9150="REFORMING","Reformer",""))))</f>
        <v/>
      </c>
    </row>
    <row r="9151" spans="6:7">
      <c r="F9151" s="6">
        <f>IF($M9151="PADD I","PADD 1",IF($M9151="PADD II","PADD 2",IF($M9151="PADD III","PADD 3",IF($M9151="PADD IV","PADD 4",IF($M9151="PADD V","PADD 5","")))))</f>
        <v/>
      </c>
      <c r="G9151" s="6">
        <f>IF(AND($H9151="ATMOS DISTILLATION",ISNUMBER(SEARCH("VPS",$I9151))=FALSE,LEFT($I9151,6)&lt;&gt;"VACUUM"),"CDU",IF($H9151="FLUID CAT CRACKING","FCC",IF(OR($H9151="HYDROCRACKING",$H9151="RESID_HYDROCRACKING"),"Hydrocracker",IF($H9151="REFORMING","Reformer",""))))</f>
        <v/>
      </c>
    </row>
    <row r="9152" spans="6:7">
      <c r="F9152" s="6">
        <f>IF($M9152="PADD I","PADD 1",IF($M9152="PADD II","PADD 2",IF($M9152="PADD III","PADD 3",IF($M9152="PADD IV","PADD 4",IF($M9152="PADD V","PADD 5","")))))</f>
        <v/>
      </c>
      <c r="G9152" s="6">
        <f>IF(AND($H9152="ATMOS DISTILLATION",ISNUMBER(SEARCH("VPS",$I9152))=FALSE,LEFT($I9152,6)&lt;&gt;"VACUUM"),"CDU",IF($H9152="FLUID CAT CRACKING","FCC",IF(OR($H9152="HYDROCRACKING",$H9152="RESID_HYDROCRACKING"),"Hydrocracker",IF($H9152="REFORMING","Reformer",""))))</f>
        <v/>
      </c>
    </row>
    <row r="9153" spans="6:7">
      <c r="F9153" s="6">
        <f>IF($M9153="PADD I","PADD 1",IF($M9153="PADD II","PADD 2",IF($M9153="PADD III","PADD 3",IF($M9153="PADD IV","PADD 4",IF($M9153="PADD V","PADD 5","")))))</f>
        <v/>
      </c>
      <c r="G9153" s="6">
        <f>IF(AND($H9153="ATMOS DISTILLATION",ISNUMBER(SEARCH("VPS",$I9153))=FALSE,LEFT($I9153,6)&lt;&gt;"VACUUM"),"CDU",IF($H9153="FLUID CAT CRACKING","FCC",IF(OR($H9153="HYDROCRACKING",$H9153="RESID_HYDROCRACKING"),"Hydrocracker",IF($H9153="REFORMING","Reformer",""))))</f>
        <v/>
      </c>
    </row>
    <row r="9154" spans="6:7">
      <c r="F9154" s="6">
        <f>IF($M9154="PADD I","PADD 1",IF($M9154="PADD II","PADD 2",IF($M9154="PADD III","PADD 3",IF($M9154="PADD IV","PADD 4",IF($M9154="PADD V","PADD 5","")))))</f>
        <v/>
      </c>
      <c r="G9154" s="6">
        <f>IF(AND($H9154="ATMOS DISTILLATION",ISNUMBER(SEARCH("VPS",$I9154))=FALSE,LEFT($I9154,6)&lt;&gt;"VACUUM"),"CDU",IF($H9154="FLUID CAT CRACKING","FCC",IF(OR($H9154="HYDROCRACKING",$H9154="RESID_HYDROCRACKING"),"Hydrocracker",IF($H9154="REFORMING","Reformer",""))))</f>
        <v/>
      </c>
    </row>
    <row r="9155" spans="6:7">
      <c r="F9155" s="6">
        <f>IF($M9155="PADD I","PADD 1",IF($M9155="PADD II","PADD 2",IF($M9155="PADD III","PADD 3",IF($M9155="PADD IV","PADD 4",IF($M9155="PADD V","PADD 5","")))))</f>
        <v/>
      </c>
      <c r="G9155" s="6">
        <f>IF(AND($H9155="ATMOS DISTILLATION",ISNUMBER(SEARCH("VPS",$I9155))=FALSE,LEFT($I9155,6)&lt;&gt;"VACUUM"),"CDU",IF($H9155="FLUID CAT CRACKING","FCC",IF(OR($H9155="HYDROCRACKING",$H9155="RESID_HYDROCRACKING"),"Hydrocracker",IF($H9155="REFORMING","Reformer",""))))</f>
        <v/>
      </c>
    </row>
    <row r="9156" spans="6:7">
      <c r="F9156" s="6">
        <f>IF($M9156="PADD I","PADD 1",IF($M9156="PADD II","PADD 2",IF($M9156="PADD III","PADD 3",IF($M9156="PADD IV","PADD 4",IF($M9156="PADD V","PADD 5","")))))</f>
        <v/>
      </c>
      <c r="G9156" s="6">
        <f>IF(AND($H9156="ATMOS DISTILLATION",ISNUMBER(SEARCH("VPS",$I9156))=FALSE,LEFT($I9156,6)&lt;&gt;"VACUUM"),"CDU",IF($H9156="FLUID CAT CRACKING","FCC",IF(OR($H9156="HYDROCRACKING",$H9156="RESID_HYDROCRACKING"),"Hydrocracker",IF($H9156="REFORMING","Reformer",""))))</f>
        <v/>
      </c>
    </row>
    <row r="9157" spans="6:7">
      <c r="F9157" s="6">
        <f>IF($M9157="PADD I","PADD 1",IF($M9157="PADD II","PADD 2",IF($M9157="PADD III","PADD 3",IF($M9157="PADD IV","PADD 4",IF($M9157="PADD V","PADD 5","")))))</f>
        <v/>
      </c>
      <c r="G9157" s="6">
        <f>IF(AND($H9157="ATMOS DISTILLATION",ISNUMBER(SEARCH("VPS",$I9157))=FALSE,LEFT($I9157,6)&lt;&gt;"VACUUM"),"CDU",IF($H9157="FLUID CAT CRACKING","FCC",IF(OR($H9157="HYDROCRACKING",$H9157="RESID_HYDROCRACKING"),"Hydrocracker",IF($H9157="REFORMING","Reformer",""))))</f>
        <v/>
      </c>
    </row>
    <row r="9158" spans="6:7">
      <c r="F9158" s="6">
        <f>IF($M9158="PADD I","PADD 1",IF($M9158="PADD II","PADD 2",IF($M9158="PADD III","PADD 3",IF($M9158="PADD IV","PADD 4",IF($M9158="PADD V","PADD 5","")))))</f>
        <v/>
      </c>
      <c r="G9158" s="6">
        <f>IF(AND($H9158="ATMOS DISTILLATION",ISNUMBER(SEARCH("VPS",$I9158))=FALSE,LEFT($I9158,6)&lt;&gt;"VACUUM"),"CDU",IF($H9158="FLUID CAT CRACKING","FCC",IF(OR($H9158="HYDROCRACKING",$H9158="RESID_HYDROCRACKING"),"Hydrocracker",IF($H9158="REFORMING","Reformer",""))))</f>
        <v/>
      </c>
    </row>
    <row r="9159" spans="6:7">
      <c r="F9159" s="6">
        <f>IF($M9159="PADD I","PADD 1",IF($M9159="PADD II","PADD 2",IF($M9159="PADD III","PADD 3",IF($M9159="PADD IV","PADD 4",IF($M9159="PADD V","PADD 5","")))))</f>
        <v/>
      </c>
      <c r="G9159" s="6">
        <f>IF(AND($H9159="ATMOS DISTILLATION",ISNUMBER(SEARCH("VPS",$I9159))=FALSE,LEFT($I9159,6)&lt;&gt;"VACUUM"),"CDU",IF($H9159="FLUID CAT CRACKING","FCC",IF(OR($H9159="HYDROCRACKING",$H9159="RESID_HYDROCRACKING"),"Hydrocracker",IF($H9159="REFORMING","Reformer",""))))</f>
        <v/>
      </c>
    </row>
    <row r="9160" spans="6:7">
      <c r="F9160" s="6">
        <f>IF($M9160="PADD I","PADD 1",IF($M9160="PADD II","PADD 2",IF($M9160="PADD III","PADD 3",IF($M9160="PADD IV","PADD 4",IF($M9160="PADD V","PADD 5","")))))</f>
        <v/>
      </c>
      <c r="G9160" s="6">
        <f>IF(AND($H9160="ATMOS DISTILLATION",ISNUMBER(SEARCH("VPS",$I9160))=FALSE,LEFT($I9160,6)&lt;&gt;"VACUUM"),"CDU",IF($H9160="FLUID CAT CRACKING","FCC",IF(OR($H9160="HYDROCRACKING",$H9160="RESID_HYDROCRACKING"),"Hydrocracker",IF($H9160="REFORMING","Reformer",""))))</f>
        <v/>
      </c>
    </row>
    <row r="9161" spans="6:7">
      <c r="F9161" s="6">
        <f>IF($M9161="PADD I","PADD 1",IF($M9161="PADD II","PADD 2",IF($M9161="PADD III","PADD 3",IF($M9161="PADD IV","PADD 4",IF($M9161="PADD V","PADD 5","")))))</f>
        <v/>
      </c>
      <c r="G9161" s="6">
        <f>IF(AND($H9161="ATMOS DISTILLATION",ISNUMBER(SEARCH("VPS",$I9161))=FALSE,LEFT($I9161,6)&lt;&gt;"VACUUM"),"CDU",IF($H9161="FLUID CAT CRACKING","FCC",IF(OR($H9161="HYDROCRACKING",$H9161="RESID_HYDROCRACKING"),"Hydrocracker",IF($H9161="REFORMING","Reformer",""))))</f>
        <v/>
      </c>
    </row>
    <row r="9162" spans="6:7">
      <c r="F9162" s="6">
        <f>IF($M9162="PADD I","PADD 1",IF($M9162="PADD II","PADD 2",IF($M9162="PADD III","PADD 3",IF($M9162="PADD IV","PADD 4",IF($M9162="PADD V","PADD 5","")))))</f>
        <v/>
      </c>
      <c r="G9162" s="6">
        <f>IF(AND($H9162="ATMOS DISTILLATION",ISNUMBER(SEARCH("VPS",$I9162))=FALSE,LEFT($I9162,6)&lt;&gt;"VACUUM"),"CDU",IF($H9162="FLUID CAT CRACKING","FCC",IF(OR($H9162="HYDROCRACKING",$H9162="RESID_HYDROCRACKING"),"Hydrocracker",IF($H9162="REFORMING","Reformer",""))))</f>
        <v/>
      </c>
    </row>
    <row r="9163" spans="6:7">
      <c r="F9163" s="6">
        <f>IF($M9163="PADD I","PADD 1",IF($M9163="PADD II","PADD 2",IF($M9163="PADD III","PADD 3",IF($M9163="PADD IV","PADD 4",IF($M9163="PADD V","PADD 5","")))))</f>
        <v/>
      </c>
      <c r="G9163" s="6">
        <f>IF(AND($H9163="ATMOS DISTILLATION",ISNUMBER(SEARCH("VPS",$I9163))=FALSE,LEFT($I9163,6)&lt;&gt;"VACUUM"),"CDU",IF($H9163="FLUID CAT CRACKING","FCC",IF(OR($H9163="HYDROCRACKING",$H9163="RESID_HYDROCRACKING"),"Hydrocracker",IF($H9163="REFORMING","Reformer",""))))</f>
        <v/>
      </c>
    </row>
    <row r="9164" spans="6:7">
      <c r="F9164" s="6">
        <f>IF($M9164="PADD I","PADD 1",IF($M9164="PADD II","PADD 2",IF($M9164="PADD III","PADD 3",IF($M9164="PADD IV","PADD 4",IF($M9164="PADD V","PADD 5","")))))</f>
        <v/>
      </c>
      <c r="G9164" s="6">
        <f>IF(AND($H9164="ATMOS DISTILLATION",ISNUMBER(SEARCH("VPS",$I9164))=FALSE,LEFT($I9164,6)&lt;&gt;"VACUUM"),"CDU",IF($H9164="FLUID CAT CRACKING","FCC",IF(OR($H9164="HYDROCRACKING",$H9164="RESID_HYDROCRACKING"),"Hydrocracker",IF($H9164="REFORMING","Reformer",""))))</f>
        <v/>
      </c>
    </row>
    <row r="9165" spans="6:7">
      <c r="F9165" s="6">
        <f>IF($M9165="PADD I","PADD 1",IF($M9165="PADD II","PADD 2",IF($M9165="PADD III","PADD 3",IF($M9165="PADD IV","PADD 4",IF($M9165="PADD V","PADD 5","")))))</f>
        <v/>
      </c>
      <c r="G9165" s="6">
        <f>IF(AND($H9165="ATMOS DISTILLATION",ISNUMBER(SEARCH("VPS",$I9165))=FALSE,LEFT($I9165,6)&lt;&gt;"VACUUM"),"CDU",IF($H9165="FLUID CAT CRACKING","FCC",IF(OR($H9165="HYDROCRACKING",$H9165="RESID_HYDROCRACKING"),"Hydrocracker",IF($H9165="REFORMING","Reformer",""))))</f>
        <v/>
      </c>
    </row>
    <row r="9166" spans="6:7">
      <c r="F9166" s="6">
        <f>IF($M9166="PADD I","PADD 1",IF($M9166="PADD II","PADD 2",IF($M9166="PADD III","PADD 3",IF($M9166="PADD IV","PADD 4",IF($M9166="PADD V","PADD 5","")))))</f>
        <v/>
      </c>
      <c r="G9166" s="6">
        <f>IF(AND($H9166="ATMOS DISTILLATION",ISNUMBER(SEARCH("VPS",$I9166))=FALSE,LEFT($I9166,6)&lt;&gt;"VACUUM"),"CDU",IF($H9166="FLUID CAT CRACKING","FCC",IF(OR($H9166="HYDROCRACKING",$H9166="RESID_HYDROCRACKING"),"Hydrocracker",IF($H9166="REFORMING","Reformer",""))))</f>
        <v/>
      </c>
    </row>
    <row r="9167" spans="6:7">
      <c r="F9167" s="6">
        <f>IF($M9167="PADD I","PADD 1",IF($M9167="PADD II","PADD 2",IF($M9167="PADD III","PADD 3",IF($M9167="PADD IV","PADD 4",IF($M9167="PADD V","PADD 5","")))))</f>
        <v/>
      </c>
      <c r="G9167" s="6">
        <f>IF(AND($H9167="ATMOS DISTILLATION",ISNUMBER(SEARCH("VPS",$I9167))=FALSE,LEFT($I9167,6)&lt;&gt;"VACUUM"),"CDU",IF($H9167="FLUID CAT CRACKING","FCC",IF(OR($H9167="HYDROCRACKING",$H9167="RESID_HYDROCRACKING"),"Hydrocracker",IF($H9167="REFORMING","Reformer",""))))</f>
        <v/>
      </c>
    </row>
    <row r="9168" spans="6:7">
      <c r="F9168" s="6">
        <f>IF($M9168="PADD I","PADD 1",IF($M9168="PADD II","PADD 2",IF($M9168="PADD III","PADD 3",IF($M9168="PADD IV","PADD 4",IF($M9168="PADD V","PADD 5","")))))</f>
        <v/>
      </c>
      <c r="G9168" s="6">
        <f>IF(AND($H9168="ATMOS DISTILLATION",ISNUMBER(SEARCH("VPS",$I9168))=FALSE,LEFT($I9168,6)&lt;&gt;"VACUUM"),"CDU",IF($H9168="FLUID CAT CRACKING","FCC",IF(OR($H9168="HYDROCRACKING",$H9168="RESID_HYDROCRACKING"),"Hydrocracker",IF($H9168="REFORMING","Reformer",""))))</f>
        <v/>
      </c>
    </row>
    <row r="9169" spans="6:7">
      <c r="F9169" s="6">
        <f>IF($M9169="PADD I","PADD 1",IF($M9169="PADD II","PADD 2",IF($M9169="PADD III","PADD 3",IF($M9169="PADD IV","PADD 4",IF($M9169="PADD V","PADD 5","")))))</f>
        <v/>
      </c>
      <c r="G9169" s="6">
        <f>IF(AND($H9169="ATMOS DISTILLATION",ISNUMBER(SEARCH("VPS",$I9169))=FALSE,LEFT($I9169,6)&lt;&gt;"VACUUM"),"CDU",IF($H9169="FLUID CAT CRACKING","FCC",IF(OR($H9169="HYDROCRACKING",$H9169="RESID_HYDROCRACKING"),"Hydrocracker",IF($H9169="REFORMING","Reformer",""))))</f>
        <v/>
      </c>
    </row>
    <row r="9170" spans="6:7">
      <c r="F9170" s="6">
        <f>IF($M9170="PADD I","PADD 1",IF($M9170="PADD II","PADD 2",IF($M9170="PADD III","PADD 3",IF($M9170="PADD IV","PADD 4",IF($M9170="PADD V","PADD 5","")))))</f>
        <v/>
      </c>
      <c r="G9170" s="6">
        <f>IF(AND($H9170="ATMOS DISTILLATION",ISNUMBER(SEARCH("VPS",$I9170))=FALSE,LEFT($I9170,6)&lt;&gt;"VACUUM"),"CDU",IF($H9170="FLUID CAT CRACKING","FCC",IF(OR($H9170="HYDROCRACKING",$H9170="RESID_HYDROCRACKING"),"Hydrocracker",IF($H9170="REFORMING","Reformer",""))))</f>
        <v/>
      </c>
    </row>
    <row r="9171" spans="6:7">
      <c r="F9171" s="6">
        <f>IF($M9171="PADD I","PADD 1",IF($M9171="PADD II","PADD 2",IF($M9171="PADD III","PADD 3",IF($M9171="PADD IV","PADD 4",IF($M9171="PADD V","PADD 5","")))))</f>
        <v/>
      </c>
      <c r="G9171" s="6">
        <f>IF(AND($H9171="ATMOS DISTILLATION",ISNUMBER(SEARCH("VPS",$I9171))=FALSE,LEFT($I9171,6)&lt;&gt;"VACUUM"),"CDU",IF($H9171="FLUID CAT CRACKING","FCC",IF(OR($H9171="HYDROCRACKING",$H9171="RESID_HYDROCRACKING"),"Hydrocracker",IF($H9171="REFORMING","Reformer",""))))</f>
        <v/>
      </c>
    </row>
    <row r="9172" spans="6:7">
      <c r="F9172" s="6">
        <f>IF($M9172="PADD I","PADD 1",IF($M9172="PADD II","PADD 2",IF($M9172="PADD III","PADD 3",IF($M9172="PADD IV","PADD 4",IF($M9172="PADD V","PADD 5","")))))</f>
        <v/>
      </c>
      <c r="G9172" s="6">
        <f>IF(AND($H9172="ATMOS DISTILLATION",ISNUMBER(SEARCH("VPS",$I9172))=FALSE,LEFT($I9172,6)&lt;&gt;"VACUUM"),"CDU",IF($H9172="FLUID CAT CRACKING","FCC",IF(OR($H9172="HYDROCRACKING",$H9172="RESID_HYDROCRACKING"),"Hydrocracker",IF($H9172="REFORMING","Reformer",""))))</f>
        <v/>
      </c>
    </row>
    <row r="9173" spans="6:7">
      <c r="F9173" s="6">
        <f>IF($M9173="PADD I","PADD 1",IF($M9173="PADD II","PADD 2",IF($M9173="PADD III","PADD 3",IF($M9173="PADD IV","PADD 4",IF($M9173="PADD V","PADD 5","")))))</f>
        <v/>
      </c>
      <c r="G9173" s="6">
        <f>IF(AND($H9173="ATMOS DISTILLATION",ISNUMBER(SEARCH("VPS",$I9173))=FALSE,LEFT($I9173,6)&lt;&gt;"VACUUM"),"CDU",IF($H9173="FLUID CAT CRACKING","FCC",IF(OR($H9173="HYDROCRACKING",$H9173="RESID_HYDROCRACKING"),"Hydrocracker",IF($H9173="REFORMING","Reformer",""))))</f>
        <v/>
      </c>
    </row>
    <row r="9174" spans="6:7">
      <c r="F9174" s="6">
        <f>IF($M9174="PADD I","PADD 1",IF($M9174="PADD II","PADD 2",IF($M9174="PADD III","PADD 3",IF($M9174="PADD IV","PADD 4",IF($M9174="PADD V","PADD 5","")))))</f>
        <v/>
      </c>
      <c r="G9174" s="6">
        <f>IF(AND($H9174="ATMOS DISTILLATION",ISNUMBER(SEARCH("VPS",$I9174))=FALSE,LEFT($I9174,6)&lt;&gt;"VACUUM"),"CDU",IF($H9174="FLUID CAT CRACKING","FCC",IF(OR($H9174="HYDROCRACKING",$H9174="RESID_HYDROCRACKING"),"Hydrocracker",IF($H9174="REFORMING","Reformer",""))))</f>
        <v/>
      </c>
    </row>
    <row r="9175" spans="6:7">
      <c r="F9175" s="6">
        <f>IF($M9175="PADD I","PADD 1",IF($M9175="PADD II","PADD 2",IF($M9175="PADD III","PADD 3",IF($M9175="PADD IV","PADD 4",IF($M9175="PADD V","PADD 5","")))))</f>
        <v/>
      </c>
      <c r="G9175" s="6">
        <f>IF(AND($H9175="ATMOS DISTILLATION",ISNUMBER(SEARCH("VPS",$I9175))=FALSE,LEFT($I9175,6)&lt;&gt;"VACUUM"),"CDU",IF($H9175="FLUID CAT CRACKING","FCC",IF(OR($H9175="HYDROCRACKING",$H9175="RESID_HYDROCRACKING"),"Hydrocracker",IF($H9175="REFORMING","Reformer",""))))</f>
        <v/>
      </c>
    </row>
    <row r="9176" spans="6:7">
      <c r="F9176" s="6">
        <f>IF($M9176="PADD I","PADD 1",IF($M9176="PADD II","PADD 2",IF($M9176="PADD III","PADD 3",IF($M9176="PADD IV","PADD 4",IF($M9176="PADD V","PADD 5","")))))</f>
        <v/>
      </c>
      <c r="G9176" s="6">
        <f>IF(AND($H9176="ATMOS DISTILLATION",ISNUMBER(SEARCH("VPS",$I9176))=FALSE,LEFT($I9176,6)&lt;&gt;"VACUUM"),"CDU",IF($H9176="FLUID CAT CRACKING","FCC",IF(OR($H9176="HYDROCRACKING",$H9176="RESID_HYDROCRACKING"),"Hydrocracker",IF($H9176="REFORMING","Reformer",""))))</f>
        <v/>
      </c>
    </row>
    <row r="9177" spans="6:7">
      <c r="F9177" s="6">
        <f>IF($M9177="PADD I","PADD 1",IF($M9177="PADD II","PADD 2",IF($M9177="PADD III","PADD 3",IF($M9177="PADD IV","PADD 4",IF($M9177="PADD V","PADD 5","")))))</f>
        <v/>
      </c>
      <c r="G9177" s="6">
        <f>IF(AND($H9177="ATMOS DISTILLATION",ISNUMBER(SEARCH("VPS",$I9177))=FALSE,LEFT($I9177,6)&lt;&gt;"VACUUM"),"CDU",IF($H9177="FLUID CAT CRACKING","FCC",IF(OR($H9177="HYDROCRACKING",$H9177="RESID_HYDROCRACKING"),"Hydrocracker",IF($H9177="REFORMING","Reformer",""))))</f>
        <v/>
      </c>
    </row>
    <row r="9178" spans="6:7">
      <c r="F9178" s="6">
        <f>IF($M9178="PADD I","PADD 1",IF($M9178="PADD II","PADD 2",IF($M9178="PADD III","PADD 3",IF($M9178="PADD IV","PADD 4",IF($M9178="PADD V","PADD 5","")))))</f>
        <v/>
      </c>
      <c r="G9178" s="6">
        <f>IF(AND($H9178="ATMOS DISTILLATION",ISNUMBER(SEARCH("VPS",$I9178))=FALSE,LEFT($I9178,6)&lt;&gt;"VACUUM"),"CDU",IF($H9178="FLUID CAT CRACKING","FCC",IF(OR($H9178="HYDROCRACKING",$H9178="RESID_HYDROCRACKING"),"Hydrocracker",IF($H9178="REFORMING","Reformer",""))))</f>
        <v/>
      </c>
    </row>
    <row r="9179" spans="6:7">
      <c r="F9179" s="6">
        <f>IF($M9179="PADD I","PADD 1",IF($M9179="PADD II","PADD 2",IF($M9179="PADD III","PADD 3",IF($M9179="PADD IV","PADD 4",IF($M9179="PADD V","PADD 5","")))))</f>
        <v/>
      </c>
      <c r="G9179" s="6">
        <f>IF(AND($H9179="ATMOS DISTILLATION",ISNUMBER(SEARCH("VPS",$I9179))=FALSE,LEFT($I9179,6)&lt;&gt;"VACUUM"),"CDU",IF($H9179="FLUID CAT CRACKING","FCC",IF(OR($H9179="HYDROCRACKING",$H9179="RESID_HYDROCRACKING"),"Hydrocracker",IF($H9179="REFORMING","Reformer",""))))</f>
        <v/>
      </c>
    </row>
    <row r="9180" spans="6:7">
      <c r="F9180" s="6">
        <f>IF($M9180="PADD I","PADD 1",IF($M9180="PADD II","PADD 2",IF($M9180="PADD III","PADD 3",IF($M9180="PADD IV","PADD 4",IF($M9180="PADD V","PADD 5","")))))</f>
        <v/>
      </c>
      <c r="G9180" s="6">
        <f>IF(AND($H9180="ATMOS DISTILLATION",ISNUMBER(SEARCH("VPS",$I9180))=FALSE,LEFT($I9180,6)&lt;&gt;"VACUUM"),"CDU",IF($H9180="FLUID CAT CRACKING","FCC",IF(OR($H9180="HYDROCRACKING",$H9180="RESID_HYDROCRACKING"),"Hydrocracker",IF($H9180="REFORMING","Reformer",""))))</f>
        <v/>
      </c>
    </row>
    <row r="9181" spans="6:7">
      <c r="F9181" s="6">
        <f>IF($M9181="PADD I","PADD 1",IF($M9181="PADD II","PADD 2",IF($M9181="PADD III","PADD 3",IF($M9181="PADD IV","PADD 4",IF($M9181="PADD V","PADD 5","")))))</f>
        <v/>
      </c>
      <c r="G9181" s="6">
        <f>IF(AND($H9181="ATMOS DISTILLATION",ISNUMBER(SEARCH("VPS",$I9181))=FALSE,LEFT($I9181,6)&lt;&gt;"VACUUM"),"CDU",IF($H9181="FLUID CAT CRACKING","FCC",IF(OR($H9181="HYDROCRACKING",$H9181="RESID_HYDROCRACKING"),"Hydrocracker",IF($H9181="REFORMING","Reformer",""))))</f>
        <v/>
      </c>
    </row>
    <row r="9182" spans="6:7">
      <c r="F9182" s="6">
        <f>IF($M9182="PADD I","PADD 1",IF($M9182="PADD II","PADD 2",IF($M9182="PADD III","PADD 3",IF($M9182="PADD IV","PADD 4",IF($M9182="PADD V","PADD 5","")))))</f>
        <v/>
      </c>
      <c r="G9182" s="6">
        <f>IF(AND($H9182="ATMOS DISTILLATION",ISNUMBER(SEARCH("VPS",$I9182))=FALSE,LEFT($I9182,6)&lt;&gt;"VACUUM"),"CDU",IF($H9182="FLUID CAT CRACKING","FCC",IF(OR($H9182="HYDROCRACKING",$H9182="RESID_HYDROCRACKING"),"Hydrocracker",IF($H9182="REFORMING","Reformer",""))))</f>
        <v/>
      </c>
    </row>
    <row r="9183" spans="6:7">
      <c r="F9183" s="6">
        <f>IF($M9183="PADD I","PADD 1",IF($M9183="PADD II","PADD 2",IF($M9183="PADD III","PADD 3",IF($M9183="PADD IV","PADD 4",IF($M9183="PADD V","PADD 5","")))))</f>
        <v/>
      </c>
      <c r="G9183" s="6">
        <f>IF(AND($H9183="ATMOS DISTILLATION",ISNUMBER(SEARCH("VPS",$I9183))=FALSE,LEFT($I9183,6)&lt;&gt;"VACUUM"),"CDU",IF($H9183="FLUID CAT CRACKING","FCC",IF(OR($H9183="HYDROCRACKING",$H9183="RESID_HYDROCRACKING"),"Hydrocracker",IF($H9183="REFORMING","Reformer",""))))</f>
        <v/>
      </c>
    </row>
    <row r="9184" spans="6:7">
      <c r="F9184" s="6">
        <f>IF($M9184="PADD I","PADD 1",IF($M9184="PADD II","PADD 2",IF($M9184="PADD III","PADD 3",IF($M9184="PADD IV","PADD 4",IF($M9184="PADD V","PADD 5","")))))</f>
        <v/>
      </c>
      <c r="G9184" s="6">
        <f>IF(AND($H9184="ATMOS DISTILLATION",ISNUMBER(SEARCH("VPS",$I9184))=FALSE,LEFT($I9184,6)&lt;&gt;"VACUUM"),"CDU",IF($H9184="FLUID CAT CRACKING","FCC",IF(OR($H9184="HYDROCRACKING",$H9184="RESID_HYDROCRACKING"),"Hydrocracker",IF($H9184="REFORMING","Reformer",""))))</f>
        <v/>
      </c>
    </row>
    <row r="9185" spans="6:7">
      <c r="F9185" s="6">
        <f>IF($M9185="PADD I","PADD 1",IF($M9185="PADD II","PADD 2",IF($M9185="PADD III","PADD 3",IF($M9185="PADD IV","PADD 4",IF($M9185="PADD V","PADD 5","")))))</f>
        <v/>
      </c>
      <c r="G9185" s="6">
        <f>IF(AND($H9185="ATMOS DISTILLATION",ISNUMBER(SEARCH("VPS",$I9185))=FALSE,LEFT($I9185,6)&lt;&gt;"VACUUM"),"CDU",IF($H9185="FLUID CAT CRACKING","FCC",IF(OR($H9185="HYDROCRACKING",$H9185="RESID_HYDROCRACKING"),"Hydrocracker",IF($H9185="REFORMING","Reformer",""))))</f>
        <v/>
      </c>
    </row>
    <row r="9186" spans="6:7">
      <c r="F9186" s="6">
        <f>IF($M9186="PADD I","PADD 1",IF($M9186="PADD II","PADD 2",IF($M9186="PADD III","PADD 3",IF($M9186="PADD IV","PADD 4",IF($M9186="PADD V","PADD 5","")))))</f>
        <v/>
      </c>
      <c r="G9186" s="6">
        <f>IF(AND($H9186="ATMOS DISTILLATION",ISNUMBER(SEARCH("VPS",$I9186))=FALSE,LEFT($I9186,6)&lt;&gt;"VACUUM"),"CDU",IF($H9186="FLUID CAT CRACKING","FCC",IF(OR($H9186="HYDROCRACKING",$H9186="RESID_HYDROCRACKING"),"Hydrocracker",IF($H9186="REFORMING","Reformer",""))))</f>
        <v/>
      </c>
    </row>
    <row r="9187" spans="6:7">
      <c r="F9187" s="6">
        <f>IF($M9187="PADD I","PADD 1",IF($M9187="PADD II","PADD 2",IF($M9187="PADD III","PADD 3",IF($M9187="PADD IV","PADD 4",IF($M9187="PADD V","PADD 5","")))))</f>
        <v/>
      </c>
      <c r="G9187" s="6">
        <f>IF(AND($H9187="ATMOS DISTILLATION",ISNUMBER(SEARCH("VPS",$I9187))=FALSE,LEFT($I9187,6)&lt;&gt;"VACUUM"),"CDU",IF($H9187="FLUID CAT CRACKING","FCC",IF(OR($H9187="HYDROCRACKING",$H9187="RESID_HYDROCRACKING"),"Hydrocracker",IF($H9187="REFORMING","Reformer",""))))</f>
        <v/>
      </c>
    </row>
    <row r="9188" spans="6:7">
      <c r="F9188" s="6">
        <f>IF($M9188="PADD I","PADD 1",IF($M9188="PADD II","PADD 2",IF($M9188="PADD III","PADD 3",IF($M9188="PADD IV","PADD 4",IF($M9188="PADD V","PADD 5","")))))</f>
        <v/>
      </c>
      <c r="G9188" s="6">
        <f>IF(AND($H9188="ATMOS DISTILLATION",ISNUMBER(SEARCH("VPS",$I9188))=FALSE,LEFT($I9188,6)&lt;&gt;"VACUUM"),"CDU",IF($H9188="FLUID CAT CRACKING","FCC",IF(OR($H9188="HYDROCRACKING",$H9188="RESID_HYDROCRACKING"),"Hydrocracker",IF($H9188="REFORMING","Reformer",""))))</f>
        <v/>
      </c>
    </row>
    <row r="9189" spans="6:7">
      <c r="F9189" s="6">
        <f>IF($M9189="PADD I","PADD 1",IF($M9189="PADD II","PADD 2",IF($M9189="PADD III","PADD 3",IF($M9189="PADD IV","PADD 4",IF($M9189="PADD V","PADD 5","")))))</f>
        <v/>
      </c>
      <c r="G9189" s="6">
        <f>IF(AND($H9189="ATMOS DISTILLATION",ISNUMBER(SEARCH("VPS",$I9189))=FALSE,LEFT($I9189,6)&lt;&gt;"VACUUM"),"CDU",IF($H9189="FLUID CAT CRACKING","FCC",IF(OR($H9189="HYDROCRACKING",$H9189="RESID_HYDROCRACKING"),"Hydrocracker",IF($H9189="REFORMING","Reformer",""))))</f>
        <v/>
      </c>
    </row>
    <row r="9190" spans="6:7">
      <c r="F9190" s="6">
        <f>IF($M9190="PADD I","PADD 1",IF($M9190="PADD II","PADD 2",IF($M9190="PADD III","PADD 3",IF($M9190="PADD IV","PADD 4",IF($M9190="PADD V","PADD 5","")))))</f>
        <v/>
      </c>
      <c r="G9190" s="6">
        <f>IF(AND($H9190="ATMOS DISTILLATION",ISNUMBER(SEARCH("VPS",$I9190))=FALSE,LEFT($I9190,6)&lt;&gt;"VACUUM"),"CDU",IF($H9190="FLUID CAT CRACKING","FCC",IF(OR($H9190="HYDROCRACKING",$H9190="RESID_HYDROCRACKING"),"Hydrocracker",IF($H9190="REFORMING","Reformer",""))))</f>
        <v/>
      </c>
    </row>
    <row r="9191" spans="6:7">
      <c r="F9191" s="6">
        <f>IF($M9191="PADD I","PADD 1",IF($M9191="PADD II","PADD 2",IF($M9191="PADD III","PADD 3",IF($M9191="PADD IV","PADD 4",IF($M9191="PADD V","PADD 5","")))))</f>
        <v/>
      </c>
      <c r="G9191" s="6">
        <f>IF(AND($H9191="ATMOS DISTILLATION",ISNUMBER(SEARCH("VPS",$I9191))=FALSE,LEFT($I9191,6)&lt;&gt;"VACUUM"),"CDU",IF($H9191="FLUID CAT CRACKING","FCC",IF(OR($H9191="HYDROCRACKING",$H9191="RESID_HYDROCRACKING"),"Hydrocracker",IF($H9191="REFORMING","Reformer",""))))</f>
        <v/>
      </c>
    </row>
    <row r="9192" spans="6:7">
      <c r="F9192" s="6">
        <f>IF($M9192="PADD I","PADD 1",IF($M9192="PADD II","PADD 2",IF($M9192="PADD III","PADD 3",IF($M9192="PADD IV","PADD 4",IF($M9192="PADD V","PADD 5","")))))</f>
        <v/>
      </c>
      <c r="G9192" s="6">
        <f>IF(AND($H9192="ATMOS DISTILLATION",ISNUMBER(SEARCH("VPS",$I9192))=FALSE,LEFT($I9192,6)&lt;&gt;"VACUUM"),"CDU",IF($H9192="FLUID CAT CRACKING","FCC",IF(OR($H9192="HYDROCRACKING",$H9192="RESID_HYDROCRACKING"),"Hydrocracker",IF($H9192="REFORMING","Reformer",""))))</f>
        <v/>
      </c>
    </row>
    <row r="9193" spans="6:7">
      <c r="F9193" s="6">
        <f>IF($M9193="PADD I","PADD 1",IF($M9193="PADD II","PADD 2",IF($M9193="PADD III","PADD 3",IF($M9193="PADD IV","PADD 4",IF($M9193="PADD V","PADD 5","")))))</f>
        <v/>
      </c>
      <c r="G9193" s="6">
        <f>IF(AND($H9193="ATMOS DISTILLATION",ISNUMBER(SEARCH("VPS",$I9193))=FALSE,LEFT($I9193,6)&lt;&gt;"VACUUM"),"CDU",IF($H9193="FLUID CAT CRACKING","FCC",IF(OR($H9193="HYDROCRACKING",$H9193="RESID_HYDROCRACKING"),"Hydrocracker",IF($H9193="REFORMING","Reformer",""))))</f>
        <v/>
      </c>
    </row>
    <row r="9194" spans="6:7">
      <c r="F9194" s="6">
        <f>IF($M9194="PADD I","PADD 1",IF($M9194="PADD II","PADD 2",IF($M9194="PADD III","PADD 3",IF($M9194="PADD IV","PADD 4",IF($M9194="PADD V","PADD 5","")))))</f>
        <v/>
      </c>
      <c r="G9194" s="6">
        <f>IF(AND($H9194="ATMOS DISTILLATION",ISNUMBER(SEARCH("VPS",$I9194))=FALSE,LEFT($I9194,6)&lt;&gt;"VACUUM"),"CDU",IF($H9194="FLUID CAT CRACKING","FCC",IF(OR($H9194="HYDROCRACKING",$H9194="RESID_HYDROCRACKING"),"Hydrocracker",IF($H9194="REFORMING","Reformer",""))))</f>
        <v/>
      </c>
    </row>
    <row r="9195" spans="6:7">
      <c r="F9195" s="6">
        <f>IF($M9195="PADD I","PADD 1",IF($M9195="PADD II","PADD 2",IF($M9195="PADD III","PADD 3",IF($M9195="PADD IV","PADD 4",IF($M9195="PADD V","PADD 5","")))))</f>
        <v/>
      </c>
      <c r="G9195" s="6">
        <f>IF(AND($H9195="ATMOS DISTILLATION",ISNUMBER(SEARCH("VPS",$I9195))=FALSE,LEFT($I9195,6)&lt;&gt;"VACUUM"),"CDU",IF($H9195="FLUID CAT CRACKING","FCC",IF(OR($H9195="HYDROCRACKING",$H9195="RESID_HYDROCRACKING"),"Hydrocracker",IF($H9195="REFORMING","Reformer",""))))</f>
        <v/>
      </c>
    </row>
    <row r="9196" spans="6:7">
      <c r="F9196" s="6">
        <f>IF($M9196="PADD I","PADD 1",IF($M9196="PADD II","PADD 2",IF($M9196="PADD III","PADD 3",IF($M9196="PADD IV","PADD 4",IF($M9196="PADD V","PADD 5","")))))</f>
        <v/>
      </c>
      <c r="G9196" s="6">
        <f>IF(AND($H9196="ATMOS DISTILLATION",ISNUMBER(SEARCH("VPS",$I9196))=FALSE,LEFT($I9196,6)&lt;&gt;"VACUUM"),"CDU",IF($H9196="FLUID CAT CRACKING","FCC",IF(OR($H9196="HYDROCRACKING",$H9196="RESID_HYDROCRACKING"),"Hydrocracker",IF($H9196="REFORMING","Reformer",""))))</f>
        <v/>
      </c>
    </row>
    <row r="9197" spans="6:7">
      <c r="F9197" s="6">
        <f>IF($M9197="PADD I","PADD 1",IF($M9197="PADD II","PADD 2",IF($M9197="PADD III","PADD 3",IF($M9197="PADD IV","PADD 4",IF($M9197="PADD V","PADD 5","")))))</f>
        <v/>
      </c>
      <c r="G9197" s="6">
        <f>IF(AND($H9197="ATMOS DISTILLATION",ISNUMBER(SEARCH("VPS",$I9197))=FALSE,LEFT($I9197,6)&lt;&gt;"VACUUM"),"CDU",IF($H9197="FLUID CAT CRACKING","FCC",IF(OR($H9197="HYDROCRACKING",$H9197="RESID_HYDROCRACKING"),"Hydrocracker",IF($H9197="REFORMING","Reformer",""))))</f>
        <v/>
      </c>
    </row>
    <row r="9198" spans="6:7">
      <c r="F9198" s="6">
        <f>IF($M9198="PADD I","PADD 1",IF($M9198="PADD II","PADD 2",IF($M9198="PADD III","PADD 3",IF($M9198="PADD IV","PADD 4",IF($M9198="PADD V","PADD 5","")))))</f>
        <v/>
      </c>
      <c r="G9198" s="6">
        <f>IF(AND($H9198="ATMOS DISTILLATION",ISNUMBER(SEARCH("VPS",$I9198))=FALSE,LEFT($I9198,6)&lt;&gt;"VACUUM"),"CDU",IF($H9198="FLUID CAT CRACKING","FCC",IF(OR($H9198="HYDROCRACKING",$H9198="RESID_HYDROCRACKING"),"Hydrocracker",IF($H9198="REFORMING","Reformer",""))))</f>
        <v/>
      </c>
    </row>
    <row r="9199" spans="6:7">
      <c r="F9199" s="6">
        <f>IF($M9199="PADD I","PADD 1",IF($M9199="PADD II","PADD 2",IF($M9199="PADD III","PADD 3",IF($M9199="PADD IV","PADD 4",IF($M9199="PADD V","PADD 5","")))))</f>
        <v/>
      </c>
      <c r="G9199" s="6">
        <f>IF(AND($H9199="ATMOS DISTILLATION",ISNUMBER(SEARCH("VPS",$I9199))=FALSE,LEFT($I9199,6)&lt;&gt;"VACUUM"),"CDU",IF($H9199="FLUID CAT CRACKING","FCC",IF(OR($H9199="HYDROCRACKING",$H9199="RESID_HYDROCRACKING"),"Hydrocracker",IF($H9199="REFORMING","Reformer",""))))</f>
        <v/>
      </c>
    </row>
    <row r="9200" spans="6:7">
      <c r="F9200" s="6">
        <f>IF($M9200="PADD I","PADD 1",IF($M9200="PADD II","PADD 2",IF($M9200="PADD III","PADD 3",IF($M9200="PADD IV","PADD 4",IF($M9200="PADD V","PADD 5","")))))</f>
        <v/>
      </c>
      <c r="G9200" s="6">
        <f>IF(AND($H9200="ATMOS DISTILLATION",ISNUMBER(SEARCH("VPS",$I9200))=FALSE,LEFT($I9200,6)&lt;&gt;"VACUUM"),"CDU",IF($H9200="FLUID CAT CRACKING","FCC",IF(OR($H9200="HYDROCRACKING",$H9200="RESID_HYDROCRACKING"),"Hydrocracker",IF($H9200="REFORMING","Reformer",""))))</f>
        <v/>
      </c>
    </row>
    <row r="9201" spans="6:7">
      <c r="F9201" s="6">
        <f>IF($M9201="PADD I","PADD 1",IF($M9201="PADD II","PADD 2",IF($M9201="PADD III","PADD 3",IF($M9201="PADD IV","PADD 4",IF($M9201="PADD V","PADD 5","")))))</f>
        <v/>
      </c>
      <c r="G9201" s="6">
        <f>IF(AND($H9201="ATMOS DISTILLATION",ISNUMBER(SEARCH("VPS",$I9201))=FALSE,LEFT($I9201,6)&lt;&gt;"VACUUM"),"CDU",IF($H9201="FLUID CAT CRACKING","FCC",IF(OR($H9201="HYDROCRACKING",$H9201="RESID_HYDROCRACKING"),"Hydrocracker",IF($H9201="REFORMING","Reformer",""))))</f>
        <v/>
      </c>
    </row>
    <row r="9202" spans="6:7">
      <c r="F9202" s="6">
        <f>IF($M9202="PADD I","PADD 1",IF($M9202="PADD II","PADD 2",IF($M9202="PADD III","PADD 3",IF($M9202="PADD IV","PADD 4",IF($M9202="PADD V","PADD 5","")))))</f>
        <v/>
      </c>
      <c r="G9202" s="6">
        <f>IF(AND($H9202="ATMOS DISTILLATION",ISNUMBER(SEARCH("VPS",$I9202))=FALSE,LEFT($I9202,6)&lt;&gt;"VACUUM"),"CDU",IF($H9202="FLUID CAT CRACKING","FCC",IF(OR($H9202="HYDROCRACKING",$H9202="RESID_HYDROCRACKING"),"Hydrocracker",IF($H9202="REFORMING","Reformer",""))))</f>
        <v/>
      </c>
    </row>
    <row r="9203" spans="6:7">
      <c r="F9203" s="6">
        <f>IF($M9203="PADD I","PADD 1",IF($M9203="PADD II","PADD 2",IF($M9203="PADD III","PADD 3",IF($M9203="PADD IV","PADD 4",IF($M9203="PADD V","PADD 5","")))))</f>
        <v/>
      </c>
      <c r="G9203" s="6">
        <f>IF(AND($H9203="ATMOS DISTILLATION",ISNUMBER(SEARCH("VPS",$I9203))=FALSE,LEFT($I9203,6)&lt;&gt;"VACUUM"),"CDU",IF($H9203="FLUID CAT CRACKING","FCC",IF(OR($H9203="HYDROCRACKING",$H9203="RESID_HYDROCRACKING"),"Hydrocracker",IF($H9203="REFORMING","Reformer",""))))</f>
        <v/>
      </c>
    </row>
    <row r="9204" spans="6:7">
      <c r="F9204" s="6">
        <f>IF($M9204="PADD I","PADD 1",IF($M9204="PADD II","PADD 2",IF($M9204="PADD III","PADD 3",IF($M9204="PADD IV","PADD 4",IF($M9204="PADD V","PADD 5","")))))</f>
        <v/>
      </c>
      <c r="G9204" s="6">
        <f>IF(AND($H9204="ATMOS DISTILLATION",ISNUMBER(SEARCH("VPS",$I9204))=FALSE,LEFT($I9204,6)&lt;&gt;"VACUUM"),"CDU",IF($H9204="FLUID CAT CRACKING","FCC",IF(OR($H9204="HYDROCRACKING",$H9204="RESID_HYDROCRACKING"),"Hydrocracker",IF($H9204="REFORMING","Reformer",""))))</f>
        <v/>
      </c>
    </row>
    <row r="9205" spans="6:7">
      <c r="F9205" s="6">
        <f>IF($M9205="PADD I","PADD 1",IF($M9205="PADD II","PADD 2",IF($M9205="PADD III","PADD 3",IF($M9205="PADD IV","PADD 4",IF($M9205="PADD V","PADD 5","")))))</f>
        <v/>
      </c>
      <c r="G9205" s="6">
        <f>IF(AND($H9205="ATMOS DISTILLATION",ISNUMBER(SEARCH("VPS",$I9205))=FALSE,LEFT($I9205,6)&lt;&gt;"VACUUM"),"CDU",IF($H9205="FLUID CAT CRACKING","FCC",IF(OR($H9205="HYDROCRACKING",$H9205="RESID_HYDROCRACKING"),"Hydrocracker",IF($H9205="REFORMING","Reformer",""))))</f>
        <v/>
      </c>
    </row>
    <row r="9206" spans="6:7">
      <c r="F9206" s="6">
        <f>IF($M9206="PADD I","PADD 1",IF($M9206="PADD II","PADD 2",IF($M9206="PADD III","PADD 3",IF($M9206="PADD IV","PADD 4",IF($M9206="PADD V","PADD 5","")))))</f>
        <v/>
      </c>
      <c r="G9206" s="6">
        <f>IF(AND($H9206="ATMOS DISTILLATION",ISNUMBER(SEARCH("VPS",$I9206))=FALSE,LEFT($I9206,6)&lt;&gt;"VACUUM"),"CDU",IF($H9206="FLUID CAT CRACKING","FCC",IF(OR($H9206="HYDROCRACKING",$H9206="RESID_HYDROCRACKING"),"Hydrocracker",IF($H9206="REFORMING","Reformer",""))))</f>
        <v/>
      </c>
    </row>
    <row r="9207" spans="6:7">
      <c r="F9207" s="6">
        <f>IF($M9207="PADD I","PADD 1",IF($M9207="PADD II","PADD 2",IF($M9207="PADD III","PADD 3",IF($M9207="PADD IV","PADD 4",IF($M9207="PADD V","PADD 5","")))))</f>
        <v/>
      </c>
      <c r="G9207" s="6">
        <f>IF(AND($H9207="ATMOS DISTILLATION",ISNUMBER(SEARCH("VPS",$I9207))=FALSE,LEFT($I9207,6)&lt;&gt;"VACUUM"),"CDU",IF($H9207="FLUID CAT CRACKING","FCC",IF(OR($H9207="HYDROCRACKING",$H9207="RESID_HYDROCRACKING"),"Hydrocracker",IF($H9207="REFORMING","Reformer",""))))</f>
        <v/>
      </c>
    </row>
    <row r="9208" spans="6:7">
      <c r="F9208" s="6">
        <f>IF($M9208="PADD I","PADD 1",IF($M9208="PADD II","PADD 2",IF($M9208="PADD III","PADD 3",IF($M9208="PADD IV","PADD 4",IF($M9208="PADD V","PADD 5","")))))</f>
        <v/>
      </c>
      <c r="G9208" s="6">
        <f>IF(AND($H9208="ATMOS DISTILLATION",ISNUMBER(SEARCH("VPS",$I9208))=FALSE,LEFT($I9208,6)&lt;&gt;"VACUUM"),"CDU",IF($H9208="FLUID CAT CRACKING","FCC",IF(OR($H9208="HYDROCRACKING",$H9208="RESID_HYDROCRACKING"),"Hydrocracker",IF($H9208="REFORMING","Reformer",""))))</f>
        <v/>
      </c>
    </row>
    <row r="9209" spans="6:7">
      <c r="F9209" s="6">
        <f>IF($M9209="PADD I","PADD 1",IF($M9209="PADD II","PADD 2",IF($M9209="PADD III","PADD 3",IF($M9209="PADD IV","PADD 4",IF($M9209="PADD V","PADD 5","")))))</f>
        <v/>
      </c>
      <c r="G9209" s="6">
        <f>IF(AND($H9209="ATMOS DISTILLATION",ISNUMBER(SEARCH("VPS",$I9209))=FALSE,LEFT($I9209,6)&lt;&gt;"VACUUM"),"CDU",IF($H9209="FLUID CAT CRACKING","FCC",IF(OR($H9209="HYDROCRACKING",$H9209="RESID_HYDROCRACKING"),"Hydrocracker",IF($H9209="REFORMING","Reformer",""))))</f>
        <v/>
      </c>
    </row>
    <row r="9210" spans="6:7">
      <c r="F9210" s="6">
        <f>IF($M9210="PADD I","PADD 1",IF($M9210="PADD II","PADD 2",IF($M9210="PADD III","PADD 3",IF($M9210="PADD IV","PADD 4",IF($M9210="PADD V","PADD 5","")))))</f>
        <v/>
      </c>
      <c r="G9210" s="6">
        <f>IF(AND($H9210="ATMOS DISTILLATION",ISNUMBER(SEARCH("VPS",$I9210))=FALSE,LEFT($I9210,6)&lt;&gt;"VACUUM"),"CDU",IF($H9210="FLUID CAT CRACKING","FCC",IF(OR($H9210="HYDROCRACKING",$H9210="RESID_HYDROCRACKING"),"Hydrocracker",IF($H9210="REFORMING","Reformer",""))))</f>
        <v/>
      </c>
    </row>
    <row r="9211" spans="6:7">
      <c r="F9211" s="6">
        <f>IF($M9211="PADD I","PADD 1",IF($M9211="PADD II","PADD 2",IF($M9211="PADD III","PADD 3",IF($M9211="PADD IV","PADD 4",IF($M9211="PADD V","PADD 5","")))))</f>
        <v/>
      </c>
      <c r="G9211" s="6">
        <f>IF(AND($H9211="ATMOS DISTILLATION",ISNUMBER(SEARCH("VPS",$I9211))=FALSE,LEFT($I9211,6)&lt;&gt;"VACUUM"),"CDU",IF($H9211="FLUID CAT CRACKING","FCC",IF(OR($H9211="HYDROCRACKING",$H9211="RESID_HYDROCRACKING"),"Hydrocracker",IF($H9211="REFORMING","Reformer",""))))</f>
        <v/>
      </c>
    </row>
    <row r="9212" spans="6:7">
      <c r="F9212" s="6">
        <f>IF($M9212="PADD I","PADD 1",IF($M9212="PADD II","PADD 2",IF($M9212="PADD III","PADD 3",IF($M9212="PADD IV","PADD 4",IF($M9212="PADD V","PADD 5","")))))</f>
        <v/>
      </c>
      <c r="G9212" s="6">
        <f>IF(AND($H9212="ATMOS DISTILLATION",ISNUMBER(SEARCH("VPS",$I9212))=FALSE,LEFT($I9212,6)&lt;&gt;"VACUUM"),"CDU",IF($H9212="FLUID CAT CRACKING","FCC",IF(OR($H9212="HYDROCRACKING",$H9212="RESID_HYDROCRACKING"),"Hydrocracker",IF($H9212="REFORMING","Reformer",""))))</f>
        <v/>
      </c>
    </row>
    <row r="9213" spans="6:7">
      <c r="F9213" s="6">
        <f>IF($M9213="PADD I","PADD 1",IF($M9213="PADD II","PADD 2",IF($M9213="PADD III","PADD 3",IF($M9213="PADD IV","PADD 4",IF($M9213="PADD V","PADD 5","")))))</f>
        <v/>
      </c>
      <c r="G9213" s="6">
        <f>IF(AND($H9213="ATMOS DISTILLATION",ISNUMBER(SEARCH("VPS",$I9213))=FALSE,LEFT($I9213,6)&lt;&gt;"VACUUM"),"CDU",IF($H9213="FLUID CAT CRACKING","FCC",IF(OR($H9213="HYDROCRACKING",$H9213="RESID_HYDROCRACKING"),"Hydrocracker",IF($H9213="REFORMING","Reformer",""))))</f>
        <v/>
      </c>
    </row>
    <row r="9214" spans="6:7">
      <c r="F9214" s="6">
        <f>IF($M9214="PADD I","PADD 1",IF($M9214="PADD II","PADD 2",IF($M9214="PADD III","PADD 3",IF($M9214="PADD IV","PADD 4",IF($M9214="PADD V","PADD 5","")))))</f>
        <v/>
      </c>
      <c r="G9214" s="6">
        <f>IF(AND($H9214="ATMOS DISTILLATION",ISNUMBER(SEARCH("VPS",$I9214))=FALSE,LEFT($I9214,6)&lt;&gt;"VACUUM"),"CDU",IF($H9214="FLUID CAT CRACKING","FCC",IF(OR($H9214="HYDROCRACKING",$H9214="RESID_HYDROCRACKING"),"Hydrocracker",IF($H9214="REFORMING","Reformer",""))))</f>
        <v/>
      </c>
    </row>
    <row r="9215" spans="6:7">
      <c r="F9215" s="6">
        <f>IF($M9215="PADD I","PADD 1",IF($M9215="PADD II","PADD 2",IF($M9215="PADD III","PADD 3",IF($M9215="PADD IV","PADD 4",IF($M9215="PADD V","PADD 5","")))))</f>
        <v/>
      </c>
      <c r="G9215" s="6">
        <f>IF(AND($H9215="ATMOS DISTILLATION",ISNUMBER(SEARCH("VPS",$I9215))=FALSE,LEFT($I9215,6)&lt;&gt;"VACUUM"),"CDU",IF($H9215="FLUID CAT CRACKING","FCC",IF(OR($H9215="HYDROCRACKING",$H9215="RESID_HYDROCRACKING"),"Hydrocracker",IF($H9215="REFORMING","Reformer",""))))</f>
        <v/>
      </c>
    </row>
    <row r="9216" spans="6:7">
      <c r="F9216" s="6">
        <f>IF($M9216="PADD I","PADD 1",IF($M9216="PADD II","PADD 2",IF($M9216="PADD III","PADD 3",IF($M9216="PADD IV","PADD 4",IF($M9216="PADD V","PADD 5","")))))</f>
        <v/>
      </c>
      <c r="G9216" s="6">
        <f>IF(AND($H9216="ATMOS DISTILLATION",ISNUMBER(SEARCH("VPS",$I9216))=FALSE,LEFT($I9216,6)&lt;&gt;"VACUUM"),"CDU",IF($H9216="FLUID CAT CRACKING","FCC",IF(OR($H9216="HYDROCRACKING",$H9216="RESID_HYDROCRACKING"),"Hydrocracker",IF($H9216="REFORMING","Reformer",""))))</f>
        <v/>
      </c>
    </row>
    <row r="9217" spans="6:7">
      <c r="F9217" s="6">
        <f>IF($M9217="PADD I","PADD 1",IF($M9217="PADD II","PADD 2",IF($M9217="PADD III","PADD 3",IF($M9217="PADD IV","PADD 4",IF($M9217="PADD V","PADD 5","")))))</f>
        <v/>
      </c>
      <c r="G9217" s="6">
        <f>IF(AND($H9217="ATMOS DISTILLATION",ISNUMBER(SEARCH("VPS",$I9217))=FALSE,LEFT($I9217,6)&lt;&gt;"VACUUM"),"CDU",IF($H9217="FLUID CAT CRACKING","FCC",IF(OR($H9217="HYDROCRACKING",$H9217="RESID_HYDROCRACKING"),"Hydrocracker",IF($H9217="REFORMING","Reformer",""))))</f>
        <v/>
      </c>
    </row>
    <row r="9218" spans="6:7">
      <c r="F9218" s="6">
        <f>IF($M9218="PADD I","PADD 1",IF($M9218="PADD II","PADD 2",IF($M9218="PADD III","PADD 3",IF($M9218="PADD IV","PADD 4",IF($M9218="PADD V","PADD 5","")))))</f>
        <v/>
      </c>
      <c r="G9218" s="6">
        <f>IF(AND($H9218="ATMOS DISTILLATION",ISNUMBER(SEARCH("VPS",$I9218))=FALSE,LEFT($I9218,6)&lt;&gt;"VACUUM"),"CDU",IF($H9218="FLUID CAT CRACKING","FCC",IF(OR($H9218="HYDROCRACKING",$H9218="RESID_HYDROCRACKING"),"Hydrocracker",IF($H9218="REFORMING","Reformer",""))))</f>
        <v/>
      </c>
    </row>
    <row r="9219" spans="6:7">
      <c r="F9219" s="6">
        <f>IF($M9219="PADD I","PADD 1",IF($M9219="PADD II","PADD 2",IF($M9219="PADD III","PADD 3",IF($M9219="PADD IV","PADD 4",IF($M9219="PADD V","PADD 5","")))))</f>
        <v/>
      </c>
      <c r="G9219" s="6">
        <f>IF(AND($H9219="ATMOS DISTILLATION",ISNUMBER(SEARCH("VPS",$I9219))=FALSE,LEFT($I9219,6)&lt;&gt;"VACUUM"),"CDU",IF($H9219="FLUID CAT CRACKING","FCC",IF(OR($H9219="HYDROCRACKING",$H9219="RESID_HYDROCRACKING"),"Hydrocracker",IF($H9219="REFORMING","Reformer",""))))</f>
        <v/>
      </c>
    </row>
    <row r="9220" spans="6:7">
      <c r="F9220" s="6">
        <f>IF($M9220="PADD I","PADD 1",IF($M9220="PADD II","PADD 2",IF($M9220="PADD III","PADD 3",IF($M9220="PADD IV","PADD 4",IF($M9220="PADD V","PADD 5","")))))</f>
        <v/>
      </c>
      <c r="G9220" s="6">
        <f>IF(AND($H9220="ATMOS DISTILLATION",ISNUMBER(SEARCH("VPS",$I9220))=FALSE,LEFT($I9220,6)&lt;&gt;"VACUUM"),"CDU",IF($H9220="FLUID CAT CRACKING","FCC",IF(OR($H9220="HYDROCRACKING",$H9220="RESID_HYDROCRACKING"),"Hydrocracker",IF($H9220="REFORMING","Reformer",""))))</f>
        <v/>
      </c>
    </row>
    <row r="9221" spans="6:7">
      <c r="F9221" s="6">
        <f>IF($M9221="PADD I","PADD 1",IF($M9221="PADD II","PADD 2",IF($M9221="PADD III","PADD 3",IF($M9221="PADD IV","PADD 4",IF($M9221="PADD V","PADD 5","")))))</f>
        <v/>
      </c>
      <c r="G9221" s="6">
        <f>IF(AND($H9221="ATMOS DISTILLATION",ISNUMBER(SEARCH("VPS",$I9221))=FALSE,LEFT($I9221,6)&lt;&gt;"VACUUM"),"CDU",IF($H9221="FLUID CAT CRACKING","FCC",IF(OR($H9221="HYDROCRACKING",$H9221="RESID_HYDROCRACKING"),"Hydrocracker",IF($H9221="REFORMING","Reformer",""))))</f>
        <v/>
      </c>
    </row>
    <row r="9222" spans="6:7">
      <c r="F9222" s="6">
        <f>IF($M9222="PADD I","PADD 1",IF($M9222="PADD II","PADD 2",IF($M9222="PADD III","PADD 3",IF($M9222="PADD IV","PADD 4",IF($M9222="PADD V","PADD 5","")))))</f>
        <v/>
      </c>
      <c r="G9222" s="6">
        <f>IF(AND($H9222="ATMOS DISTILLATION",ISNUMBER(SEARCH("VPS",$I9222))=FALSE,LEFT($I9222,6)&lt;&gt;"VACUUM"),"CDU",IF($H9222="FLUID CAT CRACKING","FCC",IF(OR($H9222="HYDROCRACKING",$H9222="RESID_HYDROCRACKING"),"Hydrocracker",IF($H9222="REFORMING","Reformer",""))))</f>
        <v/>
      </c>
    </row>
    <row r="9223" spans="6:7">
      <c r="F9223" s="6">
        <f>IF($M9223="PADD I","PADD 1",IF($M9223="PADD II","PADD 2",IF($M9223="PADD III","PADD 3",IF($M9223="PADD IV","PADD 4",IF($M9223="PADD V","PADD 5","")))))</f>
        <v/>
      </c>
      <c r="G9223" s="6">
        <f>IF(AND($H9223="ATMOS DISTILLATION",ISNUMBER(SEARCH("VPS",$I9223))=FALSE,LEFT($I9223,6)&lt;&gt;"VACUUM"),"CDU",IF($H9223="FLUID CAT CRACKING","FCC",IF(OR($H9223="HYDROCRACKING",$H9223="RESID_HYDROCRACKING"),"Hydrocracker",IF($H9223="REFORMING","Reformer",""))))</f>
        <v/>
      </c>
    </row>
    <row r="9224" spans="6:7">
      <c r="F9224" s="6">
        <f>IF($M9224="PADD I","PADD 1",IF($M9224="PADD II","PADD 2",IF($M9224="PADD III","PADD 3",IF($M9224="PADD IV","PADD 4",IF($M9224="PADD V","PADD 5","")))))</f>
        <v/>
      </c>
      <c r="G9224" s="6">
        <f>IF(AND($H9224="ATMOS DISTILLATION",ISNUMBER(SEARCH("VPS",$I9224))=FALSE,LEFT($I9224,6)&lt;&gt;"VACUUM"),"CDU",IF($H9224="FLUID CAT CRACKING","FCC",IF(OR($H9224="HYDROCRACKING",$H9224="RESID_HYDROCRACKING"),"Hydrocracker",IF($H9224="REFORMING","Reformer",""))))</f>
        <v/>
      </c>
    </row>
    <row r="9225" spans="6:7">
      <c r="F9225" s="6">
        <f>IF($M9225="PADD I","PADD 1",IF($M9225="PADD II","PADD 2",IF($M9225="PADD III","PADD 3",IF($M9225="PADD IV","PADD 4",IF($M9225="PADD V","PADD 5","")))))</f>
        <v/>
      </c>
      <c r="G9225" s="6">
        <f>IF(AND($H9225="ATMOS DISTILLATION",ISNUMBER(SEARCH("VPS",$I9225))=FALSE,LEFT($I9225,6)&lt;&gt;"VACUUM"),"CDU",IF($H9225="FLUID CAT CRACKING","FCC",IF(OR($H9225="HYDROCRACKING",$H9225="RESID_HYDROCRACKING"),"Hydrocracker",IF($H9225="REFORMING","Reformer",""))))</f>
        <v/>
      </c>
    </row>
    <row r="9226" spans="6:7">
      <c r="F9226" s="6">
        <f>IF($M9226="PADD I","PADD 1",IF($M9226="PADD II","PADD 2",IF($M9226="PADD III","PADD 3",IF($M9226="PADD IV","PADD 4",IF($M9226="PADD V","PADD 5","")))))</f>
        <v/>
      </c>
      <c r="G9226" s="6">
        <f>IF(AND($H9226="ATMOS DISTILLATION",ISNUMBER(SEARCH("VPS",$I9226))=FALSE,LEFT($I9226,6)&lt;&gt;"VACUUM"),"CDU",IF($H9226="FLUID CAT CRACKING","FCC",IF(OR($H9226="HYDROCRACKING",$H9226="RESID_HYDROCRACKING"),"Hydrocracker",IF($H9226="REFORMING","Reformer",""))))</f>
        <v/>
      </c>
    </row>
    <row r="9227" spans="6:7">
      <c r="F9227" s="6">
        <f>IF($M9227="PADD I","PADD 1",IF($M9227="PADD II","PADD 2",IF($M9227="PADD III","PADD 3",IF($M9227="PADD IV","PADD 4",IF($M9227="PADD V","PADD 5","")))))</f>
        <v/>
      </c>
      <c r="G9227" s="6">
        <f>IF(AND($H9227="ATMOS DISTILLATION",ISNUMBER(SEARCH("VPS",$I9227))=FALSE,LEFT($I9227,6)&lt;&gt;"VACUUM"),"CDU",IF($H9227="FLUID CAT CRACKING","FCC",IF(OR($H9227="HYDROCRACKING",$H9227="RESID_HYDROCRACKING"),"Hydrocracker",IF($H9227="REFORMING","Reformer",""))))</f>
        <v/>
      </c>
    </row>
    <row r="9228" spans="6:7">
      <c r="F9228" s="6">
        <f>IF($M9228="PADD I","PADD 1",IF($M9228="PADD II","PADD 2",IF($M9228="PADD III","PADD 3",IF($M9228="PADD IV","PADD 4",IF($M9228="PADD V","PADD 5","")))))</f>
        <v/>
      </c>
      <c r="G9228" s="6">
        <f>IF(AND($H9228="ATMOS DISTILLATION",ISNUMBER(SEARCH("VPS",$I9228))=FALSE,LEFT($I9228,6)&lt;&gt;"VACUUM"),"CDU",IF($H9228="FLUID CAT CRACKING","FCC",IF(OR($H9228="HYDROCRACKING",$H9228="RESID_HYDROCRACKING"),"Hydrocracker",IF($H9228="REFORMING","Reformer",""))))</f>
        <v/>
      </c>
    </row>
    <row r="9229" spans="6:7">
      <c r="F9229" s="6">
        <f>IF($M9229="PADD I","PADD 1",IF($M9229="PADD II","PADD 2",IF($M9229="PADD III","PADD 3",IF($M9229="PADD IV","PADD 4",IF($M9229="PADD V","PADD 5","")))))</f>
        <v/>
      </c>
      <c r="G9229" s="6">
        <f>IF(AND($H9229="ATMOS DISTILLATION",ISNUMBER(SEARCH("VPS",$I9229))=FALSE,LEFT($I9229,6)&lt;&gt;"VACUUM"),"CDU",IF($H9229="FLUID CAT CRACKING","FCC",IF(OR($H9229="HYDROCRACKING",$H9229="RESID_HYDROCRACKING"),"Hydrocracker",IF($H9229="REFORMING","Reformer",""))))</f>
        <v/>
      </c>
    </row>
    <row r="9230" spans="6:7">
      <c r="F9230" s="6">
        <f>IF($M9230="PADD I","PADD 1",IF($M9230="PADD II","PADD 2",IF($M9230="PADD III","PADD 3",IF($M9230="PADD IV","PADD 4",IF($M9230="PADD V","PADD 5","")))))</f>
        <v/>
      </c>
      <c r="G9230" s="6">
        <f>IF(AND($H9230="ATMOS DISTILLATION",ISNUMBER(SEARCH("VPS",$I9230))=FALSE,LEFT($I9230,6)&lt;&gt;"VACUUM"),"CDU",IF($H9230="FLUID CAT CRACKING","FCC",IF(OR($H9230="HYDROCRACKING",$H9230="RESID_HYDROCRACKING"),"Hydrocracker",IF($H9230="REFORMING","Reformer",""))))</f>
        <v/>
      </c>
    </row>
    <row r="9231" spans="6:7">
      <c r="F9231" s="6">
        <f>IF($M9231="PADD I","PADD 1",IF($M9231="PADD II","PADD 2",IF($M9231="PADD III","PADD 3",IF($M9231="PADD IV","PADD 4",IF($M9231="PADD V","PADD 5","")))))</f>
        <v/>
      </c>
      <c r="G9231" s="6">
        <f>IF(AND($H9231="ATMOS DISTILLATION",ISNUMBER(SEARCH("VPS",$I9231))=FALSE,LEFT($I9231,6)&lt;&gt;"VACUUM"),"CDU",IF($H9231="FLUID CAT CRACKING","FCC",IF(OR($H9231="HYDROCRACKING",$H9231="RESID_HYDROCRACKING"),"Hydrocracker",IF($H9231="REFORMING","Reformer",""))))</f>
        <v/>
      </c>
    </row>
    <row r="9232" spans="6:7">
      <c r="F9232" s="6">
        <f>IF($M9232="PADD I","PADD 1",IF($M9232="PADD II","PADD 2",IF($M9232="PADD III","PADD 3",IF($M9232="PADD IV","PADD 4",IF($M9232="PADD V","PADD 5","")))))</f>
        <v/>
      </c>
      <c r="G9232" s="6">
        <f>IF(AND($H9232="ATMOS DISTILLATION",ISNUMBER(SEARCH("VPS",$I9232))=FALSE,LEFT($I9232,6)&lt;&gt;"VACUUM"),"CDU",IF($H9232="FLUID CAT CRACKING","FCC",IF(OR($H9232="HYDROCRACKING",$H9232="RESID_HYDROCRACKING"),"Hydrocracker",IF($H9232="REFORMING","Reformer",""))))</f>
        <v/>
      </c>
    </row>
    <row r="9233" spans="6:7">
      <c r="F9233" s="6">
        <f>IF($M9233="PADD I","PADD 1",IF($M9233="PADD II","PADD 2",IF($M9233="PADD III","PADD 3",IF($M9233="PADD IV","PADD 4",IF($M9233="PADD V","PADD 5","")))))</f>
        <v/>
      </c>
      <c r="G9233" s="6">
        <f>IF(AND($H9233="ATMOS DISTILLATION",ISNUMBER(SEARCH("VPS",$I9233))=FALSE,LEFT($I9233,6)&lt;&gt;"VACUUM"),"CDU",IF($H9233="FLUID CAT CRACKING","FCC",IF(OR($H9233="HYDROCRACKING",$H9233="RESID_HYDROCRACKING"),"Hydrocracker",IF($H9233="REFORMING","Reformer",""))))</f>
        <v/>
      </c>
    </row>
    <row r="9234" spans="6:7">
      <c r="F9234" s="6">
        <f>IF($M9234="PADD I","PADD 1",IF($M9234="PADD II","PADD 2",IF($M9234="PADD III","PADD 3",IF($M9234="PADD IV","PADD 4",IF($M9234="PADD V","PADD 5","")))))</f>
        <v/>
      </c>
      <c r="G9234" s="6">
        <f>IF(AND($H9234="ATMOS DISTILLATION",ISNUMBER(SEARCH("VPS",$I9234))=FALSE,LEFT($I9234,6)&lt;&gt;"VACUUM"),"CDU",IF($H9234="FLUID CAT CRACKING","FCC",IF(OR($H9234="HYDROCRACKING",$H9234="RESID_HYDROCRACKING"),"Hydrocracker",IF($H9234="REFORMING","Reformer",""))))</f>
        <v/>
      </c>
    </row>
    <row r="9235" spans="6:7">
      <c r="F9235" s="6">
        <f>IF($M9235="PADD I","PADD 1",IF($M9235="PADD II","PADD 2",IF($M9235="PADD III","PADD 3",IF($M9235="PADD IV","PADD 4",IF($M9235="PADD V","PADD 5","")))))</f>
        <v/>
      </c>
      <c r="G9235" s="6">
        <f>IF(AND($H9235="ATMOS DISTILLATION",ISNUMBER(SEARCH("VPS",$I9235))=FALSE,LEFT($I9235,6)&lt;&gt;"VACUUM"),"CDU",IF($H9235="FLUID CAT CRACKING","FCC",IF(OR($H9235="HYDROCRACKING",$H9235="RESID_HYDROCRACKING"),"Hydrocracker",IF($H9235="REFORMING","Reformer",""))))</f>
        <v/>
      </c>
    </row>
    <row r="9236" spans="6:7">
      <c r="F9236" s="6">
        <f>IF($M9236="PADD I","PADD 1",IF($M9236="PADD II","PADD 2",IF($M9236="PADD III","PADD 3",IF($M9236="PADD IV","PADD 4",IF($M9236="PADD V","PADD 5","")))))</f>
        <v/>
      </c>
      <c r="G9236" s="6">
        <f>IF(AND($H9236="ATMOS DISTILLATION",ISNUMBER(SEARCH("VPS",$I9236))=FALSE,LEFT($I9236,6)&lt;&gt;"VACUUM"),"CDU",IF($H9236="FLUID CAT CRACKING","FCC",IF(OR($H9236="HYDROCRACKING",$H9236="RESID_HYDROCRACKING"),"Hydrocracker",IF($H9236="REFORMING","Reformer",""))))</f>
        <v/>
      </c>
    </row>
    <row r="9237" spans="6:7">
      <c r="F9237" s="6">
        <f>IF($M9237="PADD I","PADD 1",IF($M9237="PADD II","PADD 2",IF($M9237="PADD III","PADD 3",IF($M9237="PADD IV","PADD 4",IF($M9237="PADD V","PADD 5","")))))</f>
        <v/>
      </c>
      <c r="G9237" s="6">
        <f>IF(AND($H9237="ATMOS DISTILLATION",ISNUMBER(SEARCH("VPS",$I9237))=FALSE,LEFT($I9237,6)&lt;&gt;"VACUUM"),"CDU",IF($H9237="FLUID CAT CRACKING","FCC",IF(OR($H9237="HYDROCRACKING",$H9237="RESID_HYDROCRACKING"),"Hydrocracker",IF($H9237="REFORMING","Reformer",""))))</f>
        <v/>
      </c>
    </row>
    <row r="9238" spans="6:7">
      <c r="F9238" s="6">
        <f>IF($M9238="PADD I","PADD 1",IF($M9238="PADD II","PADD 2",IF($M9238="PADD III","PADD 3",IF($M9238="PADD IV","PADD 4",IF($M9238="PADD V","PADD 5","")))))</f>
        <v/>
      </c>
      <c r="G9238" s="6">
        <f>IF(AND($H9238="ATMOS DISTILLATION",ISNUMBER(SEARCH("VPS",$I9238))=FALSE,LEFT($I9238,6)&lt;&gt;"VACUUM"),"CDU",IF($H9238="FLUID CAT CRACKING","FCC",IF(OR($H9238="HYDROCRACKING",$H9238="RESID_HYDROCRACKING"),"Hydrocracker",IF($H9238="REFORMING","Reformer",""))))</f>
        <v/>
      </c>
    </row>
    <row r="9239" spans="6:7">
      <c r="F9239" s="6">
        <f>IF($M9239="PADD I","PADD 1",IF($M9239="PADD II","PADD 2",IF($M9239="PADD III","PADD 3",IF($M9239="PADD IV","PADD 4",IF($M9239="PADD V","PADD 5","")))))</f>
        <v/>
      </c>
      <c r="G9239" s="6">
        <f>IF(AND($H9239="ATMOS DISTILLATION",ISNUMBER(SEARCH("VPS",$I9239))=FALSE,LEFT($I9239,6)&lt;&gt;"VACUUM"),"CDU",IF($H9239="FLUID CAT CRACKING","FCC",IF(OR($H9239="HYDROCRACKING",$H9239="RESID_HYDROCRACKING"),"Hydrocracker",IF($H9239="REFORMING","Reformer",""))))</f>
        <v/>
      </c>
    </row>
    <row r="9240" spans="6:7">
      <c r="F9240" s="6">
        <f>IF($M9240="PADD I","PADD 1",IF($M9240="PADD II","PADD 2",IF($M9240="PADD III","PADD 3",IF($M9240="PADD IV","PADD 4",IF($M9240="PADD V","PADD 5","")))))</f>
        <v/>
      </c>
      <c r="G9240" s="6">
        <f>IF(AND($H9240="ATMOS DISTILLATION",ISNUMBER(SEARCH("VPS",$I9240))=FALSE,LEFT($I9240,6)&lt;&gt;"VACUUM"),"CDU",IF($H9240="FLUID CAT CRACKING","FCC",IF(OR($H9240="HYDROCRACKING",$H9240="RESID_HYDROCRACKING"),"Hydrocracker",IF($H9240="REFORMING","Reformer",""))))</f>
        <v/>
      </c>
    </row>
    <row r="9241" spans="6:7">
      <c r="F9241" s="6">
        <f>IF($M9241="PADD I","PADD 1",IF($M9241="PADD II","PADD 2",IF($M9241="PADD III","PADD 3",IF($M9241="PADD IV","PADD 4",IF($M9241="PADD V","PADD 5","")))))</f>
        <v/>
      </c>
      <c r="G9241" s="6">
        <f>IF(AND($H9241="ATMOS DISTILLATION",ISNUMBER(SEARCH("VPS",$I9241))=FALSE,LEFT($I9241,6)&lt;&gt;"VACUUM"),"CDU",IF($H9241="FLUID CAT CRACKING","FCC",IF(OR($H9241="HYDROCRACKING",$H9241="RESID_HYDROCRACKING"),"Hydrocracker",IF($H9241="REFORMING","Reformer",""))))</f>
        <v/>
      </c>
    </row>
    <row r="9242" spans="6:7">
      <c r="F9242" s="6">
        <f>IF($M9242="PADD I","PADD 1",IF($M9242="PADD II","PADD 2",IF($M9242="PADD III","PADD 3",IF($M9242="PADD IV","PADD 4",IF($M9242="PADD V","PADD 5","")))))</f>
        <v/>
      </c>
      <c r="G9242" s="6">
        <f>IF(AND($H9242="ATMOS DISTILLATION",ISNUMBER(SEARCH("VPS",$I9242))=FALSE,LEFT($I9242,6)&lt;&gt;"VACUUM"),"CDU",IF($H9242="FLUID CAT CRACKING","FCC",IF(OR($H9242="HYDROCRACKING",$H9242="RESID_HYDROCRACKING"),"Hydrocracker",IF($H9242="REFORMING","Reformer",""))))</f>
        <v/>
      </c>
    </row>
    <row r="9243" spans="6:7">
      <c r="F9243" s="6">
        <f>IF($M9243="PADD I","PADD 1",IF($M9243="PADD II","PADD 2",IF($M9243="PADD III","PADD 3",IF($M9243="PADD IV","PADD 4",IF($M9243="PADD V","PADD 5","")))))</f>
        <v/>
      </c>
      <c r="G9243" s="6">
        <f>IF(AND($H9243="ATMOS DISTILLATION",ISNUMBER(SEARCH("VPS",$I9243))=FALSE,LEFT($I9243,6)&lt;&gt;"VACUUM"),"CDU",IF($H9243="FLUID CAT CRACKING","FCC",IF(OR($H9243="HYDROCRACKING",$H9243="RESID_HYDROCRACKING"),"Hydrocracker",IF($H9243="REFORMING","Reformer",""))))</f>
        <v/>
      </c>
    </row>
    <row r="9244" spans="6:7">
      <c r="F9244" s="6">
        <f>IF($M9244="PADD I","PADD 1",IF($M9244="PADD II","PADD 2",IF($M9244="PADD III","PADD 3",IF($M9244="PADD IV","PADD 4",IF($M9244="PADD V","PADD 5","")))))</f>
        <v/>
      </c>
      <c r="G9244" s="6">
        <f>IF(AND($H9244="ATMOS DISTILLATION",ISNUMBER(SEARCH("VPS",$I9244))=FALSE,LEFT($I9244,6)&lt;&gt;"VACUUM"),"CDU",IF($H9244="FLUID CAT CRACKING","FCC",IF(OR($H9244="HYDROCRACKING",$H9244="RESID_HYDROCRACKING"),"Hydrocracker",IF($H9244="REFORMING","Reformer",""))))</f>
        <v/>
      </c>
    </row>
    <row r="9245" spans="6:7">
      <c r="F9245" s="6">
        <f>IF($M9245="PADD I","PADD 1",IF($M9245="PADD II","PADD 2",IF($M9245="PADD III","PADD 3",IF($M9245="PADD IV","PADD 4",IF($M9245="PADD V","PADD 5","")))))</f>
        <v/>
      </c>
      <c r="G9245" s="6">
        <f>IF(AND($H9245="ATMOS DISTILLATION",ISNUMBER(SEARCH("VPS",$I9245))=FALSE,LEFT($I9245,6)&lt;&gt;"VACUUM"),"CDU",IF($H9245="FLUID CAT CRACKING","FCC",IF(OR($H9245="HYDROCRACKING",$H9245="RESID_HYDROCRACKING"),"Hydrocracker",IF($H9245="REFORMING","Reformer",""))))</f>
        <v/>
      </c>
    </row>
    <row r="9246" spans="6:7">
      <c r="F9246" s="6">
        <f>IF($M9246="PADD I","PADD 1",IF($M9246="PADD II","PADD 2",IF($M9246="PADD III","PADD 3",IF($M9246="PADD IV","PADD 4",IF($M9246="PADD V","PADD 5","")))))</f>
        <v/>
      </c>
      <c r="G9246" s="6">
        <f>IF(AND($H9246="ATMOS DISTILLATION",ISNUMBER(SEARCH("VPS",$I9246))=FALSE,LEFT($I9246,6)&lt;&gt;"VACUUM"),"CDU",IF($H9246="FLUID CAT CRACKING","FCC",IF(OR($H9246="HYDROCRACKING",$H9246="RESID_HYDROCRACKING"),"Hydrocracker",IF($H9246="REFORMING","Reformer",""))))</f>
        <v/>
      </c>
    </row>
    <row r="9247" spans="6:7">
      <c r="F9247" s="6">
        <f>IF($M9247="PADD I","PADD 1",IF($M9247="PADD II","PADD 2",IF($M9247="PADD III","PADD 3",IF($M9247="PADD IV","PADD 4",IF($M9247="PADD V","PADD 5","")))))</f>
        <v/>
      </c>
      <c r="G9247" s="6">
        <f>IF(AND($H9247="ATMOS DISTILLATION",ISNUMBER(SEARCH("VPS",$I9247))=FALSE,LEFT($I9247,6)&lt;&gt;"VACUUM"),"CDU",IF($H9247="FLUID CAT CRACKING","FCC",IF(OR($H9247="HYDROCRACKING",$H9247="RESID_HYDROCRACKING"),"Hydrocracker",IF($H9247="REFORMING","Reformer",""))))</f>
        <v/>
      </c>
    </row>
    <row r="9248" spans="6:7">
      <c r="F9248" s="6">
        <f>IF($M9248="PADD I","PADD 1",IF($M9248="PADD II","PADD 2",IF($M9248="PADD III","PADD 3",IF($M9248="PADD IV","PADD 4",IF($M9248="PADD V","PADD 5","")))))</f>
        <v/>
      </c>
      <c r="G9248" s="6">
        <f>IF(AND($H9248="ATMOS DISTILLATION",ISNUMBER(SEARCH("VPS",$I9248))=FALSE,LEFT($I9248,6)&lt;&gt;"VACUUM"),"CDU",IF($H9248="FLUID CAT CRACKING","FCC",IF(OR($H9248="HYDROCRACKING",$H9248="RESID_HYDROCRACKING"),"Hydrocracker",IF($H9248="REFORMING","Reformer",""))))</f>
        <v/>
      </c>
    </row>
    <row r="9249" spans="6:7">
      <c r="F9249" s="6">
        <f>IF($M9249="PADD I","PADD 1",IF($M9249="PADD II","PADD 2",IF($M9249="PADD III","PADD 3",IF($M9249="PADD IV","PADD 4",IF($M9249="PADD V","PADD 5","")))))</f>
        <v/>
      </c>
      <c r="G9249" s="6">
        <f>IF(AND($H9249="ATMOS DISTILLATION",ISNUMBER(SEARCH("VPS",$I9249))=FALSE,LEFT($I9249,6)&lt;&gt;"VACUUM"),"CDU",IF($H9249="FLUID CAT CRACKING","FCC",IF(OR($H9249="HYDROCRACKING",$H9249="RESID_HYDROCRACKING"),"Hydrocracker",IF($H9249="REFORMING","Reformer",""))))</f>
        <v/>
      </c>
    </row>
    <row r="9250" spans="6:7">
      <c r="F9250" s="6">
        <f>IF($M9250="PADD I","PADD 1",IF($M9250="PADD II","PADD 2",IF($M9250="PADD III","PADD 3",IF($M9250="PADD IV","PADD 4",IF($M9250="PADD V","PADD 5","")))))</f>
        <v/>
      </c>
      <c r="G9250" s="6">
        <f>IF(AND($H9250="ATMOS DISTILLATION",ISNUMBER(SEARCH("VPS",$I9250))=FALSE,LEFT($I9250,6)&lt;&gt;"VACUUM"),"CDU",IF($H9250="FLUID CAT CRACKING","FCC",IF(OR($H9250="HYDROCRACKING",$H9250="RESID_HYDROCRACKING"),"Hydrocracker",IF($H9250="REFORMING","Reformer",""))))</f>
        <v/>
      </c>
    </row>
    <row r="9251" spans="6:7">
      <c r="F9251" s="6">
        <f>IF($M9251="PADD I","PADD 1",IF($M9251="PADD II","PADD 2",IF($M9251="PADD III","PADD 3",IF($M9251="PADD IV","PADD 4",IF($M9251="PADD V","PADD 5","")))))</f>
        <v/>
      </c>
      <c r="G9251" s="6">
        <f>IF(AND($H9251="ATMOS DISTILLATION",ISNUMBER(SEARCH("VPS",$I9251))=FALSE,LEFT($I9251,6)&lt;&gt;"VACUUM"),"CDU",IF($H9251="FLUID CAT CRACKING","FCC",IF(OR($H9251="HYDROCRACKING",$H9251="RESID_HYDROCRACKING"),"Hydrocracker",IF($H9251="REFORMING","Reformer",""))))</f>
        <v/>
      </c>
    </row>
    <row r="9252" spans="6:7">
      <c r="F9252" s="6">
        <f>IF($M9252="PADD I","PADD 1",IF($M9252="PADD II","PADD 2",IF($M9252="PADD III","PADD 3",IF($M9252="PADD IV","PADD 4",IF($M9252="PADD V","PADD 5","")))))</f>
        <v/>
      </c>
      <c r="G9252" s="6">
        <f>IF(AND($H9252="ATMOS DISTILLATION",ISNUMBER(SEARCH("VPS",$I9252))=FALSE,LEFT($I9252,6)&lt;&gt;"VACUUM"),"CDU",IF($H9252="FLUID CAT CRACKING","FCC",IF(OR($H9252="HYDROCRACKING",$H9252="RESID_HYDROCRACKING"),"Hydrocracker",IF($H9252="REFORMING","Reformer",""))))</f>
        <v/>
      </c>
    </row>
    <row r="9253" spans="6:7">
      <c r="F9253" s="6">
        <f>IF($M9253="PADD I","PADD 1",IF($M9253="PADD II","PADD 2",IF($M9253="PADD III","PADD 3",IF($M9253="PADD IV","PADD 4",IF($M9253="PADD V","PADD 5","")))))</f>
        <v/>
      </c>
      <c r="G9253" s="6">
        <f>IF(AND($H9253="ATMOS DISTILLATION",ISNUMBER(SEARCH("VPS",$I9253))=FALSE,LEFT($I9253,6)&lt;&gt;"VACUUM"),"CDU",IF($H9253="FLUID CAT CRACKING","FCC",IF(OR($H9253="HYDROCRACKING",$H9253="RESID_HYDROCRACKING"),"Hydrocracker",IF($H9253="REFORMING","Reformer",""))))</f>
        <v/>
      </c>
    </row>
    <row r="9254" spans="6:7">
      <c r="F9254" s="6">
        <f>IF($M9254="PADD I","PADD 1",IF($M9254="PADD II","PADD 2",IF($M9254="PADD III","PADD 3",IF($M9254="PADD IV","PADD 4",IF($M9254="PADD V","PADD 5","")))))</f>
        <v/>
      </c>
      <c r="G9254" s="6">
        <f>IF(AND($H9254="ATMOS DISTILLATION",ISNUMBER(SEARCH("VPS",$I9254))=FALSE,LEFT($I9254,6)&lt;&gt;"VACUUM"),"CDU",IF($H9254="FLUID CAT CRACKING","FCC",IF(OR($H9254="HYDROCRACKING",$H9254="RESID_HYDROCRACKING"),"Hydrocracker",IF($H9254="REFORMING","Reformer",""))))</f>
        <v/>
      </c>
    </row>
    <row r="9255" spans="6:7">
      <c r="F9255" s="6">
        <f>IF($M9255="PADD I","PADD 1",IF($M9255="PADD II","PADD 2",IF($M9255="PADD III","PADD 3",IF($M9255="PADD IV","PADD 4",IF($M9255="PADD V","PADD 5","")))))</f>
        <v/>
      </c>
      <c r="G9255" s="6">
        <f>IF(AND($H9255="ATMOS DISTILLATION",ISNUMBER(SEARCH("VPS",$I9255))=FALSE,LEFT($I9255,6)&lt;&gt;"VACUUM"),"CDU",IF($H9255="FLUID CAT CRACKING","FCC",IF(OR($H9255="HYDROCRACKING",$H9255="RESID_HYDROCRACKING"),"Hydrocracker",IF($H9255="REFORMING","Reformer",""))))</f>
        <v/>
      </c>
    </row>
    <row r="9256" spans="6:7">
      <c r="F9256" s="6">
        <f>IF($M9256="PADD I","PADD 1",IF($M9256="PADD II","PADD 2",IF($M9256="PADD III","PADD 3",IF($M9256="PADD IV","PADD 4",IF($M9256="PADD V","PADD 5","")))))</f>
        <v/>
      </c>
      <c r="G9256" s="6">
        <f>IF(AND($H9256="ATMOS DISTILLATION",ISNUMBER(SEARCH("VPS",$I9256))=FALSE,LEFT($I9256,6)&lt;&gt;"VACUUM"),"CDU",IF($H9256="FLUID CAT CRACKING","FCC",IF(OR($H9256="HYDROCRACKING",$H9256="RESID_HYDROCRACKING"),"Hydrocracker",IF($H9256="REFORMING","Reformer",""))))</f>
        <v/>
      </c>
    </row>
    <row r="9257" spans="6:7">
      <c r="F9257" s="6">
        <f>IF($M9257="PADD I","PADD 1",IF($M9257="PADD II","PADD 2",IF($M9257="PADD III","PADD 3",IF($M9257="PADD IV","PADD 4",IF($M9257="PADD V","PADD 5","")))))</f>
        <v/>
      </c>
      <c r="G9257" s="6">
        <f>IF(AND($H9257="ATMOS DISTILLATION",ISNUMBER(SEARCH("VPS",$I9257))=FALSE,LEFT($I9257,6)&lt;&gt;"VACUUM"),"CDU",IF($H9257="FLUID CAT CRACKING","FCC",IF(OR($H9257="HYDROCRACKING",$H9257="RESID_HYDROCRACKING"),"Hydrocracker",IF($H9257="REFORMING","Reformer",""))))</f>
        <v/>
      </c>
    </row>
    <row r="9258" spans="6:7">
      <c r="F9258" s="6">
        <f>IF($M9258="PADD I","PADD 1",IF($M9258="PADD II","PADD 2",IF($M9258="PADD III","PADD 3",IF($M9258="PADD IV","PADD 4",IF($M9258="PADD V","PADD 5","")))))</f>
        <v/>
      </c>
      <c r="G9258" s="6">
        <f>IF(AND($H9258="ATMOS DISTILLATION",ISNUMBER(SEARCH("VPS",$I9258))=FALSE,LEFT($I9258,6)&lt;&gt;"VACUUM"),"CDU",IF($H9258="FLUID CAT CRACKING","FCC",IF(OR($H9258="HYDROCRACKING",$H9258="RESID_HYDROCRACKING"),"Hydrocracker",IF($H9258="REFORMING","Reformer",""))))</f>
        <v/>
      </c>
    </row>
    <row r="9259" spans="6:7">
      <c r="F9259" s="6">
        <f>IF($M9259="PADD I","PADD 1",IF($M9259="PADD II","PADD 2",IF($M9259="PADD III","PADD 3",IF($M9259="PADD IV","PADD 4",IF($M9259="PADD V","PADD 5","")))))</f>
        <v/>
      </c>
      <c r="G9259" s="6">
        <f>IF(AND($H9259="ATMOS DISTILLATION",ISNUMBER(SEARCH("VPS",$I9259))=FALSE,LEFT($I9259,6)&lt;&gt;"VACUUM"),"CDU",IF($H9259="FLUID CAT CRACKING","FCC",IF(OR($H9259="HYDROCRACKING",$H9259="RESID_HYDROCRACKING"),"Hydrocracker",IF($H9259="REFORMING","Reformer",""))))</f>
        <v/>
      </c>
    </row>
    <row r="9260" spans="6:7">
      <c r="F9260" s="6">
        <f>IF($M9260="PADD I","PADD 1",IF($M9260="PADD II","PADD 2",IF($M9260="PADD III","PADD 3",IF($M9260="PADD IV","PADD 4",IF($M9260="PADD V","PADD 5","")))))</f>
        <v/>
      </c>
      <c r="G9260" s="6">
        <f>IF(AND($H9260="ATMOS DISTILLATION",ISNUMBER(SEARCH("VPS",$I9260))=FALSE,LEFT($I9260,6)&lt;&gt;"VACUUM"),"CDU",IF($H9260="FLUID CAT CRACKING","FCC",IF(OR($H9260="HYDROCRACKING",$H9260="RESID_HYDROCRACKING"),"Hydrocracker",IF($H9260="REFORMING","Reformer",""))))</f>
        <v/>
      </c>
    </row>
    <row r="9261" spans="6:7">
      <c r="F9261" s="6">
        <f>IF($M9261="PADD I","PADD 1",IF($M9261="PADD II","PADD 2",IF($M9261="PADD III","PADD 3",IF($M9261="PADD IV","PADD 4",IF($M9261="PADD V","PADD 5","")))))</f>
        <v/>
      </c>
      <c r="G9261" s="6">
        <f>IF(AND($H9261="ATMOS DISTILLATION",ISNUMBER(SEARCH("VPS",$I9261))=FALSE,LEFT($I9261,6)&lt;&gt;"VACUUM"),"CDU",IF($H9261="FLUID CAT CRACKING","FCC",IF(OR($H9261="HYDROCRACKING",$H9261="RESID_HYDROCRACKING"),"Hydrocracker",IF($H9261="REFORMING","Reformer",""))))</f>
        <v/>
      </c>
    </row>
    <row r="9262" spans="6:7">
      <c r="F9262" s="6">
        <f>IF($M9262="PADD I","PADD 1",IF($M9262="PADD II","PADD 2",IF($M9262="PADD III","PADD 3",IF($M9262="PADD IV","PADD 4",IF($M9262="PADD V","PADD 5","")))))</f>
        <v/>
      </c>
      <c r="G9262" s="6">
        <f>IF(AND($H9262="ATMOS DISTILLATION",ISNUMBER(SEARCH("VPS",$I9262))=FALSE,LEFT($I9262,6)&lt;&gt;"VACUUM"),"CDU",IF($H9262="FLUID CAT CRACKING","FCC",IF(OR($H9262="HYDROCRACKING",$H9262="RESID_HYDROCRACKING"),"Hydrocracker",IF($H9262="REFORMING","Reformer",""))))</f>
        <v/>
      </c>
    </row>
    <row r="9263" spans="6:7">
      <c r="F9263" s="6">
        <f>IF($M9263="PADD I","PADD 1",IF($M9263="PADD II","PADD 2",IF($M9263="PADD III","PADD 3",IF($M9263="PADD IV","PADD 4",IF($M9263="PADD V","PADD 5","")))))</f>
        <v/>
      </c>
      <c r="G9263" s="6">
        <f>IF(AND($H9263="ATMOS DISTILLATION",ISNUMBER(SEARCH("VPS",$I9263))=FALSE,LEFT($I9263,6)&lt;&gt;"VACUUM"),"CDU",IF($H9263="FLUID CAT CRACKING","FCC",IF(OR($H9263="HYDROCRACKING",$H9263="RESID_HYDROCRACKING"),"Hydrocracker",IF($H9263="REFORMING","Reformer",""))))</f>
        <v/>
      </c>
    </row>
    <row r="9264" spans="6:7">
      <c r="F9264" s="6">
        <f>IF($M9264="PADD I","PADD 1",IF($M9264="PADD II","PADD 2",IF($M9264="PADD III","PADD 3",IF($M9264="PADD IV","PADD 4",IF($M9264="PADD V","PADD 5","")))))</f>
        <v/>
      </c>
      <c r="G9264" s="6">
        <f>IF(AND($H9264="ATMOS DISTILLATION",ISNUMBER(SEARCH("VPS",$I9264))=FALSE,LEFT($I9264,6)&lt;&gt;"VACUUM"),"CDU",IF($H9264="FLUID CAT CRACKING","FCC",IF(OR($H9264="HYDROCRACKING",$H9264="RESID_HYDROCRACKING"),"Hydrocracker",IF($H9264="REFORMING","Reformer",""))))</f>
        <v/>
      </c>
    </row>
    <row r="9265" spans="6:7">
      <c r="F9265" s="6">
        <f>IF($M9265="PADD I","PADD 1",IF($M9265="PADD II","PADD 2",IF($M9265="PADD III","PADD 3",IF($M9265="PADD IV","PADD 4",IF($M9265="PADD V","PADD 5","")))))</f>
        <v/>
      </c>
      <c r="G9265" s="6">
        <f>IF(AND($H9265="ATMOS DISTILLATION",ISNUMBER(SEARCH("VPS",$I9265))=FALSE,LEFT($I9265,6)&lt;&gt;"VACUUM"),"CDU",IF($H9265="FLUID CAT CRACKING","FCC",IF(OR($H9265="HYDROCRACKING",$H9265="RESID_HYDROCRACKING"),"Hydrocracker",IF($H9265="REFORMING","Reformer",""))))</f>
        <v/>
      </c>
    </row>
    <row r="9266" spans="6:7">
      <c r="F9266" s="6">
        <f>IF($M9266="PADD I","PADD 1",IF($M9266="PADD II","PADD 2",IF($M9266="PADD III","PADD 3",IF($M9266="PADD IV","PADD 4",IF($M9266="PADD V","PADD 5","")))))</f>
        <v/>
      </c>
      <c r="G9266" s="6">
        <f>IF(AND($H9266="ATMOS DISTILLATION",ISNUMBER(SEARCH("VPS",$I9266))=FALSE,LEFT($I9266,6)&lt;&gt;"VACUUM"),"CDU",IF($H9266="FLUID CAT CRACKING","FCC",IF(OR($H9266="HYDROCRACKING",$H9266="RESID_HYDROCRACKING"),"Hydrocracker",IF($H9266="REFORMING","Reformer",""))))</f>
        <v/>
      </c>
    </row>
    <row r="9267" spans="6:7">
      <c r="F9267" s="6">
        <f>IF($M9267="PADD I","PADD 1",IF($M9267="PADD II","PADD 2",IF($M9267="PADD III","PADD 3",IF($M9267="PADD IV","PADD 4",IF($M9267="PADD V","PADD 5","")))))</f>
        <v/>
      </c>
      <c r="G9267" s="6">
        <f>IF(AND($H9267="ATMOS DISTILLATION",ISNUMBER(SEARCH("VPS",$I9267))=FALSE,LEFT($I9267,6)&lt;&gt;"VACUUM"),"CDU",IF($H9267="FLUID CAT CRACKING","FCC",IF(OR($H9267="HYDROCRACKING",$H9267="RESID_HYDROCRACKING"),"Hydrocracker",IF($H9267="REFORMING","Reformer",""))))</f>
        <v/>
      </c>
    </row>
    <row r="9268" spans="6:7">
      <c r="F9268" s="6">
        <f>IF($M9268="PADD I","PADD 1",IF($M9268="PADD II","PADD 2",IF($M9268="PADD III","PADD 3",IF($M9268="PADD IV","PADD 4",IF($M9268="PADD V","PADD 5","")))))</f>
        <v/>
      </c>
      <c r="G9268" s="6">
        <f>IF(AND($H9268="ATMOS DISTILLATION",ISNUMBER(SEARCH("VPS",$I9268))=FALSE,LEFT($I9268,6)&lt;&gt;"VACUUM"),"CDU",IF($H9268="FLUID CAT CRACKING","FCC",IF(OR($H9268="HYDROCRACKING",$H9268="RESID_HYDROCRACKING"),"Hydrocracker",IF($H9268="REFORMING","Reformer",""))))</f>
        <v/>
      </c>
    </row>
    <row r="9269" spans="6:7">
      <c r="F9269" s="6">
        <f>IF($M9269="PADD I","PADD 1",IF($M9269="PADD II","PADD 2",IF($M9269="PADD III","PADD 3",IF($M9269="PADD IV","PADD 4",IF($M9269="PADD V","PADD 5","")))))</f>
        <v/>
      </c>
      <c r="G9269" s="6">
        <f>IF(AND($H9269="ATMOS DISTILLATION",ISNUMBER(SEARCH("VPS",$I9269))=FALSE,LEFT($I9269,6)&lt;&gt;"VACUUM"),"CDU",IF($H9269="FLUID CAT CRACKING","FCC",IF(OR($H9269="HYDROCRACKING",$H9269="RESID_HYDROCRACKING"),"Hydrocracker",IF($H9269="REFORMING","Reformer",""))))</f>
        <v/>
      </c>
    </row>
    <row r="9270" spans="6:7">
      <c r="F9270" s="6">
        <f>IF($M9270="PADD I","PADD 1",IF($M9270="PADD II","PADD 2",IF($M9270="PADD III","PADD 3",IF($M9270="PADD IV","PADD 4",IF($M9270="PADD V","PADD 5","")))))</f>
        <v/>
      </c>
      <c r="G9270" s="6">
        <f>IF(AND($H9270="ATMOS DISTILLATION",ISNUMBER(SEARCH("VPS",$I9270))=FALSE,LEFT($I9270,6)&lt;&gt;"VACUUM"),"CDU",IF($H9270="FLUID CAT CRACKING","FCC",IF(OR($H9270="HYDROCRACKING",$H9270="RESID_HYDROCRACKING"),"Hydrocracker",IF($H9270="REFORMING","Reformer",""))))</f>
        <v/>
      </c>
    </row>
    <row r="9271" spans="6:7">
      <c r="F9271" s="6">
        <f>IF($M9271="PADD I","PADD 1",IF($M9271="PADD II","PADD 2",IF($M9271="PADD III","PADD 3",IF($M9271="PADD IV","PADD 4",IF($M9271="PADD V","PADD 5","")))))</f>
        <v/>
      </c>
      <c r="G9271" s="6">
        <f>IF(AND($H9271="ATMOS DISTILLATION",ISNUMBER(SEARCH("VPS",$I9271))=FALSE,LEFT($I9271,6)&lt;&gt;"VACUUM"),"CDU",IF($H9271="FLUID CAT CRACKING","FCC",IF(OR($H9271="HYDROCRACKING",$H9271="RESID_HYDROCRACKING"),"Hydrocracker",IF($H9271="REFORMING","Reformer",""))))</f>
        <v/>
      </c>
    </row>
    <row r="9272" spans="6:7">
      <c r="F9272" s="6">
        <f>IF($M9272="PADD I","PADD 1",IF($M9272="PADD II","PADD 2",IF($M9272="PADD III","PADD 3",IF($M9272="PADD IV","PADD 4",IF($M9272="PADD V","PADD 5","")))))</f>
        <v/>
      </c>
      <c r="G9272" s="6">
        <f>IF(AND($H9272="ATMOS DISTILLATION",ISNUMBER(SEARCH("VPS",$I9272))=FALSE,LEFT($I9272,6)&lt;&gt;"VACUUM"),"CDU",IF($H9272="FLUID CAT CRACKING","FCC",IF(OR($H9272="HYDROCRACKING",$H9272="RESID_HYDROCRACKING"),"Hydrocracker",IF($H9272="REFORMING","Reformer",""))))</f>
        <v/>
      </c>
    </row>
    <row r="9273" spans="6:7">
      <c r="F9273" s="6">
        <f>IF($M9273="PADD I","PADD 1",IF($M9273="PADD II","PADD 2",IF($M9273="PADD III","PADD 3",IF($M9273="PADD IV","PADD 4",IF($M9273="PADD V","PADD 5","")))))</f>
        <v/>
      </c>
      <c r="G9273" s="6">
        <f>IF(AND($H9273="ATMOS DISTILLATION",ISNUMBER(SEARCH("VPS",$I9273))=FALSE,LEFT($I9273,6)&lt;&gt;"VACUUM"),"CDU",IF($H9273="FLUID CAT CRACKING","FCC",IF(OR($H9273="HYDROCRACKING",$H9273="RESID_HYDROCRACKING"),"Hydrocracker",IF($H9273="REFORMING","Reformer",""))))</f>
        <v/>
      </c>
    </row>
    <row r="9274" spans="6:7">
      <c r="F9274" s="6">
        <f>IF($M9274="PADD I","PADD 1",IF($M9274="PADD II","PADD 2",IF($M9274="PADD III","PADD 3",IF($M9274="PADD IV","PADD 4",IF($M9274="PADD V","PADD 5","")))))</f>
        <v/>
      </c>
      <c r="G9274" s="6">
        <f>IF(AND($H9274="ATMOS DISTILLATION",ISNUMBER(SEARCH("VPS",$I9274))=FALSE,LEFT($I9274,6)&lt;&gt;"VACUUM"),"CDU",IF($H9274="FLUID CAT CRACKING","FCC",IF(OR($H9274="HYDROCRACKING",$H9274="RESID_HYDROCRACKING"),"Hydrocracker",IF($H9274="REFORMING","Reformer",""))))</f>
        <v/>
      </c>
    </row>
    <row r="9275" spans="6:7">
      <c r="F9275" s="6">
        <f>IF($M9275="PADD I","PADD 1",IF($M9275="PADD II","PADD 2",IF($M9275="PADD III","PADD 3",IF($M9275="PADD IV","PADD 4",IF($M9275="PADD V","PADD 5","")))))</f>
        <v/>
      </c>
      <c r="G9275" s="6">
        <f>IF(AND($H9275="ATMOS DISTILLATION",ISNUMBER(SEARCH("VPS",$I9275))=FALSE,LEFT($I9275,6)&lt;&gt;"VACUUM"),"CDU",IF($H9275="FLUID CAT CRACKING","FCC",IF(OR($H9275="HYDROCRACKING",$H9275="RESID_HYDROCRACKING"),"Hydrocracker",IF($H9275="REFORMING","Reformer",""))))</f>
        <v/>
      </c>
    </row>
    <row r="9276" spans="6:7">
      <c r="F9276" s="6">
        <f>IF($M9276="PADD I","PADD 1",IF($M9276="PADD II","PADD 2",IF($M9276="PADD III","PADD 3",IF($M9276="PADD IV","PADD 4",IF($M9276="PADD V","PADD 5","")))))</f>
        <v/>
      </c>
      <c r="G9276" s="6">
        <f>IF(AND($H9276="ATMOS DISTILLATION",ISNUMBER(SEARCH("VPS",$I9276))=FALSE,LEFT($I9276,6)&lt;&gt;"VACUUM"),"CDU",IF($H9276="FLUID CAT CRACKING","FCC",IF(OR($H9276="HYDROCRACKING",$H9276="RESID_HYDROCRACKING"),"Hydrocracker",IF($H9276="REFORMING","Reformer",""))))</f>
        <v/>
      </c>
    </row>
    <row r="9277" spans="6:7">
      <c r="F9277" s="6">
        <f>IF($M9277="PADD I","PADD 1",IF($M9277="PADD II","PADD 2",IF($M9277="PADD III","PADD 3",IF($M9277="PADD IV","PADD 4",IF($M9277="PADD V","PADD 5","")))))</f>
        <v/>
      </c>
      <c r="G9277" s="6">
        <f>IF(AND($H9277="ATMOS DISTILLATION",ISNUMBER(SEARCH("VPS",$I9277))=FALSE,LEFT($I9277,6)&lt;&gt;"VACUUM"),"CDU",IF($H9277="FLUID CAT CRACKING","FCC",IF(OR($H9277="HYDROCRACKING",$H9277="RESID_HYDROCRACKING"),"Hydrocracker",IF($H9277="REFORMING","Reformer",""))))</f>
        <v/>
      </c>
    </row>
    <row r="9278" spans="6:7">
      <c r="F9278" s="6">
        <f>IF($M9278="PADD I","PADD 1",IF($M9278="PADD II","PADD 2",IF($M9278="PADD III","PADD 3",IF($M9278="PADD IV","PADD 4",IF($M9278="PADD V","PADD 5","")))))</f>
        <v/>
      </c>
      <c r="G9278" s="6">
        <f>IF(AND($H9278="ATMOS DISTILLATION",ISNUMBER(SEARCH("VPS",$I9278))=FALSE,LEFT($I9278,6)&lt;&gt;"VACUUM"),"CDU",IF($H9278="FLUID CAT CRACKING","FCC",IF(OR($H9278="HYDROCRACKING",$H9278="RESID_HYDROCRACKING"),"Hydrocracker",IF($H9278="REFORMING","Reformer",""))))</f>
        <v/>
      </c>
    </row>
    <row r="9279" spans="6:7">
      <c r="F9279" s="6">
        <f>IF($M9279="PADD I","PADD 1",IF($M9279="PADD II","PADD 2",IF($M9279="PADD III","PADD 3",IF($M9279="PADD IV","PADD 4",IF($M9279="PADD V","PADD 5","")))))</f>
        <v/>
      </c>
      <c r="G9279" s="6">
        <f>IF(AND($H9279="ATMOS DISTILLATION",ISNUMBER(SEARCH("VPS",$I9279))=FALSE,LEFT($I9279,6)&lt;&gt;"VACUUM"),"CDU",IF($H9279="FLUID CAT CRACKING","FCC",IF(OR($H9279="HYDROCRACKING",$H9279="RESID_HYDROCRACKING"),"Hydrocracker",IF($H9279="REFORMING","Reformer",""))))</f>
        <v/>
      </c>
    </row>
    <row r="9280" spans="6:7">
      <c r="F9280" s="6">
        <f>IF($M9280="PADD I","PADD 1",IF($M9280="PADD II","PADD 2",IF($M9280="PADD III","PADD 3",IF($M9280="PADD IV","PADD 4",IF($M9280="PADD V","PADD 5","")))))</f>
        <v/>
      </c>
      <c r="G9280" s="6">
        <f>IF(AND($H9280="ATMOS DISTILLATION",ISNUMBER(SEARCH("VPS",$I9280))=FALSE,LEFT($I9280,6)&lt;&gt;"VACUUM"),"CDU",IF($H9280="FLUID CAT CRACKING","FCC",IF(OR($H9280="HYDROCRACKING",$H9280="RESID_HYDROCRACKING"),"Hydrocracker",IF($H9280="REFORMING","Reformer",""))))</f>
        <v/>
      </c>
    </row>
    <row r="9281" spans="6:7">
      <c r="F9281" s="6">
        <f>IF($M9281="PADD I","PADD 1",IF($M9281="PADD II","PADD 2",IF($M9281="PADD III","PADD 3",IF($M9281="PADD IV","PADD 4",IF($M9281="PADD V","PADD 5","")))))</f>
        <v/>
      </c>
      <c r="G9281" s="6">
        <f>IF(AND($H9281="ATMOS DISTILLATION",ISNUMBER(SEARCH("VPS",$I9281))=FALSE,LEFT($I9281,6)&lt;&gt;"VACUUM"),"CDU",IF($H9281="FLUID CAT CRACKING","FCC",IF(OR($H9281="HYDROCRACKING",$H9281="RESID_HYDROCRACKING"),"Hydrocracker",IF($H9281="REFORMING","Reformer",""))))</f>
        <v/>
      </c>
    </row>
    <row r="9282" spans="6:7">
      <c r="F9282" s="6">
        <f>IF($M9282="PADD I","PADD 1",IF($M9282="PADD II","PADD 2",IF($M9282="PADD III","PADD 3",IF($M9282="PADD IV","PADD 4",IF($M9282="PADD V","PADD 5","")))))</f>
        <v/>
      </c>
      <c r="G9282" s="6">
        <f>IF(AND($H9282="ATMOS DISTILLATION",ISNUMBER(SEARCH("VPS",$I9282))=FALSE,LEFT($I9282,6)&lt;&gt;"VACUUM"),"CDU",IF($H9282="FLUID CAT CRACKING","FCC",IF(OR($H9282="HYDROCRACKING",$H9282="RESID_HYDROCRACKING"),"Hydrocracker",IF($H9282="REFORMING","Reformer",""))))</f>
        <v/>
      </c>
    </row>
    <row r="9283" spans="6:7">
      <c r="F9283" s="6">
        <f>IF($M9283="PADD I","PADD 1",IF($M9283="PADD II","PADD 2",IF($M9283="PADD III","PADD 3",IF($M9283="PADD IV","PADD 4",IF($M9283="PADD V","PADD 5","")))))</f>
        <v/>
      </c>
      <c r="G9283" s="6">
        <f>IF(AND($H9283="ATMOS DISTILLATION",ISNUMBER(SEARCH("VPS",$I9283))=FALSE,LEFT($I9283,6)&lt;&gt;"VACUUM"),"CDU",IF($H9283="FLUID CAT CRACKING","FCC",IF(OR($H9283="HYDROCRACKING",$H9283="RESID_HYDROCRACKING"),"Hydrocracker",IF($H9283="REFORMING","Reformer",""))))</f>
        <v/>
      </c>
    </row>
    <row r="9284" spans="6:7">
      <c r="F9284" s="6">
        <f>IF($M9284="PADD I","PADD 1",IF($M9284="PADD II","PADD 2",IF($M9284="PADD III","PADD 3",IF($M9284="PADD IV","PADD 4",IF($M9284="PADD V","PADD 5","")))))</f>
        <v/>
      </c>
      <c r="G9284" s="6">
        <f>IF(AND($H9284="ATMOS DISTILLATION",ISNUMBER(SEARCH("VPS",$I9284))=FALSE,LEFT($I9284,6)&lt;&gt;"VACUUM"),"CDU",IF($H9284="FLUID CAT CRACKING","FCC",IF(OR($H9284="HYDROCRACKING",$H9284="RESID_HYDROCRACKING"),"Hydrocracker",IF($H9284="REFORMING","Reformer",""))))</f>
        <v/>
      </c>
    </row>
    <row r="9285" spans="6:7">
      <c r="F9285" s="6">
        <f>IF($M9285="PADD I","PADD 1",IF($M9285="PADD II","PADD 2",IF($M9285="PADD III","PADD 3",IF($M9285="PADD IV","PADD 4",IF($M9285="PADD V","PADD 5","")))))</f>
        <v/>
      </c>
      <c r="G9285" s="6">
        <f>IF(AND($H9285="ATMOS DISTILLATION",ISNUMBER(SEARCH("VPS",$I9285))=FALSE,LEFT($I9285,6)&lt;&gt;"VACUUM"),"CDU",IF($H9285="FLUID CAT CRACKING","FCC",IF(OR($H9285="HYDROCRACKING",$H9285="RESID_HYDROCRACKING"),"Hydrocracker",IF($H9285="REFORMING","Reformer",""))))</f>
        <v/>
      </c>
    </row>
    <row r="9286" spans="6:7">
      <c r="F9286" s="6">
        <f>IF($M9286="PADD I","PADD 1",IF($M9286="PADD II","PADD 2",IF($M9286="PADD III","PADD 3",IF($M9286="PADD IV","PADD 4",IF($M9286="PADD V","PADD 5","")))))</f>
        <v/>
      </c>
      <c r="G9286" s="6">
        <f>IF(AND($H9286="ATMOS DISTILLATION",ISNUMBER(SEARCH("VPS",$I9286))=FALSE,LEFT($I9286,6)&lt;&gt;"VACUUM"),"CDU",IF($H9286="FLUID CAT CRACKING","FCC",IF(OR($H9286="HYDROCRACKING",$H9286="RESID_HYDROCRACKING"),"Hydrocracker",IF($H9286="REFORMING","Reformer",""))))</f>
        <v/>
      </c>
    </row>
    <row r="9287" spans="6:7">
      <c r="F9287" s="6">
        <f>IF($M9287="PADD I","PADD 1",IF($M9287="PADD II","PADD 2",IF($M9287="PADD III","PADD 3",IF($M9287="PADD IV","PADD 4",IF($M9287="PADD V","PADD 5","")))))</f>
        <v/>
      </c>
      <c r="G9287" s="6">
        <f>IF(AND($H9287="ATMOS DISTILLATION",ISNUMBER(SEARCH("VPS",$I9287))=FALSE,LEFT($I9287,6)&lt;&gt;"VACUUM"),"CDU",IF($H9287="FLUID CAT CRACKING","FCC",IF(OR($H9287="HYDROCRACKING",$H9287="RESID_HYDROCRACKING"),"Hydrocracker",IF($H9287="REFORMING","Reformer",""))))</f>
        <v/>
      </c>
    </row>
    <row r="9288" spans="6:7">
      <c r="F9288" s="6">
        <f>IF($M9288="PADD I","PADD 1",IF($M9288="PADD II","PADD 2",IF($M9288="PADD III","PADD 3",IF($M9288="PADD IV","PADD 4",IF($M9288="PADD V","PADD 5","")))))</f>
        <v/>
      </c>
      <c r="G9288" s="6">
        <f>IF(AND($H9288="ATMOS DISTILLATION",ISNUMBER(SEARCH("VPS",$I9288))=FALSE,LEFT($I9288,6)&lt;&gt;"VACUUM"),"CDU",IF($H9288="FLUID CAT CRACKING","FCC",IF(OR($H9288="HYDROCRACKING",$H9288="RESID_HYDROCRACKING"),"Hydrocracker",IF($H9288="REFORMING","Reformer",""))))</f>
        <v/>
      </c>
    </row>
    <row r="9289" spans="6:7">
      <c r="F9289" s="6">
        <f>IF($M9289="PADD I","PADD 1",IF($M9289="PADD II","PADD 2",IF($M9289="PADD III","PADD 3",IF($M9289="PADD IV","PADD 4",IF($M9289="PADD V","PADD 5","")))))</f>
        <v/>
      </c>
      <c r="G9289" s="6">
        <f>IF(AND($H9289="ATMOS DISTILLATION",ISNUMBER(SEARCH("VPS",$I9289))=FALSE,LEFT($I9289,6)&lt;&gt;"VACUUM"),"CDU",IF($H9289="FLUID CAT CRACKING","FCC",IF(OR($H9289="HYDROCRACKING",$H9289="RESID_HYDROCRACKING"),"Hydrocracker",IF($H9289="REFORMING","Reformer",""))))</f>
        <v/>
      </c>
    </row>
    <row r="9290" spans="6:7">
      <c r="F9290" s="6">
        <f>IF($M9290="PADD I","PADD 1",IF($M9290="PADD II","PADD 2",IF($M9290="PADD III","PADD 3",IF($M9290="PADD IV","PADD 4",IF($M9290="PADD V","PADD 5","")))))</f>
        <v/>
      </c>
      <c r="G9290" s="6">
        <f>IF(AND($H9290="ATMOS DISTILLATION",ISNUMBER(SEARCH("VPS",$I9290))=FALSE,LEFT($I9290,6)&lt;&gt;"VACUUM"),"CDU",IF($H9290="FLUID CAT CRACKING","FCC",IF(OR($H9290="HYDROCRACKING",$H9290="RESID_HYDROCRACKING"),"Hydrocracker",IF($H9290="REFORMING","Reformer",""))))</f>
        <v/>
      </c>
    </row>
    <row r="9291" spans="6:7">
      <c r="F9291" s="6">
        <f>IF($M9291="PADD I","PADD 1",IF($M9291="PADD II","PADD 2",IF($M9291="PADD III","PADD 3",IF($M9291="PADD IV","PADD 4",IF($M9291="PADD V","PADD 5","")))))</f>
        <v/>
      </c>
      <c r="G9291" s="6">
        <f>IF(AND($H9291="ATMOS DISTILLATION",ISNUMBER(SEARCH("VPS",$I9291))=FALSE,LEFT($I9291,6)&lt;&gt;"VACUUM"),"CDU",IF($H9291="FLUID CAT CRACKING","FCC",IF(OR($H9291="HYDROCRACKING",$H9291="RESID_HYDROCRACKING"),"Hydrocracker",IF($H9291="REFORMING","Reformer",""))))</f>
        <v/>
      </c>
    </row>
    <row r="9292" spans="6:7">
      <c r="F9292" s="6">
        <f>IF($M9292="PADD I","PADD 1",IF($M9292="PADD II","PADD 2",IF($M9292="PADD III","PADD 3",IF($M9292="PADD IV","PADD 4",IF($M9292="PADD V","PADD 5","")))))</f>
        <v/>
      </c>
      <c r="G9292" s="6">
        <f>IF(AND($H9292="ATMOS DISTILLATION",ISNUMBER(SEARCH("VPS",$I9292))=FALSE,LEFT($I9292,6)&lt;&gt;"VACUUM"),"CDU",IF($H9292="FLUID CAT CRACKING","FCC",IF(OR($H9292="HYDROCRACKING",$H9292="RESID_HYDROCRACKING"),"Hydrocracker",IF($H9292="REFORMING","Reformer",""))))</f>
        <v/>
      </c>
    </row>
    <row r="9293" spans="6:7">
      <c r="F9293" s="6">
        <f>IF($M9293="PADD I","PADD 1",IF($M9293="PADD II","PADD 2",IF($M9293="PADD III","PADD 3",IF($M9293="PADD IV","PADD 4",IF($M9293="PADD V","PADD 5","")))))</f>
        <v/>
      </c>
      <c r="G9293" s="6">
        <f>IF(AND($H9293="ATMOS DISTILLATION",ISNUMBER(SEARCH("VPS",$I9293))=FALSE,LEFT($I9293,6)&lt;&gt;"VACUUM"),"CDU",IF($H9293="FLUID CAT CRACKING","FCC",IF(OR($H9293="HYDROCRACKING",$H9293="RESID_HYDROCRACKING"),"Hydrocracker",IF($H9293="REFORMING","Reformer",""))))</f>
        <v/>
      </c>
    </row>
    <row r="9294" spans="6:7">
      <c r="F9294" s="6">
        <f>IF($M9294="PADD I","PADD 1",IF($M9294="PADD II","PADD 2",IF($M9294="PADD III","PADD 3",IF($M9294="PADD IV","PADD 4",IF($M9294="PADD V","PADD 5","")))))</f>
        <v/>
      </c>
      <c r="G9294" s="6">
        <f>IF(AND($H9294="ATMOS DISTILLATION",ISNUMBER(SEARCH("VPS",$I9294))=FALSE,LEFT($I9294,6)&lt;&gt;"VACUUM"),"CDU",IF($H9294="FLUID CAT CRACKING","FCC",IF(OR($H9294="HYDROCRACKING",$H9294="RESID_HYDROCRACKING"),"Hydrocracker",IF($H9294="REFORMING","Reformer",""))))</f>
        <v/>
      </c>
    </row>
    <row r="9295" spans="6:7">
      <c r="F9295" s="6">
        <f>IF($M9295="PADD I","PADD 1",IF($M9295="PADD II","PADD 2",IF($M9295="PADD III","PADD 3",IF($M9295="PADD IV","PADD 4",IF($M9295="PADD V","PADD 5","")))))</f>
        <v/>
      </c>
      <c r="G9295" s="6">
        <f>IF(AND($H9295="ATMOS DISTILLATION",ISNUMBER(SEARCH("VPS",$I9295))=FALSE,LEFT($I9295,6)&lt;&gt;"VACUUM"),"CDU",IF($H9295="FLUID CAT CRACKING","FCC",IF(OR($H9295="HYDROCRACKING",$H9295="RESID_HYDROCRACKING"),"Hydrocracker",IF($H9295="REFORMING","Reformer",""))))</f>
        <v/>
      </c>
    </row>
    <row r="9296" spans="6:7">
      <c r="F9296" s="6">
        <f>IF($M9296="PADD I","PADD 1",IF($M9296="PADD II","PADD 2",IF($M9296="PADD III","PADD 3",IF($M9296="PADD IV","PADD 4",IF($M9296="PADD V","PADD 5","")))))</f>
        <v/>
      </c>
      <c r="G9296" s="6">
        <f>IF(AND($H9296="ATMOS DISTILLATION",ISNUMBER(SEARCH("VPS",$I9296))=FALSE,LEFT($I9296,6)&lt;&gt;"VACUUM"),"CDU",IF($H9296="FLUID CAT CRACKING","FCC",IF(OR($H9296="HYDROCRACKING",$H9296="RESID_HYDROCRACKING"),"Hydrocracker",IF($H9296="REFORMING","Reformer",""))))</f>
        <v/>
      </c>
    </row>
    <row r="9297" spans="6:7">
      <c r="F9297" s="6">
        <f>IF($M9297="PADD I","PADD 1",IF($M9297="PADD II","PADD 2",IF($M9297="PADD III","PADD 3",IF($M9297="PADD IV","PADD 4",IF($M9297="PADD V","PADD 5","")))))</f>
        <v/>
      </c>
      <c r="G9297" s="6">
        <f>IF(AND($H9297="ATMOS DISTILLATION",ISNUMBER(SEARCH("VPS",$I9297))=FALSE,LEFT($I9297,6)&lt;&gt;"VACUUM"),"CDU",IF($H9297="FLUID CAT CRACKING","FCC",IF(OR($H9297="HYDROCRACKING",$H9297="RESID_HYDROCRACKING"),"Hydrocracker",IF($H9297="REFORMING","Reformer",""))))</f>
        <v/>
      </c>
    </row>
    <row r="9298" spans="6:7">
      <c r="F9298" s="6">
        <f>IF($M9298="PADD I","PADD 1",IF($M9298="PADD II","PADD 2",IF($M9298="PADD III","PADD 3",IF($M9298="PADD IV","PADD 4",IF($M9298="PADD V","PADD 5","")))))</f>
        <v/>
      </c>
      <c r="G9298" s="6">
        <f>IF(AND($H9298="ATMOS DISTILLATION",ISNUMBER(SEARCH("VPS",$I9298))=FALSE,LEFT($I9298,6)&lt;&gt;"VACUUM"),"CDU",IF($H9298="FLUID CAT CRACKING","FCC",IF(OR($H9298="HYDROCRACKING",$H9298="RESID_HYDROCRACKING"),"Hydrocracker",IF($H9298="REFORMING","Reformer",""))))</f>
        <v/>
      </c>
    </row>
    <row r="9299" spans="6:7">
      <c r="F9299" s="6">
        <f>IF($M9299="PADD I","PADD 1",IF($M9299="PADD II","PADD 2",IF($M9299="PADD III","PADD 3",IF($M9299="PADD IV","PADD 4",IF($M9299="PADD V","PADD 5","")))))</f>
        <v/>
      </c>
      <c r="G9299" s="6">
        <f>IF(AND($H9299="ATMOS DISTILLATION",ISNUMBER(SEARCH("VPS",$I9299))=FALSE,LEFT($I9299,6)&lt;&gt;"VACUUM"),"CDU",IF($H9299="FLUID CAT CRACKING","FCC",IF(OR($H9299="HYDROCRACKING",$H9299="RESID_HYDROCRACKING"),"Hydrocracker",IF($H9299="REFORMING","Reformer",""))))</f>
        <v/>
      </c>
    </row>
    <row r="9300" spans="6:7">
      <c r="F9300" s="6">
        <f>IF($M9300="PADD I","PADD 1",IF($M9300="PADD II","PADD 2",IF($M9300="PADD III","PADD 3",IF($M9300="PADD IV","PADD 4",IF($M9300="PADD V","PADD 5","")))))</f>
        <v/>
      </c>
      <c r="G9300" s="6">
        <f>IF(AND($H9300="ATMOS DISTILLATION",ISNUMBER(SEARCH("VPS",$I9300))=FALSE,LEFT($I9300,6)&lt;&gt;"VACUUM"),"CDU",IF($H9300="FLUID CAT CRACKING","FCC",IF(OR($H9300="HYDROCRACKING",$H9300="RESID_HYDROCRACKING"),"Hydrocracker",IF($H9300="REFORMING","Reformer",""))))</f>
        <v/>
      </c>
    </row>
    <row r="9301" spans="6:7">
      <c r="F9301" s="6">
        <f>IF($M9301="PADD I","PADD 1",IF($M9301="PADD II","PADD 2",IF($M9301="PADD III","PADD 3",IF($M9301="PADD IV","PADD 4",IF($M9301="PADD V","PADD 5","")))))</f>
        <v/>
      </c>
      <c r="G9301" s="6">
        <f>IF(AND($H9301="ATMOS DISTILLATION",ISNUMBER(SEARCH("VPS",$I9301))=FALSE,LEFT($I9301,6)&lt;&gt;"VACUUM"),"CDU",IF($H9301="FLUID CAT CRACKING","FCC",IF(OR($H9301="HYDROCRACKING",$H9301="RESID_HYDROCRACKING"),"Hydrocracker",IF($H9301="REFORMING","Reformer",""))))</f>
        <v/>
      </c>
    </row>
    <row r="9302" spans="6:7">
      <c r="F9302" s="6">
        <f>IF($M9302="PADD I","PADD 1",IF($M9302="PADD II","PADD 2",IF($M9302="PADD III","PADD 3",IF($M9302="PADD IV","PADD 4",IF($M9302="PADD V","PADD 5","")))))</f>
        <v/>
      </c>
      <c r="G9302" s="6">
        <f>IF(AND($H9302="ATMOS DISTILLATION",ISNUMBER(SEARCH("VPS",$I9302))=FALSE,LEFT($I9302,6)&lt;&gt;"VACUUM"),"CDU",IF($H9302="FLUID CAT CRACKING","FCC",IF(OR($H9302="HYDROCRACKING",$H9302="RESID_HYDROCRACKING"),"Hydrocracker",IF($H9302="REFORMING","Reformer",""))))</f>
        <v/>
      </c>
    </row>
    <row r="9303" spans="6:7">
      <c r="F9303" s="6">
        <f>IF($M9303="PADD I","PADD 1",IF($M9303="PADD II","PADD 2",IF($M9303="PADD III","PADD 3",IF($M9303="PADD IV","PADD 4",IF($M9303="PADD V","PADD 5","")))))</f>
        <v/>
      </c>
      <c r="G9303" s="6">
        <f>IF(AND($H9303="ATMOS DISTILLATION",ISNUMBER(SEARCH("VPS",$I9303))=FALSE,LEFT($I9303,6)&lt;&gt;"VACUUM"),"CDU",IF($H9303="FLUID CAT CRACKING","FCC",IF(OR($H9303="HYDROCRACKING",$H9303="RESID_HYDROCRACKING"),"Hydrocracker",IF($H9303="REFORMING","Reformer",""))))</f>
        <v/>
      </c>
    </row>
    <row r="9304" spans="6:7">
      <c r="F9304" s="6">
        <f>IF($M9304="PADD I","PADD 1",IF($M9304="PADD II","PADD 2",IF($M9304="PADD III","PADD 3",IF($M9304="PADD IV","PADD 4",IF($M9304="PADD V","PADD 5","")))))</f>
        <v/>
      </c>
      <c r="G9304" s="6">
        <f>IF(AND($H9304="ATMOS DISTILLATION",ISNUMBER(SEARCH("VPS",$I9304))=FALSE,LEFT($I9304,6)&lt;&gt;"VACUUM"),"CDU",IF($H9304="FLUID CAT CRACKING","FCC",IF(OR($H9304="HYDROCRACKING",$H9304="RESID_HYDROCRACKING"),"Hydrocracker",IF($H9304="REFORMING","Reformer",""))))</f>
        <v/>
      </c>
    </row>
    <row r="9305" spans="6:7">
      <c r="F9305" s="6">
        <f>IF($M9305="PADD I","PADD 1",IF($M9305="PADD II","PADD 2",IF($M9305="PADD III","PADD 3",IF($M9305="PADD IV","PADD 4",IF($M9305="PADD V","PADD 5","")))))</f>
        <v/>
      </c>
      <c r="G9305" s="6">
        <f>IF(AND($H9305="ATMOS DISTILLATION",ISNUMBER(SEARCH("VPS",$I9305))=FALSE,LEFT($I9305,6)&lt;&gt;"VACUUM"),"CDU",IF($H9305="FLUID CAT CRACKING","FCC",IF(OR($H9305="HYDROCRACKING",$H9305="RESID_HYDROCRACKING"),"Hydrocracker",IF($H9305="REFORMING","Reformer",""))))</f>
        <v/>
      </c>
    </row>
    <row r="9306" spans="6:7">
      <c r="F9306" s="6">
        <f>IF($M9306="PADD I","PADD 1",IF($M9306="PADD II","PADD 2",IF($M9306="PADD III","PADD 3",IF($M9306="PADD IV","PADD 4",IF($M9306="PADD V","PADD 5","")))))</f>
        <v/>
      </c>
      <c r="G9306" s="6">
        <f>IF(AND($H9306="ATMOS DISTILLATION",ISNUMBER(SEARCH("VPS",$I9306))=FALSE,LEFT($I9306,6)&lt;&gt;"VACUUM"),"CDU",IF($H9306="FLUID CAT CRACKING","FCC",IF(OR($H9306="HYDROCRACKING",$H9306="RESID_HYDROCRACKING"),"Hydrocracker",IF($H9306="REFORMING","Reformer",""))))</f>
        <v/>
      </c>
    </row>
    <row r="9307" spans="6:7">
      <c r="F9307" s="6">
        <f>IF($M9307="PADD I","PADD 1",IF($M9307="PADD II","PADD 2",IF($M9307="PADD III","PADD 3",IF($M9307="PADD IV","PADD 4",IF($M9307="PADD V","PADD 5","")))))</f>
        <v/>
      </c>
      <c r="G9307" s="6">
        <f>IF(AND($H9307="ATMOS DISTILLATION",ISNUMBER(SEARCH("VPS",$I9307))=FALSE,LEFT($I9307,6)&lt;&gt;"VACUUM"),"CDU",IF($H9307="FLUID CAT CRACKING","FCC",IF(OR($H9307="HYDROCRACKING",$H9307="RESID_HYDROCRACKING"),"Hydrocracker",IF($H9307="REFORMING","Reformer",""))))</f>
        <v/>
      </c>
    </row>
    <row r="9308" spans="6:7">
      <c r="F9308" s="6">
        <f>IF($M9308="PADD I","PADD 1",IF($M9308="PADD II","PADD 2",IF($M9308="PADD III","PADD 3",IF($M9308="PADD IV","PADD 4",IF($M9308="PADD V","PADD 5","")))))</f>
        <v/>
      </c>
      <c r="G9308" s="6">
        <f>IF(AND($H9308="ATMOS DISTILLATION",ISNUMBER(SEARCH("VPS",$I9308))=FALSE,LEFT($I9308,6)&lt;&gt;"VACUUM"),"CDU",IF($H9308="FLUID CAT CRACKING","FCC",IF(OR($H9308="HYDROCRACKING",$H9308="RESID_HYDROCRACKING"),"Hydrocracker",IF($H9308="REFORMING","Reformer",""))))</f>
        <v/>
      </c>
    </row>
    <row r="9309" spans="6:7">
      <c r="F9309" s="6">
        <f>IF($M9309="PADD I","PADD 1",IF($M9309="PADD II","PADD 2",IF($M9309="PADD III","PADD 3",IF($M9309="PADD IV","PADD 4",IF($M9309="PADD V","PADD 5","")))))</f>
        <v/>
      </c>
      <c r="G9309" s="6">
        <f>IF(AND($H9309="ATMOS DISTILLATION",ISNUMBER(SEARCH("VPS",$I9309))=FALSE,LEFT($I9309,6)&lt;&gt;"VACUUM"),"CDU",IF($H9309="FLUID CAT CRACKING","FCC",IF(OR($H9309="HYDROCRACKING",$H9309="RESID_HYDROCRACKING"),"Hydrocracker",IF($H9309="REFORMING","Reformer",""))))</f>
        <v/>
      </c>
    </row>
    <row r="9310" spans="6:7">
      <c r="F9310" s="6">
        <f>IF($M9310="PADD I","PADD 1",IF($M9310="PADD II","PADD 2",IF($M9310="PADD III","PADD 3",IF($M9310="PADD IV","PADD 4",IF($M9310="PADD V","PADD 5","")))))</f>
        <v/>
      </c>
      <c r="G9310" s="6">
        <f>IF(AND($H9310="ATMOS DISTILLATION",ISNUMBER(SEARCH("VPS",$I9310))=FALSE,LEFT($I9310,6)&lt;&gt;"VACUUM"),"CDU",IF($H9310="FLUID CAT CRACKING","FCC",IF(OR($H9310="HYDROCRACKING",$H9310="RESID_HYDROCRACKING"),"Hydrocracker",IF($H9310="REFORMING","Reformer",""))))</f>
        <v/>
      </c>
    </row>
    <row r="9311" spans="6:7">
      <c r="F9311" s="6">
        <f>IF($M9311="PADD I","PADD 1",IF($M9311="PADD II","PADD 2",IF($M9311="PADD III","PADD 3",IF($M9311="PADD IV","PADD 4",IF($M9311="PADD V","PADD 5","")))))</f>
        <v/>
      </c>
      <c r="G9311" s="6">
        <f>IF(AND($H9311="ATMOS DISTILLATION",ISNUMBER(SEARCH("VPS",$I9311))=FALSE,LEFT($I9311,6)&lt;&gt;"VACUUM"),"CDU",IF($H9311="FLUID CAT CRACKING","FCC",IF(OR($H9311="HYDROCRACKING",$H9311="RESID_HYDROCRACKING"),"Hydrocracker",IF($H9311="REFORMING","Reformer",""))))</f>
        <v/>
      </c>
    </row>
    <row r="9312" spans="6:7">
      <c r="F9312" s="6">
        <f>IF($M9312="PADD I","PADD 1",IF($M9312="PADD II","PADD 2",IF($M9312="PADD III","PADD 3",IF($M9312="PADD IV","PADD 4",IF($M9312="PADD V","PADD 5","")))))</f>
        <v/>
      </c>
      <c r="G9312" s="6">
        <f>IF(AND($H9312="ATMOS DISTILLATION",ISNUMBER(SEARCH("VPS",$I9312))=FALSE,LEFT($I9312,6)&lt;&gt;"VACUUM"),"CDU",IF($H9312="FLUID CAT CRACKING","FCC",IF(OR($H9312="HYDROCRACKING",$H9312="RESID_HYDROCRACKING"),"Hydrocracker",IF($H9312="REFORMING","Reformer",""))))</f>
        <v/>
      </c>
    </row>
    <row r="9313" spans="6:7">
      <c r="F9313" s="6">
        <f>IF($M9313="PADD I","PADD 1",IF($M9313="PADD II","PADD 2",IF($M9313="PADD III","PADD 3",IF($M9313="PADD IV","PADD 4",IF($M9313="PADD V","PADD 5","")))))</f>
        <v/>
      </c>
      <c r="G9313" s="6">
        <f>IF(AND($H9313="ATMOS DISTILLATION",ISNUMBER(SEARCH("VPS",$I9313))=FALSE,LEFT($I9313,6)&lt;&gt;"VACUUM"),"CDU",IF($H9313="FLUID CAT CRACKING","FCC",IF(OR($H9313="HYDROCRACKING",$H9313="RESID_HYDROCRACKING"),"Hydrocracker",IF($H9313="REFORMING","Reformer",""))))</f>
        <v/>
      </c>
    </row>
    <row r="9314" spans="6:7">
      <c r="F9314" s="6">
        <f>IF($M9314="PADD I","PADD 1",IF($M9314="PADD II","PADD 2",IF($M9314="PADD III","PADD 3",IF($M9314="PADD IV","PADD 4",IF($M9314="PADD V","PADD 5","")))))</f>
        <v/>
      </c>
      <c r="G9314" s="6">
        <f>IF(AND($H9314="ATMOS DISTILLATION",ISNUMBER(SEARCH("VPS",$I9314))=FALSE,LEFT($I9314,6)&lt;&gt;"VACUUM"),"CDU",IF($H9314="FLUID CAT CRACKING","FCC",IF(OR($H9314="HYDROCRACKING",$H9314="RESID_HYDROCRACKING"),"Hydrocracker",IF($H9314="REFORMING","Reformer",""))))</f>
        <v/>
      </c>
    </row>
    <row r="9315" spans="6:7">
      <c r="F9315" s="6">
        <f>IF($M9315="PADD I","PADD 1",IF($M9315="PADD II","PADD 2",IF($M9315="PADD III","PADD 3",IF($M9315="PADD IV","PADD 4",IF($M9315="PADD V","PADD 5","")))))</f>
        <v/>
      </c>
      <c r="G9315" s="6">
        <f>IF(AND($H9315="ATMOS DISTILLATION",ISNUMBER(SEARCH("VPS",$I9315))=FALSE,LEFT($I9315,6)&lt;&gt;"VACUUM"),"CDU",IF($H9315="FLUID CAT CRACKING","FCC",IF(OR($H9315="HYDROCRACKING",$H9315="RESID_HYDROCRACKING"),"Hydrocracker",IF($H9315="REFORMING","Reformer",""))))</f>
        <v/>
      </c>
    </row>
    <row r="9316" spans="6:7">
      <c r="F9316" s="6">
        <f>IF($M9316="PADD I","PADD 1",IF($M9316="PADD II","PADD 2",IF($M9316="PADD III","PADD 3",IF($M9316="PADD IV","PADD 4",IF($M9316="PADD V","PADD 5","")))))</f>
        <v/>
      </c>
      <c r="G9316" s="6">
        <f>IF(AND($H9316="ATMOS DISTILLATION",ISNUMBER(SEARCH("VPS",$I9316))=FALSE,LEFT($I9316,6)&lt;&gt;"VACUUM"),"CDU",IF($H9316="FLUID CAT CRACKING","FCC",IF(OR($H9316="HYDROCRACKING",$H9316="RESID_HYDROCRACKING"),"Hydrocracker",IF($H9316="REFORMING","Reformer",""))))</f>
        <v/>
      </c>
    </row>
    <row r="9317" spans="6:7">
      <c r="F9317" s="6">
        <f>IF($M9317="PADD I","PADD 1",IF($M9317="PADD II","PADD 2",IF($M9317="PADD III","PADD 3",IF($M9317="PADD IV","PADD 4",IF($M9317="PADD V","PADD 5","")))))</f>
        <v/>
      </c>
      <c r="G9317" s="6">
        <f>IF(AND($H9317="ATMOS DISTILLATION",ISNUMBER(SEARCH("VPS",$I9317))=FALSE,LEFT($I9317,6)&lt;&gt;"VACUUM"),"CDU",IF($H9317="FLUID CAT CRACKING","FCC",IF(OR($H9317="HYDROCRACKING",$H9317="RESID_HYDROCRACKING"),"Hydrocracker",IF($H9317="REFORMING","Reformer",""))))</f>
        <v/>
      </c>
    </row>
    <row r="9318" spans="6:7">
      <c r="F9318" s="6">
        <f>IF($M9318="PADD I","PADD 1",IF($M9318="PADD II","PADD 2",IF($M9318="PADD III","PADD 3",IF($M9318="PADD IV","PADD 4",IF($M9318="PADD V","PADD 5","")))))</f>
        <v/>
      </c>
      <c r="G9318" s="6">
        <f>IF(AND($H9318="ATMOS DISTILLATION",ISNUMBER(SEARCH("VPS",$I9318))=FALSE,LEFT($I9318,6)&lt;&gt;"VACUUM"),"CDU",IF($H9318="FLUID CAT CRACKING","FCC",IF(OR($H9318="HYDROCRACKING",$H9318="RESID_HYDROCRACKING"),"Hydrocracker",IF($H9318="REFORMING","Reformer",""))))</f>
        <v/>
      </c>
    </row>
    <row r="9319" spans="6:7">
      <c r="F9319" s="6">
        <f>IF($M9319="PADD I","PADD 1",IF($M9319="PADD II","PADD 2",IF($M9319="PADD III","PADD 3",IF($M9319="PADD IV","PADD 4",IF($M9319="PADD V","PADD 5","")))))</f>
        <v/>
      </c>
      <c r="G9319" s="6">
        <f>IF(AND($H9319="ATMOS DISTILLATION",ISNUMBER(SEARCH("VPS",$I9319))=FALSE,LEFT($I9319,6)&lt;&gt;"VACUUM"),"CDU",IF($H9319="FLUID CAT CRACKING","FCC",IF(OR($H9319="HYDROCRACKING",$H9319="RESID_HYDROCRACKING"),"Hydrocracker",IF($H9319="REFORMING","Reformer",""))))</f>
        <v/>
      </c>
    </row>
    <row r="9320" spans="6:7">
      <c r="F9320" s="6">
        <f>IF($M9320="PADD I","PADD 1",IF($M9320="PADD II","PADD 2",IF($M9320="PADD III","PADD 3",IF($M9320="PADD IV","PADD 4",IF($M9320="PADD V","PADD 5","")))))</f>
        <v/>
      </c>
      <c r="G9320" s="6">
        <f>IF(AND($H9320="ATMOS DISTILLATION",ISNUMBER(SEARCH("VPS",$I9320))=FALSE,LEFT($I9320,6)&lt;&gt;"VACUUM"),"CDU",IF($H9320="FLUID CAT CRACKING","FCC",IF(OR($H9320="HYDROCRACKING",$H9320="RESID_HYDROCRACKING"),"Hydrocracker",IF($H9320="REFORMING","Reformer",""))))</f>
        <v/>
      </c>
    </row>
    <row r="9321" spans="6:7">
      <c r="F9321" s="6">
        <f>IF($M9321="PADD I","PADD 1",IF($M9321="PADD II","PADD 2",IF($M9321="PADD III","PADD 3",IF($M9321="PADD IV","PADD 4",IF($M9321="PADD V","PADD 5","")))))</f>
        <v/>
      </c>
      <c r="G9321" s="6">
        <f>IF(AND($H9321="ATMOS DISTILLATION",ISNUMBER(SEARCH("VPS",$I9321))=FALSE,LEFT($I9321,6)&lt;&gt;"VACUUM"),"CDU",IF($H9321="FLUID CAT CRACKING","FCC",IF(OR($H9321="HYDROCRACKING",$H9321="RESID_HYDROCRACKING"),"Hydrocracker",IF($H9321="REFORMING","Reformer",""))))</f>
        <v/>
      </c>
    </row>
    <row r="9322" spans="6:7">
      <c r="F9322" s="6">
        <f>IF($M9322="PADD I","PADD 1",IF($M9322="PADD II","PADD 2",IF($M9322="PADD III","PADD 3",IF($M9322="PADD IV","PADD 4",IF($M9322="PADD V","PADD 5","")))))</f>
        <v/>
      </c>
      <c r="G9322" s="6">
        <f>IF(AND($H9322="ATMOS DISTILLATION",ISNUMBER(SEARCH("VPS",$I9322))=FALSE,LEFT($I9322,6)&lt;&gt;"VACUUM"),"CDU",IF($H9322="FLUID CAT CRACKING","FCC",IF(OR($H9322="HYDROCRACKING",$H9322="RESID_HYDROCRACKING"),"Hydrocracker",IF($H9322="REFORMING","Reformer",""))))</f>
        <v/>
      </c>
    </row>
    <row r="9323" spans="6:7">
      <c r="F9323" s="6">
        <f>IF($M9323="PADD I","PADD 1",IF($M9323="PADD II","PADD 2",IF($M9323="PADD III","PADD 3",IF($M9323="PADD IV","PADD 4",IF($M9323="PADD V","PADD 5","")))))</f>
        <v/>
      </c>
      <c r="G9323" s="6">
        <f>IF(AND($H9323="ATMOS DISTILLATION",ISNUMBER(SEARCH("VPS",$I9323))=FALSE,LEFT($I9323,6)&lt;&gt;"VACUUM"),"CDU",IF($H9323="FLUID CAT CRACKING","FCC",IF(OR($H9323="HYDROCRACKING",$H9323="RESID_HYDROCRACKING"),"Hydrocracker",IF($H9323="REFORMING","Reformer",""))))</f>
        <v/>
      </c>
    </row>
    <row r="9324" spans="6:7">
      <c r="F9324" s="6">
        <f>IF($M9324="PADD I","PADD 1",IF($M9324="PADD II","PADD 2",IF($M9324="PADD III","PADD 3",IF($M9324="PADD IV","PADD 4",IF($M9324="PADD V","PADD 5","")))))</f>
        <v/>
      </c>
      <c r="G9324" s="6">
        <f>IF(AND($H9324="ATMOS DISTILLATION",ISNUMBER(SEARCH("VPS",$I9324))=FALSE,LEFT($I9324,6)&lt;&gt;"VACUUM"),"CDU",IF($H9324="FLUID CAT CRACKING","FCC",IF(OR($H9324="HYDROCRACKING",$H9324="RESID_HYDROCRACKING"),"Hydrocracker",IF($H9324="REFORMING","Reformer",""))))</f>
        <v/>
      </c>
    </row>
    <row r="9325" spans="6:7">
      <c r="F9325" s="6">
        <f>IF($M9325="PADD I","PADD 1",IF($M9325="PADD II","PADD 2",IF($M9325="PADD III","PADD 3",IF($M9325="PADD IV","PADD 4",IF($M9325="PADD V","PADD 5","")))))</f>
        <v/>
      </c>
      <c r="G9325" s="6">
        <f>IF(AND($H9325="ATMOS DISTILLATION",ISNUMBER(SEARCH("VPS",$I9325))=FALSE,LEFT($I9325,6)&lt;&gt;"VACUUM"),"CDU",IF($H9325="FLUID CAT CRACKING","FCC",IF(OR($H9325="HYDROCRACKING",$H9325="RESID_HYDROCRACKING"),"Hydrocracker",IF($H9325="REFORMING","Reformer",""))))</f>
        <v/>
      </c>
    </row>
    <row r="9326" spans="6:7">
      <c r="F9326" s="6">
        <f>IF($M9326="PADD I","PADD 1",IF($M9326="PADD II","PADD 2",IF($M9326="PADD III","PADD 3",IF($M9326="PADD IV","PADD 4",IF($M9326="PADD V","PADD 5","")))))</f>
        <v/>
      </c>
      <c r="G9326" s="6">
        <f>IF(AND($H9326="ATMOS DISTILLATION",ISNUMBER(SEARCH("VPS",$I9326))=FALSE,LEFT($I9326,6)&lt;&gt;"VACUUM"),"CDU",IF($H9326="FLUID CAT CRACKING","FCC",IF(OR($H9326="HYDROCRACKING",$H9326="RESID_HYDROCRACKING"),"Hydrocracker",IF($H9326="REFORMING","Reformer",""))))</f>
        <v/>
      </c>
    </row>
    <row r="9327" spans="6:7">
      <c r="F9327" s="6">
        <f>IF($M9327="PADD I","PADD 1",IF($M9327="PADD II","PADD 2",IF($M9327="PADD III","PADD 3",IF($M9327="PADD IV","PADD 4",IF($M9327="PADD V","PADD 5","")))))</f>
        <v/>
      </c>
      <c r="G9327" s="6">
        <f>IF(AND($H9327="ATMOS DISTILLATION",ISNUMBER(SEARCH("VPS",$I9327))=FALSE,LEFT($I9327,6)&lt;&gt;"VACUUM"),"CDU",IF($H9327="FLUID CAT CRACKING","FCC",IF(OR($H9327="HYDROCRACKING",$H9327="RESID_HYDROCRACKING"),"Hydrocracker",IF($H9327="REFORMING","Reformer",""))))</f>
        <v/>
      </c>
    </row>
    <row r="9328" spans="6:7">
      <c r="F9328" s="6">
        <f>IF($M9328="PADD I","PADD 1",IF($M9328="PADD II","PADD 2",IF($M9328="PADD III","PADD 3",IF($M9328="PADD IV","PADD 4",IF($M9328="PADD V","PADD 5","")))))</f>
        <v/>
      </c>
      <c r="G9328" s="6">
        <f>IF(AND($H9328="ATMOS DISTILLATION",ISNUMBER(SEARCH("VPS",$I9328))=FALSE,LEFT($I9328,6)&lt;&gt;"VACUUM"),"CDU",IF($H9328="FLUID CAT CRACKING","FCC",IF(OR($H9328="HYDROCRACKING",$H9328="RESID_HYDROCRACKING"),"Hydrocracker",IF($H9328="REFORMING","Reformer",""))))</f>
        <v/>
      </c>
    </row>
    <row r="9329" spans="6:7">
      <c r="F9329" s="6">
        <f>IF($M9329="PADD I","PADD 1",IF($M9329="PADD II","PADD 2",IF($M9329="PADD III","PADD 3",IF($M9329="PADD IV","PADD 4",IF($M9329="PADD V","PADD 5","")))))</f>
        <v/>
      </c>
      <c r="G9329" s="6">
        <f>IF(AND($H9329="ATMOS DISTILLATION",ISNUMBER(SEARCH("VPS",$I9329))=FALSE,LEFT($I9329,6)&lt;&gt;"VACUUM"),"CDU",IF($H9329="FLUID CAT CRACKING","FCC",IF(OR($H9329="HYDROCRACKING",$H9329="RESID_HYDROCRACKING"),"Hydrocracker",IF($H9329="REFORMING","Reformer",""))))</f>
        <v/>
      </c>
    </row>
    <row r="9330" spans="6:7">
      <c r="F9330" s="6">
        <f>IF($M9330="PADD I","PADD 1",IF($M9330="PADD II","PADD 2",IF($M9330="PADD III","PADD 3",IF($M9330="PADD IV","PADD 4",IF($M9330="PADD V","PADD 5","")))))</f>
        <v/>
      </c>
      <c r="G9330" s="6">
        <f>IF(AND($H9330="ATMOS DISTILLATION",ISNUMBER(SEARCH("VPS",$I9330))=FALSE,LEFT($I9330,6)&lt;&gt;"VACUUM"),"CDU",IF($H9330="FLUID CAT CRACKING","FCC",IF(OR($H9330="HYDROCRACKING",$H9330="RESID_HYDROCRACKING"),"Hydrocracker",IF($H9330="REFORMING","Reformer",""))))</f>
        <v/>
      </c>
    </row>
    <row r="9331" spans="6:7">
      <c r="F9331" s="6">
        <f>IF($M9331="PADD I","PADD 1",IF($M9331="PADD II","PADD 2",IF($M9331="PADD III","PADD 3",IF($M9331="PADD IV","PADD 4",IF($M9331="PADD V","PADD 5","")))))</f>
        <v/>
      </c>
      <c r="G9331" s="6">
        <f>IF(AND($H9331="ATMOS DISTILLATION",ISNUMBER(SEARCH("VPS",$I9331))=FALSE,LEFT($I9331,6)&lt;&gt;"VACUUM"),"CDU",IF($H9331="FLUID CAT CRACKING","FCC",IF(OR($H9331="HYDROCRACKING",$H9331="RESID_HYDROCRACKING"),"Hydrocracker",IF($H9331="REFORMING","Reformer",""))))</f>
        <v/>
      </c>
    </row>
    <row r="9332" spans="6:7">
      <c r="F9332" s="6">
        <f>IF($M9332="PADD I","PADD 1",IF($M9332="PADD II","PADD 2",IF($M9332="PADD III","PADD 3",IF($M9332="PADD IV","PADD 4",IF($M9332="PADD V","PADD 5","")))))</f>
        <v/>
      </c>
      <c r="G9332" s="6">
        <f>IF(AND($H9332="ATMOS DISTILLATION",ISNUMBER(SEARCH("VPS",$I9332))=FALSE,LEFT($I9332,6)&lt;&gt;"VACUUM"),"CDU",IF($H9332="FLUID CAT CRACKING","FCC",IF(OR($H9332="HYDROCRACKING",$H9332="RESID_HYDROCRACKING"),"Hydrocracker",IF($H9332="REFORMING","Reformer",""))))</f>
        <v/>
      </c>
    </row>
    <row r="9333" spans="6:7">
      <c r="F9333" s="6">
        <f>IF($M9333="PADD I","PADD 1",IF($M9333="PADD II","PADD 2",IF($M9333="PADD III","PADD 3",IF($M9333="PADD IV","PADD 4",IF($M9333="PADD V","PADD 5","")))))</f>
        <v/>
      </c>
      <c r="G9333" s="6">
        <f>IF(AND($H9333="ATMOS DISTILLATION",ISNUMBER(SEARCH("VPS",$I9333))=FALSE,LEFT($I9333,6)&lt;&gt;"VACUUM"),"CDU",IF($H9333="FLUID CAT CRACKING","FCC",IF(OR($H9333="HYDROCRACKING",$H9333="RESID_HYDROCRACKING"),"Hydrocracker",IF($H9333="REFORMING","Reformer",""))))</f>
        <v/>
      </c>
    </row>
    <row r="9334" spans="6:7">
      <c r="F9334" s="6">
        <f>IF($M9334="PADD I","PADD 1",IF($M9334="PADD II","PADD 2",IF($M9334="PADD III","PADD 3",IF($M9334="PADD IV","PADD 4",IF($M9334="PADD V","PADD 5","")))))</f>
        <v/>
      </c>
      <c r="G9334" s="6">
        <f>IF(AND($H9334="ATMOS DISTILLATION",ISNUMBER(SEARCH("VPS",$I9334))=FALSE,LEFT($I9334,6)&lt;&gt;"VACUUM"),"CDU",IF($H9334="FLUID CAT CRACKING","FCC",IF(OR($H9334="HYDROCRACKING",$H9334="RESID_HYDROCRACKING"),"Hydrocracker",IF($H9334="REFORMING","Reformer",""))))</f>
        <v/>
      </c>
    </row>
    <row r="9335" spans="6:7">
      <c r="F9335" s="6">
        <f>IF($M9335="PADD I","PADD 1",IF($M9335="PADD II","PADD 2",IF($M9335="PADD III","PADD 3",IF($M9335="PADD IV","PADD 4",IF($M9335="PADD V","PADD 5","")))))</f>
        <v/>
      </c>
      <c r="G9335" s="6">
        <f>IF(AND($H9335="ATMOS DISTILLATION",ISNUMBER(SEARCH("VPS",$I9335))=FALSE,LEFT($I9335,6)&lt;&gt;"VACUUM"),"CDU",IF($H9335="FLUID CAT CRACKING","FCC",IF(OR($H9335="HYDROCRACKING",$H9335="RESID_HYDROCRACKING"),"Hydrocracker",IF($H9335="REFORMING","Reformer",""))))</f>
        <v/>
      </c>
    </row>
    <row r="9336" spans="6:7">
      <c r="F9336" s="6">
        <f>IF($M9336="PADD I","PADD 1",IF($M9336="PADD II","PADD 2",IF($M9336="PADD III","PADD 3",IF($M9336="PADD IV","PADD 4",IF($M9336="PADD V","PADD 5","")))))</f>
        <v/>
      </c>
      <c r="G9336" s="6">
        <f>IF(AND($H9336="ATMOS DISTILLATION",ISNUMBER(SEARCH("VPS",$I9336))=FALSE,LEFT($I9336,6)&lt;&gt;"VACUUM"),"CDU",IF($H9336="FLUID CAT CRACKING","FCC",IF(OR($H9336="HYDROCRACKING",$H9336="RESID_HYDROCRACKING"),"Hydrocracker",IF($H9336="REFORMING","Reformer",""))))</f>
        <v/>
      </c>
    </row>
    <row r="9337" spans="6:7">
      <c r="F9337" s="6">
        <f>IF($M9337="PADD I","PADD 1",IF($M9337="PADD II","PADD 2",IF($M9337="PADD III","PADD 3",IF($M9337="PADD IV","PADD 4",IF($M9337="PADD V","PADD 5","")))))</f>
        <v/>
      </c>
      <c r="G9337" s="6">
        <f>IF(AND($H9337="ATMOS DISTILLATION",ISNUMBER(SEARCH("VPS",$I9337))=FALSE,LEFT($I9337,6)&lt;&gt;"VACUUM"),"CDU",IF($H9337="FLUID CAT CRACKING","FCC",IF(OR($H9337="HYDROCRACKING",$H9337="RESID_HYDROCRACKING"),"Hydrocracker",IF($H9337="REFORMING","Reformer",""))))</f>
        <v/>
      </c>
    </row>
    <row r="9338" spans="6:7">
      <c r="F9338" s="6">
        <f>IF($M9338="PADD I","PADD 1",IF($M9338="PADD II","PADD 2",IF($M9338="PADD III","PADD 3",IF($M9338="PADD IV","PADD 4",IF($M9338="PADD V","PADD 5","")))))</f>
        <v/>
      </c>
      <c r="G9338" s="6">
        <f>IF(AND($H9338="ATMOS DISTILLATION",ISNUMBER(SEARCH("VPS",$I9338))=FALSE,LEFT($I9338,6)&lt;&gt;"VACUUM"),"CDU",IF($H9338="FLUID CAT CRACKING","FCC",IF(OR($H9338="HYDROCRACKING",$H9338="RESID_HYDROCRACKING"),"Hydrocracker",IF($H9338="REFORMING","Reformer",""))))</f>
        <v/>
      </c>
    </row>
    <row r="9339" spans="6:7">
      <c r="F9339" s="6">
        <f>IF($M9339="PADD I","PADD 1",IF($M9339="PADD II","PADD 2",IF($M9339="PADD III","PADD 3",IF($M9339="PADD IV","PADD 4",IF($M9339="PADD V","PADD 5","")))))</f>
        <v/>
      </c>
      <c r="G9339" s="6">
        <f>IF(AND($H9339="ATMOS DISTILLATION",ISNUMBER(SEARCH("VPS",$I9339))=FALSE,LEFT($I9339,6)&lt;&gt;"VACUUM"),"CDU",IF($H9339="FLUID CAT CRACKING","FCC",IF(OR($H9339="HYDROCRACKING",$H9339="RESID_HYDROCRACKING"),"Hydrocracker",IF($H9339="REFORMING","Reformer",""))))</f>
        <v/>
      </c>
    </row>
    <row r="9340" spans="6:7">
      <c r="F9340" s="6">
        <f>IF($M9340="PADD I","PADD 1",IF($M9340="PADD II","PADD 2",IF($M9340="PADD III","PADD 3",IF($M9340="PADD IV","PADD 4",IF($M9340="PADD V","PADD 5","")))))</f>
        <v/>
      </c>
      <c r="G9340" s="6">
        <f>IF(AND($H9340="ATMOS DISTILLATION",ISNUMBER(SEARCH("VPS",$I9340))=FALSE,LEFT($I9340,6)&lt;&gt;"VACUUM"),"CDU",IF($H9340="FLUID CAT CRACKING","FCC",IF(OR($H9340="HYDROCRACKING",$H9340="RESID_HYDROCRACKING"),"Hydrocracker",IF($H9340="REFORMING","Reformer",""))))</f>
        <v/>
      </c>
    </row>
    <row r="9341" spans="6:7">
      <c r="F9341" s="6">
        <f>IF($M9341="PADD I","PADD 1",IF($M9341="PADD II","PADD 2",IF($M9341="PADD III","PADD 3",IF($M9341="PADD IV","PADD 4",IF($M9341="PADD V","PADD 5","")))))</f>
        <v/>
      </c>
      <c r="G9341" s="6">
        <f>IF(AND($H9341="ATMOS DISTILLATION",ISNUMBER(SEARCH("VPS",$I9341))=FALSE,LEFT($I9341,6)&lt;&gt;"VACUUM"),"CDU",IF($H9341="FLUID CAT CRACKING","FCC",IF(OR($H9341="HYDROCRACKING",$H9341="RESID_HYDROCRACKING"),"Hydrocracker",IF($H9341="REFORMING","Reformer",""))))</f>
        <v/>
      </c>
    </row>
    <row r="9342" spans="6:7">
      <c r="F9342" s="6">
        <f>IF($M9342="PADD I","PADD 1",IF($M9342="PADD II","PADD 2",IF($M9342="PADD III","PADD 3",IF($M9342="PADD IV","PADD 4",IF($M9342="PADD V","PADD 5","")))))</f>
        <v/>
      </c>
      <c r="G9342" s="6">
        <f>IF(AND($H9342="ATMOS DISTILLATION",ISNUMBER(SEARCH("VPS",$I9342))=FALSE,LEFT($I9342,6)&lt;&gt;"VACUUM"),"CDU",IF($H9342="FLUID CAT CRACKING","FCC",IF(OR($H9342="HYDROCRACKING",$H9342="RESID_HYDROCRACKING"),"Hydrocracker",IF($H9342="REFORMING","Reformer",""))))</f>
        <v/>
      </c>
    </row>
    <row r="9343" spans="6:7">
      <c r="F9343" s="6">
        <f>IF($M9343="PADD I","PADD 1",IF($M9343="PADD II","PADD 2",IF($M9343="PADD III","PADD 3",IF($M9343="PADD IV","PADD 4",IF($M9343="PADD V","PADD 5","")))))</f>
        <v/>
      </c>
      <c r="G9343" s="6">
        <f>IF(AND($H9343="ATMOS DISTILLATION",ISNUMBER(SEARCH("VPS",$I9343))=FALSE,LEFT($I9343,6)&lt;&gt;"VACUUM"),"CDU",IF($H9343="FLUID CAT CRACKING","FCC",IF(OR($H9343="HYDROCRACKING",$H9343="RESID_HYDROCRACKING"),"Hydrocracker",IF($H9343="REFORMING","Reformer",""))))</f>
        <v/>
      </c>
    </row>
    <row r="9344" spans="6:7">
      <c r="F9344" s="6">
        <f>IF($M9344="PADD I","PADD 1",IF($M9344="PADD II","PADD 2",IF($M9344="PADD III","PADD 3",IF($M9344="PADD IV","PADD 4",IF($M9344="PADD V","PADD 5","")))))</f>
        <v/>
      </c>
      <c r="G9344" s="6">
        <f>IF(AND($H9344="ATMOS DISTILLATION",ISNUMBER(SEARCH("VPS",$I9344))=FALSE,LEFT($I9344,6)&lt;&gt;"VACUUM"),"CDU",IF($H9344="FLUID CAT CRACKING","FCC",IF(OR($H9344="HYDROCRACKING",$H9344="RESID_HYDROCRACKING"),"Hydrocracker",IF($H9344="REFORMING","Reformer",""))))</f>
        <v/>
      </c>
    </row>
    <row r="9345" spans="6:7">
      <c r="F9345" s="6">
        <f>IF($M9345="PADD I","PADD 1",IF($M9345="PADD II","PADD 2",IF($M9345="PADD III","PADD 3",IF($M9345="PADD IV","PADD 4",IF($M9345="PADD V","PADD 5","")))))</f>
        <v/>
      </c>
      <c r="G9345" s="6">
        <f>IF(AND($H9345="ATMOS DISTILLATION",ISNUMBER(SEARCH("VPS",$I9345))=FALSE,LEFT($I9345,6)&lt;&gt;"VACUUM"),"CDU",IF($H9345="FLUID CAT CRACKING","FCC",IF(OR($H9345="HYDROCRACKING",$H9345="RESID_HYDROCRACKING"),"Hydrocracker",IF($H9345="REFORMING","Reformer",""))))</f>
        <v/>
      </c>
    </row>
    <row r="9346" spans="6:7">
      <c r="F9346" s="6">
        <f>IF($M9346="PADD I","PADD 1",IF($M9346="PADD II","PADD 2",IF($M9346="PADD III","PADD 3",IF($M9346="PADD IV","PADD 4",IF($M9346="PADD V","PADD 5","")))))</f>
        <v/>
      </c>
      <c r="G9346" s="6">
        <f>IF(AND($H9346="ATMOS DISTILLATION",ISNUMBER(SEARCH("VPS",$I9346))=FALSE,LEFT($I9346,6)&lt;&gt;"VACUUM"),"CDU",IF($H9346="FLUID CAT CRACKING","FCC",IF(OR($H9346="HYDROCRACKING",$H9346="RESID_HYDROCRACKING"),"Hydrocracker",IF($H9346="REFORMING","Reformer",""))))</f>
        <v/>
      </c>
    </row>
    <row r="9347" spans="6:7">
      <c r="F9347" s="6">
        <f>IF($M9347="PADD I","PADD 1",IF($M9347="PADD II","PADD 2",IF($M9347="PADD III","PADD 3",IF($M9347="PADD IV","PADD 4",IF($M9347="PADD V","PADD 5","")))))</f>
        <v/>
      </c>
      <c r="G9347" s="6">
        <f>IF(AND($H9347="ATMOS DISTILLATION",ISNUMBER(SEARCH("VPS",$I9347))=FALSE,LEFT($I9347,6)&lt;&gt;"VACUUM"),"CDU",IF($H9347="FLUID CAT CRACKING","FCC",IF(OR($H9347="HYDROCRACKING",$H9347="RESID_HYDROCRACKING"),"Hydrocracker",IF($H9347="REFORMING","Reformer",""))))</f>
        <v/>
      </c>
    </row>
    <row r="9348" spans="6:7">
      <c r="F9348" s="6">
        <f>IF($M9348="PADD I","PADD 1",IF($M9348="PADD II","PADD 2",IF($M9348="PADD III","PADD 3",IF($M9348="PADD IV","PADD 4",IF($M9348="PADD V","PADD 5","")))))</f>
        <v/>
      </c>
      <c r="G9348" s="6">
        <f>IF(AND($H9348="ATMOS DISTILLATION",ISNUMBER(SEARCH("VPS",$I9348))=FALSE,LEFT($I9348,6)&lt;&gt;"VACUUM"),"CDU",IF($H9348="FLUID CAT CRACKING","FCC",IF(OR($H9348="HYDROCRACKING",$H9348="RESID_HYDROCRACKING"),"Hydrocracker",IF($H9348="REFORMING","Reformer",""))))</f>
        <v/>
      </c>
    </row>
    <row r="9349" spans="6:7">
      <c r="F9349" s="6">
        <f>IF($M9349="PADD I","PADD 1",IF($M9349="PADD II","PADD 2",IF($M9349="PADD III","PADD 3",IF($M9349="PADD IV","PADD 4",IF($M9349="PADD V","PADD 5","")))))</f>
        <v/>
      </c>
      <c r="G9349" s="6">
        <f>IF(AND($H9349="ATMOS DISTILLATION",ISNUMBER(SEARCH("VPS",$I9349))=FALSE,LEFT($I9349,6)&lt;&gt;"VACUUM"),"CDU",IF($H9349="FLUID CAT CRACKING","FCC",IF(OR($H9349="HYDROCRACKING",$H9349="RESID_HYDROCRACKING"),"Hydrocracker",IF($H9349="REFORMING","Reformer",""))))</f>
        <v/>
      </c>
    </row>
    <row r="9350" spans="6:7">
      <c r="F9350" s="6">
        <f>IF($M9350="PADD I","PADD 1",IF($M9350="PADD II","PADD 2",IF($M9350="PADD III","PADD 3",IF($M9350="PADD IV","PADD 4",IF($M9350="PADD V","PADD 5","")))))</f>
        <v/>
      </c>
      <c r="G9350" s="6">
        <f>IF(AND($H9350="ATMOS DISTILLATION",ISNUMBER(SEARCH("VPS",$I9350))=FALSE,LEFT($I9350,6)&lt;&gt;"VACUUM"),"CDU",IF($H9350="FLUID CAT CRACKING","FCC",IF(OR($H9350="HYDROCRACKING",$H9350="RESID_HYDROCRACKING"),"Hydrocracker",IF($H9350="REFORMING","Reformer",""))))</f>
        <v/>
      </c>
    </row>
    <row r="9351" spans="6:7">
      <c r="F9351" s="6">
        <f>IF($M9351="PADD I","PADD 1",IF($M9351="PADD II","PADD 2",IF($M9351="PADD III","PADD 3",IF($M9351="PADD IV","PADD 4",IF($M9351="PADD V","PADD 5","")))))</f>
        <v/>
      </c>
      <c r="G9351" s="6">
        <f>IF(AND($H9351="ATMOS DISTILLATION",ISNUMBER(SEARCH("VPS",$I9351))=FALSE,LEFT($I9351,6)&lt;&gt;"VACUUM"),"CDU",IF($H9351="FLUID CAT CRACKING","FCC",IF(OR($H9351="HYDROCRACKING",$H9351="RESID_HYDROCRACKING"),"Hydrocracker",IF($H9351="REFORMING","Reformer",""))))</f>
        <v/>
      </c>
    </row>
    <row r="9352" spans="6:7">
      <c r="F9352" s="6">
        <f>IF($M9352="PADD I","PADD 1",IF($M9352="PADD II","PADD 2",IF($M9352="PADD III","PADD 3",IF($M9352="PADD IV","PADD 4",IF($M9352="PADD V","PADD 5","")))))</f>
        <v/>
      </c>
      <c r="G9352" s="6">
        <f>IF(AND($H9352="ATMOS DISTILLATION",ISNUMBER(SEARCH("VPS",$I9352))=FALSE,LEFT($I9352,6)&lt;&gt;"VACUUM"),"CDU",IF($H9352="FLUID CAT CRACKING","FCC",IF(OR($H9352="HYDROCRACKING",$H9352="RESID_HYDROCRACKING"),"Hydrocracker",IF($H9352="REFORMING","Reformer",""))))</f>
        <v/>
      </c>
    </row>
    <row r="9353" spans="6:7">
      <c r="F9353" s="6">
        <f>IF($M9353="PADD I","PADD 1",IF($M9353="PADD II","PADD 2",IF($M9353="PADD III","PADD 3",IF($M9353="PADD IV","PADD 4",IF($M9353="PADD V","PADD 5","")))))</f>
        <v/>
      </c>
      <c r="G9353" s="6">
        <f>IF(AND($H9353="ATMOS DISTILLATION",ISNUMBER(SEARCH("VPS",$I9353))=FALSE,LEFT($I9353,6)&lt;&gt;"VACUUM"),"CDU",IF($H9353="FLUID CAT CRACKING","FCC",IF(OR($H9353="HYDROCRACKING",$H9353="RESID_HYDROCRACKING"),"Hydrocracker",IF($H9353="REFORMING","Reformer",""))))</f>
        <v/>
      </c>
    </row>
    <row r="9354" spans="6:7">
      <c r="F9354" s="6">
        <f>IF($M9354="PADD I","PADD 1",IF($M9354="PADD II","PADD 2",IF($M9354="PADD III","PADD 3",IF($M9354="PADD IV","PADD 4",IF($M9354="PADD V","PADD 5","")))))</f>
        <v/>
      </c>
      <c r="G9354" s="6">
        <f>IF(AND($H9354="ATMOS DISTILLATION",ISNUMBER(SEARCH("VPS",$I9354))=FALSE,LEFT($I9354,6)&lt;&gt;"VACUUM"),"CDU",IF($H9354="FLUID CAT CRACKING","FCC",IF(OR($H9354="HYDROCRACKING",$H9354="RESID_HYDROCRACKING"),"Hydrocracker",IF($H9354="REFORMING","Reformer",""))))</f>
        <v/>
      </c>
    </row>
    <row r="9355" spans="6:7">
      <c r="F9355" s="6">
        <f>IF($M9355="PADD I","PADD 1",IF($M9355="PADD II","PADD 2",IF($M9355="PADD III","PADD 3",IF($M9355="PADD IV","PADD 4",IF($M9355="PADD V","PADD 5","")))))</f>
        <v/>
      </c>
      <c r="G9355" s="6">
        <f>IF(AND($H9355="ATMOS DISTILLATION",ISNUMBER(SEARCH("VPS",$I9355))=FALSE,LEFT($I9355,6)&lt;&gt;"VACUUM"),"CDU",IF($H9355="FLUID CAT CRACKING","FCC",IF(OR($H9355="HYDROCRACKING",$H9355="RESID_HYDROCRACKING"),"Hydrocracker",IF($H9355="REFORMING","Reformer",""))))</f>
        <v/>
      </c>
    </row>
    <row r="9356" spans="6:7">
      <c r="F9356" s="6">
        <f>IF($M9356="PADD I","PADD 1",IF($M9356="PADD II","PADD 2",IF($M9356="PADD III","PADD 3",IF($M9356="PADD IV","PADD 4",IF($M9356="PADD V","PADD 5","")))))</f>
        <v/>
      </c>
      <c r="G9356" s="6">
        <f>IF(AND($H9356="ATMOS DISTILLATION",ISNUMBER(SEARCH("VPS",$I9356))=FALSE,LEFT($I9356,6)&lt;&gt;"VACUUM"),"CDU",IF($H9356="FLUID CAT CRACKING","FCC",IF(OR($H9356="HYDROCRACKING",$H9356="RESID_HYDROCRACKING"),"Hydrocracker",IF($H9356="REFORMING","Reformer",""))))</f>
        <v/>
      </c>
    </row>
    <row r="9357" spans="6:7">
      <c r="F9357" s="6">
        <f>IF($M9357="PADD I","PADD 1",IF($M9357="PADD II","PADD 2",IF($M9357="PADD III","PADD 3",IF($M9357="PADD IV","PADD 4",IF($M9357="PADD V","PADD 5","")))))</f>
        <v/>
      </c>
      <c r="G9357" s="6">
        <f>IF(AND($H9357="ATMOS DISTILLATION",ISNUMBER(SEARCH("VPS",$I9357))=FALSE,LEFT($I9357,6)&lt;&gt;"VACUUM"),"CDU",IF($H9357="FLUID CAT CRACKING","FCC",IF(OR($H9357="HYDROCRACKING",$H9357="RESID_HYDROCRACKING"),"Hydrocracker",IF($H9357="REFORMING","Reformer",""))))</f>
        <v/>
      </c>
    </row>
    <row r="9358" spans="6:7">
      <c r="F9358" s="6">
        <f>IF($M9358="PADD I","PADD 1",IF($M9358="PADD II","PADD 2",IF($M9358="PADD III","PADD 3",IF($M9358="PADD IV","PADD 4",IF($M9358="PADD V","PADD 5","")))))</f>
        <v/>
      </c>
      <c r="G9358" s="6">
        <f>IF(AND($H9358="ATMOS DISTILLATION",ISNUMBER(SEARCH("VPS",$I9358))=FALSE,LEFT($I9358,6)&lt;&gt;"VACUUM"),"CDU",IF($H9358="FLUID CAT CRACKING","FCC",IF(OR($H9358="HYDROCRACKING",$H9358="RESID_HYDROCRACKING"),"Hydrocracker",IF($H9358="REFORMING","Reformer",""))))</f>
        <v/>
      </c>
    </row>
    <row r="9359" spans="6:7">
      <c r="F9359" s="6">
        <f>IF($M9359="PADD I","PADD 1",IF($M9359="PADD II","PADD 2",IF($M9359="PADD III","PADD 3",IF($M9359="PADD IV","PADD 4",IF($M9359="PADD V","PADD 5","")))))</f>
        <v/>
      </c>
      <c r="G9359" s="6">
        <f>IF(AND($H9359="ATMOS DISTILLATION",ISNUMBER(SEARCH("VPS",$I9359))=FALSE,LEFT($I9359,6)&lt;&gt;"VACUUM"),"CDU",IF($H9359="FLUID CAT CRACKING","FCC",IF(OR($H9359="HYDROCRACKING",$H9359="RESID_HYDROCRACKING"),"Hydrocracker",IF($H9359="REFORMING","Reformer",""))))</f>
        <v/>
      </c>
    </row>
    <row r="9360" spans="6:7">
      <c r="F9360" s="6">
        <f>IF($M9360="PADD I","PADD 1",IF($M9360="PADD II","PADD 2",IF($M9360="PADD III","PADD 3",IF($M9360="PADD IV","PADD 4",IF($M9360="PADD V","PADD 5","")))))</f>
        <v/>
      </c>
      <c r="G9360" s="6">
        <f>IF(AND($H9360="ATMOS DISTILLATION",ISNUMBER(SEARCH("VPS",$I9360))=FALSE,LEFT($I9360,6)&lt;&gt;"VACUUM"),"CDU",IF($H9360="FLUID CAT CRACKING","FCC",IF(OR($H9360="HYDROCRACKING",$H9360="RESID_HYDROCRACKING"),"Hydrocracker",IF($H9360="REFORMING","Reformer",""))))</f>
        <v/>
      </c>
    </row>
    <row r="9361" spans="6:7">
      <c r="F9361" s="6">
        <f>IF($M9361="PADD I","PADD 1",IF($M9361="PADD II","PADD 2",IF($M9361="PADD III","PADD 3",IF($M9361="PADD IV","PADD 4",IF($M9361="PADD V","PADD 5","")))))</f>
        <v/>
      </c>
      <c r="G9361" s="6">
        <f>IF(AND($H9361="ATMOS DISTILLATION",ISNUMBER(SEARCH("VPS",$I9361))=FALSE,LEFT($I9361,6)&lt;&gt;"VACUUM"),"CDU",IF($H9361="FLUID CAT CRACKING","FCC",IF(OR($H9361="HYDROCRACKING",$H9361="RESID_HYDROCRACKING"),"Hydrocracker",IF($H9361="REFORMING","Reformer",""))))</f>
        <v/>
      </c>
    </row>
    <row r="9362" spans="6:7">
      <c r="F9362" s="6">
        <f>IF($M9362="PADD I","PADD 1",IF($M9362="PADD II","PADD 2",IF($M9362="PADD III","PADD 3",IF($M9362="PADD IV","PADD 4",IF($M9362="PADD V","PADD 5","")))))</f>
        <v/>
      </c>
      <c r="G9362" s="6">
        <f>IF(AND($H9362="ATMOS DISTILLATION",ISNUMBER(SEARCH("VPS",$I9362))=FALSE,LEFT($I9362,6)&lt;&gt;"VACUUM"),"CDU",IF($H9362="FLUID CAT CRACKING","FCC",IF(OR($H9362="HYDROCRACKING",$H9362="RESID_HYDROCRACKING"),"Hydrocracker",IF($H9362="REFORMING","Reformer",""))))</f>
        <v/>
      </c>
    </row>
    <row r="9363" spans="6:7">
      <c r="F9363" s="6">
        <f>IF($M9363="PADD I","PADD 1",IF($M9363="PADD II","PADD 2",IF($M9363="PADD III","PADD 3",IF($M9363="PADD IV","PADD 4",IF($M9363="PADD V","PADD 5","")))))</f>
        <v/>
      </c>
      <c r="G9363" s="6">
        <f>IF(AND($H9363="ATMOS DISTILLATION",ISNUMBER(SEARCH("VPS",$I9363))=FALSE,LEFT($I9363,6)&lt;&gt;"VACUUM"),"CDU",IF($H9363="FLUID CAT CRACKING","FCC",IF(OR($H9363="HYDROCRACKING",$H9363="RESID_HYDROCRACKING"),"Hydrocracker",IF($H9363="REFORMING","Reformer",""))))</f>
        <v/>
      </c>
    </row>
    <row r="9364" spans="6:7">
      <c r="F9364" s="6">
        <f>IF($M9364="PADD I","PADD 1",IF($M9364="PADD II","PADD 2",IF($M9364="PADD III","PADD 3",IF($M9364="PADD IV","PADD 4",IF($M9364="PADD V","PADD 5","")))))</f>
        <v/>
      </c>
      <c r="G9364" s="6">
        <f>IF(AND($H9364="ATMOS DISTILLATION",ISNUMBER(SEARCH("VPS",$I9364))=FALSE,LEFT($I9364,6)&lt;&gt;"VACUUM"),"CDU",IF($H9364="FLUID CAT CRACKING","FCC",IF(OR($H9364="HYDROCRACKING",$H9364="RESID_HYDROCRACKING"),"Hydrocracker",IF($H9364="REFORMING","Reformer",""))))</f>
        <v/>
      </c>
    </row>
    <row r="9365" spans="6:7">
      <c r="F9365" s="6">
        <f>IF($M9365="PADD I","PADD 1",IF($M9365="PADD II","PADD 2",IF($M9365="PADD III","PADD 3",IF($M9365="PADD IV","PADD 4",IF($M9365="PADD V","PADD 5","")))))</f>
        <v/>
      </c>
      <c r="G9365" s="6">
        <f>IF(AND($H9365="ATMOS DISTILLATION",ISNUMBER(SEARCH("VPS",$I9365))=FALSE,LEFT($I9365,6)&lt;&gt;"VACUUM"),"CDU",IF($H9365="FLUID CAT CRACKING","FCC",IF(OR($H9365="HYDROCRACKING",$H9365="RESID_HYDROCRACKING"),"Hydrocracker",IF($H9365="REFORMING","Reformer",""))))</f>
        <v/>
      </c>
    </row>
    <row r="9366" spans="6:7">
      <c r="F9366" s="6">
        <f>IF($M9366="PADD I","PADD 1",IF($M9366="PADD II","PADD 2",IF($M9366="PADD III","PADD 3",IF($M9366="PADD IV","PADD 4",IF($M9366="PADD V","PADD 5","")))))</f>
        <v/>
      </c>
      <c r="G9366" s="6">
        <f>IF(AND($H9366="ATMOS DISTILLATION",ISNUMBER(SEARCH("VPS",$I9366))=FALSE,LEFT($I9366,6)&lt;&gt;"VACUUM"),"CDU",IF($H9366="FLUID CAT CRACKING","FCC",IF(OR($H9366="HYDROCRACKING",$H9366="RESID_HYDROCRACKING"),"Hydrocracker",IF($H9366="REFORMING","Reformer",""))))</f>
        <v/>
      </c>
    </row>
    <row r="9367" spans="6:7">
      <c r="F9367" s="6">
        <f>IF($M9367="PADD I","PADD 1",IF($M9367="PADD II","PADD 2",IF($M9367="PADD III","PADD 3",IF($M9367="PADD IV","PADD 4",IF($M9367="PADD V","PADD 5","")))))</f>
        <v/>
      </c>
      <c r="G9367" s="6">
        <f>IF(AND($H9367="ATMOS DISTILLATION",ISNUMBER(SEARCH("VPS",$I9367))=FALSE,LEFT($I9367,6)&lt;&gt;"VACUUM"),"CDU",IF($H9367="FLUID CAT CRACKING","FCC",IF(OR($H9367="HYDROCRACKING",$H9367="RESID_HYDROCRACKING"),"Hydrocracker",IF($H9367="REFORMING","Reformer",""))))</f>
        <v/>
      </c>
    </row>
    <row r="9368" spans="6:7">
      <c r="F9368" s="6">
        <f>IF($M9368="PADD I","PADD 1",IF($M9368="PADD II","PADD 2",IF($M9368="PADD III","PADD 3",IF($M9368="PADD IV","PADD 4",IF($M9368="PADD V","PADD 5","")))))</f>
        <v/>
      </c>
      <c r="G9368" s="6">
        <f>IF(AND($H9368="ATMOS DISTILLATION",ISNUMBER(SEARCH("VPS",$I9368))=FALSE,LEFT($I9368,6)&lt;&gt;"VACUUM"),"CDU",IF($H9368="FLUID CAT CRACKING","FCC",IF(OR($H9368="HYDROCRACKING",$H9368="RESID_HYDROCRACKING"),"Hydrocracker",IF($H9368="REFORMING","Reformer",""))))</f>
        <v/>
      </c>
    </row>
    <row r="9369" spans="6:7">
      <c r="F9369" s="6">
        <f>IF($M9369="PADD I","PADD 1",IF($M9369="PADD II","PADD 2",IF($M9369="PADD III","PADD 3",IF($M9369="PADD IV","PADD 4",IF($M9369="PADD V","PADD 5","")))))</f>
        <v/>
      </c>
      <c r="G9369" s="6">
        <f>IF(AND($H9369="ATMOS DISTILLATION",ISNUMBER(SEARCH("VPS",$I9369))=FALSE,LEFT($I9369,6)&lt;&gt;"VACUUM"),"CDU",IF($H9369="FLUID CAT CRACKING","FCC",IF(OR($H9369="HYDROCRACKING",$H9369="RESID_HYDROCRACKING"),"Hydrocracker",IF($H9369="REFORMING","Reformer",""))))</f>
        <v/>
      </c>
    </row>
    <row r="9370" spans="6:7">
      <c r="F9370" s="6">
        <f>IF($M9370="PADD I","PADD 1",IF($M9370="PADD II","PADD 2",IF($M9370="PADD III","PADD 3",IF($M9370="PADD IV","PADD 4",IF($M9370="PADD V","PADD 5","")))))</f>
        <v/>
      </c>
      <c r="G9370" s="6">
        <f>IF(AND($H9370="ATMOS DISTILLATION",ISNUMBER(SEARCH("VPS",$I9370))=FALSE,LEFT($I9370,6)&lt;&gt;"VACUUM"),"CDU",IF($H9370="FLUID CAT CRACKING","FCC",IF(OR($H9370="HYDROCRACKING",$H9370="RESID_HYDROCRACKING"),"Hydrocracker",IF($H9370="REFORMING","Reformer",""))))</f>
        <v/>
      </c>
    </row>
    <row r="9371" spans="6:7">
      <c r="F9371" s="6">
        <f>IF($M9371="PADD I","PADD 1",IF($M9371="PADD II","PADD 2",IF($M9371="PADD III","PADD 3",IF($M9371="PADD IV","PADD 4",IF($M9371="PADD V","PADD 5","")))))</f>
        <v/>
      </c>
      <c r="G9371" s="6">
        <f>IF(AND($H9371="ATMOS DISTILLATION",ISNUMBER(SEARCH("VPS",$I9371))=FALSE,LEFT($I9371,6)&lt;&gt;"VACUUM"),"CDU",IF($H9371="FLUID CAT CRACKING","FCC",IF(OR($H9371="HYDROCRACKING",$H9371="RESID_HYDROCRACKING"),"Hydrocracker",IF($H9371="REFORMING","Reformer",""))))</f>
        <v/>
      </c>
    </row>
    <row r="9372" spans="6:7">
      <c r="F9372" s="6">
        <f>IF($M9372="PADD I","PADD 1",IF($M9372="PADD II","PADD 2",IF($M9372="PADD III","PADD 3",IF($M9372="PADD IV","PADD 4",IF($M9372="PADD V","PADD 5","")))))</f>
        <v/>
      </c>
      <c r="G9372" s="6">
        <f>IF(AND($H9372="ATMOS DISTILLATION",ISNUMBER(SEARCH("VPS",$I9372))=FALSE,LEFT($I9372,6)&lt;&gt;"VACUUM"),"CDU",IF($H9372="FLUID CAT CRACKING","FCC",IF(OR($H9372="HYDROCRACKING",$H9372="RESID_HYDROCRACKING"),"Hydrocracker",IF($H9372="REFORMING","Reformer",""))))</f>
        <v/>
      </c>
    </row>
    <row r="9373" spans="6:7">
      <c r="F9373" s="6">
        <f>IF($M9373="PADD I","PADD 1",IF($M9373="PADD II","PADD 2",IF($M9373="PADD III","PADD 3",IF($M9373="PADD IV","PADD 4",IF($M9373="PADD V","PADD 5","")))))</f>
        <v/>
      </c>
      <c r="G9373" s="6">
        <f>IF(AND($H9373="ATMOS DISTILLATION",ISNUMBER(SEARCH("VPS",$I9373))=FALSE,LEFT($I9373,6)&lt;&gt;"VACUUM"),"CDU",IF($H9373="FLUID CAT CRACKING","FCC",IF(OR($H9373="HYDROCRACKING",$H9373="RESID_HYDROCRACKING"),"Hydrocracker",IF($H9373="REFORMING","Reformer",""))))</f>
        <v/>
      </c>
    </row>
    <row r="9374" spans="6:7">
      <c r="F9374" s="6">
        <f>IF($M9374="PADD I","PADD 1",IF($M9374="PADD II","PADD 2",IF($M9374="PADD III","PADD 3",IF($M9374="PADD IV","PADD 4",IF($M9374="PADD V","PADD 5","")))))</f>
        <v/>
      </c>
      <c r="G9374" s="6">
        <f>IF(AND($H9374="ATMOS DISTILLATION",ISNUMBER(SEARCH("VPS",$I9374))=FALSE,LEFT($I9374,6)&lt;&gt;"VACUUM"),"CDU",IF($H9374="FLUID CAT CRACKING","FCC",IF(OR($H9374="HYDROCRACKING",$H9374="RESID_HYDROCRACKING"),"Hydrocracker",IF($H9374="REFORMING","Reformer",""))))</f>
        <v/>
      </c>
    </row>
    <row r="9375" spans="6:7">
      <c r="F9375" s="6">
        <f>IF($M9375="PADD I","PADD 1",IF($M9375="PADD II","PADD 2",IF($M9375="PADD III","PADD 3",IF($M9375="PADD IV","PADD 4",IF($M9375="PADD V","PADD 5","")))))</f>
        <v/>
      </c>
      <c r="G9375" s="6">
        <f>IF(AND($H9375="ATMOS DISTILLATION",ISNUMBER(SEARCH("VPS",$I9375))=FALSE,LEFT($I9375,6)&lt;&gt;"VACUUM"),"CDU",IF($H9375="FLUID CAT CRACKING","FCC",IF(OR($H9375="HYDROCRACKING",$H9375="RESID_HYDROCRACKING"),"Hydrocracker",IF($H9375="REFORMING","Reformer",""))))</f>
        <v/>
      </c>
    </row>
    <row r="9376" spans="6:7">
      <c r="F9376" s="6">
        <f>IF($M9376="PADD I","PADD 1",IF($M9376="PADD II","PADD 2",IF($M9376="PADD III","PADD 3",IF($M9376="PADD IV","PADD 4",IF($M9376="PADD V","PADD 5","")))))</f>
        <v/>
      </c>
      <c r="G9376" s="6">
        <f>IF(AND($H9376="ATMOS DISTILLATION",ISNUMBER(SEARCH("VPS",$I9376))=FALSE,LEFT($I9376,6)&lt;&gt;"VACUUM"),"CDU",IF($H9376="FLUID CAT CRACKING","FCC",IF(OR($H9376="HYDROCRACKING",$H9376="RESID_HYDROCRACKING"),"Hydrocracker",IF($H9376="REFORMING","Reformer",""))))</f>
        <v/>
      </c>
    </row>
    <row r="9377" spans="6:7">
      <c r="F9377" s="6">
        <f>IF($M9377="PADD I","PADD 1",IF($M9377="PADD II","PADD 2",IF($M9377="PADD III","PADD 3",IF($M9377="PADD IV","PADD 4",IF($M9377="PADD V","PADD 5","")))))</f>
        <v/>
      </c>
      <c r="G9377" s="6">
        <f>IF(AND($H9377="ATMOS DISTILLATION",ISNUMBER(SEARCH("VPS",$I9377))=FALSE,LEFT($I9377,6)&lt;&gt;"VACUUM"),"CDU",IF($H9377="FLUID CAT CRACKING","FCC",IF(OR($H9377="HYDROCRACKING",$H9377="RESID_HYDROCRACKING"),"Hydrocracker",IF($H9377="REFORMING","Reformer",""))))</f>
        <v/>
      </c>
    </row>
    <row r="9378" spans="6:7">
      <c r="F9378" s="6">
        <f>IF($M9378="PADD I","PADD 1",IF($M9378="PADD II","PADD 2",IF($M9378="PADD III","PADD 3",IF($M9378="PADD IV","PADD 4",IF($M9378="PADD V","PADD 5","")))))</f>
        <v/>
      </c>
      <c r="G9378" s="6">
        <f>IF(AND($H9378="ATMOS DISTILLATION",ISNUMBER(SEARCH("VPS",$I9378))=FALSE,LEFT($I9378,6)&lt;&gt;"VACUUM"),"CDU",IF($H9378="FLUID CAT CRACKING","FCC",IF(OR($H9378="HYDROCRACKING",$H9378="RESID_HYDROCRACKING"),"Hydrocracker",IF($H9378="REFORMING","Reformer",""))))</f>
        <v/>
      </c>
    </row>
    <row r="9379" spans="6:7">
      <c r="F9379" s="6">
        <f>IF($M9379="PADD I","PADD 1",IF($M9379="PADD II","PADD 2",IF($M9379="PADD III","PADD 3",IF($M9379="PADD IV","PADD 4",IF($M9379="PADD V","PADD 5","")))))</f>
        <v/>
      </c>
      <c r="G9379" s="6">
        <f>IF(AND($H9379="ATMOS DISTILLATION",ISNUMBER(SEARCH("VPS",$I9379))=FALSE,LEFT($I9379,6)&lt;&gt;"VACUUM"),"CDU",IF($H9379="FLUID CAT CRACKING","FCC",IF(OR($H9379="HYDROCRACKING",$H9379="RESID_HYDROCRACKING"),"Hydrocracker",IF($H9379="REFORMING","Reformer",""))))</f>
        <v/>
      </c>
    </row>
    <row r="9380" spans="6:7">
      <c r="F9380" s="6">
        <f>IF($M9380="PADD I","PADD 1",IF($M9380="PADD II","PADD 2",IF($M9380="PADD III","PADD 3",IF($M9380="PADD IV","PADD 4",IF($M9380="PADD V","PADD 5","")))))</f>
        <v/>
      </c>
      <c r="G9380" s="6">
        <f>IF(AND($H9380="ATMOS DISTILLATION",ISNUMBER(SEARCH("VPS",$I9380))=FALSE,LEFT($I9380,6)&lt;&gt;"VACUUM"),"CDU",IF($H9380="FLUID CAT CRACKING","FCC",IF(OR($H9380="HYDROCRACKING",$H9380="RESID_HYDROCRACKING"),"Hydrocracker",IF($H9380="REFORMING","Reformer",""))))</f>
        <v/>
      </c>
    </row>
    <row r="9381" spans="6:7">
      <c r="F9381" s="6">
        <f>IF($M9381="PADD I","PADD 1",IF($M9381="PADD II","PADD 2",IF($M9381="PADD III","PADD 3",IF($M9381="PADD IV","PADD 4",IF($M9381="PADD V","PADD 5","")))))</f>
        <v/>
      </c>
      <c r="G9381" s="6">
        <f>IF(AND($H9381="ATMOS DISTILLATION",ISNUMBER(SEARCH("VPS",$I9381))=FALSE,LEFT($I9381,6)&lt;&gt;"VACUUM"),"CDU",IF($H9381="FLUID CAT CRACKING","FCC",IF(OR($H9381="HYDROCRACKING",$H9381="RESID_HYDROCRACKING"),"Hydrocracker",IF($H9381="REFORMING","Reformer",""))))</f>
        <v/>
      </c>
    </row>
    <row r="9382" spans="6:7">
      <c r="F9382" s="6">
        <f>IF($M9382="PADD I","PADD 1",IF($M9382="PADD II","PADD 2",IF($M9382="PADD III","PADD 3",IF($M9382="PADD IV","PADD 4",IF($M9382="PADD V","PADD 5","")))))</f>
        <v/>
      </c>
      <c r="G9382" s="6">
        <f>IF(AND($H9382="ATMOS DISTILLATION",ISNUMBER(SEARCH("VPS",$I9382))=FALSE,LEFT($I9382,6)&lt;&gt;"VACUUM"),"CDU",IF($H9382="FLUID CAT CRACKING","FCC",IF(OR($H9382="HYDROCRACKING",$H9382="RESID_HYDROCRACKING"),"Hydrocracker",IF($H9382="REFORMING","Reformer",""))))</f>
        <v/>
      </c>
    </row>
    <row r="9383" spans="6:7">
      <c r="F9383" s="6">
        <f>IF($M9383="PADD I","PADD 1",IF($M9383="PADD II","PADD 2",IF($M9383="PADD III","PADD 3",IF($M9383="PADD IV","PADD 4",IF($M9383="PADD V","PADD 5","")))))</f>
        <v/>
      </c>
      <c r="G9383" s="6">
        <f>IF(AND($H9383="ATMOS DISTILLATION",ISNUMBER(SEARCH("VPS",$I9383))=FALSE,LEFT($I9383,6)&lt;&gt;"VACUUM"),"CDU",IF($H9383="FLUID CAT CRACKING","FCC",IF(OR($H9383="HYDROCRACKING",$H9383="RESID_HYDROCRACKING"),"Hydrocracker",IF($H9383="REFORMING","Reformer",""))))</f>
        <v/>
      </c>
    </row>
    <row r="9384" spans="6:7">
      <c r="F9384" s="6">
        <f>IF($M9384="PADD I","PADD 1",IF($M9384="PADD II","PADD 2",IF($M9384="PADD III","PADD 3",IF($M9384="PADD IV","PADD 4",IF($M9384="PADD V","PADD 5","")))))</f>
        <v/>
      </c>
      <c r="G9384" s="6">
        <f>IF(AND($H9384="ATMOS DISTILLATION",ISNUMBER(SEARCH("VPS",$I9384))=FALSE,LEFT($I9384,6)&lt;&gt;"VACUUM"),"CDU",IF($H9384="FLUID CAT CRACKING","FCC",IF(OR($H9384="HYDROCRACKING",$H9384="RESID_HYDROCRACKING"),"Hydrocracker",IF($H9384="REFORMING","Reformer",""))))</f>
        <v/>
      </c>
    </row>
    <row r="9385" spans="6:7">
      <c r="F9385" s="6">
        <f>IF($M9385="PADD I","PADD 1",IF($M9385="PADD II","PADD 2",IF($M9385="PADD III","PADD 3",IF($M9385="PADD IV","PADD 4",IF($M9385="PADD V","PADD 5","")))))</f>
        <v/>
      </c>
      <c r="G9385" s="6">
        <f>IF(AND($H9385="ATMOS DISTILLATION",ISNUMBER(SEARCH("VPS",$I9385))=FALSE,LEFT($I9385,6)&lt;&gt;"VACUUM"),"CDU",IF($H9385="FLUID CAT CRACKING","FCC",IF(OR($H9385="HYDROCRACKING",$H9385="RESID_HYDROCRACKING"),"Hydrocracker",IF($H9385="REFORMING","Reformer",""))))</f>
        <v/>
      </c>
    </row>
    <row r="9386" spans="6:7">
      <c r="F9386" s="6">
        <f>IF($M9386="PADD I","PADD 1",IF($M9386="PADD II","PADD 2",IF($M9386="PADD III","PADD 3",IF($M9386="PADD IV","PADD 4",IF($M9386="PADD V","PADD 5","")))))</f>
        <v/>
      </c>
      <c r="G9386" s="6">
        <f>IF(AND($H9386="ATMOS DISTILLATION",ISNUMBER(SEARCH("VPS",$I9386))=FALSE,LEFT($I9386,6)&lt;&gt;"VACUUM"),"CDU",IF($H9386="FLUID CAT CRACKING","FCC",IF(OR($H9386="HYDROCRACKING",$H9386="RESID_HYDROCRACKING"),"Hydrocracker",IF($H9386="REFORMING","Reformer",""))))</f>
        <v/>
      </c>
    </row>
    <row r="9387" spans="6:7">
      <c r="F9387" s="6">
        <f>IF($M9387="PADD I","PADD 1",IF($M9387="PADD II","PADD 2",IF($M9387="PADD III","PADD 3",IF($M9387="PADD IV","PADD 4",IF($M9387="PADD V","PADD 5","")))))</f>
        <v/>
      </c>
      <c r="G9387" s="6">
        <f>IF(AND($H9387="ATMOS DISTILLATION",ISNUMBER(SEARCH("VPS",$I9387))=FALSE,LEFT($I9387,6)&lt;&gt;"VACUUM"),"CDU",IF($H9387="FLUID CAT CRACKING","FCC",IF(OR($H9387="HYDROCRACKING",$H9387="RESID_HYDROCRACKING"),"Hydrocracker",IF($H9387="REFORMING","Reformer",""))))</f>
        <v/>
      </c>
    </row>
    <row r="9388" spans="6:7">
      <c r="F9388" s="6">
        <f>IF($M9388="PADD I","PADD 1",IF($M9388="PADD II","PADD 2",IF($M9388="PADD III","PADD 3",IF($M9388="PADD IV","PADD 4",IF($M9388="PADD V","PADD 5","")))))</f>
        <v/>
      </c>
      <c r="G9388" s="6">
        <f>IF(AND($H9388="ATMOS DISTILLATION",ISNUMBER(SEARCH("VPS",$I9388))=FALSE,LEFT($I9388,6)&lt;&gt;"VACUUM"),"CDU",IF($H9388="FLUID CAT CRACKING","FCC",IF(OR($H9388="HYDROCRACKING",$H9388="RESID_HYDROCRACKING"),"Hydrocracker",IF($H9388="REFORMING","Reformer",""))))</f>
        <v/>
      </c>
    </row>
    <row r="9389" spans="6:7">
      <c r="F9389" s="6">
        <f>IF($M9389="PADD I","PADD 1",IF($M9389="PADD II","PADD 2",IF($M9389="PADD III","PADD 3",IF($M9389="PADD IV","PADD 4",IF($M9389="PADD V","PADD 5","")))))</f>
        <v/>
      </c>
      <c r="G9389" s="6">
        <f>IF(AND($H9389="ATMOS DISTILLATION",ISNUMBER(SEARCH("VPS",$I9389))=FALSE,LEFT($I9389,6)&lt;&gt;"VACUUM"),"CDU",IF($H9389="FLUID CAT CRACKING","FCC",IF(OR($H9389="HYDROCRACKING",$H9389="RESID_HYDROCRACKING"),"Hydrocracker",IF($H9389="REFORMING","Reformer",""))))</f>
        <v/>
      </c>
    </row>
    <row r="9390" spans="6:7">
      <c r="F9390" s="6">
        <f>IF($M9390="PADD I","PADD 1",IF($M9390="PADD II","PADD 2",IF($M9390="PADD III","PADD 3",IF($M9390="PADD IV","PADD 4",IF($M9390="PADD V","PADD 5","")))))</f>
        <v/>
      </c>
      <c r="G9390" s="6">
        <f>IF(AND($H9390="ATMOS DISTILLATION",ISNUMBER(SEARCH("VPS",$I9390))=FALSE,LEFT($I9390,6)&lt;&gt;"VACUUM"),"CDU",IF($H9390="FLUID CAT CRACKING","FCC",IF(OR($H9390="HYDROCRACKING",$H9390="RESID_HYDROCRACKING"),"Hydrocracker",IF($H9390="REFORMING","Reformer",""))))</f>
        <v/>
      </c>
    </row>
    <row r="9391" spans="6:7">
      <c r="F9391" s="6">
        <f>IF($M9391="PADD I","PADD 1",IF($M9391="PADD II","PADD 2",IF($M9391="PADD III","PADD 3",IF($M9391="PADD IV","PADD 4",IF($M9391="PADD V","PADD 5","")))))</f>
        <v/>
      </c>
      <c r="G9391" s="6">
        <f>IF(AND($H9391="ATMOS DISTILLATION",ISNUMBER(SEARCH("VPS",$I9391))=FALSE,LEFT($I9391,6)&lt;&gt;"VACUUM"),"CDU",IF($H9391="FLUID CAT CRACKING","FCC",IF(OR($H9391="HYDROCRACKING",$H9391="RESID_HYDROCRACKING"),"Hydrocracker",IF($H9391="REFORMING","Reformer",""))))</f>
        <v/>
      </c>
    </row>
    <row r="9392" spans="6:7">
      <c r="F9392" s="6">
        <f>IF($M9392="PADD I","PADD 1",IF($M9392="PADD II","PADD 2",IF($M9392="PADD III","PADD 3",IF($M9392="PADD IV","PADD 4",IF($M9392="PADD V","PADD 5","")))))</f>
        <v/>
      </c>
      <c r="G9392" s="6">
        <f>IF(AND($H9392="ATMOS DISTILLATION",ISNUMBER(SEARCH("VPS",$I9392))=FALSE,LEFT($I9392,6)&lt;&gt;"VACUUM"),"CDU",IF($H9392="FLUID CAT CRACKING","FCC",IF(OR($H9392="HYDROCRACKING",$H9392="RESID_HYDROCRACKING"),"Hydrocracker",IF($H9392="REFORMING","Reformer",""))))</f>
        <v/>
      </c>
    </row>
    <row r="9393" spans="6:7">
      <c r="F9393" s="6">
        <f>IF($M9393="PADD I","PADD 1",IF($M9393="PADD II","PADD 2",IF($M9393="PADD III","PADD 3",IF($M9393="PADD IV","PADD 4",IF($M9393="PADD V","PADD 5","")))))</f>
        <v/>
      </c>
      <c r="G9393" s="6">
        <f>IF(AND($H9393="ATMOS DISTILLATION",ISNUMBER(SEARCH("VPS",$I9393))=FALSE,LEFT($I9393,6)&lt;&gt;"VACUUM"),"CDU",IF($H9393="FLUID CAT CRACKING","FCC",IF(OR($H9393="HYDROCRACKING",$H9393="RESID_HYDROCRACKING"),"Hydrocracker",IF($H9393="REFORMING","Reformer",""))))</f>
        <v/>
      </c>
    </row>
    <row r="9394" spans="6:7">
      <c r="F9394" s="6">
        <f>IF($M9394="PADD I","PADD 1",IF($M9394="PADD II","PADD 2",IF($M9394="PADD III","PADD 3",IF($M9394="PADD IV","PADD 4",IF($M9394="PADD V","PADD 5","")))))</f>
        <v/>
      </c>
      <c r="G9394" s="6">
        <f>IF(AND($H9394="ATMOS DISTILLATION",ISNUMBER(SEARCH("VPS",$I9394))=FALSE,LEFT($I9394,6)&lt;&gt;"VACUUM"),"CDU",IF($H9394="FLUID CAT CRACKING","FCC",IF(OR($H9394="HYDROCRACKING",$H9394="RESID_HYDROCRACKING"),"Hydrocracker",IF($H9394="REFORMING","Reformer",""))))</f>
        <v/>
      </c>
    </row>
    <row r="9395" spans="6:7">
      <c r="F9395" s="6">
        <f>IF($M9395="PADD I","PADD 1",IF($M9395="PADD II","PADD 2",IF($M9395="PADD III","PADD 3",IF($M9395="PADD IV","PADD 4",IF($M9395="PADD V","PADD 5","")))))</f>
        <v/>
      </c>
      <c r="G9395" s="6">
        <f>IF(AND($H9395="ATMOS DISTILLATION",ISNUMBER(SEARCH("VPS",$I9395))=FALSE,LEFT($I9395,6)&lt;&gt;"VACUUM"),"CDU",IF($H9395="FLUID CAT CRACKING","FCC",IF(OR($H9395="HYDROCRACKING",$H9395="RESID_HYDROCRACKING"),"Hydrocracker",IF($H9395="REFORMING","Reformer",""))))</f>
        <v/>
      </c>
    </row>
    <row r="9396" spans="6:7">
      <c r="F9396" s="6">
        <f>IF($M9396="PADD I","PADD 1",IF($M9396="PADD II","PADD 2",IF($M9396="PADD III","PADD 3",IF($M9396="PADD IV","PADD 4",IF($M9396="PADD V","PADD 5","")))))</f>
        <v/>
      </c>
      <c r="G9396" s="6">
        <f>IF(AND($H9396="ATMOS DISTILLATION",ISNUMBER(SEARCH("VPS",$I9396))=FALSE,LEFT($I9396,6)&lt;&gt;"VACUUM"),"CDU",IF($H9396="FLUID CAT CRACKING","FCC",IF(OR($H9396="HYDROCRACKING",$H9396="RESID_HYDROCRACKING"),"Hydrocracker",IF($H9396="REFORMING","Reformer",""))))</f>
        <v/>
      </c>
    </row>
    <row r="9397" spans="6:7">
      <c r="F9397" s="6">
        <f>IF($M9397="PADD I","PADD 1",IF($M9397="PADD II","PADD 2",IF($M9397="PADD III","PADD 3",IF($M9397="PADD IV","PADD 4",IF($M9397="PADD V","PADD 5","")))))</f>
        <v/>
      </c>
      <c r="G9397" s="6">
        <f>IF(AND($H9397="ATMOS DISTILLATION",ISNUMBER(SEARCH("VPS",$I9397))=FALSE,LEFT($I9397,6)&lt;&gt;"VACUUM"),"CDU",IF($H9397="FLUID CAT CRACKING","FCC",IF(OR($H9397="HYDROCRACKING",$H9397="RESID_HYDROCRACKING"),"Hydrocracker",IF($H9397="REFORMING","Reformer",""))))</f>
        <v/>
      </c>
    </row>
    <row r="9398" spans="6:7">
      <c r="F9398" s="6">
        <f>IF($M9398="PADD I","PADD 1",IF($M9398="PADD II","PADD 2",IF($M9398="PADD III","PADD 3",IF($M9398="PADD IV","PADD 4",IF($M9398="PADD V","PADD 5","")))))</f>
        <v/>
      </c>
      <c r="G9398" s="6">
        <f>IF(AND($H9398="ATMOS DISTILLATION",ISNUMBER(SEARCH("VPS",$I9398))=FALSE,LEFT($I9398,6)&lt;&gt;"VACUUM"),"CDU",IF($H9398="FLUID CAT CRACKING","FCC",IF(OR($H9398="HYDROCRACKING",$H9398="RESID_HYDROCRACKING"),"Hydrocracker",IF($H9398="REFORMING","Reformer",""))))</f>
        <v/>
      </c>
    </row>
    <row r="9399" spans="6:7">
      <c r="F9399" s="6">
        <f>IF($M9399="PADD I","PADD 1",IF($M9399="PADD II","PADD 2",IF($M9399="PADD III","PADD 3",IF($M9399="PADD IV","PADD 4",IF($M9399="PADD V","PADD 5","")))))</f>
        <v/>
      </c>
      <c r="G9399" s="6">
        <f>IF(AND($H9399="ATMOS DISTILLATION",ISNUMBER(SEARCH("VPS",$I9399))=FALSE,LEFT($I9399,6)&lt;&gt;"VACUUM"),"CDU",IF($H9399="FLUID CAT CRACKING","FCC",IF(OR($H9399="HYDROCRACKING",$H9399="RESID_HYDROCRACKING"),"Hydrocracker",IF($H9399="REFORMING","Reformer",""))))</f>
        <v/>
      </c>
    </row>
    <row r="9400" spans="6:7">
      <c r="F9400" s="6">
        <f>IF($M9400="PADD I","PADD 1",IF($M9400="PADD II","PADD 2",IF($M9400="PADD III","PADD 3",IF($M9400="PADD IV","PADD 4",IF($M9400="PADD V","PADD 5","")))))</f>
        <v/>
      </c>
      <c r="G9400" s="6">
        <f>IF(AND($H9400="ATMOS DISTILLATION",ISNUMBER(SEARCH("VPS",$I9400))=FALSE,LEFT($I9400,6)&lt;&gt;"VACUUM"),"CDU",IF($H9400="FLUID CAT CRACKING","FCC",IF(OR($H9400="HYDROCRACKING",$H9400="RESID_HYDROCRACKING"),"Hydrocracker",IF($H9400="REFORMING","Reformer",""))))</f>
        <v/>
      </c>
    </row>
    <row r="9401" spans="6:7">
      <c r="F9401" s="6">
        <f>IF($M9401="PADD I","PADD 1",IF($M9401="PADD II","PADD 2",IF($M9401="PADD III","PADD 3",IF($M9401="PADD IV","PADD 4",IF($M9401="PADD V","PADD 5","")))))</f>
        <v/>
      </c>
      <c r="G9401" s="6">
        <f>IF(AND($H9401="ATMOS DISTILLATION",ISNUMBER(SEARCH("VPS",$I9401))=FALSE,LEFT($I9401,6)&lt;&gt;"VACUUM"),"CDU",IF($H9401="FLUID CAT CRACKING","FCC",IF(OR($H9401="HYDROCRACKING",$H9401="RESID_HYDROCRACKING"),"Hydrocracker",IF($H9401="REFORMING","Reformer",""))))</f>
        <v/>
      </c>
    </row>
    <row r="9402" spans="6:7">
      <c r="F9402" s="6">
        <f>IF($M9402="PADD I","PADD 1",IF($M9402="PADD II","PADD 2",IF($M9402="PADD III","PADD 3",IF($M9402="PADD IV","PADD 4",IF($M9402="PADD V","PADD 5","")))))</f>
        <v/>
      </c>
      <c r="G9402" s="6">
        <f>IF(AND($H9402="ATMOS DISTILLATION",ISNUMBER(SEARCH("VPS",$I9402))=FALSE,LEFT($I9402,6)&lt;&gt;"VACUUM"),"CDU",IF($H9402="FLUID CAT CRACKING","FCC",IF(OR($H9402="HYDROCRACKING",$H9402="RESID_HYDROCRACKING"),"Hydrocracker",IF($H9402="REFORMING","Reformer",""))))</f>
        <v/>
      </c>
    </row>
    <row r="9403" spans="6:7">
      <c r="F9403" s="6">
        <f>IF($M9403="PADD I","PADD 1",IF($M9403="PADD II","PADD 2",IF($M9403="PADD III","PADD 3",IF($M9403="PADD IV","PADD 4",IF($M9403="PADD V","PADD 5","")))))</f>
        <v/>
      </c>
      <c r="G9403" s="6">
        <f>IF(AND($H9403="ATMOS DISTILLATION",ISNUMBER(SEARCH("VPS",$I9403))=FALSE,LEFT($I9403,6)&lt;&gt;"VACUUM"),"CDU",IF($H9403="FLUID CAT CRACKING","FCC",IF(OR($H9403="HYDROCRACKING",$H9403="RESID_HYDROCRACKING"),"Hydrocracker",IF($H9403="REFORMING","Reformer",""))))</f>
        <v/>
      </c>
    </row>
    <row r="9404" spans="6:7">
      <c r="F9404" s="6">
        <f>IF($M9404="PADD I","PADD 1",IF($M9404="PADD II","PADD 2",IF($M9404="PADD III","PADD 3",IF($M9404="PADD IV","PADD 4",IF($M9404="PADD V","PADD 5","")))))</f>
        <v/>
      </c>
      <c r="G9404" s="6">
        <f>IF(AND($H9404="ATMOS DISTILLATION",ISNUMBER(SEARCH("VPS",$I9404))=FALSE,LEFT($I9404,6)&lt;&gt;"VACUUM"),"CDU",IF($H9404="FLUID CAT CRACKING","FCC",IF(OR($H9404="HYDROCRACKING",$H9404="RESID_HYDROCRACKING"),"Hydrocracker",IF($H9404="REFORMING","Reformer",""))))</f>
        <v/>
      </c>
    </row>
    <row r="9405" spans="6:7">
      <c r="F9405" s="6">
        <f>IF($M9405="PADD I","PADD 1",IF($M9405="PADD II","PADD 2",IF($M9405="PADD III","PADD 3",IF($M9405="PADD IV","PADD 4",IF($M9405="PADD V","PADD 5","")))))</f>
        <v/>
      </c>
      <c r="G9405" s="6">
        <f>IF(AND($H9405="ATMOS DISTILLATION",ISNUMBER(SEARCH("VPS",$I9405))=FALSE,LEFT($I9405,6)&lt;&gt;"VACUUM"),"CDU",IF($H9405="FLUID CAT CRACKING","FCC",IF(OR($H9405="HYDROCRACKING",$H9405="RESID_HYDROCRACKING"),"Hydrocracker",IF($H9405="REFORMING","Reformer",""))))</f>
        <v/>
      </c>
    </row>
    <row r="9406" spans="6:7">
      <c r="F9406" s="6">
        <f>IF($M9406="PADD I","PADD 1",IF($M9406="PADD II","PADD 2",IF($M9406="PADD III","PADD 3",IF($M9406="PADD IV","PADD 4",IF($M9406="PADD V","PADD 5","")))))</f>
        <v/>
      </c>
      <c r="G9406" s="6">
        <f>IF(AND($H9406="ATMOS DISTILLATION",ISNUMBER(SEARCH("VPS",$I9406))=FALSE,LEFT($I9406,6)&lt;&gt;"VACUUM"),"CDU",IF($H9406="FLUID CAT CRACKING","FCC",IF(OR($H9406="HYDROCRACKING",$H9406="RESID_HYDROCRACKING"),"Hydrocracker",IF($H9406="REFORMING","Reformer",""))))</f>
        <v/>
      </c>
    </row>
    <row r="9407" spans="6:7">
      <c r="F9407" s="6">
        <f>IF($M9407="PADD I","PADD 1",IF($M9407="PADD II","PADD 2",IF($M9407="PADD III","PADD 3",IF($M9407="PADD IV","PADD 4",IF($M9407="PADD V","PADD 5","")))))</f>
        <v/>
      </c>
      <c r="G9407" s="6">
        <f>IF(AND($H9407="ATMOS DISTILLATION",ISNUMBER(SEARCH("VPS",$I9407))=FALSE,LEFT($I9407,6)&lt;&gt;"VACUUM"),"CDU",IF($H9407="FLUID CAT CRACKING","FCC",IF(OR($H9407="HYDROCRACKING",$H9407="RESID_HYDROCRACKING"),"Hydrocracker",IF($H9407="REFORMING","Reformer",""))))</f>
        <v/>
      </c>
    </row>
    <row r="9408" spans="6:7">
      <c r="F9408" s="6">
        <f>IF($M9408="PADD I","PADD 1",IF($M9408="PADD II","PADD 2",IF($M9408="PADD III","PADD 3",IF($M9408="PADD IV","PADD 4",IF($M9408="PADD V","PADD 5","")))))</f>
        <v/>
      </c>
      <c r="G9408" s="6">
        <f>IF(AND($H9408="ATMOS DISTILLATION",ISNUMBER(SEARCH("VPS",$I9408))=FALSE,LEFT($I9408,6)&lt;&gt;"VACUUM"),"CDU",IF($H9408="FLUID CAT CRACKING","FCC",IF(OR($H9408="HYDROCRACKING",$H9408="RESID_HYDROCRACKING"),"Hydrocracker",IF($H9408="REFORMING","Reformer",""))))</f>
        <v/>
      </c>
    </row>
    <row r="9409" spans="6:7">
      <c r="F9409" s="6">
        <f>IF($M9409="PADD I","PADD 1",IF($M9409="PADD II","PADD 2",IF($M9409="PADD III","PADD 3",IF($M9409="PADD IV","PADD 4",IF($M9409="PADD V","PADD 5","")))))</f>
        <v/>
      </c>
      <c r="G9409" s="6">
        <f>IF(AND($H9409="ATMOS DISTILLATION",ISNUMBER(SEARCH("VPS",$I9409))=FALSE,LEFT($I9409,6)&lt;&gt;"VACUUM"),"CDU",IF($H9409="FLUID CAT CRACKING","FCC",IF(OR($H9409="HYDROCRACKING",$H9409="RESID_HYDROCRACKING"),"Hydrocracker",IF($H9409="REFORMING","Reformer",""))))</f>
        <v/>
      </c>
    </row>
    <row r="9410" spans="6:7">
      <c r="F9410" s="6">
        <f>IF($M9410="PADD I","PADD 1",IF($M9410="PADD II","PADD 2",IF($M9410="PADD III","PADD 3",IF($M9410="PADD IV","PADD 4",IF($M9410="PADD V","PADD 5","")))))</f>
        <v/>
      </c>
      <c r="G9410" s="6">
        <f>IF(AND($H9410="ATMOS DISTILLATION",ISNUMBER(SEARCH("VPS",$I9410))=FALSE,LEFT($I9410,6)&lt;&gt;"VACUUM"),"CDU",IF($H9410="FLUID CAT CRACKING","FCC",IF(OR($H9410="HYDROCRACKING",$H9410="RESID_HYDROCRACKING"),"Hydrocracker",IF($H9410="REFORMING","Reformer",""))))</f>
        <v/>
      </c>
    </row>
    <row r="9411" spans="6:7">
      <c r="F9411" s="6">
        <f>IF($M9411="PADD I","PADD 1",IF($M9411="PADD II","PADD 2",IF($M9411="PADD III","PADD 3",IF($M9411="PADD IV","PADD 4",IF($M9411="PADD V","PADD 5","")))))</f>
        <v/>
      </c>
      <c r="G9411" s="6">
        <f>IF(AND($H9411="ATMOS DISTILLATION",ISNUMBER(SEARCH("VPS",$I9411))=FALSE,LEFT($I9411,6)&lt;&gt;"VACUUM"),"CDU",IF($H9411="FLUID CAT CRACKING","FCC",IF(OR($H9411="HYDROCRACKING",$H9411="RESID_HYDROCRACKING"),"Hydrocracker",IF($H9411="REFORMING","Reformer",""))))</f>
        <v/>
      </c>
    </row>
    <row r="9412" spans="6:7">
      <c r="F9412" s="6">
        <f>IF($M9412="PADD I","PADD 1",IF($M9412="PADD II","PADD 2",IF($M9412="PADD III","PADD 3",IF($M9412="PADD IV","PADD 4",IF($M9412="PADD V","PADD 5","")))))</f>
        <v/>
      </c>
      <c r="G9412" s="6">
        <f>IF(AND($H9412="ATMOS DISTILLATION",ISNUMBER(SEARCH("VPS",$I9412))=FALSE,LEFT($I9412,6)&lt;&gt;"VACUUM"),"CDU",IF($H9412="FLUID CAT CRACKING","FCC",IF(OR($H9412="HYDROCRACKING",$H9412="RESID_HYDROCRACKING"),"Hydrocracker",IF($H9412="REFORMING","Reformer",""))))</f>
        <v/>
      </c>
    </row>
    <row r="9413" spans="6:7">
      <c r="F9413" s="6">
        <f>IF($M9413="PADD I","PADD 1",IF($M9413="PADD II","PADD 2",IF($M9413="PADD III","PADD 3",IF($M9413="PADD IV","PADD 4",IF($M9413="PADD V","PADD 5","")))))</f>
        <v/>
      </c>
      <c r="G9413" s="6">
        <f>IF(AND($H9413="ATMOS DISTILLATION",ISNUMBER(SEARCH("VPS",$I9413))=FALSE,LEFT($I9413,6)&lt;&gt;"VACUUM"),"CDU",IF($H9413="FLUID CAT CRACKING","FCC",IF(OR($H9413="HYDROCRACKING",$H9413="RESID_HYDROCRACKING"),"Hydrocracker",IF($H9413="REFORMING","Reformer",""))))</f>
        <v/>
      </c>
    </row>
    <row r="9414" spans="6:7">
      <c r="F9414" s="6">
        <f>IF($M9414="PADD I","PADD 1",IF($M9414="PADD II","PADD 2",IF($M9414="PADD III","PADD 3",IF($M9414="PADD IV","PADD 4",IF($M9414="PADD V","PADD 5","")))))</f>
        <v/>
      </c>
      <c r="G9414" s="6">
        <f>IF(AND($H9414="ATMOS DISTILLATION",ISNUMBER(SEARCH("VPS",$I9414))=FALSE,LEFT($I9414,6)&lt;&gt;"VACUUM"),"CDU",IF($H9414="FLUID CAT CRACKING","FCC",IF(OR($H9414="HYDROCRACKING",$H9414="RESID_HYDROCRACKING"),"Hydrocracker",IF($H9414="REFORMING","Reformer",""))))</f>
        <v/>
      </c>
    </row>
    <row r="9415" spans="6:7">
      <c r="F9415" s="6">
        <f>IF($M9415="PADD I","PADD 1",IF($M9415="PADD II","PADD 2",IF($M9415="PADD III","PADD 3",IF($M9415="PADD IV","PADD 4",IF($M9415="PADD V","PADD 5","")))))</f>
        <v/>
      </c>
      <c r="G9415" s="6">
        <f>IF(AND($H9415="ATMOS DISTILLATION",ISNUMBER(SEARCH("VPS",$I9415))=FALSE,LEFT($I9415,6)&lt;&gt;"VACUUM"),"CDU",IF($H9415="FLUID CAT CRACKING","FCC",IF(OR($H9415="HYDROCRACKING",$H9415="RESID_HYDROCRACKING"),"Hydrocracker",IF($H9415="REFORMING","Reformer",""))))</f>
        <v/>
      </c>
    </row>
    <row r="9416" spans="6:7">
      <c r="F9416" s="6">
        <f>IF($M9416="PADD I","PADD 1",IF($M9416="PADD II","PADD 2",IF($M9416="PADD III","PADD 3",IF($M9416="PADD IV","PADD 4",IF($M9416="PADD V","PADD 5","")))))</f>
        <v/>
      </c>
      <c r="G9416" s="6">
        <f>IF(AND($H9416="ATMOS DISTILLATION",ISNUMBER(SEARCH("VPS",$I9416))=FALSE,LEFT($I9416,6)&lt;&gt;"VACUUM"),"CDU",IF($H9416="FLUID CAT CRACKING","FCC",IF(OR($H9416="HYDROCRACKING",$H9416="RESID_HYDROCRACKING"),"Hydrocracker",IF($H9416="REFORMING","Reformer",""))))</f>
        <v/>
      </c>
    </row>
    <row r="9417" spans="6:7">
      <c r="F9417" s="6">
        <f>IF($M9417="PADD I","PADD 1",IF($M9417="PADD II","PADD 2",IF($M9417="PADD III","PADD 3",IF($M9417="PADD IV","PADD 4",IF($M9417="PADD V","PADD 5","")))))</f>
        <v/>
      </c>
      <c r="G9417" s="6">
        <f>IF(AND($H9417="ATMOS DISTILLATION",ISNUMBER(SEARCH("VPS",$I9417))=FALSE,LEFT($I9417,6)&lt;&gt;"VACUUM"),"CDU",IF($H9417="FLUID CAT CRACKING","FCC",IF(OR($H9417="HYDROCRACKING",$H9417="RESID_HYDROCRACKING"),"Hydrocracker",IF($H9417="REFORMING","Reformer",""))))</f>
        <v/>
      </c>
    </row>
    <row r="9418" spans="6:7">
      <c r="F9418" s="6">
        <f>IF($M9418="PADD I","PADD 1",IF($M9418="PADD II","PADD 2",IF($M9418="PADD III","PADD 3",IF($M9418="PADD IV","PADD 4",IF($M9418="PADD V","PADD 5","")))))</f>
        <v/>
      </c>
      <c r="G9418" s="6">
        <f>IF(AND($H9418="ATMOS DISTILLATION",ISNUMBER(SEARCH("VPS",$I9418))=FALSE,LEFT($I9418,6)&lt;&gt;"VACUUM"),"CDU",IF($H9418="FLUID CAT CRACKING","FCC",IF(OR($H9418="HYDROCRACKING",$H9418="RESID_HYDROCRACKING"),"Hydrocracker",IF($H9418="REFORMING","Reformer",""))))</f>
        <v/>
      </c>
    </row>
    <row r="9419" spans="6:7">
      <c r="F9419" s="6">
        <f>IF($M9419="PADD I","PADD 1",IF($M9419="PADD II","PADD 2",IF($M9419="PADD III","PADD 3",IF($M9419="PADD IV","PADD 4",IF($M9419="PADD V","PADD 5","")))))</f>
        <v/>
      </c>
      <c r="G9419" s="6">
        <f>IF(AND($H9419="ATMOS DISTILLATION",ISNUMBER(SEARCH("VPS",$I9419))=FALSE,LEFT($I9419,6)&lt;&gt;"VACUUM"),"CDU",IF($H9419="FLUID CAT CRACKING","FCC",IF(OR($H9419="HYDROCRACKING",$H9419="RESID_HYDROCRACKING"),"Hydrocracker",IF($H9419="REFORMING","Reformer",""))))</f>
        <v/>
      </c>
    </row>
    <row r="9420" spans="6:7">
      <c r="F9420" s="6">
        <f>IF($M9420="PADD I","PADD 1",IF($M9420="PADD II","PADD 2",IF($M9420="PADD III","PADD 3",IF($M9420="PADD IV","PADD 4",IF($M9420="PADD V","PADD 5","")))))</f>
        <v/>
      </c>
      <c r="G9420" s="6">
        <f>IF(AND($H9420="ATMOS DISTILLATION",ISNUMBER(SEARCH("VPS",$I9420))=FALSE,LEFT($I9420,6)&lt;&gt;"VACUUM"),"CDU",IF($H9420="FLUID CAT CRACKING","FCC",IF(OR($H9420="HYDROCRACKING",$H9420="RESID_HYDROCRACKING"),"Hydrocracker",IF($H9420="REFORMING","Reformer",""))))</f>
        <v/>
      </c>
    </row>
    <row r="9421" spans="6:7">
      <c r="F9421" s="6">
        <f>IF($M9421="PADD I","PADD 1",IF($M9421="PADD II","PADD 2",IF($M9421="PADD III","PADD 3",IF($M9421="PADD IV","PADD 4",IF($M9421="PADD V","PADD 5","")))))</f>
        <v/>
      </c>
      <c r="G9421" s="6">
        <f>IF(AND($H9421="ATMOS DISTILLATION",ISNUMBER(SEARCH("VPS",$I9421))=FALSE,LEFT($I9421,6)&lt;&gt;"VACUUM"),"CDU",IF($H9421="FLUID CAT CRACKING","FCC",IF(OR($H9421="HYDROCRACKING",$H9421="RESID_HYDROCRACKING"),"Hydrocracker",IF($H9421="REFORMING","Reformer",""))))</f>
        <v/>
      </c>
    </row>
    <row r="9422" spans="6:7">
      <c r="F9422" s="6">
        <f>IF($M9422="PADD I","PADD 1",IF($M9422="PADD II","PADD 2",IF($M9422="PADD III","PADD 3",IF($M9422="PADD IV","PADD 4",IF($M9422="PADD V","PADD 5","")))))</f>
        <v/>
      </c>
      <c r="G9422" s="6">
        <f>IF(AND($H9422="ATMOS DISTILLATION",ISNUMBER(SEARCH("VPS",$I9422))=FALSE,LEFT($I9422,6)&lt;&gt;"VACUUM"),"CDU",IF($H9422="FLUID CAT CRACKING","FCC",IF(OR($H9422="HYDROCRACKING",$H9422="RESID_HYDROCRACKING"),"Hydrocracker",IF($H9422="REFORMING","Reformer",""))))</f>
        <v/>
      </c>
    </row>
    <row r="9423" spans="6:7">
      <c r="F9423" s="6">
        <f>IF($M9423="PADD I","PADD 1",IF($M9423="PADD II","PADD 2",IF($M9423="PADD III","PADD 3",IF($M9423="PADD IV","PADD 4",IF($M9423="PADD V","PADD 5","")))))</f>
        <v/>
      </c>
      <c r="G9423" s="6">
        <f>IF(AND($H9423="ATMOS DISTILLATION",ISNUMBER(SEARCH("VPS",$I9423))=FALSE,LEFT($I9423,6)&lt;&gt;"VACUUM"),"CDU",IF($H9423="FLUID CAT CRACKING","FCC",IF(OR($H9423="HYDROCRACKING",$H9423="RESID_HYDROCRACKING"),"Hydrocracker",IF($H9423="REFORMING","Reformer",""))))</f>
        <v/>
      </c>
    </row>
    <row r="9424" spans="6:7">
      <c r="F9424" s="6">
        <f>IF($M9424="PADD I","PADD 1",IF($M9424="PADD II","PADD 2",IF($M9424="PADD III","PADD 3",IF($M9424="PADD IV","PADD 4",IF($M9424="PADD V","PADD 5","")))))</f>
        <v/>
      </c>
      <c r="G9424" s="6">
        <f>IF(AND($H9424="ATMOS DISTILLATION",ISNUMBER(SEARCH("VPS",$I9424))=FALSE,LEFT($I9424,6)&lt;&gt;"VACUUM"),"CDU",IF($H9424="FLUID CAT CRACKING","FCC",IF(OR($H9424="HYDROCRACKING",$H9424="RESID_HYDROCRACKING"),"Hydrocracker",IF($H9424="REFORMING","Reformer",""))))</f>
        <v/>
      </c>
    </row>
    <row r="9425" spans="6:7">
      <c r="F9425" s="6">
        <f>IF($M9425="PADD I","PADD 1",IF($M9425="PADD II","PADD 2",IF($M9425="PADD III","PADD 3",IF($M9425="PADD IV","PADD 4",IF($M9425="PADD V","PADD 5","")))))</f>
        <v/>
      </c>
      <c r="G9425" s="6">
        <f>IF(AND($H9425="ATMOS DISTILLATION",ISNUMBER(SEARCH("VPS",$I9425))=FALSE,LEFT($I9425,6)&lt;&gt;"VACUUM"),"CDU",IF($H9425="FLUID CAT CRACKING","FCC",IF(OR($H9425="HYDROCRACKING",$H9425="RESID_HYDROCRACKING"),"Hydrocracker",IF($H9425="REFORMING","Reformer",""))))</f>
        <v/>
      </c>
    </row>
    <row r="9426" spans="6:7">
      <c r="F9426" s="6">
        <f>IF($M9426="PADD I","PADD 1",IF($M9426="PADD II","PADD 2",IF($M9426="PADD III","PADD 3",IF($M9426="PADD IV","PADD 4",IF($M9426="PADD V","PADD 5","")))))</f>
        <v/>
      </c>
      <c r="G9426" s="6">
        <f>IF(AND($H9426="ATMOS DISTILLATION",ISNUMBER(SEARCH("VPS",$I9426))=FALSE,LEFT($I9426,6)&lt;&gt;"VACUUM"),"CDU",IF($H9426="FLUID CAT CRACKING","FCC",IF(OR($H9426="HYDROCRACKING",$H9426="RESID_HYDROCRACKING"),"Hydrocracker",IF($H9426="REFORMING","Reformer",""))))</f>
        <v/>
      </c>
    </row>
    <row r="9427" spans="6:7">
      <c r="F9427" s="6">
        <f>IF($M9427="PADD I","PADD 1",IF($M9427="PADD II","PADD 2",IF($M9427="PADD III","PADD 3",IF($M9427="PADD IV","PADD 4",IF($M9427="PADD V","PADD 5","")))))</f>
        <v/>
      </c>
      <c r="G9427" s="6">
        <f>IF(AND($H9427="ATMOS DISTILLATION",ISNUMBER(SEARCH("VPS",$I9427))=FALSE,LEFT($I9427,6)&lt;&gt;"VACUUM"),"CDU",IF($H9427="FLUID CAT CRACKING","FCC",IF(OR($H9427="HYDROCRACKING",$H9427="RESID_HYDROCRACKING"),"Hydrocracker",IF($H9427="REFORMING","Reformer",""))))</f>
        <v/>
      </c>
    </row>
    <row r="9428" spans="6:7">
      <c r="F9428" s="6">
        <f>IF($M9428="PADD I","PADD 1",IF($M9428="PADD II","PADD 2",IF($M9428="PADD III","PADD 3",IF($M9428="PADD IV","PADD 4",IF($M9428="PADD V","PADD 5","")))))</f>
        <v/>
      </c>
      <c r="G9428" s="6">
        <f>IF(AND($H9428="ATMOS DISTILLATION",ISNUMBER(SEARCH("VPS",$I9428))=FALSE,LEFT($I9428,6)&lt;&gt;"VACUUM"),"CDU",IF($H9428="FLUID CAT CRACKING","FCC",IF(OR($H9428="HYDROCRACKING",$H9428="RESID_HYDROCRACKING"),"Hydrocracker",IF($H9428="REFORMING","Reformer",""))))</f>
        <v/>
      </c>
    </row>
    <row r="9429" spans="6:7">
      <c r="F9429" s="6">
        <f>IF($M9429="PADD I","PADD 1",IF($M9429="PADD II","PADD 2",IF($M9429="PADD III","PADD 3",IF($M9429="PADD IV","PADD 4",IF($M9429="PADD V","PADD 5","")))))</f>
        <v/>
      </c>
      <c r="G9429" s="6">
        <f>IF(AND($H9429="ATMOS DISTILLATION",ISNUMBER(SEARCH("VPS",$I9429))=FALSE,LEFT($I9429,6)&lt;&gt;"VACUUM"),"CDU",IF($H9429="FLUID CAT CRACKING","FCC",IF(OR($H9429="HYDROCRACKING",$H9429="RESID_HYDROCRACKING"),"Hydrocracker",IF($H9429="REFORMING","Reformer",""))))</f>
        <v/>
      </c>
    </row>
    <row r="9430" spans="6:7">
      <c r="F9430" s="6">
        <f>IF($M9430="PADD I","PADD 1",IF($M9430="PADD II","PADD 2",IF($M9430="PADD III","PADD 3",IF($M9430="PADD IV","PADD 4",IF($M9430="PADD V","PADD 5","")))))</f>
        <v/>
      </c>
      <c r="G9430" s="6">
        <f>IF(AND($H9430="ATMOS DISTILLATION",ISNUMBER(SEARCH("VPS",$I9430))=FALSE,LEFT($I9430,6)&lt;&gt;"VACUUM"),"CDU",IF($H9430="FLUID CAT CRACKING","FCC",IF(OR($H9430="HYDROCRACKING",$H9430="RESID_HYDROCRACKING"),"Hydrocracker",IF($H9430="REFORMING","Reformer",""))))</f>
        <v/>
      </c>
    </row>
    <row r="9431" spans="6:7">
      <c r="F9431" s="6">
        <f>IF($M9431="PADD I","PADD 1",IF($M9431="PADD II","PADD 2",IF($M9431="PADD III","PADD 3",IF($M9431="PADD IV","PADD 4",IF($M9431="PADD V","PADD 5","")))))</f>
        <v/>
      </c>
      <c r="G9431" s="6">
        <f>IF(AND($H9431="ATMOS DISTILLATION",ISNUMBER(SEARCH("VPS",$I9431))=FALSE,LEFT($I9431,6)&lt;&gt;"VACUUM"),"CDU",IF($H9431="FLUID CAT CRACKING","FCC",IF(OR($H9431="HYDROCRACKING",$H9431="RESID_HYDROCRACKING"),"Hydrocracker",IF($H9431="REFORMING","Reformer",""))))</f>
        <v/>
      </c>
    </row>
    <row r="9432" spans="6:7">
      <c r="F9432" s="6">
        <f>IF($M9432="PADD I","PADD 1",IF($M9432="PADD II","PADD 2",IF($M9432="PADD III","PADD 3",IF($M9432="PADD IV","PADD 4",IF($M9432="PADD V","PADD 5","")))))</f>
        <v/>
      </c>
      <c r="G9432" s="6">
        <f>IF(AND($H9432="ATMOS DISTILLATION",ISNUMBER(SEARCH("VPS",$I9432))=FALSE,LEFT($I9432,6)&lt;&gt;"VACUUM"),"CDU",IF($H9432="FLUID CAT CRACKING","FCC",IF(OR($H9432="HYDROCRACKING",$H9432="RESID_HYDROCRACKING"),"Hydrocracker",IF($H9432="REFORMING","Reformer",""))))</f>
        <v/>
      </c>
    </row>
    <row r="9433" spans="6:7">
      <c r="F9433" s="6">
        <f>IF($M9433="PADD I","PADD 1",IF($M9433="PADD II","PADD 2",IF($M9433="PADD III","PADD 3",IF($M9433="PADD IV","PADD 4",IF($M9433="PADD V","PADD 5","")))))</f>
        <v/>
      </c>
      <c r="G9433" s="6">
        <f>IF(AND($H9433="ATMOS DISTILLATION",ISNUMBER(SEARCH("VPS",$I9433))=FALSE,LEFT($I9433,6)&lt;&gt;"VACUUM"),"CDU",IF($H9433="FLUID CAT CRACKING","FCC",IF(OR($H9433="HYDROCRACKING",$H9433="RESID_HYDROCRACKING"),"Hydrocracker",IF($H9433="REFORMING","Reformer",""))))</f>
        <v/>
      </c>
    </row>
    <row r="9434" spans="6:7">
      <c r="F9434" s="6">
        <f>IF($M9434="PADD I","PADD 1",IF($M9434="PADD II","PADD 2",IF($M9434="PADD III","PADD 3",IF($M9434="PADD IV","PADD 4",IF($M9434="PADD V","PADD 5","")))))</f>
        <v/>
      </c>
      <c r="G9434" s="6">
        <f>IF(AND($H9434="ATMOS DISTILLATION",ISNUMBER(SEARCH("VPS",$I9434))=FALSE,LEFT($I9434,6)&lt;&gt;"VACUUM"),"CDU",IF($H9434="FLUID CAT CRACKING","FCC",IF(OR($H9434="HYDROCRACKING",$H9434="RESID_HYDROCRACKING"),"Hydrocracker",IF($H9434="REFORMING","Reformer",""))))</f>
        <v/>
      </c>
    </row>
    <row r="9435" spans="6:7">
      <c r="F9435" s="6">
        <f>IF($M9435="PADD I","PADD 1",IF($M9435="PADD II","PADD 2",IF($M9435="PADD III","PADD 3",IF($M9435="PADD IV","PADD 4",IF($M9435="PADD V","PADD 5","")))))</f>
        <v/>
      </c>
      <c r="G9435" s="6">
        <f>IF(AND($H9435="ATMOS DISTILLATION",ISNUMBER(SEARCH("VPS",$I9435))=FALSE,LEFT($I9435,6)&lt;&gt;"VACUUM"),"CDU",IF($H9435="FLUID CAT CRACKING","FCC",IF(OR($H9435="HYDROCRACKING",$H9435="RESID_HYDROCRACKING"),"Hydrocracker",IF($H9435="REFORMING","Reformer",""))))</f>
        <v/>
      </c>
    </row>
    <row r="9436" spans="6:7">
      <c r="F9436" s="6">
        <f>IF($M9436="PADD I","PADD 1",IF($M9436="PADD II","PADD 2",IF($M9436="PADD III","PADD 3",IF($M9436="PADD IV","PADD 4",IF($M9436="PADD V","PADD 5","")))))</f>
        <v/>
      </c>
      <c r="G9436" s="6">
        <f>IF(AND($H9436="ATMOS DISTILLATION",ISNUMBER(SEARCH("VPS",$I9436))=FALSE,LEFT($I9436,6)&lt;&gt;"VACUUM"),"CDU",IF($H9436="FLUID CAT CRACKING","FCC",IF(OR($H9436="HYDROCRACKING",$H9436="RESID_HYDROCRACKING"),"Hydrocracker",IF($H9436="REFORMING","Reformer",""))))</f>
        <v/>
      </c>
    </row>
    <row r="9437" spans="6:7">
      <c r="F9437" s="6">
        <f>IF($M9437="PADD I","PADD 1",IF($M9437="PADD II","PADD 2",IF($M9437="PADD III","PADD 3",IF($M9437="PADD IV","PADD 4",IF($M9437="PADD V","PADD 5","")))))</f>
        <v/>
      </c>
      <c r="G9437" s="6">
        <f>IF(AND($H9437="ATMOS DISTILLATION",ISNUMBER(SEARCH("VPS",$I9437))=FALSE,LEFT($I9437,6)&lt;&gt;"VACUUM"),"CDU",IF($H9437="FLUID CAT CRACKING","FCC",IF(OR($H9437="HYDROCRACKING",$H9437="RESID_HYDROCRACKING"),"Hydrocracker",IF($H9437="REFORMING","Reformer",""))))</f>
        <v/>
      </c>
    </row>
    <row r="9438" spans="6:7">
      <c r="F9438" s="6">
        <f>IF($M9438="PADD I","PADD 1",IF($M9438="PADD II","PADD 2",IF($M9438="PADD III","PADD 3",IF($M9438="PADD IV","PADD 4",IF($M9438="PADD V","PADD 5","")))))</f>
        <v/>
      </c>
      <c r="G9438" s="6">
        <f>IF(AND($H9438="ATMOS DISTILLATION",ISNUMBER(SEARCH("VPS",$I9438))=FALSE,LEFT($I9438,6)&lt;&gt;"VACUUM"),"CDU",IF($H9438="FLUID CAT CRACKING","FCC",IF(OR($H9438="HYDROCRACKING",$H9438="RESID_HYDROCRACKING"),"Hydrocracker",IF($H9438="REFORMING","Reformer",""))))</f>
        <v/>
      </c>
    </row>
    <row r="9439" spans="6:7">
      <c r="F9439" s="6">
        <f>IF($M9439="PADD I","PADD 1",IF($M9439="PADD II","PADD 2",IF($M9439="PADD III","PADD 3",IF($M9439="PADD IV","PADD 4",IF($M9439="PADD V","PADD 5","")))))</f>
        <v/>
      </c>
      <c r="G9439" s="6">
        <f>IF(AND($H9439="ATMOS DISTILLATION",ISNUMBER(SEARCH("VPS",$I9439))=FALSE,LEFT($I9439,6)&lt;&gt;"VACUUM"),"CDU",IF($H9439="FLUID CAT CRACKING","FCC",IF(OR($H9439="HYDROCRACKING",$H9439="RESID_HYDROCRACKING"),"Hydrocracker",IF($H9439="REFORMING","Reformer",""))))</f>
        <v/>
      </c>
    </row>
    <row r="9440" spans="6:7">
      <c r="F9440" s="6">
        <f>IF($M9440="PADD I","PADD 1",IF($M9440="PADD II","PADD 2",IF($M9440="PADD III","PADD 3",IF($M9440="PADD IV","PADD 4",IF($M9440="PADD V","PADD 5","")))))</f>
        <v/>
      </c>
      <c r="G9440" s="6">
        <f>IF(AND($H9440="ATMOS DISTILLATION",ISNUMBER(SEARCH("VPS",$I9440))=FALSE,LEFT($I9440,6)&lt;&gt;"VACUUM"),"CDU",IF($H9440="FLUID CAT CRACKING","FCC",IF(OR($H9440="HYDROCRACKING",$H9440="RESID_HYDROCRACKING"),"Hydrocracker",IF($H9440="REFORMING","Reformer",""))))</f>
        <v/>
      </c>
    </row>
    <row r="9441" spans="6:7">
      <c r="F9441" s="6">
        <f>IF($M9441="PADD I","PADD 1",IF($M9441="PADD II","PADD 2",IF($M9441="PADD III","PADD 3",IF($M9441="PADD IV","PADD 4",IF($M9441="PADD V","PADD 5","")))))</f>
        <v/>
      </c>
      <c r="G9441" s="6">
        <f>IF(AND($H9441="ATMOS DISTILLATION",ISNUMBER(SEARCH("VPS",$I9441))=FALSE,LEFT($I9441,6)&lt;&gt;"VACUUM"),"CDU",IF($H9441="FLUID CAT CRACKING","FCC",IF(OR($H9441="HYDROCRACKING",$H9441="RESID_HYDROCRACKING"),"Hydrocracker",IF($H9441="REFORMING","Reformer",""))))</f>
        <v/>
      </c>
    </row>
    <row r="9442" spans="6:7">
      <c r="F9442" s="6">
        <f>IF($M9442="PADD I","PADD 1",IF($M9442="PADD II","PADD 2",IF($M9442="PADD III","PADD 3",IF($M9442="PADD IV","PADD 4",IF($M9442="PADD V","PADD 5","")))))</f>
        <v/>
      </c>
      <c r="G9442" s="6">
        <f>IF(AND($H9442="ATMOS DISTILLATION",ISNUMBER(SEARCH("VPS",$I9442))=FALSE,LEFT($I9442,6)&lt;&gt;"VACUUM"),"CDU",IF($H9442="FLUID CAT CRACKING","FCC",IF(OR($H9442="HYDROCRACKING",$H9442="RESID_HYDROCRACKING"),"Hydrocracker",IF($H9442="REFORMING","Reformer",""))))</f>
        <v/>
      </c>
    </row>
    <row r="9443" spans="6:7">
      <c r="F9443" s="6">
        <f>IF($M9443="PADD I","PADD 1",IF($M9443="PADD II","PADD 2",IF($M9443="PADD III","PADD 3",IF($M9443="PADD IV","PADD 4",IF($M9443="PADD V","PADD 5","")))))</f>
        <v/>
      </c>
      <c r="G9443" s="6">
        <f>IF(AND($H9443="ATMOS DISTILLATION",ISNUMBER(SEARCH("VPS",$I9443))=FALSE,LEFT($I9443,6)&lt;&gt;"VACUUM"),"CDU",IF($H9443="FLUID CAT CRACKING","FCC",IF(OR($H9443="HYDROCRACKING",$H9443="RESID_HYDROCRACKING"),"Hydrocracker",IF($H9443="REFORMING","Reformer",""))))</f>
        <v/>
      </c>
    </row>
    <row r="9444" spans="6:7">
      <c r="F9444" s="6">
        <f>IF($M9444="PADD I","PADD 1",IF($M9444="PADD II","PADD 2",IF($M9444="PADD III","PADD 3",IF($M9444="PADD IV","PADD 4",IF($M9444="PADD V","PADD 5","")))))</f>
        <v/>
      </c>
      <c r="G9444" s="6">
        <f>IF(AND($H9444="ATMOS DISTILLATION",ISNUMBER(SEARCH("VPS",$I9444))=FALSE,LEFT($I9444,6)&lt;&gt;"VACUUM"),"CDU",IF($H9444="FLUID CAT CRACKING","FCC",IF(OR($H9444="HYDROCRACKING",$H9444="RESID_HYDROCRACKING"),"Hydrocracker",IF($H9444="REFORMING","Reformer",""))))</f>
        <v/>
      </c>
    </row>
    <row r="9445" spans="6:7">
      <c r="F9445" s="6">
        <f>IF($M9445="PADD I","PADD 1",IF($M9445="PADD II","PADD 2",IF($M9445="PADD III","PADD 3",IF($M9445="PADD IV","PADD 4",IF($M9445="PADD V","PADD 5","")))))</f>
        <v/>
      </c>
      <c r="G9445" s="6">
        <f>IF(AND($H9445="ATMOS DISTILLATION",ISNUMBER(SEARCH("VPS",$I9445))=FALSE,LEFT($I9445,6)&lt;&gt;"VACUUM"),"CDU",IF($H9445="FLUID CAT CRACKING","FCC",IF(OR($H9445="HYDROCRACKING",$H9445="RESID_HYDROCRACKING"),"Hydrocracker",IF($H9445="REFORMING","Reformer",""))))</f>
        <v/>
      </c>
    </row>
    <row r="9446" spans="6:7">
      <c r="F9446" s="6">
        <f>IF($M9446="PADD I","PADD 1",IF($M9446="PADD II","PADD 2",IF($M9446="PADD III","PADD 3",IF($M9446="PADD IV","PADD 4",IF($M9446="PADD V","PADD 5","")))))</f>
        <v/>
      </c>
      <c r="G9446" s="6">
        <f>IF(AND($H9446="ATMOS DISTILLATION",ISNUMBER(SEARCH("VPS",$I9446))=FALSE,LEFT($I9446,6)&lt;&gt;"VACUUM"),"CDU",IF($H9446="FLUID CAT CRACKING","FCC",IF(OR($H9446="HYDROCRACKING",$H9446="RESID_HYDROCRACKING"),"Hydrocracker",IF($H9446="REFORMING","Reformer",""))))</f>
        <v/>
      </c>
    </row>
    <row r="9447" spans="6:7">
      <c r="F9447" s="6">
        <f>IF($M9447="PADD I","PADD 1",IF($M9447="PADD II","PADD 2",IF($M9447="PADD III","PADD 3",IF($M9447="PADD IV","PADD 4",IF($M9447="PADD V","PADD 5","")))))</f>
        <v/>
      </c>
      <c r="G9447" s="6">
        <f>IF(AND($H9447="ATMOS DISTILLATION",ISNUMBER(SEARCH("VPS",$I9447))=FALSE,LEFT($I9447,6)&lt;&gt;"VACUUM"),"CDU",IF($H9447="FLUID CAT CRACKING","FCC",IF(OR($H9447="HYDROCRACKING",$H9447="RESID_HYDROCRACKING"),"Hydrocracker",IF($H9447="REFORMING","Reformer",""))))</f>
        <v/>
      </c>
    </row>
    <row r="9448" spans="6:7">
      <c r="F9448" s="6">
        <f>IF($M9448="PADD I","PADD 1",IF($M9448="PADD II","PADD 2",IF($M9448="PADD III","PADD 3",IF($M9448="PADD IV","PADD 4",IF($M9448="PADD V","PADD 5","")))))</f>
        <v/>
      </c>
      <c r="G9448" s="6">
        <f>IF(AND($H9448="ATMOS DISTILLATION",ISNUMBER(SEARCH("VPS",$I9448))=FALSE,LEFT($I9448,6)&lt;&gt;"VACUUM"),"CDU",IF($H9448="FLUID CAT CRACKING","FCC",IF(OR($H9448="HYDROCRACKING",$H9448="RESID_HYDROCRACKING"),"Hydrocracker",IF($H9448="REFORMING","Reformer",""))))</f>
        <v/>
      </c>
    </row>
    <row r="9449" spans="6:7">
      <c r="F9449" s="6">
        <f>IF($M9449="PADD I","PADD 1",IF($M9449="PADD II","PADD 2",IF($M9449="PADD III","PADD 3",IF($M9449="PADD IV","PADD 4",IF($M9449="PADD V","PADD 5","")))))</f>
        <v/>
      </c>
      <c r="G9449" s="6">
        <f>IF(AND($H9449="ATMOS DISTILLATION",ISNUMBER(SEARCH("VPS",$I9449))=FALSE,LEFT($I9449,6)&lt;&gt;"VACUUM"),"CDU",IF($H9449="FLUID CAT CRACKING","FCC",IF(OR($H9449="HYDROCRACKING",$H9449="RESID_HYDROCRACKING"),"Hydrocracker",IF($H9449="REFORMING","Reformer",""))))</f>
        <v/>
      </c>
    </row>
    <row r="9450" spans="6:7">
      <c r="F9450" s="6">
        <f>IF($M9450="PADD I","PADD 1",IF($M9450="PADD II","PADD 2",IF($M9450="PADD III","PADD 3",IF($M9450="PADD IV","PADD 4",IF($M9450="PADD V","PADD 5","")))))</f>
        <v/>
      </c>
      <c r="G9450" s="6">
        <f>IF(AND($H9450="ATMOS DISTILLATION",ISNUMBER(SEARCH("VPS",$I9450))=FALSE,LEFT($I9450,6)&lt;&gt;"VACUUM"),"CDU",IF($H9450="FLUID CAT CRACKING","FCC",IF(OR($H9450="HYDROCRACKING",$H9450="RESID_HYDROCRACKING"),"Hydrocracker",IF($H9450="REFORMING","Reformer",""))))</f>
        <v/>
      </c>
    </row>
    <row r="9451" spans="6:7">
      <c r="F9451" s="6">
        <f>IF($M9451="PADD I","PADD 1",IF($M9451="PADD II","PADD 2",IF($M9451="PADD III","PADD 3",IF($M9451="PADD IV","PADD 4",IF($M9451="PADD V","PADD 5","")))))</f>
        <v/>
      </c>
      <c r="G9451" s="6">
        <f>IF(AND($H9451="ATMOS DISTILLATION",ISNUMBER(SEARCH("VPS",$I9451))=FALSE,LEFT($I9451,6)&lt;&gt;"VACUUM"),"CDU",IF($H9451="FLUID CAT CRACKING","FCC",IF(OR($H9451="HYDROCRACKING",$H9451="RESID_HYDROCRACKING"),"Hydrocracker",IF($H9451="REFORMING","Reformer",""))))</f>
        <v/>
      </c>
    </row>
    <row r="9452" spans="6:7">
      <c r="F9452" s="6">
        <f>IF($M9452="PADD I","PADD 1",IF($M9452="PADD II","PADD 2",IF($M9452="PADD III","PADD 3",IF($M9452="PADD IV","PADD 4",IF($M9452="PADD V","PADD 5","")))))</f>
        <v/>
      </c>
      <c r="G9452" s="6">
        <f>IF(AND($H9452="ATMOS DISTILLATION",ISNUMBER(SEARCH("VPS",$I9452))=FALSE,LEFT($I9452,6)&lt;&gt;"VACUUM"),"CDU",IF($H9452="FLUID CAT CRACKING","FCC",IF(OR($H9452="HYDROCRACKING",$H9452="RESID_HYDROCRACKING"),"Hydrocracker",IF($H9452="REFORMING","Reformer",""))))</f>
        <v/>
      </c>
    </row>
    <row r="9453" spans="6:7">
      <c r="F9453" s="6">
        <f>IF($M9453="PADD I","PADD 1",IF($M9453="PADD II","PADD 2",IF($M9453="PADD III","PADD 3",IF($M9453="PADD IV","PADD 4",IF($M9453="PADD V","PADD 5","")))))</f>
        <v/>
      </c>
      <c r="G9453" s="6">
        <f>IF(AND($H9453="ATMOS DISTILLATION",ISNUMBER(SEARCH("VPS",$I9453))=FALSE,LEFT($I9453,6)&lt;&gt;"VACUUM"),"CDU",IF($H9453="FLUID CAT CRACKING","FCC",IF(OR($H9453="HYDROCRACKING",$H9453="RESID_HYDROCRACKING"),"Hydrocracker",IF($H9453="REFORMING","Reformer",""))))</f>
        <v/>
      </c>
    </row>
    <row r="9454" spans="6:7">
      <c r="F9454" s="6">
        <f>IF($M9454="PADD I","PADD 1",IF($M9454="PADD II","PADD 2",IF($M9454="PADD III","PADD 3",IF($M9454="PADD IV","PADD 4",IF($M9454="PADD V","PADD 5","")))))</f>
        <v/>
      </c>
      <c r="G9454" s="6">
        <f>IF(AND($H9454="ATMOS DISTILLATION",ISNUMBER(SEARCH("VPS",$I9454))=FALSE,LEFT($I9454,6)&lt;&gt;"VACUUM"),"CDU",IF($H9454="FLUID CAT CRACKING","FCC",IF(OR($H9454="HYDROCRACKING",$H9454="RESID_HYDROCRACKING"),"Hydrocracker",IF($H9454="REFORMING","Reformer",""))))</f>
        <v/>
      </c>
    </row>
    <row r="9455" spans="6:7">
      <c r="F9455" s="6">
        <f>IF($M9455="PADD I","PADD 1",IF($M9455="PADD II","PADD 2",IF($M9455="PADD III","PADD 3",IF($M9455="PADD IV","PADD 4",IF($M9455="PADD V","PADD 5","")))))</f>
        <v/>
      </c>
      <c r="G9455" s="6">
        <f>IF(AND($H9455="ATMOS DISTILLATION",ISNUMBER(SEARCH("VPS",$I9455))=FALSE,LEFT($I9455,6)&lt;&gt;"VACUUM"),"CDU",IF($H9455="FLUID CAT CRACKING","FCC",IF(OR($H9455="HYDROCRACKING",$H9455="RESID_HYDROCRACKING"),"Hydrocracker",IF($H9455="REFORMING","Reformer",""))))</f>
        <v/>
      </c>
    </row>
    <row r="9456" spans="6:7">
      <c r="F9456" s="6">
        <f>IF($M9456="PADD I","PADD 1",IF($M9456="PADD II","PADD 2",IF($M9456="PADD III","PADD 3",IF($M9456="PADD IV","PADD 4",IF($M9456="PADD V","PADD 5","")))))</f>
        <v/>
      </c>
      <c r="G9456" s="6">
        <f>IF(AND($H9456="ATMOS DISTILLATION",ISNUMBER(SEARCH("VPS",$I9456))=FALSE,LEFT($I9456,6)&lt;&gt;"VACUUM"),"CDU",IF($H9456="FLUID CAT CRACKING","FCC",IF(OR($H9456="HYDROCRACKING",$H9456="RESID_HYDROCRACKING"),"Hydrocracker",IF($H9456="REFORMING","Reformer",""))))</f>
        <v/>
      </c>
    </row>
    <row r="9457" spans="6:7">
      <c r="F9457" s="6">
        <f>IF($M9457="PADD I","PADD 1",IF($M9457="PADD II","PADD 2",IF($M9457="PADD III","PADD 3",IF($M9457="PADD IV","PADD 4",IF($M9457="PADD V","PADD 5","")))))</f>
        <v/>
      </c>
      <c r="G9457" s="6">
        <f>IF(AND($H9457="ATMOS DISTILLATION",ISNUMBER(SEARCH("VPS",$I9457))=FALSE,LEFT($I9457,6)&lt;&gt;"VACUUM"),"CDU",IF($H9457="FLUID CAT CRACKING","FCC",IF(OR($H9457="HYDROCRACKING",$H9457="RESID_HYDROCRACKING"),"Hydrocracker",IF($H9457="REFORMING","Reformer",""))))</f>
        <v/>
      </c>
    </row>
    <row r="9458" spans="6:7">
      <c r="F9458" s="6">
        <f>IF($M9458="PADD I","PADD 1",IF($M9458="PADD II","PADD 2",IF($M9458="PADD III","PADD 3",IF($M9458="PADD IV","PADD 4",IF($M9458="PADD V","PADD 5","")))))</f>
        <v/>
      </c>
      <c r="G9458" s="6">
        <f>IF(AND($H9458="ATMOS DISTILLATION",ISNUMBER(SEARCH("VPS",$I9458))=FALSE,LEFT($I9458,6)&lt;&gt;"VACUUM"),"CDU",IF($H9458="FLUID CAT CRACKING","FCC",IF(OR($H9458="HYDROCRACKING",$H9458="RESID_HYDROCRACKING"),"Hydrocracker",IF($H9458="REFORMING","Reformer",""))))</f>
        <v/>
      </c>
    </row>
    <row r="9459" spans="6:7">
      <c r="F9459" s="6">
        <f>IF($M9459="PADD I","PADD 1",IF($M9459="PADD II","PADD 2",IF($M9459="PADD III","PADD 3",IF($M9459="PADD IV","PADD 4",IF($M9459="PADD V","PADD 5","")))))</f>
        <v/>
      </c>
      <c r="G9459" s="6">
        <f>IF(AND($H9459="ATMOS DISTILLATION",ISNUMBER(SEARCH("VPS",$I9459))=FALSE,LEFT($I9459,6)&lt;&gt;"VACUUM"),"CDU",IF($H9459="FLUID CAT CRACKING","FCC",IF(OR($H9459="HYDROCRACKING",$H9459="RESID_HYDROCRACKING"),"Hydrocracker",IF($H9459="REFORMING","Reformer",""))))</f>
        <v/>
      </c>
    </row>
    <row r="9460" spans="6:7">
      <c r="F9460" s="6">
        <f>IF($M9460="PADD I","PADD 1",IF($M9460="PADD II","PADD 2",IF($M9460="PADD III","PADD 3",IF($M9460="PADD IV","PADD 4",IF($M9460="PADD V","PADD 5","")))))</f>
        <v/>
      </c>
      <c r="G9460" s="6">
        <f>IF(AND($H9460="ATMOS DISTILLATION",ISNUMBER(SEARCH("VPS",$I9460))=FALSE,LEFT($I9460,6)&lt;&gt;"VACUUM"),"CDU",IF($H9460="FLUID CAT CRACKING","FCC",IF(OR($H9460="HYDROCRACKING",$H9460="RESID_HYDROCRACKING"),"Hydrocracker",IF($H9460="REFORMING","Reformer",""))))</f>
        <v/>
      </c>
    </row>
    <row r="9461" spans="6:7">
      <c r="F9461" s="6">
        <f>IF($M9461="PADD I","PADD 1",IF($M9461="PADD II","PADD 2",IF($M9461="PADD III","PADD 3",IF($M9461="PADD IV","PADD 4",IF($M9461="PADD V","PADD 5","")))))</f>
        <v/>
      </c>
      <c r="G9461" s="6">
        <f>IF(AND($H9461="ATMOS DISTILLATION",ISNUMBER(SEARCH("VPS",$I9461))=FALSE,LEFT($I9461,6)&lt;&gt;"VACUUM"),"CDU",IF($H9461="FLUID CAT CRACKING","FCC",IF(OR($H9461="HYDROCRACKING",$H9461="RESID_HYDROCRACKING"),"Hydrocracker",IF($H9461="REFORMING","Reformer",""))))</f>
        <v/>
      </c>
    </row>
    <row r="9462" spans="6:7">
      <c r="F9462" s="6">
        <f>IF($M9462="PADD I","PADD 1",IF($M9462="PADD II","PADD 2",IF($M9462="PADD III","PADD 3",IF($M9462="PADD IV","PADD 4",IF($M9462="PADD V","PADD 5","")))))</f>
        <v/>
      </c>
      <c r="G9462" s="6">
        <f>IF(AND($H9462="ATMOS DISTILLATION",ISNUMBER(SEARCH("VPS",$I9462))=FALSE,LEFT($I9462,6)&lt;&gt;"VACUUM"),"CDU",IF($H9462="FLUID CAT CRACKING","FCC",IF(OR($H9462="HYDROCRACKING",$H9462="RESID_HYDROCRACKING"),"Hydrocracker",IF($H9462="REFORMING","Reformer",""))))</f>
        <v/>
      </c>
    </row>
    <row r="9463" spans="6:7">
      <c r="F9463" s="6">
        <f>IF($M9463="PADD I","PADD 1",IF($M9463="PADD II","PADD 2",IF($M9463="PADD III","PADD 3",IF($M9463="PADD IV","PADD 4",IF($M9463="PADD V","PADD 5","")))))</f>
        <v/>
      </c>
      <c r="G9463" s="6">
        <f>IF(AND($H9463="ATMOS DISTILLATION",ISNUMBER(SEARCH("VPS",$I9463))=FALSE,LEFT($I9463,6)&lt;&gt;"VACUUM"),"CDU",IF($H9463="FLUID CAT CRACKING","FCC",IF(OR($H9463="HYDROCRACKING",$H9463="RESID_HYDROCRACKING"),"Hydrocracker",IF($H9463="REFORMING","Reformer",""))))</f>
        <v/>
      </c>
    </row>
    <row r="9464" spans="6:7">
      <c r="F9464" s="6">
        <f>IF($M9464="PADD I","PADD 1",IF($M9464="PADD II","PADD 2",IF($M9464="PADD III","PADD 3",IF($M9464="PADD IV","PADD 4",IF($M9464="PADD V","PADD 5","")))))</f>
        <v/>
      </c>
      <c r="G9464" s="6">
        <f>IF(AND($H9464="ATMOS DISTILLATION",ISNUMBER(SEARCH("VPS",$I9464))=FALSE,LEFT($I9464,6)&lt;&gt;"VACUUM"),"CDU",IF($H9464="FLUID CAT CRACKING","FCC",IF(OR($H9464="HYDROCRACKING",$H9464="RESID_HYDROCRACKING"),"Hydrocracker",IF($H9464="REFORMING","Reformer",""))))</f>
        <v/>
      </c>
    </row>
    <row r="9465" spans="6:7">
      <c r="F9465" s="6">
        <f>IF($M9465="PADD I","PADD 1",IF($M9465="PADD II","PADD 2",IF($M9465="PADD III","PADD 3",IF($M9465="PADD IV","PADD 4",IF($M9465="PADD V","PADD 5","")))))</f>
        <v/>
      </c>
      <c r="G9465" s="6">
        <f>IF(AND($H9465="ATMOS DISTILLATION",ISNUMBER(SEARCH("VPS",$I9465))=FALSE,LEFT($I9465,6)&lt;&gt;"VACUUM"),"CDU",IF($H9465="FLUID CAT CRACKING","FCC",IF(OR($H9465="HYDROCRACKING",$H9465="RESID_HYDROCRACKING"),"Hydrocracker",IF($H9465="REFORMING","Reformer",""))))</f>
        <v/>
      </c>
    </row>
    <row r="9466" spans="6:7">
      <c r="F9466" s="6">
        <f>IF($M9466="PADD I","PADD 1",IF($M9466="PADD II","PADD 2",IF($M9466="PADD III","PADD 3",IF($M9466="PADD IV","PADD 4",IF($M9466="PADD V","PADD 5","")))))</f>
        <v/>
      </c>
      <c r="G9466" s="6">
        <f>IF(AND($H9466="ATMOS DISTILLATION",ISNUMBER(SEARCH("VPS",$I9466))=FALSE,LEFT($I9466,6)&lt;&gt;"VACUUM"),"CDU",IF($H9466="FLUID CAT CRACKING","FCC",IF(OR($H9466="HYDROCRACKING",$H9466="RESID_HYDROCRACKING"),"Hydrocracker",IF($H9466="REFORMING","Reformer",""))))</f>
        <v/>
      </c>
    </row>
    <row r="9467" spans="6:7">
      <c r="F9467" s="6">
        <f>IF($M9467="PADD I","PADD 1",IF($M9467="PADD II","PADD 2",IF($M9467="PADD III","PADD 3",IF($M9467="PADD IV","PADD 4",IF($M9467="PADD V","PADD 5","")))))</f>
        <v/>
      </c>
      <c r="G9467" s="6">
        <f>IF(AND($H9467="ATMOS DISTILLATION",ISNUMBER(SEARCH("VPS",$I9467))=FALSE,LEFT($I9467,6)&lt;&gt;"VACUUM"),"CDU",IF($H9467="FLUID CAT CRACKING","FCC",IF(OR($H9467="HYDROCRACKING",$H9467="RESID_HYDROCRACKING"),"Hydrocracker",IF($H9467="REFORMING","Reformer",""))))</f>
        <v/>
      </c>
    </row>
    <row r="9468" spans="6:7">
      <c r="F9468" s="6">
        <f>IF($M9468="PADD I","PADD 1",IF($M9468="PADD II","PADD 2",IF($M9468="PADD III","PADD 3",IF($M9468="PADD IV","PADD 4",IF($M9468="PADD V","PADD 5","")))))</f>
        <v/>
      </c>
      <c r="G9468" s="6">
        <f>IF(AND($H9468="ATMOS DISTILLATION",ISNUMBER(SEARCH("VPS",$I9468))=FALSE,LEFT($I9468,6)&lt;&gt;"VACUUM"),"CDU",IF($H9468="FLUID CAT CRACKING","FCC",IF(OR($H9468="HYDROCRACKING",$H9468="RESID_HYDROCRACKING"),"Hydrocracker",IF($H9468="REFORMING","Reformer",""))))</f>
        <v/>
      </c>
    </row>
    <row r="9469" spans="6:7">
      <c r="F9469" s="6">
        <f>IF($M9469="PADD I","PADD 1",IF($M9469="PADD II","PADD 2",IF($M9469="PADD III","PADD 3",IF($M9469="PADD IV","PADD 4",IF($M9469="PADD V","PADD 5","")))))</f>
        <v/>
      </c>
      <c r="G9469" s="6">
        <f>IF(AND($H9469="ATMOS DISTILLATION",ISNUMBER(SEARCH("VPS",$I9469))=FALSE,LEFT($I9469,6)&lt;&gt;"VACUUM"),"CDU",IF($H9469="FLUID CAT CRACKING","FCC",IF(OR($H9469="HYDROCRACKING",$H9469="RESID_HYDROCRACKING"),"Hydrocracker",IF($H9469="REFORMING","Reformer",""))))</f>
        <v/>
      </c>
    </row>
    <row r="9470" spans="6:7">
      <c r="F9470" s="6">
        <f>IF($M9470="PADD I","PADD 1",IF($M9470="PADD II","PADD 2",IF($M9470="PADD III","PADD 3",IF($M9470="PADD IV","PADD 4",IF($M9470="PADD V","PADD 5","")))))</f>
        <v/>
      </c>
      <c r="G9470" s="6">
        <f>IF(AND($H9470="ATMOS DISTILLATION",ISNUMBER(SEARCH("VPS",$I9470))=FALSE,LEFT($I9470,6)&lt;&gt;"VACUUM"),"CDU",IF($H9470="FLUID CAT CRACKING","FCC",IF(OR($H9470="HYDROCRACKING",$H9470="RESID_HYDROCRACKING"),"Hydrocracker",IF($H9470="REFORMING","Reformer",""))))</f>
        <v/>
      </c>
    </row>
    <row r="9471" spans="6:7">
      <c r="F9471" s="6">
        <f>IF($M9471="PADD I","PADD 1",IF($M9471="PADD II","PADD 2",IF($M9471="PADD III","PADD 3",IF($M9471="PADD IV","PADD 4",IF($M9471="PADD V","PADD 5","")))))</f>
        <v/>
      </c>
      <c r="G9471" s="6">
        <f>IF(AND($H9471="ATMOS DISTILLATION",ISNUMBER(SEARCH("VPS",$I9471))=FALSE,LEFT($I9471,6)&lt;&gt;"VACUUM"),"CDU",IF($H9471="FLUID CAT CRACKING","FCC",IF(OR($H9471="HYDROCRACKING",$H9471="RESID_HYDROCRACKING"),"Hydrocracker",IF($H9471="REFORMING","Reformer",""))))</f>
        <v/>
      </c>
    </row>
    <row r="9472" spans="6:7">
      <c r="F9472" s="6">
        <f>IF($M9472="PADD I","PADD 1",IF($M9472="PADD II","PADD 2",IF($M9472="PADD III","PADD 3",IF($M9472="PADD IV","PADD 4",IF($M9472="PADD V","PADD 5","")))))</f>
        <v/>
      </c>
      <c r="G9472" s="6">
        <f>IF(AND($H9472="ATMOS DISTILLATION",ISNUMBER(SEARCH("VPS",$I9472))=FALSE,LEFT($I9472,6)&lt;&gt;"VACUUM"),"CDU",IF($H9472="FLUID CAT CRACKING","FCC",IF(OR($H9472="HYDROCRACKING",$H9472="RESID_HYDROCRACKING"),"Hydrocracker",IF($H9472="REFORMING","Reformer",""))))</f>
        <v/>
      </c>
    </row>
    <row r="9473" spans="6:7">
      <c r="F9473" s="6">
        <f>IF($M9473="PADD I","PADD 1",IF($M9473="PADD II","PADD 2",IF($M9473="PADD III","PADD 3",IF($M9473="PADD IV","PADD 4",IF($M9473="PADD V","PADD 5","")))))</f>
        <v/>
      </c>
      <c r="G9473" s="6">
        <f>IF(AND($H9473="ATMOS DISTILLATION",ISNUMBER(SEARCH("VPS",$I9473))=FALSE,LEFT($I9473,6)&lt;&gt;"VACUUM"),"CDU",IF($H9473="FLUID CAT CRACKING","FCC",IF(OR($H9473="HYDROCRACKING",$H9473="RESID_HYDROCRACKING"),"Hydrocracker",IF($H9473="REFORMING","Reformer",""))))</f>
        <v/>
      </c>
    </row>
    <row r="9474" spans="6:7">
      <c r="F9474" s="6">
        <f>IF($M9474="PADD I","PADD 1",IF($M9474="PADD II","PADD 2",IF($M9474="PADD III","PADD 3",IF($M9474="PADD IV","PADD 4",IF($M9474="PADD V","PADD 5","")))))</f>
        <v/>
      </c>
      <c r="G9474" s="6">
        <f>IF(AND($H9474="ATMOS DISTILLATION",ISNUMBER(SEARCH("VPS",$I9474))=FALSE,LEFT($I9474,6)&lt;&gt;"VACUUM"),"CDU",IF($H9474="FLUID CAT CRACKING","FCC",IF(OR($H9474="HYDROCRACKING",$H9474="RESID_HYDROCRACKING"),"Hydrocracker",IF($H9474="REFORMING","Reformer",""))))</f>
        <v/>
      </c>
    </row>
    <row r="9475" spans="6:7">
      <c r="F9475" s="6">
        <f>IF($M9475="PADD I","PADD 1",IF($M9475="PADD II","PADD 2",IF($M9475="PADD III","PADD 3",IF($M9475="PADD IV","PADD 4",IF($M9475="PADD V","PADD 5","")))))</f>
        <v/>
      </c>
      <c r="G9475" s="6">
        <f>IF(AND($H9475="ATMOS DISTILLATION",ISNUMBER(SEARCH("VPS",$I9475))=FALSE,LEFT($I9475,6)&lt;&gt;"VACUUM"),"CDU",IF($H9475="FLUID CAT CRACKING","FCC",IF(OR($H9475="HYDROCRACKING",$H9475="RESID_HYDROCRACKING"),"Hydrocracker",IF($H9475="REFORMING","Reformer",""))))</f>
        <v/>
      </c>
    </row>
    <row r="9476" spans="6:7">
      <c r="F9476" s="6">
        <f>IF($M9476="PADD I","PADD 1",IF($M9476="PADD II","PADD 2",IF($M9476="PADD III","PADD 3",IF($M9476="PADD IV","PADD 4",IF($M9476="PADD V","PADD 5","")))))</f>
        <v/>
      </c>
      <c r="G9476" s="6">
        <f>IF(AND($H9476="ATMOS DISTILLATION",ISNUMBER(SEARCH("VPS",$I9476))=FALSE,LEFT($I9476,6)&lt;&gt;"VACUUM"),"CDU",IF($H9476="FLUID CAT CRACKING","FCC",IF(OR($H9476="HYDROCRACKING",$H9476="RESID_HYDROCRACKING"),"Hydrocracker",IF($H9476="REFORMING","Reformer",""))))</f>
        <v/>
      </c>
    </row>
    <row r="9477" spans="6:7">
      <c r="F9477" s="6">
        <f>IF($M9477="PADD I","PADD 1",IF($M9477="PADD II","PADD 2",IF($M9477="PADD III","PADD 3",IF($M9477="PADD IV","PADD 4",IF($M9477="PADD V","PADD 5","")))))</f>
        <v/>
      </c>
      <c r="G9477" s="6">
        <f>IF(AND($H9477="ATMOS DISTILLATION",ISNUMBER(SEARCH("VPS",$I9477))=FALSE,LEFT($I9477,6)&lt;&gt;"VACUUM"),"CDU",IF($H9477="FLUID CAT CRACKING","FCC",IF(OR($H9477="HYDROCRACKING",$H9477="RESID_HYDROCRACKING"),"Hydrocracker",IF($H9477="REFORMING","Reformer",""))))</f>
        <v/>
      </c>
    </row>
    <row r="9478" spans="6:7">
      <c r="F9478" s="6">
        <f>IF($M9478="PADD I","PADD 1",IF($M9478="PADD II","PADD 2",IF($M9478="PADD III","PADD 3",IF($M9478="PADD IV","PADD 4",IF($M9478="PADD V","PADD 5","")))))</f>
        <v/>
      </c>
      <c r="G9478" s="6">
        <f>IF(AND($H9478="ATMOS DISTILLATION",ISNUMBER(SEARCH("VPS",$I9478))=FALSE,LEFT($I9478,6)&lt;&gt;"VACUUM"),"CDU",IF($H9478="FLUID CAT CRACKING","FCC",IF(OR($H9478="HYDROCRACKING",$H9478="RESID_HYDROCRACKING"),"Hydrocracker",IF($H9478="REFORMING","Reformer",""))))</f>
        <v/>
      </c>
    </row>
    <row r="9479" spans="6:7">
      <c r="F9479" s="6">
        <f>IF($M9479="PADD I","PADD 1",IF($M9479="PADD II","PADD 2",IF($M9479="PADD III","PADD 3",IF($M9479="PADD IV","PADD 4",IF($M9479="PADD V","PADD 5","")))))</f>
        <v/>
      </c>
      <c r="G9479" s="6">
        <f>IF(AND($H9479="ATMOS DISTILLATION",ISNUMBER(SEARCH("VPS",$I9479))=FALSE,LEFT($I9479,6)&lt;&gt;"VACUUM"),"CDU",IF($H9479="FLUID CAT CRACKING","FCC",IF(OR($H9479="HYDROCRACKING",$H9479="RESID_HYDROCRACKING"),"Hydrocracker",IF($H9479="REFORMING","Reformer",""))))</f>
        <v/>
      </c>
    </row>
    <row r="9480" spans="6:7">
      <c r="F9480" s="6">
        <f>IF($M9480="PADD I","PADD 1",IF($M9480="PADD II","PADD 2",IF($M9480="PADD III","PADD 3",IF($M9480="PADD IV","PADD 4",IF($M9480="PADD V","PADD 5","")))))</f>
        <v/>
      </c>
      <c r="G9480" s="6">
        <f>IF(AND($H9480="ATMOS DISTILLATION",ISNUMBER(SEARCH("VPS",$I9480))=FALSE,LEFT($I9480,6)&lt;&gt;"VACUUM"),"CDU",IF($H9480="FLUID CAT CRACKING","FCC",IF(OR($H9480="HYDROCRACKING",$H9480="RESID_HYDROCRACKING"),"Hydrocracker",IF($H9480="REFORMING","Reformer",""))))</f>
        <v/>
      </c>
    </row>
    <row r="9481" spans="6:7">
      <c r="F9481" s="6">
        <f>IF($M9481="PADD I","PADD 1",IF($M9481="PADD II","PADD 2",IF($M9481="PADD III","PADD 3",IF($M9481="PADD IV","PADD 4",IF($M9481="PADD V","PADD 5","")))))</f>
        <v/>
      </c>
      <c r="G9481" s="6">
        <f>IF(AND($H9481="ATMOS DISTILLATION",ISNUMBER(SEARCH("VPS",$I9481))=FALSE,LEFT($I9481,6)&lt;&gt;"VACUUM"),"CDU",IF($H9481="FLUID CAT CRACKING","FCC",IF(OR($H9481="HYDROCRACKING",$H9481="RESID_HYDROCRACKING"),"Hydrocracker",IF($H9481="REFORMING","Reformer",""))))</f>
        <v/>
      </c>
    </row>
    <row r="9482" spans="6:7">
      <c r="F9482" s="6">
        <f>IF($M9482="PADD I","PADD 1",IF($M9482="PADD II","PADD 2",IF($M9482="PADD III","PADD 3",IF($M9482="PADD IV","PADD 4",IF($M9482="PADD V","PADD 5","")))))</f>
        <v/>
      </c>
      <c r="G9482" s="6">
        <f>IF(AND($H9482="ATMOS DISTILLATION",ISNUMBER(SEARCH("VPS",$I9482))=FALSE,LEFT($I9482,6)&lt;&gt;"VACUUM"),"CDU",IF($H9482="FLUID CAT CRACKING","FCC",IF(OR($H9482="HYDROCRACKING",$H9482="RESID_HYDROCRACKING"),"Hydrocracker",IF($H9482="REFORMING","Reformer",""))))</f>
        <v/>
      </c>
    </row>
    <row r="9483" spans="6:7">
      <c r="F9483" s="6">
        <f>IF($M9483="PADD I","PADD 1",IF($M9483="PADD II","PADD 2",IF($M9483="PADD III","PADD 3",IF($M9483="PADD IV","PADD 4",IF($M9483="PADD V","PADD 5","")))))</f>
        <v/>
      </c>
      <c r="G9483" s="6">
        <f>IF(AND($H9483="ATMOS DISTILLATION",ISNUMBER(SEARCH("VPS",$I9483))=FALSE,LEFT($I9483,6)&lt;&gt;"VACUUM"),"CDU",IF($H9483="FLUID CAT CRACKING","FCC",IF(OR($H9483="HYDROCRACKING",$H9483="RESID_HYDROCRACKING"),"Hydrocracker",IF($H9483="REFORMING","Reformer",""))))</f>
        <v/>
      </c>
    </row>
    <row r="9484" spans="6:7">
      <c r="F9484" s="6">
        <f>IF($M9484="PADD I","PADD 1",IF($M9484="PADD II","PADD 2",IF($M9484="PADD III","PADD 3",IF($M9484="PADD IV","PADD 4",IF($M9484="PADD V","PADD 5","")))))</f>
        <v/>
      </c>
      <c r="G9484" s="6">
        <f>IF(AND($H9484="ATMOS DISTILLATION",ISNUMBER(SEARCH("VPS",$I9484))=FALSE,LEFT($I9484,6)&lt;&gt;"VACUUM"),"CDU",IF($H9484="FLUID CAT CRACKING","FCC",IF(OR($H9484="HYDROCRACKING",$H9484="RESID_HYDROCRACKING"),"Hydrocracker",IF($H9484="REFORMING","Reformer",""))))</f>
        <v/>
      </c>
    </row>
    <row r="9485" spans="6:7">
      <c r="F9485" s="6">
        <f>IF($M9485="PADD I","PADD 1",IF($M9485="PADD II","PADD 2",IF($M9485="PADD III","PADD 3",IF($M9485="PADD IV","PADD 4",IF($M9485="PADD V","PADD 5","")))))</f>
        <v/>
      </c>
      <c r="G9485" s="6">
        <f>IF(AND($H9485="ATMOS DISTILLATION",ISNUMBER(SEARCH("VPS",$I9485))=FALSE,LEFT($I9485,6)&lt;&gt;"VACUUM"),"CDU",IF($H9485="FLUID CAT CRACKING","FCC",IF(OR($H9485="HYDROCRACKING",$H9485="RESID_HYDROCRACKING"),"Hydrocracker",IF($H9485="REFORMING","Reformer",""))))</f>
        <v/>
      </c>
    </row>
    <row r="9486" spans="6:7">
      <c r="F9486" s="6">
        <f>IF($M9486="PADD I","PADD 1",IF($M9486="PADD II","PADD 2",IF($M9486="PADD III","PADD 3",IF($M9486="PADD IV","PADD 4",IF($M9486="PADD V","PADD 5","")))))</f>
        <v/>
      </c>
      <c r="G9486" s="6">
        <f>IF(AND($H9486="ATMOS DISTILLATION",ISNUMBER(SEARCH("VPS",$I9486))=FALSE,LEFT($I9486,6)&lt;&gt;"VACUUM"),"CDU",IF($H9486="FLUID CAT CRACKING","FCC",IF(OR($H9486="HYDROCRACKING",$H9486="RESID_HYDROCRACKING"),"Hydrocracker",IF($H9486="REFORMING","Reformer",""))))</f>
        <v/>
      </c>
    </row>
    <row r="9487" spans="6:7">
      <c r="F9487" s="6">
        <f>IF($M9487="PADD I","PADD 1",IF($M9487="PADD II","PADD 2",IF($M9487="PADD III","PADD 3",IF($M9487="PADD IV","PADD 4",IF($M9487="PADD V","PADD 5","")))))</f>
        <v/>
      </c>
      <c r="G9487" s="6">
        <f>IF(AND($H9487="ATMOS DISTILLATION",ISNUMBER(SEARCH("VPS",$I9487))=FALSE,LEFT($I9487,6)&lt;&gt;"VACUUM"),"CDU",IF($H9487="FLUID CAT CRACKING","FCC",IF(OR($H9487="HYDROCRACKING",$H9487="RESID_HYDROCRACKING"),"Hydrocracker",IF($H9487="REFORMING","Reformer",""))))</f>
        <v/>
      </c>
    </row>
    <row r="9488" spans="6:7">
      <c r="F9488" s="6">
        <f>IF($M9488="PADD I","PADD 1",IF($M9488="PADD II","PADD 2",IF($M9488="PADD III","PADD 3",IF($M9488="PADD IV","PADD 4",IF($M9488="PADD V","PADD 5","")))))</f>
        <v/>
      </c>
      <c r="G9488" s="6">
        <f>IF(AND($H9488="ATMOS DISTILLATION",ISNUMBER(SEARCH("VPS",$I9488))=FALSE,LEFT($I9488,6)&lt;&gt;"VACUUM"),"CDU",IF($H9488="FLUID CAT CRACKING","FCC",IF(OR($H9488="HYDROCRACKING",$H9488="RESID_HYDROCRACKING"),"Hydrocracker",IF($H9488="REFORMING","Reformer",""))))</f>
        <v/>
      </c>
    </row>
    <row r="9489" spans="6:7">
      <c r="F9489" s="6">
        <f>IF($M9489="PADD I","PADD 1",IF($M9489="PADD II","PADD 2",IF($M9489="PADD III","PADD 3",IF($M9489="PADD IV","PADD 4",IF($M9489="PADD V","PADD 5","")))))</f>
        <v/>
      </c>
      <c r="G9489" s="6">
        <f>IF(AND($H9489="ATMOS DISTILLATION",ISNUMBER(SEARCH("VPS",$I9489))=FALSE,LEFT($I9489,6)&lt;&gt;"VACUUM"),"CDU",IF($H9489="FLUID CAT CRACKING","FCC",IF(OR($H9489="HYDROCRACKING",$H9489="RESID_HYDROCRACKING"),"Hydrocracker",IF($H9489="REFORMING","Reformer",""))))</f>
        <v/>
      </c>
    </row>
    <row r="9490" spans="6:7">
      <c r="F9490" s="6">
        <f>IF($M9490="PADD I","PADD 1",IF($M9490="PADD II","PADD 2",IF($M9490="PADD III","PADD 3",IF($M9490="PADD IV","PADD 4",IF($M9490="PADD V","PADD 5","")))))</f>
        <v/>
      </c>
      <c r="G9490" s="6">
        <f>IF(AND($H9490="ATMOS DISTILLATION",ISNUMBER(SEARCH("VPS",$I9490))=FALSE,LEFT($I9490,6)&lt;&gt;"VACUUM"),"CDU",IF($H9490="FLUID CAT CRACKING","FCC",IF(OR($H9490="HYDROCRACKING",$H9490="RESID_HYDROCRACKING"),"Hydrocracker",IF($H9490="REFORMING","Reformer",""))))</f>
        <v/>
      </c>
    </row>
    <row r="9491" spans="6:7">
      <c r="F9491" s="6">
        <f>IF($M9491="PADD I","PADD 1",IF($M9491="PADD II","PADD 2",IF($M9491="PADD III","PADD 3",IF($M9491="PADD IV","PADD 4",IF($M9491="PADD V","PADD 5","")))))</f>
        <v/>
      </c>
      <c r="G9491" s="6">
        <f>IF(AND($H9491="ATMOS DISTILLATION",ISNUMBER(SEARCH("VPS",$I9491))=FALSE,LEFT($I9491,6)&lt;&gt;"VACUUM"),"CDU",IF($H9491="FLUID CAT CRACKING","FCC",IF(OR($H9491="HYDROCRACKING",$H9491="RESID_HYDROCRACKING"),"Hydrocracker",IF($H9491="REFORMING","Reformer",""))))</f>
        <v/>
      </c>
    </row>
    <row r="9492" spans="6:7">
      <c r="F9492" s="6">
        <f>IF($M9492="PADD I","PADD 1",IF($M9492="PADD II","PADD 2",IF($M9492="PADD III","PADD 3",IF($M9492="PADD IV","PADD 4",IF($M9492="PADD V","PADD 5","")))))</f>
        <v/>
      </c>
      <c r="G9492" s="6">
        <f>IF(AND($H9492="ATMOS DISTILLATION",ISNUMBER(SEARCH("VPS",$I9492))=FALSE,LEFT($I9492,6)&lt;&gt;"VACUUM"),"CDU",IF($H9492="FLUID CAT CRACKING","FCC",IF(OR($H9492="HYDROCRACKING",$H9492="RESID_HYDROCRACKING"),"Hydrocracker",IF($H9492="REFORMING","Reformer",""))))</f>
        <v/>
      </c>
    </row>
    <row r="9493" spans="6:7">
      <c r="F9493" s="6">
        <f>IF($M9493="PADD I","PADD 1",IF($M9493="PADD II","PADD 2",IF($M9493="PADD III","PADD 3",IF($M9493="PADD IV","PADD 4",IF($M9493="PADD V","PADD 5","")))))</f>
        <v/>
      </c>
      <c r="G9493" s="6">
        <f>IF(AND($H9493="ATMOS DISTILLATION",ISNUMBER(SEARCH("VPS",$I9493))=FALSE,LEFT($I9493,6)&lt;&gt;"VACUUM"),"CDU",IF($H9493="FLUID CAT CRACKING","FCC",IF(OR($H9493="HYDROCRACKING",$H9493="RESID_HYDROCRACKING"),"Hydrocracker",IF($H9493="REFORMING","Reformer",""))))</f>
        <v/>
      </c>
    </row>
    <row r="9494" spans="6:7">
      <c r="F9494" s="6">
        <f>IF($M9494="PADD I","PADD 1",IF($M9494="PADD II","PADD 2",IF($M9494="PADD III","PADD 3",IF($M9494="PADD IV","PADD 4",IF($M9494="PADD V","PADD 5","")))))</f>
        <v/>
      </c>
      <c r="G9494" s="6">
        <f>IF(AND($H9494="ATMOS DISTILLATION",ISNUMBER(SEARCH("VPS",$I9494))=FALSE,LEFT($I9494,6)&lt;&gt;"VACUUM"),"CDU",IF($H9494="FLUID CAT CRACKING","FCC",IF(OR($H9494="HYDROCRACKING",$H9494="RESID_HYDROCRACKING"),"Hydrocracker",IF($H9494="REFORMING","Reformer",""))))</f>
        <v/>
      </c>
    </row>
    <row r="9495" spans="6:7">
      <c r="F9495" s="6">
        <f>IF($M9495="PADD I","PADD 1",IF($M9495="PADD II","PADD 2",IF($M9495="PADD III","PADD 3",IF($M9495="PADD IV","PADD 4",IF($M9495="PADD V","PADD 5","")))))</f>
        <v/>
      </c>
      <c r="G9495" s="6">
        <f>IF(AND($H9495="ATMOS DISTILLATION",ISNUMBER(SEARCH("VPS",$I9495))=FALSE,LEFT($I9495,6)&lt;&gt;"VACUUM"),"CDU",IF($H9495="FLUID CAT CRACKING","FCC",IF(OR($H9495="HYDROCRACKING",$H9495="RESID_HYDROCRACKING"),"Hydrocracker",IF($H9495="REFORMING","Reformer",""))))</f>
        <v/>
      </c>
    </row>
    <row r="9496" spans="6:7">
      <c r="F9496" s="6">
        <f>IF($M9496="PADD I","PADD 1",IF($M9496="PADD II","PADD 2",IF($M9496="PADD III","PADD 3",IF($M9496="PADD IV","PADD 4",IF($M9496="PADD V","PADD 5","")))))</f>
        <v/>
      </c>
      <c r="G9496" s="6">
        <f>IF(AND($H9496="ATMOS DISTILLATION",ISNUMBER(SEARCH("VPS",$I9496))=FALSE,LEFT($I9496,6)&lt;&gt;"VACUUM"),"CDU",IF($H9496="FLUID CAT CRACKING","FCC",IF(OR($H9496="HYDROCRACKING",$H9496="RESID_HYDROCRACKING"),"Hydrocracker",IF($H9496="REFORMING","Reformer",""))))</f>
        <v/>
      </c>
    </row>
    <row r="9497" spans="6:7">
      <c r="F9497" s="6">
        <f>IF($M9497="PADD I","PADD 1",IF($M9497="PADD II","PADD 2",IF($M9497="PADD III","PADD 3",IF($M9497="PADD IV","PADD 4",IF($M9497="PADD V","PADD 5","")))))</f>
        <v/>
      </c>
      <c r="G9497" s="6">
        <f>IF(AND($H9497="ATMOS DISTILLATION",ISNUMBER(SEARCH("VPS",$I9497))=FALSE,LEFT($I9497,6)&lt;&gt;"VACUUM"),"CDU",IF($H9497="FLUID CAT CRACKING","FCC",IF(OR($H9497="HYDROCRACKING",$H9497="RESID_HYDROCRACKING"),"Hydrocracker",IF($H9497="REFORMING","Reformer",""))))</f>
        <v/>
      </c>
    </row>
    <row r="9498" spans="6:7">
      <c r="F9498" s="6">
        <f>IF($M9498="PADD I","PADD 1",IF($M9498="PADD II","PADD 2",IF($M9498="PADD III","PADD 3",IF($M9498="PADD IV","PADD 4",IF($M9498="PADD V","PADD 5","")))))</f>
        <v/>
      </c>
      <c r="G9498" s="6">
        <f>IF(AND($H9498="ATMOS DISTILLATION",ISNUMBER(SEARCH("VPS",$I9498))=FALSE,LEFT($I9498,6)&lt;&gt;"VACUUM"),"CDU",IF($H9498="FLUID CAT CRACKING","FCC",IF(OR($H9498="HYDROCRACKING",$H9498="RESID_HYDROCRACKING"),"Hydrocracker",IF($H9498="REFORMING","Reformer",""))))</f>
        <v/>
      </c>
    </row>
    <row r="9499" spans="6:7">
      <c r="F9499" s="6">
        <f>IF($M9499="PADD I","PADD 1",IF($M9499="PADD II","PADD 2",IF($M9499="PADD III","PADD 3",IF($M9499="PADD IV","PADD 4",IF($M9499="PADD V","PADD 5","")))))</f>
        <v/>
      </c>
      <c r="G9499" s="6">
        <f>IF(AND($H9499="ATMOS DISTILLATION",ISNUMBER(SEARCH("VPS",$I9499))=FALSE,LEFT($I9499,6)&lt;&gt;"VACUUM"),"CDU",IF($H9499="FLUID CAT CRACKING","FCC",IF(OR($H9499="HYDROCRACKING",$H9499="RESID_HYDROCRACKING"),"Hydrocracker",IF($H9499="REFORMING","Reformer",""))))</f>
        <v/>
      </c>
    </row>
    <row r="9500" spans="6:7">
      <c r="F9500" s="6">
        <f>IF($M9500="PADD I","PADD 1",IF($M9500="PADD II","PADD 2",IF($M9500="PADD III","PADD 3",IF($M9500="PADD IV","PADD 4",IF($M9500="PADD V","PADD 5","")))))</f>
        <v/>
      </c>
      <c r="G9500" s="6">
        <f>IF(AND($H9500="ATMOS DISTILLATION",ISNUMBER(SEARCH("VPS",$I9500))=FALSE,LEFT($I9500,6)&lt;&gt;"VACUUM"),"CDU",IF($H9500="FLUID CAT CRACKING","FCC",IF(OR($H9500="HYDROCRACKING",$H9500="RESID_HYDROCRACKING"),"Hydrocracker",IF($H9500="REFORMING","Reformer",""))))</f>
        <v/>
      </c>
    </row>
    <row r="9501" spans="6:7">
      <c r="F9501" s="6">
        <f>IF($M9501="PADD I","PADD 1",IF($M9501="PADD II","PADD 2",IF($M9501="PADD III","PADD 3",IF($M9501="PADD IV","PADD 4",IF($M9501="PADD V","PADD 5","")))))</f>
        <v/>
      </c>
      <c r="G9501" s="6">
        <f>IF(AND($H9501="ATMOS DISTILLATION",ISNUMBER(SEARCH("VPS",$I9501))=FALSE,LEFT($I9501,6)&lt;&gt;"VACUUM"),"CDU",IF($H9501="FLUID CAT CRACKING","FCC",IF(OR($H9501="HYDROCRACKING",$H9501="RESID_HYDROCRACKING"),"Hydrocracker",IF($H9501="REFORMING","Reformer",""))))</f>
        <v/>
      </c>
    </row>
    <row r="9502" spans="6:7">
      <c r="F9502" s="6">
        <f>IF($M9502="PADD I","PADD 1",IF($M9502="PADD II","PADD 2",IF($M9502="PADD III","PADD 3",IF($M9502="PADD IV","PADD 4",IF($M9502="PADD V","PADD 5","")))))</f>
        <v/>
      </c>
      <c r="G9502" s="6">
        <f>IF(AND($H9502="ATMOS DISTILLATION",ISNUMBER(SEARCH("VPS",$I9502))=FALSE,LEFT($I9502,6)&lt;&gt;"VACUUM"),"CDU",IF($H9502="FLUID CAT CRACKING","FCC",IF(OR($H9502="HYDROCRACKING",$H9502="RESID_HYDROCRACKING"),"Hydrocracker",IF($H9502="REFORMING","Reformer",""))))</f>
        <v/>
      </c>
    </row>
    <row r="9503" spans="6:7">
      <c r="F9503" s="6">
        <f>IF($M9503="PADD I","PADD 1",IF($M9503="PADD II","PADD 2",IF($M9503="PADD III","PADD 3",IF($M9503="PADD IV","PADD 4",IF($M9503="PADD V","PADD 5","")))))</f>
        <v/>
      </c>
      <c r="G9503" s="6">
        <f>IF(AND($H9503="ATMOS DISTILLATION",ISNUMBER(SEARCH("VPS",$I9503))=FALSE,LEFT($I9503,6)&lt;&gt;"VACUUM"),"CDU",IF($H9503="FLUID CAT CRACKING","FCC",IF(OR($H9503="HYDROCRACKING",$H9503="RESID_HYDROCRACKING"),"Hydrocracker",IF($H9503="REFORMING","Reformer",""))))</f>
        <v/>
      </c>
    </row>
    <row r="9504" spans="6:7">
      <c r="F9504" s="6">
        <f>IF($M9504="PADD I","PADD 1",IF($M9504="PADD II","PADD 2",IF($M9504="PADD III","PADD 3",IF($M9504="PADD IV","PADD 4",IF($M9504="PADD V","PADD 5","")))))</f>
        <v/>
      </c>
      <c r="G9504" s="6">
        <f>IF(AND($H9504="ATMOS DISTILLATION",ISNUMBER(SEARCH("VPS",$I9504))=FALSE,LEFT($I9504,6)&lt;&gt;"VACUUM"),"CDU",IF($H9504="FLUID CAT CRACKING","FCC",IF(OR($H9504="HYDROCRACKING",$H9504="RESID_HYDROCRACKING"),"Hydrocracker",IF($H9504="REFORMING","Reformer",""))))</f>
        <v/>
      </c>
    </row>
    <row r="9505" spans="6:7">
      <c r="F9505" s="6">
        <f>IF($M9505="PADD I","PADD 1",IF($M9505="PADD II","PADD 2",IF($M9505="PADD III","PADD 3",IF($M9505="PADD IV","PADD 4",IF($M9505="PADD V","PADD 5","")))))</f>
        <v/>
      </c>
      <c r="G9505" s="6">
        <f>IF(AND($H9505="ATMOS DISTILLATION",ISNUMBER(SEARCH("VPS",$I9505))=FALSE,LEFT($I9505,6)&lt;&gt;"VACUUM"),"CDU",IF($H9505="FLUID CAT CRACKING","FCC",IF(OR($H9505="HYDROCRACKING",$H9505="RESID_HYDROCRACKING"),"Hydrocracker",IF($H9505="REFORMING","Reformer",""))))</f>
        <v/>
      </c>
    </row>
    <row r="9506" spans="6:7">
      <c r="F9506" s="6">
        <f>IF($M9506="PADD I","PADD 1",IF($M9506="PADD II","PADD 2",IF($M9506="PADD III","PADD 3",IF($M9506="PADD IV","PADD 4",IF($M9506="PADD V","PADD 5","")))))</f>
        <v/>
      </c>
      <c r="G9506" s="6">
        <f>IF(AND($H9506="ATMOS DISTILLATION",ISNUMBER(SEARCH("VPS",$I9506))=FALSE,LEFT($I9506,6)&lt;&gt;"VACUUM"),"CDU",IF($H9506="FLUID CAT CRACKING","FCC",IF(OR($H9506="HYDROCRACKING",$H9506="RESID_HYDROCRACKING"),"Hydrocracker",IF($H9506="REFORMING","Reformer",""))))</f>
        <v/>
      </c>
    </row>
    <row r="9507" spans="6:7">
      <c r="F9507" s="6">
        <f>IF($M9507="PADD I","PADD 1",IF($M9507="PADD II","PADD 2",IF($M9507="PADD III","PADD 3",IF($M9507="PADD IV","PADD 4",IF($M9507="PADD V","PADD 5","")))))</f>
        <v/>
      </c>
      <c r="G9507" s="6">
        <f>IF(AND($H9507="ATMOS DISTILLATION",ISNUMBER(SEARCH("VPS",$I9507))=FALSE,LEFT($I9507,6)&lt;&gt;"VACUUM"),"CDU",IF($H9507="FLUID CAT CRACKING","FCC",IF(OR($H9507="HYDROCRACKING",$H9507="RESID_HYDROCRACKING"),"Hydrocracker",IF($H9507="REFORMING","Reformer",""))))</f>
        <v/>
      </c>
    </row>
    <row r="9508" spans="6:7">
      <c r="F9508" s="6">
        <f>IF($M9508="PADD I","PADD 1",IF($M9508="PADD II","PADD 2",IF($M9508="PADD III","PADD 3",IF($M9508="PADD IV","PADD 4",IF($M9508="PADD V","PADD 5","")))))</f>
        <v/>
      </c>
      <c r="G9508" s="6">
        <f>IF(AND($H9508="ATMOS DISTILLATION",ISNUMBER(SEARCH("VPS",$I9508))=FALSE,LEFT($I9508,6)&lt;&gt;"VACUUM"),"CDU",IF($H9508="FLUID CAT CRACKING","FCC",IF(OR($H9508="HYDROCRACKING",$H9508="RESID_HYDROCRACKING"),"Hydrocracker",IF($H9508="REFORMING","Reformer",""))))</f>
        <v/>
      </c>
    </row>
    <row r="9509" spans="6:7">
      <c r="F9509" s="6">
        <f>IF($M9509="PADD I","PADD 1",IF($M9509="PADD II","PADD 2",IF($M9509="PADD III","PADD 3",IF($M9509="PADD IV","PADD 4",IF($M9509="PADD V","PADD 5","")))))</f>
        <v/>
      </c>
      <c r="G9509" s="6">
        <f>IF(AND($H9509="ATMOS DISTILLATION",ISNUMBER(SEARCH("VPS",$I9509))=FALSE,LEFT($I9509,6)&lt;&gt;"VACUUM"),"CDU",IF($H9509="FLUID CAT CRACKING","FCC",IF(OR($H9509="HYDROCRACKING",$H9509="RESID_HYDROCRACKING"),"Hydrocracker",IF($H9509="REFORMING","Reformer",""))))</f>
        <v/>
      </c>
    </row>
    <row r="9510" spans="6:7">
      <c r="F9510" s="6">
        <f>IF($M9510="PADD I","PADD 1",IF($M9510="PADD II","PADD 2",IF($M9510="PADD III","PADD 3",IF($M9510="PADD IV","PADD 4",IF($M9510="PADD V","PADD 5","")))))</f>
        <v/>
      </c>
      <c r="G9510" s="6">
        <f>IF(AND($H9510="ATMOS DISTILLATION",ISNUMBER(SEARCH("VPS",$I9510))=FALSE,LEFT($I9510,6)&lt;&gt;"VACUUM"),"CDU",IF($H9510="FLUID CAT CRACKING","FCC",IF(OR($H9510="HYDROCRACKING",$H9510="RESID_HYDROCRACKING"),"Hydrocracker",IF($H9510="REFORMING","Reformer",""))))</f>
        <v/>
      </c>
    </row>
    <row r="9511" spans="6:7">
      <c r="F9511" s="6">
        <f>IF($M9511="PADD I","PADD 1",IF($M9511="PADD II","PADD 2",IF($M9511="PADD III","PADD 3",IF($M9511="PADD IV","PADD 4",IF($M9511="PADD V","PADD 5","")))))</f>
        <v/>
      </c>
      <c r="G9511" s="6">
        <f>IF(AND($H9511="ATMOS DISTILLATION",ISNUMBER(SEARCH("VPS",$I9511))=FALSE,LEFT($I9511,6)&lt;&gt;"VACUUM"),"CDU",IF($H9511="FLUID CAT CRACKING","FCC",IF(OR($H9511="HYDROCRACKING",$H9511="RESID_HYDROCRACKING"),"Hydrocracker",IF($H9511="REFORMING","Reformer",""))))</f>
        <v/>
      </c>
    </row>
    <row r="9512" spans="6:7">
      <c r="F9512" s="6">
        <f>IF($M9512="PADD I","PADD 1",IF($M9512="PADD II","PADD 2",IF($M9512="PADD III","PADD 3",IF($M9512="PADD IV","PADD 4",IF($M9512="PADD V","PADD 5","")))))</f>
        <v/>
      </c>
      <c r="G9512" s="6">
        <f>IF(AND($H9512="ATMOS DISTILLATION",ISNUMBER(SEARCH("VPS",$I9512))=FALSE,LEFT($I9512,6)&lt;&gt;"VACUUM"),"CDU",IF($H9512="FLUID CAT CRACKING","FCC",IF(OR($H9512="HYDROCRACKING",$H9512="RESID_HYDROCRACKING"),"Hydrocracker",IF($H9512="REFORMING","Reformer",""))))</f>
        <v/>
      </c>
    </row>
    <row r="9513" spans="6:7">
      <c r="F9513" s="6">
        <f>IF($M9513="PADD I","PADD 1",IF($M9513="PADD II","PADD 2",IF($M9513="PADD III","PADD 3",IF($M9513="PADD IV","PADD 4",IF($M9513="PADD V","PADD 5","")))))</f>
        <v/>
      </c>
      <c r="G9513" s="6">
        <f>IF(AND($H9513="ATMOS DISTILLATION",ISNUMBER(SEARCH("VPS",$I9513))=FALSE,LEFT($I9513,6)&lt;&gt;"VACUUM"),"CDU",IF($H9513="FLUID CAT CRACKING","FCC",IF(OR($H9513="HYDROCRACKING",$H9513="RESID_HYDROCRACKING"),"Hydrocracker",IF($H9513="REFORMING","Reformer",""))))</f>
        <v/>
      </c>
    </row>
    <row r="9514" spans="6:7">
      <c r="F9514" s="6">
        <f>IF($M9514="PADD I","PADD 1",IF($M9514="PADD II","PADD 2",IF($M9514="PADD III","PADD 3",IF($M9514="PADD IV","PADD 4",IF($M9514="PADD V","PADD 5","")))))</f>
        <v/>
      </c>
      <c r="G9514" s="6">
        <f>IF(AND($H9514="ATMOS DISTILLATION",ISNUMBER(SEARCH("VPS",$I9514))=FALSE,LEFT($I9514,6)&lt;&gt;"VACUUM"),"CDU",IF($H9514="FLUID CAT CRACKING","FCC",IF(OR($H9514="HYDROCRACKING",$H9514="RESID_HYDROCRACKING"),"Hydrocracker",IF($H9514="REFORMING","Reformer",""))))</f>
        <v/>
      </c>
    </row>
    <row r="9515" spans="6:7">
      <c r="F9515" s="6">
        <f>IF($M9515="PADD I","PADD 1",IF($M9515="PADD II","PADD 2",IF($M9515="PADD III","PADD 3",IF($M9515="PADD IV","PADD 4",IF($M9515="PADD V","PADD 5","")))))</f>
        <v/>
      </c>
      <c r="G9515" s="6">
        <f>IF(AND($H9515="ATMOS DISTILLATION",ISNUMBER(SEARCH("VPS",$I9515))=FALSE,LEFT($I9515,6)&lt;&gt;"VACUUM"),"CDU",IF($H9515="FLUID CAT CRACKING","FCC",IF(OR($H9515="HYDROCRACKING",$H9515="RESID_HYDROCRACKING"),"Hydrocracker",IF($H9515="REFORMING","Reformer",""))))</f>
        <v/>
      </c>
    </row>
    <row r="9516" spans="6:7">
      <c r="F9516" s="6">
        <f>IF($M9516="PADD I","PADD 1",IF($M9516="PADD II","PADD 2",IF($M9516="PADD III","PADD 3",IF($M9516="PADD IV","PADD 4",IF($M9516="PADD V","PADD 5","")))))</f>
        <v/>
      </c>
      <c r="G9516" s="6">
        <f>IF(AND($H9516="ATMOS DISTILLATION",ISNUMBER(SEARCH("VPS",$I9516))=FALSE,LEFT($I9516,6)&lt;&gt;"VACUUM"),"CDU",IF($H9516="FLUID CAT CRACKING","FCC",IF(OR($H9516="HYDROCRACKING",$H9516="RESID_HYDROCRACKING"),"Hydrocracker",IF($H9516="REFORMING","Reformer",""))))</f>
        <v/>
      </c>
    </row>
    <row r="9517" spans="6:7">
      <c r="F9517" s="6">
        <f>IF($M9517="PADD I","PADD 1",IF($M9517="PADD II","PADD 2",IF($M9517="PADD III","PADD 3",IF($M9517="PADD IV","PADD 4",IF($M9517="PADD V","PADD 5","")))))</f>
        <v/>
      </c>
      <c r="G9517" s="6">
        <f>IF(AND($H9517="ATMOS DISTILLATION",ISNUMBER(SEARCH("VPS",$I9517))=FALSE,LEFT($I9517,6)&lt;&gt;"VACUUM"),"CDU",IF($H9517="FLUID CAT CRACKING","FCC",IF(OR($H9517="HYDROCRACKING",$H9517="RESID_HYDROCRACKING"),"Hydrocracker",IF($H9517="REFORMING","Reformer",""))))</f>
        <v/>
      </c>
    </row>
    <row r="9518" spans="6:7">
      <c r="F9518" s="6">
        <f>IF($M9518="PADD I","PADD 1",IF($M9518="PADD II","PADD 2",IF($M9518="PADD III","PADD 3",IF($M9518="PADD IV","PADD 4",IF($M9518="PADD V","PADD 5","")))))</f>
        <v/>
      </c>
      <c r="G9518" s="6">
        <f>IF(AND($H9518="ATMOS DISTILLATION",ISNUMBER(SEARCH("VPS",$I9518))=FALSE,LEFT($I9518,6)&lt;&gt;"VACUUM"),"CDU",IF($H9518="FLUID CAT CRACKING","FCC",IF(OR($H9518="HYDROCRACKING",$H9518="RESID_HYDROCRACKING"),"Hydrocracker",IF($H9518="REFORMING","Reformer",""))))</f>
        <v/>
      </c>
    </row>
    <row r="9519" spans="6:7">
      <c r="F9519" s="6">
        <f>IF($M9519="PADD I","PADD 1",IF($M9519="PADD II","PADD 2",IF($M9519="PADD III","PADD 3",IF($M9519="PADD IV","PADD 4",IF($M9519="PADD V","PADD 5","")))))</f>
        <v/>
      </c>
      <c r="G9519" s="6">
        <f>IF(AND($H9519="ATMOS DISTILLATION",ISNUMBER(SEARCH("VPS",$I9519))=FALSE,LEFT($I9519,6)&lt;&gt;"VACUUM"),"CDU",IF($H9519="FLUID CAT CRACKING","FCC",IF(OR($H9519="HYDROCRACKING",$H9519="RESID_HYDROCRACKING"),"Hydrocracker",IF($H9519="REFORMING","Reformer",""))))</f>
        <v/>
      </c>
    </row>
    <row r="9520" spans="6:7">
      <c r="F9520" s="6">
        <f>IF($M9520="PADD I","PADD 1",IF($M9520="PADD II","PADD 2",IF($M9520="PADD III","PADD 3",IF($M9520="PADD IV","PADD 4",IF($M9520="PADD V","PADD 5","")))))</f>
        <v/>
      </c>
      <c r="G9520" s="6">
        <f>IF(AND($H9520="ATMOS DISTILLATION",ISNUMBER(SEARCH("VPS",$I9520))=FALSE,LEFT($I9520,6)&lt;&gt;"VACUUM"),"CDU",IF($H9520="FLUID CAT CRACKING","FCC",IF(OR($H9520="HYDROCRACKING",$H9520="RESID_HYDROCRACKING"),"Hydrocracker",IF($H9520="REFORMING","Reformer",""))))</f>
        <v/>
      </c>
    </row>
    <row r="9521" spans="6:7">
      <c r="F9521" s="6">
        <f>IF($M9521="PADD I","PADD 1",IF($M9521="PADD II","PADD 2",IF($M9521="PADD III","PADD 3",IF($M9521="PADD IV","PADD 4",IF($M9521="PADD V","PADD 5","")))))</f>
        <v/>
      </c>
      <c r="G9521" s="6">
        <f>IF(AND($H9521="ATMOS DISTILLATION",ISNUMBER(SEARCH("VPS",$I9521))=FALSE,LEFT($I9521,6)&lt;&gt;"VACUUM"),"CDU",IF($H9521="FLUID CAT CRACKING","FCC",IF(OR($H9521="HYDROCRACKING",$H9521="RESID_HYDROCRACKING"),"Hydrocracker",IF($H9521="REFORMING","Reformer",""))))</f>
        <v/>
      </c>
    </row>
    <row r="9522" spans="6:7">
      <c r="F9522" s="6">
        <f>IF($M9522="PADD I","PADD 1",IF($M9522="PADD II","PADD 2",IF($M9522="PADD III","PADD 3",IF($M9522="PADD IV","PADD 4",IF($M9522="PADD V","PADD 5","")))))</f>
        <v/>
      </c>
      <c r="G9522" s="6">
        <f>IF(AND($H9522="ATMOS DISTILLATION",ISNUMBER(SEARCH("VPS",$I9522))=FALSE,LEFT($I9522,6)&lt;&gt;"VACUUM"),"CDU",IF($H9522="FLUID CAT CRACKING","FCC",IF(OR($H9522="HYDROCRACKING",$H9522="RESID_HYDROCRACKING"),"Hydrocracker",IF($H9522="REFORMING","Reformer",""))))</f>
        <v/>
      </c>
    </row>
    <row r="9523" spans="6:7">
      <c r="F9523" s="6">
        <f>IF($M9523="PADD I","PADD 1",IF($M9523="PADD II","PADD 2",IF($M9523="PADD III","PADD 3",IF($M9523="PADD IV","PADD 4",IF($M9523="PADD V","PADD 5","")))))</f>
        <v/>
      </c>
      <c r="G9523" s="6">
        <f>IF(AND($H9523="ATMOS DISTILLATION",ISNUMBER(SEARCH("VPS",$I9523))=FALSE,LEFT($I9523,6)&lt;&gt;"VACUUM"),"CDU",IF($H9523="FLUID CAT CRACKING","FCC",IF(OR($H9523="HYDROCRACKING",$H9523="RESID_HYDROCRACKING"),"Hydrocracker",IF($H9523="REFORMING","Reformer",""))))</f>
        <v/>
      </c>
    </row>
    <row r="9524" spans="6:7">
      <c r="F9524" s="6">
        <f>IF($M9524="PADD I","PADD 1",IF($M9524="PADD II","PADD 2",IF($M9524="PADD III","PADD 3",IF($M9524="PADD IV","PADD 4",IF($M9524="PADD V","PADD 5","")))))</f>
        <v/>
      </c>
      <c r="G9524" s="6">
        <f>IF(AND($H9524="ATMOS DISTILLATION",ISNUMBER(SEARCH("VPS",$I9524))=FALSE,LEFT($I9524,6)&lt;&gt;"VACUUM"),"CDU",IF($H9524="FLUID CAT CRACKING","FCC",IF(OR($H9524="HYDROCRACKING",$H9524="RESID_HYDROCRACKING"),"Hydrocracker",IF($H9524="REFORMING","Reformer",""))))</f>
        <v/>
      </c>
    </row>
    <row r="9525" spans="6:7">
      <c r="F9525" s="6">
        <f>IF($M9525="PADD I","PADD 1",IF($M9525="PADD II","PADD 2",IF($M9525="PADD III","PADD 3",IF($M9525="PADD IV","PADD 4",IF($M9525="PADD V","PADD 5","")))))</f>
        <v/>
      </c>
      <c r="G9525" s="6">
        <f>IF(AND($H9525="ATMOS DISTILLATION",ISNUMBER(SEARCH("VPS",$I9525))=FALSE,LEFT($I9525,6)&lt;&gt;"VACUUM"),"CDU",IF($H9525="FLUID CAT CRACKING","FCC",IF(OR($H9525="HYDROCRACKING",$H9525="RESID_HYDROCRACKING"),"Hydrocracker",IF($H9525="REFORMING","Reformer",""))))</f>
        <v/>
      </c>
    </row>
    <row r="9526" spans="6:7">
      <c r="F9526" s="6">
        <f>IF($M9526="PADD I","PADD 1",IF($M9526="PADD II","PADD 2",IF($M9526="PADD III","PADD 3",IF($M9526="PADD IV","PADD 4",IF($M9526="PADD V","PADD 5","")))))</f>
        <v/>
      </c>
      <c r="G9526" s="6">
        <f>IF(AND($H9526="ATMOS DISTILLATION",ISNUMBER(SEARCH("VPS",$I9526))=FALSE,LEFT($I9526,6)&lt;&gt;"VACUUM"),"CDU",IF($H9526="FLUID CAT CRACKING","FCC",IF(OR($H9526="HYDROCRACKING",$H9526="RESID_HYDROCRACKING"),"Hydrocracker",IF($H9526="REFORMING","Reformer",""))))</f>
        <v/>
      </c>
    </row>
    <row r="9527" spans="6:7">
      <c r="F9527" s="6">
        <f>IF($M9527="PADD I","PADD 1",IF($M9527="PADD II","PADD 2",IF($M9527="PADD III","PADD 3",IF($M9527="PADD IV","PADD 4",IF($M9527="PADD V","PADD 5","")))))</f>
        <v/>
      </c>
      <c r="G9527" s="6">
        <f>IF(AND($H9527="ATMOS DISTILLATION",ISNUMBER(SEARCH("VPS",$I9527))=FALSE,LEFT($I9527,6)&lt;&gt;"VACUUM"),"CDU",IF($H9527="FLUID CAT CRACKING","FCC",IF(OR($H9527="HYDROCRACKING",$H9527="RESID_HYDROCRACKING"),"Hydrocracker",IF($H9527="REFORMING","Reformer",""))))</f>
        <v/>
      </c>
    </row>
    <row r="9528" spans="6:7">
      <c r="F9528" s="6">
        <f>IF($M9528="PADD I","PADD 1",IF($M9528="PADD II","PADD 2",IF($M9528="PADD III","PADD 3",IF($M9528="PADD IV","PADD 4",IF($M9528="PADD V","PADD 5","")))))</f>
        <v/>
      </c>
      <c r="G9528" s="6">
        <f>IF(AND($H9528="ATMOS DISTILLATION",ISNUMBER(SEARCH("VPS",$I9528))=FALSE,LEFT($I9528,6)&lt;&gt;"VACUUM"),"CDU",IF($H9528="FLUID CAT CRACKING","FCC",IF(OR($H9528="HYDROCRACKING",$H9528="RESID_HYDROCRACKING"),"Hydrocracker",IF($H9528="REFORMING","Reformer",""))))</f>
        <v/>
      </c>
    </row>
    <row r="9529" spans="6:7">
      <c r="F9529" s="6">
        <f>IF($M9529="PADD I","PADD 1",IF($M9529="PADD II","PADD 2",IF($M9529="PADD III","PADD 3",IF($M9529="PADD IV","PADD 4",IF($M9529="PADD V","PADD 5","")))))</f>
        <v/>
      </c>
      <c r="G9529" s="6">
        <f>IF(AND($H9529="ATMOS DISTILLATION",ISNUMBER(SEARCH("VPS",$I9529))=FALSE,LEFT($I9529,6)&lt;&gt;"VACUUM"),"CDU",IF($H9529="FLUID CAT CRACKING","FCC",IF(OR($H9529="HYDROCRACKING",$H9529="RESID_HYDROCRACKING"),"Hydrocracker",IF($H9529="REFORMING","Reformer",""))))</f>
        <v/>
      </c>
    </row>
    <row r="9530" spans="6:7">
      <c r="F9530" s="6">
        <f>IF($M9530="PADD I","PADD 1",IF($M9530="PADD II","PADD 2",IF($M9530="PADD III","PADD 3",IF($M9530="PADD IV","PADD 4",IF($M9530="PADD V","PADD 5","")))))</f>
        <v/>
      </c>
      <c r="G9530" s="6">
        <f>IF(AND($H9530="ATMOS DISTILLATION",ISNUMBER(SEARCH("VPS",$I9530))=FALSE,LEFT($I9530,6)&lt;&gt;"VACUUM"),"CDU",IF($H9530="FLUID CAT CRACKING","FCC",IF(OR($H9530="HYDROCRACKING",$H9530="RESID_HYDROCRACKING"),"Hydrocracker",IF($H9530="REFORMING","Reformer",""))))</f>
        <v/>
      </c>
    </row>
    <row r="9531" spans="6:7">
      <c r="F9531" s="6">
        <f>IF($M9531="PADD I","PADD 1",IF($M9531="PADD II","PADD 2",IF($M9531="PADD III","PADD 3",IF($M9531="PADD IV","PADD 4",IF($M9531="PADD V","PADD 5","")))))</f>
        <v/>
      </c>
      <c r="G9531" s="6">
        <f>IF(AND($H9531="ATMOS DISTILLATION",ISNUMBER(SEARCH("VPS",$I9531))=FALSE,LEFT($I9531,6)&lt;&gt;"VACUUM"),"CDU",IF($H9531="FLUID CAT CRACKING","FCC",IF(OR($H9531="HYDROCRACKING",$H9531="RESID_HYDROCRACKING"),"Hydrocracker",IF($H9531="REFORMING","Reformer",""))))</f>
        <v/>
      </c>
    </row>
    <row r="9532" spans="6:7">
      <c r="F9532" s="6">
        <f>IF($M9532="PADD I","PADD 1",IF($M9532="PADD II","PADD 2",IF($M9532="PADD III","PADD 3",IF($M9532="PADD IV","PADD 4",IF($M9532="PADD V","PADD 5","")))))</f>
        <v/>
      </c>
      <c r="G9532" s="6">
        <f>IF(AND($H9532="ATMOS DISTILLATION",ISNUMBER(SEARCH("VPS",$I9532))=FALSE,LEFT($I9532,6)&lt;&gt;"VACUUM"),"CDU",IF($H9532="FLUID CAT CRACKING","FCC",IF(OR($H9532="HYDROCRACKING",$H9532="RESID_HYDROCRACKING"),"Hydrocracker",IF($H9532="REFORMING","Reformer",""))))</f>
        <v/>
      </c>
    </row>
    <row r="9533" spans="6:7">
      <c r="F9533" s="6">
        <f>IF($M9533="PADD I","PADD 1",IF($M9533="PADD II","PADD 2",IF($M9533="PADD III","PADD 3",IF($M9533="PADD IV","PADD 4",IF($M9533="PADD V","PADD 5","")))))</f>
        <v/>
      </c>
      <c r="G9533" s="6">
        <f>IF(AND($H9533="ATMOS DISTILLATION",ISNUMBER(SEARCH("VPS",$I9533))=FALSE,LEFT($I9533,6)&lt;&gt;"VACUUM"),"CDU",IF($H9533="FLUID CAT CRACKING","FCC",IF(OR($H9533="HYDROCRACKING",$H9533="RESID_HYDROCRACKING"),"Hydrocracker",IF($H9533="REFORMING","Reformer",""))))</f>
        <v/>
      </c>
    </row>
    <row r="9534" spans="6:7">
      <c r="F9534" s="6">
        <f>IF($M9534="PADD I","PADD 1",IF($M9534="PADD II","PADD 2",IF($M9534="PADD III","PADD 3",IF($M9534="PADD IV","PADD 4",IF($M9534="PADD V","PADD 5","")))))</f>
        <v/>
      </c>
      <c r="G9534" s="6">
        <f>IF(AND($H9534="ATMOS DISTILLATION",ISNUMBER(SEARCH("VPS",$I9534))=FALSE,LEFT($I9534,6)&lt;&gt;"VACUUM"),"CDU",IF($H9534="FLUID CAT CRACKING","FCC",IF(OR($H9534="HYDROCRACKING",$H9534="RESID_HYDROCRACKING"),"Hydrocracker",IF($H9534="REFORMING","Reformer",""))))</f>
        <v/>
      </c>
    </row>
    <row r="9535" spans="6:7">
      <c r="F9535" s="6">
        <f>IF($M9535="PADD I","PADD 1",IF($M9535="PADD II","PADD 2",IF($M9535="PADD III","PADD 3",IF($M9535="PADD IV","PADD 4",IF($M9535="PADD V","PADD 5","")))))</f>
        <v/>
      </c>
      <c r="G9535" s="6">
        <f>IF(AND($H9535="ATMOS DISTILLATION",ISNUMBER(SEARCH("VPS",$I9535))=FALSE,LEFT($I9535,6)&lt;&gt;"VACUUM"),"CDU",IF($H9535="FLUID CAT CRACKING","FCC",IF(OR($H9535="HYDROCRACKING",$H9535="RESID_HYDROCRACKING"),"Hydrocracker",IF($H9535="REFORMING","Reformer",""))))</f>
        <v/>
      </c>
    </row>
    <row r="9536" spans="6:7">
      <c r="F9536" s="6">
        <f>IF($M9536="PADD I","PADD 1",IF($M9536="PADD II","PADD 2",IF($M9536="PADD III","PADD 3",IF($M9536="PADD IV","PADD 4",IF($M9536="PADD V","PADD 5","")))))</f>
        <v/>
      </c>
      <c r="G9536" s="6">
        <f>IF(AND($H9536="ATMOS DISTILLATION",ISNUMBER(SEARCH("VPS",$I9536))=FALSE,LEFT($I9536,6)&lt;&gt;"VACUUM"),"CDU",IF($H9536="FLUID CAT CRACKING","FCC",IF(OR($H9536="HYDROCRACKING",$H9536="RESID_HYDROCRACKING"),"Hydrocracker",IF($H9536="REFORMING","Reformer",""))))</f>
        <v/>
      </c>
    </row>
    <row r="9537" spans="6:7">
      <c r="F9537" s="6">
        <f>IF($M9537="PADD I","PADD 1",IF($M9537="PADD II","PADD 2",IF($M9537="PADD III","PADD 3",IF($M9537="PADD IV","PADD 4",IF($M9537="PADD V","PADD 5","")))))</f>
        <v/>
      </c>
      <c r="G9537" s="6">
        <f>IF(AND($H9537="ATMOS DISTILLATION",ISNUMBER(SEARCH("VPS",$I9537))=FALSE,LEFT($I9537,6)&lt;&gt;"VACUUM"),"CDU",IF($H9537="FLUID CAT CRACKING","FCC",IF(OR($H9537="HYDROCRACKING",$H9537="RESID_HYDROCRACKING"),"Hydrocracker",IF($H9537="REFORMING","Reformer",""))))</f>
        <v/>
      </c>
    </row>
    <row r="9538" spans="6:7">
      <c r="F9538" s="6">
        <f>IF($M9538="PADD I","PADD 1",IF($M9538="PADD II","PADD 2",IF($M9538="PADD III","PADD 3",IF($M9538="PADD IV","PADD 4",IF($M9538="PADD V","PADD 5","")))))</f>
        <v/>
      </c>
      <c r="G9538" s="6">
        <f>IF(AND($H9538="ATMOS DISTILLATION",ISNUMBER(SEARCH("VPS",$I9538))=FALSE,LEFT($I9538,6)&lt;&gt;"VACUUM"),"CDU",IF($H9538="FLUID CAT CRACKING","FCC",IF(OR($H9538="HYDROCRACKING",$H9538="RESID_HYDROCRACKING"),"Hydrocracker",IF($H9538="REFORMING","Reformer",""))))</f>
        <v/>
      </c>
    </row>
    <row r="9539" spans="6:7">
      <c r="F9539" s="6">
        <f>IF($M9539="PADD I","PADD 1",IF($M9539="PADD II","PADD 2",IF($M9539="PADD III","PADD 3",IF($M9539="PADD IV","PADD 4",IF($M9539="PADD V","PADD 5","")))))</f>
        <v/>
      </c>
      <c r="G9539" s="6">
        <f>IF(AND($H9539="ATMOS DISTILLATION",ISNUMBER(SEARCH("VPS",$I9539))=FALSE,LEFT($I9539,6)&lt;&gt;"VACUUM"),"CDU",IF($H9539="FLUID CAT CRACKING","FCC",IF(OR($H9539="HYDROCRACKING",$H9539="RESID_HYDROCRACKING"),"Hydrocracker",IF($H9539="REFORMING","Reformer",""))))</f>
        <v/>
      </c>
    </row>
    <row r="9540" spans="6:7">
      <c r="F9540" s="6">
        <f>IF($M9540="PADD I","PADD 1",IF($M9540="PADD II","PADD 2",IF($M9540="PADD III","PADD 3",IF($M9540="PADD IV","PADD 4",IF($M9540="PADD V","PADD 5","")))))</f>
        <v/>
      </c>
      <c r="G9540" s="6">
        <f>IF(AND($H9540="ATMOS DISTILLATION",ISNUMBER(SEARCH("VPS",$I9540))=FALSE,LEFT($I9540,6)&lt;&gt;"VACUUM"),"CDU",IF($H9540="FLUID CAT CRACKING","FCC",IF(OR($H9540="HYDROCRACKING",$H9540="RESID_HYDROCRACKING"),"Hydrocracker",IF($H9540="REFORMING","Reformer",""))))</f>
        <v/>
      </c>
    </row>
    <row r="9541" spans="6:7">
      <c r="F9541" s="6">
        <f>IF($M9541="PADD I","PADD 1",IF($M9541="PADD II","PADD 2",IF($M9541="PADD III","PADD 3",IF($M9541="PADD IV","PADD 4",IF($M9541="PADD V","PADD 5","")))))</f>
        <v/>
      </c>
      <c r="G9541" s="6">
        <f>IF(AND($H9541="ATMOS DISTILLATION",ISNUMBER(SEARCH("VPS",$I9541))=FALSE,LEFT($I9541,6)&lt;&gt;"VACUUM"),"CDU",IF($H9541="FLUID CAT CRACKING","FCC",IF(OR($H9541="HYDROCRACKING",$H9541="RESID_HYDROCRACKING"),"Hydrocracker",IF($H9541="REFORMING","Reformer",""))))</f>
        <v/>
      </c>
    </row>
    <row r="9542" spans="6:7">
      <c r="F9542" s="6">
        <f>IF($M9542="PADD I","PADD 1",IF($M9542="PADD II","PADD 2",IF($M9542="PADD III","PADD 3",IF($M9542="PADD IV","PADD 4",IF($M9542="PADD V","PADD 5","")))))</f>
        <v/>
      </c>
      <c r="G9542" s="6">
        <f>IF(AND($H9542="ATMOS DISTILLATION",ISNUMBER(SEARCH("VPS",$I9542))=FALSE,LEFT($I9542,6)&lt;&gt;"VACUUM"),"CDU",IF($H9542="FLUID CAT CRACKING","FCC",IF(OR($H9542="HYDROCRACKING",$H9542="RESID_HYDROCRACKING"),"Hydrocracker",IF($H9542="REFORMING","Reformer",""))))</f>
        <v/>
      </c>
    </row>
    <row r="9543" spans="6:7">
      <c r="F9543" s="6">
        <f>IF($M9543="PADD I","PADD 1",IF($M9543="PADD II","PADD 2",IF($M9543="PADD III","PADD 3",IF($M9543="PADD IV","PADD 4",IF($M9543="PADD V","PADD 5","")))))</f>
        <v/>
      </c>
      <c r="G9543" s="6">
        <f>IF(AND($H9543="ATMOS DISTILLATION",ISNUMBER(SEARCH("VPS",$I9543))=FALSE,LEFT($I9543,6)&lt;&gt;"VACUUM"),"CDU",IF($H9543="FLUID CAT CRACKING","FCC",IF(OR($H9543="HYDROCRACKING",$H9543="RESID_HYDROCRACKING"),"Hydrocracker",IF($H9543="REFORMING","Reformer",""))))</f>
        <v/>
      </c>
    </row>
    <row r="9544" spans="6:7">
      <c r="F9544" s="6">
        <f>IF($M9544="PADD I","PADD 1",IF($M9544="PADD II","PADD 2",IF($M9544="PADD III","PADD 3",IF($M9544="PADD IV","PADD 4",IF($M9544="PADD V","PADD 5","")))))</f>
        <v/>
      </c>
      <c r="G9544" s="6">
        <f>IF(AND($H9544="ATMOS DISTILLATION",ISNUMBER(SEARCH("VPS",$I9544))=FALSE,LEFT($I9544,6)&lt;&gt;"VACUUM"),"CDU",IF($H9544="FLUID CAT CRACKING","FCC",IF(OR($H9544="HYDROCRACKING",$H9544="RESID_HYDROCRACKING"),"Hydrocracker",IF($H9544="REFORMING","Reformer",""))))</f>
        <v/>
      </c>
    </row>
    <row r="9545" spans="6:7">
      <c r="F9545" s="6">
        <f>IF($M9545="PADD I","PADD 1",IF($M9545="PADD II","PADD 2",IF($M9545="PADD III","PADD 3",IF($M9545="PADD IV","PADD 4",IF($M9545="PADD V","PADD 5","")))))</f>
        <v/>
      </c>
      <c r="G9545" s="6">
        <f>IF(AND($H9545="ATMOS DISTILLATION",ISNUMBER(SEARCH("VPS",$I9545))=FALSE,LEFT($I9545,6)&lt;&gt;"VACUUM"),"CDU",IF($H9545="FLUID CAT CRACKING","FCC",IF(OR($H9545="HYDROCRACKING",$H9545="RESID_HYDROCRACKING"),"Hydrocracker",IF($H9545="REFORMING","Reformer",""))))</f>
        <v/>
      </c>
    </row>
    <row r="9546" spans="6:7">
      <c r="F9546" s="6">
        <f>IF($M9546="PADD I","PADD 1",IF($M9546="PADD II","PADD 2",IF($M9546="PADD III","PADD 3",IF($M9546="PADD IV","PADD 4",IF($M9546="PADD V","PADD 5","")))))</f>
        <v/>
      </c>
      <c r="G9546" s="6">
        <f>IF(AND($H9546="ATMOS DISTILLATION",ISNUMBER(SEARCH("VPS",$I9546))=FALSE,LEFT($I9546,6)&lt;&gt;"VACUUM"),"CDU",IF($H9546="FLUID CAT CRACKING","FCC",IF(OR($H9546="HYDROCRACKING",$H9546="RESID_HYDROCRACKING"),"Hydrocracker",IF($H9546="REFORMING","Reformer",""))))</f>
        <v/>
      </c>
    </row>
    <row r="9547" spans="6:7">
      <c r="F9547" s="6">
        <f>IF($M9547="PADD I","PADD 1",IF($M9547="PADD II","PADD 2",IF($M9547="PADD III","PADD 3",IF($M9547="PADD IV","PADD 4",IF($M9547="PADD V","PADD 5","")))))</f>
        <v/>
      </c>
      <c r="G9547" s="6">
        <f>IF(AND($H9547="ATMOS DISTILLATION",ISNUMBER(SEARCH("VPS",$I9547))=FALSE,LEFT($I9547,6)&lt;&gt;"VACUUM"),"CDU",IF($H9547="FLUID CAT CRACKING","FCC",IF(OR($H9547="HYDROCRACKING",$H9547="RESID_HYDROCRACKING"),"Hydrocracker",IF($H9547="REFORMING","Reformer",""))))</f>
        <v/>
      </c>
    </row>
    <row r="9548" spans="6:7">
      <c r="F9548" s="6">
        <f>IF($M9548="PADD I","PADD 1",IF($M9548="PADD II","PADD 2",IF($M9548="PADD III","PADD 3",IF($M9548="PADD IV","PADD 4",IF($M9548="PADD V","PADD 5","")))))</f>
        <v/>
      </c>
      <c r="G9548" s="6">
        <f>IF(AND($H9548="ATMOS DISTILLATION",ISNUMBER(SEARCH("VPS",$I9548))=FALSE,LEFT($I9548,6)&lt;&gt;"VACUUM"),"CDU",IF($H9548="FLUID CAT CRACKING","FCC",IF(OR($H9548="HYDROCRACKING",$H9548="RESID_HYDROCRACKING"),"Hydrocracker",IF($H9548="REFORMING","Reformer",""))))</f>
        <v/>
      </c>
    </row>
    <row r="9549" spans="6:7">
      <c r="F9549" s="6">
        <f>IF($M9549="PADD I","PADD 1",IF($M9549="PADD II","PADD 2",IF($M9549="PADD III","PADD 3",IF($M9549="PADD IV","PADD 4",IF($M9549="PADD V","PADD 5","")))))</f>
        <v/>
      </c>
      <c r="G9549" s="6">
        <f>IF(AND($H9549="ATMOS DISTILLATION",ISNUMBER(SEARCH("VPS",$I9549))=FALSE,LEFT($I9549,6)&lt;&gt;"VACUUM"),"CDU",IF($H9549="FLUID CAT CRACKING","FCC",IF(OR($H9549="HYDROCRACKING",$H9549="RESID_HYDROCRACKING"),"Hydrocracker",IF($H9549="REFORMING","Reformer",""))))</f>
        <v/>
      </c>
    </row>
    <row r="9550" spans="6:7">
      <c r="F9550" s="6">
        <f>IF($M9550="PADD I","PADD 1",IF($M9550="PADD II","PADD 2",IF($M9550="PADD III","PADD 3",IF($M9550="PADD IV","PADD 4",IF($M9550="PADD V","PADD 5","")))))</f>
        <v/>
      </c>
      <c r="G9550" s="6">
        <f>IF(AND($H9550="ATMOS DISTILLATION",ISNUMBER(SEARCH("VPS",$I9550))=FALSE,LEFT($I9550,6)&lt;&gt;"VACUUM"),"CDU",IF($H9550="FLUID CAT CRACKING","FCC",IF(OR($H9550="HYDROCRACKING",$H9550="RESID_HYDROCRACKING"),"Hydrocracker",IF($H9550="REFORMING","Reformer",""))))</f>
        <v/>
      </c>
    </row>
    <row r="9551" spans="6:7">
      <c r="F9551" s="6">
        <f>IF($M9551="PADD I","PADD 1",IF($M9551="PADD II","PADD 2",IF($M9551="PADD III","PADD 3",IF($M9551="PADD IV","PADD 4",IF($M9551="PADD V","PADD 5","")))))</f>
        <v/>
      </c>
      <c r="G9551" s="6">
        <f>IF(AND($H9551="ATMOS DISTILLATION",ISNUMBER(SEARCH("VPS",$I9551))=FALSE,LEFT($I9551,6)&lt;&gt;"VACUUM"),"CDU",IF($H9551="FLUID CAT CRACKING","FCC",IF(OR($H9551="HYDROCRACKING",$H9551="RESID_HYDROCRACKING"),"Hydrocracker",IF($H9551="REFORMING","Reformer",""))))</f>
        <v/>
      </c>
    </row>
    <row r="9552" spans="6:7">
      <c r="F9552" s="6">
        <f>IF($M9552="PADD I","PADD 1",IF($M9552="PADD II","PADD 2",IF($M9552="PADD III","PADD 3",IF($M9552="PADD IV","PADD 4",IF($M9552="PADD V","PADD 5","")))))</f>
        <v/>
      </c>
      <c r="G9552" s="6">
        <f>IF(AND($H9552="ATMOS DISTILLATION",ISNUMBER(SEARCH("VPS",$I9552))=FALSE,LEFT($I9552,6)&lt;&gt;"VACUUM"),"CDU",IF($H9552="FLUID CAT CRACKING","FCC",IF(OR($H9552="HYDROCRACKING",$H9552="RESID_HYDROCRACKING"),"Hydrocracker",IF($H9552="REFORMING","Reformer",""))))</f>
        <v/>
      </c>
    </row>
    <row r="9553" spans="6:7">
      <c r="F9553" s="6">
        <f>IF($M9553="PADD I","PADD 1",IF($M9553="PADD II","PADD 2",IF($M9553="PADD III","PADD 3",IF($M9553="PADD IV","PADD 4",IF($M9553="PADD V","PADD 5","")))))</f>
        <v/>
      </c>
      <c r="G9553" s="6">
        <f>IF(AND($H9553="ATMOS DISTILLATION",ISNUMBER(SEARCH("VPS",$I9553))=FALSE,LEFT($I9553,6)&lt;&gt;"VACUUM"),"CDU",IF($H9553="FLUID CAT CRACKING","FCC",IF(OR($H9553="HYDROCRACKING",$H9553="RESID_HYDROCRACKING"),"Hydrocracker",IF($H9553="REFORMING","Reformer",""))))</f>
        <v/>
      </c>
    </row>
    <row r="9554" spans="6:7">
      <c r="F9554" s="6">
        <f>IF($M9554="PADD I","PADD 1",IF($M9554="PADD II","PADD 2",IF($M9554="PADD III","PADD 3",IF($M9554="PADD IV","PADD 4",IF($M9554="PADD V","PADD 5","")))))</f>
        <v/>
      </c>
      <c r="G9554" s="6">
        <f>IF(AND($H9554="ATMOS DISTILLATION",ISNUMBER(SEARCH("VPS",$I9554))=FALSE,LEFT($I9554,6)&lt;&gt;"VACUUM"),"CDU",IF($H9554="FLUID CAT CRACKING","FCC",IF(OR($H9554="HYDROCRACKING",$H9554="RESID_HYDROCRACKING"),"Hydrocracker",IF($H9554="REFORMING","Reformer",""))))</f>
        <v/>
      </c>
    </row>
    <row r="9555" spans="6:7">
      <c r="F9555" s="6">
        <f>IF($M9555="PADD I","PADD 1",IF($M9555="PADD II","PADD 2",IF($M9555="PADD III","PADD 3",IF($M9555="PADD IV","PADD 4",IF($M9555="PADD V","PADD 5","")))))</f>
        <v/>
      </c>
      <c r="G9555" s="6">
        <f>IF(AND($H9555="ATMOS DISTILLATION",ISNUMBER(SEARCH("VPS",$I9555))=FALSE,LEFT($I9555,6)&lt;&gt;"VACUUM"),"CDU",IF($H9555="FLUID CAT CRACKING","FCC",IF(OR($H9555="HYDROCRACKING",$H9555="RESID_HYDROCRACKING"),"Hydrocracker",IF($H9555="REFORMING","Reformer",""))))</f>
        <v/>
      </c>
    </row>
    <row r="9556" spans="6:7">
      <c r="F9556" s="6">
        <f>IF($M9556="PADD I","PADD 1",IF($M9556="PADD II","PADD 2",IF($M9556="PADD III","PADD 3",IF($M9556="PADD IV","PADD 4",IF($M9556="PADD V","PADD 5","")))))</f>
        <v/>
      </c>
      <c r="G9556" s="6">
        <f>IF(AND($H9556="ATMOS DISTILLATION",ISNUMBER(SEARCH("VPS",$I9556))=FALSE,LEFT($I9556,6)&lt;&gt;"VACUUM"),"CDU",IF($H9556="FLUID CAT CRACKING","FCC",IF(OR($H9556="HYDROCRACKING",$H9556="RESID_HYDROCRACKING"),"Hydrocracker",IF($H9556="REFORMING","Reformer",""))))</f>
        <v/>
      </c>
    </row>
    <row r="9557" spans="6:7">
      <c r="F9557" s="6">
        <f>IF($M9557="PADD I","PADD 1",IF($M9557="PADD II","PADD 2",IF($M9557="PADD III","PADD 3",IF($M9557="PADD IV","PADD 4",IF($M9557="PADD V","PADD 5","")))))</f>
        <v/>
      </c>
      <c r="G9557" s="6">
        <f>IF(AND($H9557="ATMOS DISTILLATION",ISNUMBER(SEARCH("VPS",$I9557))=FALSE,LEFT($I9557,6)&lt;&gt;"VACUUM"),"CDU",IF($H9557="FLUID CAT CRACKING","FCC",IF(OR($H9557="HYDROCRACKING",$H9557="RESID_HYDROCRACKING"),"Hydrocracker",IF($H9557="REFORMING","Reformer",""))))</f>
        <v/>
      </c>
    </row>
    <row r="9558" spans="6:7">
      <c r="F9558" s="6">
        <f>IF($M9558="PADD I","PADD 1",IF($M9558="PADD II","PADD 2",IF($M9558="PADD III","PADD 3",IF($M9558="PADD IV","PADD 4",IF($M9558="PADD V","PADD 5","")))))</f>
        <v/>
      </c>
      <c r="G9558" s="6">
        <f>IF(AND($H9558="ATMOS DISTILLATION",ISNUMBER(SEARCH("VPS",$I9558))=FALSE,LEFT($I9558,6)&lt;&gt;"VACUUM"),"CDU",IF($H9558="FLUID CAT CRACKING","FCC",IF(OR($H9558="HYDROCRACKING",$H9558="RESID_HYDROCRACKING"),"Hydrocracker",IF($H9558="REFORMING","Reformer",""))))</f>
        <v/>
      </c>
    </row>
    <row r="9559" spans="6:7">
      <c r="F9559" s="6">
        <f>IF($M9559="PADD I","PADD 1",IF($M9559="PADD II","PADD 2",IF($M9559="PADD III","PADD 3",IF($M9559="PADD IV","PADD 4",IF($M9559="PADD V","PADD 5","")))))</f>
        <v/>
      </c>
      <c r="G9559" s="6">
        <f>IF(AND($H9559="ATMOS DISTILLATION",ISNUMBER(SEARCH("VPS",$I9559))=FALSE,LEFT($I9559,6)&lt;&gt;"VACUUM"),"CDU",IF($H9559="FLUID CAT CRACKING","FCC",IF(OR($H9559="HYDROCRACKING",$H9559="RESID_HYDROCRACKING"),"Hydrocracker",IF($H9559="REFORMING","Reformer",""))))</f>
        <v/>
      </c>
    </row>
    <row r="9560" spans="6:7">
      <c r="F9560" s="6">
        <f>IF($M9560="PADD I","PADD 1",IF($M9560="PADD II","PADD 2",IF($M9560="PADD III","PADD 3",IF($M9560="PADD IV","PADD 4",IF($M9560="PADD V","PADD 5","")))))</f>
        <v/>
      </c>
      <c r="G9560" s="6">
        <f>IF(AND($H9560="ATMOS DISTILLATION",ISNUMBER(SEARCH("VPS",$I9560))=FALSE,LEFT($I9560,6)&lt;&gt;"VACUUM"),"CDU",IF($H9560="FLUID CAT CRACKING","FCC",IF(OR($H9560="HYDROCRACKING",$H9560="RESID_HYDROCRACKING"),"Hydrocracker",IF($H9560="REFORMING","Reformer",""))))</f>
        <v/>
      </c>
    </row>
    <row r="9561" spans="6:7">
      <c r="F9561" s="6">
        <f>IF($M9561="PADD I","PADD 1",IF($M9561="PADD II","PADD 2",IF($M9561="PADD III","PADD 3",IF($M9561="PADD IV","PADD 4",IF($M9561="PADD V","PADD 5","")))))</f>
        <v/>
      </c>
      <c r="G9561" s="6">
        <f>IF(AND($H9561="ATMOS DISTILLATION",ISNUMBER(SEARCH("VPS",$I9561))=FALSE,LEFT($I9561,6)&lt;&gt;"VACUUM"),"CDU",IF($H9561="FLUID CAT CRACKING","FCC",IF(OR($H9561="HYDROCRACKING",$H9561="RESID_HYDROCRACKING"),"Hydrocracker",IF($H9561="REFORMING","Reformer",""))))</f>
        <v/>
      </c>
    </row>
    <row r="9562" spans="6:7">
      <c r="F9562" s="6">
        <f>IF($M9562="PADD I","PADD 1",IF($M9562="PADD II","PADD 2",IF($M9562="PADD III","PADD 3",IF($M9562="PADD IV","PADD 4",IF($M9562="PADD V","PADD 5","")))))</f>
        <v/>
      </c>
      <c r="G9562" s="6">
        <f>IF(AND($H9562="ATMOS DISTILLATION",ISNUMBER(SEARCH("VPS",$I9562))=FALSE,LEFT($I9562,6)&lt;&gt;"VACUUM"),"CDU",IF($H9562="FLUID CAT CRACKING","FCC",IF(OR($H9562="HYDROCRACKING",$H9562="RESID_HYDROCRACKING"),"Hydrocracker",IF($H9562="REFORMING","Reformer",""))))</f>
        <v/>
      </c>
    </row>
    <row r="9563" spans="6:7">
      <c r="F9563" s="6">
        <f>IF($M9563="PADD I","PADD 1",IF($M9563="PADD II","PADD 2",IF($M9563="PADD III","PADD 3",IF($M9563="PADD IV","PADD 4",IF($M9563="PADD V","PADD 5","")))))</f>
        <v/>
      </c>
      <c r="G9563" s="6">
        <f>IF(AND($H9563="ATMOS DISTILLATION",ISNUMBER(SEARCH("VPS",$I9563))=FALSE,LEFT($I9563,6)&lt;&gt;"VACUUM"),"CDU",IF($H9563="FLUID CAT CRACKING","FCC",IF(OR($H9563="HYDROCRACKING",$H9563="RESID_HYDROCRACKING"),"Hydrocracker",IF($H9563="REFORMING","Reformer",""))))</f>
        <v/>
      </c>
    </row>
    <row r="9564" spans="6:7">
      <c r="F9564" s="6">
        <f>IF($M9564="PADD I","PADD 1",IF($M9564="PADD II","PADD 2",IF($M9564="PADD III","PADD 3",IF($M9564="PADD IV","PADD 4",IF($M9564="PADD V","PADD 5","")))))</f>
        <v/>
      </c>
      <c r="G9564" s="6">
        <f>IF(AND($H9564="ATMOS DISTILLATION",ISNUMBER(SEARCH("VPS",$I9564))=FALSE,LEFT($I9564,6)&lt;&gt;"VACUUM"),"CDU",IF($H9564="FLUID CAT CRACKING","FCC",IF(OR($H9564="HYDROCRACKING",$H9564="RESID_HYDROCRACKING"),"Hydrocracker",IF($H9564="REFORMING","Reformer",""))))</f>
        <v/>
      </c>
    </row>
    <row r="9565" spans="6:7">
      <c r="F9565" s="6">
        <f>IF($M9565="PADD I","PADD 1",IF($M9565="PADD II","PADD 2",IF($M9565="PADD III","PADD 3",IF($M9565="PADD IV","PADD 4",IF($M9565="PADD V","PADD 5","")))))</f>
        <v/>
      </c>
      <c r="G9565" s="6">
        <f>IF(AND($H9565="ATMOS DISTILLATION",ISNUMBER(SEARCH("VPS",$I9565))=FALSE,LEFT($I9565,6)&lt;&gt;"VACUUM"),"CDU",IF($H9565="FLUID CAT CRACKING","FCC",IF(OR($H9565="HYDROCRACKING",$H9565="RESID_HYDROCRACKING"),"Hydrocracker",IF($H9565="REFORMING","Reformer",""))))</f>
        <v/>
      </c>
    </row>
    <row r="9566" spans="6:7">
      <c r="F9566" s="6">
        <f>IF($M9566="PADD I","PADD 1",IF($M9566="PADD II","PADD 2",IF($M9566="PADD III","PADD 3",IF($M9566="PADD IV","PADD 4",IF($M9566="PADD V","PADD 5","")))))</f>
        <v/>
      </c>
      <c r="G9566" s="6">
        <f>IF(AND($H9566="ATMOS DISTILLATION",ISNUMBER(SEARCH("VPS",$I9566))=FALSE,LEFT($I9566,6)&lt;&gt;"VACUUM"),"CDU",IF($H9566="FLUID CAT CRACKING","FCC",IF(OR($H9566="HYDROCRACKING",$H9566="RESID_HYDROCRACKING"),"Hydrocracker",IF($H9566="REFORMING","Reformer",""))))</f>
        <v/>
      </c>
    </row>
    <row r="9567" spans="6:7">
      <c r="F9567" s="6">
        <f>IF($M9567="PADD I","PADD 1",IF($M9567="PADD II","PADD 2",IF($M9567="PADD III","PADD 3",IF($M9567="PADD IV","PADD 4",IF($M9567="PADD V","PADD 5","")))))</f>
        <v/>
      </c>
      <c r="G9567" s="6">
        <f>IF(AND($H9567="ATMOS DISTILLATION",ISNUMBER(SEARCH("VPS",$I9567))=FALSE,LEFT($I9567,6)&lt;&gt;"VACUUM"),"CDU",IF($H9567="FLUID CAT CRACKING","FCC",IF(OR($H9567="HYDROCRACKING",$H9567="RESID_HYDROCRACKING"),"Hydrocracker",IF($H9567="REFORMING","Reformer",""))))</f>
        <v/>
      </c>
    </row>
    <row r="9568" spans="6:7">
      <c r="F9568" s="6">
        <f>IF($M9568="PADD I","PADD 1",IF($M9568="PADD II","PADD 2",IF($M9568="PADD III","PADD 3",IF($M9568="PADD IV","PADD 4",IF($M9568="PADD V","PADD 5","")))))</f>
        <v/>
      </c>
      <c r="G9568" s="6">
        <f>IF(AND($H9568="ATMOS DISTILLATION",ISNUMBER(SEARCH("VPS",$I9568))=FALSE,LEFT($I9568,6)&lt;&gt;"VACUUM"),"CDU",IF($H9568="FLUID CAT CRACKING","FCC",IF(OR($H9568="HYDROCRACKING",$H9568="RESID_HYDROCRACKING"),"Hydrocracker",IF($H9568="REFORMING","Reformer",""))))</f>
        <v/>
      </c>
    </row>
    <row r="9569" spans="6:7">
      <c r="F9569" s="6">
        <f>IF($M9569="PADD I","PADD 1",IF($M9569="PADD II","PADD 2",IF($M9569="PADD III","PADD 3",IF($M9569="PADD IV","PADD 4",IF($M9569="PADD V","PADD 5","")))))</f>
        <v/>
      </c>
      <c r="G9569" s="6">
        <f>IF(AND($H9569="ATMOS DISTILLATION",ISNUMBER(SEARCH("VPS",$I9569))=FALSE,LEFT($I9569,6)&lt;&gt;"VACUUM"),"CDU",IF($H9569="FLUID CAT CRACKING","FCC",IF(OR($H9569="HYDROCRACKING",$H9569="RESID_HYDROCRACKING"),"Hydrocracker",IF($H9569="REFORMING","Reformer",""))))</f>
        <v/>
      </c>
    </row>
    <row r="9570" spans="6:7">
      <c r="F9570" s="6">
        <f>IF($M9570="PADD I","PADD 1",IF($M9570="PADD II","PADD 2",IF($M9570="PADD III","PADD 3",IF($M9570="PADD IV","PADD 4",IF($M9570="PADD V","PADD 5","")))))</f>
        <v/>
      </c>
      <c r="G9570" s="6">
        <f>IF(AND($H9570="ATMOS DISTILLATION",ISNUMBER(SEARCH("VPS",$I9570))=FALSE,LEFT($I9570,6)&lt;&gt;"VACUUM"),"CDU",IF($H9570="FLUID CAT CRACKING","FCC",IF(OR($H9570="HYDROCRACKING",$H9570="RESID_HYDROCRACKING"),"Hydrocracker",IF($H9570="REFORMING","Reformer",""))))</f>
        <v/>
      </c>
    </row>
    <row r="9571" spans="6:7">
      <c r="F9571" s="6">
        <f>IF($M9571="PADD I","PADD 1",IF($M9571="PADD II","PADD 2",IF($M9571="PADD III","PADD 3",IF($M9571="PADD IV","PADD 4",IF($M9571="PADD V","PADD 5","")))))</f>
        <v/>
      </c>
      <c r="G9571" s="6">
        <f>IF(AND($H9571="ATMOS DISTILLATION",ISNUMBER(SEARCH("VPS",$I9571))=FALSE,LEFT($I9571,6)&lt;&gt;"VACUUM"),"CDU",IF($H9571="FLUID CAT CRACKING","FCC",IF(OR($H9571="HYDROCRACKING",$H9571="RESID_HYDROCRACKING"),"Hydrocracker",IF($H9571="REFORMING","Reformer",""))))</f>
        <v/>
      </c>
    </row>
    <row r="9572" spans="6:7">
      <c r="F9572" s="6">
        <f>IF($M9572="PADD I","PADD 1",IF($M9572="PADD II","PADD 2",IF($M9572="PADD III","PADD 3",IF($M9572="PADD IV","PADD 4",IF($M9572="PADD V","PADD 5","")))))</f>
        <v/>
      </c>
      <c r="G9572" s="6">
        <f>IF(AND($H9572="ATMOS DISTILLATION",ISNUMBER(SEARCH("VPS",$I9572))=FALSE,LEFT($I9572,6)&lt;&gt;"VACUUM"),"CDU",IF($H9572="FLUID CAT CRACKING","FCC",IF(OR($H9572="HYDROCRACKING",$H9572="RESID_HYDROCRACKING"),"Hydrocracker",IF($H9572="REFORMING","Reformer",""))))</f>
        <v/>
      </c>
    </row>
    <row r="9573" spans="6:7">
      <c r="F9573" s="6">
        <f>IF($M9573="PADD I","PADD 1",IF($M9573="PADD II","PADD 2",IF($M9573="PADD III","PADD 3",IF($M9573="PADD IV","PADD 4",IF($M9573="PADD V","PADD 5","")))))</f>
        <v/>
      </c>
      <c r="G9573" s="6">
        <f>IF(AND($H9573="ATMOS DISTILLATION",ISNUMBER(SEARCH("VPS",$I9573))=FALSE,LEFT($I9573,6)&lt;&gt;"VACUUM"),"CDU",IF($H9573="FLUID CAT CRACKING","FCC",IF(OR($H9573="HYDROCRACKING",$H9573="RESID_HYDROCRACKING"),"Hydrocracker",IF($H9573="REFORMING","Reformer",""))))</f>
        <v/>
      </c>
    </row>
    <row r="9574" spans="6:7">
      <c r="F9574" s="6">
        <f>IF($M9574="PADD I","PADD 1",IF($M9574="PADD II","PADD 2",IF($M9574="PADD III","PADD 3",IF($M9574="PADD IV","PADD 4",IF($M9574="PADD V","PADD 5","")))))</f>
        <v/>
      </c>
      <c r="G9574" s="6">
        <f>IF(AND($H9574="ATMOS DISTILLATION",ISNUMBER(SEARCH("VPS",$I9574))=FALSE,LEFT($I9574,6)&lt;&gt;"VACUUM"),"CDU",IF($H9574="FLUID CAT CRACKING","FCC",IF(OR($H9574="HYDROCRACKING",$H9574="RESID_HYDROCRACKING"),"Hydrocracker",IF($H9574="REFORMING","Reformer",""))))</f>
        <v/>
      </c>
    </row>
    <row r="9575" spans="6:7">
      <c r="F9575" s="6">
        <f>IF($M9575="PADD I","PADD 1",IF($M9575="PADD II","PADD 2",IF($M9575="PADD III","PADD 3",IF($M9575="PADD IV","PADD 4",IF($M9575="PADD V","PADD 5","")))))</f>
        <v/>
      </c>
      <c r="G9575" s="6">
        <f>IF(AND($H9575="ATMOS DISTILLATION",ISNUMBER(SEARCH("VPS",$I9575))=FALSE,LEFT($I9575,6)&lt;&gt;"VACUUM"),"CDU",IF($H9575="FLUID CAT CRACKING","FCC",IF(OR($H9575="HYDROCRACKING",$H9575="RESID_HYDROCRACKING"),"Hydrocracker",IF($H9575="REFORMING","Reformer",""))))</f>
        <v/>
      </c>
    </row>
    <row r="9576" spans="6:7">
      <c r="F9576" s="6">
        <f>IF($M9576="PADD I","PADD 1",IF($M9576="PADD II","PADD 2",IF($M9576="PADD III","PADD 3",IF($M9576="PADD IV","PADD 4",IF($M9576="PADD V","PADD 5","")))))</f>
        <v/>
      </c>
      <c r="G9576" s="6">
        <f>IF(AND($H9576="ATMOS DISTILLATION",ISNUMBER(SEARCH("VPS",$I9576))=FALSE,LEFT($I9576,6)&lt;&gt;"VACUUM"),"CDU",IF($H9576="FLUID CAT CRACKING","FCC",IF(OR($H9576="HYDROCRACKING",$H9576="RESID_HYDROCRACKING"),"Hydrocracker",IF($H9576="REFORMING","Reformer",""))))</f>
        <v/>
      </c>
    </row>
    <row r="9577" spans="6:7">
      <c r="F9577" s="6">
        <f>IF($M9577="PADD I","PADD 1",IF($M9577="PADD II","PADD 2",IF($M9577="PADD III","PADD 3",IF($M9577="PADD IV","PADD 4",IF($M9577="PADD V","PADD 5","")))))</f>
        <v/>
      </c>
      <c r="G9577" s="6">
        <f>IF(AND($H9577="ATMOS DISTILLATION",ISNUMBER(SEARCH("VPS",$I9577))=FALSE,LEFT($I9577,6)&lt;&gt;"VACUUM"),"CDU",IF($H9577="FLUID CAT CRACKING","FCC",IF(OR($H9577="HYDROCRACKING",$H9577="RESID_HYDROCRACKING"),"Hydrocracker",IF($H9577="REFORMING","Reformer",""))))</f>
        <v/>
      </c>
    </row>
    <row r="9578" spans="6:7">
      <c r="F9578" s="6">
        <f>IF($M9578="PADD I","PADD 1",IF($M9578="PADD II","PADD 2",IF($M9578="PADD III","PADD 3",IF($M9578="PADD IV","PADD 4",IF($M9578="PADD V","PADD 5","")))))</f>
        <v/>
      </c>
      <c r="G9578" s="6">
        <f>IF(AND($H9578="ATMOS DISTILLATION",ISNUMBER(SEARCH("VPS",$I9578))=FALSE,LEFT($I9578,6)&lt;&gt;"VACUUM"),"CDU",IF($H9578="FLUID CAT CRACKING","FCC",IF(OR($H9578="HYDROCRACKING",$H9578="RESID_HYDROCRACKING"),"Hydrocracker",IF($H9578="REFORMING","Reformer",""))))</f>
        <v/>
      </c>
    </row>
    <row r="9579" spans="6:7">
      <c r="F9579" s="6">
        <f>IF($M9579="PADD I","PADD 1",IF($M9579="PADD II","PADD 2",IF($M9579="PADD III","PADD 3",IF($M9579="PADD IV","PADD 4",IF($M9579="PADD V","PADD 5","")))))</f>
        <v/>
      </c>
      <c r="G9579" s="6">
        <f>IF(AND($H9579="ATMOS DISTILLATION",ISNUMBER(SEARCH("VPS",$I9579))=FALSE,LEFT($I9579,6)&lt;&gt;"VACUUM"),"CDU",IF($H9579="FLUID CAT CRACKING","FCC",IF(OR($H9579="HYDROCRACKING",$H9579="RESID_HYDROCRACKING"),"Hydrocracker",IF($H9579="REFORMING","Reformer",""))))</f>
        <v/>
      </c>
    </row>
    <row r="9580" spans="6:7">
      <c r="F9580" s="6">
        <f>IF($M9580="PADD I","PADD 1",IF($M9580="PADD II","PADD 2",IF($M9580="PADD III","PADD 3",IF($M9580="PADD IV","PADD 4",IF($M9580="PADD V","PADD 5","")))))</f>
        <v/>
      </c>
      <c r="G9580" s="6">
        <f>IF(AND($H9580="ATMOS DISTILLATION",ISNUMBER(SEARCH("VPS",$I9580))=FALSE,LEFT($I9580,6)&lt;&gt;"VACUUM"),"CDU",IF($H9580="FLUID CAT CRACKING","FCC",IF(OR($H9580="HYDROCRACKING",$H9580="RESID_HYDROCRACKING"),"Hydrocracker",IF($H9580="REFORMING","Reformer",""))))</f>
        <v/>
      </c>
    </row>
    <row r="9581" spans="6:7">
      <c r="F9581" s="6">
        <f>IF($M9581="PADD I","PADD 1",IF($M9581="PADD II","PADD 2",IF($M9581="PADD III","PADD 3",IF($M9581="PADD IV","PADD 4",IF($M9581="PADD V","PADD 5","")))))</f>
        <v/>
      </c>
      <c r="G9581" s="6">
        <f>IF(AND($H9581="ATMOS DISTILLATION",ISNUMBER(SEARCH("VPS",$I9581))=FALSE,LEFT($I9581,6)&lt;&gt;"VACUUM"),"CDU",IF($H9581="FLUID CAT CRACKING","FCC",IF(OR($H9581="HYDROCRACKING",$H9581="RESID_HYDROCRACKING"),"Hydrocracker",IF($H9581="REFORMING","Reformer",""))))</f>
        <v/>
      </c>
    </row>
    <row r="9582" spans="6:7">
      <c r="F9582" s="6">
        <f>IF($M9582="PADD I","PADD 1",IF($M9582="PADD II","PADD 2",IF($M9582="PADD III","PADD 3",IF($M9582="PADD IV","PADD 4",IF($M9582="PADD V","PADD 5","")))))</f>
        <v/>
      </c>
      <c r="G9582" s="6">
        <f>IF(AND($H9582="ATMOS DISTILLATION",ISNUMBER(SEARCH("VPS",$I9582))=FALSE,LEFT($I9582,6)&lt;&gt;"VACUUM"),"CDU",IF($H9582="FLUID CAT CRACKING","FCC",IF(OR($H9582="HYDROCRACKING",$H9582="RESID_HYDROCRACKING"),"Hydrocracker",IF($H9582="REFORMING","Reformer",""))))</f>
        <v/>
      </c>
    </row>
    <row r="9583" spans="6:7">
      <c r="F9583" s="6">
        <f>IF($M9583="PADD I","PADD 1",IF($M9583="PADD II","PADD 2",IF($M9583="PADD III","PADD 3",IF($M9583="PADD IV","PADD 4",IF($M9583="PADD V","PADD 5","")))))</f>
        <v/>
      </c>
      <c r="G9583" s="6">
        <f>IF(AND($H9583="ATMOS DISTILLATION",ISNUMBER(SEARCH("VPS",$I9583))=FALSE,LEFT($I9583,6)&lt;&gt;"VACUUM"),"CDU",IF($H9583="FLUID CAT CRACKING","FCC",IF(OR($H9583="HYDROCRACKING",$H9583="RESID_HYDROCRACKING"),"Hydrocracker",IF($H9583="REFORMING","Reformer",""))))</f>
        <v/>
      </c>
    </row>
    <row r="9584" spans="6:7">
      <c r="F9584" s="6">
        <f>IF($M9584="PADD I","PADD 1",IF($M9584="PADD II","PADD 2",IF($M9584="PADD III","PADD 3",IF($M9584="PADD IV","PADD 4",IF($M9584="PADD V","PADD 5","")))))</f>
        <v/>
      </c>
      <c r="G9584" s="6">
        <f>IF(AND($H9584="ATMOS DISTILLATION",ISNUMBER(SEARCH("VPS",$I9584))=FALSE,LEFT($I9584,6)&lt;&gt;"VACUUM"),"CDU",IF($H9584="FLUID CAT CRACKING","FCC",IF(OR($H9584="HYDROCRACKING",$H9584="RESID_HYDROCRACKING"),"Hydrocracker",IF($H9584="REFORMING","Reformer",""))))</f>
        <v/>
      </c>
    </row>
    <row r="9585" spans="6:7">
      <c r="F9585" s="6">
        <f>IF($M9585="PADD I","PADD 1",IF($M9585="PADD II","PADD 2",IF($M9585="PADD III","PADD 3",IF($M9585="PADD IV","PADD 4",IF($M9585="PADD V","PADD 5","")))))</f>
        <v/>
      </c>
      <c r="G9585" s="6">
        <f>IF(AND($H9585="ATMOS DISTILLATION",ISNUMBER(SEARCH("VPS",$I9585))=FALSE,LEFT($I9585,6)&lt;&gt;"VACUUM"),"CDU",IF($H9585="FLUID CAT CRACKING","FCC",IF(OR($H9585="HYDROCRACKING",$H9585="RESID_HYDROCRACKING"),"Hydrocracker",IF($H9585="REFORMING","Reformer",""))))</f>
        <v/>
      </c>
    </row>
    <row r="9586" spans="6:7">
      <c r="F9586" s="6">
        <f>IF($M9586="PADD I","PADD 1",IF($M9586="PADD II","PADD 2",IF($M9586="PADD III","PADD 3",IF($M9586="PADD IV","PADD 4",IF($M9586="PADD V","PADD 5","")))))</f>
        <v/>
      </c>
      <c r="G9586" s="6">
        <f>IF(AND($H9586="ATMOS DISTILLATION",ISNUMBER(SEARCH("VPS",$I9586))=FALSE,LEFT($I9586,6)&lt;&gt;"VACUUM"),"CDU",IF($H9586="FLUID CAT CRACKING","FCC",IF(OR($H9586="HYDROCRACKING",$H9586="RESID_HYDROCRACKING"),"Hydrocracker",IF($H9586="REFORMING","Reformer",""))))</f>
        <v/>
      </c>
    </row>
    <row r="9587" spans="6:7">
      <c r="F9587" s="6">
        <f>IF($M9587="PADD I","PADD 1",IF($M9587="PADD II","PADD 2",IF($M9587="PADD III","PADD 3",IF($M9587="PADD IV","PADD 4",IF($M9587="PADD V","PADD 5","")))))</f>
        <v/>
      </c>
      <c r="G9587" s="6">
        <f>IF(AND($H9587="ATMOS DISTILLATION",ISNUMBER(SEARCH("VPS",$I9587))=FALSE,LEFT($I9587,6)&lt;&gt;"VACUUM"),"CDU",IF($H9587="FLUID CAT CRACKING","FCC",IF(OR($H9587="HYDROCRACKING",$H9587="RESID_HYDROCRACKING"),"Hydrocracker",IF($H9587="REFORMING","Reformer",""))))</f>
        <v/>
      </c>
    </row>
    <row r="9588" spans="6:7">
      <c r="F9588" s="6">
        <f>IF($M9588="PADD I","PADD 1",IF($M9588="PADD II","PADD 2",IF($M9588="PADD III","PADD 3",IF($M9588="PADD IV","PADD 4",IF($M9588="PADD V","PADD 5","")))))</f>
        <v/>
      </c>
      <c r="G9588" s="6">
        <f>IF(AND($H9588="ATMOS DISTILLATION",ISNUMBER(SEARCH("VPS",$I9588))=FALSE,LEFT($I9588,6)&lt;&gt;"VACUUM"),"CDU",IF($H9588="FLUID CAT CRACKING","FCC",IF(OR($H9588="HYDROCRACKING",$H9588="RESID_HYDROCRACKING"),"Hydrocracker",IF($H9588="REFORMING","Reformer",""))))</f>
        <v/>
      </c>
    </row>
    <row r="9589" spans="6:7">
      <c r="F9589" s="6">
        <f>IF($M9589="PADD I","PADD 1",IF($M9589="PADD II","PADD 2",IF($M9589="PADD III","PADD 3",IF($M9589="PADD IV","PADD 4",IF($M9589="PADD V","PADD 5","")))))</f>
        <v/>
      </c>
      <c r="G9589" s="6">
        <f>IF(AND($H9589="ATMOS DISTILLATION",ISNUMBER(SEARCH("VPS",$I9589))=FALSE,LEFT($I9589,6)&lt;&gt;"VACUUM"),"CDU",IF($H9589="FLUID CAT CRACKING","FCC",IF(OR($H9589="HYDROCRACKING",$H9589="RESID_HYDROCRACKING"),"Hydrocracker",IF($H9589="REFORMING","Reformer",""))))</f>
        <v/>
      </c>
    </row>
    <row r="9590" spans="6:7">
      <c r="F9590" s="6">
        <f>IF($M9590="PADD I","PADD 1",IF($M9590="PADD II","PADD 2",IF($M9590="PADD III","PADD 3",IF($M9590="PADD IV","PADD 4",IF($M9590="PADD V","PADD 5","")))))</f>
        <v/>
      </c>
      <c r="G9590" s="6">
        <f>IF(AND($H9590="ATMOS DISTILLATION",ISNUMBER(SEARCH("VPS",$I9590))=FALSE,LEFT($I9590,6)&lt;&gt;"VACUUM"),"CDU",IF($H9590="FLUID CAT CRACKING","FCC",IF(OR($H9590="HYDROCRACKING",$H9590="RESID_HYDROCRACKING"),"Hydrocracker",IF($H9590="REFORMING","Reformer",""))))</f>
        <v/>
      </c>
    </row>
    <row r="9591" spans="6:7">
      <c r="F9591" s="6">
        <f>IF($M9591="PADD I","PADD 1",IF($M9591="PADD II","PADD 2",IF($M9591="PADD III","PADD 3",IF($M9591="PADD IV","PADD 4",IF($M9591="PADD V","PADD 5","")))))</f>
        <v/>
      </c>
      <c r="G9591" s="6">
        <f>IF(AND($H9591="ATMOS DISTILLATION",ISNUMBER(SEARCH("VPS",$I9591))=FALSE,LEFT($I9591,6)&lt;&gt;"VACUUM"),"CDU",IF($H9591="FLUID CAT CRACKING","FCC",IF(OR($H9591="HYDROCRACKING",$H9591="RESID_HYDROCRACKING"),"Hydrocracker",IF($H9591="REFORMING","Reformer",""))))</f>
        <v/>
      </c>
    </row>
    <row r="9592" spans="6:7">
      <c r="F9592" s="6">
        <f>IF($M9592="PADD I","PADD 1",IF($M9592="PADD II","PADD 2",IF($M9592="PADD III","PADD 3",IF($M9592="PADD IV","PADD 4",IF($M9592="PADD V","PADD 5","")))))</f>
        <v/>
      </c>
      <c r="G9592" s="6">
        <f>IF(AND($H9592="ATMOS DISTILLATION",ISNUMBER(SEARCH("VPS",$I9592))=FALSE,LEFT($I9592,6)&lt;&gt;"VACUUM"),"CDU",IF($H9592="FLUID CAT CRACKING","FCC",IF(OR($H9592="HYDROCRACKING",$H9592="RESID_HYDROCRACKING"),"Hydrocracker",IF($H9592="REFORMING","Reformer",""))))</f>
        <v/>
      </c>
    </row>
    <row r="9593" spans="6:7">
      <c r="F9593" s="6">
        <f>IF($M9593="PADD I","PADD 1",IF($M9593="PADD II","PADD 2",IF($M9593="PADD III","PADD 3",IF($M9593="PADD IV","PADD 4",IF($M9593="PADD V","PADD 5","")))))</f>
        <v/>
      </c>
      <c r="G9593" s="6">
        <f>IF(AND($H9593="ATMOS DISTILLATION",ISNUMBER(SEARCH("VPS",$I9593))=FALSE,LEFT($I9593,6)&lt;&gt;"VACUUM"),"CDU",IF($H9593="FLUID CAT CRACKING","FCC",IF(OR($H9593="HYDROCRACKING",$H9593="RESID_HYDROCRACKING"),"Hydrocracker",IF($H9593="REFORMING","Reformer",""))))</f>
        <v/>
      </c>
    </row>
    <row r="9594" spans="6:7">
      <c r="F9594" s="6">
        <f>IF($M9594="PADD I","PADD 1",IF($M9594="PADD II","PADD 2",IF($M9594="PADD III","PADD 3",IF($M9594="PADD IV","PADD 4",IF($M9594="PADD V","PADD 5","")))))</f>
        <v/>
      </c>
      <c r="G9594" s="6">
        <f>IF(AND($H9594="ATMOS DISTILLATION",ISNUMBER(SEARCH("VPS",$I9594))=FALSE,LEFT($I9594,6)&lt;&gt;"VACUUM"),"CDU",IF($H9594="FLUID CAT CRACKING","FCC",IF(OR($H9594="HYDROCRACKING",$H9594="RESID_HYDROCRACKING"),"Hydrocracker",IF($H9594="REFORMING","Reformer",""))))</f>
        <v/>
      </c>
    </row>
    <row r="9595" spans="6:7">
      <c r="F9595" s="6">
        <f>IF($M9595="PADD I","PADD 1",IF($M9595="PADD II","PADD 2",IF($M9595="PADD III","PADD 3",IF($M9595="PADD IV","PADD 4",IF($M9595="PADD V","PADD 5","")))))</f>
        <v/>
      </c>
      <c r="G9595" s="6">
        <f>IF(AND($H9595="ATMOS DISTILLATION",ISNUMBER(SEARCH("VPS",$I9595))=FALSE,LEFT($I9595,6)&lt;&gt;"VACUUM"),"CDU",IF($H9595="FLUID CAT CRACKING","FCC",IF(OR($H9595="HYDROCRACKING",$H9595="RESID_HYDROCRACKING"),"Hydrocracker",IF($H9595="REFORMING","Reformer",""))))</f>
        <v/>
      </c>
    </row>
    <row r="9596" spans="6:7">
      <c r="F9596" s="6">
        <f>IF($M9596="PADD I","PADD 1",IF($M9596="PADD II","PADD 2",IF($M9596="PADD III","PADD 3",IF($M9596="PADD IV","PADD 4",IF($M9596="PADD V","PADD 5","")))))</f>
        <v/>
      </c>
      <c r="G9596" s="6">
        <f>IF(AND($H9596="ATMOS DISTILLATION",ISNUMBER(SEARCH("VPS",$I9596))=FALSE,LEFT($I9596,6)&lt;&gt;"VACUUM"),"CDU",IF($H9596="FLUID CAT CRACKING","FCC",IF(OR($H9596="HYDROCRACKING",$H9596="RESID_HYDROCRACKING"),"Hydrocracker",IF($H9596="REFORMING","Reformer",""))))</f>
        <v/>
      </c>
    </row>
    <row r="9597" spans="6:7">
      <c r="F9597" s="6">
        <f>IF($M9597="PADD I","PADD 1",IF($M9597="PADD II","PADD 2",IF($M9597="PADD III","PADD 3",IF($M9597="PADD IV","PADD 4",IF($M9597="PADD V","PADD 5","")))))</f>
        <v/>
      </c>
      <c r="G9597" s="6">
        <f>IF(AND($H9597="ATMOS DISTILLATION",ISNUMBER(SEARCH("VPS",$I9597))=FALSE,LEFT($I9597,6)&lt;&gt;"VACUUM"),"CDU",IF($H9597="FLUID CAT CRACKING","FCC",IF(OR($H9597="HYDROCRACKING",$H9597="RESID_HYDROCRACKING"),"Hydrocracker",IF($H9597="REFORMING","Reformer",""))))</f>
        <v/>
      </c>
    </row>
    <row r="9598" spans="6:7">
      <c r="F9598" s="6">
        <f>IF($M9598="PADD I","PADD 1",IF($M9598="PADD II","PADD 2",IF($M9598="PADD III","PADD 3",IF($M9598="PADD IV","PADD 4",IF($M9598="PADD V","PADD 5","")))))</f>
        <v/>
      </c>
      <c r="G9598" s="6">
        <f>IF(AND($H9598="ATMOS DISTILLATION",ISNUMBER(SEARCH("VPS",$I9598))=FALSE,LEFT($I9598,6)&lt;&gt;"VACUUM"),"CDU",IF($H9598="FLUID CAT CRACKING","FCC",IF(OR($H9598="HYDROCRACKING",$H9598="RESID_HYDROCRACKING"),"Hydrocracker",IF($H9598="REFORMING","Reformer",""))))</f>
        <v/>
      </c>
    </row>
    <row r="9599" spans="6:7">
      <c r="F9599" s="6">
        <f>IF($M9599="PADD I","PADD 1",IF($M9599="PADD II","PADD 2",IF($M9599="PADD III","PADD 3",IF($M9599="PADD IV","PADD 4",IF($M9599="PADD V","PADD 5","")))))</f>
        <v/>
      </c>
      <c r="G9599" s="6">
        <f>IF(AND($H9599="ATMOS DISTILLATION",ISNUMBER(SEARCH("VPS",$I9599))=FALSE,LEFT($I9599,6)&lt;&gt;"VACUUM"),"CDU",IF($H9599="FLUID CAT CRACKING","FCC",IF(OR($H9599="HYDROCRACKING",$H9599="RESID_HYDROCRACKING"),"Hydrocracker",IF($H9599="REFORMING","Reformer",""))))</f>
        <v/>
      </c>
    </row>
    <row r="9600" spans="6:7">
      <c r="F9600" s="6">
        <f>IF($M9600="PADD I","PADD 1",IF($M9600="PADD II","PADD 2",IF($M9600="PADD III","PADD 3",IF($M9600="PADD IV","PADD 4",IF($M9600="PADD V","PADD 5","")))))</f>
        <v/>
      </c>
      <c r="G9600" s="6">
        <f>IF(AND($H9600="ATMOS DISTILLATION",ISNUMBER(SEARCH("VPS",$I9600))=FALSE,LEFT($I9600,6)&lt;&gt;"VACUUM"),"CDU",IF($H9600="FLUID CAT CRACKING","FCC",IF(OR($H9600="HYDROCRACKING",$H9600="RESID_HYDROCRACKING"),"Hydrocracker",IF($H9600="REFORMING","Reformer",""))))</f>
        <v/>
      </c>
    </row>
    <row r="9601" spans="6:7">
      <c r="F9601" s="6">
        <f>IF($M9601="PADD I","PADD 1",IF($M9601="PADD II","PADD 2",IF($M9601="PADD III","PADD 3",IF($M9601="PADD IV","PADD 4",IF($M9601="PADD V","PADD 5","")))))</f>
        <v/>
      </c>
      <c r="G9601" s="6">
        <f>IF(AND($H9601="ATMOS DISTILLATION",ISNUMBER(SEARCH("VPS",$I9601))=FALSE,LEFT($I9601,6)&lt;&gt;"VACUUM"),"CDU",IF($H9601="FLUID CAT CRACKING","FCC",IF(OR($H9601="HYDROCRACKING",$H9601="RESID_HYDROCRACKING"),"Hydrocracker",IF($H9601="REFORMING","Reformer",""))))</f>
        <v/>
      </c>
    </row>
    <row r="9602" spans="6:7">
      <c r="F9602" s="6">
        <f>IF($M9602="PADD I","PADD 1",IF($M9602="PADD II","PADD 2",IF($M9602="PADD III","PADD 3",IF($M9602="PADD IV","PADD 4",IF($M9602="PADD V","PADD 5","")))))</f>
        <v/>
      </c>
      <c r="G9602" s="6">
        <f>IF(AND($H9602="ATMOS DISTILLATION",ISNUMBER(SEARCH("VPS",$I9602))=FALSE,LEFT($I9602,6)&lt;&gt;"VACUUM"),"CDU",IF($H9602="FLUID CAT CRACKING","FCC",IF(OR($H9602="HYDROCRACKING",$H9602="RESID_HYDROCRACKING"),"Hydrocracker",IF($H9602="REFORMING","Reformer",""))))</f>
        <v/>
      </c>
    </row>
    <row r="9603" spans="6:7">
      <c r="F9603" s="6">
        <f>IF($M9603="PADD I","PADD 1",IF($M9603="PADD II","PADD 2",IF($M9603="PADD III","PADD 3",IF($M9603="PADD IV","PADD 4",IF($M9603="PADD V","PADD 5","")))))</f>
        <v/>
      </c>
      <c r="G9603" s="6">
        <f>IF(AND($H9603="ATMOS DISTILLATION",ISNUMBER(SEARCH("VPS",$I9603))=FALSE,LEFT($I9603,6)&lt;&gt;"VACUUM"),"CDU",IF($H9603="FLUID CAT CRACKING","FCC",IF(OR($H9603="HYDROCRACKING",$H9603="RESID_HYDROCRACKING"),"Hydrocracker",IF($H9603="REFORMING","Reformer",""))))</f>
        <v/>
      </c>
    </row>
    <row r="9604" spans="6:7">
      <c r="F9604" s="6">
        <f>IF($M9604="PADD I","PADD 1",IF($M9604="PADD II","PADD 2",IF($M9604="PADD III","PADD 3",IF($M9604="PADD IV","PADD 4",IF($M9604="PADD V","PADD 5","")))))</f>
        <v/>
      </c>
      <c r="G9604" s="6">
        <f>IF(AND($H9604="ATMOS DISTILLATION",ISNUMBER(SEARCH("VPS",$I9604))=FALSE,LEFT($I9604,6)&lt;&gt;"VACUUM"),"CDU",IF($H9604="FLUID CAT CRACKING","FCC",IF(OR($H9604="HYDROCRACKING",$H9604="RESID_HYDROCRACKING"),"Hydrocracker",IF($H9604="REFORMING","Reformer",""))))</f>
        <v/>
      </c>
    </row>
    <row r="9605" spans="6:7">
      <c r="F9605" s="6">
        <f>IF($M9605="PADD I","PADD 1",IF($M9605="PADD II","PADD 2",IF($M9605="PADD III","PADD 3",IF($M9605="PADD IV","PADD 4",IF($M9605="PADD V","PADD 5","")))))</f>
        <v/>
      </c>
      <c r="G9605" s="6">
        <f>IF(AND($H9605="ATMOS DISTILLATION",ISNUMBER(SEARCH("VPS",$I9605))=FALSE,LEFT($I9605,6)&lt;&gt;"VACUUM"),"CDU",IF($H9605="FLUID CAT CRACKING","FCC",IF(OR($H9605="HYDROCRACKING",$H9605="RESID_HYDROCRACKING"),"Hydrocracker",IF($H9605="REFORMING","Reformer",""))))</f>
        <v/>
      </c>
    </row>
    <row r="9606" spans="6:7">
      <c r="F9606" s="6">
        <f>IF($M9606="PADD I","PADD 1",IF($M9606="PADD II","PADD 2",IF($M9606="PADD III","PADD 3",IF($M9606="PADD IV","PADD 4",IF($M9606="PADD V","PADD 5","")))))</f>
        <v/>
      </c>
      <c r="G9606" s="6">
        <f>IF(AND($H9606="ATMOS DISTILLATION",ISNUMBER(SEARCH("VPS",$I9606))=FALSE,LEFT($I9606,6)&lt;&gt;"VACUUM"),"CDU",IF($H9606="FLUID CAT CRACKING","FCC",IF(OR($H9606="HYDROCRACKING",$H9606="RESID_HYDROCRACKING"),"Hydrocracker",IF($H9606="REFORMING","Reformer",""))))</f>
        <v/>
      </c>
    </row>
    <row r="9607" spans="6:7">
      <c r="F9607" s="6">
        <f>IF($M9607="PADD I","PADD 1",IF($M9607="PADD II","PADD 2",IF($M9607="PADD III","PADD 3",IF($M9607="PADD IV","PADD 4",IF($M9607="PADD V","PADD 5","")))))</f>
        <v/>
      </c>
      <c r="G9607" s="6">
        <f>IF(AND($H9607="ATMOS DISTILLATION",ISNUMBER(SEARCH("VPS",$I9607))=FALSE,LEFT($I9607,6)&lt;&gt;"VACUUM"),"CDU",IF($H9607="FLUID CAT CRACKING","FCC",IF(OR($H9607="HYDROCRACKING",$H9607="RESID_HYDROCRACKING"),"Hydrocracker",IF($H9607="REFORMING","Reformer",""))))</f>
        <v/>
      </c>
    </row>
    <row r="9608" spans="6:7">
      <c r="F9608" s="6">
        <f>IF($M9608="PADD I","PADD 1",IF($M9608="PADD II","PADD 2",IF($M9608="PADD III","PADD 3",IF($M9608="PADD IV","PADD 4",IF($M9608="PADD V","PADD 5","")))))</f>
        <v/>
      </c>
      <c r="G9608" s="6">
        <f>IF(AND($H9608="ATMOS DISTILLATION",ISNUMBER(SEARCH("VPS",$I9608))=FALSE,LEFT($I9608,6)&lt;&gt;"VACUUM"),"CDU",IF($H9608="FLUID CAT CRACKING","FCC",IF(OR($H9608="HYDROCRACKING",$H9608="RESID_HYDROCRACKING"),"Hydrocracker",IF($H9608="REFORMING","Reformer",""))))</f>
        <v/>
      </c>
    </row>
    <row r="9609" spans="6:7">
      <c r="F9609" s="6">
        <f>IF($M9609="PADD I","PADD 1",IF($M9609="PADD II","PADD 2",IF($M9609="PADD III","PADD 3",IF($M9609="PADD IV","PADD 4",IF($M9609="PADD V","PADD 5","")))))</f>
        <v/>
      </c>
      <c r="G9609" s="6">
        <f>IF(AND($H9609="ATMOS DISTILLATION",ISNUMBER(SEARCH("VPS",$I9609))=FALSE,LEFT($I9609,6)&lt;&gt;"VACUUM"),"CDU",IF($H9609="FLUID CAT CRACKING","FCC",IF(OR($H9609="HYDROCRACKING",$H9609="RESID_HYDROCRACKING"),"Hydrocracker",IF($H9609="REFORMING","Reformer",""))))</f>
        <v/>
      </c>
    </row>
    <row r="9610" spans="6:7">
      <c r="F9610" s="6">
        <f>IF($M9610="PADD I","PADD 1",IF($M9610="PADD II","PADD 2",IF($M9610="PADD III","PADD 3",IF($M9610="PADD IV","PADD 4",IF($M9610="PADD V","PADD 5","")))))</f>
        <v/>
      </c>
      <c r="G9610" s="6">
        <f>IF(AND($H9610="ATMOS DISTILLATION",ISNUMBER(SEARCH("VPS",$I9610))=FALSE,LEFT($I9610,6)&lt;&gt;"VACUUM"),"CDU",IF($H9610="FLUID CAT CRACKING","FCC",IF(OR($H9610="HYDROCRACKING",$H9610="RESID_HYDROCRACKING"),"Hydrocracker",IF($H9610="REFORMING","Reformer",""))))</f>
        <v/>
      </c>
    </row>
    <row r="9611" spans="6:7">
      <c r="F9611" s="6">
        <f>IF($M9611="PADD I","PADD 1",IF($M9611="PADD II","PADD 2",IF($M9611="PADD III","PADD 3",IF($M9611="PADD IV","PADD 4",IF($M9611="PADD V","PADD 5","")))))</f>
        <v/>
      </c>
      <c r="G9611" s="6">
        <f>IF(AND($H9611="ATMOS DISTILLATION",ISNUMBER(SEARCH("VPS",$I9611))=FALSE,LEFT($I9611,6)&lt;&gt;"VACUUM"),"CDU",IF($H9611="FLUID CAT CRACKING","FCC",IF(OR($H9611="HYDROCRACKING",$H9611="RESID_HYDROCRACKING"),"Hydrocracker",IF($H9611="REFORMING","Reformer",""))))</f>
        <v/>
      </c>
    </row>
    <row r="9612" spans="6:7">
      <c r="F9612" s="6">
        <f>IF($M9612="PADD I","PADD 1",IF($M9612="PADD II","PADD 2",IF($M9612="PADD III","PADD 3",IF($M9612="PADD IV","PADD 4",IF($M9612="PADD V","PADD 5","")))))</f>
        <v/>
      </c>
      <c r="G9612" s="6">
        <f>IF(AND($H9612="ATMOS DISTILLATION",ISNUMBER(SEARCH("VPS",$I9612))=FALSE,LEFT($I9612,6)&lt;&gt;"VACUUM"),"CDU",IF($H9612="FLUID CAT CRACKING","FCC",IF(OR($H9612="HYDROCRACKING",$H9612="RESID_HYDROCRACKING"),"Hydrocracker",IF($H9612="REFORMING","Reformer",""))))</f>
        <v/>
      </c>
    </row>
    <row r="9613" spans="6:7">
      <c r="F9613" s="6">
        <f>IF($M9613="PADD I","PADD 1",IF($M9613="PADD II","PADD 2",IF($M9613="PADD III","PADD 3",IF($M9613="PADD IV","PADD 4",IF($M9613="PADD V","PADD 5","")))))</f>
        <v/>
      </c>
      <c r="G9613" s="6">
        <f>IF(AND($H9613="ATMOS DISTILLATION",ISNUMBER(SEARCH("VPS",$I9613))=FALSE,LEFT($I9613,6)&lt;&gt;"VACUUM"),"CDU",IF($H9613="FLUID CAT CRACKING","FCC",IF(OR($H9613="HYDROCRACKING",$H9613="RESID_HYDROCRACKING"),"Hydrocracker",IF($H9613="REFORMING","Reformer",""))))</f>
        <v/>
      </c>
    </row>
    <row r="9614" spans="6:7">
      <c r="F9614" s="6">
        <f>IF($M9614="PADD I","PADD 1",IF($M9614="PADD II","PADD 2",IF($M9614="PADD III","PADD 3",IF($M9614="PADD IV","PADD 4",IF($M9614="PADD V","PADD 5","")))))</f>
        <v/>
      </c>
      <c r="G9614" s="6">
        <f>IF(AND($H9614="ATMOS DISTILLATION",ISNUMBER(SEARCH("VPS",$I9614))=FALSE,LEFT($I9614,6)&lt;&gt;"VACUUM"),"CDU",IF($H9614="FLUID CAT CRACKING","FCC",IF(OR($H9614="HYDROCRACKING",$H9614="RESID_HYDROCRACKING"),"Hydrocracker",IF($H9614="REFORMING","Reformer",""))))</f>
        <v/>
      </c>
    </row>
    <row r="9615" spans="6:7">
      <c r="F9615" s="6">
        <f>IF($M9615="PADD I","PADD 1",IF($M9615="PADD II","PADD 2",IF($M9615="PADD III","PADD 3",IF($M9615="PADD IV","PADD 4",IF($M9615="PADD V","PADD 5","")))))</f>
        <v/>
      </c>
      <c r="G9615" s="6">
        <f>IF(AND($H9615="ATMOS DISTILLATION",ISNUMBER(SEARCH("VPS",$I9615))=FALSE,LEFT($I9615,6)&lt;&gt;"VACUUM"),"CDU",IF($H9615="FLUID CAT CRACKING","FCC",IF(OR($H9615="HYDROCRACKING",$H9615="RESID_HYDROCRACKING"),"Hydrocracker",IF($H9615="REFORMING","Reformer",""))))</f>
        <v/>
      </c>
    </row>
    <row r="9616" spans="6:7">
      <c r="F9616" s="6">
        <f>IF($M9616="PADD I","PADD 1",IF($M9616="PADD II","PADD 2",IF($M9616="PADD III","PADD 3",IF($M9616="PADD IV","PADD 4",IF($M9616="PADD V","PADD 5","")))))</f>
        <v/>
      </c>
      <c r="G9616" s="6">
        <f>IF(AND($H9616="ATMOS DISTILLATION",ISNUMBER(SEARCH("VPS",$I9616))=FALSE,LEFT($I9616,6)&lt;&gt;"VACUUM"),"CDU",IF($H9616="FLUID CAT CRACKING","FCC",IF(OR($H9616="HYDROCRACKING",$H9616="RESID_HYDROCRACKING"),"Hydrocracker",IF($H9616="REFORMING","Reformer",""))))</f>
        <v/>
      </c>
    </row>
    <row r="9617" spans="6:7">
      <c r="F9617" s="6">
        <f>IF($M9617="PADD I","PADD 1",IF($M9617="PADD II","PADD 2",IF($M9617="PADD III","PADD 3",IF($M9617="PADD IV","PADD 4",IF($M9617="PADD V","PADD 5","")))))</f>
        <v/>
      </c>
      <c r="G9617" s="6">
        <f>IF(AND($H9617="ATMOS DISTILLATION",ISNUMBER(SEARCH("VPS",$I9617))=FALSE,LEFT($I9617,6)&lt;&gt;"VACUUM"),"CDU",IF($H9617="FLUID CAT CRACKING","FCC",IF(OR($H9617="HYDROCRACKING",$H9617="RESID_HYDROCRACKING"),"Hydrocracker",IF($H9617="REFORMING","Reformer",""))))</f>
        <v/>
      </c>
    </row>
    <row r="9618" spans="6:7">
      <c r="F9618" s="6">
        <f>IF($M9618="PADD I","PADD 1",IF($M9618="PADD II","PADD 2",IF($M9618="PADD III","PADD 3",IF($M9618="PADD IV","PADD 4",IF($M9618="PADD V","PADD 5","")))))</f>
        <v/>
      </c>
      <c r="G9618" s="6">
        <f>IF(AND($H9618="ATMOS DISTILLATION",ISNUMBER(SEARCH("VPS",$I9618))=FALSE,LEFT($I9618,6)&lt;&gt;"VACUUM"),"CDU",IF($H9618="FLUID CAT CRACKING","FCC",IF(OR($H9618="HYDROCRACKING",$H9618="RESID_HYDROCRACKING"),"Hydrocracker",IF($H9618="REFORMING","Reformer",""))))</f>
        <v/>
      </c>
    </row>
    <row r="9619" spans="6:7">
      <c r="F9619" s="6">
        <f>IF($M9619="PADD I","PADD 1",IF($M9619="PADD II","PADD 2",IF($M9619="PADD III","PADD 3",IF($M9619="PADD IV","PADD 4",IF($M9619="PADD V","PADD 5","")))))</f>
        <v/>
      </c>
      <c r="G9619" s="6">
        <f>IF(AND($H9619="ATMOS DISTILLATION",ISNUMBER(SEARCH("VPS",$I9619))=FALSE,LEFT($I9619,6)&lt;&gt;"VACUUM"),"CDU",IF($H9619="FLUID CAT CRACKING","FCC",IF(OR($H9619="HYDROCRACKING",$H9619="RESID_HYDROCRACKING"),"Hydrocracker",IF($H9619="REFORMING","Reformer",""))))</f>
        <v/>
      </c>
    </row>
    <row r="9620" spans="6:7">
      <c r="F9620" s="6">
        <f>IF($M9620="PADD I","PADD 1",IF($M9620="PADD II","PADD 2",IF($M9620="PADD III","PADD 3",IF($M9620="PADD IV","PADD 4",IF($M9620="PADD V","PADD 5","")))))</f>
        <v/>
      </c>
      <c r="G9620" s="6">
        <f>IF(AND($H9620="ATMOS DISTILLATION",ISNUMBER(SEARCH("VPS",$I9620))=FALSE,LEFT($I9620,6)&lt;&gt;"VACUUM"),"CDU",IF($H9620="FLUID CAT CRACKING","FCC",IF(OR($H9620="HYDROCRACKING",$H9620="RESID_HYDROCRACKING"),"Hydrocracker",IF($H9620="REFORMING","Reformer",""))))</f>
        <v/>
      </c>
    </row>
    <row r="9621" spans="6:7">
      <c r="F9621" s="6">
        <f>IF($M9621="PADD I","PADD 1",IF($M9621="PADD II","PADD 2",IF($M9621="PADD III","PADD 3",IF($M9621="PADD IV","PADD 4",IF($M9621="PADD V","PADD 5","")))))</f>
        <v/>
      </c>
      <c r="G9621" s="6">
        <f>IF(AND($H9621="ATMOS DISTILLATION",ISNUMBER(SEARCH("VPS",$I9621))=FALSE,LEFT($I9621,6)&lt;&gt;"VACUUM"),"CDU",IF($H9621="FLUID CAT CRACKING","FCC",IF(OR($H9621="HYDROCRACKING",$H9621="RESID_HYDROCRACKING"),"Hydrocracker",IF($H9621="REFORMING","Reformer",""))))</f>
        <v/>
      </c>
    </row>
    <row r="9622" spans="6:7">
      <c r="F9622" s="6">
        <f>IF($M9622="PADD I","PADD 1",IF($M9622="PADD II","PADD 2",IF($M9622="PADD III","PADD 3",IF($M9622="PADD IV","PADD 4",IF($M9622="PADD V","PADD 5","")))))</f>
        <v/>
      </c>
      <c r="G9622" s="6">
        <f>IF(AND($H9622="ATMOS DISTILLATION",ISNUMBER(SEARCH("VPS",$I9622))=FALSE,LEFT($I9622,6)&lt;&gt;"VACUUM"),"CDU",IF($H9622="FLUID CAT CRACKING","FCC",IF(OR($H9622="HYDROCRACKING",$H9622="RESID_HYDROCRACKING"),"Hydrocracker",IF($H9622="REFORMING","Reformer",""))))</f>
        <v/>
      </c>
    </row>
    <row r="9623" spans="6:7">
      <c r="F9623" s="6">
        <f>IF($M9623="PADD I","PADD 1",IF($M9623="PADD II","PADD 2",IF($M9623="PADD III","PADD 3",IF($M9623="PADD IV","PADD 4",IF($M9623="PADD V","PADD 5","")))))</f>
        <v/>
      </c>
      <c r="G9623" s="6">
        <f>IF(AND($H9623="ATMOS DISTILLATION",ISNUMBER(SEARCH("VPS",$I9623))=FALSE,LEFT($I9623,6)&lt;&gt;"VACUUM"),"CDU",IF($H9623="FLUID CAT CRACKING","FCC",IF(OR($H9623="HYDROCRACKING",$H9623="RESID_HYDROCRACKING"),"Hydrocracker",IF($H9623="REFORMING","Reformer",""))))</f>
        <v/>
      </c>
    </row>
    <row r="9624" spans="6:7">
      <c r="F9624" s="6">
        <f>IF($M9624="PADD I","PADD 1",IF($M9624="PADD II","PADD 2",IF($M9624="PADD III","PADD 3",IF($M9624="PADD IV","PADD 4",IF($M9624="PADD V","PADD 5","")))))</f>
        <v/>
      </c>
      <c r="G9624" s="6">
        <f>IF(AND($H9624="ATMOS DISTILLATION",ISNUMBER(SEARCH("VPS",$I9624))=FALSE,LEFT($I9624,6)&lt;&gt;"VACUUM"),"CDU",IF($H9624="FLUID CAT CRACKING","FCC",IF(OR($H9624="HYDROCRACKING",$H9624="RESID_HYDROCRACKING"),"Hydrocracker",IF($H9624="REFORMING","Reformer",""))))</f>
        <v/>
      </c>
    </row>
    <row r="9625" spans="6:7">
      <c r="F9625" s="6">
        <f>IF($M9625="PADD I","PADD 1",IF($M9625="PADD II","PADD 2",IF($M9625="PADD III","PADD 3",IF($M9625="PADD IV","PADD 4",IF($M9625="PADD V","PADD 5","")))))</f>
        <v/>
      </c>
      <c r="G9625" s="6">
        <f>IF(AND($H9625="ATMOS DISTILLATION",ISNUMBER(SEARCH("VPS",$I9625))=FALSE,LEFT($I9625,6)&lt;&gt;"VACUUM"),"CDU",IF($H9625="FLUID CAT CRACKING","FCC",IF(OR($H9625="HYDROCRACKING",$H9625="RESID_HYDROCRACKING"),"Hydrocracker",IF($H9625="REFORMING","Reformer",""))))</f>
        <v/>
      </c>
    </row>
    <row r="9626" spans="6:7">
      <c r="F9626" s="6">
        <f>IF($M9626="PADD I","PADD 1",IF($M9626="PADD II","PADD 2",IF($M9626="PADD III","PADD 3",IF($M9626="PADD IV","PADD 4",IF($M9626="PADD V","PADD 5","")))))</f>
        <v/>
      </c>
      <c r="G9626" s="6">
        <f>IF(AND($H9626="ATMOS DISTILLATION",ISNUMBER(SEARCH("VPS",$I9626))=FALSE,LEFT($I9626,6)&lt;&gt;"VACUUM"),"CDU",IF($H9626="FLUID CAT CRACKING","FCC",IF(OR($H9626="HYDROCRACKING",$H9626="RESID_HYDROCRACKING"),"Hydrocracker",IF($H9626="REFORMING","Reformer",""))))</f>
        <v/>
      </c>
    </row>
    <row r="9627" spans="6:7">
      <c r="F9627" s="6">
        <f>IF($M9627="PADD I","PADD 1",IF($M9627="PADD II","PADD 2",IF($M9627="PADD III","PADD 3",IF($M9627="PADD IV","PADD 4",IF($M9627="PADD V","PADD 5","")))))</f>
        <v/>
      </c>
      <c r="G9627" s="6">
        <f>IF(AND($H9627="ATMOS DISTILLATION",ISNUMBER(SEARCH("VPS",$I9627))=FALSE,LEFT($I9627,6)&lt;&gt;"VACUUM"),"CDU",IF($H9627="FLUID CAT CRACKING","FCC",IF(OR($H9627="HYDROCRACKING",$H9627="RESID_HYDROCRACKING"),"Hydrocracker",IF($H9627="REFORMING","Reformer",""))))</f>
        <v/>
      </c>
    </row>
    <row r="9628" spans="6:7">
      <c r="F9628" s="6">
        <f>IF($M9628="PADD I","PADD 1",IF($M9628="PADD II","PADD 2",IF($M9628="PADD III","PADD 3",IF($M9628="PADD IV","PADD 4",IF($M9628="PADD V","PADD 5","")))))</f>
        <v/>
      </c>
      <c r="G9628" s="6">
        <f>IF(AND($H9628="ATMOS DISTILLATION",ISNUMBER(SEARCH("VPS",$I9628))=FALSE,LEFT($I9628,6)&lt;&gt;"VACUUM"),"CDU",IF($H9628="FLUID CAT CRACKING","FCC",IF(OR($H9628="HYDROCRACKING",$H9628="RESID_HYDROCRACKING"),"Hydrocracker",IF($H9628="REFORMING","Reformer",""))))</f>
        <v/>
      </c>
    </row>
    <row r="9629" spans="6:7">
      <c r="F9629" s="6">
        <f>IF($M9629="PADD I","PADD 1",IF($M9629="PADD II","PADD 2",IF($M9629="PADD III","PADD 3",IF($M9629="PADD IV","PADD 4",IF($M9629="PADD V","PADD 5","")))))</f>
        <v/>
      </c>
      <c r="G9629" s="6">
        <f>IF(AND($H9629="ATMOS DISTILLATION",ISNUMBER(SEARCH("VPS",$I9629))=FALSE,LEFT($I9629,6)&lt;&gt;"VACUUM"),"CDU",IF($H9629="FLUID CAT CRACKING","FCC",IF(OR($H9629="HYDROCRACKING",$H9629="RESID_HYDROCRACKING"),"Hydrocracker",IF($H9629="REFORMING","Reformer",""))))</f>
        <v/>
      </c>
    </row>
    <row r="9630" spans="6:7">
      <c r="F9630" s="6">
        <f>IF($M9630="PADD I","PADD 1",IF($M9630="PADD II","PADD 2",IF($M9630="PADD III","PADD 3",IF($M9630="PADD IV","PADD 4",IF($M9630="PADD V","PADD 5","")))))</f>
        <v/>
      </c>
      <c r="G9630" s="6">
        <f>IF(AND($H9630="ATMOS DISTILLATION",ISNUMBER(SEARCH("VPS",$I9630))=FALSE,LEFT($I9630,6)&lt;&gt;"VACUUM"),"CDU",IF($H9630="FLUID CAT CRACKING","FCC",IF(OR($H9630="HYDROCRACKING",$H9630="RESID_HYDROCRACKING"),"Hydrocracker",IF($H9630="REFORMING","Reformer",""))))</f>
        <v/>
      </c>
    </row>
    <row r="9631" spans="6:7">
      <c r="F9631" s="6">
        <f>IF($M9631="PADD I","PADD 1",IF($M9631="PADD II","PADD 2",IF($M9631="PADD III","PADD 3",IF($M9631="PADD IV","PADD 4",IF($M9631="PADD V","PADD 5","")))))</f>
        <v/>
      </c>
      <c r="G9631" s="6">
        <f>IF(AND($H9631="ATMOS DISTILLATION",ISNUMBER(SEARCH("VPS",$I9631))=FALSE,LEFT($I9631,6)&lt;&gt;"VACUUM"),"CDU",IF($H9631="FLUID CAT CRACKING","FCC",IF(OR($H9631="HYDROCRACKING",$H9631="RESID_HYDROCRACKING"),"Hydrocracker",IF($H9631="REFORMING","Reformer",""))))</f>
        <v/>
      </c>
    </row>
    <row r="9632" spans="6:7">
      <c r="F9632" s="6">
        <f>IF($M9632="PADD I","PADD 1",IF($M9632="PADD II","PADD 2",IF($M9632="PADD III","PADD 3",IF($M9632="PADD IV","PADD 4",IF($M9632="PADD V","PADD 5","")))))</f>
        <v/>
      </c>
      <c r="G9632" s="6">
        <f>IF(AND($H9632="ATMOS DISTILLATION",ISNUMBER(SEARCH("VPS",$I9632))=FALSE,LEFT($I9632,6)&lt;&gt;"VACUUM"),"CDU",IF($H9632="FLUID CAT CRACKING","FCC",IF(OR($H9632="HYDROCRACKING",$H9632="RESID_HYDROCRACKING"),"Hydrocracker",IF($H9632="REFORMING","Reformer",""))))</f>
        <v/>
      </c>
    </row>
    <row r="9633" spans="6:7">
      <c r="F9633" s="6">
        <f>IF($M9633="PADD I","PADD 1",IF($M9633="PADD II","PADD 2",IF($M9633="PADD III","PADD 3",IF($M9633="PADD IV","PADD 4",IF($M9633="PADD V","PADD 5","")))))</f>
        <v/>
      </c>
      <c r="G9633" s="6">
        <f>IF(AND($H9633="ATMOS DISTILLATION",ISNUMBER(SEARCH("VPS",$I9633))=FALSE,LEFT($I9633,6)&lt;&gt;"VACUUM"),"CDU",IF($H9633="FLUID CAT CRACKING","FCC",IF(OR($H9633="HYDROCRACKING",$H9633="RESID_HYDROCRACKING"),"Hydrocracker",IF($H9633="REFORMING","Reformer",""))))</f>
        <v/>
      </c>
    </row>
    <row r="9634" spans="6:7">
      <c r="F9634" s="6">
        <f>IF($M9634="PADD I","PADD 1",IF($M9634="PADD II","PADD 2",IF($M9634="PADD III","PADD 3",IF($M9634="PADD IV","PADD 4",IF($M9634="PADD V","PADD 5","")))))</f>
        <v/>
      </c>
      <c r="G9634" s="6">
        <f>IF(AND($H9634="ATMOS DISTILLATION",ISNUMBER(SEARCH("VPS",$I9634))=FALSE,LEFT($I9634,6)&lt;&gt;"VACUUM"),"CDU",IF($H9634="FLUID CAT CRACKING","FCC",IF(OR($H9634="HYDROCRACKING",$H9634="RESID_HYDROCRACKING"),"Hydrocracker",IF($H9634="REFORMING","Reformer",""))))</f>
        <v/>
      </c>
    </row>
    <row r="9635" spans="6:7">
      <c r="F9635" s="6">
        <f>IF($M9635="PADD I","PADD 1",IF($M9635="PADD II","PADD 2",IF($M9635="PADD III","PADD 3",IF($M9635="PADD IV","PADD 4",IF($M9635="PADD V","PADD 5","")))))</f>
        <v/>
      </c>
      <c r="G9635" s="6">
        <f>IF(AND($H9635="ATMOS DISTILLATION",ISNUMBER(SEARCH("VPS",$I9635))=FALSE,LEFT($I9635,6)&lt;&gt;"VACUUM"),"CDU",IF($H9635="FLUID CAT CRACKING","FCC",IF(OR($H9635="HYDROCRACKING",$H9635="RESID_HYDROCRACKING"),"Hydrocracker",IF($H9635="REFORMING","Reformer",""))))</f>
        <v/>
      </c>
    </row>
    <row r="9636" spans="6:7">
      <c r="F9636" s="6">
        <f>IF($M9636="PADD I","PADD 1",IF($M9636="PADD II","PADD 2",IF($M9636="PADD III","PADD 3",IF($M9636="PADD IV","PADD 4",IF($M9636="PADD V","PADD 5","")))))</f>
        <v/>
      </c>
      <c r="G9636" s="6">
        <f>IF(AND($H9636="ATMOS DISTILLATION",ISNUMBER(SEARCH("VPS",$I9636))=FALSE,LEFT($I9636,6)&lt;&gt;"VACUUM"),"CDU",IF($H9636="FLUID CAT CRACKING","FCC",IF(OR($H9636="HYDROCRACKING",$H9636="RESID_HYDROCRACKING"),"Hydrocracker",IF($H9636="REFORMING","Reformer",""))))</f>
        <v/>
      </c>
    </row>
    <row r="9637" spans="6:7">
      <c r="F9637" s="6">
        <f>IF($M9637="PADD I","PADD 1",IF($M9637="PADD II","PADD 2",IF($M9637="PADD III","PADD 3",IF($M9637="PADD IV","PADD 4",IF($M9637="PADD V","PADD 5","")))))</f>
        <v/>
      </c>
      <c r="G9637" s="6">
        <f>IF(AND($H9637="ATMOS DISTILLATION",ISNUMBER(SEARCH("VPS",$I9637))=FALSE,LEFT($I9637,6)&lt;&gt;"VACUUM"),"CDU",IF($H9637="FLUID CAT CRACKING","FCC",IF(OR($H9637="HYDROCRACKING",$H9637="RESID_HYDROCRACKING"),"Hydrocracker",IF($H9637="REFORMING","Reformer",""))))</f>
        <v/>
      </c>
    </row>
    <row r="9638" spans="6:7">
      <c r="F9638" s="6">
        <f>IF($M9638="PADD I","PADD 1",IF($M9638="PADD II","PADD 2",IF($M9638="PADD III","PADD 3",IF($M9638="PADD IV","PADD 4",IF($M9638="PADD V","PADD 5","")))))</f>
        <v/>
      </c>
      <c r="G9638" s="6">
        <f>IF(AND($H9638="ATMOS DISTILLATION",ISNUMBER(SEARCH("VPS",$I9638))=FALSE,LEFT($I9638,6)&lt;&gt;"VACUUM"),"CDU",IF($H9638="FLUID CAT CRACKING","FCC",IF(OR($H9638="HYDROCRACKING",$H9638="RESID_HYDROCRACKING"),"Hydrocracker",IF($H9638="REFORMING","Reformer",""))))</f>
        <v/>
      </c>
    </row>
    <row r="9639" spans="6:7">
      <c r="F9639" s="6">
        <f>IF($M9639="PADD I","PADD 1",IF($M9639="PADD II","PADD 2",IF($M9639="PADD III","PADD 3",IF($M9639="PADD IV","PADD 4",IF($M9639="PADD V","PADD 5","")))))</f>
        <v/>
      </c>
      <c r="G9639" s="6">
        <f>IF(AND($H9639="ATMOS DISTILLATION",ISNUMBER(SEARCH("VPS",$I9639))=FALSE,LEFT($I9639,6)&lt;&gt;"VACUUM"),"CDU",IF($H9639="FLUID CAT CRACKING","FCC",IF(OR($H9639="HYDROCRACKING",$H9639="RESID_HYDROCRACKING"),"Hydrocracker",IF($H9639="REFORMING","Reformer",""))))</f>
        <v/>
      </c>
    </row>
    <row r="9640" spans="6:7">
      <c r="F9640" s="6">
        <f>IF($M9640="PADD I","PADD 1",IF($M9640="PADD II","PADD 2",IF($M9640="PADD III","PADD 3",IF($M9640="PADD IV","PADD 4",IF($M9640="PADD V","PADD 5","")))))</f>
        <v/>
      </c>
      <c r="G9640" s="6">
        <f>IF(AND($H9640="ATMOS DISTILLATION",ISNUMBER(SEARCH("VPS",$I9640))=FALSE,LEFT($I9640,6)&lt;&gt;"VACUUM"),"CDU",IF($H9640="FLUID CAT CRACKING","FCC",IF(OR($H9640="HYDROCRACKING",$H9640="RESID_HYDROCRACKING"),"Hydrocracker",IF($H9640="REFORMING","Reformer",""))))</f>
        <v/>
      </c>
    </row>
    <row r="9641" spans="6:7">
      <c r="F9641" s="6">
        <f>IF($M9641="PADD I","PADD 1",IF($M9641="PADD II","PADD 2",IF($M9641="PADD III","PADD 3",IF($M9641="PADD IV","PADD 4",IF($M9641="PADD V","PADD 5","")))))</f>
        <v/>
      </c>
      <c r="G9641" s="6">
        <f>IF(AND($H9641="ATMOS DISTILLATION",ISNUMBER(SEARCH("VPS",$I9641))=FALSE,LEFT($I9641,6)&lt;&gt;"VACUUM"),"CDU",IF($H9641="FLUID CAT CRACKING","FCC",IF(OR($H9641="HYDROCRACKING",$H9641="RESID_HYDROCRACKING"),"Hydrocracker",IF($H9641="REFORMING","Reformer",""))))</f>
        <v/>
      </c>
    </row>
    <row r="9642" spans="6:7">
      <c r="F9642" s="6">
        <f>IF($M9642="PADD I","PADD 1",IF($M9642="PADD II","PADD 2",IF($M9642="PADD III","PADD 3",IF($M9642="PADD IV","PADD 4",IF($M9642="PADD V","PADD 5","")))))</f>
        <v/>
      </c>
      <c r="G9642" s="6">
        <f>IF(AND($H9642="ATMOS DISTILLATION",ISNUMBER(SEARCH("VPS",$I9642))=FALSE,LEFT($I9642,6)&lt;&gt;"VACUUM"),"CDU",IF($H9642="FLUID CAT CRACKING","FCC",IF(OR($H9642="HYDROCRACKING",$H9642="RESID_HYDROCRACKING"),"Hydrocracker",IF($H9642="REFORMING","Reformer",""))))</f>
        <v/>
      </c>
    </row>
    <row r="9643" spans="6:7">
      <c r="F9643" s="6">
        <f>IF($M9643="PADD I","PADD 1",IF($M9643="PADD II","PADD 2",IF($M9643="PADD III","PADD 3",IF($M9643="PADD IV","PADD 4",IF($M9643="PADD V","PADD 5","")))))</f>
        <v/>
      </c>
      <c r="G9643" s="6">
        <f>IF(AND($H9643="ATMOS DISTILLATION",ISNUMBER(SEARCH("VPS",$I9643))=FALSE,LEFT($I9643,6)&lt;&gt;"VACUUM"),"CDU",IF($H9643="FLUID CAT CRACKING","FCC",IF(OR($H9643="HYDROCRACKING",$H9643="RESID_HYDROCRACKING"),"Hydrocracker",IF($H9643="REFORMING","Reformer",""))))</f>
        <v/>
      </c>
    </row>
    <row r="9644" spans="6:7">
      <c r="F9644" s="6">
        <f>IF($M9644="PADD I","PADD 1",IF($M9644="PADD II","PADD 2",IF($M9644="PADD III","PADD 3",IF($M9644="PADD IV","PADD 4",IF($M9644="PADD V","PADD 5","")))))</f>
        <v/>
      </c>
      <c r="G9644" s="6">
        <f>IF(AND($H9644="ATMOS DISTILLATION",ISNUMBER(SEARCH("VPS",$I9644))=FALSE,LEFT($I9644,6)&lt;&gt;"VACUUM"),"CDU",IF($H9644="FLUID CAT CRACKING","FCC",IF(OR($H9644="HYDROCRACKING",$H9644="RESID_HYDROCRACKING"),"Hydrocracker",IF($H9644="REFORMING","Reformer",""))))</f>
        <v/>
      </c>
    </row>
    <row r="9645" spans="6:7">
      <c r="F9645" s="6">
        <f>IF($M9645="PADD I","PADD 1",IF($M9645="PADD II","PADD 2",IF($M9645="PADD III","PADD 3",IF($M9645="PADD IV","PADD 4",IF($M9645="PADD V","PADD 5","")))))</f>
        <v/>
      </c>
      <c r="G9645" s="6">
        <f>IF(AND($H9645="ATMOS DISTILLATION",ISNUMBER(SEARCH("VPS",$I9645))=FALSE,LEFT($I9645,6)&lt;&gt;"VACUUM"),"CDU",IF($H9645="FLUID CAT CRACKING","FCC",IF(OR($H9645="HYDROCRACKING",$H9645="RESID_HYDROCRACKING"),"Hydrocracker",IF($H9645="REFORMING","Reformer",""))))</f>
        <v/>
      </c>
    </row>
    <row r="9646" spans="6:7">
      <c r="F9646" s="6">
        <f>IF($M9646="PADD I","PADD 1",IF($M9646="PADD II","PADD 2",IF($M9646="PADD III","PADD 3",IF($M9646="PADD IV","PADD 4",IF($M9646="PADD V","PADD 5","")))))</f>
        <v/>
      </c>
      <c r="G9646" s="6">
        <f>IF(AND($H9646="ATMOS DISTILLATION",ISNUMBER(SEARCH("VPS",$I9646))=FALSE,LEFT($I9646,6)&lt;&gt;"VACUUM"),"CDU",IF($H9646="FLUID CAT CRACKING","FCC",IF(OR($H9646="HYDROCRACKING",$H9646="RESID_HYDROCRACKING"),"Hydrocracker",IF($H9646="REFORMING","Reformer",""))))</f>
        <v/>
      </c>
    </row>
    <row r="9647" spans="6:7">
      <c r="F9647" s="6">
        <f>IF($M9647="PADD I","PADD 1",IF($M9647="PADD II","PADD 2",IF($M9647="PADD III","PADD 3",IF($M9647="PADD IV","PADD 4",IF($M9647="PADD V","PADD 5","")))))</f>
        <v/>
      </c>
      <c r="G9647" s="6">
        <f>IF(AND($H9647="ATMOS DISTILLATION",ISNUMBER(SEARCH("VPS",$I9647))=FALSE,LEFT($I9647,6)&lt;&gt;"VACUUM"),"CDU",IF($H9647="FLUID CAT CRACKING","FCC",IF(OR($H9647="HYDROCRACKING",$H9647="RESID_HYDROCRACKING"),"Hydrocracker",IF($H9647="REFORMING","Reformer",""))))</f>
        <v/>
      </c>
    </row>
    <row r="9648" spans="6:7">
      <c r="F9648" s="6">
        <f>IF($M9648="PADD I","PADD 1",IF($M9648="PADD II","PADD 2",IF($M9648="PADD III","PADD 3",IF($M9648="PADD IV","PADD 4",IF($M9648="PADD V","PADD 5","")))))</f>
        <v/>
      </c>
      <c r="G9648" s="6">
        <f>IF(AND($H9648="ATMOS DISTILLATION",ISNUMBER(SEARCH("VPS",$I9648))=FALSE,LEFT($I9648,6)&lt;&gt;"VACUUM"),"CDU",IF($H9648="FLUID CAT CRACKING","FCC",IF(OR($H9648="HYDROCRACKING",$H9648="RESID_HYDROCRACKING"),"Hydrocracker",IF($H9648="REFORMING","Reformer",""))))</f>
        <v/>
      </c>
    </row>
    <row r="9649" spans="6:7">
      <c r="F9649" s="6">
        <f>IF($M9649="PADD I","PADD 1",IF($M9649="PADD II","PADD 2",IF($M9649="PADD III","PADD 3",IF($M9649="PADD IV","PADD 4",IF($M9649="PADD V","PADD 5","")))))</f>
        <v/>
      </c>
      <c r="G9649" s="6">
        <f>IF(AND($H9649="ATMOS DISTILLATION",ISNUMBER(SEARCH("VPS",$I9649))=FALSE,LEFT($I9649,6)&lt;&gt;"VACUUM"),"CDU",IF($H9649="FLUID CAT CRACKING","FCC",IF(OR($H9649="HYDROCRACKING",$H9649="RESID_HYDROCRACKING"),"Hydrocracker",IF($H9649="REFORMING","Reformer",""))))</f>
        <v/>
      </c>
    </row>
    <row r="9650" spans="6:7">
      <c r="F9650" s="6">
        <f>IF($M9650="PADD I","PADD 1",IF($M9650="PADD II","PADD 2",IF($M9650="PADD III","PADD 3",IF($M9650="PADD IV","PADD 4",IF($M9650="PADD V","PADD 5","")))))</f>
        <v/>
      </c>
      <c r="G9650" s="6">
        <f>IF(AND($H9650="ATMOS DISTILLATION",ISNUMBER(SEARCH("VPS",$I9650))=FALSE,LEFT($I9650,6)&lt;&gt;"VACUUM"),"CDU",IF($H9650="FLUID CAT CRACKING","FCC",IF(OR($H9650="HYDROCRACKING",$H9650="RESID_HYDROCRACKING"),"Hydrocracker",IF($H9650="REFORMING","Reformer",""))))</f>
        <v/>
      </c>
    </row>
    <row r="9651" spans="6:7">
      <c r="F9651" s="6">
        <f>IF($M9651="PADD I","PADD 1",IF($M9651="PADD II","PADD 2",IF($M9651="PADD III","PADD 3",IF($M9651="PADD IV","PADD 4",IF($M9651="PADD V","PADD 5","")))))</f>
        <v/>
      </c>
      <c r="G9651" s="6">
        <f>IF(AND($H9651="ATMOS DISTILLATION",ISNUMBER(SEARCH("VPS",$I9651))=FALSE,LEFT($I9651,6)&lt;&gt;"VACUUM"),"CDU",IF($H9651="FLUID CAT CRACKING","FCC",IF(OR($H9651="HYDROCRACKING",$H9651="RESID_HYDROCRACKING"),"Hydrocracker",IF($H9651="REFORMING","Reformer",""))))</f>
        <v/>
      </c>
    </row>
    <row r="9652" spans="6:7">
      <c r="F9652" s="6">
        <f>IF($M9652="PADD I","PADD 1",IF($M9652="PADD II","PADD 2",IF($M9652="PADD III","PADD 3",IF($M9652="PADD IV","PADD 4",IF($M9652="PADD V","PADD 5","")))))</f>
        <v/>
      </c>
      <c r="G9652" s="6">
        <f>IF(AND($H9652="ATMOS DISTILLATION",ISNUMBER(SEARCH("VPS",$I9652))=FALSE,LEFT($I9652,6)&lt;&gt;"VACUUM"),"CDU",IF($H9652="FLUID CAT CRACKING","FCC",IF(OR($H9652="HYDROCRACKING",$H9652="RESID_HYDROCRACKING"),"Hydrocracker",IF($H9652="REFORMING","Reformer",""))))</f>
        <v/>
      </c>
    </row>
    <row r="9653" spans="6:7">
      <c r="F9653" s="6">
        <f>IF($M9653="PADD I","PADD 1",IF($M9653="PADD II","PADD 2",IF($M9653="PADD III","PADD 3",IF($M9653="PADD IV","PADD 4",IF($M9653="PADD V","PADD 5","")))))</f>
        <v/>
      </c>
      <c r="G9653" s="6">
        <f>IF(AND($H9653="ATMOS DISTILLATION",ISNUMBER(SEARCH("VPS",$I9653))=FALSE,LEFT($I9653,6)&lt;&gt;"VACUUM"),"CDU",IF($H9653="FLUID CAT CRACKING","FCC",IF(OR($H9653="HYDROCRACKING",$H9653="RESID_HYDROCRACKING"),"Hydrocracker",IF($H9653="REFORMING","Reformer",""))))</f>
        <v/>
      </c>
    </row>
    <row r="9654" spans="6:7">
      <c r="F9654" s="6">
        <f>IF($M9654="PADD I","PADD 1",IF($M9654="PADD II","PADD 2",IF($M9654="PADD III","PADD 3",IF($M9654="PADD IV","PADD 4",IF($M9654="PADD V","PADD 5","")))))</f>
        <v/>
      </c>
      <c r="G9654" s="6">
        <f>IF(AND($H9654="ATMOS DISTILLATION",ISNUMBER(SEARCH("VPS",$I9654))=FALSE,LEFT($I9654,6)&lt;&gt;"VACUUM"),"CDU",IF($H9654="FLUID CAT CRACKING","FCC",IF(OR($H9654="HYDROCRACKING",$H9654="RESID_HYDROCRACKING"),"Hydrocracker",IF($H9654="REFORMING","Reformer",""))))</f>
        <v/>
      </c>
    </row>
    <row r="9655" spans="6:7">
      <c r="F9655" s="6">
        <f>IF($M9655="PADD I","PADD 1",IF($M9655="PADD II","PADD 2",IF($M9655="PADD III","PADD 3",IF($M9655="PADD IV","PADD 4",IF($M9655="PADD V","PADD 5","")))))</f>
        <v/>
      </c>
      <c r="G9655" s="6">
        <f>IF(AND($H9655="ATMOS DISTILLATION",ISNUMBER(SEARCH("VPS",$I9655))=FALSE,LEFT($I9655,6)&lt;&gt;"VACUUM"),"CDU",IF($H9655="FLUID CAT CRACKING","FCC",IF(OR($H9655="HYDROCRACKING",$H9655="RESID_HYDROCRACKING"),"Hydrocracker",IF($H9655="REFORMING","Reformer",""))))</f>
        <v/>
      </c>
    </row>
    <row r="9656" spans="6:7">
      <c r="F9656" s="6">
        <f>IF($M9656="PADD I","PADD 1",IF($M9656="PADD II","PADD 2",IF($M9656="PADD III","PADD 3",IF($M9656="PADD IV","PADD 4",IF($M9656="PADD V","PADD 5","")))))</f>
        <v/>
      </c>
      <c r="G9656" s="6">
        <f>IF(AND($H9656="ATMOS DISTILLATION",ISNUMBER(SEARCH("VPS",$I9656))=FALSE,LEFT($I9656,6)&lt;&gt;"VACUUM"),"CDU",IF($H9656="FLUID CAT CRACKING","FCC",IF(OR($H9656="HYDROCRACKING",$H9656="RESID_HYDROCRACKING"),"Hydrocracker",IF($H9656="REFORMING","Reformer",""))))</f>
        <v/>
      </c>
    </row>
    <row r="9657" spans="6:7">
      <c r="F9657" s="6">
        <f>IF($M9657="PADD I","PADD 1",IF($M9657="PADD II","PADD 2",IF($M9657="PADD III","PADD 3",IF($M9657="PADD IV","PADD 4",IF($M9657="PADD V","PADD 5","")))))</f>
        <v/>
      </c>
      <c r="G9657" s="6">
        <f>IF(AND($H9657="ATMOS DISTILLATION",ISNUMBER(SEARCH("VPS",$I9657))=FALSE,LEFT($I9657,6)&lt;&gt;"VACUUM"),"CDU",IF($H9657="FLUID CAT CRACKING","FCC",IF(OR($H9657="HYDROCRACKING",$H9657="RESID_HYDROCRACKING"),"Hydrocracker",IF($H9657="REFORMING","Reformer",""))))</f>
        <v/>
      </c>
    </row>
    <row r="9658" spans="6:7">
      <c r="F9658" s="6">
        <f>IF($M9658="PADD I","PADD 1",IF($M9658="PADD II","PADD 2",IF($M9658="PADD III","PADD 3",IF($M9658="PADD IV","PADD 4",IF($M9658="PADD V","PADD 5","")))))</f>
        <v/>
      </c>
      <c r="G9658" s="6">
        <f>IF(AND($H9658="ATMOS DISTILLATION",ISNUMBER(SEARCH("VPS",$I9658))=FALSE,LEFT($I9658,6)&lt;&gt;"VACUUM"),"CDU",IF($H9658="FLUID CAT CRACKING","FCC",IF(OR($H9658="HYDROCRACKING",$H9658="RESID_HYDROCRACKING"),"Hydrocracker",IF($H9658="REFORMING","Reformer",""))))</f>
        <v/>
      </c>
    </row>
    <row r="9659" spans="6:7">
      <c r="F9659" s="6">
        <f>IF($M9659="PADD I","PADD 1",IF($M9659="PADD II","PADD 2",IF($M9659="PADD III","PADD 3",IF($M9659="PADD IV","PADD 4",IF($M9659="PADD V","PADD 5","")))))</f>
        <v/>
      </c>
      <c r="G9659" s="6">
        <f>IF(AND($H9659="ATMOS DISTILLATION",ISNUMBER(SEARCH("VPS",$I9659))=FALSE,LEFT($I9659,6)&lt;&gt;"VACUUM"),"CDU",IF($H9659="FLUID CAT CRACKING","FCC",IF(OR($H9659="HYDROCRACKING",$H9659="RESID_HYDROCRACKING"),"Hydrocracker",IF($H9659="REFORMING","Reformer",""))))</f>
        <v/>
      </c>
    </row>
    <row r="9660" spans="6:7">
      <c r="F9660" s="6">
        <f>IF($M9660="PADD I","PADD 1",IF($M9660="PADD II","PADD 2",IF($M9660="PADD III","PADD 3",IF($M9660="PADD IV","PADD 4",IF($M9660="PADD V","PADD 5","")))))</f>
        <v/>
      </c>
      <c r="G9660" s="6">
        <f>IF(AND($H9660="ATMOS DISTILLATION",ISNUMBER(SEARCH("VPS",$I9660))=FALSE,LEFT($I9660,6)&lt;&gt;"VACUUM"),"CDU",IF($H9660="FLUID CAT CRACKING","FCC",IF(OR($H9660="HYDROCRACKING",$H9660="RESID_HYDROCRACKING"),"Hydrocracker",IF($H9660="REFORMING","Reformer",""))))</f>
        <v/>
      </c>
    </row>
    <row r="9661" spans="6:7">
      <c r="F9661" s="6">
        <f>IF($M9661="PADD I","PADD 1",IF($M9661="PADD II","PADD 2",IF($M9661="PADD III","PADD 3",IF($M9661="PADD IV","PADD 4",IF($M9661="PADD V","PADD 5","")))))</f>
        <v/>
      </c>
      <c r="G9661" s="6">
        <f>IF(AND($H9661="ATMOS DISTILLATION",ISNUMBER(SEARCH("VPS",$I9661))=FALSE,LEFT($I9661,6)&lt;&gt;"VACUUM"),"CDU",IF($H9661="FLUID CAT CRACKING","FCC",IF(OR($H9661="HYDROCRACKING",$H9661="RESID_HYDROCRACKING"),"Hydrocracker",IF($H9661="REFORMING","Reformer",""))))</f>
        <v/>
      </c>
    </row>
    <row r="9662" spans="6:7">
      <c r="F9662" s="6">
        <f>IF($M9662="PADD I","PADD 1",IF($M9662="PADD II","PADD 2",IF($M9662="PADD III","PADD 3",IF($M9662="PADD IV","PADD 4",IF($M9662="PADD V","PADD 5","")))))</f>
        <v/>
      </c>
      <c r="G9662" s="6">
        <f>IF(AND($H9662="ATMOS DISTILLATION",ISNUMBER(SEARCH("VPS",$I9662))=FALSE,LEFT($I9662,6)&lt;&gt;"VACUUM"),"CDU",IF($H9662="FLUID CAT CRACKING","FCC",IF(OR($H9662="HYDROCRACKING",$H9662="RESID_HYDROCRACKING"),"Hydrocracker",IF($H9662="REFORMING","Reformer",""))))</f>
        <v/>
      </c>
    </row>
    <row r="9663" spans="6:7">
      <c r="F9663" s="6">
        <f>IF($M9663="PADD I","PADD 1",IF($M9663="PADD II","PADD 2",IF($M9663="PADD III","PADD 3",IF($M9663="PADD IV","PADD 4",IF($M9663="PADD V","PADD 5","")))))</f>
        <v/>
      </c>
      <c r="G9663" s="6">
        <f>IF(AND($H9663="ATMOS DISTILLATION",ISNUMBER(SEARCH("VPS",$I9663))=FALSE,LEFT($I9663,6)&lt;&gt;"VACUUM"),"CDU",IF($H9663="FLUID CAT CRACKING","FCC",IF(OR($H9663="HYDROCRACKING",$H9663="RESID_HYDROCRACKING"),"Hydrocracker",IF($H9663="REFORMING","Reformer",""))))</f>
        <v/>
      </c>
    </row>
    <row r="9664" spans="6:7">
      <c r="F9664" s="6">
        <f>IF($M9664="PADD I","PADD 1",IF($M9664="PADD II","PADD 2",IF($M9664="PADD III","PADD 3",IF($M9664="PADD IV","PADD 4",IF($M9664="PADD V","PADD 5","")))))</f>
        <v/>
      </c>
      <c r="G9664" s="6">
        <f>IF(AND($H9664="ATMOS DISTILLATION",ISNUMBER(SEARCH("VPS",$I9664))=FALSE,LEFT($I9664,6)&lt;&gt;"VACUUM"),"CDU",IF($H9664="FLUID CAT CRACKING","FCC",IF(OR($H9664="HYDROCRACKING",$H9664="RESID_HYDROCRACKING"),"Hydrocracker",IF($H9664="REFORMING","Reformer",""))))</f>
        <v/>
      </c>
    </row>
    <row r="9665" spans="6:7">
      <c r="F9665" s="6">
        <f>IF($M9665="PADD I","PADD 1",IF($M9665="PADD II","PADD 2",IF($M9665="PADD III","PADD 3",IF($M9665="PADD IV","PADD 4",IF($M9665="PADD V","PADD 5","")))))</f>
        <v/>
      </c>
      <c r="G9665" s="6">
        <f>IF(AND($H9665="ATMOS DISTILLATION",ISNUMBER(SEARCH("VPS",$I9665))=FALSE,LEFT($I9665,6)&lt;&gt;"VACUUM"),"CDU",IF($H9665="FLUID CAT CRACKING","FCC",IF(OR($H9665="HYDROCRACKING",$H9665="RESID_HYDROCRACKING"),"Hydrocracker",IF($H9665="REFORMING","Reformer",""))))</f>
        <v/>
      </c>
    </row>
    <row r="9666" spans="6:7">
      <c r="F9666" s="6">
        <f>IF($M9666="PADD I","PADD 1",IF($M9666="PADD II","PADD 2",IF($M9666="PADD III","PADD 3",IF($M9666="PADD IV","PADD 4",IF($M9666="PADD V","PADD 5","")))))</f>
        <v/>
      </c>
      <c r="G9666" s="6">
        <f>IF(AND($H9666="ATMOS DISTILLATION",ISNUMBER(SEARCH("VPS",$I9666))=FALSE,LEFT($I9666,6)&lt;&gt;"VACUUM"),"CDU",IF($H9666="FLUID CAT CRACKING","FCC",IF(OR($H9666="HYDROCRACKING",$H9666="RESID_HYDROCRACKING"),"Hydrocracker",IF($H9666="REFORMING","Reformer",""))))</f>
        <v/>
      </c>
    </row>
    <row r="9667" spans="6:7">
      <c r="F9667" s="6">
        <f>IF($M9667="PADD I","PADD 1",IF($M9667="PADD II","PADD 2",IF($M9667="PADD III","PADD 3",IF($M9667="PADD IV","PADD 4",IF($M9667="PADD V","PADD 5","")))))</f>
        <v/>
      </c>
      <c r="G9667" s="6">
        <f>IF(AND($H9667="ATMOS DISTILLATION",ISNUMBER(SEARCH("VPS",$I9667))=FALSE,LEFT($I9667,6)&lt;&gt;"VACUUM"),"CDU",IF($H9667="FLUID CAT CRACKING","FCC",IF(OR($H9667="HYDROCRACKING",$H9667="RESID_HYDROCRACKING"),"Hydrocracker",IF($H9667="REFORMING","Reformer",""))))</f>
        <v/>
      </c>
    </row>
    <row r="9668" spans="6:7">
      <c r="F9668" s="6">
        <f>IF($M9668="PADD I","PADD 1",IF($M9668="PADD II","PADD 2",IF($M9668="PADD III","PADD 3",IF($M9668="PADD IV","PADD 4",IF($M9668="PADD V","PADD 5","")))))</f>
        <v/>
      </c>
      <c r="G9668" s="6">
        <f>IF(AND($H9668="ATMOS DISTILLATION",ISNUMBER(SEARCH("VPS",$I9668))=FALSE,LEFT($I9668,6)&lt;&gt;"VACUUM"),"CDU",IF($H9668="FLUID CAT CRACKING","FCC",IF(OR($H9668="HYDROCRACKING",$H9668="RESID_HYDROCRACKING"),"Hydrocracker",IF($H9668="REFORMING","Reformer",""))))</f>
        <v/>
      </c>
    </row>
    <row r="9669" spans="6:7">
      <c r="F9669" s="6">
        <f>IF($M9669="PADD I","PADD 1",IF($M9669="PADD II","PADD 2",IF($M9669="PADD III","PADD 3",IF($M9669="PADD IV","PADD 4",IF($M9669="PADD V","PADD 5","")))))</f>
        <v/>
      </c>
      <c r="G9669" s="6">
        <f>IF(AND($H9669="ATMOS DISTILLATION",ISNUMBER(SEARCH("VPS",$I9669))=FALSE,LEFT($I9669,6)&lt;&gt;"VACUUM"),"CDU",IF($H9669="FLUID CAT CRACKING","FCC",IF(OR($H9669="HYDROCRACKING",$H9669="RESID_HYDROCRACKING"),"Hydrocracker",IF($H9669="REFORMING","Reformer",""))))</f>
        <v/>
      </c>
    </row>
    <row r="9670" spans="6:7">
      <c r="F9670" s="6">
        <f>IF($M9670="PADD I","PADD 1",IF($M9670="PADD II","PADD 2",IF($M9670="PADD III","PADD 3",IF($M9670="PADD IV","PADD 4",IF($M9670="PADD V","PADD 5","")))))</f>
        <v/>
      </c>
      <c r="G9670" s="6">
        <f>IF(AND($H9670="ATMOS DISTILLATION",ISNUMBER(SEARCH("VPS",$I9670))=FALSE,LEFT($I9670,6)&lt;&gt;"VACUUM"),"CDU",IF($H9670="FLUID CAT CRACKING","FCC",IF(OR($H9670="HYDROCRACKING",$H9670="RESID_HYDROCRACKING"),"Hydrocracker",IF($H9670="REFORMING","Reformer",""))))</f>
        <v/>
      </c>
    </row>
    <row r="9671" spans="6:7">
      <c r="F9671" s="6">
        <f>IF($M9671="PADD I","PADD 1",IF($M9671="PADD II","PADD 2",IF($M9671="PADD III","PADD 3",IF($M9671="PADD IV","PADD 4",IF($M9671="PADD V","PADD 5","")))))</f>
        <v/>
      </c>
      <c r="G9671" s="6">
        <f>IF(AND($H9671="ATMOS DISTILLATION",ISNUMBER(SEARCH("VPS",$I9671))=FALSE,LEFT($I9671,6)&lt;&gt;"VACUUM"),"CDU",IF($H9671="FLUID CAT CRACKING","FCC",IF(OR($H9671="HYDROCRACKING",$H9671="RESID_HYDROCRACKING"),"Hydrocracker",IF($H9671="REFORMING","Reformer",""))))</f>
        <v/>
      </c>
    </row>
    <row r="9672" spans="6:7">
      <c r="F9672" s="6">
        <f>IF($M9672="PADD I","PADD 1",IF($M9672="PADD II","PADD 2",IF($M9672="PADD III","PADD 3",IF($M9672="PADD IV","PADD 4",IF($M9672="PADD V","PADD 5","")))))</f>
        <v/>
      </c>
      <c r="G9672" s="6">
        <f>IF(AND($H9672="ATMOS DISTILLATION",ISNUMBER(SEARCH("VPS",$I9672))=FALSE,LEFT($I9672,6)&lt;&gt;"VACUUM"),"CDU",IF($H9672="FLUID CAT CRACKING","FCC",IF(OR($H9672="HYDROCRACKING",$H9672="RESID_HYDROCRACKING"),"Hydrocracker",IF($H9672="REFORMING","Reformer",""))))</f>
        <v/>
      </c>
    </row>
    <row r="9673" spans="6:7">
      <c r="F9673" s="6">
        <f>IF($M9673="PADD I","PADD 1",IF($M9673="PADD II","PADD 2",IF($M9673="PADD III","PADD 3",IF($M9673="PADD IV","PADD 4",IF($M9673="PADD V","PADD 5","")))))</f>
        <v/>
      </c>
      <c r="G9673" s="6">
        <f>IF(AND($H9673="ATMOS DISTILLATION",ISNUMBER(SEARCH("VPS",$I9673))=FALSE,LEFT($I9673,6)&lt;&gt;"VACUUM"),"CDU",IF($H9673="FLUID CAT CRACKING","FCC",IF(OR($H9673="HYDROCRACKING",$H9673="RESID_HYDROCRACKING"),"Hydrocracker",IF($H9673="REFORMING","Reformer",""))))</f>
        <v/>
      </c>
    </row>
    <row r="9674" spans="6:7">
      <c r="F9674" s="6">
        <f>IF($M9674="PADD I","PADD 1",IF($M9674="PADD II","PADD 2",IF($M9674="PADD III","PADD 3",IF($M9674="PADD IV","PADD 4",IF($M9674="PADD V","PADD 5","")))))</f>
        <v/>
      </c>
      <c r="G9674" s="6">
        <f>IF(AND($H9674="ATMOS DISTILLATION",ISNUMBER(SEARCH("VPS",$I9674))=FALSE,LEFT($I9674,6)&lt;&gt;"VACUUM"),"CDU",IF($H9674="FLUID CAT CRACKING","FCC",IF(OR($H9674="HYDROCRACKING",$H9674="RESID_HYDROCRACKING"),"Hydrocracker",IF($H9674="REFORMING","Reformer",""))))</f>
        <v/>
      </c>
    </row>
    <row r="9675" spans="6:7">
      <c r="F9675" s="6">
        <f>IF($M9675="PADD I","PADD 1",IF($M9675="PADD II","PADD 2",IF($M9675="PADD III","PADD 3",IF($M9675="PADD IV","PADD 4",IF($M9675="PADD V","PADD 5","")))))</f>
        <v/>
      </c>
      <c r="G9675" s="6">
        <f>IF(AND($H9675="ATMOS DISTILLATION",ISNUMBER(SEARCH("VPS",$I9675))=FALSE,LEFT($I9675,6)&lt;&gt;"VACUUM"),"CDU",IF($H9675="FLUID CAT CRACKING","FCC",IF(OR($H9675="HYDROCRACKING",$H9675="RESID_HYDROCRACKING"),"Hydrocracker",IF($H9675="REFORMING","Reformer",""))))</f>
        <v/>
      </c>
    </row>
    <row r="9676" spans="6:7">
      <c r="F9676" s="6">
        <f>IF($M9676="PADD I","PADD 1",IF($M9676="PADD II","PADD 2",IF($M9676="PADD III","PADD 3",IF($M9676="PADD IV","PADD 4",IF($M9676="PADD V","PADD 5","")))))</f>
        <v/>
      </c>
      <c r="G9676" s="6">
        <f>IF(AND($H9676="ATMOS DISTILLATION",ISNUMBER(SEARCH("VPS",$I9676))=FALSE,LEFT($I9676,6)&lt;&gt;"VACUUM"),"CDU",IF($H9676="FLUID CAT CRACKING","FCC",IF(OR($H9676="HYDROCRACKING",$H9676="RESID_HYDROCRACKING"),"Hydrocracker",IF($H9676="REFORMING","Reformer",""))))</f>
        <v/>
      </c>
    </row>
    <row r="9677" spans="6:7">
      <c r="F9677" s="6">
        <f>IF($M9677="PADD I","PADD 1",IF($M9677="PADD II","PADD 2",IF($M9677="PADD III","PADD 3",IF($M9677="PADD IV","PADD 4",IF($M9677="PADD V","PADD 5","")))))</f>
        <v/>
      </c>
      <c r="G9677" s="6">
        <f>IF(AND($H9677="ATMOS DISTILLATION",ISNUMBER(SEARCH("VPS",$I9677))=FALSE,LEFT($I9677,6)&lt;&gt;"VACUUM"),"CDU",IF($H9677="FLUID CAT CRACKING","FCC",IF(OR($H9677="HYDROCRACKING",$H9677="RESID_HYDROCRACKING"),"Hydrocracker",IF($H9677="REFORMING","Reformer",""))))</f>
        <v/>
      </c>
    </row>
    <row r="9678" spans="6:7">
      <c r="F9678" s="6">
        <f>IF($M9678="PADD I","PADD 1",IF($M9678="PADD II","PADD 2",IF($M9678="PADD III","PADD 3",IF($M9678="PADD IV","PADD 4",IF($M9678="PADD V","PADD 5","")))))</f>
        <v/>
      </c>
      <c r="G9678" s="6">
        <f>IF(AND($H9678="ATMOS DISTILLATION",ISNUMBER(SEARCH("VPS",$I9678))=FALSE,LEFT($I9678,6)&lt;&gt;"VACUUM"),"CDU",IF($H9678="FLUID CAT CRACKING","FCC",IF(OR($H9678="HYDROCRACKING",$H9678="RESID_HYDROCRACKING"),"Hydrocracker",IF($H9678="REFORMING","Reformer",""))))</f>
        <v/>
      </c>
    </row>
    <row r="9679" spans="6:7">
      <c r="F9679" s="6">
        <f>IF($M9679="PADD I","PADD 1",IF($M9679="PADD II","PADD 2",IF($M9679="PADD III","PADD 3",IF($M9679="PADD IV","PADD 4",IF($M9679="PADD V","PADD 5","")))))</f>
        <v/>
      </c>
      <c r="G9679" s="6">
        <f>IF(AND($H9679="ATMOS DISTILLATION",ISNUMBER(SEARCH("VPS",$I9679))=FALSE,LEFT($I9679,6)&lt;&gt;"VACUUM"),"CDU",IF($H9679="FLUID CAT CRACKING","FCC",IF(OR($H9679="HYDROCRACKING",$H9679="RESID_HYDROCRACKING"),"Hydrocracker",IF($H9679="REFORMING","Reformer",""))))</f>
        <v/>
      </c>
    </row>
    <row r="9680" spans="6:7">
      <c r="F9680" s="6">
        <f>IF($M9680="PADD I","PADD 1",IF($M9680="PADD II","PADD 2",IF($M9680="PADD III","PADD 3",IF($M9680="PADD IV","PADD 4",IF($M9680="PADD V","PADD 5","")))))</f>
        <v/>
      </c>
      <c r="G9680" s="6">
        <f>IF(AND($H9680="ATMOS DISTILLATION",ISNUMBER(SEARCH("VPS",$I9680))=FALSE,LEFT($I9680,6)&lt;&gt;"VACUUM"),"CDU",IF($H9680="FLUID CAT CRACKING","FCC",IF(OR($H9680="HYDROCRACKING",$H9680="RESID_HYDROCRACKING"),"Hydrocracker",IF($H9680="REFORMING","Reformer",""))))</f>
        <v/>
      </c>
    </row>
    <row r="9681" spans="6:7">
      <c r="F9681" s="6">
        <f>IF($M9681="PADD I","PADD 1",IF($M9681="PADD II","PADD 2",IF($M9681="PADD III","PADD 3",IF($M9681="PADD IV","PADD 4",IF($M9681="PADD V","PADD 5","")))))</f>
        <v/>
      </c>
      <c r="G9681" s="6">
        <f>IF(AND($H9681="ATMOS DISTILLATION",ISNUMBER(SEARCH("VPS",$I9681))=FALSE,LEFT($I9681,6)&lt;&gt;"VACUUM"),"CDU",IF($H9681="FLUID CAT CRACKING","FCC",IF(OR($H9681="HYDROCRACKING",$H9681="RESID_HYDROCRACKING"),"Hydrocracker",IF($H9681="REFORMING","Reformer",""))))</f>
        <v/>
      </c>
    </row>
    <row r="9682" spans="6:7">
      <c r="F9682" s="6">
        <f>IF($M9682="PADD I","PADD 1",IF($M9682="PADD II","PADD 2",IF($M9682="PADD III","PADD 3",IF($M9682="PADD IV","PADD 4",IF($M9682="PADD V","PADD 5","")))))</f>
        <v/>
      </c>
      <c r="G9682" s="6">
        <f>IF(AND($H9682="ATMOS DISTILLATION",ISNUMBER(SEARCH("VPS",$I9682))=FALSE,LEFT($I9682,6)&lt;&gt;"VACUUM"),"CDU",IF($H9682="FLUID CAT CRACKING","FCC",IF(OR($H9682="HYDROCRACKING",$H9682="RESID_HYDROCRACKING"),"Hydrocracker",IF($H9682="REFORMING","Reformer",""))))</f>
        <v/>
      </c>
    </row>
    <row r="9683" spans="6:7">
      <c r="F9683" s="6">
        <f>IF($M9683="PADD I","PADD 1",IF($M9683="PADD II","PADD 2",IF($M9683="PADD III","PADD 3",IF($M9683="PADD IV","PADD 4",IF($M9683="PADD V","PADD 5","")))))</f>
        <v/>
      </c>
      <c r="G9683" s="6">
        <f>IF(AND($H9683="ATMOS DISTILLATION",ISNUMBER(SEARCH("VPS",$I9683))=FALSE,LEFT($I9683,6)&lt;&gt;"VACUUM"),"CDU",IF($H9683="FLUID CAT CRACKING","FCC",IF(OR($H9683="HYDROCRACKING",$H9683="RESID_HYDROCRACKING"),"Hydrocracker",IF($H9683="REFORMING","Reformer",""))))</f>
        <v/>
      </c>
    </row>
    <row r="9684" spans="6:7">
      <c r="F9684" s="6">
        <f>IF($M9684="PADD I","PADD 1",IF($M9684="PADD II","PADD 2",IF($M9684="PADD III","PADD 3",IF($M9684="PADD IV","PADD 4",IF($M9684="PADD V","PADD 5","")))))</f>
        <v/>
      </c>
      <c r="G9684" s="6">
        <f>IF(AND($H9684="ATMOS DISTILLATION",ISNUMBER(SEARCH("VPS",$I9684))=FALSE,LEFT($I9684,6)&lt;&gt;"VACUUM"),"CDU",IF($H9684="FLUID CAT CRACKING","FCC",IF(OR($H9684="HYDROCRACKING",$H9684="RESID_HYDROCRACKING"),"Hydrocracker",IF($H9684="REFORMING","Reformer",""))))</f>
        <v/>
      </c>
    </row>
    <row r="9685" spans="6:7">
      <c r="F9685" s="6">
        <f>IF($M9685="PADD I","PADD 1",IF($M9685="PADD II","PADD 2",IF($M9685="PADD III","PADD 3",IF($M9685="PADD IV","PADD 4",IF($M9685="PADD V","PADD 5","")))))</f>
        <v/>
      </c>
      <c r="G9685" s="6">
        <f>IF(AND($H9685="ATMOS DISTILLATION",ISNUMBER(SEARCH("VPS",$I9685))=FALSE,LEFT($I9685,6)&lt;&gt;"VACUUM"),"CDU",IF($H9685="FLUID CAT CRACKING","FCC",IF(OR($H9685="HYDROCRACKING",$H9685="RESID_HYDROCRACKING"),"Hydrocracker",IF($H9685="REFORMING","Reformer",""))))</f>
        <v/>
      </c>
    </row>
    <row r="9686" spans="6:7">
      <c r="F9686" s="6">
        <f>IF($M9686="PADD I","PADD 1",IF($M9686="PADD II","PADD 2",IF($M9686="PADD III","PADD 3",IF($M9686="PADD IV","PADD 4",IF($M9686="PADD V","PADD 5","")))))</f>
        <v/>
      </c>
      <c r="G9686" s="6">
        <f>IF(AND($H9686="ATMOS DISTILLATION",ISNUMBER(SEARCH("VPS",$I9686))=FALSE,LEFT($I9686,6)&lt;&gt;"VACUUM"),"CDU",IF($H9686="FLUID CAT CRACKING","FCC",IF(OR($H9686="HYDROCRACKING",$H9686="RESID_HYDROCRACKING"),"Hydrocracker",IF($H9686="REFORMING","Reformer",""))))</f>
        <v/>
      </c>
    </row>
    <row r="9687" spans="6:7">
      <c r="F9687" s="6">
        <f>IF($M9687="PADD I","PADD 1",IF($M9687="PADD II","PADD 2",IF($M9687="PADD III","PADD 3",IF($M9687="PADD IV","PADD 4",IF($M9687="PADD V","PADD 5","")))))</f>
        <v/>
      </c>
      <c r="G9687" s="6">
        <f>IF(AND($H9687="ATMOS DISTILLATION",ISNUMBER(SEARCH("VPS",$I9687))=FALSE,LEFT($I9687,6)&lt;&gt;"VACUUM"),"CDU",IF($H9687="FLUID CAT CRACKING","FCC",IF(OR($H9687="HYDROCRACKING",$H9687="RESID_HYDROCRACKING"),"Hydrocracker",IF($H9687="REFORMING","Reformer",""))))</f>
        <v/>
      </c>
    </row>
    <row r="9688" spans="6:7">
      <c r="F9688" s="6">
        <f>IF($M9688="PADD I","PADD 1",IF($M9688="PADD II","PADD 2",IF($M9688="PADD III","PADD 3",IF($M9688="PADD IV","PADD 4",IF($M9688="PADD V","PADD 5","")))))</f>
        <v/>
      </c>
      <c r="G9688" s="6">
        <f>IF(AND($H9688="ATMOS DISTILLATION",ISNUMBER(SEARCH("VPS",$I9688))=FALSE,LEFT($I9688,6)&lt;&gt;"VACUUM"),"CDU",IF($H9688="FLUID CAT CRACKING","FCC",IF(OR($H9688="HYDROCRACKING",$H9688="RESID_HYDROCRACKING"),"Hydrocracker",IF($H9688="REFORMING","Reformer",""))))</f>
        <v/>
      </c>
    </row>
    <row r="9689" spans="6:7">
      <c r="F9689" s="6">
        <f>IF($M9689="PADD I","PADD 1",IF($M9689="PADD II","PADD 2",IF($M9689="PADD III","PADD 3",IF($M9689="PADD IV","PADD 4",IF($M9689="PADD V","PADD 5","")))))</f>
        <v/>
      </c>
      <c r="G9689" s="6">
        <f>IF(AND($H9689="ATMOS DISTILLATION",ISNUMBER(SEARCH("VPS",$I9689))=FALSE,LEFT($I9689,6)&lt;&gt;"VACUUM"),"CDU",IF($H9689="FLUID CAT CRACKING","FCC",IF(OR($H9689="HYDROCRACKING",$H9689="RESID_HYDROCRACKING"),"Hydrocracker",IF($H9689="REFORMING","Reformer",""))))</f>
        <v/>
      </c>
    </row>
    <row r="9690" spans="6:7">
      <c r="F9690" s="6">
        <f>IF($M9690="PADD I","PADD 1",IF($M9690="PADD II","PADD 2",IF($M9690="PADD III","PADD 3",IF($M9690="PADD IV","PADD 4",IF($M9690="PADD V","PADD 5","")))))</f>
        <v/>
      </c>
      <c r="G9690" s="6">
        <f>IF(AND($H9690="ATMOS DISTILLATION",ISNUMBER(SEARCH("VPS",$I9690))=FALSE,LEFT($I9690,6)&lt;&gt;"VACUUM"),"CDU",IF($H9690="FLUID CAT CRACKING","FCC",IF(OR($H9690="HYDROCRACKING",$H9690="RESID_HYDROCRACKING"),"Hydrocracker",IF($H9690="REFORMING","Reformer",""))))</f>
        <v/>
      </c>
    </row>
    <row r="9691" spans="6:7">
      <c r="F9691" s="6">
        <f>IF($M9691="PADD I","PADD 1",IF($M9691="PADD II","PADD 2",IF($M9691="PADD III","PADD 3",IF($M9691="PADD IV","PADD 4",IF($M9691="PADD V","PADD 5","")))))</f>
        <v/>
      </c>
      <c r="G9691" s="6">
        <f>IF(AND($H9691="ATMOS DISTILLATION",ISNUMBER(SEARCH("VPS",$I9691))=FALSE,LEFT($I9691,6)&lt;&gt;"VACUUM"),"CDU",IF($H9691="FLUID CAT CRACKING","FCC",IF(OR($H9691="HYDROCRACKING",$H9691="RESID_HYDROCRACKING"),"Hydrocracker",IF($H9691="REFORMING","Reformer",""))))</f>
        <v/>
      </c>
    </row>
    <row r="9692" spans="6:7">
      <c r="F9692" s="6">
        <f>IF($M9692="PADD I","PADD 1",IF($M9692="PADD II","PADD 2",IF($M9692="PADD III","PADD 3",IF($M9692="PADD IV","PADD 4",IF($M9692="PADD V","PADD 5","")))))</f>
        <v/>
      </c>
      <c r="G9692" s="6">
        <f>IF(AND($H9692="ATMOS DISTILLATION",ISNUMBER(SEARCH("VPS",$I9692))=FALSE,LEFT($I9692,6)&lt;&gt;"VACUUM"),"CDU",IF($H9692="FLUID CAT CRACKING","FCC",IF(OR($H9692="HYDROCRACKING",$H9692="RESID_HYDROCRACKING"),"Hydrocracker",IF($H9692="REFORMING","Reformer",""))))</f>
        <v/>
      </c>
    </row>
    <row r="9693" spans="6:7">
      <c r="F9693" s="6">
        <f>IF($M9693="PADD I","PADD 1",IF($M9693="PADD II","PADD 2",IF($M9693="PADD III","PADD 3",IF($M9693="PADD IV","PADD 4",IF($M9693="PADD V","PADD 5","")))))</f>
        <v/>
      </c>
      <c r="G9693" s="6">
        <f>IF(AND($H9693="ATMOS DISTILLATION",ISNUMBER(SEARCH("VPS",$I9693))=FALSE,LEFT($I9693,6)&lt;&gt;"VACUUM"),"CDU",IF($H9693="FLUID CAT CRACKING","FCC",IF(OR($H9693="HYDROCRACKING",$H9693="RESID_HYDROCRACKING"),"Hydrocracker",IF($H9693="REFORMING","Reformer",""))))</f>
        <v/>
      </c>
    </row>
    <row r="9694" spans="6:7">
      <c r="F9694" s="6">
        <f>IF($M9694="PADD I","PADD 1",IF($M9694="PADD II","PADD 2",IF($M9694="PADD III","PADD 3",IF($M9694="PADD IV","PADD 4",IF($M9694="PADD V","PADD 5","")))))</f>
        <v/>
      </c>
      <c r="G9694" s="6">
        <f>IF(AND($H9694="ATMOS DISTILLATION",ISNUMBER(SEARCH("VPS",$I9694))=FALSE,LEFT($I9694,6)&lt;&gt;"VACUUM"),"CDU",IF($H9694="FLUID CAT CRACKING","FCC",IF(OR($H9694="HYDROCRACKING",$H9694="RESID_HYDROCRACKING"),"Hydrocracker",IF($H9694="REFORMING","Reformer",""))))</f>
        <v/>
      </c>
    </row>
    <row r="9695" spans="6:7">
      <c r="F9695" s="6">
        <f>IF($M9695="PADD I","PADD 1",IF($M9695="PADD II","PADD 2",IF($M9695="PADD III","PADD 3",IF($M9695="PADD IV","PADD 4",IF($M9695="PADD V","PADD 5","")))))</f>
        <v/>
      </c>
      <c r="G9695" s="6">
        <f>IF(AND($H9695="ATMOS DISTILLATION",ISNUMBER(SEARCH("VPS",$I9695))=FALSE,LEFT($I9695,6)&lt;&gt;"VACUUM"),"CDU",IF($H9695="FLUID CAT CRACKING","FCC",IF(OR($H9695="HYDROCRACKING",$H9695="RESID_HYDROCRACKING"),"Hydrocracker",IF($H9695="REFORMING","Reformer",""))))</f>
        <v/>
      </c>
    </row>
    <row r="9696" spans="6:7">
      <c r="F9696" s="6">
        <f>IF($M9696="PADD I","PADD 1",IF($M9696="PADD II","PADD 2",IF($M9696="PADD III","PADD 3",IF($M9696="PADD IV","PADD 4",IF($M9696="PADD V","PADD 5","")))))</f>
        <v/>
      </c>
      <c r="G9696" s="6">
        <f>IF(AND($H9696="ATMOS DISTILLATION",ISNUMBER(SEARCH("VPS",$I9696))=FALSE,LEFT($I9696,6)&lt;&gt;"VACUUM"),"CDU",IF($H9696="FLUID CAT CRACKING","FCC",IF(OR($H9696="HYDROCRACKING",$H9696="RESID_HYDROCRACKING"),"Hydrocracker",IF($H9696="REFORMING","Reformer",""))))</f>
        <v/>
      </c>
    </row>
    <row r="9697" spans="6:7">
      <c r="F9697" s="6">
        <f>IF($M9697="PADD I","PADD 1",IF($M9697="PADD II","PADD 2",IF($M9697="PADD III","PADD 3",IF($M9697="PADD IV","PADD 4",IF($M9697="PADD V","PADD 5","")))))</f>
        <v/>
      </c>
      <c r="G9697" s="6">
        <f>IF(AND($H9697="ATMOS DISTILLATION",ISNUMBER(SEARCH("VPS",$I9697))=FALSE,LEFT($I9697,6)&lt;&gt;"VACUUM"),"CDU",IF($H9697="FLUID CAT CRACKING","FCC",IF(OR($H9697="HYDROCRACKING",$H9697="RESID_HYDROCRACKING"),"Hydrocracker",IF($H9697="REFORMING","Reformer",""))))</f>
        <v/>
      </c>
    </row>
    <row r="9698" spans="6:7">
      <c r="F9698" s="6">
        <f>IF($M9698="PADD I","PADD 1",IF($M9698="PADD II","PADD 2",IF($M9698="PADD III","PADD 3",IF($M9698="PADD IV","PADD 4",IF($M9698="PADD V","PADD 5","")))))</f>
        <v/>
      </c>
      <c r="G9698" s="6">
        <f>IF(AND($H9698="ATMOS DISTILLATION",ISNUMBER(SEARCH("VPS",$I9698))=FALSE,LEFT($I9698,6)&lt;&gt;"VACUUM"),"CDU",IF($H9698="FLUID CAT CRACKING","FCC",IF(OR($H9698="HYDROCRACKING",$H9698="RESID_HYDROCRACKING"),"Hydrocracker",IF($H9698="REFORMING","Reformer",""))))</f>
        <v/>
      </c>
    </row>
    <row r="9699" spans="6:7">
      <c r="F9699" s="6">
        <f>IF($M9699="PADD I","PADD 1",IF($M9699="PADD II","PADD 2",IF($M9699="PADD III","PADD 3",IF($M9699="PADD IV","PADD 4",IF($M9699="PADD V","PADD 5","")))))</f>
        <v/>
      </c>
      <c r="G9699" s="6">
        <f>IF(AND($H9699="ATMOS DISTILLATION",ISNUMBER(SEARCH("VPS",$I9699))=FALSE,LEFT($I9699,6)&lt;&gt;"VACUUM"),"CDU",IF($H9699="FLUID CAT CRACKING","FCC",IF(OR($H9699="HYDROCRACKING",$H9699="RESID_HYDROCRACKING"),"Hydrocracker",IF($H9699="REFORMING","Reformer",""))))</f>
        <v/>
      </c>
    </row>
    <row r="9700" spans="6:7">
      <c r="F9700" s="6">
        <f>IF($M9700="PADD I","PADD 1",IF($M9700="PADD II","PADD 2",IF($M9700="PADD III","PADD 3",IF($M9700="PADD IV","PADD 4",IF($M9700="PADD V","PADD 5","")))))</f>
        <v/>
      </c>
      <c r="G9700" s="6">
        <f>IF(AND($H9700="ATMOS DISTILLATION",ISNUMBER(SEARCH("VPS",$I9700))=FALSE,LEFT($I9700,6)&lt;&gt;"VACUUM"),"CDU",IF($H9700="FLUID CAT CRACKING","FCC",IF(OR($H9700="HYDROCRACKING",$H9700="RESID_HYDROCRACKING"),"Hydrocracker",IF($H9700="REFORMING","Reformer",""))))</f>
        <v/>
      </c>
    </row>
    <row r="9701" spans="6:7">
      <c r="F9701" s="6">
        <f>IF($M9701="PADD I","PADD 1",IF($M9701="PADD II","PADD 2",IF($M9701="PADD III","PADD 3",IF($M9701="PADD IV","PADD 4",IF($M9701="PADD V","PADD 5","")))))</f>
        <v/>
      </c>
      <c r="G9701" s="6">
        <f>IF(AND($H9701="ATMOS DISTILLATION",ISNUMBER(SEARCH("VPS",$I9701))=FALSE,LEFT($I9701,6)&lt;&gt;"VACUUM"),"CDU",IF($H9701="FLUID CAT CRACKING","FCC",IF(OR($H9701="HYDROCRACKING",$H9701="RESID_HYDROCRACKING"),"Hydrocracker",IF($H9701="REFORMING","Reformer",""))))</f>
        <v/>
      </c>
    </row>
    <row r="9702" spans="6:7">
      <c r="F9702" s="6">
        <f>IF($M9702="PADD I","PADD 1",IF($M9702="PADD II","PADD 2",IF($M9702="PADD III","PADD 3",IF($M9702="PADD IV","PADD 4",IF($M9702="PADD V","PADD 5","")))))</f>
        <v/>
      </c>
      <c r="G9702" s="6">
        <f>IF(AND($H9702="ATMOS DISTILLATION",ISNUMBER(SEARCH("VPS",$I9702))=FALSE,LEFT($I9702,6)&lt;&gt;"VACUUM"),"CDU",IF($H9702="FLUID CAT CRACKING","FCC",IF(OR($H9702="HYDROCRACKING",$H9702="RESID_HYDROCRACKING"),"Hydrocracker",IF($H9702="REFORMING","Reformer",""))))</f>
        <v/>
      </c>
    </row>
    <row r="9703" spans="6:7">
      <c r="F9703" s="6">
        <f>IF($M9703="PADD I","PADD 1",IF($M9703="PADD II","PADD 2",IF($M9703="PADD III","PADD 3",IF($M9703="PADD IV","PADD 4",IF($M9703="PADD V","PADD 5","")))))</f>
        <v/>
      </c>
      <c r="G9703" s="6">
        <f>IF(AND($H9703="ATMOS DISTILLATION",ISNUMBER(SEARCH("VPS",$I9703))=FALSE,LEFT($I9703,6)&lt;&gt;"VACUUM"),"CDU",IF($H9703="FLUID CAT CRACKING","FCC",IF(OR($H9703="HYDROCRACKING",$H9703="RESID_HYDROCRACKING"),"Hydrocracker",IF($H9703="REFORMING","Reformer",""))))</f>
        <v/>
      </c>
    </row>
    <row r="9704" spans="6:7">
      <c r="F9704" s="6">
        <f>IF($M9704="PADD I","PADD 1",IF($M9704="PADD II","PADD 2",IF($M9704="PADD III","PADD 3",IF($M9704="PADD IV","PADD 4",IF($M9704="PADD V","PADD 5","")))))</f>
        <v/>
      </c>
      <c r="G9704" s="6">
        <f>IF(AND($H9704="ATMOS DISTILLATION",ISNUMBER(SEARCH("VPS",$I9704))=FALSE,LEFT($I9704,6)&lt;&gt;"VACUUM"),"CDU",IF($H9704="FLUID CAT CRACKING","FCC",IF(OR($H9704="HYDROCRACKING",$H9704="RESID_HYDROCRACKING"),"Hydrocracker",IF($H9704="REFORMING","Reformer",""))))</f>
        <v/>
      </c>
    </row>
    <row r="9705" spans="6:7">
      <c r="F9705" s="6">
        <f>IF($M9705="PADD I","PADD 1",IF($M9705="PADD II","PADD 2",IF($M9705="PADD III","PADD 3",IF($M9705="PADD IV","PADD 4",IF($M9705="PADD V","PADD 5","")))))</f>
        <v/>
      </c>
      <c r="G9705" s="6">
        <f>IF(AND($H9705="ATMOS DISTILLATION",ISNUMBER(SEARCH("VPS",$I9705))=FALSE,LEFT($I9705,6)&lt;&gt;"VACUUM"),"CDU",IF($H9705="FLUID CAT CRACKING","FCC",IF(OR($H9705="HYDROCRACKING",$H9705="RESID_HYDROCRACKING"),"Hydrocracker",IF($H9705="REFORMING","Reformer",""))))</f>
        <v/>
      </c>
    </row>
    <row r="9706" spans="6:7">
      <c r="F9706" s="6">
        <f>IF($M9706="PADD I","PADD 1",IF($M9706="PADD II","PADD 2",IF($M9706="PADD III","PADD 3",IF($M9706="PADD IV","PADD 4",IF($M9706="PADD V","PADD 5","")))))</f>
        <v/>
      </c>
      <c r="G9706" s="6">
        <f>IF(AND($H9706="ATMOS DISTILLATION",ISNUMBER(SEARCH("VPS",$I9706))=FALSE,LEFT($I9706,6)&lt;&gt;"VACUUM"),"CDU",IF($H9706="FLUID CAT CRACKING","FCC",IF(OR($H9706="HYDROCRACKING",$H9706="RESID_HYDROCRACKING"),"Hydrocracker",IF($H9706="REFORMING","Reformer",""))))</f>
        <v/>
      </c>
    </row>
    <row r="9707" spans="6:7">
      <c r="F9707" s="6">
        <f>IF($M9707="PADD I","PADD 1",IF($M9707="PADD II","PADD 2",IF($M9707="PADD III","PADD 3",IF($M9707="PADD IV","PADD 4",IF($M9707="PADD V","PADD 5","")))))</f>
        <v/>
      </c>
      <c r="G9707" s="6">
        <f>IF(AND($H9707="ATMOS DISTILLATION",ISNUMBER(SEARCH("VPS",$I9707))=FALSE,LEFT($I9707,6)&lt;&gt;"VACUUM"),"CDU",IF($H9707="FLUID CAT CRACKING","FCC",IF(OR($H9707="HYDROCRACKING",$H9707="RESID_HYDROCRACKING"),"Hydrocracker",IF($H9707="REFORMING","Reformer",""))))</f>
        <v/>
      </c>
    </row>
    <row r="9708" spans="6:7">
      <c r="F9708" s="6">
        <f>IF($M9708="PADD I","PADD 1",IF($M9708="PADD II","PADD 2",IF($M9708="PADD III","PADD 3",IF($M9708="PADD IV","PADD 4",IF($M9708="PADD V","PADD 5","")))))</f>
        <v/>
      </c>
      <c r="G9708" s="6">
        <f>IF(AND($H9708="ATMOS DISTILLATION",ISNUMBER(SEARCH("VPS",$I9708))=FALSE,LEFT($I9708,6)&lt;&gt;"VACUUM"),"CDU",IF($H9708="FLUID CAT CRACKING","FCC",IF(OR($H9708="HYDROCRACKING",$H9708="RESID_HYDROCRACKING"),"Hydrocracker",IF($H9708="REFORMING","Reformer",""))))</f>
        <v/>
      </c>
    </row>
    <row r="9709" spans="6:7">
      <c r="F9709" s="6">
        <f>IF($M9709="PADD I","PADD 1",IF($M9709="PADD II","PADD 2",IF($M9709="PADD III","PADD 3",IF($M9709="PADD IV","PADD 4",IF($M9709="PADD V","PADD 5","")))))</f>
        <v/>
      </c>
      <c r="G9709" s="6">
        <f>IF(AND($H9709="ATMOS DISTILLATION",ISNUMBER(SEARCH("VPS",$I9709))=FALSE,LEFT($I9709,6)&lt;&gt;"VACUUM"),"CDU",IF($H9709="FLUID CAT CRACKING","FCC",IF(OR($H9709="HYDROCRACKING",$H9709="RESID_HYDROCRACKING"),"Hydrocracker",IF($H9709="REFORMING","Reformer",""))))</f>
        <v/>
      </c>
    </row>
    <row r="9710" spans="6:7">
      <c r="F9710" s="6">
        <f>IF($M9710="PADD I","PADD 1",IF($M9710="PADD II","PADD 2",IF($M9710="PADD III","PADD 3",IF($M9710="PADD IV","PADD 4",IF($M9710="PADD V","PADD 5","")))))</f>
        <v/>
      </c>
      <c r="G9710" s="6">
        <f>IF(AND($H9710="ATMOS DISTILLATION",ISNUMBER(SEARCH("VPS",$I9710))=FALSE,LEFT($I9710,6)&lt;&gt;"VACUUM"),"CDU",IF($H9710="FLUID CAT CRACKING","FCC",IF(OR($H9710="HYDROCRACKING",$H9710="RESID_HYDROCRACKING"),"Hydrocracker",IF($H9710="REFORMING","Reformer",""))))</f>
        <v/>
      </c>
    </row>
    <row r="9711" spans="6:7">
      <c r="F9711" s="6">
        <f>IF($M9711="PADD I","PADD 1",IF($M9711="PADD II","PADD 2",IF($M9711="PADD III","PADD 3",IF($M9711="PADD IV","PADD 4",IF($M9711="PADD V","PADD 5","")))))</f>
        <v/>
      </c>
      <c r="G9711" s="6">
        <f>IF(AND($H9711="ATMOS DISTILLATION",ISNUMBER(SEARCH("VPS",$I9711))=FALSE,LEFT($I9711,6)&lt;&gt;"VACUUM"),"CDU",IF($H9711="FLUID CAT CRACKING","FCC",IF(OR($H9711="HYDROCRACKING",$H9711="RESID_HYDROCRACKING"),"Hydrocracker",IF($H9711="REFORMING","Reformer",""))))</f>
        <v/>
      </c>
    </row>
    <row r="9712" spans="6:7">
      <c r="F9712" s="6">
        <f>IF($M9712="PADD I","PADD 1",IF($M9712="PADD II","PADD 2",IF($M9712="PADD III","PADD 3",IF($M9712="PADD IV","PADD 4",IF($M9712="PADD V","PADD 5","")))))</f>
        <v/>
      </c>
      <c r="G9712" s="6">
        <f>IF(AND($H9712="ATMOS DISTILLATION",ISNUMBER(SEARCH("VPS",$I9712))=FALSE,LEFT($I9712,6)&lt;&gt;"VACUUM"),"CDU",IF($H9712="FLUID CAT CRACKING","FCC",IF(OR($H9712="HYDROCRACKING",$H9712="RESID_HYDROCRACKING"),"Hydrocracker",IF($H9712="REFORMING","Reformer",""))))</f>
        <v/>
      </c>
    </row>
    <row r="9713" spans="6:7">
      <c r="F9713" s="6">
        <f>IF($M9713="PADD I","PADD 1",IF($M9713="PADD II","PADD 2",IF($M9713="PADD III","PADD 3",IF($M9713="PADD IV","PADD 4",IF($M9713="PADD V","PADD 5","")))))</f>
        <v/>
      </c>
      <c r="G9713" s="6">
        <f>IF(AND($H9713="ATMOS DISTILLATION",ISNUMBER(SEARCH("VPS",$I9713))=FALSE,LEFT($I9713,6)&lt;&gt;"VACUUM"),"CDU",IF($H9713="FLUID CAT CRACKING","FCC",IF(OR($H9713="HYDROCRACKING",$H9713="RESID_HYDROCRACKING"),"Hydrocracker",IF($H9713="REFORMING","Reformer",""))))</f>
        <v/>
      </c>
    </row>
    <row r="9714" spans="6:7">
      <c r="F9714" s="6">
        <f>IF($M9714="PADD I","PADD 1",IF($M9714="PADD II","PADD 2",IF($M9714="PADD III","PADD 3",IF($M9714="PADD IV","PADD 4",IF($M9714="PADD V","PADD 5","")))))</f>
        <v/>
      </c>
      <c r="G9714" s="6">
        <f>IF(AND($H9714="ATMOS DISTILLATION",ISNUMBER(SEARCH("VPS",$I9714))=FALSE,LEFT($I9714,6)&lt;&gt;"VACUUM"),"CDU",IF($H9714="FLUID CAT CRACKING","FCC",IF(OR($H9714="HYDROCRACKING",$H9714="RESID_HYDROCRACKING"),"Hydrocracker",IF($H9714="REFORMING","Reformer",""))))</f>
        <v/>
      </c>
    </row>
    <row r="9715" spans="6:7">
      <c r="F9715" s="6">
        <f>IF($M9715="PADD I","PADD 1",IF($M9715="PADD II","PADD 2",IF($M9715="PADD III","PADD 3",IF($M9715="PADD IV","PADD 4",IF($M9715="PADD V","PADD 5","")))))</f>
        <v/>
      </c>
      <c r="G9715" s="6">
        <f>IF(AND($H9715="ATMOS DISTILLATION",ISNUMBER(SEARCH("VPS",$I9715))=FALSE,LEFT($I9715,6)&lt;&gt;"VACUUM"),"CDU",IF($H9715="FLUID CAT CRACKING","FCC",IF(OR($H9715="HYDROCRACKING",$H9715="RESID_HYDROCRACKING"),"Hydrocracker",IF($H9715="REFORMING","Reformer",""))))</f>
        <v/>
      </c>
    </row>
    <row r="9716" spans="6:7">
      <c r="F9716" s="6">
        <f>IF($M9716="PADD I","PADD 1",IF($M9716="PADD II","PADD 2",IF($M9716="PADD III","PADD 3",IF($M9716="PADD IV","PADD 4",IF($M9716="PADD V","PADD 5","")))))</f>
        <v/>
      </c>
      <c r="G9716" s="6">
        <f>IF(AND($H9716="ATMOS DISTILLATION",ISNUMBER(SEARCH("VPS",$I9716))=FALSE,LEFT($I9716,6)&lt;&gt;"VACUUM"),"CDU",IF($H9716="FLUID CAT CRACKING","FCC",IF(OR($H9716="HYDROCRACKING",$H9716="RESID_HYDROCRACKING"),"Hydrocracker",IF($H9716="REFORMING","Reformer",""))))</f>
        <v/>
      </c>
    </row>
    <row r="9717" spans="6:7">
      <c r="F9717" s="6">
        <f>IF($M9717="PADD I","PADD 1",IF($M9717="PADD II","PADD 2",IF($M9717="PADD III","PADD 3",IF($M9717="PADD IV","PADD 4",IF($M9717="PADD V","PADD 5","")))))</f>
        <v/>
      </c>
      <c r="G9717" s="6">
        <f>IF(AND($H9717="ATMOS DISTILLATION",ISNUMBER(SEARCH("VPS",$I9717))=FALSE,LEFT($I9717,6)&lt;&gt;"VACUUM"),"CDU",IF($H9717="FLUID CAT CRACKING","FCC",IF(OR($H9717="HYDROCRACKING",$H9717="RESID_HYDROCRACKING"),"Hydrocracker",IF($H9717="REFORMING","Reformer",""))))</f>
        <v/>
      </c>
    </row>
    <row r="9718" spans="6:7">
      <c r="F9718" s="6">
        <f>IF($M9718="PADD I","PADD 1",IF($M9718="PADD II","PADD 2",IF($M9718="PADD III","PADD 3",IF($M9718="PADD IV","PADD 4",IF($M9718="PADD V","PADD 5","")))))</f>
        <v/>
      </c>
      <c r="G9718" s="6">
        <f>IF(AND($H9718="ATMOS DISTILLATION",ISNUMBER(SEARCH("VPS",$I9718))=FALSE,LEFT($I9718,6)&lt;&gt;"VACUUM"),"CDU",IF($H9718="FLUID CAT CRACKING","FCC",IF(OR($H9718="HYDROCRACKING",$H9718="RESID_HYDROCRACKING"),"Hydrocracker",IF($H9718="REFORMING","Reformer",""))))</f>
        <v/>
      </c>
    </row>
    <row r="9719" spans="6:7">
      <c r="F9719" s="6">
        <f>IF($M9719="PADD I","PADD 1",IF($M9719="PADD II","PADD 2",IF($M9719="PADD III","PADD 3",IF($M9719="PADD IV","PADD 4",IF($M9719="PADD V","PADD 5","")))))</f>
        <v/>
      </c>
      <c r="G9719" s="6">
        <f>IF(AND($H9719="ATMOS DISTILLATION",ISNUMBER(SEARCH("VPS",$I9719))=FALSE,LEFT($I9719,6)&lt;&gt;"VACUUM"),"CDU",IF($H9719="FLUID CAT CRACKING","FCC",IF(OR($H9719="HYDROCRACKING",$H9719="RESID_HYDROCRACKING"),"Hydrocracker",IF($H9719="REFORMING","Reformer",""))))</f>
        <v/>
      </c>
    </row>
    <row r="9720" spans="6:7">
      <c r="F9720" s="6">
        <f>IF($M9720="PADD I","PADD 1",IF($M9720="PADD II","PADD 2",IF($M9720="PADD III","PADD 3",IF($M9720="PADD IV","PADD 4",IF($M9720="PADD V","PADD 5","")))))</f>
        <v/>
      </c>
      <c r="G9720" s="6">
        <f>IF(AND($H9720="ATMOS DISTILLATION",ISNUMBER(SEARCH("VPS",$I9720))=FALSE,LEFT($I9720,6)&lt;&gt;"VACUUM"),"CDU",IF($H9720="FLUID CAT CRACKING","FCC",IF(OR($H9720="HYDROCRACKING",$H9720="RESID_HYDROCRACKING"),"Hydrocracker",IF($H9720="REFORMING","Reformer",""))))</f>
        <v/>
      </c>
    </row>
    <row r="9721" spans="6:7">
      <c r="F9721" s="6">
        <f>IF($M9721="PADD I","PADD 1",IF($M9721="PADD II","PADD 2",IF($M9721="PADD III","PADD 3",IF($M9721="PADD IV","PADD 4",IF($M9721="PADD V","PADD 5","")))))</f>
        <v/>
      </c>
      <c r="G9721" s="6">
        <f>IF(AND($H9721="ATMOS DISTILLATION",ISNUMBER(SEARCH("VPS",$I9721))=FALSE,LEFT($I9721,6)&lt;&gt;"VACUUM"),"CDU",IF($H9721="FLUID CAT CRACKING","FCC",IF(OR($H9721="HYDROCRACKING",$H9721="RESID_HYDROCRACKING"),"Hydrocracker",IF($H9721="REFORMING","Reformer",""))))</f>
        <v/>
      </c>
    </row>
    <row r="9722" spans="6:7">
      <c r="F9722" s="6">
        <f>IF($M9722="PADD I","PADD 1",IF($M9722="PADD II","PADD 2",IF($M9722="PADD III","PADD 3",IF($M9722="PADD IV","PADD 4",IF($M9722="PADD V","PADD 5","")))))</f>
        <v/>
      </c>
      <c r="G9722" s="6">
        <f>IF(AND($H9722="ATMOS DISTILLATION",ISNUMBER(SEARCH("VPS",$I9722))=FALSE,LEFT($I9722,6)&lt;&gt;"VACUUM"),"CDU",IF($H9722="FLUID CAT CRACKING","FCC",IF(OR($H9722="HYDROCRACKING",$H9722="RESID_HYDROCRACKING"),"Hydrocracker",IF($H9722="REFORMING","Reformer",""))))</f>
        <v/>
      </c>
    </row>
    <row r="9723" spans="6:7">
      <c r="F9723" s="6">
        <f>IF($M9723="PADD I","PADD 1",IF($M9723="PADD II","PADD 2",IF($M9723="PADD III","PADD 3",IF($M9723="PADD IV","PADD 4",IF($M9723="PADD V","PADD 5","")))))</f>
        <v/>
      </c>
      <c r="G9723" s="6">
        <f>IF(AND($H9723="ATMOS DISTILLATION",ISNUMBER(SEARCH("VPS",$I9723))=FALSE,LEFT($I9723,6)&lt;&gt;"VACUUM"),"CDU",IF($H9723="FLUID CAT CRACKING","FCC",IF(OR($H9723="HYDROCRACKING",$H9723="RESID_HYDROCRACKING"),"Hydrocracker",IF($H9723="REFORMING","Reformer",""))))</f>
        <v/>
      </c>
    </row>
    <row r="9724" spans="6:7">
      <c r="F9724" s="6">
        <f>IF($M9724="PADD I","PADD 1",IF($M9724="PADD II","PADD 2",IF($M9724="PADD III","PADD 3",IF($M9724="PADD IV","PADD 4",IF($M9724="PADD V","PADD 5","")))))</f>
        <v/>
      </c>
      <c r="G9724" s="6">
        <f>IF(AND($H9724="ATMOS DISTILLATION",ISNUMBER(SEARCH("VPS",$I9724))=FALSE,LEFT($I9724,6)&lt;&gt;"VACUUM"),"CDU",IF($H9724="FLUID CAT CRACKING","FCC",IF(OR($H9724="HYDROCRACKING",$H9724="RESID_HYDROCRACKING"),"Hydrocracker",IF($H9724="REFORMING","Reformer",""))))</f>
        <v/>
      </c>
    </row>
    <row r="9725" spans="6:7">
      <c r="F9725" s="6">
        <f>IF($M9725="PADD I","PADD 1",IF($M9725="PADD II","PADD 2",IF($M9725="PADD III","PADD 3",IF($M9725="PADD IV","PADD 4",IF($M9725="PADD V","PADD 5","")))))</f>
        <v/>
      </c>
      <c r="G9725" s="6">
        <f>IF(AND($H9725="ATMOS DISTILLATION",ISNUMBER(SEARCH("VPS",$I9725))=FALSE,LEFT($I9725,6)&lt;&gt;"VACUUM"),"CDU",IF($H9725="FLUID CAT CRACKING","FCC",IF(OR($H9725="HYDROCRACKING",$H9725="RESID_HYDROCRACKING"),"Hydrocracker",IF($H9725="REFORMING","Reformer",""))))</f>
        <v/>
      </c>
    </row>
    <row r="9726" spans="6:7">
      <c r="F9726" s="6">
        <f>IF($M9726="PADD I","PADD 1",IF($M9726="PADD II","PADD 2",IF($M9726="PADD III","PADD 3",IF($M9726="PADD IV","PADD 4",IF($M9726="PADD V","PADD 5","")))))</f>
        <v/>
      </c>
      <c r="G9726" s="6">
        <f>IF(AND($H9726="ATMOS DISTILLATION",ISNUMBER(SEARCH("VPS",$I9726))=FALSE,LEFT($I9726,6)&lt;&gt;"VACUUM"),"CDU",IF($H9726="FLUID CAT CRACKING","FCC",IF(OR($H9726="HYDROCRACKING",$H9726="RESID_HYDROCRACKING"),"Hydrocracker",IF($H9726="REFORMING","Reformer",""))))</f>
        <v/>
      </c>
    </row>
    <row r="9727" spans="6:7">
      <c r="F9727" s="6">
        <f>IF($M9727="PADD I","PADD 1",IF($M9727="PADD II","PADD 2",IF($M9727="PADD III","PADD 3",IF($M9727="PADD IV","PADD 4",IF($M9727="PADD V","PADD 5","")))))</f>
        <v/>
      </c>
      <c r="G9727" s="6">
        <f>IF(AND($H9727="ATMOS DISTILLATION",ISNUMBER(SEARCH("VPS",$I9727))=FALSE,LEFT($I9727,6)&lt;&gt;"VACUUM"),"CDU",IF($H9727="FLUID CAT CRACKING","FCC",IF(OR($H9727="HYDROCRACKING",$H9727="RESID_HYDROCRACKING"),"Hydrocracker",IF($H9727="REFORMING","Reformer",""))))</f>
        <v/>
      </c>
    </row>
    <row r="9728" spans="6:7">
      <c r="F9728" s="6">
        <f>IF($M9728="PADD I","PADD 1",IF($M9728="PADD II","PADD 2",IF($M9728="PADD III","PADD 3",IF($M9728="PADD IV","PADD 4",IF($M9728="PADD V","PADD 5","")))))</f>
        <v/>
      </c>
      <c r="G9728" s="6">
        <f>IF(AND($H9728="ATMOS DISTILLATION",ISNUMBER(SEARCH("VPS",$I9728))=FALSE,LEFT($I9728,6)&lt;&gt;"VACUUM"),"CDU",IF($H9728="FLUID CAT CRACKING","FCC",IF(OR($H9728="HYDROCRACKING",$H9728="RESID_HYDROCRACKING"),"Hydrocracker",IF($H9728="REFORMING","Reformer",""))))</f>
        <v/>
      </c>
    </row>
    <row r="9729" spans="6:7">
      <c r="F9729" s="6">
        <f>IF($M9729="PADD I","PADD 1",IF($M9729="PADD II","PADD 2",IF($M9729="PADD III","PADD 3",IF($M9729="PADD IV","PADD 4",IF($M9729="PADD V","PADD 5","")))))</f>
        <v/>
      </c>
      <c r="G9729" s="6">
        <f>IF(AND($H9729="ATMOS DISTILLATION",ISNUMBER(SEARCH("VPS",$I9729))=FALSE,LEFT($I9729,6)&lt;&gt;"VACUUM"),"CDU",IF($H9729="FLUID CAT CRACKING","FCC",IF(OR($H9729="HYDROCRACKING",$H9729="RESID_HYDROCRACKING"),"Hydrocracker",IF($H9729="REFORMING","Reformer",""))))</f>
        <v/>
      </c>
    </row>
    <row r="9730" spans="6:7">
      <c r="F9730" s="6">
        <f>IF($M9730="PADD I","PADD 1",IF($M9730="PADD II","PADD 2",IF($M9730="PADD III","PADD 3",IF($M9730="PADD IV","PADD 4",IF($M9730="PADD V","PADD 5","")))))</f>
        <v/>
      </c>
      <c r="G9730" s="6">
        <f>IF(AND($H9730="ATMOS DISTILLATION",ISNUMBER(SEARCH("VPS",$I9730))=FALSE,LEFT($I9730,6)&lt;&gt;"VACUUM"),"CDU",IF($H9730="FLUID CAT CRACKING","FCC",IF(OR($H9730="HYDROCRACKING",$H9730="RESID_HYDROCRACKING"),"Hydrocracker",IF($H9730="REFORMING","Reformer",""))))</f>
        <v/>
      </c>
    </row>
    <row r="9731" spans="6:7">
      <c r="F9731" s="6">
        <f>IF($M9731="PADD I","PADD 1",IF($M9731="PADD II","PADD 2",IF($M9731="PADD III","PADD 3",IF($M9731="PADD IV","PADD 4",IF($M9731="PADD V","PADD 5","")))))</f>
        <v/>
      </c>
      <c r="G9731" s="6">
        <f>IF(AND($H9731="ATMOS DISTILLATION",ISNUMBER(SEARCH("VPS",$I9731))=FALSE,LEFT($I9731,6)&lt;&gt;"VACUUM"),"CDU",IF($H9731="FLUID CAT CRACKING","FCC",IF(OR($H9731="HYDROCRACKING",$H9731="RESID_HYDROCRACKING"),"Hydrocracker",IF($H9731="REFORMING","Reformer",""))))</f>
        <v/>
      </c>
    </row>
    <row r="9732" spans="6:7">
      <c r="F9732" s="6">
        <f>IF($M9732="PADD I","PADD 1",IF($M9732="PADD II","PADD 2",IF($M9732="PADD III","PADD 3",IF($M9732="PADD IV","PADD 4",IF($M9732="PADD V","PADD 5","")))))</f>
        <v/>
      </c>
      <c r="G9732" s="6">
        <f>IF(AND($H9732="ATMOS DISTILLATION",ISNUMBER(SEARCH("VPS",$I9732))=FALSE,LEFT($I9732,6)&lt;&gt;"VACUUM"),"CDU",IF($H9732="FLUID CAT CRACKING","FCC",IF(OR($H9732="HYDROCRACKING",$H9732="RESID_HYDROCRACKING"),"Hydrocracker",IF($H9732="REFORMING","Reformer",""))))</f>
        <v/>
      </c>
    </row>
    <row r="9733" spans="6:7">
      <c r="F9733" s="6">
        <f>IF($M9733="PADD I","PADD 1",IF($M9733="PADD II","PADD 2",IF($M9733="PADD III","PADD 3",IF($M9733="PADD IV","PADD 4",IF($M9733="PADD V","PADD 5","")))))</f>
        <v/>
      </c>
      <c r="G9733" s="6">
        <f>IF(AND($H9733="ATMOS DISTILLATION",ISNUMBER(SEARCH("VPS",$I9733))=FALSE,LEFT($I9733,6)&lt;&gt;"VACUUM"),"CDU",IF($H9733="FLUID CAT CRACKING","FCC",IF(OR($H9733="HYDROCRACKING",$H9733="RESID_HYDROCRACKING"),"Hydrocracker",IF($H9733="REFORMING","Reformer",""))))</f>
        <v/>
      </c>
    </row>
    <row r="9734" spans="6:7">
      <c r="F9734" s="6">
        <f>IF($M9734="PADD I","PADD 1",IF($M9734="PADD II","PADD 2",IF($M9734="PADD III","PADD 3",IF($M9734="PADD IV","PADD 4",IF($M9734="PADD V","PADD 5","")))))</f>
        <v/>
      </c>
      <c r="G9734" s="6">
        <f>IF(AND($H9734="ATMOS DISTILLATION",ISNUMBER(SEARCH("VPS",$I9734))=FALSE,LEFT($I9734,6)&lt;&gt;"VACUUM"),"CDU",IF($H9734="FLUID CAT CRACKING","FCC",IF(OR($H9734="HYDROCRACKING",$H9734="RESID_HYDROCRACKING"),"Hydrocracker",IF($H9734="REFORMING","Reformer",""))))</f>
        <v/>
      </c>
    </row>
    <row r="9735" spans="6:7">
      <c r="F9735" s="6">
        <f>IF($M9735="PADD I","PADD 1",IF($M9735="PADD II","PADD 2",IF($M9735="PADD III","PADD 3",IF($M9735="PADD IV","PADD 4",IF($M9735="PADD V","PADD 5","")))))</f>
        <v/>
      </c>
      <c r="G9735" s="6">
        <f>IF(AND($H9735="ATMOS DISTILLATION",ISNUMBER(SEARCH("VPS",$I9735))=FALSE,LEFT($I9735,6)&lt;&gt;"VACUUM"),"CDU",IF($H9735="FLUID CAT CRACKING","FCC",IF(OR($H9735="HYDROCRACKING",$H9735="RESID_HYDROCRACKING"),"Hydrocracker",IF($H9735="REFORMING","Reformer",""))))</f>
        <v/>
      </c>
    </row>
    <row r="9736" spans="6:7">
      <c r="F9736" s="6">
        <f>IF($M9736="PADD I","PADD 1",IF($M9736="PADD II","PADD 2",IF($M9736="PADD III","PADD 3",IF($M9736="PADD IV","PADD 4",IF($M9736="PADD V","PADD 5","")))))</f>
        <v/>
      </c>
      <c r="G9736" s="6">
        <f>IF(AND($H9736="ATMOS DISTILLATION",ISNUMBER(SEARCH("VPS",$I9736))=FALSE,LEFT($I9736,6)&lt;&gt;"VACUUM"),"CDU",IF($H9736="FLUID CAT CRACKING","FCC",IF(OR($H9736="HYDROCRACKING",$H9736="RESID_HYDROCRACKING"),"Hydrocracker",IF($H9736="REFORMING","Reformer",""))))</f>
        <v/>
      </c>
    </row>
    <row r="9737" spans="6:7">
      <c r="F9737" s="6">
        <f>IF($M9737="PADD I","PADD 1",IF($M9737="PADD II","PADD 2",IF($M9737="PADD III","PADD 3",IF($M9737="PADD IV","PADD 4",IF($M9737="PADD V","PADD 5","")))))</f>
        <v/>
      </c>
      <c r="G9737" s="6">
        <f>IF(AND($H9737="ATMOS DISTILLATION",ISNUMBER(SEARCH("VPS",$I9737))=FALSE,LEFT($I9737,6)&lt;&gt;"VACUUM"),"CDU",IF($H9737="FLUID CAT CRACKING","FCC",IF(OR($H9737="HYDROCRACKING",$H9737="RESID_HYDROCRACKING"),"Hydrocracker",IF($H9737="REFORMING","Reformer",""))))</f>
        <v/>
      </c>
    </row>
    <row r="9738" spans="6:7">
      <c r="F9738" s="6">
        <f>IF($M9738="PADD I","PADD 1",IF($M9738="PADD II","PADD 2",IF($M9738="PADD III","PADD 3",IF($M9738="PADD IV","PADD 4",IF($M9738="PADD V","PADD 5","")))))</f>
        <v/>
      </c>
      <c r="G9738" s="6">
        <f>IF(AND($H9738="ATMOS DISTILLATION",ISNUMBER(SEARCH("VPS",$I9738))=FALSE,LEFT($I9738,6)&lt;&gt;"VACUUM"),"CDU",IF($H9738="FLUID CAT CRACKING","FCC",IF(OR($H9738="HYDROCRACKING",$H9738="RESID_HYDROCRACKING"),"Hydrocracker",IF($H9738="REFORMING","Reformer",""))))</f>
        <v/>
      </c>
    </row>
    <row r="9739" spans="6:7">
      <c r="F9739" s="6">
        <f>IF($M9739="PADD I","PADD 1",IF($M9739="PADD II","PADD 2",IF($M9739="PADD III","PADD 3",IF($M9739="PADD IV","PADD 4",IF($M9739="PADD V","PADD 5","")))))</f>
        <v/>
      </c>
      <c r="G9739" s="6">
        <f>IF(AND($H9739="ATMOS DISTILLATION",ISNUMBER(SEARCH("VPS",$I9739))=FALSE,LEFT($I9739,6)&lt;&gt;"VACUUM"),"CDU",IF($H9739="FLUID CAT CRACKING","FCC",IF(OR($H9739="HYDROCRACKING",$H9739="RESID_HYDROCRACKING"),"Hydrocracker",IF($H9739="REFORMING","Reformer",""))))</f>
        <v/>
      </c>
    </row>
    <row r="9740" spans="6:7">
      <c r="F9740" s="6">
        <f>IF($M9740="PADD I","PADD 1",IF($M9740="PADD II","PADD 2",IF($M9740="PADD III","PADD 3",IF($M9740="PADD IV","PADD 4",IF($M9740="PADD V","PADD 5","")))))</f>
        <v/>
      </c>
      <c r="G9740" s="6">
        <f>IF(AND($H9740="ATMOS DISTILLATION",ISNUMBER(SEARCH("VPS",$I9740))=FALSE,LEFT($I9740,6)&lt;&gt;"VACUUM"),"CDU",IF($H9740="FLUID CAT CRACKING","FCC",IF(OR($H9740="HYDROCRACKING",$H9740="RESID_HYDROCRACKING"),"Hydrocracker",IF($H9740="REFORMING","Reformer",""))))</f>
        <v/>
      </c>
    </row>
    <row r="9741" spans="6:7">
      <c r="F9741" s="6">
        <f>IF($M9741="PADD I","PADD 1",IF($M9741="PADD II","PADD 2",IF($M9741="PADD III","PADD 3",IF($M9741="PADD IV","PADD 4",IF($M9741="PADD V","PADD 5","")))))</f>
        <v/>
      </c>
      <c r="G9741" s="6">
        <f>IF(AND($H9741="ATMOS DISTILLATION",ISNUMBER(SEARCH("VPS",$I9741))=FALSE,LEFT($I9741,6)&lt;&gt;"VACUUM"),"CDU",IF($H9741="FLUID CAT CRACKING","FCC",IF(OR($H9741="HYDROCRACKING",$H9741="RESID_HYDROCRACKING"),"Hydrocracker",IF($H9741="REFORMING","Reformer",""))))</f>
        <v/>
      </c>
    </row>
    <row r="9742" spans="6:7">
      <c r="F9742" s="6">
        <f>IF($M9742="PADD I","PADD 1",IF($M9742="PADD II","PADD 2",IF($M9742="PADD III","PADD 3",IF($M9742="PADD IV","PADD 4",IF($M9742="PADD V","PADD 5","")))))</f>
        <v/>
      </c>
      <c r="G9742" s="6">
        <f>IF(AND($H9742="ATMOS DISTILLATION",ISNUMBER(SEARCH("VPS",$I9742))=FALSE,LEFT($I9742,6)&lt;&gt;"VACUUM"),"CDU",IF($H9742="FLUID CAT CRACKING","FCC",IF(OR($H9742="HYDROCRACKING",$H9742="RESID_HYDROCRACKING"),"Hydrocracker",IF($H9742="REFORMING","Reformer",""))))</f>
        <v/>
      </c>
    </row>
    <row r="9743" spans="6:7">
      <c r="F9743" s="6">
        <f>IF($M9743="PADD I","PADD 1",IF($M9743="PADD II","PADD 2",IF($M9743="PADD III","PADD 3",IF($M9743="PADD IV","PADD 4",IF($M9743="PADD V","PADD 5","")))))</f>
        <v/>
      </c>
      <c r="G9743" s="6">
        <f>IF(AND($H9743="ATMOS DISTILLATION",ISNUMBER(SEARCH("VPS",$I9743))=FALSE,LEFT($I9743,6)&lt;&gt;"VACUUM"),"CDU",IF($H9743="FLUID CAT CRACKING","FCC",IF(OR($H9743="HYDROCRACKING",$H9743="RESID_HYDROCRACKING"),"Hydrocracker",IF($H9743="REFORMING","Reformer",""))))</f>
        <v/>
      </c>
    </row>
    <row r="9744" spans="6:7">
      <c r="F9744" s="6">
        <f>IF($M9744="PADD I","PADD 1",IF($M9744="PADD II","PADD 2",IF($M9744="PADD III","PADD 3",IF($M9744="PADD IV","PADD 4",IF($M9744="PADD V","PADD 5","")))))</f>
        <v/>
      </c>
      <c r="G9744" s="6">
        <f>IF(AND($H9744="ATMOS DISTILLATION",ISNUMBER(SEARCH("VPS",$I9744))=FALSE,LEFT($I9744,6)&lt;&gt;"VACUUM"),"CDU",IF($H9744="FLUID CAT CRACKING","FCC",IF(OR($H9744="HYDROCRACKING",$H9744="RESID_HYDROCRACKING"),"Hydrocracker",IF($H9744="REFORMING","Reformer",""))))</f>
        <v/>
      </c>
    </row>
    <row r="9745" spans="6:7">
      <c r="F9745" s="6">
        <f>IF($M9745="PADD I","PADD 1",IF($M9745="PADD II","PADD 2",IF($M9745="PADD III","PADD 3",IF($M9745="PADD IV","PADD 4",IF($M9745="PADD V","PADD 5","")))))</f>
        <v/>
      </c>
      <c r="G9745" s="6">
        <f>IF(AND($H9745="ATMOS DISTILLATION",ISNUMBER(SEARCH("VPS",$I9745))=FALSE,LEFT($I9745,6)&lt;&gt;"VACUUM"),"CDU",IF($H9745="FLUID CAT CRACKING","FCC",IF(OR($H9745="HYDROCRACKING",$H9745="RESID_HYDROCRACKING"),"Hydrocracker",IF($H9745="REFORMING","Reformer",""))))</f>
        <v/>
      </c>
    </row>
    <row r="9746" spans="6:7">
      <c r="F9746" s="6">
        <f>IF($M9746="PADD I","PADD 1",IF($M9746="PADD II","PADD 2",IF($M9746="PADD III","PADD 3",IF($M9746="PADD IV","PADD 4",IF($M9746="PADD V","PADD 5","")))))</f>
        <v/>
      </c>
      <c r="G9746" s="6">
        <f>IF(AND($H9746="ATMOS DISTILLATION",ISNUMBER(SEARCH("VPS",$I9746))=FALSE,LEFT($I9746,6)&lt;&gt;"VACUUM"),"CDU",IF($H9746="FLUID CAT CRACKING","FCC",IF(OR($H9746="HYDROCRACKING",$H9746="RESID_HYDROCRACKING"),"Hydrocracker",IF($H9746="REFORMING","Reformer",""))))</f>
        <v/>
      </c>
    </row>
    <row r="9747" spans="6:7">
      <c r="F9747" s="6">
        <f>IF($M9747="PADD I","PADD 1",IF($M9747="PADD II","PADD 2",IF($M9747="PADD III","PADD 3",IF($M9747="PADD IV","PADD 4",IF($M9747="PADD V","PADD 5","")))))</f>
        <v/>
      </c>
      <c r="G9747" s="6">
        <f>IF(AND($H9747="ATMOS DISTILLATION",ISNUMBER(SEARCH("VPS",$I9747))=FALSE,LEFT($I9747,6)&lt;&gt;"VACUUM"),"CDU",IF($H9747="FLUID CAT CRACKING","FCC",IF(OR($H9747="HYDROCRACKING",$H9747="RESID_HYDROCRACKING"),"Hydrocracker",IF($H9747="REFORMING","Reformer",""))))</f>
        <v/>
      </c>
    </row>
    <row r="9748" spans="6:7">
      <c r="F9748" s="6">
        <f>IF($M9748="PADD I","PADD 1",IF($M9748="PADD II","PADD 2",IF($M9748="PADD III","PADD 3",IF($M9748="PADD IV","PADD 4",IF($M9748="PADD V","PADD 5","")))))</f>
        <v/>
      </c>
      <c r="G9748" s="6">
        <f>IF(AND($H9748="ATMOS DISTILLATION",ISNUMBER(SEARCH("VPS",$I9748))=FALSE,LEFT($I9748,6)&lt;&gt;"VACUUM"),"CDU",IF($H9748="FLUID CAT CRACKING","FCC",IF(OR($H9748="HYDROCRACKING",$H9748="RESID_HYDROCRACKING"),"Hydrocracker",IF($H9748="REFORMING","Reformer",""))))</f>
        <v/>
      </c>
    </row>
    <row r="9749" spans="6:7">
      <c r="F9749" s="6">
        <f>IF($M9749="PADD I","PADD 1",IF($M9749="PADD II","PADD 2",IF($M9749="PADD III","PADD 3",IF($M9749="PADD IV","PADD 4",IF($M9749="PADD V","PADD 5","")))))</f>
        <v/>
      </c>
      <c r="G9749" s="6">
        <f>IF(AND($H9749="ATMOS DISTILLATION",ISNUMBER(SEARCH("VPS",$I9749))=FALSE,LEFT($I9749,6)&lt;&gt;"VACUUM"),"CDU",IF($H9749="FLUID CAT CRACKING","FCC",IF(OR($H9749="HYDROCRACKING",$H9749="RESID_HYDROCRACKING"),"Hydrocracker",IF($H9749="REFORMING","Reformer",""))))</f>
        <v/>
      </c>
    </row>
    <row r="9750" spans="6:7">
      <c r="F9750" s="6">
        <f>IF($M9750="PADD I","PADD 1",IF($M9750="PADD II","PADD 2",IF($M9750="PADD III","PADD 3",IF($M9750="PADD IV","PADD 4",IF($M9750="PADD V","PADD 5","")))))</f>
        <v/>
      </c>
      <c r="G9750" s="6">
        <f>IF(AND($H9750="ATMOS DISTILLATION",ISNUMBER(SEARCH("VPS",$I9750))=FALSE,LEFT($I9750,6)&lt;&gt;"VACUUM"),"CDU",IF($H9750="FLUID CAT CRACKING","FCC",IF(OR($H9750="HYDROCRACKING",$H9750="RESID_HYDROCRACKING"),"Hydrocracker",IF($H9750="REFORMING","Reformer",""))))</f>
        <v/>
      </c>
    </row>
    <row r="9751" spans="6:7">
      <c r="F9751" s="6">
        <f>IF($M9751="PADD I","PADD 1",IF($M9751="PADD II","PADD 2",IF($M9751="PADD III","PADD 3",IF($M9751="PADD IV","PADD 4",IF($M9751="PADD V","PADD 5","")))))</f>
        <v/>
      </c>
      <c r="G9751" s="6">
        <f>IF(AND($H9751="ATMOS DISTILLATION",ISNUMBER(SEARCH("VPS",$I9751))=FALSE,LEFT($I9751,6)&lt;&gt;"VACUUM"),"CDU",IF($H9751="FLUID CAT CRACKING","FCC",IF(OR($H9751="HYDROCRACKING",$H9751="RESID_HYDROCRACKING"),"Hydrocracker",IF($H9751="REFORMING","Reformer",""))))</f>
        <v/>
      </c>
    </row>
    <row r="9752" spans="6:7">
      <c r="F9752" s="6">
        <f>IF($M9752="PADD I","PADD 1",IF($M9752="PADD II","PADD 2",IF($M9752="PADD III","PADD 3",IF($M9752="PADD IV","PADD 4",IF($M9752="PADD V","PADD 5","")))))</f>
        <v/>
      </c>
      <c r="G9752" s="6">
        <f>IF(AND($H9752="ATMOS DISTILLATION",ISNUMBER(SEARCH("VPS",$I9752))=FALSE,LEFT($I9752,6)&lt;&gt;"VACUUM"),"CDU",IF($H9752="FLUID CAT CRACKING","FCC",IF(OR($H9752="HYDROCRACKING",$H9752="RESID_HYDROCRACKING"),"Hydrocracker",IF($H9752="REFORMING","Reformer",""))))</f>
        <v/>
      </c>
    </row>
    <row r="9753" spans="6:7">
      <c r="F9753" s="6">
        <f>IF($M9753="PADD I","PADD 1",IF($M9753="PADD II","PADD 2",IF($M9753="PADD III","PADD 3",IF($M9753="PADD IV","PADD 4",IF($M9753="PADD V","PADD 5","")))))</f>
        <v/>
      </c>
      <c r="G9753" s="6">
        <f>IF(AND($H9753="ATMOS DISTILLATION",ISNUMBER(SEARCH("VPS",$I9753))=FALSE,LEFT($I9753,6)&lt;&gt;"VACUUM"),"CDU",IF($H9753="FLUID CAT CRACKING","FCC",IF(OR($H9753="HYDROCRACKING",$H9753="RESID_HYDROCRACKING"),"Hydrocracker",IF($H9753="REFORMING","Reformer",""))))</f>
        <v/>
      </c>
    </row>
    <row r="9754" spans="6:7">
      <c r="F9754" s="6">
        <f>IF($M9754="PADD I","PADD 1",IF($M9754="PADD II","PADD 2",IF($M9754="PADD III","PADD 3",IF($M9754="PADD IV","PADD 4",IF($M9754="PADD V","PADD 5","")))))</f>
        <v/>
      </c>
      <c r="G9754" s="6">
        <f>IF(AND($H9754="ATMOS DISTILLATION",ISNUMBER(SEARCH("VPS",$I9754))=FALSE,LEFT($I9754,6)&lt;&gt;"VACUUM"),"CDU",IF($H9754="FLUID CAT CRACKING","FCC",IF(OR($H9754="HYDROCRACKING",$H9754="RESID_HYDROCRACKING"),"Hydrocracker",IF($H9754="REFORMING","Reformer",""))))</f>
        <v/>
      </c>
    </row>
    <row r="9755" spans="6:7">
      <c r="F9755" s="6">
        <f>IF($M9755="PADD I","PADD 1",IF($M9755="PADD II","PADD 2",IF($M9755="PADD III","PADD 3",IF($M9755="PADD IV","PADD 4",IF($M9755="PADD V","PADD 5","")))))</f>
        <v/>
      </c>
      <c r="G9755" s="6">
        <f>IF(AND($H9755="ATMOS DISTILLATION",ISNUMBER(SEARCH("VPS",$I9755))=FALSE,LEFT($I9755,6)&lt;&gt;"VACUUM"),"CDU",IF($H9755="FLUID CAT CRACKING","FCC",IF(OR($H9755="HYDROCRACKING",$H9755="RESID_HYDROCRACKING"),"Hydrocracker",IF($H9755="REFORMING","Reformer",""))))</f>
        <v/>
      </c>
    </row>
    <row r="9756" spans="6:7">
      <c r="F9756" s="6">
        <f>IF($M9756="PADD I","PADD 1",IF($M9756="PADD II","PADD 2",IF($M9756="PADD III","PADD 3",IF($M9756="PADD IV","PADD 4",IF($M9756="PADD V","PADD 5","")))))</f>
        <v/>
      </c>
      <c r="G9756" s="6">
        <f>IF(AND($H9756="ATMOS DISTILLATION",ISNUMBER(SEARCH("VPS",$I9756))=FALSE,LEFT($I9756,6)&lt;&gt;"VACUUM"),"CDU",IF($H9756="FLUID CAT CRACKING","FCC",IF(OR($H9756="HYDROCRACKING",$H9756="RESID_HYDROCRACKING"),"Hydrocracker",IF($H9756="REFORMING","Reformer",""))))</f>
        <v/>
      </c>
    </row>
    <row r="9757" spans="6:7">
      <c r="F9757" s="6">
        <f>IF($M9757="PADD I","PADD 1",IF($M9757="PADD II","PADD 2",IF($M9757="PADD III","PADD 3",IF($M9757="PADD IV","PADD 4",IF($M9757="PADD V","PADD 5","")))))</f>
        <v/>
      </c>
      <c r="G9757" s="6">
        <f>IF(AND($H9757="ATMOS DISTILLATION",ISNUMBER(SEARCH("VPS",$I9757))=FALSE,LEFT($I9757,6)&lt;&gt;"VACUUM"),"CDU",IF($H9757="FLUID CAT CRACKING","FCC",IF(OR($H9757="HYDROCRACKING",$H9757="RESID_HYDROCRACKING"),"Hydrocracker",IF($H9757="REFORMING","Reformer",""))))</f>
        <v/>
      </c>
    </row>
    <row r="9758" spans="6:7">
      <c r="F9758" s="6">
        <f>IF($M9758="PADD I","PADD 1",IF($M9758="PADD II","PADD 2",IF($M9758="PADD III","PADD 3",IF($M9758="PADD IV","PADD 4",IF($M9758="PADD V","PADD 5","")))))</f>
        <v/>
      </c>
      <c r="G9758" s="6">
        <f>IF(AND($H9758="ATMOS DISTILLATION",ISNUMBER(SEARCH("VPS",$I9758))=FALSE,LEFT($I9758,6)&lt;&gt;"VACUUM"),"CDU",IF($H9758="FLUID CAT CRACKING","FCC",IF(OR($H9758="HYDROCRACKING",$H9758="RESID_HYDROCRACKING"),"Hydrocracker",IF($H9758="REFORMING","Reformer",""))))</f>
        <v/>
      </c>
    </row>
    <row r="9759" spans="6:7">
      <c r="F9759" s="6">
        <f>IF($M9759="PADD I","PADD 1",IF($M9759="PADD II","PADD 2",IF($M9759="PADD III","PADD 3",IF($M9759="PADD IV","PADD 4",IF($M9759="PADD V","PADD 5","")))))</f>
        <v/>
      </c>
      <c r="G9759" s="6">
        <f>IF(AND($H9759="ATMOS DISTILLATION",ISNUMBER(SEARCH("VPS",$I9759))=FALSE,LEFT($I9759,6)&lt;&gt;"VACUUM"),"CDU",IF($H9759="FLUID CAT CRACKING","FCC",IF(OR($H9759="HYDROCRACKING",$H9759="RESID_HYDROCRACKING"),"Hydrocracker",IF($H9759="REFORMING","Reformer",""))))</f>
        <v/>
      </c>
    </row>
    <row r="9760" spans="6:7">
      <c r="F9760" s="6">
        <f>IF($M9760="PADD I","PADD 1",IF($M9760="PADD II","PADD 2",IF($M9760="PADD III","PADD 3",IF($M9760="PADD IV","PADD 4",IF($M9760="PADD V","PADD 5","")))))</f>
        <v/>
      </c>
      <c r="G9760" s="6">
        <f>IF(AND($H9760="ATMOS DISTILLATION",ISNUMBER(SEARCH("VPS",$I9760))=FALSE,LEFT($I9760,6)&lt;&gt;"VACUUM"),"CDU",IF($H9760="FLUID CAT CRACKING","FCC",IF(OR($H9760="HYDROCRACKING",$H9760="RESID_HYDROCRACKING"),"Hydrocracker",IF($H9760="REFORMING","Reformer",""))))</f>
        <v/>
      </c>
    </row>
    <row r="9761" spans="6:7">
      <c r="F9761" s="6">
        <f>IF($M9761="PADD I","PADD 1",IF($M9761="PADD II","PADD 2",IF($M9761="PADD III","PADD 3",IF($M9761="PADD IV","PADD 4",IF($M9761="PADD V","PADD 5","")))))</f>
        <v/>
      </c>
      <c r="G9761" s="6">
        <f>IF(AND($H9761="ATMOS DISTILLATION",ISNUMBER(SEARCH("VPS",$I9761))=FALSE,LEFT($I9761,6)&lt;&gt;"VACUUM"),"CDU",IF($H9761="FLUID CAT CRACKING","FCC",IF(OR($H9761="HYDROCRACKING",$H9761="RESID_HYDROCRACKING"),"Hydrocracker",IF($H9761="REFORMING","Reformer",""))))</f>
        <v/>
      </c>
    </row>
    <row r="9762" spans="6:7">
      <c r="F9762" s="6">
        <f>IF($M9762="PADD I","PADD 1",IF($M9762="PADD II","PADD 2",IF($M9762="PADD III","PADD 3",IF($M9762="PADD IV","PADD 4",IF($M9762="PADD V","PADD 5","")))))</f>
        <v/>
      </c>
      <c r="G9762" s="6">
        <f>IF(AND($H9762="ATMOS DISTILLATION",ISNUMBER(SEARCH("VPS",$I9762))=FALSE,LEFT($I9762,6)&lt;&gt;"VACUUM"),"CDU",IF($H9762="FLUID CAT CRACKING","FCC",IF(OR($H9762="HYDROCRACKING",$H9762="RESID_HYDROCRACKING"),"Hydrocracker",IF($H9762="REFORMING","Reformer",""))))</f>
        <v/>
      </c>
    </row>
    <row r="9763" spans="6:7">
      <c r="F9763" s="6">
        <f>IF($M9763="PADD I","PADD 1",IF($M9763="PADD II","PADD 2",IF($M9763="PADD III","PADD 3",IF($M9763="PADD IV","PADD 4",IF($M9763="PADD V","PADD 5","")))))</f>
        <v/>
      </c>
      <c r="G9763" s="6">
        <f>IF(AND($H9763="ATMOS DISTILLATION",ISNUMBER(SEARCH("VPS",$I9763))=FALSE,LEFT($I9763,6)&lt;&gt;"VACUUM"),"CDU",IF($H9763="FLUID CAT CRACKING","FCC",IF(OR($H9763="HYDROCRACKING",$H9763="RESID_HYDROCRACKING"),"Hydrocracker",IF($H9763="REFORMING","Reformer",""))))</f>
        <v/>
      </c>
    </row>
    <row r="9764" spans="6:7">
      <c r="F9764" s="6">
        <f>IF($M9764="PADD I","PADD 1",IF($M9764="PADD II","PADD 2",IF($M9764="PADD III","PADD 3",IF($M9764="PADD IV","PADD 4",IF($M9764="PADD V","PADD 5","")))))</f>
        <v/>
      </c>
      <c r="G9764" s="6">
        <f>IF(AND($H9764="ATMOS DISTILLATION",ISNUMBER(SEARCH("VPS",$I9764))=FALSE,LEFT($I9764,6)&lt;&gt;"VACUUM"),"CDU",IF($H9764="FLUID CAT CRACKING","FCC",IF(OR($H9764="HYDROCRACKING",$H9764="RESID_HYDROCRACKING"),"Hydrocracker",IF($H9764="REFORMING","Reformer",""))))</f>
        <v/>
      </c>
    </row>
    <row r="9765" spans="6:7">
      <c r="F9765" s="6">
        <f>IF($M9765="PADD I","PADD 1",IF($M9765="PADD II","PADD 2",IF($M9765="PADD III","PADD 3",IF($M9765="PADD IV","PADD 4",IF($M9765="PADD V","PADD 5","")))))</f>
        <v/>
      </c>
      <c r="G9765" s="6">
        <f>IF(AND($H9765="ATMOS DISTILLATION",ISNUMBER(SEARCH("VPS",$I9765))=FALSE,LEFT($I9765,6)&lt;&gt;"VACUUM"),"CDU",IF($H9765="FLUID CAT CRACKING","FCC",IF(OR($H9765="HYDROCRACKING",$H9765="RESID_HYDROCRACKING"),"Hydrocracker",IF($H9765="REFORMING","Reformer",""))))</f>
        <v/>
      </c>
    </row>
    <row r="9766" spans="6:7">
      <c r="F9766" s="6">
        <f>IF($M9766="PADD I","PADD 1",IF($M9766="PADD II","PADD 2",IF($M9766="PADD III","PADD 3",IF($M9766="PADD IV","PADD 4",IF($M9766="PADD V","PADD 5","")))))</f>
        <v/>
      </c>
      <c r="G9766" s="6">
        <f>IF(AND($H9766="ATMOS DISTILLATION",ISNUMBER(SEARCH("VPS",$I9766))=FALSE,LEFT($I9766,6)&lt;&gt;"VACUUM"),"CDU",IF($H9766="FLUID CAT CRACKING","FCC",IF(OR($H9766="HYDROCRACKING",$H9766="RESID_HYDROCRACKING"),"Hydrocracker",IF($H9766="REFORMING","Reformer",""))))</f>
        <v/>
      </c>
    </row>
    <row r="9767" spans="6:7">
      <c r="F9767" s="6">
        <f>IF($M9767="PADD I","PADD 1",IF($M9767="PADD II","PADD 2",IF($M9767="PADD III","PADD 3",IF($M9767="PADD IV","PADD 4",IF($M9767="PADD V","PADD 5","")))))</f>
        <v/>
      </c>
      <c r="G9767" s="6">
        <f>IF(AND($H9767="ATMOS DISTILLATION",ISNUMBER(SEARCH("VPS",$I9767))=FALSE,LEFT($I9767,6)&lt;&gt;"VACUUM"),"CDU",IF($H9767="FLUID CAT CRACKING","FCC",IF(OR($H9767="HYDROCRACKING",$H9767="RESID_HYDROCRACKING"),"Hydrocracker",IF($H9767="REFORMING","Reformer",""))))</f>
        <v/>
      </c>
    </row>
    <row r="9768" spans="6:7">
      <c r="F9768" s="6">
        <f>IF($M9768="PADD I","PADD 1",IF($M9768="PADD II","PADD 2",IF($M9768="PADD III","PADD 3",IF($M9768="PADD IV","PADD 4",IF($M9768="PADD V","PADD 5","")))))</f>
        <v/>
      </c>
      <c r="G9768" s="6">
        <f>IF(AND($H9768="ATMOS DISTILLATION",ISNUMBER(SEARCH("VPS",$I9768))=FALSE,LEFT($I9768,6)&lt;&gt;"VACUUM"),"CDU",IF($H9768="FLUID CAT CRACKING","FCC",IF(OR($H9768="HYDROCRACKING",$H9768="RESID_HYDROCRACKING"),"Hydrocracker",IF($H9768="REFORMING","Reformer",""))))</f>
        <v/>
      </c>
    </row>
    <row r="9769" spans="6:7">
      <c r="F9769" s="6">
        <f>IF($M9769="PADD I","PADD 1",IF($M9769="PADD II","PADD 2",IF($M9769="PADD III","PADD 3",IF($M9769="PADD IV","PADD 4",IF($M9769="PADD V","PADD 5","")))))</f>
        <v/>
      </c>
      <c r="G9769" s="6">
        <f>IF(AND($H9769="ATMOS DISTILLATION",ISNUMBER(SEARCH("VPS",$I9769))=FALSE,LEFT($I9769,6)&lt;&gt;"VACUUM"),"CDU",IF($H9769="FLUID CAT CRACKING","FCC",IF(OR($H9769="HYDROCRACKING",$H9769="RESID_HYDROCRACKING"),"Hydrocracker",IF($H9769="REFORMING","Reformer",""))))</f>
        <v/>
      </c>
    </row>
    <row r="9770" spans="6:7">
      <c r="F9770" s="6">
        <f>IF($M9770="PADD I","PADD 1",IF($M9770="PADD II","PADD 2",IF($M9770="PADD III","PADD 3",IF($M9770="PADD IV","PADD 4",IF($M9770="PADD V","PADD 5","")))))</f>
        <v/>
      </c>
      <c r="G9770" s="6">
        <f>IF(AND($H9770="ATMOS DISTILLATION",ISNUMBER(SEARCH("VPS",$I9770))=FALSE,LEFT($I9770,6)&lt;&gt;"VACUUM"),"CDU",IF($H9770="FLUID CAT CRACKING","FCC",IF(OR($H9770="HYDROCRACKING",$H9770="RESID_HYDROCRACKING"),"Hydrocracker",IF($H9770="REFORMING","Reformer",""))))</f>
        <v/>
      </c>
    </row>
    <row r="9771" spans="6:7">
      <c r="F9771" s="6">
        <f>IF($M9771="PADD I","PADD 1",IF($M9771="PADD II","PADD 2",IF($M9771="PADD III","PADD 3",IF($M9771="PADD IV","PADD 4",IF($M9771="PADD V","PADD 5","")))))</f>
        <v/>
      </c>
      <c r="G9771" s="6">
        <f>IF(AND($H9771="ATMOS DISTILLATION",ISNUMBER(SEARCH("VPS",$I9771))=FALSE,LEFT($I9771,6)&lt;&gt;"VACUUM"),"CDU",IF($H9771="FLUID CAT CRACKING","FCC",IF(OR($H9771="HYDROCRACKING",$H9771="RESID_HYDROCRACKING"),"Hydrocracker",IF($H9771="REFORMING","Reformer",""))))</f>
        <v/>
      </c>
    </row>
    <row r="9772" spans="6:7">
      <c r="F9772" s="6">
        <f>IF($M9772="PADD I","PADD 1",IF($M9772="PADD II","PADD 2",IF($M9772="PADD III","PADD 3",IF($M9772="PADD IV","PADD 4",IF($M9772="PADD V","PADD 5","")))))</f>
        <v/>
      </c>
      <c r="G9772" s="6">
        <f>IF(AND($H9772="ATMOS DISTILLATION",ISNUMBER(SEARCH("VPS",$I9772))=FALSE,LEFT($I9772,6)&lt;&gt;"VACUUM"),"CDU",IF($H9772="FLUID CAT CRACKING","FCC",IF(OR($H9772="HYDROCRACKING",$H9772="RESID_HYDROCRACKING"),"Hydrocracker",IF($H9772="REFORMING","Reformer",""))))</f>
        <v/>
      </c>
    </row>
    <row r="9773" spans="6:7">
      <c r="F9773" s="6">
        <f>IF($M9773="PADD I","PADD 1",IF($M9773="PADD II","PADD 2",IF($M9773="PADD III","PADD 3",IF($M9773="PADD IV","PADD 4",IF($M9773="PADD V","PADD 5","")))))</f>
        <v/>
      </c>
      <c r="G9773" s="6">
        <f>IF(AND($H9773="ATMOS DISTILLATION",ISNUMBER(SEARCH("VPS",$I9773))=FALSE,LEFT($I9773,6)&lt;&gt;"VACUUM"),"CDU",IF($H9773="FLUID CAT CRACKING","FCC",IF(OR($H9773="HYDROCRACKING",$H9773="RESID_HYDROCRACKING"),"Hydrocracker",IF($H9773="REFORMING","Reformer",""))))</f>
        <v/>
      </c>
    </row>
    <row r="9774" spans="6:7">
      <c r="F9774" s="6">
        <f>IF($M9774="PADD I","PADD 1",IF($M9774="PADD II","PADD 2",IF($M9774="PADD III","PADD 3",IF($M9774="PADD IV","PADD 4",IF($M9774="PADD V","PADD 5","")))))</f>
        <v/>
      </c>
      <c r="G9774" s="6">
        <f>IF(AND($H9774="ATMOS DISTILLATION",ISNUMBER(SEARCH("VPS",$I9774))=FALSE,LEFT($I9774,6)&lt;&gt;"VACUUM"),"CDU",IF($H9774="FLUID CAT CRACKING","FCC",IF(OR($H9774="HYDROCRACKING",$H9774="RESID_HYDROCRACKING"),"Hydrocracker",IF($H9774="REFORMING","Reformer",""))))</f>
        <v/>
      </c>
    </row>
    <row r="9775" spans="6:7">
      <c r="F9775" s="6">
        <f>IF($M9775="PADD I","PADD 1",IF($M9775="PADD II","PADD 2",IF($M9775="PADD III","PADD 3",IF($M9775="PADD IV","PADD 4",IF($M9775="PADD V","PADD 5","")))))</f>
        <v/>
      </c>
      <c r="G9775" s="6">
        <f>IF(AND($H9775="ATMOS DISTILLATION",ISNUMBER(SEARCH("VPS",$I9775))=FALSE,LEFT($I9775,6)&lt;&gt;"VACUUM"),"CDU",IF($H9775="FLUID CAT CRACKING","FCC",IF(OR($H9775="HYDROCRACKING",$H9775="RESID_HYDROCRACKING"),"Hydrocracker",IF($H9775="REFORMING","Reformer",""))))</f>
        <v/>
      </c>
    </row>
    <row r="9776" spans="6:7">
      <c r="F9776" s="6">
        <f>IF($M9776="PADD I","PADD 1",IF($M9776="PADD II","PADD 2",IF($M9776="PADD III","PADD 3",IF($M9776="PADD IV","PADD 4",IF($M9776="PADD V","PADD 5","")))))</f>
        <v/>
      </c>
      <c r="G9776" s="6">
        <f>IF(AND($H9776="ATMOS DISTILLATION",ISNUMBER(SEARCH("VPS",$I9776))=FALSE,LEFT($I9776,6)&lt;&gt;"VACUUM"),"CDU",IF($H9776="FLUID CAT CRACKING","FCC",IF(OR($H9776="HYDROCRACKING",$H9776="RESID_HYDROCRACKING"),"Hydrocracker",IF($H9776="REFORMING","Reformer",""))))</f>
        <v/>
      </c>
    </row>
    <row r="9777" spans="6:7">
      <c r="F9777" s="6">
        <f>IF($M9777="PADD I","PADD 1",IF($M9777="PADD II","PADD 2",IF($M9777="PADD III","PADD 3",IF($M9777="PADD IV","PADD 4",IF($M9777="PADD V","PADD 5","")))))</f>
        <v/>
      </c>
      <c r="G9777" s="6">
        <f>IF(AND($H9777="ATMOS DISTILLATION",ISNUMBER(SEARCH("VPS",$I9777))=FALSE,LEFT($I9777,6)&lt;&gt;"VACUUM"),"CDU",IF($H9777="FLUID CAT CRACKING","FCC",IF(OR($H9777="HYDROCRACKING",$H9777="RESID_HYDROCRACKING"),"Hydrocracker",IF($H9777="REFORMING","Reformer",""))))</f>
        <v/>
      </c>
    </row>
    <row r="9778" spans="6:7">
      <c r="F9778" s="6">
        <f>IF($M9778="PADD I","PADD 1",IF($M9778="PADD II","PADD 2",IF($M9778="PADD III","PADD 3",IF($M9778="PADD IV","PADD 4",IF($M9778="PADD V","PADD 5","")))))</f>
        <v/>
      </c>
      <c r="G9778" s="6">
        <f>IF(AND($H9778="ATMOS DISTILLATION",ISNUMBER(SEARCH("VPS",$I9778))=FALSE,LEFT($I9778,6)&lt;&gt;"VACUUM"),"CDU",IF($H9778="FLUID CAT CRACKING","FCC",IF(OR($H9778="HYDROCRACKING",$H9778="RESID_HYDROCRACKING"),"Hydrocracker",IF($H9778="REFORMING","Reformer",""))))</f>
        <v/>
      </c>
    </row>
    <row r="9779" spans="6:7">
      <c r="F9779" s="6">
        <f>IF($M9779="PADD I","PADD 1",IF($M9779="PADD II","PADD 2",IF($M9779="PADD III","PADD 3",IF($M9779="PADD IV","PADD 4",IF($M9779="PADD V","PADD 5","")))))</f>
        <v/>
      </c>
      <c r="G9779" s="6">
        <f>IF(AND($H9779="ATMOS DISTILLATION",ISNUMBER(SEARCH("VPS",$I9779))=FALSE,LEFT($I9779,6)&lt;&gt;"VACUUM"),"CDU",IF($H9779="FLUID CAT CRACKING","FCC",IF(OR($H9779="HYDROCRACKING",$H9779="RESID_HYDROCRACKING"),"Hydrocracker",IF($H9779="REFORMING","Reformer",""))))</f>
        <v/>
      </c>
    </row>
    <row r="9780" spans="6:7">
      <c r="F9780" s="6">
        <f>IF($M9780="PADD I","PADD 1",IF($M9780="PADD II","PADD 2",IF($M9780="PADD III","PADD 3",IF($M9780="PADD IV","PADD 4",IF($M9780="PADD V","PADD 5","")))))</f>
        <v/>
      </c>
      <c r="G9780" s="6">
        <f>IF(AND($H9780="ATMOS DISTILLATION",ISNUMBER(SEARCH("VPS",$I9780))=FALSE,LEFT($I9780,6)&lt;&gt;"VACUUM"),"CDU",IF($H9780="FLUID CAT CRACKING","FCC",IF(OR($H9780="HYDROCRACKING",$H9780="RESID_HYDROCRACKING"),"Hydrocracker",IF($H9780="REFORMING","Reformer",""))))</f>
        <v/>
      </c>
    </row>
    <row r="9781" spans="6:7">
      <c r="F9781" s="6">
        <f>IF($M9781="PADD I","PADD 1",IF($M9781="PADD II","PADD 2",IF($M9781="PADD III","PADD 3",IF($M9781="PADD IV","PADD 4",IF($M9781="PADD V","PADD 5","")))))</f>
        <v/>
      </c>
      <c r="G9781" s="6">
        <f>IF(AND($H9781="ATMOS DISTILLATION",ISNUMBER(SEARCH("VPS",$I9781))=FALSE,LEFT($I9781,6)&lt;&gt;"VACUUM"),"CDU",IF($H9781="FLUID CAT CRACKING","FCC",IF(OR($H9781="HYDROCRACKING",$H9781="RESID_HYDROCRACKING"),"Hydrocracker",IF($H9781="REFORMING","Reformer",""))))</f>
        <v/>
      </c>
    </row>
    <row r="9782" spans="6:7">
      <c r="F9782" s="6">
        <f>IF($M9782="PADD I","PADD 1",IF($M9782="PADD II","PADD 2",IF($M9782="PADD III","PADD 3",IF($M9782="PADD IV","PADD 4",IF($M9782="PADD V","PADD 5","")))))</f>
        <v/>
      </c>
      <c r="G9782" s="6">
        <f>IF(AND($H9782="ATMOS DISTILLATION",ISNUMBER(SEARCH("VPS",$I9782))=FALSE,LEFT($I9782,6)&lt;&gt;"VACUUM"),"CDU",IF($H9782="FLUID CAT CRACKING","FCC",IF(OR($H9782="HYDROCRACKING",$H9782="RESID_HYDROCRACKING"),"Hydrocracker",IF($H9782="REFORMING","Reformer",""))))</f>
        <v/>
      </c>
    </row>
    <row r="9783" spans="6:7">
      <c r="F9783" s="6">
        <f>IF($M9783="PADD I","PADD 1",IF($M9783="PADD II","PADD 2",IF($M9783="PADD III","PADD 3",IF($M9783="PADD IV","PADD 4",IF($M9783="PADD V","PADD 5","")))))</f>
        <v/>
      </c>
      <c r="G9783" s="6">
        <f>IF(AND($H9783="ATMOS DISTILLATION",ISNUMBER(SEARCH("VPS",$I9783))=FALSE,LEFT($I9783,6)&lt;&gt;"VACUUM"),"CDU",IF($H9783="FLUID CAT CRACKING","FCC",IF(OR($H9783="HYDROCRACKING",$H9783="RESID_HYDROCRACKING"),"Hydrocracker",IF($H9783="REFORMING","Reformer",""))))</f>
        <v/>
      </c>
    </row>
    <row r="9784" spans="6:7">
      <c r="F9784" s="6">
        <f>IF($M9784="PADD I","PADD 1",IF($M9784="PADD II","PADD 2",IF($M9784="PADD III","PADD 3",IF($M9784="PADD IV","PADD 4",IF($M9784="PADD V","PADD 5","")))))</f>
        <v/>
      </c>
      <c r="G9784" s="6">
        <f>IF(AND($H9784="ATMOS DISTILLATION",ISNUMBER(SEARCH("VPS",$I9784))=FALSE,LEFT($I9784,6)&lt;&gt;"VACUUM"),"CDU",IF($H9784="FLUID CAT CRACKING","FCC",IF(OR($H9784="HYDROCRACKING",$H9784="RESID_HYDROCRACKING"),"Hydrocracker",IF($H9784="REFORMING","Reformer",""))))</f>
        <v/>
      </c>
    </row>
    <row r="9785" spans="6:7">
      <c r="F9785" s="6">
        <f>IF($M9785="PADD I","PADD 1",IF($M9785="PADD II","PADD 2",IF($M9785="PADD III","PADD 3",IF($M9785="PADD IV","PADD 4",IF($M9785="PADD V","PADD 5","")))))</f>
        <v/>
      </c>
      <c r="G9785" s="6">
        <f>IF(AND($H9785="ATMOS DISTILLATION",ISNUMBER(SEARCH("VPS",$I9785))=FALSE,LEFT($I9785,6)&lt;&gt;"VACUUM"),"CDU",IF($H9785="FLUID CAT CRACKING","FCC",IF(OR($H9785="HYDROCRACKING",$H9785="RESID_HYDROCRACKING"),"Hydrocracker",IF($H9785="REFORMING","Reformer",""))))</f>
        <v/>
      </c>
    </row>
    <row r="9786" spans="6:7">
      <c r="F9786" s="6">
        <f>IF($M9786="PADD I","PADD 1",IF($M9786="PADD II","PADD 2",IF($M9786="PADD III","PADD 3",IF($M9786="PADD IV","PADD 4",IF($M9786="PADD V","PADD 5","")))))</f>
        <v/>
      </c>
      <c r="G9786" s="6">
        <f>IF(AND($H9786="ATMOS DISTILLATION",ISNUMBER(SEARCH("VPS",$I9786))=FALSE,LEFT($I9786,6)&lt;&gt;"VACUUM"),"CDU",IF($H9786="FLUID CAT CRACKING","FCC",IF(OR($H9786="HYDROCRACKING",$H9786="RESID_HYDROCRACKING"),"Hydrocracker",IF($H9786="REFORMING","Reformer",""))))</f>
        <v/>
      </c>
    </row>
    <row r="9787" spans="6:7">
      <c r="F9787" s="6">
        <f>IF($M9787="PADD I","PADD 1",IF($M9787="PADD II","PADD 2",IF($M9787="PADD III","PADD 3",IF($M9787="PADD IV","PADD 4",IF($M9787="PADD V","PADD 5","")))))</f>
        <v/>
      </c>
      <c r="G9787" s="6">
        <f>IF(AND($H9787="ATMOS DISTILLATION",ISNUMBER(SEARCH("VPS",$I9787))=FALSE,LEFT($I9787,6)&lt;&gt;"VACUUM"),"CDU",IF($H9787="FLUID CAT CRACKING","FCC",IF(OR($H9787="HYDROCRACKING",$H9787="RESID_HYDROCRACKING"),"Hydrocracker",IF($H9787="REFORMING","Reformer",""))))</f>
        <v/>
      </c>
    </row>
    <row r="9788" spans="6:7">
      <c r="F9788" s="6">
        <f>IF($M9788="PADD I","PADD 1",IF($M9788="PADD II","PADD 2",IF($M9788="PADD III","PADD 3",IF($M9788="PADD IV","PADD 4",IF($M9788="PADD V","PADD 5","")))))</f>
        <v/>
      </c>
      <c r="G9788" s="6">
        <f>IF(AND($H9788="ATMOS DISTILLATION",ISNUMBER(SEARCH("VPS",$I9788))=FALSE,LEFT($I9788,6)&lt;&gt;"VACUUM"),"CDU",IF($H9788="FLUID CAT CRACKING","FCC",IF(OR($H9788="HYDROCRACKING",$H9788="RESID_HYDROCRACKING"),"Hydrocracker",IF($H9788="REFORMING","Reformer",""))))</f>
        <v/>
      </c>
    </row>
    <row r="9789" spans="6:7">
      <c r="F9789" s="6">
        <f>IF($M9789="PADD I","PADD 1",IF($M9789="PADD II","PADD 2",IF($M9789="PADD III","PADD 3",IF($M9789="PADD IV","PADD 4",IF($M9789="PADD V","PADD 5","")))))</f>
        <v/>
      </c>
      <c r="G9789" s="6">
        <f>IF(AND($H9789="ATMOS DISTILLATION",ISNUMBER(SEARCH("VPS",$I9789))=FALSE,LEFT($I9789,6)&lt;&gt;"VACUUM"),"CDU",IF($H9789="FLUID CAT CRACKING","FCC",IF(OR($H9789="HYDROCRACKING",$H9789="RESID_HYDROCRACKING"),"Hydrocracker",IF($H9789="REFORMING","Reformer",""))))</f>
        <v/>
      </c>
    </row>
    <row r="9790" spans="6:7">
      <c r="F9790" s="6">
        <f>IF($M9790="PADD I","PADD 1",IF($M9790="PADD II","PADD 2",IF($M9790="PADD III","PADD 3",IF($M9790="PADD IV","PADD 4",IF($M9790="PADD V","PADD 5","")))))</f>
        <v/>
      </c>
      <c r="G9790" s="6">
        <f>IF(AND($H9790="ATMOS DISTILLATION",ISNUMBER(SEARCH("VPS",$I9790))=FALSE,LEFT($I9790,6)&lt;&gt;"VACUUM"),"CDU",IF($H9790="FLUID CAT CRACKING","FCC",IF(OR($H9790="HYDROCRACKING",$H9790="RESID_HYDROCRACKING"),"Hydrocracker",IF($H9790="REFORMING","Reformer",""))))</f>
        <v/>
      </c>
    </row>
    <row r="9791" spans="6:7">
      <c r="F9791" s="6">
        <f>IF($M9791="PADD I","PADD 1",IF($M9791="PADD II","PADD 2",IF($M9791="PADD III","PADD 3",IF($M9791="PADD IV","PADD 4",IF($M9791="PADD V","PADD 5","")))))</f>
        <v/>
      </c>
      <c r="G9791" s="6">
        <f>IF(AND($H9791="ATMOS DISTILLATION",ISNUMBER(SEARCH("VPS",$I9791))=FALSE,LEFT($I9791,6)&lt;&gt;"VACUUM"),"CDU",IF($H9791="FLUID CAT CRACKING","FCC",IF(OR($H9791="HYDROCRACKING",$H9791="RESID_HYDROCRACKING"),"Hydrocracker",IF($H9791="REFORMING","Reformer",""))))</f>
        <v/>
      </c>
    </row>
    <row r="9792" spans="6:7">
      <c r="F9792" s="6">
        <f>IF($M9792="PADD I","PADD 1",IF($M9792="PADD II","PADD 2",IF($M9792="PADD III","PADD 3",IF($M9792="PADD IV","PADD 4",IF($M9792="PADD V","PADD 5","")))))</f>
        <v/>
      </c>
      <c r="G9792" s="6">
        <f>IF(AND($H9792="ATMOS DISTILLATION",ISNUMBER(SEARCH("VPS",$I9792))=FALSE,LEFT($I9792,6)&lt;&gt;"VACUUM"),"CDU",IF($H9792="FLUID CAT CRACKING","FCC",IF(OR($H9792="HYDROCRACKING",$H9792="RESID_HYDROCRACKING"),"Hydrocracker",IF($H9792="REFORMING","Reformer",""))))</f>
        <v/>
      </c>
    </row>
    <row r="9793" spans="6:7">
      <c r="F9793" s="6">
        <f>IF($M9793="PADD I","PADD 1",IF($M9793="PADD II","PADD 2",IF($M9793="PADD III","PADD 3",IF($M9793="PADD IV","PADD 4",IF($M9793="PADD V","PADD 5","")))))</f>
        <v/>
      </c>
      <c r="G9793" s="6">
        <f>IF(AND($H9793="ATMOS DISTILLATION",ISNUMBER(SEARCH("VPS",$I9793))=FALSE,LEFT($I9793,6)&lt;&gt;"VACUUM"),"CDU",IF($H9793="FLUID CAT CRACKING","FCC",IF(OR($H9793="HYDROCRACKING",$H9793="RESID_HYDROCRACKING"),"Hydrocracker",IF($H9793="REFORMING","Reformer",""))))</f>
        <v/>
      </c>
    </row>
    <row r="9794" spans="6:7">
      <c r="F9794" s="6">
        <f>IF($M9794="PADD I","PADD 1",IF($M9794="PADD II","PADD 2",IF($M9794="PADD III","PADD 3",IF($M9794="PADD IV","PADD 4",IF($M9794="PADD V","PADD 5","")))))</f>
        <v/>
      </c>
      <c r="G9794" s="6">
        <f>IF(AND($H9794="ATMOS DISTILLATION",ISNUMBER(SEARCH("VPS",$I9794))=FALSE,LEFT($I9794,6)&lt;&gt;"VACUUM"),"CDU",IF($H9794="FLUID CAT CRACKING","FCC",IF(OR($H9794="HYDROCRACKING",$H9794="RESID_HYDROCRACKING"),"Hydrocracker",IF($H9794="REFORMING","Reformer",""))))</f>
        <v/>
      </c>
    </row>
    <row r="9795" spans="6:7">
      <c r="F9795" s="6">
        <f>IF($M9795="PADD I","PADD 1",IF($M9795="PADD II","PADD 2",IF($M9795="PADD III","PADD 3",IF($M9795="PADD IV","PADD 4",IF($M9795="PADD V","PADD 5","")))))</f>
        <v/>
      </c>
      <c r="G9795" s="6">
        <f>IF(AND($H9795="ATMOS DISTILLATION",ISNUMBER(SEARCH("VPS",$I9795))=FALSE,LEFT($I9795,6)&lt;&gt;"VACUUM"),"CDU",IF($H9795="FLUID CAT CRACKING","FCC",IF(OR($H9795="HYDROCRACKING",$H9795="RESID_HYDROCRACKING"),"Hydrocracker",IF($H9795="REFORMING","Reformer",""))))</f>
        <v/>
      </c>
    </row>
    <row r="9796" spans="6:7">
      <c r="F9796" s="6">
        <f>IF($M9796="PADD I","PADD 1",IF($M9796="PADD II","PADD 2",IF($M9796="PADD III","PADD 3",IF($M9796="PADD IV","PADD 4",IF($M9796="PADD V","PADD 5","")))))</f>
        <v/>
      </c>
      <c r="G9796" s="6">
        <f>IF(AND($H9796="ATMOS DISTILLATION",ISNUMBER(SEARCH("VPS",$I9796))=FALSE,LEFT($I9796,6)&lt;&gt;"VACUUM"),"CDU",IF($H9796="FLUID CAT CRACKING","FCC",IF(OR($H9796="HYDROCRACKING",$H9796="RESID_HYDROCRACKING"),"Hydrocracker",IF($H9796="REFORMING","Reformer",""))))</f>
        <v/>
      </c>
    </row>
    <row r="9797" spans="6:7">
      <c r="F9797" s="6">
        <f>IF($M9797="PADD I","PADD 1",IF($M9797="PADD II","PADD 2",IF($M9797="PADD III","PADD 3",IF($M9797="PADD IV","PADD 4",IF($M9797="PADD V","PADD 5","")))))</f>
        <v/>
      </c>
      <c r="G9797" s="6">
        <f>IF(AND($H9797="ATMOS DISTILLATION",ISNUMBER(SEARCH("VPS",$I9797))=FALSE,LEFT($I9797,6)&lt;&gt;"VACUUM"),"CDU",IF($H9797="FLUID CAT CRACKING","FCC",IF(OR($H9797="HYDROCRACKING",$H9797="RESID_HYDROCRACKING"),"Hydrocracker",IF($H9797="REFORMING","Reformer",""))))</f>
        <v/>
      </c>
    </row>
    <row r="9798" spans="6:7">
      <c r="F9798" s="6">
        <f>IF($M9798="PADD I","PADD 1",IF($M9798="PADD II","PADD 2",IF($M9798="PADD III","PADD 3",IF($M9798="PADD IV","PADD 4",IF($M9798="PADD V","PADD 5","")))))</f>
        <v/>
      </c>
      <c r="G9798" s="6">
        <f>IF(AND($H9798="ATMOS DISTILLATION",ISNUMBER(SEARCH("VPS",$I9798))=FALSE,LEFT($I9798,6)&lt;&gt;"VACUUM"),"CDU",IF($H9798="FLUID CAT CRACKING","FCC",IF(OR($H9798="HYDROCRACKING",$H9798="RESID_HYDROCRACKING"),"Hydrocracker",IF($H9798="REFORMING","Reformer",""))))</f>
        <v/>
      </c>
    </row>
    <row r="9799" spans="6:7">
      <c r="F9799" s="6">
        <f>IF($M9799="PADD I","PADD 1",IF($M9799="PADD II","PADD 2",IF($M9799="PADD III","PADD 3",IF($M9799="PADD IV","PADD 4",IF($M9799="PADD V","PADD 5","")))))</f>
        <v/>
      </c>
      <c r="G9799" s="6">
        <f>IF(AND($H9799="ATMOS DISTILLATION",ISNUMBER(SEARCH("VPS",$I9799))=FALSE,LEFT($I9799,6)&lt;&gt;"VACUUM"),"CDU",IF($H9799="FLUID CAT CRACKING","FCC",IF(OR($H9799="HYDROCRACKING",$H9799="RESID_HYDROCRACKING"),"Hydrocracker",IF($H9799="REFORMING","Reformer",""))))</f>
        <v/>
      </c>
    </row>
    <row r="9800" spans="6:7">
      <c r="F9800" s="6">
        <f>IF($M9800="PADD I","PADD 1",IF($M9800="PADD II","PADD 2",IF($M9800="PADD III","PADD 3",IF($M9800="PADD IV","PADD 4",IF($M9800="PADD V","PADD 5","")))))</f>
        <v/>
      </c>
      <c r="G9800" s="6">
        <f>IF(AND($H9800="ATMOS DISTILLATION",ISNUMBER(SEARCH("VPS",$I9800))=FALSE,LEFT($I9800,6)&lt;&gt;"VACUUM"),"CDU",IF($H9800="FLUID CAT CRACKING","FCC",IF(OR($H9800="HYDROCRACKING",$H9800="RESID_HYDROCRACKING"),"Hydrocracker",IF($H9800="REFORMING","Reformer",""))))</f>
        <v/>
      </c>
    </row>
    <row r="9801" spans="6:7">
      <c r="F9801" s="6">
        <f>IF($M9801="PADD I","PADD 1",IF($M9801="PADD II","PADD 2",IF($M9801="PADD III","PADD 3",IF($M9801="PADD IV","PADD 4",IF($M9801="PADD V","PADD 5","")))))</f>
        <v/>
      </c>
      <c r="G9801" s="6">
        <f>IF(AND($H9801="ATMOS DISTILLATION",ISNUMBER(SEARCH("VPS",$I9801))=FALSE,LEFT($I9801,6)&lt;&gt;"VACUUM"),"CDU",IF($H9801="FLUID CAT CRACKING","FCC",IF(OR($H9801="HYDROCRACKING",$H9801="RESID_HYDROCRACKING"),"Hydrocracker",IF($H9801="REFORMING","Reformer",""))))</f>
        <v/>
      </c>
    </row>
    <row r="9802" spans="6:7">
      <c r="F9802" s="6">
        <f>IF($M9802="PADD I","PADD 1",IF($M9802="PADD II","PADD 2",IF($M9802="PADD III","PADD 3",IF($M9802="PADD IV","PADD 4",IF($M9802="PADD V","PADD 5","")))))</f>
        <v/>
      </c>
      <c r="G9802" s="6">
        <f>IF(AND($H9802="ATMOS DISTILLATION",ISNUMBER(SEARCH("VPS",$I9802))=FALSE,LEFT($I9802,6)&lt;&gt;"VACUUM"),"CDU",IF($H9802="FLUID CAT CRACKING","FCC",IF(OR($H9802="HYDROCRACKING",$H9802="RESID_HYDROCRACKING"),"Hydrocracker",IF($H9802="REFORMING","Reformer",""))))</f>
        <v/>
      </c>
    </row>
    <row r="9803" spans="6:7">
      <c r="F9803" s="6">
        <f>IF($M9803="PADD I","PADD 1",IF($M9803="PADD II","PADD 2",IF($M9803="PADD III","PADD 3",IF($M9803="PADD IV","PADD 4",IF($M9803="PADD V","PADD 5","")))))</f>
        <v/>
      </c>
      <c r="G9803" s="6">
        <f>IF(AND($H9803="ATMOS DISTILLATION",ISNUMBER(SEARCH("VPS",$I9803))=FALSE,LEFT($I9803,6)&lt;&gt;"VACUUM"),"CDU",IF($H9803="FLUID CAT CRACKING","FCC",IF(OR($H9803="HYDROCRACKING",$H9803="RESID_HYDROCRACKING"),"Hydrocracker",IF($H9803="REFORMING","Reformer",""))))</f>
        <v/>
      </c>
    </row>
    <row r="9804" spans="6:7">
      <c r="F9804" s="6">
        <f>IF($M9804="PADD I","PADD 1",IF($M9804="PADD II","PADD 2",IF($M9804="PADD III","PADD 3",IF($M9804="PADD IV","PADD 4",IF($M9804="PADD V","PADD 5","")))))</f>
        <v/>
      </c>
      <c r="G9804" s="6">
        <f>IF(AND($H9804="ATMOS DISTILLATION",ISNUMBER(SEARCH("VPS",$I9804))=FALSE,LEFT($I9804,6)&lt;&gt;"VACUUM"),"CDU",IF($H9804="FLUID CAT CRACKING","FCC",IF(OR($H9804="HYDROCRACKING",$H9804="RESID_HYDROCRACKING"),"Hydrocracker",IF($H9804="REFORMING","Reformer",""))))</f>
        <v/>
      </c>
    </row>
    <row r="9805" spans="6:7">
      <c r="F9805" s="6">
        <f>IF($M9805="PADD I","PADD 1",IF($M9805="PADD II","PADD 2",IF($M9805="PADD III","PADD 3",IF($M9805="PADD IV","PADD 4",IF($M9805="PADD V","PADD 5","")))))</f>
        <v/>
      </c>
      <c r="G9805" s="6">
        <f>IF(AND($H9805="ATMOS DISTILLATION",ISNUMBER(SEARCH("VPS",$I9805))=FALSE,LEFT($I9805,6)&lt;&gt;"VACUUM"),"CDU",IF($H9805="FLUID CAT CRACKING","FCC",IF(OR($H9805="HYDROCRACKING",$H9805="RESID_HYDROCRACKING"),"Hydrocracker",IF($H9805="REFORMING","Reformer",""))))</f>
        <v/>
      </c>
    </row>
    <row r="9806" spans="6:7">
      <c r="F9806" s="6">
        <f>IF($M9806="PADD I","PADD 1",IF($M9806="PADD II","PADD 2",IF($M9806="PADD III","PADD 3",IF($M9806="PADD IV","PADD 4",IF($M9806="PADD V","PADD 5","")))))</f>
        <v/>
      </c>
      <c r="G9806" s="6">
        <f>IF(AND($H9806="ATMOS DISTILLATION",ISNUMBER(SEARCH("VPS",$I9806))=FALSE,LEFT($I9806,6)&lt;&gt;"VACUUM"),"CDU",IF($H9806="FLUID CAT CRACKING","FCC",IF(OR($H9806="HYDROCRACKING",$H9806="RESID_HYDROCRACKING"),"Hydrocracker",IF($H9806="REFORMING","Reformer",""))))</f>
        <v/>
      </c>
    </row>
    <row r="9807" spans="6:7">
      <c r="F9807" s="6">
        <f>IF($M9807="PADD I","PADD 1",IF($M9807="PADD II","PADD 2",IF($M9807="PADD III","PADD 3",IF($M9807="PADD IV","PADD 4",IF($M9807="PADD V","PADD 5","")))))</f>
        <v/>
      </c>
      <c r="G9807" s="6">
        <f>IF(AND($H9807="ATMOS DISTILLATION",ISNUMBER(SEARCH("VPS",$I9807))=FALSE,LEFT($I9807,6)&lt;&gt;"VACUUM"),"CDU",IF($H9807="FLUID CAT CRACKING","FCC",IF(OR($H9807="HYDROCRACKING",$H9807="RESID_HYDROCRACKING"),"Hydrocracker",IF($H9807="REFORMING","Reformer",""))))</f>
        <v/>
      </c>
    </row>
    <row r="9808" spans="6:7">
      <c r="F9808" s="6">
        <f>IF($M9808="PADD I","PADD 1",IF($M9808="PADD II","PADD 2",IF($M9808="PADD III","PADD 3",IF($M9808="PADD IV","PADD 4",IF($M9808="PADD V","PADD 5","")))))</f>
        <v/>
      </c>
      <c r="G9808" s="6">
        <f>IF(AND($H9808="ATMOS DISTILLATION",ISNUMBER(SEARCH("VPS",$I9808))=FALSE,LEFT($I9808,6)&lt;&gt;"VACUUM"),"CDU",IF($H9808="FLUID CAT CRACKING","FCC",IF(OR($H9808="HYDROCRACKING",$H9808="RESID_HYDROCRACKING"),"Hydrocracker",IF($H9808="REFORMING","Reformer",""))))</f>
        <v/>
      </c>
    </row>
    <row r="9809" spans="6:7">
      <c r="F9809" s="6">
        <f>IF($M9809="PADD I","PADD 1",IF($M9809="PADD II","PADD 2",IF($M9809="PADD III","PADD 3",IF($M9809="PADD IV","PADD 4",IF($M9809="PADD V","PADD 5","")))))</f>
        <v/>
      </c>
      <c r="G9809" s="6">
        <f>IF(AND($H9809="ATMOS DISTILLATION",ISNUMBER(SEARCH("VPS",$I9809))=FALSE,LEFT($I9809,6)&lt;&gt;"VACUUM"),"CDU",IF($H9809="FLUID CAT CRACKING","FCC",IF(OR($H9809="HYDROCRACKING",$H9809="RESID_HYDROCRACKING"),"Hydrocracker",IF($H9809="REFORMING","Reformer",""))))</f>
        <v/>
      </c>
    </row>
    <row r="9810" spans="6:7">
      <c r="F9810" s="6">
        <f>IF($M9810="PADD I","PADD 1",IF($M9810="PADD II","PADD 2",IF($M9810="PADD III","PADD 3",IF($M9810="PADD IV","PADD 4",IF($M9810="PADD V","PADD 5","")))))</f>
        <v/>
      </c>
      <c r="G9810" s="6">
        <f>IF(AND($H9810="ATMOS DISTILLATION",ISNUMBER(SEARCH("VPS",$I9810))=FALSE,LEFT($I9810,6)&lt;&gt;"VACUUM"),"CDU",IF($H9810="FLUID CAT CRACKING","FCC",IF(OR($H9810="HYDROCRACKING",$H9810="RESID_HYDROCRACKING"),"Hydrocracker",IF($H9810="REFORMING","Reformer",""))))</f>
        <v/>
      </c>
    </row>
    <row r="9811" spans="6:7">
      <c r="F9811" s="6">
        <f>IF($M9811="PADD I","PADD 1",IF($M9811="PADD II","PADD 2",IF($M9811="PADD III","PADD 3",IF($M9811="PADD IV","PADD 4",IF($M9811="PADD V","PADD 5","")))))</f>
        <v/>
      </c>
      <c r="G9811" s="6">
        <f>IF(AND($H9811="ATMOS DISTILLATION",ISNUMBER(SEARCH("VPS",$I9811))=FALSE,LEFT($I9811,6)&lt;&gt;"VACUUM"),"CDU",IF($H9811="FLUID CAT CRACKING","FCC",IF(OR($H9811="HYDROCRACKING",$H9811="RESID_HYDROCRACKING"),"Hydrocracker",IF($H9811="REFORMING","Reformer",""))))</f>
        <v/>
      </c>
    </row>
    <row r="9812" spans="6:7">
      <c r="F9812" s="6">
        <f>IF($M9812="PADD I","PADD 1",IF($M9812="PADD II","PADD 2",IF($M9812="PADD III","PADD 3",IF($M9812="PADD IV","PADD 4",IF($M9812="PADD V","PADD 5","")))))</f>
        <v/>
      </c>
      <c r="G9812" s="6">
        <f>IF(AND($H9812="ATMOS DISTILLATION",ISNUMBER(SEARCH("VPS",$I9812))=FALSE,LEFT($I9812,6)&lt;&gt;"VACUUM"),"CDU",IF($H9812="FLUID CAT CRACKING","FCC",IF(OR($H9812="HYDROCRACKING",$H9812="RESID_HYDROCRACKING"),"Hydrocracker",IF($H9812="REFORMING","Reformer",""))))</f>
        <v/>
      </c>
    </row>
    <row r="9813" spans="6:7">
      <c r="F9813" s="6">
        <f>IF($M9813="PADD I","PADD 1",IF($M9813="PADD II","PADD 2",IF($M9813="PADD III","PADD 3",IF($M9813="PADD IV","PADD 4",IF($M9813="PADD V","PADD 5","")))))</f>
        <v/>
      </c>
      <c r="G9813" s="6">
        <f>IF(AND($H9813="ATMOS DISTILLATION",ISNUMBER(SEARCH("VPS",$I9813))=FALSE,LEFT($I9813,6)&lt;&gt;"VACUUM"),"CDU",IF($H9813="FLUID CAT CRACKING","FCC",IF(OR($H9813="HYDROCRACKING",$H9813="RESID_HYDROCRACKING"),"Hydrocracker",IF($H9813="REFORMING","Reformer",""))))</f>
        <v/>
      </c>
    </row>
    <row r="9814" spans="6:7">
      <c r="F9814" s="6">
        <f>IF($M9814="PADD I","PADD 1",IF($M9814="PADD II","PADD 2",IF($M9814="PADD III","PADD 3",IF($M9814="PADD IV","PADD 4",IF($M9814="PADD V","PADD 5","")))))</f>
        <v/>
      </c>
      <c r="G9814" s="6">
        <f>IF(AND($H9814="ATMOS DISTILLATION",ISNUMBER(SEARCH("VPS",$I9814))=FALSE,LEFT($I9814,6)&lt;&gt;"VACUUM"),"CDU",IF($H9814="FLUID CAT CRACKING","FCC",IF(OR($H9814="HYDROCRACKING",$H9814="RESID_HYDROCRACKING"),"Hydrocracker",IF($H9814="REFORMING","Reformer",""))))</f>
        <v/>
      </c>
    </row>
    <row r="9815" spans="6:7">
      <c r="F9815" s="6">
        <f>IF($M9815="PADD I","PADD 1",IF($M9815="PADD II","PADD 2",IF($M9815="PADD III","PADD 3",IF($M9815="PADD IV","PADD 4",IF($M9815="PADD V","PADD 5","")))))</f>
        <v/>
      </c>
      <c r="G9815" s="6">
        <f>IF(AND($H9815="ATMOS DISTILLATION",ISNUMBER(SEARCH("VPS",$I9815))=FALSE,LEFT($I9815,6)&lt;&gt;"VACUUM"),"CDU",IF($H9815="FLUID CAT CRACKING","FCC",IF(OR($H9815="HYDROCRACKING",$H9815="RESID_HYDROCRACKING"),"Hydrocracker",IF($H9815="REFORMING","Reformer",""))))</f>
        <v/>
      </c>
    </row>
    <row r="9816" spans="6:7">
      <c r="F9816" s="6">
        <f>IF($M9816="PADD I","PADD 1",IF($M9816="PADD II","PADD 2",IF($M9816="PADD III","PADD 3",IF($M9816="PADD IV","PADD 4",IF($M9816="PADD V","PADD 5","")))))</f>
        <v/>
      </c>
      <c r="G9816" s="6">
        <f>IF(AND($H9816="ATMOS DISTILLATION",ISNUMBER(SEARCH("VPS",$I9816))=FALSE,LEFT($I9816,6)&lt;&gt;"VACUUM"),"CDU",IF($H9816="FLUID CAT CRACKING","FCC",IF(OR($H9816="HYDROCRACKING",$H9816="RESID_HYDROCRACKING"),"Hydrocracker",IF($H9816="REFORMING","Reformer",""))))</f>
        <v/>
      </c>
    </row>
    <row r="9817" spans="6:7">
      <c r="F9817" s="6">
        <f>IF($M9817="PADD I","PADD 1",IF($M9817="PADD II","PADD 2",IF($M9817="PADD III","PADD 3",IF($M9817="PADD IV","PADD 4",IF($M9817="PADD V","PADD 5","")))))</f>
        <v/>
      </c>
      <c r="G9817" s="6">
        <f>IF(AND($H9817="ATMOS DISTILLATION",ISNUMBER(SEARCH("VPS",$I9817))=FALSE,LEFT($I9817,6)&lt;&gt;"VACUUM"),"CDU",IF($H9817="FLUID CAT CRACKING","FCC",IF(OR($H9817="HYDROCRACKING",$H9817="RESID_HYDROCRACKING"),"Hydrocracker",IF($H9817="REFORMING","Reformer",""))))</f>
        <v/>
      </c>
    </row>
    <row r="9818" spans="6:7">
      <c r="F9818" s="6">
        <f>IF($M9818="PADD I","PADD 1",IF($M9818="PADD II","PADD 2",IF($M9818="PADD III","PADD 3",IF($M9818="PADD IV","PADD 4",IF($M9818="PADD V","PADD 5","")))))</f>
        <v/>
      </c>
      <c r="G9818" s="6">
        <f>IF(AND($H9818="ATMOS DISTILLATION",ISNUMBER(SEARCH("VPS",$I9818))=FALSE,LEFT($I9818,6)&lt;&gt;"VACUUM"),"CDU",IF($H9818="FLUID CAT CRACKING","FCC",IF(OR($H9818="HYDROCRACKING",$H9818="RESID_HYDROCRACKING"),"Hydrocracker",IF($H9818="REFORMING","Reformer",""))))</f>
        <v/>
      </c>
    </row>
    <row r="9819" spans="6:7">
      <c r="F9819" s="6">
        <f>IF($M9819="PADD I","PADD 1",IF($M9819="PADD II","PADD 2",IF($M9819="PADD III","PADD 3",IF($M9819="PADD IV","PADD 4",IF($M9819="PADD V","PADD 5","")))))</f>
        <v/>
      </c>
      <c r="G9819" s="6">
        <f>IF(AND($H9819="ATMOS DISTILLATION",ISNUMBER(SEARCH("VPS",$I9819))=FALSE,LEFT($I9819,6)&lt;&gt;"VACUUM"),"CDU",IF($H9819="FLUID CAT CRACKING","FCC",IF(OR($H9819="HYDROCRACKING",$H9819="RESID_HYDROCRACKING"),"Hydrocracker",IF($H9819="REFORMING","Reformer",""))))</f>
        <v/>
      </c>
    </row>
    <row r="9820" spans="6:7">
      <c r="F9820" s="6">
        <f>IF($M9820="PADD I","PADD 1",IF($M9820="PADD II","PADD 2",IF($M9820="PADD III","PADD 3",IF($M9820="PADD IV","PADD 4",IF($M9820="PADD V","PADD 5","")))))</f>
        <v/>
      </c>
      <c r="G9820" s="6">
        <f>IF(AND($H9820="ATMOS DISTILLATION",ISNUMBER(SEARCH("VPS",$I9820))=FALSE,LEFT($I9820,6)&lt;&gt;"VACUUM"),"CDU",IF($H9820="FLUID CAT CRACKING","FCC",IF(OR($H9820="HYDROCRACKING",$H9820="RESID_HYDROCRACKING"),"Hydrocracker",IF($H9820="REFORMING","Reformer",""))))</f>
        <v/>
      </c>
    </row>
    <row r="9821" spans="6:7">
      <c r="F9821" s="6">
        <f>IF($M9821="PADD I","PADD 1",IF($M9821="PADD II","PADD 2",IF($M9821="PADD III","PADD 3",IF($M9821="PADD IV","PADD 4",IF($M9821="PADD V","PADD 5","")))))</f>
        <v/>
      </c>
      <c r="G9821" s="6">
        <f>IF(AND($H9821="ATMOS DISTILLATION",ISNUMBER(SEARCH("VPS",$I9821))=FALSE,LEFT($I9821,6)&lt;&gt;"VACUUM"),"CDU",IF($H9821="FLUID CAT CRACKING","FCC",IF(OR($H9821="HYDROCRACKING",$H9821="RESID_HYDROCRACKING"),"Hydrocracker",IF($H9821="REFORMING","Reformer",""))))</f>
        <v/>
      </c>
    </row>
    <row r="9822" spans="6:7">
      <c r="F9822" s="6">
        <f>IF($M9822="PADD I","PADD 1",IF($M9822="PADD II","PADD 2",IF($M9822="PADD III","PADD 3",IF($M9822="PADD IV","PADD 4",IF($M9822="PADD V","PADD 5","")))))</f>
        <v/>
      </c>
      <c r="G9822" s="6">
        <f>IF(AND($H9822="ATMOS DISTILLATION",ISNUMBER(SEARCH("VPS",$I9822))=FALSE,LEFT($I9822,6)&lt;&gt;"VACUUM"),"CDU",IF($H9822="FLUID CAT CRACKING","FCC",IF(OR($H9822="HYDROCRACKING",$H9822="RESID_HYDROCRACKING"),"Hydrocracker",IF($H9822="REFORMING","Reformer",""))))</f>
        <v/>
      </c>
    </row>
    <row r="9823" spans="6:7">
      <c r="F9823" s="6">
        <f>IF($M9823="PADD I","PADD 1",IF($M9823="PADD II","PADD 2",IF($M9823="PADD III","PADD 3",IF($M9823="PADD IV","PADD 4",IF($M9823="PADD V","PADD 5","")))))</f>
        <v/>
      </c>
      <c r="G9823" s="6">
        <f>IF(AND($H9823="ATMOS DISTILLATION",ISNUMBER(SEARCH("VPS",$I9823))=FALSE,LEFT($I9823,6)&lt;&gt;"VACUUM"),"CDU",IF($H9823="FLUID CAT CRACKING","FCC",IF(OR($H9823="HYDROCRACKING",$H9823="RESID_HYDROCRACKING"),"Hydrocracker",IF($H9823="REFORMING","Reformer",""))))</f>
        <v/>
      </c>
    </row>
    <row r="9824" spans="6:7">
      <c r="F9824" s="6">
        <f>IF($M9824="PADD I","PADD 1",IF($M9824="PADD II","PADD 2",IF($M9824="PADD III","PADD 3",IF($M9824="PADD IV","PADD 4",IF($M9824="PADD V","PADD 5","")))))</f>
        <v/>
      </c>
      <c r="G9824" s="6">
        <f>IF(AND($H9824="ATMOS DISTILLATION",ISNUMBER(SEARCH("VPS",$I9824))=FALSE,LEFT($I9824,6)&lt;&gt;"VACUUM"),"CDU",IF($H9824="FLUID CAT CRACKING","FCC",IF(OR($H9824="HYDROCRACKING",$H9824="RESID_HYDROCRACKING"),"Hydrocracker",IF($H9824="REFORMING","Reformer",""))))</f>
        <v/>
      </c>
    </row>
    <row r="9825" spans="6:7">
      <c r="F9825" s="6">
        <f>IF($M9825="PADD I","PADD 1",IF($M9825="PADD II","PADD 2",IF($M9825="PADD III","PADD 3",IF($M9825="PADD IV","PADD 4",IF($M9825="PADD V","PADD 5","")))))</f>
        <v/>
      </c>
      <c r="G9825" s="6">
        <f>IF(AND($H9825="ATMOS DISTILLATION",ISNUMBER(SEARCH("VPS",$I9825))=FALSE,LEFT($I9825,6)&lt;&gt;"VACUUM"),"CDU",IF($H9825="FLUID CAT CRACKING","FCC",IF(OR($H9825="HYDROCRACKING",$H9825="RESID_HYDROCRACKING"),"Hydrocracker",IF($H9825="REFORMING","Reformer",""))))</f>
        <v/>
      </c>
    </row>
    <row r="9826" spans="6:7">
      <c r="F9826" s="6">
        <f>IF($M9826="PADD I","PADD 1",IF($M9826="PADD II","PADD 2",IF($M9826="PADD III","PADD 3",IF($M9826="PADD IV","PADD 4",IF($M9826="PADD V","PADD 5","")))))</f>
        <v/>
      </c>
      <c r="G9826" s="6">
        <f>IF(AND($H9826="ATMOS DISTILLATION",ISNUMBER(SEARCH("VPS",$I9826))=FALSE,LEFT($I9826,6)&lt;&gt;"VACUUM"),"CDU",IF($H9826="FLUID CAT CRACKING","FCC",IF(OR($H9826="HYDROCRACKING",$H9826="RESID_HYDROCRACKING"),"Hydrocracker",IF($H9826="REFORMING","Reformer",""))))</f>
        <v/>
      </c>
    </row>
    <row r="9827" spans="6:7">
      <c r="F9827" s="6">
        <f>IF($M9827="PADD I","PADD 1",IF($M9827="PADD II","PADD 2",IF($M9827="PADD III","PADD 3",IF($M9827="PADD IV","PADD 4",IF($M9827="PADD V","PADD 5","")))))</f>
        <v/>
      </c>
      <c r="G9827" s="6">
        <f>IF(AND($H9827="ATMOS DISTILLATION",ISNUMBER(SEARCH("VPS",$I9827))=FALSE,LEFT($I9827,6)&lt;&gt;"VACUUM"),"CDU",IF($H9827="FLUID CAT CRACKING","FCC",IF(OR($H9827="HYDROCRACKING",$H9827="RESID_HYDROCRACKING"),"Hydrocracker",IF($H9827="REFORMING","Reformer",""))))</f>
        <v/>
      </c>
    </row>
    <row r="9828" spans="6:7">
      <c r="F9828" s="6">
        <f>IF($M9828="PADD I","PADD 1",IF($M9828="PADD II","PADD 2",IF($M9828="PADD III","PADD 3",IF($M9828="PADD IV","PADD 4",IF($M9828="PADD V","PADD 5","")))))</f>
        <v/>
      </c>
      <c r="G9828" s="6">
        <f>IF(AND($H9828="ATMOS DISTILLATION",ISNUMBER(SEARCH("VPS",$I9828))=FALSE,LEFT($I9828,6)&lt;&gt;"VACUUM"),"CDU",IF($H9828="FLUID CAT CRACKING","FCC",IF(OR($H9828="HYDROCRACKING",$H9828="RESID_HYDROCRACKING"),"Hydrocracker",IF($H9828="REFORMING","Reformer",""))))</f>
        <v/>
      </c>
    </row>
    <row r="9829" spans="6:7">
      <c r="F9829" s="6">
        <f>IF($M9829="PADD I","PADD 1",IF($M9829="PADD II","PADD 2",IF($M9829="PADD III","PADD 3",IF($M9829="PADD IV","PADD 4",IF($M9829="PADD V","PADD 5","")))))</f>
        <v/>
      </c>
      <c r="G9829" s="6">
        <f>IF(AND($H9829="ATMOS DISTILLATION",ISNUMBER(SEARCH("VPS",$I9829))=FALSE,LEFT($I9829,6)&lt;&gt;"VACUUM"),"CDU",IF($H9829="FLUID CAT CRACKING","FCC",IF(OR($H9829="HYDROCRACKING",$H9829="RESID_HYDROCRACKING"),"Hydrocracker",IF($H9829="REFORMING","Reformer",""))))</f>
        <v/>
      </c>
    </row>
    <row r="9830" spans="6:7">
      <c r="F9830" s="6">
        <f>IF($M9830="PADD I","PADD 1",IF($M9830="PADD II","PADD 2",IF($M9830="PADD III","PADD 3",IF($M9830="PADD IV","PADD 4",IF($M9830="PADD V","PADD 5","")))))</f>
        <v/>
      </c>
      <c r="G9830" s="6">
        <f>IF(AND($H9830="ATMOS DISTILLATION",ISNUMBER(SEARCH("VPS",$I9830))=FALSE,LEFT($I9830,6)&lt;&gt;"VACUUM"),"CDU",IF($H9830="FLUID CAT CRACKING","FCC",IF(OR($H9830="HYDROCRACKING",$H9830="RESID_HYDROCRACKING"),"Hydrocracker",IF($H9830="REFORMING","Reformer",""))))</f>
        <v/>
      </c>
    </row>
    <row r="9831" spans="6:7">
      <c r="F9831" s="6">
        <f>IF($M9831="PADD I","PADD 1",IF($M9831="PADD II","PADD 2",IF($M9831="PADD III","PADD 3",IF($M9831="PADD IV","PADD 4",IF($M9831="PADD V","PADD 5","")))))</f>
        <v/>
      </c>
      <c r="G9831" s="6">
        <f>IF(AND($H9831="ATMOS DISTILLATION",ISNUMBER(SEARCH("VPS",$I9831))=FALSE,LEFT($I9831,6)&lt;&gt;"VACUUM"),"CDU",IF($H9831="FLUID CAT CRACKING","FCC",IF(OR($H9831="HYDROCRACKING",$H9831="RESID_HYDROCRACKING"),"Hydrocracker",IF($H9831="REFORMING","Reformer",""))))</f>
        <v/>
      </c>
    </row>
    <row r="9832" spans="6:7">
      <c r="F9832" s="6">
        <f>IF($M9832="PADD I","PADD 1",IF($M9832="PADD II","PADD 2",IF($M9832="PADD III","PADD 3",IF($M9832="PADD IV","PADD 4",IF($M9832="PADD V","PADD 5","")))))</f>
        <v/>
      </c>
      <c r="G9832" s="6">
        <f>IF(AND($H9832="ATMOS DISTILLATION",ISNUMBER(SEARCH("VPS",$I9832))=FALSE,LEFT($I9832,6)&lt;&gt;"VACUUM"),"CDU",IF($H9832="FLUID CAT CRACKING","FCC",IF(OR($H9832="HYDROCRACKING",$H9832="RESID_HYDROCRACKING"),"Hydrocracker",IF($H9832="REFORMING","Reformer",""))))</f>
        <v/>
      </c>
    </row>
    <row r="9833" spans="6:7">
      <c r="F9833" s="6">
        <f>IF($M9833="PADD I","PADD 1",IF($M9833="PADD II","PADD 2",IF($M9833="PADD III","PADD 3",IF($M9833="PADD IV","PADD 4",IF($M9833="PADD V","PADD 5","")))))</f>
        <v/>
      </c>
      <c r="G9833" s="6">
        <f>IF(AND($H9833="ATMOS DISTILLATION",ISNUMBER(SEARCH("VPS",$I9833))=FALSE,LEFT($I9833,6)&lt;&gt;"VACUUM"),"CDU",IF($H9833="FLUID CAT CRACKING","FCC",IF(OR($H9833="HYDROCRACKING",$H9833="RESID_HYDROCRACKING"),"Hydrocracker",IF($H9833="REFORMING","Reformer",""))))</f>
        <v/>
      </c>
    </row>
    <row r="9834" spans="6:7">
      <c r="F9834" s="6">
        <f>IF($M9834="PADD I","PADD 1",IF($M9834="PADD II","PADD 2",IF($M9834="PADD III","PADD 3",IF($M9834="PADD IV","PADD 4",IF($M9834="PADD V","PADD 5","")))))</f>
        <v/>
      </c>
      <c r="G9834" s="6">
        <f>IF(AND($H9834="ATMOS DISTILLATION",ISNUMBER(SEARCH("VPS",$I9834))=FALSE,LEFT($I9834,6)&lt;&gt;"VACUUM"),"CDU",IF($H9834="FLUID CAT CRACKING","FCC",IF(OR($H9834="HYDROCRACKING",$H9834="RESID_HYDROCRACKING"),"Hydrocracker",IF($H9834="REFORMING","Reformer",""))))</f>
        <v/>
      </c>
    </row>
    <row r="9835" spans="6:7">
      <c r="F9835" s="6">
        <f>IF($M9835="PADD I","PADD 1",IF($M9835="PADD II","PADD 2",IF($M9835="PADD III","PADD 3",IF($M9835="PADD IV","PADD 4",IF($M9835="PADD V","PADD 5","")))))</f>
        <v/>
      </c>
      <c r="G9835" s="6">
        <f>IF(AND($H9835="ATMOS DISTILLATION",ISNUMBER(SEARCH("VPS",$I9835))=FALSE,LEFT($I9835,6)&lt;&gt;"VACUUM"),"CDU",IF($H9835="FLUID CAT CRACKING","FCC",IF(OR($H9835="HYDROCRACKING",$H9835="RESID_HYDROCRACKING"),"Hydrocracker",IF($H9835="REFORMING","Reformer",""))))</f>
        <v/>
      </c>
    </row>
    <row r="9836" spans="6:7">
      <c r="F9836" s="6">
        <f>IF($M9836="PADD I","PADD 1",IF($M9836="PADD II","PADD 2",IF($M9836="PADD III","PADD 3",IF($M9836="PADD IV","PADD 4",IF($M9836="PADD V","PADD 5","")))))</f>
        <v/>
      </c>
      <c r="G9836" s="6">
        <f>IF(AND($H9836="ATMOS DISTILLATION",ISNUMBER(SEARCH("VPS",$I9836))=FALSE,LEFT($I9836,6)&lt;&gt;"VACUUM"),"CDU",IF($H9836="FLUID CAT CRACKING","FCC",IF(OR($H9836="HYDROCRACKING",$H9836="RESID_HYDROCRACKING"),"Hydrocracker",IF($H9836="REFORMING","Reformer",""))))</f>
        <v/>
      </c>
    </row>
    <row r="9837" spans="6:7">
      <c r="F9837" s="6">
        <f>IF($M9837="PADD I","PADD 1",IF($M9837="PADD II","PADD 2",IF($M9837="PADD III","PADD 3",IF($M9837="PADD IV","PADD 4",IF($M9837="PADD V","PADD 5","")))))</f>
        <v/>
      </c>
      <c r="G9837" s="6">
        <f>IF(AND($H9837="ATMOS DISTILLATION",ISNUMBER(SEARCH("VPS",$I9837))=FALSE,LEFT($I9837,6)&lt;&gt;"VACUUM"),"CDU",IF($H9837="FLUID CAT CRACKING","FCC",IF(OR($H9837="HYDROCRACKING",$H9837="RESID_HYDROCRACKING"),"Hydrocracker",IF($H9837="REFORMING","Reformer",""))))</f>
        <v/>
      </c>
    </row>
    <row r="9838" spans="6:7">
      <c r="F9838" s="6">
        <f>IF($M9838="PADD I","PADD 1",IF($M9838="PADD II","PADD 2",IF($M9838="PADD III","PADD 3",IF($M9838="PADD IV","PADD 4",IF($M9838="PADD V","PADD 5","")))))</f>
        <v/>
      </c>
      <c r="G9838" s="6">
        <f>IF(AND($H9838="ATMOS DISTILLATION",ISNUMBER(SEARCH("VPS",$I9838))=FALSE,LEFT($I9838,6)&lt;&gt;"VACUUM"),"CDU",IF($H9838="FLUID CAT CRACKING","FCC",IF(OR($H9838="HYDROCRACKING",$H9838="RESID_HYDROCRACKING"),"Hydrocracker",IF($H9838="REFORMING","Reformer",""))))</f>
        <v/>
      </c>
    </row>
    <row r="9839" spans="6:7">
      <c r="F9839" s="6">
        <f>IF($M9839="PADD I","PADD 1",IF($M9839="PADD II","PADD 2",IF($M9839="PADD III","PADD 3",IF($M9839="PADD IV","PADD 4",IF($M9839="PADD V","PADD 5","")))))</f>
        <v/>
      </c>
      <c r="G9839" s="6">
        <f>IF(AND($H9839="ATMOS DISTILLATION",ISNUMBER(SEARCH("VPS",$I9839))=FALSE,LEFT($I9839,6)&lt;&gt;"VACUUM"),"CDU",IF($H9839="FLUID CAT CRACKING","FCC",IF(OR($H9839="HYDROCRACKING",$H9839="RESID_HYDROCRACKING"),"Hydrocracker",IF($H9839="REFORMING","Reformer",""))))</f>
        <v/>
      </c>
    </row>
    <row r="9840" spans="6:7">
      <c r="F9840" s="6">
        <f>IF($M9840="PADD I","PADD 1",IF($M9840="PADD II","PADD 2",IF($M9840="PADD III","PADD 3",IF($M9840="PADD IV","PADD 4",IF($M9840="PADD V","PADD 5","")))))</f>
        <v/>
      </c>
      <c r="G9840" s="6">
        <f>IF(AND($H9840="ATMOS DISTILLATION",ISNUMBER(SEARCH("VPS",$I9840))=FALSE,LEFT($I9840,6)&lt;&gt;"VACUUM"),"CDU",IF($H9840="FLUID CAT CRACKING","FCC",IF(OR($H9840="HYDROCRACKING",$H9840="RESID_HYDROCRACKING"),"Hydrocracker",IF($H9840="REFORMING","Reformer",""))))</f>
        <v/>
      </c>
    </row>
    <row r="9841" spans="6:7">
      <c r="F9841" s="6">
        <f>IF($M9841="PADD I","PADD 1",IF($M9841="PADD II","PADD 2",IF($M9841="PADD III","PADD 3",IF($M9841="PADD IV","PADD 4",IF($M9841="PADD V","PADD 5","")))))</f>
        <v/>
      </c>
      <c r="G9841" s="6">
        <f>IF(AND($H9841="ATMOS DISTILLATION",ISNUMBER(SEARCH("VPS",$I9841))=FALSE,LEFT($I9841,6)&lt;&gt;"VACUUM"),"CDU",IF($H9841="FLUID CAT CRACKING","FCC",IF(OR($H9841="HYDROCRACKING",$H9841="RESID_HYDROCRACKING"),"Hydrocracker",IF($H9841="REFORMING","Reformer",""))))</f>
        <v/>
      </c>
    </row>
    <row r="9842" spans="6:7">
      <c r="F9842" s="6">
        <f>IF($M9842="PADD I","PADD 1",IF($M9842="PADD II","PADD 2",IF($M9842="PADD III","PADD 3",IF($M9842="PADD IV","PADD 4",IF($M9842="PADD V","PADD 5","")))))</f>
        <v/>
      </c>
      <c r="G9842" s="6">
        <f>IF(AND($H9842="ATMOS DISTILLATION",ISNUMBER(SEARCH("VPS",$I9842))=FALSE,LEFT($I9842,6)&lt;&gt;"VACUUM"),"CDU",IF($H9842="FLUID CAT CRACKING","FCC",IF(OR($H9842="HYDROCRACKING",$H9842="RESID_HYDROCRACKING"),"Hydrocracker",IF($H9842="REFORMING","Reformer",""))))</f>
        <v/>
      </c>
    </row>
    <row r="9843" spans="6:7">
      <c r="F9843" s="6">
        <f>IF($M9843="PADD I","PADD 1",IF($M9843="PADD II","PADD 2",IF($M9843="PADD III","PADD 3",IF($M9843="PADD IV","PADD 4",IF($M9843="PADD V","PADD 5","")))))</f>
        <v/>
      </c>
      <c r="G9843" s="6">
        <f>IF(AND($H9843="ATMOS DISTILLATION",ISNUMBER(SEARCH("VPS",$I9843))=FALSE,LEFT($I9843,6)&lt;&gt;"VACUUM"),"CDU",IF($H9843="FLUID CAT CRACKING","FCC",IF(OR($H9843="HYDROCRACKING",$H9843="RESID_HYDROCRACKING"),"Hydrocracker",IF($H9843="REFORMING","Reformer",""))))</f>
        <v/>
      </c>
    </row>
    <row r="9844" spans="6:7">
      <c r="F9844" s="6">
        <f>IF($M9844="PADD I","PADD 1",IF($M9844="PADD II","PADD 2",IF($M9844="PADD III","PADD 3",IF($M9844="PADD IV","PADD 4",IF($M9844="PADD V","PADD 5","")))))</f>
        <v/>
      </c>
      <c r="G9844" s="6">
        <f>IF(AND($H9844="ATMOS DISTILLATION",ISNUMBER(SEARCH("VPS",$I9844))=FALSE,LEFT($I9844,6)&lt;&gt;"VACUUM"),"CDU",IF($H9844="FLUID CAT CRACKING","FCC",IF(OR($H9844="HYDROCRACKING",$H9844="RESID_HYDROCRACKING"),"Hydrocracker",IF($H9844="REFORMING","Reformer",""))))</f>
        <v/>
      </c>
    </row>
    <row r="9845" spans="6:7">
      <c r="F9845" s="6">
        <f>IF($M9845="PADD I","PADD 1",IF($M9845="PADD II","PADD 2",IF($M9845="PADD III","PADD 3",IF($M9845="PADD IV","PADD 4",IF($M9845="PADD V","PADD 5","")))))</f>
        <v/>
      </c>
      <c r="G9845" s="6">
        <f>IF(AND($H9845="ATMOS DISTILLATION",ISNUMBER(SEARCH("VPS",$I9845))=FALSE,LEFT($I9845,6)&lt;&gt;"VACUUM"),"CDU",IF($H9845="FLUID CAT CRACKING","FCC",IF(OR($H9845="HYDROCRACKING",$H9845="RESID_HYDROCRACKING"),"Hydrocracker",IF($H9845="REFORMING","Reformer",""))))</f>
        <v/>
      </c>
    </row>
    <row r="9846" spans="6:7">
      <c r="F9846" s="6">
        <f>IF($M9846="PADD I","PADD 1",IF($M9846="PADD II","PADD 2",IF($M9846="PADD III","PADD 3",IF($M9846="PADD IV","PADD 4",IF($M9846="PADD V","PADD 5","")))))</f>
        <v/>
      </c>
      <c r="G9846" s="6">
        <f>IF(AND($H9846="ATMOS DISTILLATION",ISNUMBER(SEARCH("VPS",$I9846))=FALSE,LEFT($I9846,6)&lt;&gt;"VACUUM"),"CDU",IF($H9846="FLUID CAT CRACKING","FCC",IF(OR($H9846="HYDROCRACKING",$H9846="RESID_HYDROCRACKING"),"Hydrocracker",IF($H9846="REFORMING","Reformer",""))))</f>
        <v/>
      </c>
    </row>
    <row r="9847" spans="6:7">
      <c r="F9847" s="6">
        <f>IF($M9847="PADD I","PADD 1",IF($M9847="PADD II","PADD 2",IF($M9847="PADD III","PADD 3",IF($M9847="PADD IV","PADD 4",IF($M9847="PADD V","PADD 5","")))))</f>
        <v/>
      </c>
      <c r="G9847" s="6">
        <f>IF(AND($H9847="ATMOS DISTILLATION",ISNUMBER(SEARCH("VPS",$I9847))=FALSE,LEFT($I9847,6)&lt;&gt;"VACUUM"),"CDU",IF($H9847="FLUID CAT CRACKING","FCC",IF(OR($H9847="HYDROCRACKING",$H9847="RESID_HYDROCRACKING"),"Hydrocracker",IF($H9847="REFORMING","Reformer",""))))</f>
        <v/>
      </c>
    </row>
    <row r="9848" spans="6:7">
      <c r="F9848" s="6">
        <f>IF($M9848="PADD I","PADD 1",IF($M9848="PADD II","PADD 2",IF($M9848="PADD III","PADD 3",IF($M9848="PADD IV","PADD 4",IF($M9848="PADD V","PADD 5","")))))</f>
        <v/>
      </c>
      <c r="G9848" s="6">
        <f>IF(AND($H9848="ATMOS DISTILLATION",ISNUMBER(SEARCH("VPS",$I9848))=FALSE,LEFT($I9848,6)&lt;&gt;"VACUUM"),"CDU",IF($H9848="FLUID CAT CRACKING","FCC",IF(OR($H9848="HYDROCRACKING",$H9848="RESID_HYDROCRACKING"),"Hydrocracker",IF($H9848="REFORMING","Reformer",""))))</f>
        <v/>
      </c>
    </row>
    <row r="9849" spans="6:7">
      <c r="F9849" s="6">
        <f>IF($M9849="PADD I","PADD 1",IF($M9849="PADD II","PADD 2",IF($M9849="PADD III","PADD 3",IF($M9849="PADD IV","PADD 4",IF($M9849="PADD V","PADD 5","")))))</f>
        <v/>
      </c>
      <c r="G9849" s="6">
        <f>IF(AND($H9849="ATMOS DISTILLATION",ISNUMBER(SEARCH("VPS",$I9849))=FALSE,LEFT($I9849,6)&lt;&gt;"VACUUM"),"CDU",IF($H9849="FLUID CAT CRACKING","FCC",IF(OR($H9849="HYDROCRACKING",$H9849="RESID_HYDROCRACKING"),"Hydrocracker",IF($H9849="REFORMING","Reformer",""))))</f>
        <v/>
      </c>
    </row>
    <row r="9850" spans="6:7">
      <c r="F9850" s="6">
        <f>IF($M9850="PADD I","PADD 1",IF($M9850="PADD II","PADD 2",IF($M9850="PADD III","PADD 3",IF($M9850="PADD IV","PADD 4",IF($M9850="PADD V","PADD 5","")))))</f>
        <v/>
      </c>
      <c r="G9850" s="6">
        <f>IF(AND($H9850="ATMOS DISTILLATION",ISNUMBER(SEARCH("VPS",$I9850))=FALSE,LEFT($I9850,6)&lt;&gt;"VACUUM"),"CDU",IF($H9850="FLUID CAT CRACKING","FCC",IF(OR($H9850="HYDROCRACKING",$H9850="RESID_HYDROCRACKING"),"Hydrocracker",IF($H9850="REFORMING","Reformer",""))))</f>
        <v/>
      </c>
    </row>
    <row r="9851" spans="6:7">
      <c r="F9851" s="6">
        <f>IF($M9851="PADD I","PADD 1",IF($M9851="PADD II","PADD 2",IF($M9851="PADD III","PADD 3",IF($M9851="PADD IV","PADD 4",IF($M9851="PADD V","PADD 5","")))))</f>
        <v/>
      </c>
      <c r="G9851" s="6">
        <f>IF(AND($H9851="ATMOS DISTILLATION",ISNUMBER(SEARCH("VPS",$I9851))=FALSE,LEFT($I9851,6)&lt;&gt;"VACUUM"),"CDU",IF($H9851="FLUID CAT CRACKING","FCC",IF(OR($H9851="HYDROCRACKING",$H9851="RESID_HYDROCRACKING"),"Hydrocracker",IF($H9851="REFORMING","Reformer",""))))</f>
        <v/>
      </c>
    </row>
    <row r="9852" spans="6:7">
      <c r="F9852" s="6">
        <f>IF($M9852="PADD I","PADD 1",IF($M9852="PADD II","PADD 2",IF($M9852="PADD III","PADD 3",IF($M9852="PADD IV","PADD 4",IF($M9852="PADD V","PADD 5","")))))</f>
        <v/>
      </c>
      <c r="G9852" s="6">
        <f>IF(AND($H9852="ATMOS DISTILLATION",ISNUMBER(SEARCH("VPS",$I9852))=FALSE,LEFT($I9852,6)&lt;&gt;"VACUUM"),"CDU",IF($H9852="FLUID CAT CRACKING","FCC",IF(OR($H9852="HYDROCRACKING",$H9852="RESID_HYDROCRACKING"),"Hydrocracker",IF($H9852="REFORMING","Reformer",""))))</f>
        <v/>
      </c>
    </row>
    <row r="9853" spans="6:7">
      <c r="F9853" s="6">
        <f>IF($M9853="PADD I","PADD 1",IF($M9853="PADD II","PADD 2",IF($M9853="PADD III","PADD 3",IF($M9853="PADD IV","PADD 4",IF($M9853="PADD V","PADD 5","")))))</f>
        <v/>
      </c>
      <c r="G9853" s="6">
        <f>IF(AND($H9853="ATMOS DISTILLATION",ISNUMBER(SEARCH("VPS",$I9853))=FALSE,LEFT($I9853,6)&lt;&gt;"VACUUM"),"CDU",IF($H9853="FLUID CAT CRACKING","FCC",IF(OR($H9853="HYDROCRACKING",$H9853="RESID_HYDROCRACKING"),"Hydrocracker",IF($H9853="REFORMING","Reformer",""))))</f>
        <v/>
      </c>
    </row>
    <row r="9854" spans="6:7">
      <c r="F9854" s="6">
        <f>IF($M9854="PADD I","PADD 1",IF($M9854="PADD II","PADD 2",IF($M9854="PADD III","PADD 3",IF($M9854="PADD IV","PADD 4",IF($M9854="PADD V","PADD 5","")))))</f>
        <v/>
      </c>
      <c r="G9854" s="6">
        <f>IF(AND($H9854="ATMOS DISTILLATION",ISNUMBER(SEARCH("VPS",$I9854))=FALSE,LEFT($I9854,6)&lt;&gt;"VACUUM"),"CDU",IF($H9854="FLUID CAT CRACKING","FCC",IF(OR($H9854="HYDROCRACKING",$H9854="RESID_HYDROCRACKING"),"Hydrocracker",IF($H9854="REFORMING","Reformer",""))))</f>
        <v/>
      </c>
    </row>
    <row r="9855" spans="6:7">
      <c r="F9855" s="6">
        <f>IF($M9855="PADD I","PADD 1",IF($M9855="PADD II","PADD 2",IF($M9855="PADD III","PADD 3",IF($M9855="PADD IV","PADD 4",IF($M9855="PADD V","PADD 5","")))))</f>
        <v/>
      </c>
      <c r="G9855" s="6">
        <f>IF(AND($H9855="ATMOS DISTILLATION",ISNUMBER(SEARCH("VPS",$I9855))=FALSE,LEFT($I9855,6)&lt;&gt;"VACUUM"),"CDU",IF($H9855="FLUID CAT CRACKING","FCC",IF(OR($H9855="HYDROCRACKING",$H9855="RESID_HYDROCRACKING"),"Hydrocracker",IF($H9855="REFORMING","Reformer",""))))</f>
        <v/>
      </c>
    </row>
    <row r="9856" spans="6:7">
      <c r="F9856" s="6">
        <f>IF($M9856="PADD I","PADD 1",IF($M9856="PADD II","PADD 2",IF($M9856="PADD III","PADD 3",IF($M9856="PADD IV","PADD 4",IF($M9856="PADD V","PADD 5","")))))</f>
        <v/>
      </c>
      <c r="G9856" s="6">
        <f>IF(AND($H9856="ATMOS DISTILLATION",ISNUMBER(SEARCH("VPS",$I9856))=FALSE,LEFT($I9856,6)&lt;&gt;"VACUUM"),"CDU",IF($H9856="FLUID CAT CRACKING","FCC",IF(OR($H9856="HYDROCRACKING",$H9856="RESID_HYDROCRACKING"),"Hydrocracker",IF($H9856="REFORMING","Reformer",""))))</f>
        <v/>
      </c>
    </row>
    <row r="9857" spans="6:7">
      <c r="F9857" s="6">
        <f>IF($M9857="PADD I","PADD 1",IF($M9857="PADD II","PADD 2",IF($M9857="PADD III","PADD 3",IF($M9857="PADD IV","PADD 4",IF($M9857="PADD V","PADD 5","")))))</f>
        <v/>
      </c>
      <c r="G9857" s="6">
        <f>IF(AND($H9857="ATMOS DISTILLATION",ISNUMBER(SEARCH("VPS",$I9857))=FALSE,LEFT($I9857,6)&lt;&gt;"VACUUM"),"CDU",IF($H9857="FLUID CAT CRACKING","FCC",IF(OR($H9857="HYDROCRACKING",$H9857="RESID_HYDROCRACKING"),"Hydrocracker",IF($H9857="REFORMING","Reformer",""))))</f>
        <v/>
      </c>
    </row>
    <row r="9858" spans="6:7">
      <c r="F9858" s="6">
        <f>IF($M9858="PADD I","PADD 1",IF($M9858="PADD II","PADD 2",IF($M9858="PADD III","PADD 3",IF($M9858="PADD IV","PADD 4",IF($M9858="PADD V","PADD 5","")))))</f>
        <v/>
      </c>
      <c r="G9858" s="6">
        <f>IF(AND($H9858="ATMOS DISTILLATION",ISNUMBER(SEARCH("VPS",$I9858))=FALSE,LEFT($I9858,6)&lt;&gt;"VACUUM"),"CDU",IF($H9858="FLUID CAT CRACKING","FCC",IF(OR($H9858="HYDROCRACKING",$H9858="RESID_HYDROCRACKING"),"Hydrocracker",IF($H9858="REFORMING","Reformer",""))))</f>
        <v/>
      </c>
    </row>
    <row r="9859" spans="6:7">
      <c r="F9859" s="6">
        <f>IF($M9859="PADD I","PADD 1",IF($M9859="PADD II","PADD 2",IF($M9859="PADD III","PADD 3",IF($M9859="PADD IV","PADD 4",IF($M9859="PADD V","PADD 5","")))))</f>
        <v/>
      </c>
      <c r="G9859" s="6">
        <f>IF(AND($H9859="ATMOS DISTILLATION",ISNUMBER(SEARCH("VPS",$I9859))=FALSE,LEFT($I9859,6)&lt;&gt;"VACUUM"),"CDU",IF($H9859="FLUID CAT CRACKING","FCC",IF(OR($H9859="HYDROCRACKING",$H9859="RESID_HYDROCRACKING"),"Hydrocracker",IF($H9859="REFORMING","Reformer",""))))</f>
        <v/>
      </c>
    </row>
    <row r="9860" spans="6:7">
      <c r="F9860" s="6">
        <f>IF($M9860="PADD I","PADD 1",IF($M9860="PADD II","PADD 2",IF($M9860="PADD III","PADD 3",IF($M9860="PADD IV","PADD 4",IF($M9860="PADD V","PADD 5","")))))</f>
        <v/>
      </c>
      <c r="G9860" s="6">
        <f>IF(AND($H9860="ATMOS DISTILLATION",ISNUMBER(SEARCH("VPS",$I9860))=FALSE,LEFT($I9860,6)&lt;&gt;"VACUUM"),"CDU",IF($H9860="FLUID CAT CRACKING","FCC",IF(OR($H9860="HYDROCRACKING",$H9860="RESID_HYDROCRACKING"),"Hydrocracker",IF($H9860="REFORMING","Reformer",""))))</f>
        <v/>
      </c>
    </row>
    <row r="9861" spans="6:7">
      <c r="F9861" s="6">
        <f>IF($M9861="PADD I","PADD 1",IF($M9861="PADD II","PADD 2",IF($M9861="PADD III","PADD 3",IF($M9861="PADD IV","PADD 4",IF($M9861="PADD V","PADD 5","")))))</f>
        <v/>
      </c>
      <c r="G9861" s="6">
        <f>IF(AND($H9861="ATMOS DISTILLATION",ISNUMBER(SEARCH("VPS",$I9861))=FALSE,LEFT($I9861,6)&lt;&gt;"VACUUM"),"CDU",IF($H9861="FLUID CAT CRACKING","FCC",IF(OR($H9861="HYDROCRACKING",$H9861="RESID_HYDROCRACKING"),"Hydrocracker",IF($H9861="REFORMING","Reformer",""))))</f>
        <v/>
      </c>
    </row>
    <row r="9862" spans="6:7">
      <c r="F9862" s="6">
        <f>IF($M9862="PADD I","PADD 1",IF($M9862="PADD II","PADD 2",IF($M9862="PADD III","PADD 3",IF($M9862="PADD IV","PADD 4",IF($M9862="PADD V","PADD 5","")))))</f>
        <v/>
      </c>
      <c r="G9862" s="6">
        <f>IF(AND($H9862="ATMOS DISTILLATION",ISNUMBER(SEARCH("VPS",$I9862))=FALSE,LEFT($I9862,6)&lt;&gt;"VACUUM"),"CDU",IF($H9862="FLUID CAT CRACKING","FCC",IF(OR($H9862="HYDROCRACKING",$H9862="RESID_HYDROCRACKING"),"Hydrocracker",IF($H9862="REFORMING","Reformer",""))))</f>
        <v/>
      </c>
    </row>
    <row r="9863" spans="6:7">
      <c r="F9863" s="6">
        <f>IF($M9863="PADD I","PADD 1",IF($M9863="PADD II","PADD 2",IF($M9863="PADD III","PADD 3",IF($M9863="PADD IV","PADD 4",IF($M9863="PADD V","PADD 5","")))))</f>
        <v/>
      </c>
      <c r="G9863" s="6">
        <f>IF(AND($H9863="ATMOS DISTILLATION",ISNUMBER(SEARCH("VPS",$I9863))=FALSE,LEFT($I9863,6)&lt;&gt;"VACUUM"),"CDU",IF($H9863="FLUID CAT CRACKING","FCC",IF(OR($H9863="HYDROCRACKING",$H9863="RESID_HYDROCRACKING"),"Hydrocracker",IF($H9863="REFORMING","Reformer",""))))</f>
        <v/>
      </c>
    </row>
    <row r="9864" spans="6:7">
      <c r="F9864" s="6">
        <f>IF($M9864="PADD I","PADD 1",IF($M9864="PADD II","PADD 2",IF($M9864="PADD III","PADD 3",IF($M9864="PADD IV","PADD 4",IF($M9864="PADD V","PADD 5","")))))</f>
        <v/>
      </c>
      <c r="G9864" s="6">
        <f>IF(AND($H9864="ATMOS DISTILLATION",ISNUMBER(SEARCH("VPS",$I9864))=FALSE,LEFT($I9864,6)&lt;&gt;"VACUUM"),"CDU",IF($H9864="FLUID CAT CRACKING","FCC",IF(OR($H9864="HYDROCRACKING",$H9864="RESID_HYDROCRACKING"),"Hydrocracker",IF($H9864="REFORMING","Reformer",""))))</f>
        <v/>
      </c>
    </row>
    <row r="9865" spans="6:7">
      <c r="F9865" s="6">
        <f>IF($M9865="PADD I","PADD 1",IF($M9865="PADD II","PADD 2",IF($M9865="PADD III","PADD 3",IF($M9865="PADD IV","PADD 4",IF($M9865="PADD V","PADD 5","")))))</f>
        <v/>
      </c>
      <c r="G9865" s="6">
        <f>IF(AND($H9865="ATMOS DISTILLATION",ISNUMBER(SEARCH("VPS",$I9865))=FALSE,LEFT($I9865,6)&lt;&gt;"VACUUM"),"CDU",IF($H9865="FLUID CAT CRACKING","FCC",IF(OR($H9865="HYDROCRACKING",$H9865="RESID_HYDROCRACKING"),"Hydrocracker",IF($H9865="REFORMING","Reformer",""))))</f>
        <v/>
      </c>
    </row>
    <row r="9866" spans="6:7">
      <c r="F9866" s="6">
        <f>IF($M9866="PADD I","PADD 1",IF($M9866="PADD II","PADD 2",IF($M9866="PADD III","PADD 3",IF($M9866="PADD IV","PADD 4",IF($M9866="PADD V","PADD 5","")))))</f>
        <v/>
      </c>
      <c r="G9866" s="6">
        <f>IF(AND($H9866="ATMOS DISTILLATION",ISNUMBER(SEARCH("VPS",$I9866))=FALSE,LEFT($I9866,6)&lt;&gt;"VACUUM"),"CDU",IF($H9866="FLUID CAT CRACKING","FCC",IF(OR($H9866="HYDROCRACKING",$H9866="RESID_HYDROCRACKING"),"Hydrocracker",IF($H9866="REFORMING","Reformer",""))))</f>
        <v/>
      </c>
    </row>
    <row r="9867" spans="6:7">
      <c r="F9867" s="6">
        <f>IF($M9867="PADD I","PADD 1",IF($M9867="PADD II","PADD 2",IF($M9867="PADD III","PADD 3",IF($M9867="PADD IV","PADD 4",IF($M9867="PADD V","PADD 5","")))))</f>
        <v/>
      </c>
      <c r="G9867" s="6">
        <f>IF(AND($H9867="ATMOS DISTILLATION",ISNUMBER(SEARCH("VPS",$I9867))=FALSE,LEFT($I9867,6)&lt;&gt;"VACUUM"),"CDU",IF($H9867="FLUID CAT CRACKING","FCC",IF(OR($H9867="HYDROCRACKING",$H9867="RESID_HYDROCRACKING"),"Hydrocracker",IF($H9867="REFORMING","Reformer",""))))</f>
        <v/>
      </c>
    </row>
    <row r="9868" spans="6:7">
      <c r="F9868" s="6">
        <f>IF($M9868="PADD I","PADD 1",IF($M9868="PADD II","PADD 2",IF($M9868="PADD III","PADD 3",IF($M9868="PADD IV","PADD 4",IF($M9868="PADD V","PADD 5","")))))</f>
        <v/>
      </c>
      <c r="G9868" s="6">
        <f>IF(AND($H9868="ATMOS DISTILLATION",ISNUMBER(SEARCH("VPS",$I9868))=FALSE,LEFT($I9868,6)&lt;&gt;"VACUUM"),"CDU",IF($H9868="FLUID CAT CRACKING","FCC",IF(OR($H9868="HYDROCRACKING",$H9868="RESID_HYDROCRACKING"),"Hydrocracker",IF($H9868="REFORMING","Reformer",""))))</f>
        <v/>
      </c>
    </row>
    <row r="9869" spans="6:7">
      <c r="F9869" s="6">
        <f>IF($M9869="PADD I","PADD 1",IF($M9869="PADD II","PADD 2",IF($M9869="PADD III","PADD 3",IF($M9869="PADD IV","PADD 4",IF($M9869="PADD V","PADD 5","")))))</f>
        <v/>
      </c>
      <c r="G9869" s="6">
        <f>IF(AND($H9869="ATMOS DISTILLATION",ISNUMBER(SEARCH("VPS",$I9869))=FALSE,LEFT($I9869,6)&lt;&gt;"VACUUM"),"CDU",IF($H9869="FLUID CAT CRACKING","FCC",IF(OR($H9869="HYDROCRACKING",$H9869="RESID_HYDROCRACKING"),"Hydrocracker",IF($H9869="REFORMING","Reformer",""))))</f>
        <v/>
      </c>
    </row>
    <row r="9870" spans="6:7">
      <c r="F9870" s="6">
        <f>IF($M9870="PADD I","PADD 1",IF($M9870="PADD II","PADD 2",IF($M9870="PADD III","PADD 3",IF($M9870="PADD IV","PADD 4",IF($M9870="PADD V","PADD 5","")))))</f>
        <v/>
      </c>
      <c r="G9870" s="6">
        <f>IF(AND($H9870="ATMOS DISTILLATION",ISNUMBER(SEARCH("VPS",$I9870))=FALSE,LEFT($I9870,6)&lt;&gt;"VACUUM"),"CDU",IF($H9870="FLUID CAT CRACKING","FCC",IF(OR($H9870="HYDROCRACKING",$H9870="RESID_HYDROCRACKING"),"Hydrocracker",IF($H9870="REFORMING","Reformer",""))))</f>
        <v/>
      </c>
    </row>
    <row r="9871" spans="6:7">
      <c r="F9871" s="6">
        <f>IF($M9871="PADD I","PADD 1",IF($M9871="PADD II","PADD 2",IF($M9871="PADD III","PADD 3",IF($M9871="PADD IV","PADD 4",IF($M9871="PADD V","PADD 5","")))))</f>
        <v/>
      </c>
      <c r="G9871" s="6">
        <f>IF(AND($H9871="ATMOS DISTILLATION",ISNUMBER(SEARCH("VPS",$I9871))=FALSE,LEFT($I9871,6)&lt;&gt;"VACUUM"),"CDU",IF($H9871="FLUID CAT CRACKING","FCC",IF(OR($H9871="HYDROCRACKING",$H9871="RESID_HYDROCRACKING"),"Hydrocracker",IF($H9871="REFORMING","Reformer",""))))</f>
        <v/>
      </c>
    </row>
    <row r="9872" spans="6:7">
      <c r="F9872" s="6">
        <f>IF($M9872="PADD I","PADD 1",IF($M9872="PADD II","PADD 2",IF($M9872="PADD III","PADD 3",IF($M9872="PADD IV","PADD 4",IF($M9872="PADD V","PADD 5","")))))</f>
        <v/>
      </c>
      <c r="G9872" s="6">
        <f>IF(AND($H9872="ATMOS DISTILLATION",ISNUMBER(SEARCH("VPS",$I9872))=FALSE,LEFT($I9872,6)&lt;&gt;"VACUUM"),"CDU",IF($H9872="FLUID CAT CRACKING","FCC",IF(OR($H9872="HYDROCRACKING",$H9872="RESID_HYDROCRACKING"),"Hydrocracker",IF($H9872="REFORMING","Reformer",""))))</f>
        <v/>
      </c>
    </row>
    <row r="9873" spans="6:7">
      <c r="F9873" s="6">
        <f>IF($M9873="PADD I","PADD 1",IF($M9873="PADD II","PADD 2",IF($M9873="PADD III","PADD 3",IF($M9873="PADD IV","PADD 4",IF($M9873="PADD V","PADD 5","")))))</f>
        <v/>
      </c>
      <c r="G9873" s="6">
        <f>IF(AND($H9873="ATMOS DISTILLATION",ISNUMBER(SEARCH("VPS",$I9873))=FALSE,LEFT($I9873,6)&lt;&gt;"VACUUM"),"CDU",IF($H9873="FLUID CAT CRACKING","FCC",IF(OR($H9873="HYDROCRACKING",$H9873="RESID_HYDROCRACKING"),"Hydrocracker",IF($H9873="REFORMING","Reformer",""))))</f>
        <v/>
      </c>
    </row>
    <row r="9874" spans="6:7">
      <c r="F9874" s="6">
        <f>IF($M9874="PADD I","PADD 1",IF($M9874="PADD II","PADD 2",IF($M9874="PADD III","PADD 3",IF($M9874="PADD IV","PADD 4",IF($M9874="PADD V","PADD 5","")))))</f>
        <v/>
      </c>
      <c r="G9874" s="6">
        <f>IF(AND($H9874="ATMOS DISTILLATION",ISNUMBER(SEARCH("VPS",$I9874))=FALSE,LEFT($I9874,6)&lt;&gt;"VACUUM"),"CDU",IF($H9874="FLUID CAT CRACKING","FCC",IF(OR($H9874="HYDROCRACKING",$H9874="RESID_HYDROCRACKING"),"Hydrocracker",IF($H9874="REFORMING","Reformer",""))))</f>
        <v/>
      </c>
    </row>
    <row r="9875" spans="6:7">
      <c r="F9875" s="6">
        <f>IF($M9875="PADD I","PADD 1",IF($M9875="PADD II","PADD 2",IF($M9875="PADD III","PADD 3",IF($M9875="PADD IV","PADD 4",IF($M9875="PADD V","PADD 5","")))))</f>
        <v/>
      </c>
      <c r="G9875" s="6">
        <f>IF(AND($H9875="ATMOS DISTILLATION",ISNUMBER(SEARCH("VPS",$I9875))=FALSE,LEFT($I9875,6)&lt;&gt;"VACUUM"),"CDU",IF($H9875="FLUID CAT CRACKING","FCC",IF(OR($H9875="HYDROCRACKING",$H9875="RESID_HYDROCRACKING"),"Hydrocracker",IF($H9875="REFORMING","Reformer",""))))</f>
        <v/>
      </c>
    </row>
    <row r="9876" spans="6:7">
      <c r="F9876" s="6">
        <f>IF($M9876="PADD I","PADD 1",IF($M9876="PADD II","PADD 2",IF($M9876="PADD III","PADD 3",IF($M9876="PADD IV","PADD 4",IF($M9876="PADD V","PADD 5","")))))</f>
        <v/>
      </c>
      <c r="G9876" s="6">
        <f>IF(AND($H9876="ATMOS DISTILLATION",ISNUMBER(SEARCH("VPS",$I9876))=FALSE,LEFT($I9876,6)&lt;&gt;"VACUUM"),"CDU",IF($H9876="FLUID CAT CRACKING","FCC",IF(OR($H9876="HYDROCRACKING",$H9876="RESID_HYDROCRACKING"),"Hydrocracker",IF($H9876="REFORMING","Reformer",""))))</f>
        <v/>
      </c>
    </row>
    <row r="9877" spans="6:7">
      <c r="F9877" s="6">
        <f>IF($M9877="PADD I","PADD 1",IF($M9877="PADD II","PADD 2",IF($M9877="PADD III","PADD 3",IF($M9877="PADD IV","PADD 4",IF($M9877="PADD V","PADD 5","")))))</f>
        <v/>
      </c>
      <c r="G9877" s="6">
        <f>IF(AND($H9877="ATMOS DISTILLATION",ISNUMBER(SEARCH("VPS",$I9877))=FALSE,LEFT($I9877,6)&lt;&gt;"VACUUM"),"CDU",IF($H9877="FLUID CAT CRACKING","FCC",IF(OR($H9877="HYDROCRACKING",$H9877="RESID_HYDROCRACKING"),"Hydrocracker",IF($H9877="REFORMING","Reformer",""))))</f>
        <v/>
      </c>
    </row>
    <row r="9878" spans="6:7">
      <c r="F9878" s="6">
        <f>IF($M9878="PADD I","PADD 1",IF($M9878="PADD II","PADD 2",IF($M9878="PADD III","PADD 3",IF($M9878="PADD IV","PADD 4",IF($M9878="PADD V","PADD 5","")))))</f>
        <v/>
      </c>
      <c r="G9878" s="6">
        <f>IF(AND($H9878="ATMOS DISTILLATION",ISNUMBER(SEARCH("VPS",$I9878))=FALSE,LEFT($I9878,6)&lt;&gt;"VACUUM"),"CDU",IF($H9878="FLUID CAT CRACKING","FCC",IF(OR($H9878="HYDROCRACKING",$H9878="RESID_HYDROCRACKING"),"Hydrocracker",IF($H9878="REFORMING","Reformer",""))))</f>
        <v/>
      </c>
    </row>
    <row r="9879" spans="6:7">
      <c r="F9879" s="6">
        <f>IF($M9879="PADD I","PADD 1",IF($M9879="PADD II","PADD 2",IF($M9879="PADD III","PADD 3",IF($M9879="PADD IV","PADD 4",IF($M9879="PADD V","PADD 5","")))))</f>
        <v/>
      </c>
      <c r="G9879" s="6">
        <f>IF(AND($H9879="ATMOS DISTILLATION",ISNUMBER(SEARCH("VPS",$I9879))=FALSE,LEFT($I9879,6)&lt;&gt;"VACUUM"),"CDU",IF($H9879="FLUID CAT CRACKING","FCC",IF(OR($H9879="HYDROCRACKING",$H9879="RESID_HYDROCRACKING"),"Hydrocracker",IF($H9879="REFORMING","Reformer",""))))</f>
        <v/>
      </c>
    </row>
    <row r="9880" spans="6:7">
      <c r="F9880" s="6">
        <f>IF($M9880="PADD I","PADD 1",IF($M9880="PADD II","PADD 2",IF($M9880="PADD III","PADD 3",IF($M9880="PADD IV","PADD 4",IF($M9880="PADD V","PADD 5","")))))</f>
        <v/>
      </c>
      <c r="G9880" s="6">
        <f>IF(AND($H9880="ATMOS DISTILLATION",ISNUMBER(SEARCH("VPS",$I9880))=FALSE,LEFT($I9880,6)&lt;&gt;"VACUUM"),"CDU",IF($H9880="FLUID CAT CRACKING","FCC",IF(OR($H9880="HYDROCRACKING",$H9880="RESID_HYDROCRACKING"),"Hydrocracker",IF($H9880="REFORMING","Reformer",""))))</f>
        <v/>
      </c>
    </row>
    <row r="9881" spans="6:7">
      <c r="F9881" s="6">
        <f>IF($M9881="PADD I","PADD 1",IF($M9881="PADD II","PADD 2",IF($M9881="PADD III","PADD 3",IF($M9881="PADD IV","PADD 4",IF($M9881="PADD V","PADD 5","")))))</f>
        <v/>
      </c>
      <c r="G9881" s="6">
        <f>IF(AND($H9881="ATMOS DISTILLATION",ISNUMBER(SEARCH("VPS",$I9881))=FALSE,LEFT($I9881,6)&lt;&gt;"VACUUM"),"CDU",IF($H9881="FLUID CAT CRACKING","FCC",IF(OR($H9881="HYDROCRACKING",$H9881="RESID_HYDROCRACKING"),"Hydrocracker",IF($H9881="REFORMING","Reformer",""))))</f>
        <v/>
      </c>
    </row>
    <row r="9882" spans="6:7">
      <c r="F9882" s="6">
        <f>IF($M9882="PADD I","PADD 1",IF($M9882="PADD II","PADD 2",IF($M9882="PADD III","PADD 3",IF($M9882="PADD IV","PADD 4",IF($M9882="PADD V","PADD 5","")))))</f>
        <v/>
      </c>
      <c r="G9882" s="6">
        <f>IF(AND($H9882="ATMOS DISTILLATION",ISNUMBER(SEARCH("VPS",$I9882))=FALSE,LEFT($I9882,6)&lt;&gt;"VACUUM"),"CDU",IF($H9882="FLUID CAT CRACKING","FCC",IF(OR($H9882="HYDROCRACKING",$H9882="RESID_HYDROCRACKING"),"Hydrocracker",IF($H9882="REFORMING","Reformer",""))))</f>
        <v/>
      </c>
    </row>
    <row r="9883" spans="6:7">
      <c r="F9883" s="6">
        <f>IF($M9883="PADD I","PADD 1",IF($M9883="PADD II","PADD 2",IF($M9883="PADD III","PADD 3",IF($M9883="PADD IV","PADD 4",IF($M9883="PADD V","PADD 5","")))))</f>
        <v/>
      </c>
      <c r="G9883" s="6">
        <f>IF(AND($H9883="ATMOS DISTILLATION",ISNUMBER(SEARCH("VPS",$I9883))=FALSE,LEFT($I9883,6)&lt;&gt;"VACUUM"),"CDU",IF($H9883="FLUID CAT CRACKING","FCC",IF(OR($H9883="HYDROCRACKING",$H9883="RESID_HYDROCRACKING"),"Hydrocracker",IF($H9883="REFORMING","Reformer",""))))</f>
        <v/>
      </c>
    </row>
    <row r="9884" spans="6:7">
      <c r="F9884" s="6">
        <f>IF($M9884="PADD I","PADD 1",IF($M9884="PADD II","PADD 2",IF($M9884="PADD III","PADD 3",IF($M9884="PADD IV","PADD 4",IF($M9884="PADD V","PADD 5","")))))</f>
        <v/>
      </c>
      <c r="G9884" s="6">
        <f>IF(AND($H9884="ATMOS DISTILLATION",ISNUMBER(SEARCH("VPS",$I9884))=FALSE,LEFT($I9884,6)&lt;&gt;"VACUUM"),"CDU",IF($H9884="FLUID CAT CRACKING","FCC",IF(OR($H9884="HYDROCRACKING",$H9884="RESID_HYDROCRACKING"),"Hydrocracker",IF($H9884="REFORMING","Reformer",""))))</f>
        <v/>
      </c>
    </row>
    <row r="9885" spans="6:7">
      <c r="F9885" s="6">
        <f>IF($M9885="PADD I","PADD 1",IF($M9885="PADD II","PADD 2",IF($M9885="PADD III","PADD 3",IF($M9885="PADD IV","PADD 4",IF($M9885="PADD V","PADD 5","")))))</f>
        <v/>
      </c>
      <c r="G9885" s="6">
        <f>IF(AND($H9885="ATMOS DISTILLATION",ISNUMBER(SEARCH("VPS",$I9885))=FALSE,LEFT($I9885,6)&lt;&gt;"VACUUM"),"CDU",IF($H9885="FLUID CAT CRACKING","FCC",IF(OR($H9885="HYDROCRACKING",$H9885="RESID_HYDROCRACKING"),"Hydrocracker",IF($H9885="REFORMING","Reformer",""))))</f>
        <v/>
      </c>
    </row>
    <row r="9886" spans="6:7">
      <c r="F9886" s="6">
        <f>IF($M9886="PADD I","PADD 1",IF($M9886="PADD II","PADD 2",IF($M9886="PADD III","PADD 3",IF($M9886="PADD IV","PADD 4",IF($M9886="PADD V","PADD 5","")))))</f>
        <v/>
      </c>
      <c r="G9886" s="6">
        <f>IF(AND($H9886="ATMOS DISTILLATION",ISNUMBER(SEARCH("VPS",$I9886))=FALSE,LEFT($I9886,6)&lt;&gt;"VACUUM"),"CDU",IF($H9886="FLUID CAT CRACKING","FCC",IF(OR($H9886="HYDROCRACKING",$H9886="RESID_HYDROCRACKING"),"Hydrocracker",IF($H9886="REFORMING","Reformer",""))))</f>
        <v/>
      </c>
    </row>
    <row r="9887" spans="6:7">
      <c r="F9887" s="6">
        <f>IF($M9887="PADD I","PADD 1",IF($M9887="PADD II","PADD 2",IF($M9887="PADD III","PADD 3",IF($M9887="PADD IV","PADD 4",IF($M9887="PADD V","PADD 5","")))))</f>
        <v/>
      </c>
      <c r="G9887" s="6">
        <f>IF(AND($H9887="ATMOS DISTILLATION",ISNUMBER(SEARCH("VPS",$I9887))=FALSE,LEFT($I9887,6)&lt;&gt;"VACUUM"),"CDU",IF($H9887="FLUID CAT CRACKING","FCC",IF(OR($H9887="HYDROCRACKING",$H9887="RESID_HYDROCRACKING"),"Hydrocracker",IF($H9887="REFORMING","Reformer",""))))</f>
        <v/>
      </c>
    </row>
    <row r="9888" spans="6:7">
      <c r="F9888" s="6">
        <f>IF($M9888="PADD I","PADD 1",IF($M9888="PADD II","PADD 2",IF($M9888="PADD III","PADD 3",IF($M9888="PADD IV","PADD 4",IF($M9888="PADD V","PADD 5","")))))</f>
        <v/>
      </c>
      <c r="G9888" s="6">
        <f>IF(AND($H9888="ATMOS DISTILLATION",ISNUMBER(SEARCH("VPS",$I9888))=FALSE,LEFT($I9888,6)&lt;&gt;"VACUUM"),"CDU",IF($H9888="FLUID CAT CRACKING","FCC",IF(OR($H9888="HYDROCRACKING",$H9888="RESID_HYDROCRACKING"),"Hydrocracker",IF($H9888="REFORMING","Reformer",""))))</f>
        <v/>
      </c>
    </row>
    <row r="9889" spans="6:7">
      <c r="F9889" s="6">
        <f>IF($M9889="PADD I","PADD 1",IF($M9889="PADD II","PADD 2",IF($M9889="PADD III","PADD 3",IF($M9889="PADD IV","PADD 4",IF($M9889="PADD V","PADD 5","")))))</f>
        <v/>
      </c>
      <c r="G9889" s="6">
        <f>IF(AND($H9889="ATMOS DISTILLATION",ISNUMBER(SEARCH("VPS",$I9889))=FALSE,LEFT($I9889,6)&lt;&gt;"VACUUM"),"CDU",IF($H9889="FLUID CAT CRACKING","FCC",IF(OR($H9889="HYDROCRACKING",$H9889="RESID_HYDROCRACKING"),"Hydrocracker",IF($H9889="REFORMING","Reformer",""))))</f>
        <v/>
      </c>
    </row>
    <row r="9890" spans="6:7">
      <c r="F9890" s="6">
        <f>IF($M9890="PADD I","PADD 1",IF($M9890="PADD II","PADD 2",IF($M9890="PADD III","PADD 3",IF($M9890="PADD IV","PADD 4",IF($M9890="PADD V","PADD 5","")))))</f>
        <v/>
      </c>
      <c r="G9890" s="6">
        <f>IF(AND($H9890="ATMOS DISTILLATION",ISNUMBER(SEARCH("VPS",$I9890))=FALSE,LEFT($I9890,6)&lt;&gt;"VACUUM"),"CDU",IF($H9890="FLUID CAT CRACKING","FCC",IF(OR($H9890="HYDROCRACKING",$H9890="RESID_HYDROCRACKING"),"Hydrocracker",IF($H9890="REFORMING","Reformer",""))))</f>
        <v/>
      </c>
    </row>
    <row r="9891" spans="6:7">
      <c r="F9891" s="6">
        <f>IF($M9891="PADD I","PADD 1",IF($M9891="PADD II","PADD 2",IF($M9891="PADD III","PADD 3",IF($M9891="PADD IV","PADD 4",IF($M9891="PADD V","PADD 5","")))))</f>
        <v/>
      </c>
      <c r="G9891" s="6">
        <f>IF(AND($H9891="ATMOS DISTILLATION",ISNUMBER(SEARCH("VPS",$I9891))=FALSE,LEFT($I9891,6)&lt;&gt;"VACUUM"),"CDU",IF($H9891="FLUID CAT CRACKING","FCC",IF(OR($H9891="HYDROCRACKING",$H9891="RESID_HYDROCRACKING"),"Hydrocracker",IF($H9891="REFORMING","Reformer",""))))</f>
        <v/>
      </c>
    </row>
    <row r="9892" spans="6:7">
      <c r="F9892" s="6">
        <f>IF($M9892="PADD I","PADD 1",IF($M9892="PADD II","PADD 2",IF($M9892="PADD III","PADD 3",IF($M9892="PADD IV","PADD 4",IF($M9892="PADD V","PADD 5","")))))</f>
        <v/>
      </c>
      <c r="G9892" s="6">
        <f>IF(AND($H9892="ATMOS DISTILLATION",ISNUMBER(SEARCH("VPS",$I9892))=FALSE,LEFT($I9892,6)&lt;&gt;"VACUUM"),"CDU",IF($H9892="FLUID CAT CRACKING","FCC",IF(OR($H9892="HYDROCRACKING",$H9892="RESID_HYDROCRACKING"),"Hydrocracker",IF($H9892="REFORMING","Reformer",""))))</f>
        <v/>
      </c>
    </row>
    <row r="9893" spans="6:7">
      <c r="F9893" s="6">
        <f>IF($M9893="PADD I","PADD 1",IF($M9893="PADD II","PADD 2",IF($M9893="PADD III","PADD 3",IF($M9893="PADD IV","PADD 4",IF($M9893="PADD V","PADD 5","")))))</f>
        <v/>
      </c>
      <c r="G9893" s="6">
        <f>IF(AND($H9893="ATMOS DISTILLATION",ISNUMBER(SEARCH("VPS",$I9893))=FALSE,LEFT($I9893,6)&lt;&gt;"VACUUM"),"CDU",IF($H9893="FLUID CAT CRACKING","FCC",IF(OR($H9893="HYDROCRACKING",$H9893="RESID_HYDROCRACKING"),"Hydrocracker",IF($H9893="REFORMING","Reformer",""))))</f>
        <v/>
      </c>
    </row>
    <row r="9894" spans="6:7">
      <c r="F9894" s="6">
        <f>IF($M9894="PADD I","PADD 1",IF($M9894="PADD II","PADD 2",IF($M9894="PADD III","PADD 3",IF($M9894="PADD IV","PADD 4",IF($M9894="PADD V","PADD 5","")))))</f>
        <v/>
      </c>
      <c r="G9894" s="6">
        <f>IF(AND($H9894="ATMOS DISTILLATION",ISNUMBER(SEARCH("VPS",$I9894))=FALSE,LEFT($I9894,6)&lt;&gt;"VACUUM"),"CDU",IF($H9894="FLUID CAT CRACKING","FCC",IF(OR($H9894="HYDROCRACKING",$H9894="RESID_HYDROCRACKING"),"Hydrocracker",IF($H9894="REFORMING","Reformer",""))))</f>
        <v/>
      </c>
    </row>
    <row r="9895" spans="6:7">
      <c r="F9895" s="6">
        <f>IF($M9895="PADD I","PADD 1",IF($M9895="PADD II","PADD 2",IF($M9895="PADD III","PADD 3",IF($M9895="PADD IV","PADD 4",IF($M9895="PADD V","PADD 5","")))))</f>
        <v/>
      </c>
      <c r="G9895" s="6">
        <f>IF(AND($H9895="ATMOS DISTILLATION",ISNUMBER(SEARCH("VPS",$I9895))=FALSE,LEFT($I9895,6)&lt;&gt;"VACUUM"),"CDU",IF($H9895="FLUID CAT CRACKING","FCC",IF(OR($H9895="HYDROCRACKING",$H9895="RESID_HYDROCRACKING"),"Hydrocracker",IF($H9895="REFORMING","Reformer",""))))</f>
        <v/>
      </c>
    </row>
    <row r="9896" spans="6:7">
      <c r="F9896" s="6">
        <f>IF($M9896="PADD I","PADD 1",IF($M9896="PADD II","PADD 2",IF($M9896="PADD III","PADD 3",IF($M9896="PADD IV","PADD 4",IF($M9896="PADD V","PADD 5","")))))</f>
        <v/>
      </c>
      <c r="G9896" s="6">
        <f>IF(AND($H9896="ATMOS DISTILLATION",ISNUMBER(SEARCH("VPS",$I9896))=FALSE,LEFT($I9896,6)&lt;&gt;"VACUUM"),"CDU",IF($H9896="FLUID CAT CRACKING","FCC",IF(OR($H9896="HYDROCRACKING",$H9896="RESID_HYDROCRACKING"),"Hydrocracker",IF($H9896="REFORMING","Reformer",""))))</f>
        <v/>
      </c>
    </row>
    <row r="9897" spans="6:7">
      <c r="F9897" s="6">
        <f>IF($M9897="PADD I","PADD 1",IF($M9897="PADD II","PADD 2",IF($M9897="PADD III","PADD 3",IF($M9897="PADD IV","PADD 4",IF($M9897="PADD V","PADD 5","")))))</f>
        <v/>
      </c>
      <c r="G9897" s="6">
        <f>IF(AND($H9897="ATMOS DISTILLATION",ISNUMBER(SEARCH("VPS",$I9897))=FALSE,LEFT($I9897,6)&lt;&gt;"VACUUM"),"CDU",IF($H9897="FLUID CAT CRACKING","FCC",IF(OR($H9897="HYDROCRACKING",$H9897="RESID_HYDROCRACKING"),"Hydrocracker",IF($H9897="REFORMING","Reformer",""))))</f>
        <v/>
      </c>
    </row>
    <row r="9898" spans="6:7">
      <c r="F9898" s="6">
        <f>IF($M9898="PADD I","PADD 1",IF($M9898="PADD II","PADD 2",IF($M9898="PADD III","PADD 3",IF($M9898="PADD IV","PADD 4",IF($M9898="PADD V","PADD 5","")))))</f>
        <v/>
      </c>
      <c r="G9898" s="6">
        <f>IF(AND($H9898="ATMOS DISTILLATION",ISNUMBER(SEARCH("VPS",$I9898))=FALSE,LEFT($I9898,6)&lt;&gt;"VACUUM"),"CDU",IF($H9898="FLUID CAT CRACKING","FCC",IF(OR($H9898="HYDROCRACKING",$H9898="RESID_HYDROCRACKING"),"Hydrocracker",IF($H9898="REFORMING","Reformer",""))))</f>
        <v/>
      </c>
    </row>
    <row r="9899" spans="6:7">
      <c r="F9899" s="6">
        <f>IF($M9899="PADD I","PADD 1",IF($M9899="PADD II","PADD 2",IF($M9899="PADD III","PADD 3",IF($M9899="PADD IV","PADD 4",IF($M9899="PADD V","PADD 5","")))))</f>
        <v/>
      </c>
      <c r="G9899" s="6">
        <f>IF(AND($H9899="ATMOS DISTILLATION",ISNUMBER(SEARCH("VPS",$I9899))=FALSE,LEFT($I9899,6)&lt;&gt;"VACUUM"),"CDU",IF($H9899="FLUID CAT CRACKING","FCC",IF(OR($H9899="HYDROCRACKING",$H9899="RESID_HYDROCRACKING"),"Hydrocracker",IF($H9899="REFORMING","Reformer",""))))</f>
        <v/>
      </c>
    </row>
    <row r="9900" spans="6:7">
      <c r="F9900" s="6">
        <f>IF($M9900="PADD I","PADD 1",IF($M9900="PADD II","PADD 2",IF($M9900="PADD III","PADD 3",IF($M9900="PADD IV","PADD 4",IF($M9900="PADD V","PADD 5","")))))</f>
        <v/>
      </c>
      <c r="G9900" s="6">
        <f>IF(AND($H9900="ATMOS DISTILLATION",ISNUMBER(SEARCH("VPS",$I9900))=FALSE,LEFT($I9900,6)&lt;&gt;"VACUUM"),"CDU",IF($H9900="FLUID CAT CRACKING","FCC",IF(OR($H9900="HYDROCRACKING",$H9900="RESID_HYDROCRACKING"),"Hydrocracker",IF($H9900="REFORMING","Reformer",""))))</f>
        <v/>
      </c>
    </row>
    <row r="9901" spans="6:7">
      <c r="F9901" s="6">
        <f>IF($M9901="PADD I","PADD 1",IF($M9901="PADD II","PADD 2",IF($M9901="PADD III","PADD 3",IF($M9901="PADD IV","PADD 4",IF($M9901="PADD V","PADD 5","")))))</f>
        <v/>
      </c>
      <c r="G9901" s="6">
        <f>IF(AND($H9901="ATMOS DISTILLATION",ISNUMBER(SEARCH("VPS",$I9901))=FALSE,LEFT($I9901,6)&lt;&gt;"VACUUM"),"CDU",IF($H9901="FLUID CAT CRACKING","FCC",IF(OR($H9901="HYDROCRACKING",$H9901="RESID_HYDROCRACKING"),"Hydrocracker",IF($H9901="REFORMING","Reformer",""))))</f>
        <v/>
      </c>
    </row>
    <row r="9902" spans="6:7">
      <c r="F9902" s="6">
        <f>IF($M9902="PADD I","PADD 1",IF($M9902="PADD II","PADD 2",IF($M9902="PADD III","PADD 3",IF($M9902="PADD IV","PADD 4",IF($M9902="PADD V","PADD 5","")))))</f>
        <v/>
      </c>
      <c r="G9902" s="6">
        <f>IF(AND($H9902="ATMOS DISTILLATION",ISNUMBER(SEARCH("VPS",$I9902))=FALSE,LEFT($I9902,6)&lt;&gt;"VACUUM"),"CDU",IF($H9902="FLUID CAT CRACKING","FCC",IF(OR($H9902="HYDROCRACKING",$H9902="RESID_HYDROCRACKING"),"Hydrocracker",IF($H9902="REFORMING","Reformer",""))))</f>
        <v/>
      </c>
    </row>
    <row r="9903" spans="6:7">
      <c r="F9903" s="6">
        <f>IF($M9903="PADD I","PADD 1",IF($M9903="PADD II","PADD 2",IF($M9903="PADD III","PADD 3",IF($M9903="PADD IV","PADD 4",IF($M9903="PADD V","PADD 5","")))))</f>
        <v/>
      </c>
      <c r="G9903" s="6">
        <f>IF(AND($H9903="ATMOS DISTILLATION",ISNUMBER(SEARCH("VPS",$I9903))=FALSE,LEFT($I9903,6)&lt;&gt;"VACUUM"),"CDU",IF($H9903="FLUID CAT CRACKING","FCC",IF(OR($H9903="HYDROCRACKING",$H9903="RESID_HYDROCRACKING"),"Hydrocracker",IF($H9903="REFORMING","Reformer",""))))</f>
        <v/>
      </c>
    </row>
    <row r="9904" spans="6:7">
      <c r="F9904" s="6">
        <f>IF($M9904="PADD I","PADD 1",IF($M9904="PADD II","PADD 2",IF($M9904="PADD III","PADD 3",IF($M9904="PADD IV","PADD 4",IF($M9904="PADD V","PADD 5","")))))</f>
        <v/>
      </c>
      <c r="G9904" s="6">
        <f>IF(AND($H9904="ATMOS DISTILLATION",ISNUMBER(SEARCH("VPS",$I9904))=FALSE,LEFT($I9904,6)&lt;&gt;"VACUUM"),"CDU",IF($H9904="FLUID CAT CRACKING","FCC",IF(OR($H9904="HYDROCRACKING",$H9904="RESID_HYDROCRACKING"),"Hydrocracker",IF($H9904="REFORMING","Reformer",""))))</f>
        <v/>
      </c>
    </row>
    <row r="9905" spans="6:7">
      <c r="F9905" s="6">
        <f>IF($M9905="PADD I","PADD 1",IF($M9905="PADD II","PADD 2",IF($M9905="PADD III","PADD 3",IF($M9905="PADD IV","PADD 4",IF($M9905="PADD V","PADD 5","")))))</f>
        <v/>
      </c>
      <c r="G9905" s="6">
        <f>IF(AND($H9905="ATMOS DISTILLATION",ISNUMBER(SEARCH("VPS",$I9905))=FALSE,LEFT($I9905,6)&lt;&gt;"VACUUM"),"CDU",IF($H9905="FLUID CAT CRACKING","FCC",IF(OR($H9905="HYDROCRACKING",$H9905="RESID_HYDROCRACKING"),"Hydrocracker",IF($H9905="REFORMING","Reformer",""))))</f>
        <v/>
      </c>
    </row>
    <row r="9906" spans="6:7">
      <c r="F9906" s="6">
        <f>IF($M9906="PADD I","PADD 1",IF($M9906="PADD II","PADD 2",IF($M9906="PADD III","PADD 3",IF($M9906="PADD IV","PADD 4",IF($M9906="PADD V","PADD 5","")))))</f>
        <v/>
      </c>
      <c r="G9906" s="6">
        <f>IF(AND($H9906="ATMOS DISTILLATION",ISNUMBER(SEARCH("VPS",$I9906))=FALSE,LEFT($I9906,6)&lt;&gt;"VACUUM"),"CDU",IF($H9906="FLUID CAT CRACKING","FCC",IF(OR($H9906="HYDROCRACKING",$H9906="RESID_HYDROCRACKING"),"Hydrocracker",IF($H9906="REFORMING","Reformer",""))))</f>
        <v/>
      </c>
    </row>
    <row r="9907" spans="6:7">
      <c r="F9907" s="6">
        <f>IF($M9907="PADD I","PADD 1",IF($M9907="PADD II","PADD 2",IF($M9907="PADD III","PADD 3",IF($M9907="PADD IV","PADD 4",IF($M9907="PADD V","PADD 5","")))))</f>
        <v/>
      </c>
      <c r="G9907" s="6">
        <f>IF(AND($H9907="ATMOS DISTILLATION",ISNUMBER(SEARCH("VPS",$I9907))=FALSE,LEFT($I9907,6)&lt;&gt;"VACUUM"),"CDU",IF($H9907="FLUID CAT CRACKING","FCC",IF(OR($H9907="HYDROCRACKING",$H9907="RESID_HYDROCRACKING"),"Hydrocracker",IF($H9907="REFORMING","Reformer",""))))</f>
        <v/>
      </c>
    </row>
    <row r="9908" spans="6:7">
      <c r="F9908" s="6">
        <f>IF($M9908="PADD I","PADD 1",IF($M9908="PADD II","PADD 2",IF($M9908="PADD III","PADD 3",IF($M9908="PADD IV","PADD 4",IF($M9908="PADD V","PADD 5","")))))</f>
        <v/>
      </c>
      <c r="G9908" s="6">
        <f>IF(AND($H9908="ATMOS DISTILLATION",ISNUMBER(SEARCH("VPS",$I9908))=FALSE,LEFT($I9908,6)&lt;&gt;"VACUUM"),"CDU",IF($H9908="FLUID CAT CRACKING","FCC",IF(OR($H9908="HYDROCRACKING",$H9908="RESID_HYDROCRACKING"),"Hydrocracker",IF($H9908="REFORMING","Reformer",""))))</f>
        <v/>
      </c>
    </row>
    <row r="9909" spans="6:7">
      <c r="F9909" s="6">
        <f>IF($M9909="PADD I","PADD 1",IF($M9909="PADD II","PADD 2",IF($M9909="PADD III","PADD 3",IF($M9909="PADD IV","PADD 4",IF($M9909="PADD V","PADD 5","")))))</f>
        <v/>
      </c>
      <c r="G9909" s="6">
        <f>IF(AND($H9909="ATMOS DISTILLATION",ISNUMBER(SEARCH("VPS",$I9909))=FALSE,LEFT($I9909,6)&lt;&gt;"VACUUM"),"CDU",IF($H9909="FLUID CAT CRACKING","FCC",IF(OR($H9909="HYDROCRACKING",$H9909="RESID_HYDROCRACKING"),"Hydrocracker",IF($H9909="REFORMING","Reformer",""))))</f>
        <v/>
      </c>
    </row>
    <row r="9910" spans="6:7">
      <c r="F9910" s="6">
        <f>IF($M9910="PADD I","PADD 1",IF($M9910="PADD II","PADD 2",IF($M9910="PADD III","PADD 3",IF($M9910="PADD IV","PADD 4",IF($M9910="PADD V","PADD 5","")))))</f>
        <v/>
      </c>
      <c r="G9910" s="6">
        <f>IF(AND($H9910="ATMOS DISTILLATION",ISNUMBER(SEARCH("VPS",$I9910))=FALSE,LEFT($I9910,6)&lt;&gt;"VACUUM"),"CDU",IF($H9910="FLUID CAT CRACKING","FCC",IF(OR($H9910="HYDROCRACKING",$H9910="RESID_HYDROCRACKING"),"Hydrocracker",IF($H9910="REFORMING","Reformer",""))))</f>
        <v/>
      </c>
    </row>
    <row r="9911" spans="6:7">
      <c r="F9911" s="6">
        <f>IF($M9911="PADD I","PADD 1",IF($M9911="PADD II","PADD 2",IF($M9911="PADD III","PADD 3",IF($M9911="PADD IV","PADD 4",IF($M9911="PADD V","PADD 5","")))))</f>
        <v/>
      </c>
      <c r="G9911" s="6">
        <f>IF(AND($H9911="ATMOS DISTILLATION",ISNUMBER(SEARCH("VPS",$I9911))=FALSE,LEFT($I9911,6)&lt;&gt;"VACUUM"),"CDU",IF($H9911="FLUID CAT CRACKING","FCC",IF(OR($H9911="HYDROCRACKING",$H9911="RESID_HYDROCRACKING"),"Hydrocracker",IF($H9911="REFORMING","Reformer",""))))</f>
        <v/>
      </c>
    </row>
    <row r="9912" spans="6:7">
      <c r="F9912" s="6">
        <f>IF($M9912="PADD I","PADD 1",IF($M9912="PADD II","PADD 2",IF($M9912="PADD III","PADD 3",IF($M9912="PADD IV","PADD 4",IF($M9912="PADD V","PADD 5","")))))</f>
        <v/>
      </c>
      <c r="G9912" s="6">
        <f>IF(AND($H9912="ATMOS DISTILLATION",ISNUMBER(SEARCH("VPS",$I9912))=FALSE,LEFT($I9912,6)&lt;&gt;"VACUUM"),"CDU",IF($H9912="FLUID CAT CRACKING","FCC",IF(OR($H9912="HYDROCRACKING",$H9912="RESID_HYDROCRACKING"),"Hydrocracker",IF($H9912="REFORMING","Reformer",""))))</f>
        <v/>
      </c>
    </row>
    <row r="9913" spans="6:7">
      <c r="F9913" s="6">
        <f>IF($M9913="PADD I","PADD 1",IF($M9913="PADD II","PADD 2",IF($M9913="PADD III","PADD 3",IF($M9913="PADD IV","PADD 4",IF($M9913="PADD V","PADD 5","")))))</f>
        <v/>
      </c>
      <c r="G9913" s="6">
        <f>IF(AND($H9913="ATMOS DISTILLATION",ISNUMBER(SEARCH("VPS",$I9913))=FALSE,LEFT($I9913,6)&lt;&gt;"VACUUM"),"CDU",IF($H9913="FLUID CAT CRACKING","FCC",IF(OR($H9913="HYDROCRACKING",$H9913="RESID_HYDROCRACKING"),"Hydrocracker",IF($H9913="REFORMING","Reformer",""))))</f>
        <v/>
      </c>
    </row>
    <row r="9914" spans="6:7">
      <c r="F9914" s="6">
        <f>IF($M9914="PADD I","PADD 1",IF($M9914="PADD II","PADD 2",IF($M9914="PADD III","PADD 3",IF($M9914="PADD IV","PADD 4",IF($M9914="PADD V","PADD 5","")))))</f>
        <v/>
      </c>
      <c r="G9914" s="6">
        <f>IF(AND($H9914="ATMOS DISTILLATION",ISNUMBER(SEARCH("VPS",$I9914))=FALSE,LEFT($I9914,6)&lt;&gt;"VACUUM"),"CDU",IF($H9914="FLUID CAT CRACKING","FCC",IF(OR($H9914="HYDROCRACKING",$H9914="RESID_HYDROCRACKING"),"Hydrocracker",IF($H9914="REFORMING","Reformer",""))))</f>
        <v/>
      </c>
    </row>
    <row r="9915" spans="6:7">
      <c r="F9915" s="6">
        <f>IF($M9915="PADD I","PADD 1",IF($M9915="PADD II","PADD 2",IF($M9915="PADD III","PADD 3",IF($M9915="PADD IV","PADD 4",IF($M9915="PADD V","PADD 5","")))))</f>
        <v/>
      </c>
      <c r="G9915" s="6">
        <f>IF(AND($H9915="ATMOS DISTILLATION",ISNUMBER(SEARCH("VPS",$I9915))=FALSE,LEFT($I9915,6)&lt;&gt;"VACUUM"),"CDU",IF($H9915="FLUID CAT CRACKING","FCC",IF(OR($H9915="HYDROCRACKING",$H9915="RESID_HYDROCRACKING"),"Hydrocracker",IF($H9915="REFORMING","Reformer",""))))</f>
        <v/>
      </c>
    </row>
    <row r="9916" spans="6:7">
      <c r="F9916" s="6">
        <f>IF($M9916="PADD I","PADD 1",IF($M9916="PADD II","PADD 2",IF($M9916="PADD III","PADD 3",IF($M9916="PADD IV","PADD 4",IF($M9916="PADD V","PADD 5","")))))</f>
        <v/>
      </c>
      <c r="G9916" s="6">
        <f>IF(AND($H9916="ATMOS DISTILLATION",ISNUMBER(SEARCH("VPS",$I9916))=FALSE,LEFT($I9916,6)&lt;&gt;"VACUUM"),"CDU",IF($H9916="FLUID CAT CRACKING","FCC",IF(OR($H9916="HYDROCRACKING",$H9916="RESID_HYDROCRACKING"),"Hydrocracker",IF($H9916="REFORMING","Reformer",""))))</f>
        <v/>
      </c>
    </row>
    <row r="9917" spans="6:7">
      <c r="F9917" s="6">
        <f>IF($M9917="PADD I","PADD 1",IF($M9917="PADD II","PADD 2",IF($M9917="PADD III","PADD 3",IF($M9917="PADD IV","PADD 4",IF($M9917="PADD V","PADD 5","")))))</f>
        <v/>
      </c>
      <c r="G9917" s="6">
        <f>IF(AND($H9917="ATMOS DISTILLATION",ISNUMBER(SEARCH("VPS",$I9917))=FALSE,LEFT($I9917,6)&lt;&gt;"VACUUM"),"CDU",IF($H9917="FLUID CAT CRACKING","FCC",IF(OR($H9917="HYDROCRACKING",$H9917="RESID_HYDROCRACKING"),"Hydrocracker",IF($H9917="REFORMING","Reformer",""))))</f>
        <v/>
      </c>
    </row>
    <row r="9918" spans="6:7">
      <c r="F9918" s="6">
        <f>IF($M9918="PADD I","PADD 1",IF($M9918="PADD II","PADD 2",IF($M9918="PADD III","PADD 3",IF($M9918="PADD IV","PADD 4",IF($M9918="PADD V","PADD 5","")))))</f>
        <v/>
      </c>
      <c r="G9918" s="6">
        <f>IF(AND($H9918="ATMOS DISTILLATION",ISNUMBER(SEARCH("VPS",$I9918))=FALSE,LEFT($I9918,6)&lt;&gt;"VACUUM"),"CDU",IF($H9918="FLUID CAT CRACKING","FCC",IF(OR($H9918="HYDROCRACKING",$H9918="RESID_HYDROCRACKING"),"Hydrocracker",IF($H9918="REFORMING","Reformer",""))))</f>
        <v/>
      </c>
    </row>
    <row r="9919" spans="6:7">
      <c r="F9919" s="6">
        <f>IF($M9919="PADD I","PADD 1",IF($M9919="PADD II","PADD 2",IF($M9919="PADD III","PADD 3",IF($M9919="PADD IV","PADD 4",IF($M9919="PADD V","PADD 5","")))))</f>
        <v/>
      </c>
      <c r="G9919" s="6">
        <f>IF(AND($H9919="ATMOS DISTILLATION",ISNUMBER(SEARCH("VPS",$I9919))=FALSE,LEFT($I9919,6)&lt;&gt;"VACUUM"),"CDU",IF($H9919="FLUID CAT CRACKING","FCC",IF(OR($H9919="HYDROCRACKING",$H9919="RESID_HYDROCRACKING"),"Hydrocracker",IF($H9919="REFORMING","Reformer",""))))</f>
        <v/>
      </c>
    </row>
    <row r="9920" spans="6:7">
      <c r="F9920" s="6">
        <f>IF($M9920="PADD I","PADD 1",IF($M9920="PADD II","PADD 2",IF($M9920="PADD III","PADD 3",IF($M9920="PADD IV","PADD 4",IF($M9920="PADD V","PADD 5","")))))</f>
        <v/>
      </c>
      <c r="G9920" s="6">
        <f>IF(AND($H9920="ATMOS DISTILLATION",ISNUMBER(SEARCH("VPS",$I9920))=FALSE,LEFT($I9920,6)&lt;&gt;"VACUUM"),"CDU",IF($H9920="FLUID CAT CRACKING","FCC",IF(OR($H9920="HYDROCRACKING",$H9920="RESID_HYDROCRACKING"),"Hydrocracker",IF($H9920="REFORMING","Reformer",""))))</f>
        <v/>
      </c>
    </row>
    <row r="9921" spans="6:7">
      <c r="F9921" s="6">
        <f>IF($M9921="PADD I","PADD 1",IF($M9921="PADD II","PADD 2",IF($M9921="PADD III","PADD 3",IF($M9921="PADD IV","PADD 4",IF($M9921="PADD V","PADD 5","")))))</f>
        <v/>
      </c>
      <c r="G9921" s="6">
        <f>IF(AND($H9921="ATMOS DISTILLATION",ISNUMBER(SEARCH("VPS",$I9921))=FALSE,LEFT($I9921,6)&lt;&gt;"VACUUM"),"CDU",IF($H9921="FLUID CAT CRACKING","FCC",IF(OR($H9921="HYDROCRACKING",$H9921="RESID_HYDROCRACKING"),"Hydrocracker",IF($H9921="REFORMING","Reformer",""))))</f>
        <v/>
      </c>
    </row>
    <row r="9922" spans="6:7">
      <c r="F9922" s="6">
        <f>IF($M9922="PADD I","PADD 1",IF($M9922="PADD II","PADD 2",IF($M9922="PADD III","PADD 3",IF($M9922="PADD IV","PADD 4",IF($M9922="PADD V","PADD 5","")))))</f>
        <v/>
      </c>
      <c r="G9922" s="6">
        <f>IF(AND($H9922="ATMOS DISTILLATION",ISNUMBER(SEARCH("VPS",$I9922))=FALSE,LEFT($I9922,6)&lt;&gt;"VACUUM"),"CDU",IF($H9922="FLUID CAT CRACKING","FCC",IF(OR($H9922="HYDROCRACKING",$H9922="RESID_HYDROCRACKING"),"Hydrocracker",IF($H9922="REFORMING","Reformer",""))))</f>
        <v/>
      </c>
    </row>
    <row r="9923" spans="6:7">
      <c r="F9923" s="6">
        <f>IF($M9923="PADD I","PADD 1",IF($M9923="PADD II","PADD 2",IF($M9923="PADD III","PADD 3",IF($M9923="PADD IV","PADD 4",IF($M9923="PADD V","PADD 5","")))))</f>
        <v/>
      </c>
      <c r="G9923" s="6">
        <f>IF(AND($H9923="ATMOS DISTILLATION",ISNUMBER(SEARCH("VPS",$I9923))=FALSE,LEFT($I9923,6)&lt;&gt;"VACUUM"),"CDU",IF($H9923="FLUID CAT CRACKING","FCC",IF(OR($H9923="HYDROCRACKING",$H9923="RESID_HYDROCRACKING"),"Hydrocracker",IF($H9923="REFORMING","Reformer",""))))</f>
        <v/>
      </c>
    </row>
    <row r="9924" spans="6:7">
      <c r="F9924" s="6">
        <f>IF($M9924="PADD I","PADD 1",IF($M9924="PADD II","PADD 2",IF($M9924="PADD III","PADD 3",IF($M9924="PADD IV","PADD 4",IF($M9924="PADD V","PADD 5","")))))</f>
        <v/>
      </c>
      <c r="G9924" s="6">
        <f>IF(AND($H9924="ATMOS DISTILLATION",ISNUMBER(SEARCH("VPS",$I9924))=FALSE,LEFT($I9924,6)&lt;&gt;"VACUUM"),"CDU",IF($H9924="FLUID CAT CRACKING","FCC",IF(OR($H9924="HYDROCRACKING",$H9924="RESID_HYDROCRACKING"),"Hydrocracker",IF($H9924="REFORMING","Reformer",""))))</f>
        <v/>
      </c>
    </row>
    <row r="9925" spans="6:7">
      <c r="F9925" s="6">
        <f>IF($M9925="PADD I","PADD 1",IF($M9925="PADD II","PADD 2",IF($M9925="PADD III","PADD 3",IF($M9925="PADD IV","PADD 4",IF($M9925="PADD V","PADD 5","")))))</f>
        <v/>
      </c>
      <c r="G9925" s="6">
        <f>IF(AND($H9925="ATMOS DISTILLATION",ISNUMBER(SEARCH("VPS",$I9925))=FALSE,LEFT($I9925,6)&lt;&gt;"VACUUM"),"CDU",IF($H9925="FLUID CAT CRACKING","FCC",IF(OR($H9925="HYDROCRACKING",$H9925="RESID_HYDROCRACKING"),"Hydrocracker",IF($H9925="REFORMING","Reformer",""))))</f>
        <v/>
      </c>
    </row>
    <row r="9926" spans="6:7">
      <c r="F9926" s="6">
        <f>IF($M9926="PADD I","PADD 1",IF($M9926="PADD II","PADD 2",IF($M9926="PADD III","PADD 3",IF($M9926="PADD IV","PADD 4",IF($M9926="PADD V","PADD 5","")))))</f>
        <v/>
      </c>
      <c r="G9926" s="6">
        <f>IF(AND($H9926="ATMOS DISTILLATION",ISNUMBER(SEARCH("VPS",$I9926))=FALSE,LEFT($I9926,6)&lt;&gt;"VACUUM"),"CDU",IF($H9926="FLUID CAT CRACKING","FCC",IF(OR($H9926="HYDROCRACKING",$H9926="RESID_HYDROCRACKING"),"Hydrocracker",IF($H9926="REFORMING","Reformer",""))))</f>
        <v/>
      </c>
    </row>
    <row r="9927" spans="6:7">
      <c r="F9927" s="6">
        <f>IF($M9927="PADD I","PADD 1",IF($M9927="PADD II","PADD 2",IF($M9927="PADD III","PADD 3",IF($M9927="PADD IV","PADD 4",IF($M9927="PADD V","PADD 5","")))))</f>
        <v/>
      </c>
      <c r="G9927" s="6">
        <f>IF(AND($H9927="ATMOS DISTILLATION",ISNUMBER(SEARCH("VPS",$I9927))=FALSE,LEFT($I9927,6)&lt;&gt;"VACUUM"),"CDU",IF($H9927="FLUID CAT CRACKING","FCC",IF(OR($H9927="HYDROCRACKING",$H9927="RESID_HYDROCRACKING"),"Hydrocracker",IF($H9927="REFORMING","Reformer",""))))</f>
        <v/>
      </c>
    </row>
    <row r="9928" spans="6:7">
      <c r="F9928" s="6">
        <f>IF($M9928="PADD I","PADD 1",IF($M9928="PADD II","PADD 2",IF($M9928="PADD III","PADD 3",IF($M9928="PADD IV","PADD 4",IF($M9928="PADD V","PADD 5","")))))</f>
        <v/>
      </c>
      <c r="G9928" s="6">
        <f>IF(AND($H9928="ATMOS DISTILLATION",ISNUMBER(SEARCH("VPS",$I9928))=FALSE,LEFT($I9928,6)&lt;&gt;"VACUUM"),"CDU",IF($H9928="FLUID CAT CRACKING","FCC",IF(OR($H9928="HYDROCRACKING",$H9928="RESID_HYDROCRACKING"),"Hydrocracker",IF($H9928="REFORMING","Reformer",""))))</f>
        <v/>
      </c>
    </row>
    <row r="9929" spans="6:7">
      <c r="F9929" s="6">
        <f>IF($M9929="PADD I","PADD 1",IF($M9929="PADD II","PADD 2",IF($M9929="PADD III","PADD 3",IF($M9929="PADD IV","PADD 4",IF($M9929="PADD V","PADD 5","")))))</f>
        <v/>
      </c>
      <c r="G9929" s="6">
        <f>IF(AND($H9929="ATMOS DISTILLATION",ISNUMBER(SEARCH("VPS",$I9929))=FALSE,LEFT($I9929,6)&lt;&gt;"VACUUM"),"CDU",IF($H9929="FLUID CAT CRACKING","FCC",IF(OR($H9929="HYDROCRACKING",$H9929="RESID_HYDROCRACKING"),"Hydrocracker",IF($H9929="REFORMING","Reformer",""))))</f>
        <v/>
      </c>
    </row>
    <row r="9930" spans="6:7">
      <c r="F9930" s="6">
        <f>IF($M9930="PADD I","PADD 1",IF($M9930="PADD II","PADD 2",IF($M9930="PADD III","PADD 3",IF($M9930="PADD IV","PADD 4",IF($M9930="PADD V","PADD 5","")))))</f>
        <v/>
      </c>
      <c r="G9930" s="6">
        <f>IF(AND($H9930="ATMOS DISTILLATION",ISNUMBER(SEARCH("VPS",$I9930))=FALSE,LEFT($I9930,6)&lt;&gt;"VACUUM"),"CDU",IF($H9930="FLUID CAT CRACKING","FCC",IF(OR($H9930="HYDROCRACKING",$H9930="RESID_HYDROCRACKING"),"Hydrocracker",IF($H9930="REFORMING","Reformer",""))))</f>
        <v/>
      </c>
    </row>
    <row r="9931" spans="6:7">
      <c r="F9931" s="6">
        <f>IF($M9931="PADD I","PADD 1",IF($M9931="PADD II","PADD 2",IF($M9931="PADD III","PADD 3",IF($M9931="PADD IV","PADD 4",IF($M9931="PADD V","PADD 5","")))))</f>
        <v/>
      </c>
      <c r="G9931" s="6">
        <f>IF(AND($H9931="ATMOS DISTILLATION",ISNUMBER(SEARCH("VPS",$I9931))=FALSE,LEFT($I9931,6)&lt;&gt;"VACUUM"),"CDU",IF($H9931="FLUID CAT CRACKING","FCC",IF(OR($H9931="HYDROCRACKING",$H9931="RESID_HYDROCRACKING"),"Hydrocracker",IF($H9931="REFORMING","Reformer",""))))</f>
        <v/>
      </c>
    </row>
    <row r="9932" spans="6:7">
      <c r="F9932" s="6">
        <f>IF($M9932="PADD I","PADD 1",IF($M9932="PADD II","PADD 2",IF($M9932="PADD III","PADD 3",IF($M9932="PADD IV","PADD 4",IF($M9932="PADD V","PADD 5","")))))</f>
        <v/>
      </c>
      <c r="G9932" s="6">
        <f>IF(AND($H9932="ATMOS DISTILLATION",ISNUMBER(SEARCH("VPS",$I9932))=FALSE,LEFT($I9932,6)&lt;&gt;"VACUUM"),"CDU",IF($H9932="FLUID CAT CRACKING","FCC",IF(OR($H9932="HYDROCRACKING",$H9932="RESID_HYDROCRACKING"),"Hydrocracker",IF($H9932="REFORMING","Reformer",""))))</f>
        <v/>
      </c>
    </row>
    <row r="9933" spans="6:7">
      <c r="F9933" s="6">
        <f>IF($M9933="PADD I","PADD 1",IF($M9933="PADD II","PADD 2",IF($M9933="PADD III","PADD 3",IF($M9933="PADD IV","PADD 4",IF($M9933="PADD V","PADD 5","")))))</f>
        <v/>
      </c>
      <c r="G9933" s="6">
        <f>IF(AND($H9933="ATMOS DISTILLATION",ISNUMBER(SEARCH("VPS",$I9933))=FALSE,LEFT($I9933,6)&lt;&gt;"VACUUM"),"CDU",IF($H9933="FLUID CAT CRACKING","FCC",IF(OR($H9933="HYDROCRACKING",$H9933="RESID_HYDROCRACKING"),"Hydrocracker",IF($H9933="REFORMING","Reformer",""))))</f>
        <v/>
      </c>
    </row>
    <row r="9934" spans="6:7">
      <c r="F9934" s="6">
        <f>IF($M9934="PADD I","PADD 1",IF($M9934="PADD II","PADD 2",IF($M9934="PADD III","PADD 3",IF($M9934="PADD IV","PADD 4",IF($M9934="PADD V","PADD 5","")))))</f>
        <v/>
      </c>
      <c r="G9934" s="6">
        <f>IF(AND($H9934="ATMOS DISTILLATION",ISNUMBER(SEARCH("VPS",$I9934))=FALSE,LEFT($I9934,6)&lt;&gt;"VACUUM"),"CDU",IF($H9934="FLUID CAT CRACKING","FCC",IF(OR($H9934="HYDROCRACKING",$H9934="RESID_HYDROCRACKING"),"Hydrocracker",IF($H9934="REFORMING","Reformer",""))))</f>
        <v/>
      </c>
    </row>
    <row r="9935" spans="6:7">
      <c r="F9935" s="6">
        <f>IF($M9935="PADD I","PADD 1",IF($M9935="PADD II","PADD 2",IF($M9935="PADD III","PADD 3",IF($M9935="PADD IV","PADD 4",IF($M9935="PADD V","PADD 5","")))))</f>
        <v/>
      </c>
      <c r="G9935" s="6">
        <f>IF(AND($H9935="ATMOS DISTILLATION",ISNUMBER(SEARCH("VPS",$I9935))=FALSE,LEFT($I9935,6)&lt;&gt;"VACUUM"),"CDU",IF($H9935="FLUID CAT CRACKING","FCC",IF(OR($H9935="HYDROCRACKING",$H9935="RESID_HYDROCRACKING"),"Hydrocracker",IF($H9935="REFORMING","Reformer",""))))</f>
        <v/>
      </c>
    </row>
    <row r="9936" spans="6:7">
      <c r="F9936" s="6">
        <f>IF($M9936="PADD I","PADD 1",IF($M9936="PADD II","PADD 2",IF($M9936="PADD III","PADD 3",IF($M9936="PADD IV","PADD 4",IF($M9936="PADD V","PADD 5","")))))</f>
        <v/>
      </c>
      <c r="G9936" s="6">
        <f>IF(AND($H9936="ATMOS DISTILLATION",ISNUMBER(SEARCH("VPS",$I9936))=FALSE,LEFT($I9936,6)&lt;&gt;"VACUUM"),"CDU",IF($H9936="FLUID CAT CRACKING","FCC",IF(OR($H9936="HYDROCRACKING",$H9936="RESID_HYDROCRACKING"),"Hydrocracker",IF($H9936="REFORMING","Reformer",""))))</f>
        <v/>
      </c>
    </row>
    <row r="9937" spans="6:7">
      <c r="F9937" s="6">
        <f>IF($M9937="PADD I","PADD 1",IF($M9937="PADD II","PADD 2",IF($M9937="PADD III","PADD 3",IF($M9937="PADD IV","PADD 4",IF($M9937="PADD V","PADD 5","")))))</f>
        <v/>
      </c>
      <c r="G9937" s="6">
        <f>IF(AND($H9937="ATMOS DISTILLATION",ISNUMBER(SEARCH("VPS",$I9937))=FALSE,LEFT($I9937,6)&lt;&gt;"VACUUM"),"CDU",IF($H9937="FLUID CAT CRACKING","FCC",IF(OR($H9937="HYDROCRACKING",$H9937="RESID_HYDROCRACKING"),"Hydrocracker",IF($H9937="REFORMING","Reformer",""))))</f>
        <v/>
      </c>
    </row>
    <row r="9938" spans="6:7">
      <c r="F9938" s="6">
        <f>IF($M9938="PADD I","PADD 1",IF($M9938="PADD II","PADD 2",IF($M9938="PADD III","PADD 3",IF($M9938="PADD IV","PADD 4",IF($M9938="PADD V","PADD 5","")))))</f>
        <v/>
      </c>
      <c r="G9938" s="6">
        <f>IF(AND($H9938="ATMOS DISTILLATION",ISNUMBER(SEARCH("VPS",$I9938))=FALSE,LEFT($I9938,6)&lt;&gt;"VACUUM"),"CDU",IF($H9938="FLUID CAT CRACKING","FCC",IF(OR($H9938="HYDROCRACKING",$H9938="RESID_HYDROCRACKING"),"Hydrocracker",IF($H9938="REFORMING","Reformer",""))))</f>
        <v/>
      </c>
    </row>
    <row r="9939" spans="6:7">
      <c r="F9939" s="6">
        <f>IF($M9939="PADD I","PADD 1",IF($M9939="PADD II","PADD 2",IF($M9939="PADD III","PADD 3",IF($M9939="PADD IV","PADD 4",IF($M9939="PADD V","PADD 5","")))))</f>
        <v/>
      </c>
      <c r="G9939" s="6">
        <f>IF(AND($H9939="ATMOS DISTILLATION",ISNUMBER(SEARCH("VPS",$I9939))=FALSE,LEFT($I9939,6)&lt;&gt;"VACUUM"),"CDU",IF($H9939="FLUID CAT CRACKING","FCC",IF(OR($H9939="HYDROCRACKING",$H9939="RESID_HYDROCRACKING"),"Hydrocracker",IF($H9939="REFORMING","Reformer",""))))</f>
        <v/>
      </c>
    </row>
    <row r="9940" spans="6:7">
      <c r="F9940" s="6">
        <f>IF($M9940="PADD I","PADD 1",IF($M9940="PADD II","PADD 2",IF($M9940="PADD III","PADD 3",IF($M9940="PADD IV","PADD 4",IF($M9940="PADD V","PADD 5","")))))</f>
        <v/>
      </c>
      <c r="G9940" s="6">
        <f>IF(AND($H9940="ATMOS DISTILLATION",ISNUMBER(SEARCH("VPS",$I9940))=FALSE,LEFT($I9940,6)&lt;&gt;"VACUUM"),"CDU",IF($H9940="FLUID CAT CRACKING","FCC",IF(OR($H9940="HYDROCRACKING",$H9940="RESID_HYDROCRACKING"),"Hydrocracker",IF($H9940="REFORMING","Reformer",""))))</f>
        <v/>
      </c>
    </row>
    <row r="9941" spans="6:7">
      <c r="F9941" s="6">
        <f>IF($M9941="PADD I","PADD 1",IF($M9941="PADD II","PADD 2",IF($M9941="PADD III","PADD 3",IF($M9941="PADD IV","PADD 4",IF($M9941="PADD V","PADD 5","")))))</f>
        <v/>
      </c>
      <c r="G9941" s="6">
        <f>IF(AND($H9941="ATMOS DISTILLATION",ISNUMBER(SEARCH("VPS",$I9941))=FALSE,LEFT($I9941,6)&lt;&gt;"VACUUM"),"CDU",IF($H9941="FLUID CAT CRACKING","FCC",IF(OR($H9941="HYDROCRACKING",$H9941="RESID_HYDROCRACKING"),"Hydrocracker",IF($H9941="REFORMING","Reformer",""))))</f>
        <v/>
      </c>
    </row>
    <row r="9942" spans="6:7">
      <c r="F9942" s="6">
        <f>IF($M9942="PADD I","PADD 1",IF($M9942="PADD II","PADD 2",IF($M9942="PADD III","PADD 3",IF($M9942="PADD IV","PADD 4",IF($M9942="PADD V","PADD 5","")))))</f>
        <v/>
      </c>
      <c r="G9942" s="6">
        <f>IF(AND($H9942="ATMOS DISTILLATION",ISNUMBER(SEARCH("VPS",$I9942))=FALSE,LEFT($I9942,6)&lt;&gt;"VACUUM"),"CDU",IF($H9942="FLUID CAT CRACKING","FCC",IF(OR($H9942="HYDROCRACKING",$H9942="RESID_HYDROCRACKING"),"Hydrocracker",IF($H9942="REFORMING","Reformer",""))))</f>
        <v/>
      </c>
    </row>
    <row r="9943" spans="6:7">
      <c r="F9943" s="6">
        <f>IF($M9943="PADD I","PADD 1",IF($M9943="PADD II","PADD 2",IF($M9943="PADD III","PADD 3",IF($M9943="PADD IV","PADD 4",IF($M9943="PADD V","PADD 5","")))))</f>
        <v/>
      </c>
      <c r="G9943" s="6">
        <f>IF(AND($H9943="ATMOS DISTILLATION",ISNUMBER(SEARCH("VPS",$I9943))=FALSE,LEFT($I9943,6)&lt;&gt;"VACUUM"),"CDU",IF($H9943="FLUID CAT CRACKING","FCC",IF(OR($H9943="HYDROCRACKING",$H9943="RESID_HYDROCRACKING"),"Hydrocracker",IF($H9943="REFORMING","Reformer",""))))</f>
        <v/>
      </c>
    </row>
    <row r="9944" spans="6:7">
      <c r="F9944" s="6">
        <f>IF($M9944="PADD I","PADD 1",IF($M9944="PADD II","PADD 2",IF($M9944="PADD III","PADD 3",IF($M9944="PADD IV","PADD 4",IF($M9944="PADD V","PADD 5","")))))</f>
        <v/>
      </c>
      <c r="G9944" s="6">
        <f>IF(AND($H9944="ATMOS DISTILLATION",ISNUMBER(SEARCH("VPS",$I9944))=FALSE,LEFT($I9944,6)&lt;&gt;"VACUUM"),"CDU",IF($H9944="FLUID CAT CRACKING","FCC",IF(OR($H9944="HYDROCRACKING",$H9944="RESID_HYDROCRACKING"),"Hydrocracker",IF($H9944="REFORMING","Reformer",""))))</f>
        <v/>
      </c>
    </row>
    <row r="9945" spans="6:7">
      <c r="F9945" s="6">
        <f>IF($M9945="PADD I","PADD 1",IF($M9945="PADD II","PADD 2",IF($M9945="PADD III","PADD 3",IF($M9945="PADD IV","PADD 4",IF($M9945="PADD V","PADD 5","")))))</f>
        <v/>
      </c>
      <c r="G9945" s="6">
        <f>IF(AND($H9945="ATMOS DISTILLATION",ISNUMBER(SEARCH("VPS",$I9945))=FALSE,LEFT($I9945,6)&lt;&gt;"VACUUM"),"CDU",IF($H9945="FLUID CAT CRACKING","FCC",IF(OR($H9945="HYDROCRACKING",$H9945="RESID_HYDROCRACKING"),"Hydrocracker",IF($H9945="REFORMING","Reformer",""))))</f>
        <v/>
      </c>
    </row>
    <row r="9946" spans="6:7">
      <c r="F9946" s="6">
        <f>IF($M9946="PADD I","PADD 1",IF($M9946="PADD II","PADD 2",IF($M9946="PADD III","PADD 3",IF($M9946="PADD IV","PADD 4",IF($M9946="PADD V","PADD 5","")))))</f>
        <v/>
      </c>
      <c r="G9946" s="6">
        <f>IF(AND($H9946="ATMOS DISTILLATION",ISNUMBER(SEARCH("VPS",$I9946))=FALSE,LEFT($I9946,6)&lt;&gt;"VACUUM"),"CDU",IF($H9946="FLUID CAT CRACKING","FCC",IF(OR($H9946="HYDROCRACKING",$H9946="RESID_HYDROCRACKING"),"Hydrocracker",IF($H9946="REFORMING","Reformer",""))))</f>
        <v/>
      </c>
    </row>
    <row r="9947" spans="6:7">
      <c r="F9947" s="6">
        <f>IF($M9947="PADD I","PADD 1",IF($M9947="PADD II","PADD 2",IF($M9947="PADD III","PADD 3",IF($M9947="PADD IV","PADD 4",IF($M9947="PADD V","PADD 5","")))))</f>
        <v/>
      </c>
      <c r="G9947" s="6">
        <f>IF(AND($H9947="ATMOS DISTILLATION",ISNUMBER(SEARCH("VPS",$I9947))=FALSE,LEFT($I9947,6)&lt;&gt;"VACUUM"),"CDU",IF($H9947="FLUID CAT CRACKING","FCC",IF(OR($H9947="HYDROCRACKING",$H9947="RESID_HYDROCRACKING"),"Hydrocracker",IF($H9947="REFORMING","Reformer",""))))</f>
        <v/>
      </c>
    </row>
    <row r="9948" spans="6:7">
      <c r="F9948" s="6">
        <f>IF($M9948="PADD I","PADD 1",IF($M9948="PADD II","PADD 2",IF($M9948="PADD III","PADD 3",IF($M9948="PADD IV","PADD 4",IF($M9948="PADD V","PADD 5","")))))</f>
        <v/>
      </c>
      <c r="G9948" s="6">
        <f>IF(AND($H9948="ATMOS DISTILLATION",ISNUMBER(SEARCH("VPS",$I9948))=FALSE,LEFT($I9948,6)&lt;&gt;"VACUUM"),"CDU",IF($H9948="FLUID CAT CRACKING","FCC",IF(OR($H9948="HYDROCRACKING",$H9948="RESID_HYDROCRACKING"),"Hydrocracker",IF($H9948="REFORMING","Reformer",""))))</f>
        <v/>
      </c>
    </row>
    <row r="9949" spans="6:7">
      <c r="F9949" s="6">
        <f>IF($M9949="PADD I","PADD 1",IF($M9949="PADD II","PADD 2",IF($M9949="PADD III","PADD 3",IF($M9949="PADD IV","PADD 4",IF($M9949="PADD V","PADD 5","")))))</f>
        <v/>
      </c>
      <c r="G9949" s="6">
        <f>IF(AND($H9949="ATMOS DISTILLATION",ISNUMBER(SEARCH("VPS",$I9949))=FALSE,LEFT($I9949,6)&lt;&gt;"VACUUM"),"CDU",IF($H9949="FLUID CAT CRACKING","FCC",IF(OR($H9949="HYDROCRACKING",$H9949="RESID_HYDROCRACKING"),"Hydrocracker",IF($H9949="REFORMING","Reformer",""))))</f>
        <v/>
      </c>
    </row>
    <row r="9950" spans="6:7">
      <c r="F9950" s="6">
        <f>IF($M9950="PADD I","PADD 1",IF($M9950="PADD II","PADD 2",IF($M9950="PADD III","PADD 3",IF($M9950="PADD IV","PADD 4",IF($M9950="PADD V","PADD 5","")))))</f>
        <v/>
      </c>
      <c r="G9950" s="6">
        <f>IF(AND($H9950="ATMOS DISTILLATION",ISNUMBER(SEARCH("VPS",$I9950))=FALSE,LEFT($I9950,6)&lt;&gt;"VACUUM"),"CDU",IF($H9950="FLUID CAT CRACKING","FCC",IF(OR($H9950="HYDROCRACKING",$H9950="RESID_HYDROCRACKING"),"Hydrocracker",IF($H9950="REFORMING","Reformer",""))))</f>
        <v/>
      </c>
    </row>
    <row r="9951" spans="6:7">
      <c r="F9951" s="6">
        <f>IF($M9951="PADD I","PADD 1",IF($M9951="PADD II","PADD 2",IF($M9951="PADD III","PADD 3",IF($M9951="PADD IV","PADD 4",IF($M9951="PADD V","PADD 5","")))))</f>
        <v/>
      </c>
      <c r="G9951" s="6">
        <f>IF(AND($H9951="ATMOS DISTILLATION",ISNUMBER(SEARCH("VPS",$I9951))=FALSE,LEFT($I9951,6)&lt;&gt;"VACUUM"),"CDU",IF($H9951="FLUID CAT CRACKING","FCC",IF(OR($H9951="HYDROCRACKING",$H9951="RESID_HYDROCRACKING"),"Hydrocracker",IF($H9951="REFORMING","Reformer",""))))</f>
        <v/>
      </c>
    </row>
    <row r="9952" spans="6:7">
      <c r="F9952" s="6">
        <f>IF($M9952="PADD I","PADD 1",IF($M9952="PADD II","PADD 2",IF($M9952="PADD III","PADD 3",IF($M9952="PADD IV","PADD 4",IF($M9952="PADD V","PADD 5","")))))</f>
        <v/>
      </c>
      <c r="G9952" s="6">
        <f>IF(AND($H9952="ATMOS DISTILLATION",ISNUMBER(SEARCH("VPS",$I9952))=FALSE,LEFT($I9952,6)&lt;&gt;"VACUUM"),"CDU",IF($H9952="FLUID CAT CRACKING","FCC",IF(OR($H9952="HYDROCRACKING",$H9952="RESID_HYDROCRACKING"),"Hydrocracker",IF($H9952="REFORMING","Reformer",""))))</f>
        <v/>
      </c>
    </row>
    <row r="9953" spans="6:7">
      <c r="F9953" s="6">
        <f>IF($M9953="PADD I","PADD 1",IF($M9953="PADD II","PADD 2",IF($M9953="PADD III","PADD 3",IF($M9953="PADD IV","PADD 4",IF($M9953="PADD V","PADD 5","")))))</f>
        <v/>
      </c>
      <c r="G9953" s="6">
        <f>IF(AND($H9953="ATMOS DISTILLATION",ISNUMBER(SEARCH("VPS",$I9953))=FALSE,LEFT($I9953,6)&lt;&gt;"VACUUM"),"CDU",IF($H9953="FLUID CAT CRACKING","FCC",IF(OR($H9953="HYDROCRACKING",$H9953="RESID_HYDROCRACKING"),"Hydrocracker",IF($H9953="REFORMING","Reformer",""))))</f>
        <v/>
      </c>
    </row>
    <row r="9954" spans="6:7">
      <c r="F9954" s="6">
        <f>IF($M9954="PADD I","PADD 1",IF($M9954="PADD II","PADD 2",IF($M9954="PADD III","PADD 3",IF($M9954="PADD IV","PADD 4",IF($M9954="PADD V","PADD 5","")))))</f>
        <v/>
      </c>
      <c r="G9954" s="6">
        <f>IF(AND($H9954="ATMOS DISTILLATION",ISNUMBER(SEARCH("VPS",$I9954))=FALSE,LEFT($I9954,6)&lt;&gt;"VACUUM"),"CDU",IF($H9954="FLUID CAT CRACKING","FCC",IF(OR($H9954="HYDROCRACKING",$H9954="RESID_HYDROCRACKING"),"Hydrocracker",IF($H9954="REFORMING","Reformer",""))))</f>
        <v/>
      </c>
    </row>
    <row r="9955" spans="6:7">
      <c r="F9955" s="6">
        <f>IF($M9955="PADD I","PADD 1",IF($M9955="PADD II","PADD 2",IF($M9955="PADD III","PADD 3",IF($M9955="PADD IV","PADD 4",IF($M9955="PADD V","PADD 5","")))))</f>
        <v/>
      </c>
      <c r="G9955" s="6">
        <f>IF(AND($H9955="ATMOS DISTILLATION",ISNUMBER(SEARCH("VPS",$I9955))=FALSE,LEFT($I9955,6)&lt;&gt;"VACUUM"),"CDU",IF($H9955="FLUID CAT CRACKING","FCC",IF(OR($H9955="HYDROCRACKING",$H9955="RESID_HYDROCRACKING"),"Hydrocracker",IF($H9955="REFORMING","Reformer",""))))</f>
        <v/>
      </c>
    </row>
    <row r="9956" spans="6:7">
      <c r="F9956" s="6">
        <f>IF($M9956="PADD I","PADD 1",IF($M9956="PADD II","PADD 2",IF($M9956="PADD III","PADD 3",IF($M9956="PADD IV","PADD 4",IF($M9956="PADD V","PADD 5","")))))</f>
        <v/>
      </c>
      <c r="G9956" s="6">
        <f>IF(AND($H9956="ATMOS DISTILLATION",ISNUMBER(SEARCH("VPS",$I9956))=FALSE,LEFT($I9956,6)&lt;&gt;"VACUUM"),"CDU",IF($H9956="FLUID CAT CRACKING","FCC",IF(OR($H9956="HYDROCRACKING",$H9956="RESID_HYDROCRACKING"),"Hydrocracker",IF($H9956="REFORMING","Reformer",""))))</f>
        <v/>
      </c>
    </row>
    <row r="9957" spans="6:7">
      <c r="F9957" s="6">
        <f>IF($M9957="PADD I","PADD 1",IF($M9957="PADD II","PADD 2",IF($M9957="PADD III","PADD 3",IF($M9957="PADD IV","PADD 4",IF($M9957="PADD V","PADD 5","")))))</f>
        <v/>
      </c>
      <c r="G9957" s="6">
        <f>IF(AND($H9957="ATMOS DISTILLATION",ISNUMBER(SEARCH("VPS",$I9957))=FALSE,LEFT($I9957,6)&lt;&gt;"VACUUM"),"CDU",IF($H9957="FLUID CAT CRACKING","FCC",IF(OR($H9957="HYDROCRACKING",$H9957="RESID_HYDROCRACKING"),"Hydrocracker",IF($H9957="REFORMING","Reformer",""))))</f>
        <v/>
      </c>
    </row>
    <row r="9958" spans="6:7">
      <c r="F9958" s="6">
        <f>IF($M9958="PADD I","PADD 1",IF($M9958="PADD II","PADD 2",IF($M9958="PADD III","PADD 3",IF($M9958="PADD IV","PADD 4",IF($M9958="PADD V","PADD 5","")))))</f>
        <v/>
      </c>
      <c r="G9958" s="6">
        <f>IF(AND($H9958="ATMOS DISTILLATION",ISNUMBER(SEARCH("VPS",$I9958))=FALSE,LEFT($I9958,6)&lt;&gt;"VACUUM"),"CDU",IF($H9958="FLUID CAT CRACKING","FCC",IF(OR($H9958="HYDROCRACKING",$H9958="RESID_HYDROCRACKING"),"Hydrocracker",IF($H9958="REFORMING","Reformer",""))))</f>
        <v/>
      </c>
    </row>
    <row r="9959" spans="6:7">
      <c r="F9959" s="6">
        <f>IF($M9959="PADD I","PADD 1",IF($M9959="PADD II","PADD 2",IF($M9959="PADD III","PADD 3",IF($M9959="PADD IV","PADD 4",IF($M9959="PADD V","PADD 5","")))))</f>
        <v/>
      </c>
      <c r="G9959" s="6">
        <f>IF(AND($H9959="ATMOS DISTILLATION",ISNUMBER(SEARCH("VPS",$I9959))=FALSE,LEFT($I9959,6)&lt;&gt;"VACUUM"),"CDU",IF($H9959="FLUID CAT CRACKING","FCC",IF(OR($H9959="HYDROCRACKING",$H9959="RESID_HYDROCRACKING"),"Hydrocracker",IF($H9959="REFORMING","Reformer",""))))</f>
        <v/>
      </c>
    </row>
    <row r="9960" spans="6:7">
      <c r="F9960" s="6">
        <f>IF($M9960="PADD I","PADD 1",IF($M9960="PADD II","PADD 2",IF($M9960="PADD III","PADD 3",IF($M9960="PADD IV","PADD 4",IF($M9960="PADD V","PADD 5","")))))</f>
        <v/>
      </c>
      <c r="G9960" s="6">
        <f>IF(AND($H9960="ATMOS DISTILLATION",ISNUMBER(SEARCH("VPS",$I9960))=FALSE,LEFT($I9960,6)&lt;&gt;"VACUUM"),"CDU",IF($H9960="FLUID CAT CRACKING","FCC",IF(OR($H9960="HYDROCRACKING",$H9960="RESID_HYDROCRACKING"),"Hydrocracker",IF($H9960="REFORMING","Reformer",""))))</f>
        <v/>
      </c>
    </row>
    <row r="9961" spans="6:7">
      <c r="F9961" s="6">
        <f>IF($M9961="PADD I","PADD 1",IF($M9961="PADD II","PADD 2",IF($M9961="PADD III","PADD 3",IF($M9961="PADD IV","PADD 4",IF($M9961="PADD V","PADD 5","")))))</f>
        <v/>
      </c>
      <c r="G9961" s="6">
        <f>IF(AND($H9961="ATMOS DISTILLATION",ISNUMBER(SEARCH("VPS",$I9961))=FALSE,LEFT($I9961,6)&lt;&gt;"VACUUM"),"CDU",IF($H9961="FLUID CAT CRACKING","FCC",IF(OR($H9961="HYDROCRACKING",$H9961="RESID_HYDROCRACKING"),"Hydrocracker",IF($H9961="REFORMING","Reformer",""))))</f>
        <v/>
      </c>
    </row>
    <row r="9962" spans="6:7">
      <c r="F9962" s="6">
        <f>IF($M9962="PADD I","PADD 1",IF($M9962="PADD II","PADD 2",IF($M9962="PADD III","PADD 3",IF($M9962="PADD IV","PADD 4",IF($M9962="PADD V","PADD 5","")))))</f>
        <v/>
      </c>
      <c r="G9962" s="6">
        <f>IF(AND($H9962="ATMOS DISTILLATION",ISNUMBER(SEARCH("VPS",$I9962))=FALSE,LEFT($I9962,6)&lt;&gt;"VACUUM"),"CDU",IF($H9962="FLUID CAT CRACKING","FCC",IF(OR($H9962="HYDROCRACKING",$H9962="RESID_HYDROCRACKING"),"Hydrocracker",IF($H9962="REFORMING","Reformer",""))))</f>
        <v/>
      </c>
    </row>
    <row r="9963" spans="6:7">
      <c r="F9963" s="6">
        <f>IF($M9963="PADD I","PADD 1",IF($M9963="PADD II","PADD 2",IF($M9963="PADD III","PADD 3",IF($M9963="PADD IV","PADD 4",IF($M9963="PADD V","PADD 5","")))))</f>
        <v/>
      </c>
      <c r="G9963" s="6">
        <f>IF(AND($H9963="ATMOS DISTILLATION",ISNUMBER(SEARCH("VPS",$I9963))=FALSE,LEFT($I9963,6)&lt;&gt;"VACUUM"),"CDU",IF($H9963="FLUID CAT CRACKING","FCC",IF(OR($H9963="HYDROCRACKING",$H9963="RESID_HYDROCRACKING"),"Hydrocracker",IF($H9963="REFORMING","Reformer",""))))</f>
        <v/>
      </c>
    </row>
    <row r="9964" spans="6:7">
      <c r="F9964" s="6">
        <f>IF($M9964="PADD I","PADD 1",IF($M9964="PADD II","PADD 2",IF($M9964="PADD III","PADD 3",IF($M9964="PADD IV","PADD 4",IF($M9964="PADD V","PADD 5","")))))</f>
        <v/>
      </c>
      <c r="G9964" s="6">
        <f>IF(AND($H9964="ATMOS DISTILLATION",ISNUMBER(SEARCH("VPS",$I9964))=FALSE,LEFT($I9964,6)&lt;&gt;"VACUUM"),"CDU",IF($H9964="FLUID CAT CRACKING","FCC",IF(OR($H9964="HYDROCRACKING",$H9964="RESID_HYDROCRACKING"),"Hydrocracker",IF($H9964="REFORMING","Reformer",""))))</f>
        <v/>
      </c>
    </row>
    <row r="9965" spans="6:7">
      <c r="F9965" s="6">
        <f>IF($M9965="PADD I","PADD 1",IF($M9965="PADD II","PADD 2",IF($M9965="PADD III","PADD 3",IF($M9965="PADD IV","PADD 4",IF($M9965="PADD V","PADD 5","")))))</f>
        <v/>
      </c>
      <c r="G9965" s="6">
        <f>IF(AND($H9965="ATMOS DISTILLATION",ISNUMBER(SEARCH("VPS",$I9965))=FALSE,LEFT($I9965,6)&lt;&gt;"VACUUM"),"CDU",IF($H9965="FLUID CAT CRACKING","FCC",IF(OR($H9965="HYDROCRACKING",$H9965="RESID_HYDROCRACKING"),"Hydrocracker",IF($H9965="REFORMING","Reformer",""))))</f>
        <v/>
      </c>
    </row>
    <row r="9966" spans="6:7">
      <c r="F9966" s="6">
        <f>IF($M9966="PADD I","PADD 1",IF($M9966="PADD II","PADD 2",IF($M9966="PADD III","PADD 3",IF($M9966="PADD IV","PADD 4",IF($M9966="PADD V","PADD 5","")))))</f>
        <v/>
      </c>
      <c r="G9966" s="6">
        <f>IF(AND($H9966="ATMOS DISTILLATION",ISNUMBER(SEARCH("VPS",$I9966))=FALSE,LEFT($I9966,6)&lt;&gt;"VACUUM"),"CDU",IF($H9966="FLUID CAT CRACKING","FCC",IF(OR($H9966="HYDROCRACKING",$H9966="RESID_HYDROCRACKING"),"Hydrocracker",IF($H9966="REFORMING","Reformer",""))))</f>
        <v/>
      </c>
    </row>
    <row r="9967" spans="6:7">
      <c r="F9967" s="6">
        <f>IF($M9967="PADD I","PADD 1",IF($M9967="PADD II","PADD 2",IF($M9967="PADD III","PADD 3",IF($M9967="PADD IV","PADD 4",IF($M9967="PADD V","PADD 5","")))))</f>
        <v/>
      </c>
      <c r="G9967" s="6">
        <f>IF(AND($H9967="ATMOS DISTILLATION",ISNUMBER(SEARCH("VPS",$I9967))=FALSE,LEFT($I9967,6)&lt;&gt;"VACUUM"),"CDU",IF($H9967="FLUID CAT CRACKING","FCC",IF(OR($H9967="HYDROCRACKING",$H9967="RESID_HYDROCRACKING"),"Hydrocracker",IF($H9967="REFORMING","Reformer",""))))</f>
        <v/>
      </c>
    </row>
    <row r="9968" spans="6:7">
      <c r="F9968" s="6">
        <f>IF($M9968="PADD I","PADD 1",IF($M9968="PADD II","PADD 2",IF($M9968="PADD III","PADD 3",IF($M9968="PADD IV","PADD 4",IF($M9968="PADD V","PADD 5","")))))</f>
        <v/>
      </c>
      <c r="G9968" s="6">
        <f>IF(AND($H9968="ATMOS DISTILLATION",ISNUMBER(SEARCH("VPS",$I9968))=FALSE,LEFT($I9968,6)&lt;&gt;"VACUUM"),"CDU",IF($H9968="FLUID CAT CRACKING","FCC",IF(OR($H9968="HYDROCRACKING",$H9968="RESID_HYDROCRACKING"),"Hydrocracker",IF($H9968="REFORMING","Reformer",""))))</f>
        <v/>
      </c>
    </row>
    <row r="9969" spans="6:7">
      <c r="F9969" s="6">
        <f>IF($M9969="PADD I","PADD 1",IF($M9969="PADD II","PADD 2",IF($M9969="PADD III","PADD 3",IF($M9969="PADD IV","PADD 4",IF($M9969="PADD V","PADD 5","")))))</f>
        <v/>
      </c>
      <c r="G9969" s="6">
        <f>IF(AND($H9969="ATMOS DISTILLATION",ISNUMBER(SEARCH("VPS",$I9969))=FALSE,LEFT($I9969,6)&lt;&gt;"VACUUM"),"CDU",IF($H9969="FLUID CAT CRACKING","FCC",IF(OR($H9969="HYDROCRACKING",$H9969="RESID_HYDROCRACKING"),"Hydrocracker",IF($H9969="REFORMING","Reformer",""))))</f>
        <v/>
      </c>
    </row>
    <row r="9970" spans="6:7">
      <c r="F9970" s="6">
        <f>IF($M9970="PADD I","PADD 1",IF($M9970="PADD II","PADD 2",IF($M9970="PADD III","PADD 3",IF($M9970="PADD IV","PADD 4",IF($M9970="PADD V","PADD 5","")))))</f>
        <v/>
      </c>
      <c r="G9970" s="6">
        <f>IF(AND($H9970="ATMOS DISTILLATION",ISNUMBER(SEARCH("VPS",$I9970))=FALSE,LEFT($I9970,6)&lt;&gt;"VACUUM"),"CDU",IF($H9970="FLUID CAT CRACKING","FCC",IF(OR($H9970="HYDROCRACKING",$H9970="RESID_HYDROCRACKING"),"Hydrocracker",IF($H9970="REFORMING","Reformer",""))))</f>
        <v/>
      </c>
    </row>
    <row r="9971" spans="6:7">
      <c r="F9971" s="6">
        <f>IF($M9971="PADD I","PADD 1",IF($M9971="PADD II","PADD 2",IF($M9971="PADD III","PADD 3",IF($M9971="PADD IV","PADD 4",IF($M9971="PADD V","PADD 5","")))))</f>
        <v/>
      </c>
      <c r="G9971" s="6">
        <f>IF(AND($H9971="ATMOS DISTILLATION",ISNUMBER(SEARCH("VPS",$I9971))=FALSE,LEFT($I9971,6)&lt;&gt;"VACUUM"),"CDU",IF($H9971="FLUID CAT CRACKING","FCC",IF(OR($H9971="HYDROCRACKING",$H9971="RESID_HYDROCRACKING"),"Hydrocracker",IF($H9971="REFORMING","Reformer",""))))</f>
        <v/>
      </c>
    </row>
    <row r="9972" spans="6:7">
      <c r="F9972" s="6">
        <f>IF($M9972="PADD I","PADD 1",IF($M9972="PADD II","PADD 2",IF($M9972="PADD III","PADD 3",IF($M9972="PADD IV","PADD 4",IF($M9972="PADD V","PADD 5","")))))</f>
        <v/>
      </c>
      <c r="G9972" s="6">
        <f>IF(AND($H9972="ATMOS DISTILLATION",ISNUMBER(SEARCH("VPS",$I9972))=FALSE,LEFT($I9972,6)&lt;&gt;"VACUUM"),"CDU",IF($H9972="FLUID CAT CRACKING","FCC",IF(OR($H9972="HYDROCRACKING",$H9972="RESID_HYDROCRACKING"),"Hydrocracker",IF($H9972="REFORMING","Reformer",""))))</f>
        <v/>
      </c>
    </row>
    <row r="9973" spans="6:7">
      <c r="F9973" s="6">
        <f>IF($M9973="PADD I","PADD 1",IF($M9973="PADD II","PADD 2",IF($M9973="PADD III","PADD 3",IF($M9973="PADD IV","PADD 4",IF($M9973="PADD V","PADD 5","")))))</f>
        <v/>
      </c>
      <c r="G9973" s="6">
        <f>IF(AND($H9973="ATMOS DISTILLATION",ISNUMBER(SEARCH("VPS",$I9973))=FALSE,LEFT($I9973,6)&lt;&gt;"VACUUM"),"CDU",IF($H9973="FLUID CAT CRACKING","FCC",IF(OR($H9973="HYDROCRACKING",$H9973="RESID_HYDROCRACKING"),"Hydrocracker",IF($H9973="REFORMING","Reformer",""))))</f>
        <v/>
      </c>
    </row>
    <row r="9974" spans="6:7">
      <c r="F9974" s="6">
        <f>IF($M9974="PADD I","PADD 1",IF($M9974="PADD II","PADD 2",IF($M9974="PADD III","PADD 3",IF($M9974="PADD IV","PADD 4",IF($M9974="PADD V","PADD 5","")))))</f>
        <v/>
      </c>
      <c r="G9974" s="6">
        <f>IF(AND($H9974="ATMOS DISTILLATION",ISNUMBER(SEARCH("VPS",$I9974))=FALSE,LEFT($I9974,6)&lt;&gt;"VACUUM"),"CDU",IF($H9974="FLUID CAT CRACKING","FCC",IF(OR($H9974="HYDROCRACKING",$H9974="RESID_HYDROCRACKING"),"Hydrocracker",IF($H9974="REFORMING","Reformer",""))))</f>
        <v/>
      </c>
    </row>
    <row r="9975" spans="6:7">
      <c r="F9975" s="6">
        <f>IF($M9975="PADD I","PADD 1",IF($M9975="PADD II","PADD 2",IF($M9975="PADD III","PADD 3",IF($M9975="PADD IV","PADD 4",IF($M9975="PADD V","PADD 5","")))))</f>
        <v/>
      </c>
      <c r="G9975" s="6">
        <f>IF(AND($H9975="ATMOS DISTILLATION",ISNUMBER(SEARCH("VPS",$I9975))=FALSE,LEFT($I9975,6)&lt;&gt;"VACUUM"),"CDU",IF($H9975="FLUID CAT CRACKING","FCC",IF(OR($H9975="HYDROCRACKING",$H9975="RESID_HYDROCRACKING"),"Hydrocracker",IF($H9975="REFORMING","Reformer",""))))</f>
        <v/>
      </c>
    </row>
    <row r="9976" spans="6:7">
      <c r="F9976" s="6">
        <f>IF($M9976="PADD I","PADD 1",IF($M9976="PADD II","PADD 2",IF($M9976="PADD III","PADD 3",IF($M9976="PADD IV","PADD 4",IF($M9976="PADD V","PADD 5","")))))</f>
        <v/>
      </c>
      <c r="G9976" s="6">
        <f>IF(AND($H9976="ATMOS DISTILLATION",ISNUMBER(SEARCH("VPS",$I9976))=FALSE,LEFT($I9976,6)&lt;&gt;"VACUUM"),"CDU",IF($H9976="FLUID CAT CRACKING","FCC",IF(OR($H9976="HYDROCRACKING",$H9976="RESID_HYDROCRACKING"),"Hydrocracker",IF($H9976="REFORMING","Reformer",""))))</f>
        <v/>
      </c>
    </row>
    <row r="9977" spans="6:7">
      <c r="F9977" s="6">
        <f>IF($M9977="PADD I","PADD 1",IF($M9977="PADD II","PADD 2",IF($M9977="PADD III","PADD 3",IF($M9977="PADD IV","PADD 4",IF($M9977="PADD V","PADD 5","")))))</f>
        <v/>
      </c>
      <c r="G9977" s="6">
        <f>IF(AND($H9977="ATMOS DISTILLATION",ISNUMBER(SEARCH("VPS",$I9977))=FALSE,LEFT($I9977,6)&lt;&gt;"VACUUM"),"CDU",IF($H9977="FLUID CAT CRACKING","FCC",IF(OR($H9977="HYDROCRACKING",$H9977="RESID_HYDROCRACKING"),"Hydrocracker",IF($H9977="REFORMING","Reformer",""))))</f>
        <v/>
      </c>
    </row>
    <row r="9978" spans="6:7">
      <c r="F9978" s="6">
        <f>IF($M9978="PADD I","PADD 1",IF($M9978="PADD II","PADD 2",IF($M9978="PADD III","PADD 3",IF($M9978="PADD IV","PADD 4",IF($M9978="PADD V","PADD 5","")))))</f>
        <v/>
      </c>
      <c r="G9978" s="6">
        <f>IF(AND($H9978="ATMOS DISTILLATION",ISNUMBER(SEARCH("VPS",$I9978))=FALSE,LEFT($I9978,6)&lt;&gt;"VACUUM"),"CDU",IF($H9978="FLUID CAT CRACKING","FCC",IF(OR($H9978="HYDROCRACKING",$H9978="RESID_HYDROCRACKING"),"Hydrocracker",IF($H9978="REFORMING","Reformer",""))))</f>
        <v/>
      </c>
    </row>
    <row r="9979" spans="6:7">
      <c r="F9979" s="6">
        <f>IF($M9979="PADD I","PADD 1",IF($M9979="PADD II","PADD 2",IF($M9979="PADD III","PADD 3",IF($M9979="PADD IV","PADD 4",IF($M9979="PADD V","PADD 5","")))))</f>
        <v/>
      </c>
      <c r="G9979" s="6">
        <f>IF(AND($H9979="ATMOS DISTILLATION",ISNUMBER(SEARCH("VPS",$I9979))=FALSE,LEFT($I9979,6)&lt;&gt;"VACUUM"),"CDU",IF($H9979="FLUID CAT CRACKING","FCC",IF(OR($H9979="HYDROCRACKING",$H9979="RESID_HYDROCRACKING"),"Hydrocracker",IF($H9979="REFORMING","Reformer",""))))</f>
        <v/>
      </c>
    </row>
    <row r="9980" spans="6:7">
      <c r="F9980" s="6">
        <f>IF($M9980="PADD I","PADD 1",IF($M9980="PADD II","PADD 2",IF($M9980="PADD III","PADD 3",IF($M9980="PADD IV","PADD 4",IF($M9980="PADD V","PADD 5","")))))</f>
        <v/>
      </c>
      <c r="G9980" s="6">
        <f>IF(AND($H9980="ATMOS DISTILLATION",ISNUMBER(SEARCH("VPS",$I9980))=FALSE,LEFT($I9980,6)&lt;&gt;"VACUUM"),"CDU",IF($H9980="FLUID CAT CRACKING","FCC",IF(OR($H9980="HYDROCRACKING",$H9980="RESID_HYDROCRACKING"),"Hydrocracker",IF($H9980="REFORMING","Reformer",""))))</f>
        <v/>
      </c>
    </row>
    <row r="9981" spans="6:7">
      <c r="F9981" s="6">
        <f>IF($M9981="PADD I","PADD 1",IF($M9981="PADD II","PADD 2",IF($M9981="PADD III","PADD 3",IF($M9981="PADD IV","PADD 4",IF($M9981="PADD V","PADD 5","")))))</f>
        <v/>
      </c>
      <c r="G9981" s="6">
        <f>IF(AND($H9981="ATMOS DISTILLATION",ISNUMBER(SEARCH("VPS",$I9981))=FALSE,LEFT($I9981,6)&lt;&gt;"VACUUM"),"CDU",IF($H9981="FLUID CAT CRACKING","FCC",IF(OR($H9981="HYDROCRACKING",$H9981="RESID_HYDROCRACKING"),"Hydrocracker",IF($H9981="REFORMING","Reformer",""))))</f>
        <v/>
      </c>
    </row>
    <row r="9982" spans="6:7">
      <c r="F9982" s="6">
        <f>IF($M9982="PADD I","PADD 1",IF($M9982="PADD II","PADD 2",IF($M9982="PADD III","PADD 3",IF($M9982="PADD IV","PADD 4",IF($M9982="PADD V","PADD 5","")))))</f>
        <v/>
      </c>
      <c r="G9982" s="6">
        <f>IF(AND($H9982="ATMOS DISTILLATION",ISNUMBER(SEARCH("VPS",$I9982))=FALSE,LEFT($I9982,6)&lt;&gt;"VACUUM"),"CDU",IF($H9982="FLUID CAT CRACKING","FCC",IF(OR($H9982="HYDROCRACKING",$H9982="RESID_HYDROCRACKING"),"Hydrocracker",IF($H9982="REFORMING","Reformer",""))))</f>
        <v/>
      </c>
    </row>
    <row r="9983" spans="6:7">
      <c r="F9983" s="6">
        <f>IF($M9983="PADD I","PADD 1",IF($M9983="PADD II","PADD 2",IF($M9983="PADD III","PADD 3",IF($M9983="PADD IV","PADD 4",IF($M9983="PADD V","PADD 5","")))))</f>
        <v/>
      </c>
      <c r="G9983" s="6">
        <f>IF(AND($H9983="ATMOS DISTILLATION",ISNUMBER(SEARCH("VPS",$I9983))=FALSE,LEFT($I9983,6)&lt;&gt;"VACUUM"),"CDU",IF($H9983="FLUID CAT CRACKING","FCC",IF(OR($H9983="HYDROCRACKING",$H9983="RESID_HYDROCRACKING"),"Hydrocracker",IF($H9983="REFORMING","Reformer",""))))</f>
        <v/>
      </c>
    </row>
    <row r="9984" spans="6:7">
      <c r="F9984" s="6">
        <f>IF($M9984="PADD I","PADD 1",IF($M9984="PADD II","PADD 2",IF($M9984="PADD III","PADD 3",IF($M9984="PADD IV","PADD 4",IF($M9984="PADD V","PADD 5","")))))</f>
        <v/>
      </c>
      <c r="G9984" s="6">
        <f>IF(AND($H9984="ATMOS DISTILLATION",ISNUMBER(SEARCH("VPS",$I9984))=FALSE,LEFT($I9984,6)&lt;&gt;"VACUUM"),"CDU",IF($H9984="FLUID CAT CRACKING","FCC",IF(OR($H9984="HYDROCRACKING",$H9984="RESID_HYDROCRACKING"),"Hydrocracker",IF($H9984="REFORMING","Reformer",""))))</f>
        <v/>
      </c>
    </row>
    <row r="9985" spans="6:7">
      <c r="F9985" s="6">
        <f>IF($M9985="PADD I","PADD 1",IF($M9985="PADD II","PADD 2",IF($M9985="PADD III","PADD 3",IF($M9985="PADD IV","PADD 4",IF($M9985="PADD V","PADD 5","")))))</f>
        <v/>
      </c>
      <c r="G9985" s="6">
        <f>IF(AND($H9985="ATMOS DISTILLATION",ISNUMBER(SEARCH("VPS",$I9985))=FALSE,LEFT($I9985,6)&lt;&gt;"VACUUM"),"CDU",IF($H9985="FLUID CAT CRACKING","FCC",IF(OR($H9985="HYDROCRACKING",$H9985="RESID_HYDROCRACKING"),"Hydrocracker",IF($H9985="REFORMING","Reformer",""))))</f>
        <v/>
      </c>
    </row>
    <row r="9986" spans="6:7">
      <c r="F9986" s="6">
        <f>IF($M9986="PADD I","PADD 1",IF($M9986="PADD II","PADD 2",IF($M9986="PADD III","PADD 3",IF($M9986="PADD IV","PADD 4",IF($M9986="PADD V","PADD 5","")))))</f>
        <v/>
      </c>
      <c r="G9986" s="6">
        <f>IF(AND($H9986="ATMOS DISTILLATION",ISNUMBER(SEARCH("VPS",$I9986))=FALSE,LEFT($I9986,6)&lt;&gt;"VACUUM"),"CDU",IF($H9986="FLUID CAT CRACKING","FCC",IF(OR($H9986="HYDROCRACKING",$H9986="RESID_HYDROCRACKING"),"Hydrocracker",IF($H9986="REFORMING","Reformer",""))))</f>
        <v/>
      </c>
    </row>
    <row r="9987" spans="6:7">
      <c r="F9987" s="6">
        <f>IF($M9987="PADD I","PADD 1",IF($M9987="PADD II","PADD 2",IF($M9987="PADD III","PADD 3",IF($M9987="PADD IV","PADD 4",IF($M9987="PADD V","PADD 5","")))))</f>
        <v/>
      </c>
      <c r="G9987" s="6">
        <f>IF(AND($H9987="ATMOS DISTILLATION",ISNUMBER(SEARCH("VPS",$I9987))=FALSE,LEFT($I9987,6)&lt;&gt;"VACUUM"),"CDU",IF($H9987="FLUID CAT CRACKING","FCC",IF(OR($H9987="HYDROCRACKING",$H9987="RESID_HYDROCRACKING"),"Hydrocracker",IF($H9987="REFORMING","Reformer",""))))</f>
        <v/>
      </c>
    </row>
    <row r="9988" spans="6:7">
      <c r="F9988" s="6">
        <f>IF($M9988="PADD I","PADD 1",IF($M9988="PADD II","PADD 2",IF($M9988="PADD III","PADD 3",IF($M9988="PADD IV","PADD 4",IF($M9988="PADD V","PADD 5","")))))</f>
        <v/>
      </c>
      <c r="G9988" s="6">
        <f>IF(AND($H9988="ATMOS DISTILLATION",ISNUMBER(SEARCH("VPS",$I9988))=FALSE,LEFT($I9988,6)&lt;&gt;"VACUUM"),"CDU",IF($H9988="FLUID CAT CRACKING","FCC",IF(OR($H9988="HYDROCRACKING",$H9988="RESID_HYDROCRACKING"),"Hydrocracker",IF($H9988="REFORMING","Reformer",""))))</f>
        <v/>
      </c>
    </row>
    <row r="9989" spans="6:7">
      <c r="F9989" s="6">
        <f>IF($M9989="PADD I","PADD 1",IF($M9989="PADD II","PADD 2",IF($M9989="PADD III","PADD 3",IF($M9989="PADD IV","PADD 4",IF($M9989="PADD V","PADD 5","")))))</f>
        <v/>
      </c>
      <c r="G9989" s="6">
        <f>IF(AND($H9989="ATMOS DISTILLATION",ISNUMBER(SEARCH("VPS",$I9989))=FALSE,LEFT($I9989,6)&lt;&gt;"VACUUM"),"CDU",IF($H9989="FLUID CAT CRACKING","FCC",IF(OR($H9989="HYDROCRACKING",$H9989="RESID_HYDROCRACKING"),"Hydrocracker",IF($H9989="REFORMING","Reformer",""))))</f>
        <v/>
      </c>
    </row>
    <row r="9990" spans="6:7">
      <c r="F9990" s="6">
        <f>IF($M9990="PADD I","PADD 1",IF($M9990="PADD II","PADD 2",IF($M9990="PADD III","PADD 3",IF($M9990="PADD IV","PADD 4",IF($M9990="PADD V","PADD 5","")))))</f>
        <v/>
      </c>
      <c r="G9990" s="6">
        <f>IF(AND($H9990="ATMOS DISTILLATION",ISNUMBER(SEARCH("VPS",$I9990))=FALSE,LEFT($I9990,6)&lt;&gt;"VACUUM"),"CDU",IF($H9990="FLUID CAT CRACKING","FCC",IF(OR($H9990="HYDROCRACKING",$H9990="RESID_HYDROCRACKING"),"Hydrocracker",IF($H9990="REFORMING","Reformer",""))))</f>
        <v/>
      </c>
    </row>
    <row r="9991" spans="6:7">
      <c r="F9991" s="6">
        <f>IF($M9991="PADD I","PADD 1",IF($M9991="PADD II","PADD 2",IF($M9991="PADD III","PADD 3",IF($M9991="PADD IV","PADD 4",IF($M9991="PADD V","PADD 5","")))))</f>
        <v/>
      </c>
      <c r="G9991" s="6">
        <f>IF(AND($H9991="ATMOS DISTILLATION",ISNUMBER(SEARCH("VPS",$I9991))=FALSE,LEFT($I9991,6)&lt;&gt;"VACUUM"),"CDU",IF($H9991="FLUID CAT CRACKING","FCC",IF(OR($H9991="HYDROCRACKING",$H9991="RESID_HYDROCRACKING"),"Hydrocracker",IF($H9991="REFORMING","Reformer",""))))</f>
        <v/>
      </c>
    </row>
    <row r="9992" spans="6:7">
      <c r="F9992" s="6">
        <f>IF($M9992="PADD I","PADD 1",IF($M9992="PADD II","PADD 2",IF($M9992="PADD III","PADD 3",IF($M9992="PADD IV","PADD 4",IF($M9992="PADD V","PADD 5","")))))</f>
        <v/>
      </c>
      <c r="G9992" s="6">
        <f>IF(AND($H9992="ATMOS DISTILLATION",ISNUMBER(SEARCH("VPS",$I9992))=FALSE,LEFT($I9992,6)&lt;&gt;"VACUUM"),"CDU",IF($H9992="FLUID CAT CRACKING","FCC",IF(OR($H9992="HYDROCRACKING",$H9992="RESID_HYDROCRACKING"),"Hydrocracker",IF($H9992="REFORMING","Reformer",""))))</f>
        <v/>
      </c>
    </row>
    <row r="9993" spans="6:7">
      <c r="F9993" s="6">
        <f>IF($M9993="PADD I","PADD 1",IF($M9993="PADD II","PADD 2",IF($M9993="PADD III","PADD 3",IF($M9993="PADD IV","PADD 4",IF($M9993="PADD V","PADD 5","")))))</f>
        <v/>
      </c>
      <c r="G9993" s="6">
        <f>IF(AND($H9993="ATMOS DISTILLATION",ISNUMBER(SEARCH("VPS",$I9993))=FALSE,LEFT($I9993,6)&lt;&gt;"VACUUM"),"CDU",IF($H9993="FLUID CAT CRACKING","FCC",IF(OR($H9993="HYDROCRACKING",$H9993="RESID_HYDROCRACKING"),"Hydrocracker",IF($H9993="REFORMING","Reformer",""))))</f>
        <v/>
      </c>
    </row>
    <row r="9994" spans="6:7">
      <c r="F9994" s="6">
        <f>IF($M9994="PADD I","PADD 1",IF($M9994="PADD II","PADD 2",IF($M9994="PADD III","PADD 3",IF($M9994="PADD IV","PADD 4",IF($M9994="PADD V","PADD 5","")))))</f>
        <v/>
      </c>
      <c r="G9994" s="6">
        <f>IF(AND($H9994="ATMOS DISTILLATION",ISNUMBER(SEARCH("VPS",$I9994))=FALSE,LEFT($I9994,6)&lt;&gt;"VACUUM"),"CDU",IF($H9994="FLUID CAT CRACKING","FCC",IF(OR($H9994="HYDROCRACKING",$H9994="RESID_HYDROCRACKING"),"Hydrocracker",IF($H9994="REFORMING","Reformer",""))))</f>
        <v/>
      </c>
    </row>
    <row r="9995" spans="6:7">
      <c r="F9995" s="6">
        <f>IF($M9995="PADD I","PADD 1",IF($M9995="PADD II","PADD 2",IF($M9995="PADD III","PADD 3",IF($M9995="PADD IV","PADD 4",IF($M9995="PADD V","PADD 5","")))))</f>
        <v/>
      </c>
      <c r="G9995" s="6">
        <f>IF(AND($H9995="ATMOS DISTILLATION",ISNUMBER(SEARCH("VPS",$I9995))=FALSE,LEFT($I9995,6)&lt;&gt;"VACUUM"),"CDU",IF($H9995="FLUID CAT CRACKING","FCC",IF(OR($H9995="HYDROCRACKING",$H9995="RESID_HYDROCRACKING"),"Hydrocracker",IF($H9995="REFORMING","Reformer",""))))</f>
        <v/>
      </c>
    </row>
    <row r="9996" spans="6:7">
      <c r="F9996" s="6">
        <f>IF($M9996="PADD I","PADD 1",IF($M9996="PADD II","PADD 2",IF($M9996="PADD III","PADD 3",IF($M9996="PADD IV","PADD 4",IF($M9996="PADD V","PADD 5","")))))</f>
        <v/>
      </c>
      <c r="G9996" s="6">
        <f>IF(AND($H9996="ATMOS DISTILLATION",ISNUMBER(SEARCH("VPS",$I9996))=FALSE,LEFT($I9996,6)&lt;&gt;"VACUUM"),"CDU",IF($H9996="FLUID CAT CRACKING","FCC",IF(OR($H9996="HYDROCRACKING",$H9996="RESID_HYDROCRACKING"),"Hydrocracker",IF($H9996="REFORMING","Reformer",""))))</f>
        <v/>
      </c>
    </row>
    <row r="9997" spans="6:7">
      <c r="F9997" s="6">
        <f>IF($M9997="PADD I","PADD 1",IF($M9997="PADD II","PADD 2",IF($M9997="PADD III","PADD 3",IF($M9997="PADD IV","PADD 4",IF($M9997="PADD V","PADD 5","")))))</f>
        <v/>
      </c>
      <c r="G9997" s="6">
        <f>IF(AND($H9997="ATMOS DISTILLATION",ISNUMBER(SEARCH("VPS",$I9997))=FALSE,LEFT($I9997,6)&lt;&gt;"VACUUM"),"CDU",IF($H9997="FLUID CAT CRACKING","FCC",IF(OR($H9997="HYDROCRACKING",$H9997="RESID_HYDROCRACKING"),"Hydrocracker",IF($H9997="REFORMING","Reformer",""))))</f>
        <v/>
      </c>
    </row>
    <row r="9998" spans="6:7">
      <c r="F9998" s="6">
        <f>IF($M9998="PADD I","PADD 1",IF($M9998="PADD II","PADD 2",IF($M9998="PADD III","PADD 3",IF($M9998="PADD IV","PADD 4",IF($M9998="PADD V","PADD 5","")))))</f>
        <v/>
      </c>
      <c r="G9998" s="6">
        <f>IF(AND($H9998="ATMOS DISTILLATION",ISNUMBER(SEARCH("VPS",$I9998))=FALSE,LEFT($I9998,6)&lt;&gt;"VACUUM"),"CDU",IF($H9998="FLUID CAT CRACKING","FCC",IF(OR($H9998="HYDROCRACKING",$H9998="RESID_HYDROCRACKING"),"Hydrocracker",IF($H9998="REFORMING","Reformer",""))))</f>
        <v/>
      </c>
    </row>
    <row r="9999" spans="6:7">
      <c r="F9999" s="6">
        <f>IF($M9999="PADD I","PADD 1",IF($M9999="PADD II","PADD 2",IF($M9999="PADD III","PADD 3",IF($M9999="PADD IV","PADD 4",IF($M9999="PADD V","PADD 5","")))))</f>
        <v/>
      </c>
      <c r="G9999" s="6">
        <f>IF(AND($H9999="ATMOS DISTILLATION",ISNUMBER(SEARCH("VPS",$I9999))=FALSE,LEFT($I9999,6)&lt;&gt;"VACUUM"),"CDU",IF($H9999="FLUID CAT CRACKING","FCC",IF(OR($H9999="HYDROCRACKING",$H9999="RESID_HYDROCRACKING"),"Hydrocracker",IF($H9999="REFORMING","Reformer",""))))</f>
        <v/>
      </c>
    </row>
    <row r="10000" spans="6:7">
      <c r="F10000" s="6">
        <f>IF($M10000="PADD I","PADD 1",IF($M10000="PADD II","PADD 2",IF($M10000="PADD III","PADD 3",IF($M10000="PADD IV","PADD 4",IF($M10000="PADD V","PADD 5","")))))</f>
        <v/>
      </c>
      <c r="G10000" s="6">
        <f>IF(AND($H10000="ATMOS DISTILLATION",ISNUMBER(SEARCH("VPS",$I10000))=FALSE,LEFT($I10000,6)&lt;&gt;"VACUUM"),"CDU",IF($H10000="FLUID CAT CRACKING","FCC",IF(OR($H10000="HYDROCRACKING",$H10000="RESID_HYDROCRACKING"),"Hydrocracker",IF($H10000="REFORMING","Reformer",""))))</f>
        <v/>
      </c>
    </row>
    <row r="10001" spans="6:7">
      <c r="F10001" s="6">
        <f>IF($M10001="PADD I","PADD 1",IF($M10001="PADD II","PADD 2",IF($M10001="PADD III","PADD 3",IF($M10001="PADD IV","PADD 4",IF($M10001="PADD V","PADD 5","")))))</f>
        <v/>
      </c>
      <c r="G10001" s="6">
        <f>IF(AND($H10001="ATMOS DISTILLATION",ISNUMBER(SEARCH("VPS",$I10001))=FALSE,LEFT($I10001,6)&lt;&gt;"VACUUM"),"CDU",IF($H10001="FLUID CAT CRACKING","FCC",IF(OR($H10001="HYDROCRACKING",$H10001="RESID_HYDROCRACKING"),"Hydrocracker",IF($H10001="REFORMING","Reformer",""))))</f>
        <v/>
      </c>
    </row>
    <row r="10002" spans="6:7">
      <c r="F10002" s="6">
        <f>IF($M10002="PADD I","PADD 1",IF($M10002="PADD II","PADD 2",IF($M10002="PADD III","PADD 3",IF($M10002="PADD IV","PADD 4",IF($M10002="PADD V","PADD 5","")))))</f>
        <v/>
      </c>
      <c r="G10002" s="6">
        <f>IF(AND($H10002="ATMOS DISTILLATION",ISNUMBER(SEARCH("VPS",$I10002))=FALSE,LEFT($I10002,6)&lt;&gt;"VACUUM"),"CDU",IF($H10002="FLUID CAT CRACKING","FCC",IF(OR($H10002="HYDROCRACKING",$H10002="RESID_HYDROCRACKING"),"Hydrocracker",IF($H10002="REFORMING","Reformer",""))))</f>
        <v/>
      </c>
    </row>
    <row r="10003" spans="6:7">
      <c r="F10003" s="6">
        <f>IF($M10003="PADD I","PADD 1",IF($M10003="PADD II","PADD 2",IF($M10003="PADD III","PADD 3",IF($M10003="PADD IV","PADD 4",IF($M10003="PADD V","PADD 5","")))))</f>
        <v/>
      </c>
      <c r="G10003" s="6">
        <f>IF(AND($H10003="ATMOS DISTILLATION",ISNUMBER(SEARCH("VPS",$I10003))=FALSE,LEFT($I10003,6)&lt;&gt;"VACUUM"),"CDU",IF($H10003="FLUID CAT CRACKING","FCC",IF(OR($H10003="HYDROCRACKING",$H10003="RESID_HYDROCRACKING"),"Hydrocracker",IF($H10003="REFORMING","Reformer",""))))</f>
        <v/>
      </c>
    </row>
    <row r="10004" spans="6:7">
      <c r="F10004" s="6">
        <f>IF($M10004="PADD I","PADD 1",IF($M10004="PADD II","PADD 2",IF($M10004="PADD III","PADD 3",IF($M10004="PADD IV","PADD 4",IF($M10004="PADD V","PADD 5","")))))</f>
        <v/>
      </c>
      <c r="G10004" s="6">
        <f>IF(AND($H10004="ATMOS DISTILLATION",ISNUMBER(SEARCH("VPS",$I10004))=FALSE,LEFT($I10004,6)&lt;&gt;"VACUUM"),"CDU",IF($H10004="FLUID CAT CRACKING","FCC",IF(OR($H10004="HYDROCRACKING",$H10004="RESID_HYDROCRACKING"),"Hydrocracker",IF($H10004="REFORMING","Reformer",""))))</f>
        <v/>
      </c>
    </row>
    <row r="10005" spans="6:7">
      <c r="F10005" s="6">
        <f>IF($M10005="PADD I","PADD 1",IF($M10005="PADD II","PADD 2",IF($M10005="PADD III","PADD 3",IF($M10005="PADD IV","PADD 4",IF($M10005="PADD V","PADD 5","")))))</f>
        <v/>
      </c>
      <c r="G10005" s="6">
        <f>IF(AND($H10005="ATMOS DISTILLATION",ISNUMBER(SEARCH("VPS",$I10005))=FALSE,LEFT($I10005,6)&lt;&gt;"VACUUM"),"CDU",IF($H10005="FLUID CAT CRACKING","FCC",IF(OR($H10005="HYDROCRACKING",$H10005="RESID_HYDROCRACKING"),"Hydrocracker",IF($H10005="REFORMING","Reformer",""))))</f>
        <v/>
      </c>
    </row>
    <row r="10006" spans="6:7">
      <c r="F10006" s="6">
        <f>IF($M10006="PADD I","PADD 1",IF($M10006="PADD II","PADD 2",IF($M10006="PADD III","PADD 3",IF($M10006="PADD IV","PADD 4",IF($M10006="PADD V","PADD 5","")))))</f>
        <v/>
      </c>
      <c r="G10006" s="6">
        <f>IF(AND($H10006="ATMOS DISTILLATION",ISNUMBER(SEARCH("VPS",$I10006))=FALSE,LEFT($I10006,6)&lt;&gt;"VACUUM"),"CDU",IF($H10006="FLUID CAT CRACKING","FCC",IF(OR($H10006="HYDROCRACKING",$H10006="RESID_HYDROCRACKING"),"Hydrocracker",IF($H10006="REFORMING","Reformer",""))))</f>
        <v/>
      </c>
    </row>
    <row r="10007" spans="6:7">
      <c r="F10007" s="6">
        <f>IF($M10007="PADD I","PADD 1",IF($M10007="PADD II","PADD 2",IF($M10007="PADD III","PADD 3",IF($M10007="PADD IV","PADD 4",IF($M10007="PADD V","PADD 5","")))))</f>
        <v/>
      </c>
      <c r="G10007" s="6">
        <f>IF(AND($H10007="ATMOS DISTILLATION",ISNUMBER(SEARCH("VPS",$I10007))=FALSE,LEFT($I10007,6)&lt;&gt;"VACUUM"),"CDU",IF($H10007="FLUID CAT CRACKING","FCC",IF(OR($H10007="HYDROCRACKING",$H10007="RESID_HYDROCRACKING"),"Hydrocracker",IF($H10007="REFORMING","Reformer",""))))</f>
        <v/>
      </c>
    </row>
    <row r="10008" spans="6:7">
      <c r="F10008" s="6">
        <f>IF($M10008="PADD I","PADD 1",IF($M10008="PADD II","PADD 2",IF($M10008="PADD III","PADD 3",IF($M10008="PADD IV","PADD 4",IF($M10008="PADD V","PADD 5","")))))</f>
        <v/>
      </c>
      <c r="G10008" s="6">
        <f>IF(AND($H10008="ATMOS DISTILLATION",ISNUMBER(SEARCH("VPS",$I10008))=FALSE,LEFT($I10008,6)&lt;&gt;"VACUUM"),"CDU",IF($H10008="FLUID CAT CRACKING","FCC",IF(OR($H10008="HYDROCRACKING",$H10008="RESID_HYDROCRACKING"),"Hydrocracker",IF($H10008="REFORMING","Reformer",""))))</f>
        <v/>
      </c>
    </row>
    <row r="10009" spans="6:7">
      <c r="F10009" s="6">
        <f>IF($M10009="PADD I","PADD 1",IF($M10009="PADD II","PADD 2",IF($M10009="PADD III","PADD 3",IF($M10009="PADD IV","PADD 4",IF($M10009="PADD V","PADD 5","")))))</f>
        <v/>
      </c>
      <c r="G10009" s="6">
        <f>IF(AND($H10009="ATMOS DISTILLATION",ISNUMBER(SEARCH("VPS",$I10009))=FALSE,LEFT($I10009,6)&lt;&gt;"VACUUM"),"CDU",IF($H10009="FLUID CAT CRACKING","FCC",IF(OR($H10009="HYDROCRACKING",$H10009="RESID_HYDROCRACKING"),"Hydrocracker",IF($H10009="REFORMING","Reformer",""))))</f>
        <v/>
      </c>
    </row>
    <row r="10010" spans="6:7">
      <c r="F10010" s="6">
        <f>IF($M10010="PADD I","PADD 1",IF($M10010="PADD II","PADD 2",IF($M10010="PADD III","PADD 3",IF($M10010="PADD IV","PADD 4",IF($M10010="PADD V","PADD 5","")))))</f>
        <v/>
      </c>
      <c r="G10010" s="6">
        <f>IF(AND($H10010="ATMOS DISTILLATION",ISNUMBER(SEARCH("VPS",$I10010))=FALSE,LEFT($I10010,6)&lt;&gt;"VACUUM"),"CDU",IF($H10010="FLUID CAT CRACKING","FCC",IF(OR($H10010="HYDROCRACKING",$H10010="RESID_HYDROCRACKING"),"Hydrocracker",IF($H10010="REFORMING","Reformer",""))))</f>
        <v/>
      </c>
    </row>
    <row r="10011" spans="6:7">
      <c r="F10011" s="6">
        <f>IF($M10011="PADD I","PADD 1",IF($M10011="PADD II","PADD 2",IF($M10011="PADD III","PADD 3",IF($M10011="PADD IV","PADD 4",IF($M10011="PADD V","PADD 5","")))))</f>
        <v/>
      </c>
      <c r="G10011" s="6">
        <f>IF(AND($H10011="ATMOS DISTILLATION",ISNUMBER(SEARCH("VPS",$I10011))=FALSE,LEFT($I10011,6)&lt;&gt;"VACUUM"),"CDU",IF($H10011="FLUID CAT CRACKING","FCC",IF(OR($H10011="HYDROCRACKING",$H10011="RESID_HYDROCRACKING"),"Hydrocracker",IF($H10011="REFORMING","Reformer",""))))</f>
        <v/>
      </c>
    </row>
    <row r="10012" spans="6:7">
      <c r="F10012" s="6">
        <f>IF($M10012="PADD I","PADD 1",IF($M10012="PADD II","PADD 2",IF($M10012="PADD III","PADD 3",IF($M10012="PADD IV","PADD 4",IF($M10012="PADD V","PADD 5","")))))</f>
        <v/>
      </c>
      <c r="G10012" s="6">
        <f>IF(AND($H10012="ATMOS DISTILLATION",ISNUMBER(SEARCH("VPS",$I10012))=FALSE,LEFT($I10012,6)&lt;&gt;"VACUUM"),"CDU",IF($H10012="FLUID CAT CRACKING","FCC",IF(OR($H10012="HYDROCRACKING",$H10012="RESID_HYDROCRACKING"),"Hydrocracker",IF($H10012="REFORMING","Reformer",""))))</f>
        <v/>
      </c>
    </row>
    <row r="10013" spans="6:7">
      <c r="F10013" s="6">
        <f>IF($M10013="PADD I","PADD 1",IF($M10013="PADD II","PADD 2",IF($M10013="PADD III","PADD 3",IF($M10013="PADD IV","PADD 4",IF($M10013="PADD V","PADD 5","")))))</f>
        <v/>
      </c>
      <c r="G10013" s="6">
        <f>IF(AND($H10013="ATMOS DISTILLATION",ISNUMBER(SEARCH("VPS",$I10013))=FALSE,LEFT($I10013,6)&lt;&gt;"VACUUM"),"CDU",IF($H10013="FLUID CAT CRACKING","FCC",IF(OR($H10013="HYDROCRACKING",$H10013="RESID_HYDROCRACKING"),"Hydrocracker",IF($H10013="REFORMING","Reformer",""))))</f>
        <v/>
      </c>
    </row>
    <row r="10014" spans="6:7">
      <c r="F10014" s="6">
        <f>IF($M10014="PADD I","PADD 1",IF($M10014="PADD II","PADD 2",IF($M10014="PADD III","PADD 3",IF($M10014="PADD IV","PADD 4",IF($M10014="PADD V","PADD 5","")))))</f>
        <v/>
      </c>
      <c r="G10014" s="6">
        <f>IF(AND($H10014="ATMOS DISTILLATION",ISNUMBER(SEARCH("VPS",$I10014))=FALSE,LEFT($I10014,6)&lt;&gt;"VACUUM"),"CDU",IF($H10014="FLUID CAT CRACKING","FCC",IF(OR($H10014="HYDROCRACKING",$H10014="RESID_HYDROCRACKING"),"Hydrocracker",IF($H10014="REFORMING","Reformer",""))))</f>
        <v/>
      </c>
    </row>
    <row r="10015" spans="6:7">
      <c r="F10015" s="6">
        <f>IF($M10015="PADD I","PADD 1",IF($M10015="PADD II","PADD 2",IF($M10015="PADD III","PADD 3",IF($M10015="PADD IV","PADD 4",IF($M10015="PADD V","PADD 5","")))))</f>
        <v/>
      </c>
      <c r="G10015" s="6">
        <f>IF(AND($H10015="ATMOS DISTILLATION",ISNUMBER(SEARCH("VPS",$I10015))=FALSE,LEFT($I10015,6)&lt;&gt;"VACUUM"),"CDU",IF($H10015="FLUID CAT CRACKING","FCC",IF(OR($H10015="HYDROCRACKING",$H10015="RESID_HYDROCRACKING"),"Hydrocracker",IF($H10015="REFORMING","Reformer",""))))</f>
        <v/>
      </c>
    </row>
    <row r="10016" spans="6:7">
      <c r="F10016" s="6">
        <f>IF($M10016="PADD I","PADD 1",IF($M10016="PADD II","PADD 2",IF($M10016="PADD III","PADD 3",IF($M10016="PADD IV","PADD 4",IF($M10016="PADD V","PADD 5","")))))</f>
        <v/>
      </c>
      <c r="G10016" s="6">
        <f>IF(AND($H10016="ATMOS DISTILLATION",ISNUMBER(SEARCH("VPS",$I10016))=FALSE,LEFT($I10016,6)&lt;&gt;"VACUUM"),"CDU",IF($H10016="FLUID CAT CRACKING","FCC",IF(OR($H10016="HYDROCRACKING",$H10016="RESID_HYDROCRACKING"),"Hydrocracker",IF($H10016="REFORMING","Reformer",""))))</f>
        <v/>
      </c>
    </row>
    <row r="10017" spans="6:7">
      <c r="F10017" s="6">
        <f>IF($M10017="PADD I","PADD 1",IF($M10017="PADD II","PADD 2",IF($M10017="PADD III","PADD 3",IF($M10017="PADD IV","PADD 4",IF($M10017="PADD V","PADD 5","")))))</f>
        <v/>
      </c>
      <c r="G10017" s="6">
        <f>IF(AND($H10017="ATMOS DISTILLATION",ISNUMBER(SEARCH("VPS",$I10017))=FALSE,LEFT($I10017,6)&lt;&gt;"VACUUM"),"CDU",IF($H10017="FLUID CAT CRACKING","FCC",IF(OR($H10017="HYDROCRACKING",$H10017="RESID_HYDROCRACKING"),"Hydrocracker",IF($H10017="REFORMING","Reformer",""))))</f>
        <v/>
      </c>
    </row>
    <row r="10018" spans="6:7">
      <c r="F10018" s="6">
        <f>IF($M10018="PADD I","PADD 1",IF($M10018="PADD II","PADD 2",IF($M10018="PADD III","PADD 3",IF($M10018="PADD IV","PADD 4",IF($M10018="PADD V","PADD 5","")))))</f>
        <v/>
      </c>
      <c r="G10018" s="6">
        <f>IF(AND($H10018="ATMOS DISTILLATION",ISNUMBER(SEARCH("VPS",$I10018))=FALSE,LEFT($I10018,6)&lt;&gt;"VACUUM"),"CDU",IF($H10018="FLUID CAT CRACKING","FCC",IF(OR($H10018="HYDROCRACKING",$H10018="RESID_HYDROCRACKING"),"Hydrocracker",IF($H10018="REFORMING","Reformer",""))))</f>
        <v/>
      </c>
    </row>
    <row r="10019" spans="6:7">
      <c r="F10019" s="6">
        <f>IF($M10019="PADD I","PADD 1",IF($M10019="PADD II","PADD 2",IF($M10019="PADD III","PADD 3",IF($M10019="PADD IV","PADD 4",IF($M10019="PADD V","PADD 5","")))))</f>
        <v/>
      </c>
      <c r="G10019" s="6">
        <f>IF(AND($H10019="ATMOS DISTILLATION",ISNUMBER(SEARCH("VPS",$I10019))=FALSE,LEFT($I10019,6)&lt;&gt;"VACUUM"),"CDU",IF($H10019="FLUID CAT CRACKING","FCC",IF(OR($H10019="HYDROCRACKING",$H10019="RESID_HYDROCRACKING"),"Hydrocracker",IF($H10019="REFORMING","Reformer",""))))</f>
        <v/>
      </c>
    </row>
    <row r="10020" spans="6:7">
      <c r="F10020" s="6">
        <f>IF($M10020="PADD I","PADD 1",IF($M10020="PADD II","PADD 2",IF($M10020="PADD III","PADD 3",IF($M10020="PADD IV","PADD 4",IF($M10020="PADD V","PADD 5","")))))</f>
        <v/>
      </c>
      <c r="G10020" s="6">
        <f>IF(AND($H10020="ATMOS DISTILLATION",ISNUMBER(SEARCH("VPS",$I10020))=FALSE,LEFT($I10020,6)&lt;&gt;"VACUUM"),"CDU",IF($H10020="FLUID CAT CRACKING","FCC",IF(OR($H10020="HYDROCRACKING",$H10020="RESID_HYDROCRACKING"),"Hydrocracker",IF($H10020="REFORMING","Reformer",""))))</f>
        <v/>
      </c>
    </row>
    <row r="10021" spans="6:7">
      <c r="F10021" s="6">
        <f>IF($M10021="PADD I","PADD 1",IF($M10021="PADD II","PADD 2",IF($M10021="PADD III","PADD 3",IF($M10021="PADD IV","PADD 4",IF($M10021="PADD V","PADD 5","")))))</f>
        <v/>
      </c>
      <c r="G10021" s="6">
        <f>IF(AND($H10021="ATMOS DISTILLATION",ISNUMBER(SEARCH("VPS",$I10021))=FALSE,LEFT($I10021,6)&lt;&gt;"VACUUM"),"CDU",IF($H10021="FLUID CAT CRACKING","FCC",IF(OR($H10021="HYDROCRACKING",$H10021="RESID_HYDROCRACKING"),"Hydrocracker",IF($H10021="REFORMING","Reformer",""))))</f>
        <v/>
      </c>
    </row>
    <row r="10022" spans="6:7">
      <c r="F10022" s="6">
        <f>IF($M10022="PADD I","PADD 1",IF($M10022="PADD II","PADD 2",IF($M10022="PADD III","PADD 3",IF($M10022="PADD IV","PADD 4",IF($M10022="PADD V","PADD 5","")))))</f>
        <v/>
      </c>
      <c r="G10022" s="6">
        <f>IF(AND($H10022="ATMOS DISTILLATION",ISNUMBER(SEARCH("VPS",$I10022))=FALSE,LEFT($I10022,6)&lt;&gt;"VACUUM"),"CDU",IF($H10022="FLUID CAT CRACKING","FCC",IF(OR($H10022="HYDROCRACKING",$H10022="RESID_HYDROCRACKING"),"Hydrocracker",IF($H10022="REFORMING","Reformer",""))))</f>
        <v/>
      </c>
    </row>
    <row r="10023" spans="6:7">
      <c r="F10023" s="6">
        <f>IF($M10023="PADD I","PADD 1",IF($M10023="PADD II","PADD 2",IF($M10023="PADD III","PADD 3",IF($M10023="PADD IV","PADD 4",IF($M10023="PADD V","PADD 5","")))))</f>
        <v/>
      </c>
      <c r="G10023" s="6">
        <f>IF(AND($H10023="ATMOS DISTILLATION",ISNUMBER(SEARCH("VPS",$I10023))=FALSE,LEFT($I10023,6)&lt;&gt;"VACUUM"),"CDU",IF($H10023="FLUID CAT CRACKING","FCC",IF(OR($H10023="HYDROCRACKING",$H10023="RESID_HYDROCRACKING"),"Hydrocracker",IF($H10023="REFORMING","Reformer",""))))</f>
        <v/>
      </c>
    </row>
    <row r="10024" spans="6:7">
      <c r="F10024" s="6">
        <f>IF($M10024="PADD I","PADD 1",IF($M10024="PADD II","PADD 2",IF($M10024="PADD III","PADD 3",IF($M10024="PADD IV","PADD 4",IF($M10024="PADD V","PADD 5","")))))</f>
        <v/>
      </c>
      <c r="G10024" s="6">
        <f>IF(AND($H10024="ATMOS DISTILLATION",ISNUMBER(SEARCH("VPS",$I10024))=FALSE,LEFT($I10024,6)&lt;&gt;"VACUUM"),"CDU",IF($H10024="FLUID CAT CRACKING","FCC",IF(OR($H10024="HYDROCRACKING",$H10024="RESID_HYDROCRACKING"),"Hydrocracker",IF($H10024="REFORMING","Reformer",""))))</f>
        <v/>
      </c>
    </row>
    <row r="10025" spans="6:7">
      <c r="F10025" s="6">
        <f>IF($M10025="PADD I","PADD 1",IF($M10025="PADD II","PADD 2",IF($M10025="PADD III","PADD 3",IF($M10025="PADD IV","PADD 4",IF($M10025="PADD V","PADD 5","")))))</f>
        <v/>
      </c>
      <c r="G10025" s="6">
        <f>IF(AND($H10025="ATMOS DISTILLATION",ISNUMBER(SEARCH("VPS",$I10025))=FALSE,LEFT($I10025,6)&lt;&gt;"VACUUM"),"CDU",IF($H10025="FLUID CAT CRACKING","FCC",IF(OR($H10025="HYDROCRACKING",$H10025="RESID_HYDROCRACKING"),"Hydrocracker",IF($H10025="REFORMING","Reformer",""))))</f>
        <v/>
      </c>
    </row>
    <row r="10026" spans="6:7">
      <c r="F10026" s="6">
        <f>IF($M10026="PADD I","PADD 1",IF($M10026="PADD II","PADD 2",IF($M10026="PADD III","PADD 3",IF($M10026="PADD IV","PADD 4",IF($M10026="PADD V","PADD 5","")))))</f>
        <v/>
      </c>
      <c r="G10026" s="6">
        <f>IF(AND($H10026="ATMOS DISTILLATION",ISNUMBER(SEARCH("VPS",$I10026))=FALSE,LEFT($I10026,6)&lt;&gt;"VACUUM"),"CDU",IF($H10026="FLUID CAT CRACKING","FCC",IF(OR($H10026="HYDROCRACKING",$H10026="RESID_HYDROCRACKING"),"Hydrocracker",IF($H10026="REFORMING","Reformer",""))))</f>
        <v/>
      </c>
    </row>
    <row r="10027" spans="6:7">
      <c r="F10027" s="6">
        <f>IF($M10027="PADD I","PADD 1",IF($M10027="PADD II","PADD 2",IF($M10027="PADD III","PADD 3",IF($M10027="PADD IV","PADD 4",IF($M10027="PADD V","PADD 5","")))))</f>
        <v/>
      </c>
      <c r="G10027" s="6">
        <f>IF(AND($H10027="ATMOS DISTILLATION",ISNUMBER(SEARCH("VPS",$I10027))=FALSE,LEFT($I10027,6)&lt;&gt;"VACUUM"),"CDU",IF($H10027="FLUID CAT CRACKING","FCC",IF(OR($H10027="HYDROCRACKING",$H10027="RESID_HYDROCRACKING"),"Hydrocracker",IF($H10027="REFORMING","Reformer",""))))</f>
        <v/>
      </c>
    </row>
    <row r="10028" spans="6:7">
      <c r="F10028" s="6">
        <f>IF($M10028="PADD I","PADD 1",IF($M10028="PADD II","PADD 2",IF($M10028="PADD III","PADD 3",IF($M10028="PADD IV","PADD 4",IF($M10028="PADD V","PADD 5","")))))</f>
        <v/>
      </c>
      <c r="G10028" s="6">
        <f>IF(AND($H10028="ATMOS DISTILLATION",ISNUMBER(SEARCH("VPS",$I10028))=FALSE,LEFT($I10028,6)&lt;&gt;"VACUUM"),"CDU",IF($H10028="FLUID CAT CRACKING","FCC",IF(OR($H10028="HYDROCRACKING",$H10028="RESID_HYDROCRACKING"),"Hydrocracker",IF($H10028="REFORMING","Reformer",""))))</f>
        <v/>
      </c>
    </row>
    <row r="10029" spans="6:7">
      <c r="F10029" s="6">
        <f>IF($M10029="PADD I","PADD 1",IF($M10029="PADD II","PADD 2",IF($M10029="PADD III","PADD 3",IF($M10029="PADD IV","PADD 4",IF($M10029="PADD V","PADD 5","")))))</f>
        <v/>
      </c>
      <c r="G10029" s="6">
        <f>IF(AND($H10029="ATMOS DISTILLATION",ISNUMBER(SEARCH("VPS",$I10029))=FALSE,LEFT($I10029,6)&lt;&gt;"VACUUM"),"CDU",IF($H10029="FLUID CAT CRACKING","FCC",IF(OR($H10029="HYDROCRACKING",$H10029="RESID_HYDROCRACKING"),"Hydrocracker",IF($H10029="REFORMING","Reformer",""))))</f>
        <v/>
      </c>
    </row>
    <row r="10030" spans="6:7">
      <c r="F10030" s="6">
        <f>IF($M10030="PADD I","PADD 1",IF($M10030="PADD II","PADD 2",IF($M10030="PADD III","PADD 3",IF($M10030="PADD IV","PADD 4",IF($M10030="PADD V","PADD 5","")))))</f>
        <v/>
      </c>
      <c r="G10030" s="6">
        <f>IF(AND($H10030="ATMOS DISTILLATION",ISNUMBER(SEARCH("VPS",$I10030))=FALSE,LEFT($I10030,6)&lt;&gt;"VACUUM"),"CDU",IF($H10030="FLUID CAT CRACKING","FCC",IF(OR($H10030="HYDROCRACKING",$H10030="RESID_HYDROCRACKING"),"Hydrocracker",IF($H10030="REFORMING","Reformer",""))))</f>
        <v/>
      </c>
    </row>
    <row r="10031" spans="6:7">
      <c r="F10031" s="6">
        <f>IF($M10031="PADD I","PADD 1",IF($M10031="PADD II","PADD 2",IF($M10031="PADD III","PADD 3",IF($M10031="PADD IV","PADD 4",IF($M10031="PADD V","PADD 5","")))))</f>
        <v/>
      </c>
      <c r="G10031" s="6">
        <f>IF(AND($H10031="ATMOS DISTILLATION",ISNUMBER(SEARCH("VPS",$I10031))=FALSE,LEFT($I10031,6)&lt;&gt;"VACUUM"),"CDU",IF($H10031="FLUID CAT CRACKING","FCC",IF(OR($H10031="HYDROCRACKING",$H10031="RESID_HYDROCRACKING"),"Hydrocracker",IF($H10031="REFORMING","Reformer",""))))</f>
        <v/>
      </c>
    </row>
    <row r="10032" spans="6:7">
      <c r="F10032" s="6">
        <f>IF($M10032="PADD I","PADD 1",IF($M10032="PADD II","PADD 2",IF($M10032="PADD III","PADD 3",IF($M10032="PADD IV","PADD 4",IF($M10032="PADD V","PADD 5","")))))</f>
        <v/>
      </c>
      <c r="G10032" s="6">
        <f>IF(AND($H10032="ATMOS DISTILLATION",ISNUMBER(SEARCH("VPS",$I10032))=FALSE,LEFT($I10032,6)&lt;&gt;"VACUUM"),"CDU",IF($H10032="FLUID CAT CRACKING","FCC",IF(OR($H10032="HYDROCRACKING",$H10032="RESID_HYDROCRACKING"),"Hydrocracker",IF($H10032="REFORMING","Reformer",""))))</f>
        <v/>
      </c>
    </row>
    <row r="10033" spans="6:7">
      <c r="F10033" s="6">
        <f>IF($M10033="PADD I","PADD 1",IF($M10033="PADD II","PADD 2",IF($M10033="PADD III","PADD 3",IF($M10033="PADD IV","PADD 4",IF($M10033="PADD V","PADD 5","")))))</f>
        <v/>
      </c>
      <c r="G10033" s="6">
        <f>IF(AND($H10033="ATMOS DISTILLATION",ISNUMBER(SEARCH("VPS",$I10033))=FALSE,LEFT($I10033,6)&lt;&gt;"VACUUM"),"CDU",IF($H10033="FLUID CAT CRACKING","FCC",IF(OR($H10033="HYDROCRACKING",$H10033="RESID_HYDROCRACKING"),"Hydrocracker",IF($H10033="REFORMING","Reformer",""))))</f>
        <v/>
      </c>
    </row>
    <row r="10034" spans="6:7">
      <c r="F10034" s="6">
        <f>IF($M10034="PADD I","PADD 1",IF($M10034="PADD II","PADD 2",IF($M10034="PADD III","PADD 3",IF($M10034="PADD IV","PADD 4",IF($M10034="PADD V","PADD 5","")))))</f>
        <v/>
      </c>
      <c r="G10034" s="6">
        <f>IF(AND($H10034="ATMOS DISTILLATION",ISNUMBER(SEARCH("VPS",$I10034))=FALSE,LEFT($I10034,6)&lt;&gt;"VACUUM"),"CDU",IF($H10034="FLUID CAT CRACKING","FCC",IF(OR($H10034="HYDROCRACKING",$H10034="RESID_HYDROCRACKING"),"Hydrocracker",IF($H10034="REFORMING","Reformer",""))))</f>
        <v/>
      </c>
    </row>
    <row r="10035" spans="6:7">
      <c r="F10035" s="6">
        <f>IF($M10035="PADD I","PADD 1",IF($M10035="PADD II","PADD 2",IF($M10035="PADD III","PADD 3",IF($M10035="PADD IV","PADD 4",IF($M10035="PADD V","PADD 5","")))))</f>
        <v/>
      </c>
      <c r="G10035" s="6">
        <f>IF(AND($H10035="ATMOS DISTILLATION",ISNUMBER(SEARCH("VPS",$I10035))=FALSE,LEFT($I10035,6)&lt;&gt;"VACUUM"),"CDU",IF($H10035="FLUID CAT CRACKING","FCC",IF(OR($H10035="HYDROCRACKING",$H10035="RESID_HYDROCRACKING"),"Hydrocracker",IF($H10035="REFORMING","Reformer",""))))</f>
        <v/>
      </c>
    </row>
    <row r="10036" spans="6:7">
      <c r="F10036" s="6">
        <f>IF($M10036="PADD I","PADD 1",IF($M10036="PADD II","PADD 2",IF($M10036="PADD III","PADD 3",IF($M10036="PADD IV","PADD 4",IF($M10036="PADD V","PADD 5","")))))</f>
        <v/>
      </c>
      <c r="G10036" s="6">
        <f>IF(AND($H10036="ATMOS DISTILLATION",ISNUMBER(SEARCH("VPS",$I10036))=FALSE,LEFT($I10036,6)&lt;&gt;"VACUUM"),"CDU",IF($H10036="FLUID CAT CRACKING","FCC",IF(OR($H10036="HYDROCRACKING",$H10036="RESID_HYDROCRACKING"),"Hydrocracker",IF($H10036="REFORMING","Reformer",""))))</f>
        <v/>
      </c>
    </row>
    <row r="10037" spans="6:7">
      <c r="F10037" s="6">
        <f>IF($M10037="PADD I","PADD 1",IF($M10037="PADD II","PADD 2",IF($M10037="PADD III","PADD 3",IF($M10037="PADD IV","PADD 4",IF($M10037="PADD V","PADD 5","")))))</f>
        <v/>
      </c>
      <c r="G10037" s="6">
        <f>IF(AND($H10037="ATMOS DISTILLATION",ISNUMBER(SEARCH("VPS",$I10037))=FALSE,LEFT($I10037,6)&lt;&gt;"VACUUM"),"CDU",IF($H10037="FLUID CAT CRACKING","FCC",IF(OR($H10037="HYDROCRACKING",$H10037="RESID_HYDROCRACKING"),"Hydrocracker",IF($H10037="REFORMING","Reformer",""))))</f>
        <v/>
      </c>
    </row>
    <row r="10038" spans="6:7">
      <c r="F10038" s="6">
        <f>IF($M10038="PADD I","PADD 1",IF($M10038="PADD II","PADD 2",IF($M10038="PADD III","PADD 3",IF($M10038="PADD IV","PADD 4",IF($M10038="PADD V","PADD 5","")))))</f>
        <v/>
      </c>
      <c r="G10038" s="6">
        <f>IF(AND($H10038="ATMOS DISTILLATION",ISNUMBER(SEARCH("VPS",$I10038))=FALSE,LEFT($I10038,6)&lt;&gt;"VACUUM"),"CDU",IF($H10038="FLUID CAT CRACKING","FCC",IF(OR($H10038="HYDROCRACKING",$H10038="RESID_HYDROCRACKING"),"Hydrocracker",IF($H10038="REFORMING","Reformer",""))))</f>
        <v/>
      </c>
    </row>
    <row r="10039" spans="6:7">
      <c r="F10039" s="6">
        <f>IF($M10039="PADD I","PADD 1",IF($M10039="PADD II","PADD 2",IF($M10039="PADD III","PADD 3",IF($M10039="PADD IV","PADD 4",IF($M10039="PADD V","PADD 5","")))))</f>
        <v/>
      </c>
      <c r="G10039" s="6">
        <f>IF(AND($H10039="ATMOS DISTILLATION",ISNUMBER(SEARCH("VPS",$I10039))=FALSE,LEFT($I10039,6)&lt;&gt;"VACUUM"),"CDU",IF($H10039="FLUID CAT CRACKING","FCC",IF(OR($H10039="HYDROCRACKING",$H10039="RESID_HYDROCRACKING"),"Hydrocracker",IF($H10039="REFORMING","Reformer",""))))</f>
        <v/>
      </c>
    </row>
    <row r="10040" spans="6:7">
      <c r="F10040" s="6">
        <f>IF($M10040="PADD I","PADD 1",IF($M10040="PADD II","PADD 2",IF($M10040="PADD III","PADD 3",IF($M10040="PADD IV","PADD 4",IF($M10040="PADD V","PADD 5","")))))</f>
        <v/>
      </c>
      <c r="G10040" s="6">
        <f>IF(AND($H10040="ATMOS DISTILLATION",ISNUMBER(SEARCH("VPS",$I10040))=FALSE,LEFT($I10040,6)&lt;&gt;"VACUUM"),"CDU",IF($H10040="FLUID CAT CRACKING","FCC",IF(OR($H10040="HYDROCRACKING",$H10040="RESID_HYDROCRACKING"),"Hydrocracker",IF($H10040="REFORMING","Reformer",""))))</f>
        <v/>
      </c>
    </row>
    <row r="10041" spans="6:7">
      <c r="F10041" s="6">
        <f>IF($M10041="PADD I","PADD 1",IF($M10041="PADD II","PADD 2",IF($M10041="PADD III","PADD 3",IF($M10041="PADD IV","PADD 4",IF($M10041="PADD V","PADD 5","")))))</f>
        <v/>
      </c>
      <c r="G10041" s="6">
        <f>IF(AND($H10041="ATMOS DISTILLATION",ISNUMBER(SEARCH("VPS",$I10041))=FALSE,LEFT($I10041,6)&lt;&gt;"VACUUM"),"CDU",IF($H10041="FLUID CAT CRACKING","FCC",IF(OR($H10041="HYDROCRACKING",$H10041="RESID_HYDROCRACKING"),"Hydrocracker",IF($H10041="REFORMING","Reformer",""))))</f>
        <v/>
      </c>
    </row>
    <row r="10042" spans="6:7">
      <c r="F10042" s="6">
        <f>IF($M10042="PADD I","PADD 1",IF($M10042="PADD II","PADD 2",IF($M10042="PADD III","PADD 3",IF($M10042="PADD IV","PADD 4",IF($M10042="PADD V","PADD 5","")))))</f>
        <v/>
      </c>
      <c r="G10042" s="6">
        <f>IF(AND($H10042="ATMOS DISTILLATION",ISNUMBER(SEARCH("VPS",$I10042))=FALSE,LEFT($I10042,6)&lt;&gt;"VACUUM"),"CDU",IF($H10042="FLUID CAT CRACKING","FCC",IF(OR($H10042="HYDROCRACKING",$H10042="RESID_HYDROCRACKING"),"Hydrocracker",IF($H10042="REFORMING","Reformer",""))))</f>
        <v/>
      </c>
    </row>
    <row r="10043" spans="6:7">
      <c r="F10043" s="6">
        <f>IF($M10043="PADD I","PADD 1",IF($M10043="PADD II","PADD 2",IF($M10043="PADD III","PADD 3",IF($M10043="PADD IV","PADD 4",IF($M10043="PADD V","PADD 5","")))))</f>
        <v/>
      </c>
      <c r="G10043" s="6">
        <f>IF(AND($H10043="ATMOS DISTILLATION",ISNUMBER(SEARCH("VPS",$I10043))=FALSE,LEFT($I10043,6)&lt;&gt;"VACUUM"),"CDU",IF($H10043="FLUID CAT CRACKING","FCC",IF(OR($H10043="HYDROCRACKING",$H10043="RESID_HYDROCRACKING"),"Hydrocracker",IF($H10043="REFORMING","Reformer",""))))</f>
        <v/>
      </c>
    </row>
    <row r="10044" spans="6:7">
      <c r="F10044" s="6">
        <f>IF($M10044="PADD I","PADD 1",IF($M10044="PADD II","PADD 2",IF($M10044="PADD III","PADD 3",IF($M10044="PADD IV","PADD 4",IF($M10044="PADD V","PADD 5","")))))</f>
        <v/>
      </c>
      <c r="G10044" s="6">
        <f>IF(AND($H10044="ATMOS DISTILLATION",ISNUMBER(SEARCH("VPS",$I10044))=FALSE,LEFT($I10044,6)&lt;&gt;"VACUUM"),"CDU",IF($H10044="FLUID CAT CRACKING","FCC",IF(OR($H10044="HYDROCRACKING",$H10044="RESID_HYDROCRACKING"),"Hydrocracker",IF($H10044="REFORMING","Reformer",""))))</f>
        <v/>
      </c>
    </row>
    <row r="10045" spans="6:7">
      <c r="F10045" s="6">
        <f>IF($M10045="PADD I","PADD 1",IF($M10045="PADD II","PADD 2",IF($M10045="PADD III","PADD 3",IF($M10045="PADD IV","PADD 4",IF($M10045="PADD V","PADD 5","")))))</f>
        <v/>
      </c>
      <c r="G10045" s="6">
        <f>IF(AND($H10045="ATMOS DISTILLATION",ISNUMBER(SEARCH("VPS",$I10045))=FALSE,LEFT($I10045,6)&lt;&gt;"VACUUM"),"CDU",IF($H10045="FLUID CAT CRACKING","FCC",IF(OR($H10045="HYDROCRACKING",$H10045="RESID_HYDROCRACKING"),"Hydrocracker",IF($H10045="REFORMING","Reformer",""))))</f>
        <v/>
      </c>
    </row>
    <row r="10046" spans="6:7">
      <c r="F10046" s="6">
        <f>IF($M10046="PADD I","PADD 1",IF($M10046="PADD II","PADD 2",IF($M10046="PADD III","PADD 3",IF($M10046="PADD IV","PADD 4",IF($M10046="PADD V","PADD 5","")))))</f>
        <v/>
      </c>
      <c r="G10046" s="6">
        <f>IF(AND($H10046="ATMOS DISTILLATION",ISNUMBER(SEARCH("VPS",$I10046))=FALSE,LEFT($I10046,6)&lt;&gt;"VACUUM"),"CDU",IF($H10046="FLUID CAT CRACKING","FCC",IF(OR($H10046="HYDROCRACKING",$H10046="RESID_HYDROCRACKING"),"Hydrocracker",IF($H10046="REFORMING","Reformer",""))))</f>
        <v/>
      </c>
    </row>
    <row r="10047" spans="6:7">
      <c r="F10047" s="6">
        <f>IF($M10047="PADD I","PADD 1",IF($M10047="PADD II","PADD 2",IF($M10047="PADD III","PADD 3",IF($M10047="PADD IV","PADD 4",IF($M10047="PADD V","PADD 5","")))))</f>
        <v/>
      </c>
      <c r="G10047" s="6">
        <f>IF(AND($H10047="ATMOS DISTILLATION",ISNUMBER(SEARCH("VPS",$I10047))=FALSE,LEFT($I10047,6)&lt;&gt;"VACUUM"),"CDU",IF($H10047="FLUID CAT CRACKING","FCC",IF(OR($H10047="HYDROCRACKING",$H10047="RESID_HYDROCRACKING"),"Hydrocracker",IF($H10047="REFORMING","Reformer",""))))</f>
        <v/>
      </c>
    </row>
    <row r="10048" spans="6:7">
      <c r="F10048" s="6">
        <f>IF($M10048="PADD I","PADD 1",IF($M10048="PADD II","PADD 2",IF($M10048="PADD III","PADD 3",IF($M10048="PADD IV","PADD 4",IF($M10048="PADD V","PADD 5","")))))</f>
        <v/>
      </c>
      <c r="G10048" s="6">
        <f>IF(AND($H10048="ATMOS DISTILLATION",ISNUMBER(SEARCH("VPS",$I10048))=FALSE,LEFT($I10048,6)&lt;&gt;"VACUUM"),"CDU",IF($H10048="FLUID CAT CRACKING","FCC",IF(OR($H10048="HYDROCRACKING",$H10048="RESID_HYDROCRACKING"),"Hydrocracker",IF($H10048="REFORMING","Reformer",""))))</f>
        <v/>
      </c>
    </row>
    <row r="10049" spans="6:7">
      <c r="F10049" s="6">
        <f>IF($M10049="PADD I","PADD 1",IF($M10049="PADD II","PADD 2",IF($M10049="PADD III","PADD 3",IF($M10049="PADD IV","PADD 4",IF($M10049="PADD V","PADD 5","")))))</f>
        <v/>
      </c>
      <c r="G10049" s="6">
        <f>IF(AND($H10049="ATMOS DISTILLATION",ISNUMBER(SEARCH("VPS",$I10049))=FALSE,LEFT($I10049,6)&lt;&gt;"VACUUM"),"CDU",IF($H10049="FLUID CAT CRACKING","FCC",IF(OR($H10049="HYDROCRACKING",$H10049="RESID_HYDROCRACKING"),"Hydrocracker",IF($H10049="REFORMING","Reformer",""))))</f>
        <v/>
      </c>
    </row>
    <row r="10050" spans="6:7">
      <c r="F10050" s="6">
        <f>IF($M10050="PADD I","PADD 1",IF($M10050="PADD II","PADD 2",IF($M10050="PADD III","PADD 3",IF($M10050="PADD IV","PADD 4",IF($M10050="PADD V","PADD 5","")))))</f>
        <v/>
      </c>
      <c r="G10050" s="6">
        <f>IF(AND($H10050="ATMOS DISTILLATION",ISNUMBER(SEARCH("VPS",$I10050))=FALSE,LEFT($I10050,6)&lt;&gt;"VACUUM"),"CDU",IF($H10050="FLUID CAT CRACKING","FCC",IF(OR($H10050="HYDROCRACKING",$H10050="RESID_HYDROCRACKING"),"Hydrocracker",IF($H10050="REFORMING","Reformer",""))))</f>
        <v/>
      </c>
    </row>
    <row r="10051" spans="6:7">
      <c r="F10051" s="6">
        <f>IF($M10051="PADD I","PADD 1",IF($M10051="PADD II","PADD 2",IF($M10051="PADD III","PADD 3",IF($M10051="PADD IV","PADD 4",IF($M10051="PADD V","PADD 5","")))))</f>
        <v/>
      </c>
      <c r="G10051" s="6">
        <f>IF(AND($H10051="ATMOS DISTILLATION",ISNUMBER(SEARCH("VPS",$I10051))=FALSE,LEFT($I10051,6)&lt;&gt;"VACUUM"),"CDU",IF($H10051="FLUID CAT CRACKING","FCC",IF(OR($H10051="HYDROCRACKING",$H10051="RESID_HYDROCRACKING"),"Hydrocracker",IF($H10051="REFORMING","Reformer",""))))</f>
        <v/>
      </c>
    </row>
    <row r="10052" spans="6:7">
      <c r="F10052" s="6">
        <f>IF($M10052="PADD I","PADD 1",IF($M10052="PADD II","PADD 2",IF($M10052="PADD III","PADD 3",IF($M10052="PADD IV","PADD 4",IF($M10052="PADD V","PADD 5","")))))</f>
        <v/>
      </c>
      <c r="G10052" s="6">
        <f>IF(AND($H10052="ATMOS DISTILLATION",ISNUMBER(SEARCH("VPS",$I10052))=FALSE,LEFT($I10052,6)&lt;&gt;"VACUUM"),"CDU",IF($H10052="FLUID CAT CRACKING","FCC",IF(OR($H10052="HYDROCRACKING",$H10052="RESID_HYDROCRACKING"),"Hydrocracker",IF($H10052="REFORMING","Reformer",""))))</f>
        <v/>
      </c>
    </row>
    <row r="10053" spans="6:7">
      <c r="F10053" s="6">
        <f>IF($M10053="PADD I","PADD 1",IF($M10053="PADD II","PADD 2",IF($M10053="PADD III","PADD 3",IF($M10053="PADD IV","PADD 4",IF($M10053="PADD V","PADD 5","")))))</f>
        <v/>
      </c>
      <c r="G10053" s="6">
        <f>IF(AND($H10053="ATMOS DISTILLATION",ISNUMBER(SEARCH("VPS",$I10053))=FALSE,LEFT($I10053,6)&lt;&gt;"VACUUM"),"CDU",IF($H10053="FLUID CAT CRACKING","FCC",IF(OR($H10053="HYDROCRACKING",$H10053="RESID_HYDROCRACKING"),"Hydrocracker",IF($H10053="REFORMING","Reformer",""))))</f>
        <v/>
      </c>
    </row>
    <row r="10054" spans="6:7">
      <c r="F10054" s="6">
        <f>IF($M10054="PADD I","PADD 1",IF($M10054="PADD II","PADD 2",IF($M10054="PADD III","PADD 3",IF($M10054="PADD IV","PADD 4",IF($M10054="PADD V","PADD 5","")))))</f>
        <v/>
      </c>
      <c r="G10054" s="6">
        <f>IF(AND($H10054="ATMOS DISTILLATION",ISNUMBER(SEARCH("VPS",$I10054))=FALSE,LEFT($I10054,6)&lt;&gt;"VACUUM"),"CDU",IF($H10054="FLUID CAT CRACKING","FCC",IF(OR($H10054="HYDROCRACKING",$H10054="RESID_HYDROCRACKING"),"Hydrocracker",IF($H10054="REFORMING","Reformer",""))))</f>
        <v/>
      </c>
    </row>
    <row r="10055" spans="6:7">
      <c r="F10055" s="6">
        <f>IF($M10055="PADD I","PADD 1",IF($M10055="PADD II","PADD 2",IF($M10055="PADD III","PADD 3",IF($M10055="PADD IV","PADD 4",IF($M10055="PADD V","PADD 5","")))))</f>
        <v/>
      </c>
      <c r="G10055" s="6">
        <f>IF(AND($H10055="ATMOS DISTILLATION",ISNUMBER(SEARCH("VPS",$I10055))=FALSE,LEFT($I10055,6)&lt;&gt;"VACUUM"),"CDU",IF($H10055="FLUID CAT CRACKING","FCC",IF(OR($H10055="HYDROCRACKING",$H10055="RESID_HYDROCRACKING"),"Hydrocracker",IF($H10055="REFORMING","Reformer",""))))</f>
        <v/>
      </c>
    </row>
    <row r="10056" spans="6:7">
      <c r="F10056" s="6">
        <f>IF($M10056="PADD I","PADD 1",IF($M10056="PADD II","PADD 2",IF($M10056="PADD III","PADD 3",IF($M10056="PADD IV","PADD 4",IF($M10056="PADD V","PADD 5","")))))</f>
        <v/>
      </c>
      <c r="G10056" s="6">
        <f>IF(AND($H10056="ATMOS DISTILLATION",ISNUMBER(SEARCH("VPS",$I10056))=FALSE,LEFT($I10056,6)&lt;&gt;"VACUUM"),"CDU",IF($H10056="FLUID CAT CRACKING","FCC",IF(OR($H10056="HYDROCRACKING",$H10056="RESID_HYDROCRACKING"),"Hydrocracker",IF($H10056="REFORMING","Reformer",""))))</f>
        <v/>
      </c>
    </row>
    <row r="10057" spans="6:7">
      <c r="F10057" s="6">
        <f>IF($M10057="PADD I","PADD 1",IF($M10057="PADD II","PADD 2",IF($M10057="PADD III","PADD 3",IF($M10057="PADD IV","PADD 4",IF($M10057="PADD V","PADD 5","")))))</f>
        <v/>
      </c>
      <c r="G10057" s="6">
        <f>IF(AND($H10057="ATMOS DISTILLATION",ISNUMBER(SEARCH("VPS",$I10057))=FALSE,LEFT($I10057,6)&lt;&gt;"VACUUM"),"CDU",IF($H10057="FLUID CAT CRACKING","FCC",IF(OR($H10057="HYDROCRACKING",$H10057="RESID_HYDROCRACKING"),"Hydrocracker",IF($H10057="REFORMING","Reformer",""))))</f>
        <v/>
      </c>
    </row>
    <row r="10058" spans="6:7">
      <c r="F10058" s="6">
        <f>IF($M10058="PADD I","PADD 1",IF($M10058="PADD II","PADD 2",IF($M10058="PADD III","PADD 3",IF($M10058="PADD IV","PADD 4",IF($M10058="PADD V","PADD 5","")))))</f>
        <v/>
      </c>
      <c r="G10058" s="6">
        <f>IF(AND($H10058="ATMOS DISTILLATION",ISNUMBER(SEARCH("VPS",$I10058))=FALSE,LEFT($I10058,6)&lt;&gt;"VACUUM"),"CDU",IF($H10058="FLUID CAT CRACKING","FCC",IF(OR($H10058="HYDROCRACKING",$H10058="RESID_HYDROCRACKING"),"Hydrocracker",IF($H10058="REFORMING","Reformer",""))))</f>
        <v/>
      </c>
    </row>
    <row r="10059" spans="6:7">
      <c r="F10059" s="6">
        <f>IF($M10059="PADD I","PADD 1",IF($M10059="PADD II","PADD 2",IF($M10059="PADD III","PADD 3",IF($M10059="PADD IV","PADD 4",IF($M10059="PADD V","PADD 5","")))))</f>
        <v/>
      </c>
      <c r="G10059" s="6">
        <f>IF(AND($H10059="ATMOS DISTILLATION",ISNUMBER(SEARCH("VPS",$I10059))=FALSE,LEFT($I10059,6)&lt;&gt;"VACUUM"),"CDU",IF($H10059="FLUID CAT CRACKING","FCC",IF(OR($H10059="HYDROCRACKING",$H10059="RESID_HYDROCRACKING"),"Hydrocracker",IF($H10059="REFORMING","Reformer",""))))</f>
        <v/>
      </c>
    </row>
    <row r="10060" spans="6:7">
      <c r="F10060" s="6">
        <f>IF($M10060="PADD I","PADD 1",IF($M10060="PADD II","PADD 2",IF($M10060="PADD III","PADD 3",IF($M10060="PADD IV","PADD 4",IF($M10060="PADD V","PADD 5","")))))</f>
        <v/>
      </c>
      <c r="G10060" s="6">
        <f>IF(AND($H10060="ATMOS DISTILLATION",ISNUMBER(SEARCH("VPS",$I10060))=FALSE,LEFT($I10060,6)&lt;&gt;"VACUUM"),"CDU",IF($H10060="FLUID CAT CRACKING","FCC",IF(OR($H10060="HYDROCRACKING",$H10060="RESID_HYDROCRACKING"),"Hydrocracker",IF($H10060="REFORMING","Reformer",""))))</f>
        <v/>
      </c>
    </row>
    <row r="10061" spans="6:7">
      <c r="F10061" s="6">
        <f>IF($M10061="PADD I","PADD 1",IF($M10061="PADD II","PADD 2",IF($M10061="PADD III","PADD 3",IF($M10061="PADD IV","PADD 4",IF($M10061="PADD V","PADD 5","")))))</f>
        <v/>
      </c>
      <c r="G10061" s="6">
        <f>IF(AND($H10061="ATMOS DISTILLATION",ISNUMBER(SEARCH("VPS",$I10061))=FALSE,LEFT($I10061,6)&lt;&gt;"VACUUM"),"CDU",IF($H10061="FLUID CAT CRACKING","FCC",IF(OR($H10061="HYDROCRACKING",$H10061="RESID_HYDROCRACKING"),"Hydrocracker",IF($H10061="REFORMING","Reformer",""))))</f>
        <v/>
      </c>
    </row>
    <row r="10062" spans="6:7">
      <c r="F10062" s="6">
        <f>IF($M10062="PADD I","PADD 1",IF($M10062="PADD II","PADD 2",IF($M10062="PADD III","PADD 3",IF($M10062="PADD IV","PADD 4",IF($M10062="PADD V","PADD 5","")))))</f>
        <v/>
      </c>
      <c r="G10062" s="6">
        <f>IF(AND($H10062="ATMOS DISTILLATION",ISNUMBER(SEARCH("VPS",$I10062))=FALSE,LEFT($I10062,6)&lt;&gt;"VACUUM"),"CDU",IF($H10062="FLUID CAT CRACKING","FCC",IF(OR($H10062="HYDROCRACKING",$H10062="RESID_HYDROCRACKING"),"Hydrocracker",IF($H10062="REFORMING","Reformer",""))))</f>
        <v/>
      </c>
    </row>
    <row r="10063" spans="6:7">
      <c r="F10063" s="6">
        <f>IF($M10063="PADD I","PADD 1",IF($M10063="PADD II","PADD 2",IF($M10063="PADD III","PADD 3",IF($M10063="PADD IV","PADD 4",IF($M10063="PADD V","PADD 5","")))))</f>
        <v/>
      </c>
      <c r="G10063" s="6">
        <f>IF(AND($H10063="ATMOS DISTILLATION",ISNUMBER(SEARCH("VPS",$I10063))=FALSE,LEFT($I10063,6)&lt;&gt;"VACUUM"),"CDU",IF($H10063="FLUID CAT CRACKING","FCC",IF(OR($H10063="HYDROCRACKING",$H10063="RESID_HYDROCRACKING"),"Hydrocracker",IF($H10063="REFORMING","Reformer",""))))</f>
        <v/>
      </c>
    </row>
    <row r="10064" spans="6:7">
      <c r="F10064" s="6">
        <f>IF($M10064="PADD I","PADD 1",IF($M10064="PADD II","PADD 2",IF($M10064="PADD III","PADD 3",IF($M10064="PADD IV","PADD 4",IF($M10064="PADD V","PADD 5","")))))</f>
        <v/>
      </c>
      <c r="G10064" s="6">
        <f>IF(AND($H10064="ATMOS DISTILLATION",ISNUMBER(SEARCH("VPS",$I10064))=FALSE,LEFT($I10064,6)&lt;&gt;"VACUUM"),"CDU",IF($H10064="FLUID CAT CRACKING","FCC",IF(OR($H10064="HYDROCRACKING",$H10064="RESID_HYDROCRACKING"),"Hydrocracker",IF($H10064="REFORMING","Reformer",""))))</f>
        <v/>
      </c>
    </row>
    <row r="10065" spans="6:7">
      <c r="F10065" s="6">
        <f>IF($M10065="PADD I","PADD 1",IF($M10065="PADD II","PADD 2",IF($M10065="PADD III","PADD 3",IF($M10065="PADD IV","PADD 4",IF($M10065="PADD V","PADD 5","")))))</f>
        <v/>
      </c>
      <c r="G10065" s="6">
        <f>IF(AND($H10065="ATMOS DISTILLATION",ISNUMBER(SEARCH("VPS",$I10065))=FALSE,LEFT($I10065,6)&lt;&gt;"VACUUM"),"CDU",IF($H10065="FLUID CAT CRACKING","FCC",IF(OR($H10065="HYDROCRACKING",$H10065="RESID_HYDROCRACKING"),"Hydrocracker",IF($H10065="REFORMING","Reformer",""))))</f>
        <v/>
      </c>
    </row>
    <row r="10066" spans="6:7">
      <c r="F10066" s="6">
        <f>IF($M10066="PADD I","PADD 1",IF($M10066="PADD II","PADD 2",IF($M10066="PADD III","PADD 3",IF($M10066="PADD IV","PADD 4",IF($M10066="PADD V","PADD 5","")))))</f>
        <v/>
      </c>
      <c r="G10066" s="6">
        <f>IF(AND($H10066="ATMOS DISTILLATION",ISNUMBER(SEARCH("VPS",$I10066))=FALSE,LEFT($I10066,6)&lt;&gt;"VACUUM"),"CDU",IF($H10066="FLUID CAT CRACKING","FCC",IF(OR($H10066="HYDROCRACKING",$H10066="RESID_HYDROCRACKING"),"Hydrocracker",IF($H10066="REFORMING","Reformer",""))))</f>
        <v/>
      </c>
    </row>
    <row r="10067" spans="6:7">
      <c r="F10067" s="6">
        <f>IF($M10067="PADD I","PADD 1",IF($M10067="PADD II","PADD 2",IF($M10067="PADD III","PADD 3",IF($M10067="PADD IV","PADD 4",IF($M10067="PADD V","PADD 5","")))))</f>
        <v/>
      </c>
      <c r="G10067" s="6">
        <f>IF(AND($H10067="ATMOS DISTILLATION",ISNUMBER(SEARCH("VPS",$I10067))=FALSE,LEFT($I10067,6)&lt;&gt;"VACUUM"),"CDU",IF($H10067="FLUID CAT CRACKING","FCC",IF(OR($H10067="HYDROCRACKING",$H10067="RESID_HYDROCRACKING"),"Hydrocracker",IF($H10067="REFORMING","Reformer",""))))</f>
        <v/>
      </c>
    </row>
    <row r="10068" spans="6:7">
      <c r="F10068" s="6">
        <f>IF($M10068="PADD I","PADD 1",IF($M10068="PADD II","PADD 2",IF($M10068="PADD III","PADD 3",IF($M10068="PADD IV","PADD 4",IF($M10068="PADD V","PADD 5","")))))</f>
        <v/>
      </c>
      <c r="G10068" s="6">
        <f>IF(AND($H10068="ATMOS DISTILLATION",ISNUMBER(SEARCH("VPS",$I10068))=FALSE,LEFT($I10068,6)&lt;&gt;"VACUUM"),"CDU",IF($H10068="FLUID CAT CRACKING","FCC",IF(OR($H10068="HYDROCRACKING",$H10068="RESID_HYDROCRACKING"),"Hydrocracker",IF($H10068="REFORMING","Reformer",""))))</f>
        <v/>
      </c>
    </row>
    <row r="10069" spans="6:7">
      <c r="F10069" s="6">
        <f>IF($M10069="PADD I","PADD 1",IF($M10069="PADD II","PADD 2",IF($M10069="PADD III","PADD 3",IF($M10069="PADD IV","PADD 4",IF($M10069="PADD V","PADD 5","")))))</f>
        <v/>
      </c>
      <c r="G10069" s="6">
        <f>IF(AND($H10069="ATMOS DISTILLATION",ISNUMBER(SEARCH("VPS",$I10069))=FALSE,LEFT($I10069,6)&lt;&gt;"VACUUM"),"CDU",IF($H10069="FLUID CAT CRACKING","FCC",IF(OR($H10069="HYDROCRACKING",$H10069="RESID_HYDROCRACKING"),"Hydrocracker",IF($H10069="REFORMING","Reformer",""))))</f>
        <v/>
      </c>
    </row>
    <row r="10070" spans="6:7">
      <c r="F10070" s="6">
        <f>IF($M10070="PADD I","PADD 1",IF($M10070="PADD II","PADD 2",IF($M10070="PADD III","PADD 3",IF($M10070="PADD IV","PADD 4",IF($M10070="PADD V","PADD 5","")))))</f>
        <v/>
      </c>
      <c r="G10070" s="6">
        <f>IF(AND($H10070="ATMOS DISTILLATION",ISNUMBER(SEARCH("VPS",$I10070))=FALSE,LEFT($I10070,6)&lt;&gt;"VACUUM"),"CDU",IF($H10070="FLUID CAT CRACKING","FCC",IF(OR($H10070="HYDROCRACKING",$H10070="RESID_HYDROCRACKING"),"Hydrocracker",IF($H10070="REFORMING","Reformer",""))))</f>
        <v/>
      </c>
    </row>
    <row r="10071" spans="6:7">
      <c r="F10071" s="6">
        <f>IF($M10071="PADD I","PADD 1",IF($M10071="PADD II","PADD 2",IF($M10071="PADD III","PADD 3",IF($M10071="PADD IV","PADD 4",IF($M10071="PADD V","PADD 5","")))))</f>
        <v/>
      </c>
      <c r="G10071" s="6">
        <f>IF(AND($H10071="ATMOS DISTILLATION",ISNUMBER(SEARCH("VPS",$I10071))=FALSE,LEFT($I10071,6)&lt;&gt;"VACUUM"),"CDU",IF($H10071="FLUID CAT CRACKING","FCC",IF(OR($H10071="HYDROCRACKING",$H10071="RESID_HYDROCRACKING"),"Hydrocracker",IF($H10071="REFORMING","Reformer",""))))</f>
        <v/>
      </c>
    </row>
    <row r="10072" spans="6:7">
      <c r="F10072" s="6">
        <f>IF($M10072="PADD I","PADD 1",IF($M10072="PADD II","PADD 2",IF($M10072="PADD III","PADD 3",IF($M10072="PADD IV","PADD 4",IF($M10072="PADD V","PADD 5","")))))</f>
        <v/>
      </c>
      <c r="G10072" s="6">
        <f>IF(AND($H10072="ATMOS DISTILLATION",ISNUMBER(SEARCH("VPS",$I10072))=FALSE,LEFT($I10072,6)&lt;&gt;"VACUUM"),"CDU",IF($H10072="FLUID CAT CRACKING","FCC",IF(OR($H10072="HYDROCRACKING",$H10072="RESID_HYDROCRACKING"),"Hydrocracker",IF($H10072="REFORMING","Reformer",""))))</f>
        <v/>
      </c>
    </row>
    <row r="10073" spans="6:7">
      <c r="F10073" s="6">
        <f>IF($M10073="PADD I","PADD 1",IF($M10073="PADD II","PADD 2",IF($M10073="PADD III","PADD 3",IF($M10073="PADD IV","PADD 4",IF($M10073="PADD V","PADD 5","")))))</f>
        <v/>
      </c>
      <c r="G10073" s="6">
        <f>IF(AND($H10073="ATMOS DISTILLATION",ISNUMBER(SEARCH("VPS",$I10073))=FALSE,LEFT($I10073,6)&lt;&gt;"VACUUM"),"CDU",IF($H10073="FLUID CAT CRACKING","FCC",IF(OR($H10073="HYDROCRACKING",$H10073="RESID_HYDROCRACKING"),"Hydrocracker",IF($H10073="REFORMING","Reformer",""))))</f>
        <v/>
      </c>
    </row>
    <row r="10074" spans="6:7">
      <c r="F10074" s="6">
        <f>IF($M10074="PADD I","PADD 1",IF($M10074="PADD II","PADD 2",IF($M10074="PADD III","PADD 3",IF($M10074="PADD IV","PADD 4",IF($M10074="PADD V","PADD 5","")))))</f>
        <v/>
      </c>
      <c r="G10074" s="6">
        <f>IF(AND($H10074="ATMOS DISTILLATION",ISNUMBER(SEARCH("VPS",$I10074))=FALSE,LEFT($I10074,6)&lt;&gt;"VACUUM"),"CDU",IF($H10074="FLUID CAT CRACKING","FCC",IF(OR($H10074="HYDROCRACKING",$H10074="RESID_HYDROCRACKING"),"Hydrocracker",IF($H10074="REFORMING","Reformer",""))))</f>
        <v/>
      </c>
    </row>
    <row r="10075" spans="6:7">
      <c r="F10075" s="6">
        <f>IF($M10075="PADD I","PADD 1",IF($M10075="PADD II","PADD 2",IF($M10075="PADD III","PADD 3",IF($M10075="PADD IV","PADD 4",IF($M10075="PADD V","PADD 5","")))))</f>
        <v/>
      </c>
      <c r="G10075" s="6">
        <f>IF(AND($H10075="ATMOS DISTILLATION",ISNUMBER(SEARCH("VPS",$I10075))=FALSE,LEFT($I10075,6)&lt;&gt;"VACUUM"),"CDU",IF($H10075="FLUID CAT CRACKING","FCC",IF(OR($H10075="HYDROCRACKING",$H10075="RESID_HYDROCRACKING"),"Hydrocracker",IF($H10075="REFORMING","Reformer",""))))</f>
        <v/>
      </c>
    </row>
    <row r="10076" spans="6:7">
      <c r="F10076" s="6">
        <f>IF($M10076="PADD I","PADD 1",IF($M10076="PADD II","PADD 2",IF($M10076="PADD III","PADD 3",IF($M10076="PADD IV","PADD 4",IF($M10076="PADD V","PADD 5","")))))</f>
        <v/>
      </c>
      <c r="G10076" s="6">
        <f>IF(AND($H10076="ATMOS DISTILLATION",ISNUMBER(SEARCH("VPS",$I10076))=FALSE,LEFT($I10076,6)&lt;&gt;"VACUUM"),"CDU",IF($H10076="FLUID CAT CRACKING","FCC",IF(OR($H10076="HYDROCRACKING",$H10076="RESID_HYDROCRACKING"),"Hydrocracker",IF($H10076="REFORMING","Reformer",""))))</f>
        <v/>
      </c>
    </row>
    <row r="10077" spans="6:7">
      <c r="F10077" s="6">
        <f>IF($M10077="PADD I","PADD 1",IF($M10077="PADD II","PADD 2",IF($M10077="PADD III","PADD 3",IF($M10077="PADD IV","PADD 4",IF($M10077="PADD V","PADD 5","")))))</f>
        <v/>
      </c>
      <c r="G10077" s="6">
        <f>IF(AND($H10077="ATMOS DISTILLATION",ISNUMBER(SEARCH("VPS",$I10077))=FALSE,LEFT($I10077,6)&lt;&gt;"VACUUM"),"CDU",IF($H10077="FLUID CAT CRACKING","FCC",IF(OR($H10077="HYDROCRACKING",$H10077="RESID_HYDROCRACKING"),"Hydrocracker",IF($H10077="REFORMING","Reformer",""))))</f>
        <v/>
      </c>
    </row>
    <row r="10078" spans="6:7">
      <c r="F10078" s="6">
        <f>IF($M10078="PADD I","PADD 1",IF($M10078="PADD II","PADD 2",IF($M10078="PADD III","PADD 3",IF($M10078="PADD IV","PADD 4",IF($M10078="PADD V","PADD 5","")))))</f>
        <v/>
      </c>
      <c r="G10078" s="6">
        <f>IF(AND($H10078="ATMOS DISTILLATION",ISNUMBER(SEARCH("VPS",$I10078))=FALSE,LEFT($I10078,6)&lt;&gt;"VACUUM"),"CDU",IF($H10078="FLUID CAT CRACKING","FCC",IF(OR($H10078="HYDROCRACKING",$H10078="RESID_HYDROCRACKING"),"Hydrocracker",IF($H10078="REFORMING","Reformer",""))))</f>
        <v/>
      </c>
    </row>
    <row r="10079" spans="6:7">
      <c r="F10079" s="6">
        <f>IF($M10079="PADD I","PADD 1",IF($M10079="PADD II","PADD 2",IF($M10079="PADD III","PADD 3",IF($M10079="PADD IV","PADD 4",IF($M10079="PADD V","PADD 5","")))))</f>
        <v/>
      </c>
      <c r="G10079" s="6">
        <f>IF(AND($H10079="ATMOS DISTILLATION",ISNUMBER(SEARCH("VPS",$I10079))=FALSE,LEFT($I10079,6)&lt;&gt;"VACUUM"),"CDU",IF($H10079="FLUID CAT CRACKING","FCC",IF(OR($H10079="HYDROCRACKING",$H10079="RESID_HYDROCRACKING"),"Hydrocracker",IF($H10079="REFORMING","Reformer",""))))</f>
        <v/>
      </c>
    </row>
    <row r="10080" spans="6:7">
      <c r="F10080" s="6">
        <f>IF($M10080="PADD I","PADD 1",IF($M10080="PADD II","PADD 2",IF($M10080="PADD III","PADD 3",IF($M10080="PADD IV","PADD 4",IF($M10080="PADD V","PADD 5","")))))</f>
        <v/>
      </c>
      <c r="G10080" s="6">
        <f>IF(AND($H10080="ATMOS DISTILLATION",ISNUMBER(SEARCH("VPS",$I10080))=FALSE,LEFT($I10080,6)&lt;&gt;"VACUUM"),"CDU",IF($H10080="FLUID CAT CRACKING","FCC",IF(OR($H10080="HYDROCRACKING",$H10080="RESID_HYDROCRACKING"),"Hydrocracker",IF($H10080="REFORMING","Reformer",""))))</f>
        <v/>
      </c>
    </row>
    <row r="10081" spans="6:7">
      <c r="F10081" s="6">
        <f>IF($M10081="PADD I","PADD 1",IF($M10081="PADD II","PADD 2",IF($M10081="PADD III","PADD 3",IF($M10081="PADD IV","PADD 4",IF($M10081="PADD V","PADD 5","")))))</f>
        <v/>
      </c>
      <c r="G10081" s="6">
        <f>IF(AND($H10081="ATMOS DISTILLATION",ISNUMBER(SEARCH("VPS",$I10081))=FALSE,LEFT($I10081,6)&lt;&gt;"VACUUM"),"CDU",IF($H10081="FLUID CAT CRACKING","FCC",IF(OR($H10081="HYDROCRACKING",$H10081="RESID_HYDROCRACKING"),"Hydrocracker",IF($H10081="REFORMING","Reformer",""))))</f>
        <v/>
      </c>
    </row>
    <row r="10082" spans="6:7">
      <c r="F10082" s="6">
        <f>IF($M10082="PADD I","PADD 1",IF($M10082="PADD II","PADD 2",IF($M10082="PADD III","PADD 3",IF($M10082="PADD IV","PADD 4",IF($M10082="PADD V","PADD 5","")))))</f>
        <v/>
      </c>
      <c r="G10082" s="6">
        <f>IF(AND($H10082="ATMOS DISTILLATION",ISNUMBER(SEARCH("VPS",$I10082))=FALSE,LEFT($I10082,6)&lt;&gt;"VACUUM"),"CDU",IF($H10082="FLUID CAT CRACKING","FCC",IF(OR($H10082="HYDROCRACKING",$H10082="RESID_HYDROCRACKING"),"Hydrocracker",IF($H10082="REFORMING","Reformer",""))))</f>
        <v/>
      </c>
    </row>
    <row r="10083" spans="6:7">
      <c r="F10083" s="6">
        <f>IF($M10083="PADD I","PADD 1",IF($M10083="PADD II","PADD 2",IF($M10083="PADD III","PADD 3",IF($M10083="PADD IV","PADD 4",IF($M10083="PADD V","PADD 5","")))))</f>
        <v/>
      </c>
      <c r="G10083" s="6">
        <f>IF(AND($H10083="ATMOS DISTILLATION",ISNUMBER(SEARCH("VPS",$I10083))=FALSE,LEFT($I10083,6)&lt;&gt;"VACUUM"),"CDU",IF($H10083="FLUID CAT CRACKING","FCC",IF(OR($H10083="HYDROCRACKING",$H10083="RESID_HYDROCRACKING"),"Hydrocracker",IF($H10083="REFORMING","Reformer",""))))</f>
        <v/>
      </c>
    </row>
    <row r="10084" spans="6:7">
      <c r="F10084" s="6">
        <f>IF($M10084="PADD I","PADD 1",IF($M10084="PADD II","PADD 2",IF($M10084="PADD III","PADD 3",IF($M10084="PADD IV","PADD 4",IF($M10084="PADD V","PADD 5","")))))</f>
        <v/>
      </c>
      <c r="G10084" s="6">
        <f>IF(AND($H10084="ATMOS DISTILLATION",ISNUMBER(SEARCH("VPS",$I10084))=FALSE,LEFT($I10084,6)&lt;&gt;"VACUUM"),"CDU",IF($H10084="FLUID CAT CRACKING","FCC",IF(OR($H10084="HYDROCRACKING",$H10084="RESID_HYDROCRACKING"),"Hydrocracker",IF($H10084="REFORMING","Reformer",""))))</f>
        <v/>
      </c>
    </row>
    <row r="10085" spans="6:7">
      <c r="F10085" s="6">
        <f>IF($M10085="PADD I","PADD 1",IF($M10085="PADD II","PADD 2",IF($M10085="PADD III","PADD 3",IF($M10085="PADD IV","PADD 4",IF($M10085="PADD V","PADD 5","")))))</f>
        <v/>
      </c>
      <c r="G10085" s="6">
        <f>IF(AND($H10085="ATMOS DISTILLATION",ISNUMBER(SEARCH("VPS",$I10085))=FALSE,LEFT($I10085,6)&lt;&gt;"VACUUM"),"CDU",IF($H10085="FLUID CAT CRACKING","FCC",IF(OR($H10085="HYDROCRACKING",$H10085="RESID_HYDROCRACKING"),"Hydrocracker",IF($H10085="REFORMING","Reformer",""))))</f>
        <v/>
      </c>
    </row>
    <row r="10086" spans="6:7">
      <c r="F10086" s="6">
        <f>IF($M10086="PADD I","PADD 1",IF($M10086="PADD II","PADD 2",IF($M10086="PADD III","PADD 3",IF($M10086="PADD IV","PADD 4",IF($M10086="PADD V","PADD 5","")))))</f>
        <v/>
      </c>
      <c r="G10086" s="6">
        <f>IF(AND($H10086="ATMOS DISTILLATION",ISNUMBER(SEARCH("VPS",$I10086))=FALSE,LEFT($I10086,6)&lt;&gt;"VACUUM"),"CDU",IF($H10086="FLUID CAT CRACKING","FCC",IF(OR($H10086="HYDROCRACKING",$H10086="RESID_HYDROCRACKING"),"Hydrocracker",IF($H10086="REFORMING","Reformer",""))))</f>
        <v/>
      </c>
    </row>
    <row r="10087" spans="6:7">
      <c r="F10087" s="6">
        <f>IF($M10087="PADD I","PADD 1",IF($M10087="PADD II","PADD 2",IF($M10087="PADD III","PADD 3",IF($M10087="PADD IV","PADD 4",IF($M10087="PADD V","PADD 5","")))))</f>
        <v/>
      </c>
      <c r="G10087" s="6">
        <f>IF(AND($H10087="ATMOS DISTILLATION",ISNUMBER(SEARCH("VPS",$I10087))=FALSE,LEFT($I10087,6)&lt;&gt;"VACUUM"),"CDU",IF($H10087="FLUID CAT CRACKING","FCC",IF(OR($H10087="HYDROCRACKING",$H10087="RESID_HYDROCRACKING"),"Hydrocracker",IF($H10087="REFORMING","Reformer",""))))</f>
        <v/>
      </c>
    </row>
    <row r="10088" spans="6:7">
      <c r="F10088" s="6">
        <f>IF($M10088="PADD I","PADD 1",IF($M10088="PADD II","PADD 2",IF($M10088="PADD III","PADD 3",IF($M10088="PADD IV","PADD 4",IF($M10088="PADD V","PADD 5","")))))</f>
        <v/>
      </c>
      <c r="G10088" s="6">
        <f>IF(AND($H10088="ATMOS DISTILLATION",ISNUMBER(SEARCH("VPS",$I10088))=FALSE,LEFT($I10088,6)&lt;&gt;"VACUUM"),"CDU",IF($H10088="FLUID CAT CRACKING","FCC",IF(OR($H10088="HYDROCRACKING",$H10088="RESID_HYDROCRACKING"),"Hydrocracker",IF($H10088="REFORMING","Reformer",""))))</f>
        <v/>
      </c>
    </row>
    <row r="10089" spans="6:7">
      <c r="F10089" s="6">
        <f>IF($M10089="PADD I","PADD 1",IF($M10089="PADD II","PADD 2",IF($M10089="PADD III","PADD 3",IF($M10089="PADD IV","PADD 4",IF($M10089="PADD V","PADD 5","")))))</f>
        <v/>
      </c>
      <c r="G10089" s="6">
        <f>IF(AND($H10089="ATMOS DISTILLATION",ISNUMBER(SEARCH("VPS",$I10089))=FALSE,LEFT($I10089,6)&lt;&gt;"VACUUM"),"CDU",IF($H10089="FLUID CAT CRACKING","FCC",IF(OR($H10089="HYDROCRACKING",$H10089="RESID_HYDROCRACKING"),"Hydrocracker",IF($H10089="REFORMING","Reformer",""))))</f>
        <v/>
      </c>
    </row>
    <row r="10090" spans="6:7">
      <c r="F10090" s="6">
        <f>IF($M10090="PADD I","PADD 1",IF($M10090="PADD II","PADD 2",IF($M10090="PADD III","PADD 3",IF($M10090="PADD IV","PADD 4",IF($M10090="PADD V","PADD 5","")))))</f>
        <v/>
      </c>
      <c r="G10090" s="6">
        <f>IF(AND($H10090="ATMOS DISTILLATION",ISNUMBER(SEARCH("VPS",$I10090))=FALSE,LEFT($I10090,6)&lt;&gt;"VACUUM"),"CDU",IF($H10090="FLUID CAT CRACKING","FCC",IF(OR($H10090="HYDROCRACKING",$H10090="RESID_HYDROCRACKING"),"Hydrocracker",IF($H10090="REFORMING","Reformer",""))))</f>
        <v/>
      </c>
    </row>
    <row r="10091" spans="6:7">
      <c r="F10091" s="6">
        <f>IF($M10091="PADD I","PADD 1",IF($M10091="PADD II","PADD 2",IF($M10091="PADD III","PADD 3",IF($M10091="PADD IV","PADD 4",IF($M10091="PADD V","PADD 5","")))))</f>
        <v/>
      </c>
      <c r="G10091" s="6">
        <f>IF(AND($H10091="ATMOS DISTILLATION",ISNUMBER(SEARCH("VPS",$I10091))=FALSE,LEFT($I10091,6)&lt;&gt;"VACUUM"),"CDU",IF($H10091="FLUID CAT CRACKING","FCC",IF(OR($H10091="HYDROCRACKING",$H10091="RESID_HYDROCRACKING"),"Hydrocracker",IF($H10091="REFORMING","Reformer",""))))</f>
        <v/>
      </c>
    </row>
    <row r="10092" spans="6:7">
      <c r="F10092" s="6">
        <f>IF($M10092="PADD I","PADD 1",IF($M10092="PADD II","PADD 2",IF($M10092="PADD III","PADD 3",IF($M10092="PADD IV","PADD 4",IF($M10092="PADD V","PADD 5","")))))</f>
        <v/>
      </c>
      <c r="G10092" s="6">
        <f>IF(AND($H10092="ATMOS DISTILLATION",ISNUMBER(SEARCH("VPS",$I10092))=FALSE,LEFT($I10092,6)&lt;&gt;"VACUUM"),"CDU",IF($H10092="FLUID CAT CRACKING","FCC",IF(OR($H10092="HYDROCRACKING",$H10092="RESID_HYDROCRACKING"),"Hydrocracker",IF($H10092="REFORMING","Reformer",""))))</f>
        <v/>
      </c>
    </row>
    <row r="10093" spans="6:7">
      <c r="F10093" s="6">
        <f>IF($M10093="PADD I","PADD 1",IF($M10093="PADD II","PADD 2",IF($M10093="PADD III","PADD 3",IF($M10093="PADD IV","PADD 4",IF($M10093="PADD V","PADD 5","")))))</f>
        <v/>
      </c>
      <c r="G10093" s="6">
        <f>IF(AND($H10093="ATMOS DISTILLATION",ISNUMBER(SEARCH("VPS",$I10093))=FALSE,LEFT($I10093,6)&lt;&gt;"VACUUM"),"CDU",IF($H10093="FLUID CAT CRACKING","FCC",IF(OR($H10093="HYDROCRACKING",$H10093="RESID_HYDROCRACKING"),"Hydrocracker",IF($H10093="REFORMING","Reformer",""))))</f>
        <v/>
      </c>
    </row>
    <row r="10094" spans="6:7">
      <c r="F10094" s="6">
        <f>IF($M10094="PADD I","PADD 1",IF($M10094="PADD II","PADD 2",IF($M10094="PADD III","PADD 3",IF($M10094="PADD IV","PADD 4",IF($M10094="PADD V","PADD 5","")))))</f>
        <v/>
      </c>
      <c r="G10094" s="6">
        <f>IF(AND($H10094="ATMOS DISTILLATION",ISNUMBER(SEARCH("VPS",$I10094))=FALSE,LEFT($I10094,6)&lt;&gt;"VACUUM"),"CDU",IF($H10094="FLUID CAT CRACKING","FCC",IF(OR($H10094="HYDROCRACKING",$H10094="RESID_HYDROCRACKING"),"Hydrocracker",IF($H10094="REFORMING","Reformer",""))))</f>
        <v/>
      </c>
    </row>
    <row r="10095" spans="6:7">
      <c r="F10095" s="6">
        <f>IF($M10095="PADD I","PADD 1",IF($M10095="PADD II","PADD 2",IF($M10095="PADD III","PADD 3",IF($M10095="PADD IV","PADD 4",IF($M10095="PADD V","PADD 5","")))))</f>
        <v/>
      </c>
      <c r="G10095" s="6">
        <f>IF(AND($H10095="ATMOS DISTILLATION",ISNUMBER(SEARCH("VPS",$I10095))=FALSE,LEFT($I10095,6)&lt;&gt;"VACUUM"),"CDU",IF($H10095="FLUID CAT CRACKING","FCC",IF(OR($H10095="HYDROCRACKING",$H10095="RESID_HYDROCRACKING"),"Hydrocracker",IF($H10095="REFORMING","Reformer",""))))</f>
        <v/>
      </c>
    </row>
    <row r="10096" spans="6:7">
      <c r="F10096" s="6">
        <f>IF($M10096="PADD I","PADD 1",IF($M10096="PADD II","PADD 2",IF($M10096="PADD III","PADD 3",IF($M10096="PADD IV","PADD 4",IF($M10096="PADD V","PADD 5","")))))</f>
        <v/>
      </c>
      <c r="G10096" s="6">
        <f>IF(AND($H10096="ATMOS DISTILLATION",ISNUMBER(SEARCH("VPS",$I10096))=FALSE,LEFT($I10096,6)&lt;&gt;"VACUUM"),"CDU",IF($H10096="FLUID CAT CRACKING","FCC",IF(OR($H10096="HYDROCRACKING",$H10096="RESID_HYDROCRACKING"),"Hydrocracker",IF($H10096="REFORMING","Reformer",""))))</f>
        <v/>
      </c>
    </row>
    <row r="10097" spans="6:7">
      <c r="F10097" s="6">
        <f>IF($M10097="PADD I","PADD 1",IF($M10097="PADD II","PADD 2",IF($M10097="PADD III","PADD 3",IF($M10097="PADD IV","PADD 4",IF($M10097="PADD V","PADD 5","")))))</f>
        <v/>
      </c>
      <c r="G10097" s="6">
        <f>IF(AND($H10097="ATMOS DISTILLATION",ISNUMBER(SEARCH("VPS",$I10097))=FALSE,LEFT($I10097,6)&lt;&gt;"VACUUM"),"CDU",IF($H10097="FLUID CAT CRACKING","FCC",IF(OR($H10097="HYDROCRACKING",$H10097="RESID_HYDROCRACKING"),"Hydrocracker",IF($H10097="REFORMING","Reformer",""))))</f>
        <v/>
      </c>
    </row>
    <row r="10098" spans="6:7">
      <c r="F10098" s="6">
        <f>IF($M10098="PADD I","PADD 1",IF($M10098="PADD II","PADD 2",IF($M10098="PADD III","PADD 3",IF($M10098="PADD IV","PADD 4",IF($M10098="PADD V","PADD 5","")))))</f>
        <v/>
      </c>
      <c r="G10098" s="6">
        <f>IF(AND($H10098="ATMOS DISTILLATION",ISNUMBER(SEARCH("VPS",$I10098))=FALSE,LEFT($I10098,6)&lt;&gt;"VACUUM"),"CDU",IF($H10098="FLUID CAT CRACKING","FCC",IF(OR($H10098="HYDROCRACKING",$H10098="RESID_HYDROCRACKING"),"Hydrocracker",IF($H10098="REFORMING","Reformer",""))))</f>
        <v/>
      </c>
    </row>
    <row r="10099" spans="6:7">
      <c r="F10099" s="6">
        <f>IF($M10099="PADD I","PADD 1",IF($M10099="PADD II","PADD 2",IF($M10099="PADD III","PADD 3",IF($M10099="PADD IV","PADD 4",IF($M10099="PADD V","PADD 5","")))))</f>
        <v/>
      </c>
      <c r="G10099" s="6">
        <f>IF(AND($H10099="ATMOS DISTILLATION",ISNUMBER(SEARCH("VPS",$I10099))=FALSE,LEFT($I10099,6)&lt;&gt;"VACUUM"),"CDU",IF($H10099="FLUID CAT CRACKING","FCC",IF(OR($H10099="HYDROCRACKING",$H10099="RESID_HYDROCRACKING"),"Hydrocracker",IF($H10099="REFORMING","Reformer",""))))</f>
        <v/>
      </c>
    </row>
    <row r="10100" spans="6:7">
      <c r="F10100" s="6">
        <f>IF($M10100="PADD I","PADD 1",IF($M10100="PADD II","PADD 2",IF($M10100="PADD III","PADD 3",IF($M10100="PADD IV","PADD 4",IF($M10100="PADD V","PADD 5","")))))</f>
        <v/>
      </c>
      <c r="G10100" s="6">
        <f>IF(AND($H10100="ATMOS DISTILLATION",ISNUMBER(SEARCH("VPS",$I10100))=FALSE,LEFT($I10100,6)&lt;&gt;"VACUUM"),"CDU",IF($H10100="FLUID CAT CRACKING","FCC",IF(OR($H10100="HYDROCRACKING",$H10100="RESID_HYDROCRACKING"),"Hydrocracker",IF($H10100="REFORMING","Reformer",""))))</f>
        <v/>
      </c>
    </row>
    <row r="10101" spans="6:7">
      <c r="F10101" s="6">
        <f>IF($M10101="PADD I","PADD 1",IF($M10101="PADD II","PADD 2",IF($M10101="PADD III","PADD 3",IF($M10101="PADD IV","PADD 4",IF($M10101="PADD V","PADD 5","")))))</f>
        <v/>
      </c>
      <c r="G10101" s="6">
        <f>IF(AND($H10101="ATMOS DISTILLATION",ISNUMBER(SEARCH("VPS",$I10101))=FALSE,LEFT($I10101,6)&lt;&gt;"VACUUM"),"CDU",IF($H10101="FLUID CAT CRACKING","FCC",IF(OR($H10101="HYDROCRACKING",$H10101="RESID_HYDROCRACKING"),"Hydrocracker",IF($H10101="REFORMING","Reformer",""))))</f>
        <v/>
      </c>
    </row>
    <row r="10102" spans="6:7">
      <c r="F10102" s="6">
        <f>IF($M10102="PADD I","PADD 1",IF($M10102="PADD II","PADD 2",IF($M10102="PADD III","PADD 3",IF($M10102="PADD IV","PADD 4",IF($M10102="PADD V","PADD 5","")))))</f>
        <v/>
      </c>
      <c r="G10102" s="6">
        <f>IF(AND($H10102="ATMOS DISTILLATION",ISNUMBER(SEARCH("VPS",$I10102))=FALSE,LEFT($I10102,6)&lt;&gt;"VACUUM"),"CDU",IF($H10102="FLUID CAT CRACKING","FCC",IF(OR($H10102="HYDROCRACKING",$H10102="RESID_HYDROCRACKING"),"Hydrocracker",IF($H10102="REFORMING","Reformer",""))))</f>
        <v/>
      </c>
    </row>
    <row r="10103" spans="6:7">
      <c r="F10103" s="6">
        <f>IF($M10103="PADD I","PADD 1",IF($M10103="PADD II","PADD 2",IF($M10103="PADD III","PADD 3",IF($M10103="PADD IV","PADD 4",IF($M10103="PADD V","PADD 5","")))))</f>
        <v/>
      </c>
      <c r="G10103" s="6">
        <f>IF(AND($H10103="ATMOS DISTILLATION",ISNUMBER(SEARCH("VPS",$I10103))=FALSE,LEFT($I10103,6)&lt;&gt;"VACUUM"),"CDU",IF($H10103="FLUID CAT CRACKING","FCC",IF(OR($H10103="HYDROCRACKING",$H10103="RESID_HYDROCRACKING"),"Hydrocracker",IF($H10103="REFORMING","Reformer",""))))</f>
        <v/>
      </c>
    </row>
    <row r="10104" spans="6:7">
      <c r="F10104" s="6">
        <f>IF($M10104="PADD I","PADD 1",IF($M10104="PADD II","PADD 2",IF($M10104="PADD III","PADD 3",IF($M10104="PADD IV","PADD 4",IF($M10104="PADD V","PADD 5","")))))</f>
        <v/>
      </c>
      <c r="G10104" s="6">
        <f>IF(AND($H10104="ATMOS DISTILLATION",ISNUMBER(SEARCH("VPS",$I10104))=FALSE,LEFT($I10104,6)&lt;&gt;"VACUUM"),"CDU",IF($H10104="FLUID CAT CRACKING","FCC",IF(OR($H10104="HYDROCRACKING",$H10104="RESID_HYDROCRACKING"),"Hydrocracker",IF($H10104="REFORMING","Reformer",""))))</f>
        <v/>
      </c>
    </row>
    <row r="10105" spans="6:7">
      <c r="F10105" s="6">
        <f>IF($M10105="PADD I","PADD 1",IF($M10105="PADD II","PADD 2",IF($M10105="PADD III","PADD 3",IF($M10105="PADD IV","PADD 4",IF($M10105="PADD V","PADD 5","")))))</f>
        <v/>
      </c>
      <c r="G10105" s="6">
        <f>IF(AND($H10105="ATMOS DISTILLATION",ISNUMBER(SEARCH("VPS",$I10105))=FALSE,LEFT($I10105,6)&lt;&gt;"VACUUM"),"CDU",IF($H10105="FLUID CAT CRACKING","FCC",IF(OR($H10105="HYDROCRACKING",$H10105="RESID_HYDROCRACKING"),"Hydrocracker",IF($H10105="REFORMING","Reformer",""))))</f>
        <v/>
      </c>
    </row>
    <row r="10106" spans="6:7">
      <c r="F10106" s="6">
        <f>IF($M10106="PADD I","PADD 1",IF($M10106="PADD II","PADD 2",IF($M10106="PADD III","PADD 3",IF($M10106="PADD IV","PADD 4",IF($M10106="PADD V","PADD 5","")))))</f>
        <v/>
      </c>
      <c r="G10106" s="6">
        <f>IF(AND($H10106="ATMOS DISTILLATION",ISNUMBER(SEARCH("VPS",$I10106))=FALSE,LEFT($I10106,6)&lt;&gt;"VACUUM"),"CDU",IF($H10106="FLUID CAT CRACKING","FCC",IF(OR($H10106="HYDROCRACKING",$H10106="RESID_HYDROCRACKING"),"Hydrocracker",IF($H10106="REFORMING","Reformer",""))))</f>
        <v/>
      </c>
    </row>
    <row r="10107" spans="6:7">
      <c r="F10107" s="6">
        <f>IF($M10107="PADD I","PADD 1",IF($M10107="PADD II","PADD 2",IF($M10107="PADD III","PADD 3",IF($M10107="PADD IV","PADD 4",IF($M10107="PADD V","PADD 5","")))))</f>
        <v/>
      </c>
      <c r="G10107" s="6">
        <f>IF(AND($H10107="ATMOS DISTILLATION",ISNUMBER(SEARCH("VPS",$I10107))=FALSE,LEFT($I10107,6)&lt;&gt;"VACUUM"),"CDU",IF($H10107="FLUID CAT CRACKING","FCC",IF(OR($H10107="HYDROCRACKING",$H10107="RESID_HYDROCRACKING"),"Hydrocracker",IF($H10107="REFORMING","Reformer",""))))</f>
        <v/>
      </c>
    </row>
    <row r="10108" spans="6:7">
      <c r="F10108" s="6">
        <f>IF($M10108="PADD I","PADD 1",IF($M10108="PADD II","PADD 2",IF($M10108="PADD III","PADD 3",IF($M10108="PADD IV","PADD 4",IF($M10108="PADD V","PADD 5","")))))</f>
        <v/>
      </c>
      <c r="G10108" s="6">
        <f>IF(AND($H10108="ATMOS DISTILLATION",ISNUMBER(SEARCH("VPS",$I10108))=FALSE,LEFT($I10108,6)&lt;&gt;"VACUUM"),"CDU",IF($H10108="FLUID CAT CRACKING","FCC",IF(OR($H10108="HYDROCRACKING",$H10108="RESID_HYDROCRACKING"),"Hydrocracker",IF($H10108="REFORMING","Reformer",""))))</f>
        <v/>
      </c>
    </row>
    <row r="10109" spans="6:7">
      <c r="F10109" s="6">
        <f>IF($M10109="PADD I","PADD 1",IF($M10109="PADD II","PADD 2",IF($M10109="PADD III","PADD 3",IF($M10109="PADD IV","PADD 4",IF($M10109="PADD V","PADD 5","")))))</f>
        <v/>
      </c>
      <c r="G10109" s="6">
        <f>IF(AND($H10109="ATMOS DISTILLATION",ISNUMBER(SEARCH("VPS",$I10109))=FALSE,LEFT($I10109,6)&lt;&gt;"VACUUM"),"CDU",IF($H10109="FLUID CAT CRACKING","FCC",IF(OR($H10109="HYDROCRACKING",$H10109="RESID_HYDROCRACKING"),"Hydrocracker",IF($H10109="REFORMING","Reformer",""))))</f>
        <v/>
      </c>
    </row>
    <row r="10110" spans="6:7">
      <c r="F10110" s="6">
        <f>IF($M10110="PADD I","PADD 1",IF($M10110="PADD II","PADD 2",IF($M10110="PADD III","PADD 3",IF($M10110="PADD IV","PADD 4",IF($M10110="PADD V","PADD 5","")))))</f>
        <v/>
      </c>
      <c r="G10110" s="6">
        <f>IF(AND($H10110="ATMOS DISTILLATION",ISNUMBER(SEARCH("VPS",$I10110))=FALSE,LEFT($I10110,6)&lt;&gt;"VACUUM"),"CDU",IF($H10110="FLUID CAT CRACKING","FCC",IF(OR($H10110="HYDROCRACKING",$H10110="RESID_HYDROCRACKING"),"Hydrocracker",IF($H10110="REFORMING","Reformer",""))))</f>
        <v/>
      </c>
    </row>
    <row r="10111" spans="6:7">
      <c r="F10111" s="6">
        <f>IF($M10111="PADD I","PADD 1",IF($M10111="PADD II","PADD 2",IF($M10111="PADD III","PADD 3",IF($M10111="PADD IV","PADD 4",IF($M10111="PADD V","PADD 5","")))))</f>
        <v/>
      </c>
      <c r="G10111" s="6">
        <f>IF(AND($H10111="ATMOS DISTILLATION",ISNUMBER(SEARCH("VPS",$I10111))=FALSE,LEFT($I10111,6)&lt;&gt;"VACUUM"),"CDU",IF($H10111="FLUID CAT CRACKING","FCC",IF(OR($H10111="HYDROCRACKING",$H10111="RESID_HYDROCRACKING"),"Hydrocracker",IF($H10111="REFORMING","Reformer",""))))</f>
        <v/>
      </c>
    </row>
    <row r="10112" spans="6:7">
      <c r="F10112" s="6">
        <f>IF($M10112="PADD I","PADD 1",IF($M10112="PADD II","PADD 2",IF($M10112="PADD III","PADD 3",IF($M10112="PADD IV","PADD 4",IF($M10112="PADD V","PADD 5","")))))</f>
        <v/>
      </c>
      <c r="G10112" s="6">
        <f>IF(AND($H10112="ATMOS DISTILLATION",ISNUMBER(SEARCH("VPS",$I10112))=FALSE,LEFT($I10112,6)&lt;&gt;"VACUUM"),"CDU",IF($H10112="FLUID CAT CRACKING","FCC",IF(OR($H10112="HYDROCRACKING",$H10112="RESID_HYDROCRACKING"),"Hydrocracker",IF($H10112="REFORMING","Reformer",""))))</f>
        <v/>
      </c>
    </row>
    <row r="10113" spans="6:7">
      <c r="F10113" s="6">
        <f>IF($M10113="PADD I","PADD 1",IF($M10113="PADD II","PADD 2",IF($M10113="PADD III","PADD 3",IF($M10113="PADD IV","PADD 4",IF($M10113="PADD V","PADD 5","")))))</f>
        <v/>
      </c>
      <c r="G10113" s="6">
        <f>IF(AND($H10113="ATMOS DISTILLATION",ISNUMBER(SEARCH("VPS",$I10113))=FALSE,LEFT($I10113,6)&lt;&gt;"VACUUM"),"CDU",IF($H10113="FLUID CAT CRACKING","FCC",IF(OR($H10113="HYDROCRACKING",$H10113="RESID_HYDROCRACKING"),"Hydrocracker",IF($H10113="REFORMING","Reformer",""))))</f>
        <v/>
      </c>
    </row>
    <row r="10114" spans="6:7">
      <c r="F10114" s="6">
        <f>IF($M10114="PADD I","PADD 1",IF($M10114="PADD II","PADD 2",IF($M10114="PADD III","PADD 3",IF($M10114="PADD IV","PADD 4",IF($M10114="PADD V","PADD 5","")))))</f>
        <v/>
      </c>
      <c r="G10114" s="6">
        <f>IF(AND($H10114="ATMOS DISTILLATION",ISNUMBER(SEARCH("VPS",$I10114))=FALSE,LEFT($I10114,6)&lt;&gt;"VACUUM"),"CDU",IF($H10114="FLUID CAT CRACKING","FCC",IF(OR($H10114="HYDROCRACKING",$H10114="RESID_HYDROCRACKING"),"Hydrocracker",IF($H10114="REFORMING","Reformer",""))))</f>
        <v/>
      </c>
    </row>
    <row r="10115" spans="6:7">
      <c r="F10115" s="6">
        <f>IF($M10115="PADD I","PADD 1",IF($M10115="PADD II","PADD 2",IF($M10115="PADD III","PADD 3",IF($M10115="PADD IV","PADD 4",IF($M10115="PADD V","PADD 5","")))))</f>
        <v/>
      </c>
      <c r="G10115" s="6">
        <f>IF(AND($H10115="ATMOS DISTILLATION",ISNUMBER(SEARCH("VPS",$I10115))=FALSE,LEFT($I10115,6)&lt;&gt;"VACUUM"),"CDU",IF($H10115="FLUID CAT CRACKING","FCC",IF(OR($H10115="HYDROCRACKING",$H10115="RESID_HYDROCRACKING"),"Hydrocracker",IF($H10115="REFORMING","Reformer",""))))</f>
        <v/>
      </c>
    </row>
    <row r="10116" spans="6:7">
      <c r="F10116" s="6">
        <f>IF($M10116="PADD I","PADD 1",IF($M10116="PADD II","PADD 2",IF($M10116="PADD III","PADD 3",IF($M10116="PADD IV","PADD 4",IF($M10116="PADD V","PADD 5","")))))</f>
        <v/>
      </c>
      <c r="G10116" s="6">
        <f>IF(AND($H10116="ATMOS DISTILLATION",ISNUMBER(SEARCH("VPS",$I10116))=FALSE,LEFT($I10116,6)&lt;&gt;"VACUUM"),"CDU",IF($H10116="FLUID CAT CRACKING","FCC",IF(OR($H10116="HYDROCRACKING",$H10116="RESID_HYDROCRACKING"),"Hydrocracker",IF($H10116="REFORMING","Reformer",""))))</f>
        <v/>
      </c>
    </row>
    <row r="10117" spans="6:7">
      <c r="F10117" s="6">
        <f>IF($M10117="PADD I","PADD 1",IF($M10117="PADD II","PADD 2",IF($M10117="PADD III","PADD 3",IF($M10117="PADD IV","PADD 4",IF($M10117="PADD V","PADD 5","")))))</f>
        <v/>
      </c>
      <c r="G10117" s="6">
        <f>IF(AND($H10117="ATMOS DISTILLATION",ISNUMBER(SEARCH("VPS",$I10117))=FALSE,LEFT($I10117,6)&lt;&gt;"VACUUM"),"CDU",IF($H10117="FLUID CAT CRACKING","FCC",IF(OR($H10117="HYDROCRACKING",$H10117="RESID_HYDROCRACKING"),"Hydrocracker",IF($H10117="REFORMING","Reformer",""))))</f>
        <v/>
      </c>
    </row>
    <row r="10118" spans="6:7">
      <c r="F10118" s="6">
        <f>IF($M10118="PADD I","PADD 1",IF($M10118="PADD II","PADD 2",IF($M10118="PADD III","PADD 3",IF($M10118="PADD IV","PADD 4",IF($M10118="PADD V","PADD 5","")))))</f>
        <v/>
      </c>
      <c r="G10118" s="6">
        <f>IF(AND($H10118="ATMOS DISTILLATION",ISNUMBER(SEARCH("VPS",$I10118))=FALSE,LEFT($I10118,6)&lt;&gt;"VACUUM"),"CDU",IF($H10118="FLUID CAT CRACKING","FCC",IF(OR($H10118="HYDROCRACKING",$H10118="RESID_HYDROCRACKING"),"Hydrocracker",IF($H10118="REFORMING","Reformer",""))))</f>
        <v/>
      </c>
    </row>
    <row r="10119" spans="6:7">
      <c r="F10119" s="6">
        <f>IF($M10119="PADD I","PADD 1",IF($M10119="PADD II","PADD 2",IF($M10119="PADD III","PADD 3",IF($M10119="PADD IV","PADD 4",IF($M10119="PADD V","PADD 5","")))))</f>
        <v/>
      </c>
      <c r="G10119" s="6">
        <f>IF(AND($H10119="ATMOS DISTILLATION",ISNUMBER(SEARCH("VPS",$I10119))=FALSE,LEFT($I10119,6)&lt;&gt;"VACUUM"),"CDU",IF($H10119="FLUID CAT CRACKING","FCC",IF(OR($H10119="HYDROCRACKING",$H10119="RESID_HYDROCRACKING"),"Hydrocracker",IF($H10119="REFORMING","Reformer",""))))</f>
        <v/>
      </c>
    </row>
    <row r="10120" spans="6:7">
      <c r="F10120" s="6">
        <f>IF($M10120="PADD I","PADD 1",IF($M10120="PADD II","PADD 2",IF($M10120="PADD III","PADD 3",IF($M10120="PADD IV","PADD 4",IF($M10120="PADD V","PADD 5","")))))</f>
        <v/>
      </c>
      <c r="G10120" s="6">
        <f>IF(AND($H10120="ATMOS DISTILLATION",ISNUMBER(SEARCH("VPS",$I10120))=FALSE,LEFT($I10120,6)&lt;&gt;"VACUUM"),"CDU",IF($H10120="FLUID CAT CRACKING","FCC",IF(OR($H10120="HYDROCRACKING",$H10120="RESID_HYDROCRACKING"),"Hydrocracker",IF($H10120="REFORMING","Reformer",""))))</f>
        <v/>
      </c>
    </row>
    <row r="10121" spans="6:7">
      <c r="F10121" s="6">
        <f>IF($M10121="PADD I","PADD 1",IF($M10121="PADD II","PADD 2",IF($M10121="PADD III","PADD 3",IF($M10121="PADD IV","PADD 4",IF($M10121="PADD V","PADD 5","")))))</f>
        <v/>
      </c>
      <c r="G10121" s="6">
        <f>IF(AND($H10121="ATMOS DISTILLATION",ISNUMBER(SEARCH("VPS",$I10121))=FALSE,LEFT($I10121,6)&lt;&gt;"VACUUM"),"CDU",IF($H10121="FLUID CAT CRACKING","FCC",IF(OR($H10121="HYDROCRACKING",$H10121="RESID_HYDROCRACKING"),"Hydrocracker",IF($H10121="REFORMING","Reformer",""))))</f>
        <v/>
      </c>
    </row>
    <row r="10122" spans="6:7">
      <c r="F10122" s="6">
        <f>IF($M10122="PADD I","PADD 1",IF($M10122="PADD II","PADD 2",IF($M10122="PADD III","PADD 3",IF($M10122="PADD IV","PADD 4",IF($M10122="PADD V","PADD 5","")))))</f>
        <v/>
      </c>
      <c r="G10122" s="6">
        <f>IF(AND($H10122="ATMOS DISTILLATION",ISNUMBER(SEARCH("VPS",$I10122))=FALSE,LEFT($I10122,6)&lt;&gt;"VACUUM"),"CDU",IF($H10122="FLUID CAT CRACKING","FCC",IF(OR($H10122="HYDROCRACKING",$H10122="RESID_HYDROCRACKING"),"Hydrocracker",IF($H10122="REFORMING","Reformer",""))))</f>
        <v/>
      </c>
    </row>
    <row r="10123" spans="6:7">
      <c r="F10123" s="6">
        <f>IF($M10123="PADD I","PADD 1",IF($M10123="PADD II","PADD 2",IF($M10123="PADD III","PADD 3",IF($M10123="PADD IV","PADD 4",IF($M10123="PADD V","PADD 5","")))))</f>
        <v/>
      </c>
      <c r="G10123" s="6">
        <f>IF(AND($H10123="ATMOS DISTILLATION",ISNUMBER(SEARCH("VPS",$I10123))=FALSE,LEFT($I10123,6)&lt;&gt;"VACUUM"),"CDU",IF($H10123="FLUID CAT CRACKING","FCC",IF(OR($H10123="HYDROCRACKING",$H10123="RESID_HYDROCRACKING"),"Hydrocracker",IF($H10123="REFORMING","Reformer",""))))</f>
        <v/>
      </c>
    </row>
    <row r="10124" spans="6:7">
      <c r="F10124" s="6">
        <f>IF($M10124="PADD I","PADD 1",IF($M10124="PADD II","PADD 2",IF($M10124="PADD III","PADD 3",IF($M10124="PADD IV","PADD 4",IF($M10124="PADD V","PADD 5","")))))</f>
        <v/>
      </c>
      <c r="G10124" s="6">
        <f>IF(AND($H10124="ATMOS DISTILLATION",ISNUMBER(SEARCH("VPS",$I10124))=FALSE,LEFT($I10124,6)&lt;&gt;"VACUUM"),"CDU",IF($H10124="FLUID CAT CRACKING","FCC",IF(OR($H10124="HYDROCRACKING",$H10124="RESID_HYDROCRACKING"),"Hydrocracker",IF($H10124="REFORMING","Reformer",""))))</f>
        <v/>
      </c>
    </row>
    <row r="10125" spans="6:7">
      <c r="F10125" s="6">
        <f>IF($M10125="PADD I","PADD 1",IF($M10125="PADD II","PADD 2",IF($M10125="PADD III","PADD 3",IF($M10125="PADD IV","PADD 4",IF($M10125="PADD V","PADD 5","")))))</f>
        <v/>
      </c>
      <c r="G10125" s="6">
        <f>IF(AND($H10125="ATMOS DISTILLATION",ISNUMBER(SEARCH("VPS",$I10125))=FALSE,LEFT($I10125,6)&lt;&gt;"VACUUM"),"CDU",IF($H10125="FLUID CAT CRACKING","FCC",IF(OR($H10125="HYDROCRACKING",$H10125="RESID_HYDROCRACKING"),"Hydrocracker",IF($H10125="REFORMING","Reformer",""))))</f>
        <v/>
      </c>
    </row>
    <row r="10126" spans="6:7">
      <c r="F10126" s="6">
        <f>IF($M10126="PADD I","PADD 1",IF($M10126="PADD II","PADD 2",IF($M10126="PADD III","PADD 3",IF($M10126="PADD IV","PADD 4",IF($M10126="PADD V","PADD 5","")))))</f>
        <v/>
      </c>
      <c r="G10126" s="6">
        <f>IF(AND($H10126="ATMOS DISTILLATION",ISNUMBER(SEARCH("VPS",$I10126))=FALSE,LEFT($I10126,6)&lt;&gt;"VACUUM"),"CDU",IF($H10126="FLUID CAT CRACKING","FCC",IF(OR($H10126="HYDROCRACKING",$H10126="RESID_HYDROCRACKING"),"Hydrocracker",IF($H10126="REFORMING","Reformer",""))))</f>
        <v/>
      </c>
    </row>
    <row r="10127" spans="6:7">
      <c r="F10127" s="6">
        <f>IF($M10127="PADD I","PADD 1",IF($M10127="PADD II","PADD 2",IF($M10127="PADD III","PADD 3",IF($M10127="PADD IV","PADD 4",IF($M10127="PADD V","PADD 5","")))))</f>
        <v/>
      </c>
      <c r="G10127" s="6">
        <f>IF(AND($H10127="ATMOS DISTILLATION",ISNUMBER(SEARCH("VPS",$I10127))=FALSE,LEFT($I10127,6)&lt;&gt;"VACUUM"),"CDU",IF($H10127="FLUID CAT CRACKING","FCC",IF(OR($H10127="HYDROCRACKING",$H10127="RESID_HYDROCRACKING"),"Hydrocracker",IF($H10127="REFORMING","Reformer",""))))</f>
        <v/>
      </c>
    </row>
    <row r="10128" spans="6:7">
      <c r="F10128" s="6">
        <f>IF($M10128="PADD I","PADD 1",IF($M10128="PADD II","PADD 2",IF($M10128="PADD III","PADD 3",IF($M10128="PADD IV","PADD 4",IF($M10128="PADD V","PADD 5","")))))</f>
        <v/>
      </c>
      <c r="G10128" s="6">
        <f>IF(AND($H10128="ATMOS DISTILLATION",ISNUMBER(SEARCH("VPS",$I10128))=FALSE,LEFT($I10128,6)&lt;&gt;"VACUUM"),"CDU",IF($H10128="FLUID CAT CRACKING","FCC",IF(OR($H10128="HYDROCRACKING",$H10128="RESID_HYDROCRACKING"),"Hydrocracker",IF($H10128="REFORMING","Reformer",""))))</f>
        <v/>
      </c>
    </row>
    <row r="10129" spans="6:7">
      <c r="F10129" s="6">
        <f>IF($M10129="PADD I","PADD 1",IF($M10129="PADD II","PADD 2",IF($M10129="PADD III","PADD 3",IF($M10129="PADD IV","PADD 4",IF($M10129="PADD V","PADD 5","")))))</f>
        <v/>
      </c>
      <c r="G10129" s="6">
        <f>IF(AND($H10129="ATMOS DISTILLATION",ISNUMBER(SEARCH("VPS",$I10129))=FALSE,LEFT($I10129,6)&lt;&gt;"VACUUM"),"CDU",IF($H10129="FLUID CAT CRACKING","FCC",IF(OR($H10129="HYDROCRACKING",$H10129="RESID_HYDROCRACKING"),"Hydrocracker",IF($H10129="REFORMING","Reformer",""))))</f>
        <v/>
      </c>
    </row>
    <row r="10130" spans="6:7">
      <c r="F10130" s="6">
        <f>IF($M10130="PADD I","PADD 1",IF($M10130="PADD II","PADD 2",IF($M10130="PADD III","PADD 3",IF($M10130="PADD IV","PADD 4",IF($M10130="PADD V","PADD 5","")))))</f>
        <v/>
      </c>
      <c r="G10130" s="6">
        <f>IF(AND($H10130="ATMOS DISTILLATION",ISNUMBER(SEARCH("VPS",$I10130))=FALSE,LEFT($I10130,6)&lt;&gt;"VACUUM"),"CDU",IF($H10130="FLUID CAT CRACKING","FCC",IF(OR($H10130="HYDROCRACKING",$H10130="RESID_HYDROCRACKING"),"Hydrocracker",IF($H10130="REFORMING","Reformer",""))))</f>
        <v/>
      </c>
    </row>
    <row r="10131" spans="6:7">
      <c r="F10131" s="6">
        <f>IF($M10131="PADD I","PADD 1",IF($M10131="PADD II","PADD 2",IF($M10131="PADD III","PADD 3",IF($M10131="PADD IV","PADD 4",IF($M10131="PADD V","PADD 5","")))))</f>
        <v/>
      </c>
      <c r="G10131" s="6">
        <f>IF(AND($H10131="ATMOS DISTILLATION",ISNUMBER(SEARCH("VPS",$I10131))=FALSE,LEFT($I10131,6)&lt;&gt;"VACUUM"),"CDU",IF($H10131="FLUID CAT CRACKING","FCC",IF(OR($H10131="HYDROCRACKING",$H10131="RESID_HYDROCRACKING"),"Hydrocracker",IF($H10131="REFORMING","Reformer",""))))</f>
        <v/>
      </c>
    </row>
    <row r="10132" spans="6:7">
      <c r="F10132" s="6">
        <f>IF($M10132="PADD I","PADD 1",IF($M10132="PADD II","PADD 2",IF($M10132="PADD III","PADD 3",IF($M10132="PADD IV","PADD 4",IF($M10132="PADD V","PADD 5","")))))</f>
        <v/>
      </c>
      <c r="G10132" s="6">
        <f>IF(AND($H10132="ATMOS DISTILLATION",ISNUMBER(SEARCH("VPS",$I10132))=FALSE,LEFT($I10132,6)&lt;&gt;"VACUUM"),"CDU",IF($H10132="FLUID CAT CRACKING","FCC",IF(OR($H10132="HYDROCRACKING",$H10132="RESID_HYDROCRACKING"),"Hydrocracker",IF($H10132="REFORMING","Reformer",""))))</f>
        <v/>
      </c>
    </row>
    <row r="10133" spans="6:7">
      <c r="F10133" s="6">
        <f>IF($M10133="PADD I","PADD 1",IF($M10133="PADD II","PADD 2",IF($M10133="PADD III","PADD 3",IF($M10133="PADD IV","PADD 4",IF($M10133="PADD V","PADD 5","")))))</f>
        <v/>
      </c>
      <c r="G10133" s="6">
        <f>IF(AND($H10133="ATMOS DISTILLATION",ISNUMBER(SEARCH("VPS",$I10133))=FALSE,LEFT($I10133,6)&lt;&gt;"VACUUM"),"CDU",IF($H10133="FLUID CAT CRACKING","FCC",IF(OR($H10133="HYDROCRACKING",$H10133="RESID_HYDROCRACKING"),"Hydrocracker",IF($H10133="REFORMING","Reformer",""))))</f>
        <v/>
      </c>
    </row>
    <row r="10134" spans="6:7">
      <c r="F10134" s="6">
        <f>IF($M10134="PADD I","PADD 1",IF($M10134="PADD II","PADD 2",IF($M10134="PADD III","PADD 3",IF($M10134="PADD IV","PADD 4",IF($M10134="PADD V","PADD 5","")))))</f>
        <v/>
      </c>
      <c r="G10134" s="6">
        <f>IF(AND($H10134="ATMOS DISTILLATION",ISNUMBER(SEARCH("VPS",$I10134))=FALSE,LEFT($I10134,6)&lt;&gt;"VACUUM"),"CDU",IF($H10134="FLUID CAT CRACKING","FCC",IF(OR($H10134="HYDROCRACKING",$H10134="RESID_HYDROCRACKING"),"Hydrocracker",IF($H10134="REFORMING","Reformer",""))))</f>
        <v/>
      </c>
    </row>
    <row r="10135" spans="6:7">
      <c r="F10135" s="6">
        <f>IF($M10135="PADD I","PADD 1",IF($M10135="PADD II","PADD 2",IF($M10135="PADD III","PADD 3",IF($M10135="PADD IV","PADD 4",IF($M10135="PADD V","PADD 5","")))))</f>
        <v/>
      </c>
      <c r="G10135" s="6">
        <f>IF(AND($H10135="ATMOS DISTILLATION",ISNUMBER(SEARCH("VPS",$I10135))=FALSE,LEFT($I10135,6)&lt;&gt;"VACUUM"),"CDU",IF($H10135="FLUID CAT CRACKING","FCC",IF(OR($H10135="HYDROCRACKING",$H10135="RESID_HYDROCRACKING"),"Hydrocracker",IF($H10135="REFORMING","Reformer",""))))</f>
        <v/>
      </c>
    </row>
    <row r="10136" spans="6:7">
      <c r="F10136" s="6">
        <f>IF($M10136="PADD I","PADD 1",IF($M10136="PADD II","PADD 2",IF($M10136="PADD III","PADD 3",IF($M10136="PADD IV","PADD 4",IF($M10136="PADD V","PADD 5","")))))</f>
        <v/>
      </c>
      <c r="G10136" s="6">
        <f>IF(AND($H10136="ATMOS DISTILLATION",ISNUMBER(SEARCH("VPS",$I10136))=FALSE,LEFT($I10136,6)&lt;&gt;"VACUUM"),"CDU",IF($H10136="FLUID CAT CRACKING","FCC",IF(OR($H10136="HYDROCRACKING",$H10136="RESID_HYDROCRACKING"),"Hydrocracker",IF($H10136="REFORMING","Reformer",""))))</f>
        <v/>
      </c>
    </row>
    <row r="10137" spans="6:7">
      <c r="F10137" s="6">
        <f>IF($M10137="PADD I","PADD 1",IF($M10137="PADD II","PADD 2",IF($M10137="PADD III","PADD 3",IF($M10137="PADD IV","PADD 4",IF($M10137="PADD V","PADD 5","")))))</f>
        <v/>
      </c>
      <c r="G10137" s="6">
        <f>IF(AND($H10137="ATMOS DISTILLATION",ISNUMBER(SEARCH("VPS",$I10137))=FALSE,LEFT($I10137,6)&lt;&gt;"VACUUM"),"CDU",IF($H10137="FLUID CAT CRACKING","FCC",IF(OR($H10137="HYDROCRACKING",$H10137="RESID_HYDROCRACKING"),"Hydrocracker",IF($H10137="REFORMING","Reformer",""))))</f>
        <v/>
      </c>
    </row>
    <row r="10138" spans="6:7">
      <c r="F10138" s="6">
        <f>IF($M10138="PADD I","PADD 1",IF($M10138="PADD II","PADD 2",IF($M10138="PADD III","PADD 3",IF($M10138="PADD IV","PADD 4",IF($M10138="PADD V","PADD 5","")))))</f>
        <v/>
      </c>
      <c r="G10138" s="6">
        <f>IF(AND($H10138="ATMOS DISTILLATION",ISNUMBER(SEARCH("VPS",$I10138))=FALSE,LEFT($I10138,6)&lt;&gt;"VACUUM"),"CDU",IF($H10138="FLUID CAT CRACKING","FCC",IF(OR($H10138="HYDROCRACKING",$H10138="RESID_HYDROCRACKING"),"Hydrocracker",IF($H10138="REFORMING","Reformer",""))))</f>
        <v/>
      </c>
    </row>
    <row r="10139" spans="6:7">
      <c r="F10139" s="6">
        <f>IF($M10139="PADD I","PADD 1",IF($M10139="PADD II","PADD 2",IF($M10139="PADD III","PADD 3",IF($M10139="PADD IV","PADD 4",IF($M10139="PADD V","PADD 5","")))))</f>
        <v/>
      </c>
      <c r="G10139" s="6">
        <f>IF(AND($H10139="ATMOS DISTILLATION",ISNUMBER(SEARCH("VPS",$I10139))=FALSE,LEFT($I10139,6)&lt;&gt;"VACUUM"),"CDU",IF($H10139="FLUID CAT CRACKING","FCC",IF(OR($H10139="HYDROCRACKING",$H10139="RESID_HYDROCRACKING"),"Hydrocracker",IF($H10139="REFORMING","Reformer",""))))</f>
        <v/>
      </c>
    </row>
    <row r="10140" spans="6:7">
      <c r="F10140" s="6">
        <f>IF($M10140="PADD I","PADD 1",IF($M10140="PADD II","PADD 2",IF($M10140="PADD III","PADD 3",IF($M10140="PADD IV","PADD 4",IF($M10140="PADD V","PADD 5","")))))</f>
        <v/>
      </c>
      <c r="G10140" s="6">
        <f>IF(AND($H10140="ATMOS DISTILLATION",ISNUMBER(SEARCH("VPS",$I10140))=FALSE,LEFT($I10140,6)&lt;&gt;"VACUUM"),"CDU",IF($H10140="FLUID CAT CRACKING","FCC",IF(OR($H10140="HYDROCRACKING",$H10140="RESID_HYDROCRACKING"),"Hydrocracker",IF($H10140="REFORMING","Reformer",""))))</f>
        <v/>
      </c>
    </row>
    <row r="10141" spans="6:7">
      <c r="F10141" s="6">
        <f>IF($M10141="PADD I","PADD 1",IF($M10141="PADD II","PADD 2",IF($M10141="PADD III","PADD 3",IF($M10141="PADD IV","PADD 4",IF($M10141="PADD V","PADD 5","")))))</f>
        <v/>
      </c>
      <c r="G10141" s="6">
        <f>IF(AND($H10141="ATMOS DISTILLATION",ISNUMBER(SEARCH("VPS",$I10141))=FALSE,LEFT($I10141,6)&lt;&gt;"VACUUM"),"CDU",IF($H10141="FLUID CAT CRACKING","FCC",IF(OR($H10141="HYDROCRACKING",$H10141="RESID_HYDROCRACKING"),"Hydrocracker",IF($H10141="REFORMING","Reformer",""))))</f>
        <v/>
      </c>
    </row>
    <row r="10142" spans="6:7">
      <c r="F10142" s="6">
        <f>IF($M10142="PADD I","PADD 1",IF($M10142="PADD II","PADD 2",IF($M10142="PADD III","PADD 3",IF($M10142="PADD IV","PADD 4",IF($M10142="PADD V","PADD 5","")))))</f>
        <v/>
      </c>
      <c r="G10142" s="6">
        <f>IF(AND($H10142="ATMOS DISTILLATION",ISNUMBER(SEARCH("VPS",$I10142))=FALSE,LEFT($I10142,6)&lt;&gt;"VACUUM"),"CDU",IF($H10142="FLUID CAT CRACKING","FCC",IF(OR($H10142="HYDROCRACKING",$H10142="RESID_HYDROCRACKING"),"Hydrocracker",IF($H10142="REFORMING","Reformer",""))))</f>
        <v/>
      </c>
    </row>
    <row r="10143" spans="6:7">
      <c r="F10143" s="6">
        <f>IF($M10143="PADD I","PADD 1",IF($M10143="PADD II","PADD 2",IF($M10143="PADD III","PADD 3",IF($M10143="PADD IV","PADD 4",IF($M10143="PADD V","PADD 5","")))))</f>
        <v/>
      </c>
      <c r="G10143" s="6">
        <f>IF(AND($H10143="ATMOS DISTILLATION",ISNUMBER(SEARCH("VPS",$I10143))=FALSE,LEFT($I10143,6)&lt;&gt;"VACUUM"),"CDU",IF($H10143="FLUID CAT CRACKING","FCC",IF(OR($H10143="HYDROCRACKING",$H10143="RESID_HYDROCRACKING"),"Hydrocracker",IF($H10143="REFORMING","Reformer",""))))</f>
        <v/>
      </c>
    </row>
    <row r="10144" spans="6:7">
      <c r="F10144" s="6">
        <f>IF($M10144="PADD I","PADD 1",IF($M10144="PADD II","PADD 2",IF($M10144="PADD III","PADD 3",IF($M10144="PADD IV","PADD 4",IF($M10144="PADD V","PADD 5","")))))</f>
        <v/>
      </c>
      <c r="G10144" s="6">
        <f>IF(AND($H10144="ATMOS DISTILLATION",ISNUMBER(SEARCH("VPS",$I10144))=FALSE,LEFT($I10144,6)&lt;&gt;"VACUUM"),"CDU",IF($H10144="FLUID CAT CRACKING","FCC",IF(OR($H10144="HYDROCRACKING",$H10144="RESID_HYDROCRACKING"),"Hydrocracker",IF($H10144="REFORMING","Reformer",""))))</f>
        <v/>
      </c>
    </row>
    <row r="10145" spans="6:7">
      <c r="F10145" s="6">
        <f>IF($M10145="PADD I","PADD 1",IF($M10145="PADD II","PADD 2",IF($M10145="PADD III","PADD 3",IF($M10145="PADD IV","PADD 4",IF($M10145="PADD V","PADD 5","")))))</f>
        <v/>
      </c>
      <c r="G10145" s="6">
        <f>IF(AND($H10145="ATMOS DISTILLATION",ISNUMBER(SEARCH("VPS",$I10145))=FALSE,LEFT($I10145,6)&lt;&gt;"VACUUM"),"CDU",IF($H10145="FLUID CAT CRACKING","FCC",IF(OR($H10145="HYDROCRACKING",$H10145="RESID_HYDROCRACKING"),"Hydrocracker",IF($H10145="REFORMING","Reformer",""))))</f>
        <v/>
      </c>
    </row>
    <row r="10146" spans="6:7">
      <c r="F10146" s="6">
        <f>IF($M10146="PADD I","PADD 1",IF($M10146="PADD II","PADD 2",IF($M10146="PADD III","PADD 3",IF($M10146="PADD IV","PADD 4",IF($M10146="PADD V","PADD 5","")))))</f>
        <v/>
      </c>
      <c r="G10146" s="6">
        <f>IF(AND($H10146="ATMOS DISTILLATION",ISNUMBER(SEARCH("VPS",$I10146))=FALSE,LEFT($I10146,6)&lt;&gt;"VACUUM"),"CDU",IF($H10146="FLUID CAT CRACKING","FCC",IF(OR($H10146="HYDROCRACKING",$H10146="RESID_HYDROCRACKING"),"Hydrocracker",IF($H10146="REFORMING","Reformer",""))))</f>
        <v/>
      </c>
    </row>
    <row r="10147" spans="6:7">
      <c r="F10147" s="6">
        <f>IF($M10147="PADD I","PADD 1",IF($M10147="PADD II","PADD 2",IF($M10147="PADD III","PADD 3",IF($M10147="PADD IV","PADD 4",IF($M10147="PADD V","PADD 5","")))))</f>
        <v/>
      </c>
      <c r="G10147" s="6">
        <f>IF(AND($H10147="ATMOS DISTILLATION",ISNUMBER(SEARCH("VPS",$I10147))=FALSE,LEFT($I10147,6)&lt;&gt;"VACUUM"),"CDU",IF($H10147="FLUID CAT CRACKING","FCC",IF(OR($H10147="HYDROCRACKING",$H10147="RESID_HYDROCRACKING"),"Hydrocracker",IF($H10147="REFORMING","Reformer",""))))</f>
        <v/>
      </c>
    </row>
    <row r="10148" spans="6:7">
      <c r="F10148" s="6">
        <f>IF($M10148="PADD I","PADD 1",IF($M10148="PADD II","PADD 2",IF($M10148="PADD III","PADD 3",IF($M10148="PADD IV","PADD 4",IF($M10148="PADD V","PADD 5","")))))</f>
        <v/>
      </c>
      <c r="G10148" s="6">
        <f>IF(AND($H10148="ATMOS DISTILLATION",ISNUMBER(SEARCH("VPS",$I10148))=FALSE,LEFT($I10148,6)&lt;&gt;"VACUUM"),"CDU",IF($H10148="FLUID CAT CRACKING","FCC",IF(OR($H10148="HYDROCRACKING",$H10148="RESID_HYDROCRACKING"),"Hydrocracker",IF($H10148="REFORMING","Reformer",""))))</f>
        <v/>
      </c>
    </row>
    <row r="10149" spans="6:7">
      <c r="F10149" s="6">
        <f>IF($M10149="PADD I","PADD 1",IF($M10149="PADD II","PADD 2",IF($M10149="PADD III","PADD 3",IF($M10149="PADD IV","PADD 4",IF($M10149="PADD V","PADD 5","")))))</f>
        <v/>
      </c>
      <c r="G10149" s="6">
        <f>IF(AND($H10149="ATMOS DISTILLATION",ISNUMBER(SEARCH("VPS",$I10149))=FALSE,LEFT($I10149,6)&lt;&gt;"VACUUM"),"CDU",IF($H10149="FLUID CAT CRACKING","FCC",IF(OR($H10149="HYDROCRACKING",$H10149="RESID_HYDROCRACKING"),"Hydrocracker",IF($H10149="REFORMING","Reformer",""))))</f>
        <v/>
      </c>
    </row>
    <row r="10150" spans="6:7">
      <c r="F10150" s="6">
        <f>IF($M10150="PADD I","PADD 1",IF($M10150="PADD II","PADD 2",IF($M10150="PADD III","PADD 3",IF($M10150="PADD IV","PADD 4",IF($M10150="PADD V","PADD 5","")))))</f>
        <v/>
      </c>
      <c r="G10150" s="6">
        <f>IF(AND($H10150="ATMOS DISTILLATION",ISNUMBER(SEARCH("VPS",$I10150))=FALSE,LEFT($I10150,6)&lt;&gt;"VACUUM"),"CDU",IF($H10150="FLUID CAT CRACKING","FCC",IF(OR($H10150="HYDROCRACKING",$H10150="RESID_HYDROCRACKING"),"Hydrocracker",IF($H10150="REFORMING","Reformer",""))))</f>
        <v/>
      </c>
    </row>
    <row r="10151" spans="6:7">
      <c r="F10151" s="6">
        <f>IF($M10151="PADD I","PADD 1",IF($M10151="PADD II","PADD 2",IF($M10151="PADD III","PADD 3",IF($M10151="PADD IV","PADD 4",IF($M10151="PADD V","PADD 5","")))))</f>
        <v/>
      </c>
      <c r="G10151" s="6">
        <f>IF(AND($H10151="ATMOS DISTILLATION",ISNUMBER(SEARCH("VPS",$I10151))=FALSE,LEFT($I10151,6)&lt;&gt;"VACUUM"),"CDU",IF($H10151="FLUID CAT CRACKING","FCC",IF(OR($H10151="HYDROCRACKING",$H10151="RESID_HYDROCRACKING"),"Hydrocracker",IF($H10151="REFORMING","Reformer",""))))</f>
        <v/>
      </c>
    </row>
    <row r="10152" spans="6:7">
      <c r="F10152" s="6">
        <f>IF($M10152="PADD I","PADD 1",IF($M10152="PADD II","PADD 2",IF($M10152="PADD III","PADD 3",IF($M10152="PADD IV","PADD 4",IF($M10152="PADD V","PADD 5","")))))</f>
        <v/>
      </c>
      <c r="G10152" s="6">
        <f>IF(AND($H10152="ATMOS DISTILLATION",ISNUMBER(SEARCH("VPS",$I10152))=FALSE,LEFT($I10152,6)&lt;&gt;"VACUUM"),"CDU",IF($H10152="FLUID CAT CRACKING","FCC",IF(OR($H10152="HYDROCRACKING",$H10152="RESID_HYDROCRACKING"),"Hydrocracker",IF($H10152="REFORMING","Reformer",""))))</f>
        <v/>
      </c>
    </row>
    <row r="10153" spans="6:7">
      <c r="F10153" s="6">
        <f>IF($M10153="PADD I","PADD 1",IF($M10153="PADD II","PADD 2",IF($M10153="PADD III","PADD 3",IF($M10153="PADD IV","PADD 4",IF($M10153="PADD V","PADD 5","")))))</f>
        <v/>
      </c>
      <c r="G10153" s="6">
        <f>IF(AND($H10153="ATMOS DISTILLATION",ISNUMBER(SEARCH("VPS",$I10153))=FALSE,LEFT($I10153,6)&lt;&gt;"VACUUM"),"CDU",IF($H10153="FLUID CAT CRACKING","FCC",IF(OR($H10153="HYDROCRACKING",$H10153="RESID_HYDROCRACKING"),"Hydrocracker",IF($H10153="REFORMING","Reformer",""))))</f>
        <v/>
      </c>
    </row>
    <row r="10154" spans="6:7">
      <c r="F10154" s="6">
        <f>IF($M10154="PADD I","PADD 1",IF($M10154="PADD II","PADD 2",IF($M10154="PADD III","PADD 3",IF($M10154="PADD IV","PADD 4",IF($M10154="PADD V","PADD 5","")))))</f>
        <v/>
      </c>
      <c r="G10154" s="6">
        <f>IF(AND($H10154="ATMOS DISTILLATION",ISNUMBER(SEARCH("VPS",$I10154))=FALSE,LEFT($I10154,6)&lt;&gt;"VACUUM"),"CDU",IF($H10154="FLUID CAT CRACKING","FCC",IF(OR($H10154="HYDROCRACKING",$H10154="RESID_HYDROCRACKING"),"Hydrocracker",IF($H10154="REFORMING","Reformer",""))))</f>
        <v/>
      </c>
    </row>
    <row r="10155" spans="6:7">
      <c r="F10155" s="6">
        <f>IF($M10155="PADD I","PADD 1",IF($M10155="PADD II","PADD 2",IF($M10155="PADD III","PADD 3",IF($M10155="PADD IV","PADD 4",IF($M10155="PADD V","PADD 5","")))))</f>
        <v/>
      </c>
      <c r="G10155" s="6">
        <f>IF(AND($H10155="ATMOS DISTILLATION",ISNUMBER(SEARCH("VPS",$I10155))=FALSE,LEFT($I10155,6)&lt;&gt;"VACUUM"),"CDU",IF($H10155="FLUID CAT CRACKING","FCC",IF(OR($H10155="HYDROCRACKING",$H10155="RESID_HYDROCRACKING"),"Hydrocracker",IF($H10155="REFORMING","Reformer",""))))</f>
        <v/>
      </c>
    </row>
    <row r="10156" spans="6:7">
      <c r="F10156" s="6">
        <f>IF($M10156="PADD I","PADD 1",IF($M10156="PADD II","PADD 2",IF($M10156="PADD III","PADD 3",IF($M10156="PADD IV","PADD 4",IF($M10156="PADD V","PADD 5","")))))</f>
        <v/>
      </c>
      <c r="G10156" s="6">
        <f>IF(AND($H10156="ATMOS DISTILLATION",ISNUMBER(SEARCH("VPS",$I10156))=FALSE,LEFT($I10156,6)&lt;&gt;"VACUUM"),"CDU",IF($H10156="FLUID CAT CRACKING","FCC",IF(OR($H10156="HYDROCRACKING",$H10156="RESID_HYDROCRACKING"),"Hydrocracker",IF($H10156="REFORMING","Reformer",""))))</f>
        <v/>
      </c>
    </row>
    <row r="10157" spans="6:7">
      <c r="F10157" s="6">
        <f>IF($M10157="PADD I","PADD 1",IF($M10157="PADD II","PADD 2",IF($M10157="PADD III","PADD 3",IF($M10157="PADD IV","PADD 4",IF($M10157="PADD V","PADD 5","")))))</f>
        <v/>
      </c>
      <c r="G10157" s="6">
        <f>IF(AND($H10157="ATMOS DISTILLATION",ISNUMBER(SEARCH("VPS",$I10157))=FALSE,LEFT($I10157,6)&lt;&gt;"VACUUM"),"CDU",IF($H10157="FLUID CAT CRACKING","FCC",IF(OR($H10157="HYDROCRACKING",$H10157="RESID_HYDROCRACKING"),"Hydrocracker",IF($H10157="REFORMING","Reformer",""))))</f>
        <v/>
      </c>
    </row>
    <row r="10158" spans="6:7">
      <c r="F10158" s="6">
        <f>IF($M10158="PADD I","PADD 1",IF($M10158="PADD II","PADD 2",IF($M10158="PADD III","PADD 3",IF($M10158="PADD IV","PADD 4",IF($M10158="PADD V","PADD 5","")))))</f>
        <v/>
      </c>
      <c r="G10158" s="6">
        <f>IF(AND($H10158="ATMOS DISTILLATION",ISNUMBER(SEARCH("VPS",$I10158))=FALSE,LEFT($I10158,6)&lt;&gt;"VACUUM"),"CDU",IF($H10158="FLUID CAT CRACKING","FCC",IF(OR($H10158="HYDROCRACKING",$H10158="RESID_HYDROCRACKING"),"Hydrocracker",IF($H10158="REFORMING","Reformer",""))))</f>
        <v/>
      </c>
    </row>
    <row r="10159" spans="6:7">
      <c r="F10159" s="6">
        <f>IF($M10159="PADD I","PADD 1",IF($M10159="PADD II","PADD 2",IF($M10159="PADD III","PADD 3",IF($M10159="PADD IV","PADD 4",IF($M10159="PADD V","PADD 5","")))))</f>
        <v/>
      </c>
      <c r="G10159" s="6">
        <f>IF(AND($H10159="ATMOS DISTILLATION",ISNUMBER(SEARCH("VPS",$I10159))=FALSE,LEFT($I10159,6)&lt;&gt;"VACUUM"),"CDU",IF($H10159="FLUID CAT CRACKING","FCC",IF(OR($H10159="HYDROCRACKING",$H10159="RESID_HYDROCRACKING"),"Hydrocracker",IF($H10159="REFORMING","Reformer",""))))</f>
        <v/>
      </c>
    </row>
    <row r="10160" spans="6:7">
      <c r="F10160" s="6">
        <f>IF($M10160="PADD I","PADD 1",IF($M10160="PADD II","PADD 2",IF($M10160="PADD III","PADD 3",IF($M10160="PADD IV","PADD 4",IF($M10160="PADD V","PADD 5","")))))</f>
        <v/>
      </c>
      <c r="G10160" s="6">
        <f>IF(AND($H10160="ATMOS DISTILLATION",ISNUMBER(SEARCH("VPS",$I10160))=FALSE,LEFT($I10160,6)&lt;&gt;"VACUUM"),"CDU",IF($H10160="FLUID CAT CRACKING","FCC",IF(OR($H10160="HYDROCRACKING",$H10160="RESID_HYDROCRACKING"),"Hydrocracker",IF($H10160="REFORMING","Reformer",""))))</f>
        <v/>
      </c>
    </row>
    <row r="10161" spans="6:7">
      <c r="F10161" s="6">
        <f>IF($M10161="PADD I","PADD 1",IF($M10161="PADD II","PADD 2",IF($M10161="PADD III","PADD 3",IF($M10161="PADD IV","PADD 4",IF($M10161="PADD V","PADD 5","")))))</f>
        <v/>
      </c>
      <c r="G10161" s="6">
        <f>IF(AND($H10161="ATMOS DISTILLATION",ISNUMBER(SEARCH("VPS",$I10161))=FALSE,LEFT($I10161,6)&lt;&gt;"VACUUM"),"CDU",IF($H10161="FLUID CAT CRACKING","FCC",IF(OR($H10161="HYDROCRACKING",$H10161="RESID_HYDROCRACKING"),"Hydrocracker",IF($H10161="REFORMING","Reformer",""))))</f>
        <v/>
      </c>
    </row>
    <row r="10162" spans="6:7">
      <c r="F10162" s="6">
        <f>IF($M10162="PADD I","PADD 1",IF($M10162="PADD II","PADD 2",IF($M10162="PADD III","PADD 3",IF($M10162="PADD IV","PADD 4",IF($M10162="PADD V","PADD 5","")))))</f>
        <v/>
      </c>
      <c r="G10162" s="6">
        <f>IF(AND($H10162="ATMOS DISTILLATION",ISNUMBER(SEARCH("VPS",$I10162))=FALSE,LEFT($I10162,6)&lt;&gt;"VACUUM"),"CDU",IF($H10162="FLUID CAT CRACKING","FCC",IF(OR($H10162="HYDROCRACKING",$H10162="RESID_HYDROCRACKING"),"Hydrocracker",IF($H10162="REFORMING","Reformer",""))))</f>
        <v/>
      </c>
    </row>
    <row r="10163" spans="6:7">
      <c r="F10163" s="6">
        <f>IF($M10163="PADD I","PADD 1",IF($M10163="PADD II","PADD 2",IF($M10163="PADD III","PADD 3",IF($M10163="PADD IV","PADD 4",IF($M10163="PADD V","PADD 5","")))))</f>
        <v/>
      </c>
      <c r="G10163" s="6">
        <f>IF(AND($H10163="ATMOS DISTILLATION",ISNUMBER(SEARCH("VPS",$I10163))=FALSE,LEFT($I10163,6)&lt;&gt;"VACUUM"),"CDU",IF($H10163="FLUID CAT CRACKING","FCC",IF(OR($H10163="HYDROCRACKING",$H10163="RESID_HYDROCRACKING"),"Hydrocracker",IF($H10163="REFORMING","Reformer",""))))</f>
        <v/>
      </c>
    </row>
    <row r="10164" spans="6:7">
      <c r="F10164" s="6">
        <f>IF($M10164="PADD I","PADD 1",IF($M10164="PADD II","PADD 2",IF($M10164="PADD III","PADD 3",IF($M10164="PADD IV","PADD 4",IF($M10164="PADD V","PADD 5","")))))</f>
        <v/>
      </c>
      <c r="G10164" s="6">
        <f>IF(AND($H10164="ATMOS DISTILLATION",ISNUMBER(SEARCH("VPS",$I10164))=FALSE,LEFT($I10164,6)&lt;&gt;"VACUUM"),"CDU",IF($H10164="FLUID CAT CRACKING","FCC",IF(OR($H10164="HYDROCRACKING",$H10164="RESID_HYDROCRACKING"),"Hydrocracker",IF($H10164="REFORMING","Reformer",""))))</f>
        <v/>
      </c>
    </row>
    <row r="10165" spans="6:7">
      <c r="F10165" s="6">
        <f>IF($M10165="PADD I","PADD 1",IF($M10165="PADD II","PADD 2",IF($M10165="PADD III","PADD 3",IF($M10165="PADD IV","PADD 4",IF($M10165="PADD V","PADD 5","")))))</f>
        <v/>
      </c>
      <c r="G10165" s="6">
        <f>IF(AND($H10165="ATMOS DISTILLATION",ISNUMBER(SEARCH("VPS",$I10165))=FALSE,LEFT($I10165,6)&lt;&gt;"VACUUM"),"CDU",IF($H10165="FLUID CAT CRACKING","FCC",IF(OR($H10165="HYDROCRACKING",$H10165="RESID_HYDROCRACKING"),"Hydrocracker",IF($H10165="REFORMING","Reformer",""))))</f>
        <v/>
      </c>
    </row>
    <row r="10166" spans="6:7">
      <c r="F10166" s="6">
        <f>IF($M10166="PADD I","PADD 1",IF($M10166="PADD II","PADD 2",IF($M10166="PADD III","PADD 3",IF($M10166="PADD IV","PADD 4",IF($M10166="PADD V","PADD 5","")))))</f>
        <v/>
      </c>
      <c r="G10166" s="6">
        <f>IF(AND($H10166="ATMOS DISTILLATION",ISNUMBER(SEARCH("VPS",$I10166))=FALSE,LEFT($I10166,6)&lt;&gt;"VACUUM"),"CDU",IF($H10166="FLUID CAT CRACKING","FCC",IF(OR($H10166="HYDROCRACKING",$H10166="RESID_HYDROCRACKING"),"Hydrocracker",IF($H10166="REFORMING","Reformer",""))))</f>
        <v/>
      </c>
    </row>
    <row r="10167" spans="6:7">
      <c r="F10167" s="6">
        <f>IF($M10167="PADD I","PADD 1",IF($M10167="PADD II","PADD 2",IF($M10167="PADD III","PADD 3",IF($M10167="PADD IV","PADD 4",IF($M10167="PADD V","PADD 5","")))))</f>
        <v/>
      </c>
      <c r="G10167" s="6">
        <f>IF(AND($H10167="ATMOS DISTILLATION",ISNUMBER(SEARCH("VPS",$I10167))=FALSE,LEFT($I10167,6)&lt;&gt;"VACUUM"),"CDU",IF($H10167="FLUID CAT CRACKING","FCC",IF(OR($H10167="HYDROCRACKING",$H10167="RESID_HYDROCRACKING"),"Hydrocracker",IF($H10167="REFORMING","Reformer",""))))</f>
        <v/>
      </c>
    </row>
    <row r="10168" spans="6:7">
      <c r="F10168" s="6">
        <f>IF($M10168="PADD I","PADD 1",IF($M10168="PADD II","PADD 2",IF($M10168="PADD III","PADD 3",IF($M10168="PADD IV","PADD 4",IF($M10168="PADD V","PADD 5","")))))</f>
        <v/>
      </c>
      <c r="G10168" s="6">
        <f>IF(AND($H10168="ATMOS DISTILLATION",ISNUMBER(SEARCH("VPS",$I10168))=FALSE,LEFT($I10168,6)&lt;&gt;"VACUUM"),"CDU",IF($H10168="FLUID CAT CRACKING","FCC",IF(OR($H10168="HYDROCRACKING",$H10168="RESID_HYDROCRACKING"),"Hydrocracker",IF($H10168="REFORMING","Reformer",""))))</f>
        <v/>
      </c>
    </row>
    <row r="10169" spans="6:7">
      <c r="F10169" s="6">
        <f>IF($M10169="PADD I","PADD 1",IF($M10169="PADD II","PADD 2",IF($M10169="PADD III","PADD 3",IF($M10169="PADD IV","PADD 4",IF($M10169="PADD V","PADD 5","")))))</f>
        <v/>
      </c>
      <c r="G10169" s="6">
        <f>IF(AND($H10169="ATMOS DISTILLATION",ISNUMBER(SEARCH("VPS",$I10169))=FALSE,LEFT($I10169,6)&lt;&gt;"VACUUM"),"CDU",IF($H10169="FLUID CAT CRACKING","FCC",IF(OR($H10169="HYDROCRACKING",$H10169="RESID_HYDROCRACKING"),"Hydrocracker",IF($H10169="REFORMING","Reformer",""))))</f>
        <v/>
      </c>
    </row>
    <row r="10170" spans="6:7">
      <c r="F10170" s="6">
        <f>IF($M10170="PADD I","PADD 1",IF($M10170="PADD II","PADD 2",IF($M10170="PADD III","PADD 3",IF($M10170="PADD IV","PADD 4",IF($M10170="PADD V","PADD 5","")))))</f>
        <v/>
      </c>
      <c r="G10170" s="6">
        <f>IF(AND($H10170="ATMOS DISTILLATION",ISNUMBER(SEARCH("VPS",$I10170))=FALSE,LEFT($I10170,6)&lt;&gt;"VACUUM"),"CDU",IF($H10170="FLUID CAT CRACKING","FCC",IF(OR($H10170="HYDROCRACKING",$H10170="RESID_HYDROCRACKING"),"Hydrocracker",IF($H10170="REFORMING","Reformer",""))))</f>
        <v/>
      </c>
    </row>
    <row r="10171" spans="6:7">
      <c r="F10171" s="6">
        <f>IF($M10171="PADD I","PADD 1",IF($M10171="PADD II","PADD 2",IF($M10171="PADD III","PADD 3",IF($M10171="PADD IV","PADD 4",IF($M10171="PADD V","PADD 5","")))))</f>
        <v/>
      </c>
      <c r="G10171" s="6">
        <f>IF(AND($H10171="ATMOS DISTILLATION",ISNUMBER(SEARCH("VPS",$I10171))=FALSE,LEFT($I10171,6)&lt;&gt;"VACUUM"),"CDU",IF($H10171="FLUID CAT CRACKING","FCC",IF(OR($H10171="HYDROCRACKING",$H10171="RESID_HYDROCRACKING"),"Hydrocracker",IF($H10171="REFORMING","Reformer",""))))</f>
        <v/>
      </c>
    </row>
    <row r="10172" spans="6:7">
      <c r="F10172" s="6">
        <f>IF($M10172="PADD I","PADD 1",IF($M10172="PADD II","PADD 2",IF($M10172="PADD III","PADD 3",IF($M10172="PADD IV","PADD 4",IF($M10172="PADD V","PADD 5","")))))</f>
        <v/>
      </c>
      <c r="G10172" s="6">
        <f>IF(AND($H10172="ATMOS DISTILLATION",ISNUMBER(SEARCH("VPS",$I10172))=FALSE,LEFT($I10172,6)&lt;&gt;"VACUUM"),"CDU",IF($H10172="FLUID CAT CRACKING","FCC",IF(OR($H10172="HYDROCRACKING",$H10172="RESID_HYDROCRACKING"),"Hydrocracker",IF($H10172="REFORMING","Reformer",""))))</f>
        <v/>
      </c>
    </row>
    <row r="10173" spans="6:7">
      <c r="F10173" s="6">
        <f>IF($M10173="PADD I","PADD 1",IF($M10173="PADD II","PADD 2",IF($M10173="PADD III","PADD 3",IF($M10173="PADD IV","PADD 4",IF($M10173="PADD V","PADD 5","")))))</f>
        <v/>
      </c>
      <c r="G10173" s="6">
        <f>IF(AND($H10173="ATMOS DISTILLATION",ISNUMBER(SEARCH("VPS",$I10173))=FALSE,LEFT($I10173,6)&lt;&gt;"VACUUM"),"CDU",IF($H10173="FLUID CAT CRACKING","FCC",IF(OR($H10173="HYDROCRACKING",$H10173="RESID_HYDROCRACKING"),"Hydrocracker",IF($H10173="REFORMING","Reformer",""))))</f>
        <v/>
      </c>
    </row>
    <row r="10174" spans="6:7">
      <c r="F10174" s="6">
        <f>IF($M10174="PADD I","PADD 1",IF($M10174="PADD II","PADD 2",IF($M10174="PADD III","PADD 3",IF($M10174="PADD IV","PADD 4",IF($M10174="PADD V","PADD 5","")))))</f>
        <v/>
      </c>
      <c r="G10174" s="6">
        <f>IF(AND($H10174="ATMOS DISTILLATION",ISNUMBER(SEARCH("VPS",$I10174))=FALSE,LEFT($I10174,6)&lt;&gt;"VACUUM"),"CDU",IF($H10174="FLUID CAT CRACKING","FCC",IF(OR($H10174="HYDROCRACKING",$H10174="RESID_HYDROCRACKING"),"Hydrocracker",IF($H10174="REFORMING","Reformer",""))))</f>
        <v/>
      </c>
    </row>
    <row r="10175" spans="6:7">
      <c r="F10175" s="6">
        <f>IF($M10175="PADD I","PADD 1",IF($M10175="PADD II","PADD 2",IF($M10175="PADD III","PADD 3",IF($M10175="PADD IV","PADD 4",IF($M10175="PADD V","PADD 5","")))))</f>
        <v/>
      </c>
      <c r="G10175" s="6">
        <f>IF(AND($H10175="ATMOS DISTILLATION",ISNUMBER(SEARCH("VPS",$I10175))=FALSE,LEFT($I10175,6)&lt;&gt;"VACUUM"),"CDU",IF($H10175="FLUID CAT CRACKING","FCC",IF(OR($H10175="HYDROCRACKING",$H10175="RESID_HYDROCRACKING"),"Hydrocracker",IF($H10175="REFORMING","Reformer",""))))</f>
        <v/>
      </c>
    </row>
    <row r="10176" spans="6:7">
      <c r="F10176" s="6">
        <f>IF($M10176="PADD I","PADD 1",IF($M10176="PADD II","PADD 2",IF($M10176="PADD III","PADD 3",IF($M10176="PADD IV","PADD 4",IF($M10176="PADD V","PADD 5","")))))</f>
        <v/>
      </c>
      <c r="G10176" s="6">
        <f>IF(AND($H10176="ATMOS DISTILLATION",ISNUMBER(SEARCH("VPS",$I10176))=FALSE,LEFT($I10176,6)&lt;&gt;"VACUUM"),"CDU",IF($H10176="FLUID CAT CRACKING","FCC",IF(OR($H10176="HYDROCRACKING",$H10176="RESID_HYDROCRACKING"),"Hydrocracker",IF($H10176="REFORMING","Reformer",""))))</f>
        <v/>
      </c>
    </row>
    <row r="10177" spans="6:7">
      <c r="F10177" s="6">
        <f>IF($M10177="PADD I","PADD 1",IF($M10177="PADD II","PADD 2",IF($M10177="PADD III","PADD 3",IF($M10177="PADD IV","PADD 4",IF($M10177="PADD V","PADD 5","")))))</f>
        <v/>
      </c>
      <c r="G10177" s="6">
        <f>IF(AND($H10177="ATMOS DISTILLATION",ISNUMBER(SEARCH("VPS",$I10177))=FALSE,LEFT($I10177,6)&lt;&gt;"VACUUM"),"CDU",IF($H10177="FLUID CAT CRACKING","FCC",IF(OR($H10177="HYDROCRACKING",$H10177="RESID_HYDROCRACKING"),"Hydrocracker",IF($H10177="REFORMING","Reformer",""))))</f>
        <v/>
      </c>
    </row>
    <row r="10178" spans="6:7">
      <c r="F10178" s="6">
        <f>IF($M10178="PADD I","PADD 1",IF($M10178="PADD II","PADD 2",IF($M10178="PADD III","PADD 3",IF($M10178="PADD IV","PADD 4",IF($M10178="PADD V","PADD 5","")))))</f>
        <v/>
      </c>
      <c r="G10178" s="6">
        <f>IF(AND($H10178="ATMOS DISTILLATION",ISNUMBER(SEARCH("VPS",$I10178))=FALSE,LEFT($I10178,6)&lt;&gt;"VACUUM"),"CDU",IF($H10178="FLUID CAT CRACKING","FCC",IF(OR($H10178="HYDROCRACKING",$H10178="RESID_HYDROCRACKING"),"Hydrocracker",IF($H10178="REFORMING","Reformer",""))))</f>
        <v/>
      </c>
    </row>
    <row r="10179" spans="6:7">
      <c r="F10179" s="6">
        <f>IF($M10179="PADD I","PADD 1",IF($M10179="PADD II","PADD 2",IF($M10179="PADD III","PADD 3",IF($M10179="PADD IV","PADD 4",IF($M10179="PADD V","PADD 5","")))))</f>
        <v/>
      </c>
      <c r="G10179" s="6">
        <f>IF(AND($H10179="ATMOS DISTILLATION",ISNUMBER(SEARCH("VPS",$I10179))=FALSE,LEFT($I10179,6)&lt;&gt;"VACUUM"),"CDU",IF($H10179="FLUID CAT CRACKING","FCC",IF(OR($H10179="HYDROCRACKING",$H10179="RESID_HYDROCRACKING"),"Hydrocracker",IF($H10179="REFORMING","Reformer",""))))</f>
        <v/>
      </c>
    </row>
    <row r="10180" spans="6:7">
      <c r="F10180" s="6">
        <f>IF($M10180="PADD I","PADD 1",IF($M10180="PADD II","PADD 2",IF($M10180="PADD III","PADD 3",IF($M10180="PADD IV","PADD 4",IF($M10180="PADD V","PADD 5","")))))</f>
        <v/>
      </c>
      <c r="G10180" s="6">
        <f>IF(AND($H10180="ATMOS DISTILLATION",ISNUMBER(SEARCH("VPS",$I10180))=FALSE,LEFT($I10180,6)&lt;&gt;"VACUUM"),"CDU",IF($H10180="FLUID CAT CRACKING","FCC",IF(OR($H10180="HYDROCRACKING",$H10180="RESID_HYDROCRACKING"),"Hydrocracker",IF($H10180="REFORMING","Reformer",""))))</f>
        <v/>
      </c>
    </row>
    <row r="10181" spans="6:7">
      <c r="F10181" s="6">
        <f>IF($M10181="PADD I","PADD 1",IF($M10181="PADD II","PADD 2",IF($M10181="PADD III","PADD 3",IF($M10181="PADD IV","PADD 4",IF($M10181="PADD V","PADD 5","")))))</f>
        <v/>
      </c>
      <c r="G10181" s="6">
        <f>IF(AND($H10181="ATMOS DISTILLATION",ISNUMBER(SEARCH("VPS",$I10181))=FALSE,LEFT($I10181,6)&lt;&gt;"VACUUM"),"CDU",IF($H10181="FLUID CAT CRACKING","FCC",IF(OR($H10181="HYDROCRACKING",$H10181="RESID_HYDROCRACKING"),"Hydrocracker",IF($H10181="REFORMING","Reformer",""))))</f>
        <v/>
      </c>
    </row>
    <row r="10182" spans="6:7">
      <c r="F10182" s="6">
        <f>IF($M10182="PADD I","PADD 1",IF($M10182="PADD II","PADD 2",IF($M10182="PADD III","PADD 3",IF($M10182="PADD IV","PADD 4",IF($M10182="PADD V","PADD 5","")))))</f>
        <v/>
      </c>
      <c r="G10182" s="6">
        <f>IF(AND($H10182="ATMOS DISTILLATION",ISNUMBER(SEARCH("VPS",$I10182))=FALSE,LEFT($I10182,6)&lt;&gt;"VACUUM"),"CDU",IF($H10182="FLUID CAT CRACKING","FCC",IF(OR($H10182="HYDROCRACKING",$H10182="RESID_HYDROCRACKING"),"Hydrocracker",IF($H10182="REFORMING","Reformer",""))))</f>
        <v/>
      </c>
    </row>
    <row r="10183" spans="6:7">
      <c r="F10183" s="6">
        <f>IF($M10183="PADD I","PADD 1",IF($M10183="PADD II","PADD 2",IF($M10183="PADD III","PADD 3",IF($M10183="PADD IV","PADD 4",IF($M10183="PADD V","PADD 5","")))))</f>
        <v/>
      </c>
      <c r="G10183" s="6">
        <f>IF(AND($H10183="ATMOS DISTILLATION",ISNUMBER(SEARCH("VPS",$I10183))=FALSE,LEFT($I10183,6)&lt;&gt;"VACUUM"),"CDU",IF($H10183="FLUID CAT CRACKING","FCC",IF(OR($H10183="HYDROCRACKING",$H10183="RESID_HYDROCRACKING"),"Hydrocracker",IF($H10183="REFORMING","Reformer",""))))</f>
        <v/>
      </c>
    </row>
    <row r="10184" spans="6:7">
      <c r="F10184" s="6">
        <f>IF($M10184="PADD I","PADD 1",IF($M10184="PADD II","PADD 2",IF($M10184="PADD III","PADD 3",IF($M10184="PADD IV","PADD 4",IF($M10184="PADD V","PADD 5","")))))</f>
        <v/>
      </c>
      <c r="G10184" s="6">
        <f>IF(AND($H10184="ATMOS DISTILLATION",ISNUMBER(SEARCH("VPS",$I10184))=FALSE,LEFT($I10184,6)&lt;&gt;"VACUUM"),"CDU",IF($H10184="FLUID CAT CRACKING","FCC",IF(OR($H10184="HYDROCRACKING",$H10184="RESID_HYDROCRACKING"),"Hydrocracker",IF($H10184="REFORMING","Reformer",""))))</f>
        <v/>
      </c>
    </row>
    <row r="10185" spans="6:7">
      <c r="F10185" s="6">
        <f>IF($M10185="PADD I","PADD 1",IF($M10185="PADD II","PADD 2",IF($M10185="PADD III","PADD 3",IF($M10185="PADD IV","PADD 4",IF($M10185="PADD V","PADD 5","")))))</f>
        <v/>
      </c>
      <c r="G10185" s="6">
        <f>IF(AND($H10185="ATMOS DISTILLATION",ISNUMBER(SEARCH("VPS",$I10185))=FALSE,LEFT($I10185,6)&lt;&gt;"VACUUM"),"CDU",IF($H10185="FLUID CAT CRACKING","FCC",IF(OR($H10185="HYDROCRACKING",$H10185="RESID_HYDROCRACKING"),"Hydrocracker",IF($H10185="REFORMING","Reformer",""))))</f>
        <v/>
      </c>
    </row>
    <row r="10186" spans="6:7">
      <c r="F10186" s="6">
        <f>IF($M10186="PADD I","PADD 1",IF($M10186="PADD II","PADD 2",IF($M10186="PADD III","PADD 3",IF($M10186="PADD IV","PADD 4",IF($M10186="PADD V","PADD 5","")))))</f>
        <v/>
      </c>
      <c r="G10186" s="6">
        <f>IF(AND($H10186="ATMOS DISTILLATION",ISNUMBER(SEARCH("VPS",$I10186))=FALSE,LEFT($I10186,6)&lt;&gt;"VACUUM"),"CDU",IF($H10186="FLUID CAT CRACKING","FCC",IF(OR($H10186="HYDROCRACKING",$H10186="RESID_HYDROCRACKING"),"Hydrocracker",IF($H10186="REFORMING","Reformer",""))))</f>
        <v/>
      </c>
    </row>
    <row r="10187" spans="6:7">
      <c r="F10187" s="6">
        <f>IF($M10187="PADD I","PADD 1",IF($M10187="PADD II","PADD 2",IF($M10187="PADD III","PADD 3",IF($M10187="PADD IV","PADD 4",IF($M10187="PADD V","PADD 5","")))))</f>
        <v/>
      </c>
      <c r="G10187" s="6">
        <f>IF(AND($H10187="ATMOS DISTILLATION",ISNUMBER(SEARCH("VPS",$I10187))=FALSE,LEFT($I10187,6)&lt;&gt;"VACUUM"),"CDU",IF($H10187="FLUID CAT CRACKING","FCC",IF(OR($H10187="HYDROCRACKING",$H10187="RESID_HYDROCRACKING"),"Hydrocracker",IF($H10187="REFORMING","Reformer",""))))</f>
        <v/>
      </c>
    </row>
    <row r="10188" spans="6:7">
      <c r="F10188" s="6">
        <f>IF($M10188="PADD I","PADD 1",IF($M10188="PADD II","PADD 2",IF($M10188="PADD III","PADD 3",IF($M10188="PADD IV","PADD 4",IF($M10188="PADD V","PADD 5","")))))</f>
        <v/>
      </c>
      <c r="G10188" s="6">
        <f>IF(AND($H10188="ATMOS DISTILLATION",ISNUMBER(SEARCH("VPS",$I10188))=FALSE,LEFT($I10188,6)&lt;&gt;"VACUUM"),"CDU",IF($H10188="FLUID CAT CRACKING","FCC",IF(OR($H10188="HYDROCRACKING",$H10188="RESID_HYDROCRACKING"),"Hydrocracker",IF($H10188="REFORMING","Reformer",""))))</f>
        <v/>
      </c>
    </row>
    <row r="10189" spans="6:7">
      <c r="F10189" s="6">
        <f>IF($M10189="PADD I","PADD 1",IF($M10189="PADD II","PADD 2",IF($M10189="PADD III","PADD 3",IF($M10189="PADD IV","PADD 4",IF($M10189="PADD V","PADD 5","")))))</f>
        <v/>
      </c>
      <c r="G10189" s="6">
        <f>IF(AND($H10189="ATMOS DISTILLATION",ISNUMBER(SEARCH("VPS",$I10189))=FALSE,LEFT($I10189,6)&lt;&gt;"VACUUM"),"CDU",IF($H10189="FLUID CAT CRACKING","FCC",IF(OR($H10189="HYDROCRACKING",$H10189="RESID_HYDROCRACKING"),"Hydrocracker",IF($H10189="REFORMING","Reformer",""))))</f>
        <v/>
      </c>
    </row>
    <row r="10190" spans="6:7">
      <c r="F10190" s="6">
        <f>IF($M10190="PADD I","PADD 1",IF($M10190="PADD II","PADD 2",IF($M10190="PADD III","PADD 3",IF($M10190="PADD IV","PADD 4",IF($M10190="PADD V","PADD 5","")))))</f>
        <v/>
      </c>
      <c r="G10190" s="6">
        <f>IF(AND($H10190="ATMOS DISTILLATION",ISNUMBER(SEARCH("VPS",$I10190))=FALSE,LEFT($I10190,6)&lt;&gt;"VACUUM"),"CDU",IF($H10190="FLUID CAT CRACKING","FCC",IF(OR($H10190="HYDROCRACKING",$H10190="RESID_HYDROCRACKING"),"Hydrocracker",IF($H10190="REFORMING","Reformer",""))))</f>
        <v/>
      </c>
    </row>
    <row r="10191" spans="6:7">
      <c r="F10191" s="6">
        <f>IF($M10191="PADD I","PADD 1",IF($M10191="PADD II","PADD 2",IF($M10191="PADD III","PADD 3",IF($M10191="PADD IV","PADD 4",IF($M10191="PADD V","PADD 5","")))))</f>
        <v/>
      </c>
      <c r="G10191" s="6">
        <f>IF(AND($H10191="ATMOS DISTILLATION",ISNUMBER(SEARCH("VPS",$I10191))=FALSE,LEFT($I10191,6)&lt;&gt;"VACUUM"),"CDU",IF($H10191="FLUID CAT CRACKING","FCC",IF(OR($H10191="HYDROCRACKING",$H10191="RESID_HYDROCRACKING"),"Hydrocracker",IF($H10191="REFORMING","Reformer",""))))</f>
        <v/>
      </c>
    </row>
    <row r="10192" spans="6:7">
      <c r="F10192" s="6">
        <f>IF($M10192="PADD I","PADD 1",IF($M10192="PADD II","PADD 2",IF($M10192="PADD III","PADD 3",IF($M10192="PADD IV","PADD 4",IF($M10192="PADD V","PADD 5","")))))</f>
        <v/>
      </c>
      <c r="G10192" s="6">
        <f>IF(AND($H10192="ATMOS DISTILLATION",ISNUMBER(SEARCH("VPS",$I10192))=FALSE,LEFT($I10192,6)&lt;&gt;"VACUUM"),"CDU",IF($H10192="FLUID CAT CRACKING","FCC",IF(OR($H10192="HYDROCRACKING",$H10192="RESID_HYDROCRACKING"),"Hydrocracker",IF($H10192="REFORMING","Reformer",""))))</f>
        <v/>
      </c>
    </row>
    <row r="10193" spans="6:7">
      <c r="F10193" s="6">
        <f>IF($M10193="PADD I","PADD 1",IF($M10193="PADD II","PADD 2",IF($M10193="PADD III","PADD 3",IF($M10193="PADD IV","PADD 4",IF($M10193="PADD V","PADD 5","")))))</f>
        <v/>
      </c>
      <c r="G10193" s="6">
        <f>IF(AND($H10193="ATMOS DISTILLATION",ISNUMBER(SEARCH("VPS",$I10193))=FALSE,LEFT($I10193,6)&lt;&gt;"VACUUM"),"CDU",IF($H10193="FLUID CAT CRACKING","FCC",IF(OR($H10193="HYDROCRACKING",$H10193="RESID_HYDROCRACKING"),"Hydrocracker",IF($H10193="REFORMING","Reformer",""))))</f>
        <v/>
      </c>
    </row>
    <row r="10194" spans="6:7">
      <c r="F10194" s="6">
        <f>IF($M10194="PADD I","PADD 1",IF($M10194="PADD II","PADD 2",IF($M10194="PADD III","PADD 3",IF($M10194="PADD IV","PADD 4",IF($M10194="PADD V","PADD 5","")))))</f>
        <v/>
      </c>
      <c r="G10194" s="6">
        <f>IF(AND($H10194="ATMOS DISTILLATION",ISNUMBER(SEARCH("VPS",$I10194))=FALSE,LEFT($I10194,6)&lt;&gt;"VACUUM"),"CDU",IF($H10194="FLUID CAT CRACKING","FCC",IF(OR($H10194="HYDROCRACKING",$H10194="RESID_HYDROCRACKING"),"Hydrocracker",IF($H10194="REFORMING","Reformer",""))))</f>
        <v/>
      </c>
    </row>
    <row r="10195" spans="6:7">
      <c r="F10195" s="6">
        <f>IF($M10195="PADD I","PADD 1",IF($M10195="PADD II","PADD 2",IF($M10195="PADD III","PADD 3",IF($M10195="PADD IV","PADD 4",IF($M10195="PADD V","PADD 5","")))))</f>
        <v/>
      </c>
      <c r="G10195" s="6">
        <f>IF(AND($H10195="ATMOS DISTILLATION",ISNUMBER(SEARCH("VPS",$I10195))=FALSE,LEFT($I10195,6)&lt;&gt;"VACUUM"),"CDU",IF($H10195="FLUID CAT CRACKING","FCC",IF(OR($H10195="HYDROCRACKING",$H10195="RESID_HYDROCRACKING"),"Hydrocracker",IF($H10195="REFORMING","Reformer",""))))</f>
        <v/>
      </c>
    </row>
    <row r="10196" spans="6:7">
      <c r="F10196" s="6">
        <f>IF($M10196="PADD I","PADD 1",IF($M10196="PADD II","PADD 2",IF($M10196="PADD III","PADD 3",IF($M10196="PADD IV","PADD 4",IF($M10196="PADD V","PADD 5","")))))</f>
        <v/>
      </c>
      <c r="G10196" s="6">
        <f>IF(AND($H10196="ATMOS DISTILLATION",ISNUMBER(SEARCH("VPS",$I10196))=FALSE,LEFT($I10196,6)&lt;&gt;"VACUUM"),"CDU",IF($H10196="FLUID CAT CRACKING","FCC",IF(OR($H10196="HYDROCRACKING",$H10196="RESID_HYDROCRACKING"),"Hydrocracker",IF($H10196="REFORMING","Reformer",""))))</f>
        <v/>
      </c>
    </row>
    <row r="10197" spans="6:7">
      <c r="F10197" s="6">
        <f>IF($M10197="PADD I","PADD 1",IF($M10197="PADD II","PADD 2",IF($M10197="PADD III","PADD 3",IF($M10197="PADD IV","PADD 4",IF($M10197="PADD V","PADD 5","")))))</f>
        <v/>
      </c>
      <c r="G10197" s="6">
        <f>IF(AND($H10197="ATMOS DISTILLATION",ISNUMBER(SEARCH("VPS",$I10197))=FALSE,LEFT($I10197,6)&lt;&gt;"VACUUM"),"CDU",IF($H10197="FLUID CAT CRACKING","FCC",IF(OR($H10197="HYDROCRACKING",$H10197="RESID_HYDROCRACKING"),"Hydrocracker",IF($H10197="REFORMING","Reformer",""))))</f>
        <v/>
      </c>
    </row>
    <row r="10198" spans="6:7">
      <c r="F10198" s="6">
        <f>IF($M10198="PADD I","PADD 1",IF($M10198="PADD II","PADD 2",IF($M10198="PADD III","PADD 3",IF($M10198="PADD IV","PADD 4",IF($M10198="PADD V","PADD 5","")))))</f>
        <v/>
      </c>
      <c r="G10198" s="6">
        <f>IF(AND($H10198="ATMOS DISTILLATION",ISNUMBER(SEARCH("VPS",$I10198))=FALSE,LEFT($I10198,6)&lt;&gt;"VACUUM"),"CDU",IF($H10198="FLUID CAT CRACKING","FCC",IF(OR($H10198="HYDROCRACKING",$H10198="RESID_HYDROCRACKING"),"Hydrocracker",IF($H10198="REFORMING","Reformer",""))))</f>
        <v/>
      </c>
    </row>
    <row r="10199" spans="6:7">
      <c r="F10199" s="6">
        <f>IF($M10199="PADD I","PADD 1",IF($M10199="PADD II","PADD 2",IF($M10199="PADD III","PADD 3",IF($M10199="PADD IV","PADD 4",IF($M10199="PADD V","PADD 5","")))))</f>
        <v/>
      </c>
      <c r="G10199" s="6">
        <f>IF(AND($H10199="ATMOS DISTILLATION",ISNUMBER(SEARCH("VPS",$I10199))=FALSE,LEFT($I10199,6)&lt;&gt;"VACUUM"),"CDU",IF($H10199="FLUID CAT CRACKING","FCC",IF(OR($H10199="HYDROCRACKING",$H10199="RESID_HYDROCRACKING"),"Hydrocracker",IF($H10199="REFORMING","Reformer",""))))</f>
        <v/>
      </c>
    </row>
    <row r="10200" spans="6:7">
      <c r="F10200" s="6">
        <f>IF($M10200="PADD I","PADD 1",IF($M10200="PADD II","PADD 2",IF($M10200="PADD III","PADD 3",IF($M10200="PADD IV","PADD 4",IF($M10200="PADD V","PADD 5","")))))</f>
        <v/>
      </c>
      <c r="G10200" s="6">
        <f>IF(AND($H10200="ATMOS DISTILLATION",ISNUMBER(SEARCH("VPS",$I10200))=FALSE,LEFT($I10200,6)&lt;&gt;"VACUUM"),"CDU",IF($H10200="FLUID CAT CRACKING","FCC",IF(OR($H10200="HYDROCRACKING",$H10200="RESID_HYDROCRACKING"),"Hydrocracker",IF($H10200="REFORMING","Reformer",""))))</f>
        <v/>
      </c>
    </row>
    <row r="10201" spans="6:7">
      <c r="F10201" s="6">
        <f>IF($M10201="PADD I","PADD 1",IF($M10201="PADD II","PADD 2",IF($M10201="PADD III","PADD 3",IF($M10201="PADD IV","PADD 4",IF($M10201="PADD V","PADD 5","")))))</f>
        <v/>
      </c>
      <c r="G10201" s="6">
        <f>IF(AND($H10201="ATMOS DISTILLATION",ISNUMBER(SEARCH("VPS",$I10201))=FALSE,LEFT($I10201,6)&lt;&gt;"VACUUM"),"CDU",IF($H10201="FLUID CAT CRACKING","FCC",IF(OR($H10201="HYDROCRACKING",$H10201="RESID_HYDROCRACKING"),"Hydrocracker",IF($H10201="REFORMING","Reformer",""))))</f>
        <v/>
      </c>
    </row>
    <row r="10202" spans="6:7">
      <c r="F10202" s="6">
        <f>IF($M10202="PADD I","PADD 1",IF($M10202="PADD II","PADD 2",IF($M10202="PADD III","PADD 3",IF($M10202="PADD IV","PADD 4",IF($M10202="PADD V","PADD 5","")))))</f>
        <v/>
      </c>
      <c r="G10202" s="6">
        <f>IF(AND($H10202="ATMOS DISTILLATION",ISNUMBER(SEARCH("VPS",$I10202))=FALSE,LEFT($I10202,6)&lt;&gt;"VACUUM"),"CDU",IF($H10202="FLUID CAT CRACKING","FCC",IF(OR($H10202="HYDROCRACKING",$H10202="RESID_HYDROCRACKING"),"Hydrocracker",IF($H10202="REFORMING","Reformer",""))))</f>
        <v/>
      </c>
    </row>
    <row r="10203" spans="6:7">
      <c r="F10203" s="6">
        <f>IF($M10203="PADD I","PADD 1",IF($M10203="PADD II","PADD 2",IF($M10203="PADD III","PADD 3",IF($M10203="PADD IV","PADD 4",IF($M10203="PADD V","PADD 5","")))))</f>
        <v/>
      </c>
      <c r="G10203" s="6">
        <f>IF(AND($H10203="ATMOS DISTILLATION",ISNUMBER(SEARCH("VPS",$I10203))=FALSE,LEFT($I10203,6)&lt;&gt;"VACUUM"),"CDU",IF($H10203="FLUID CAT CRACKING","FCC",IF(OR($H10203="HYDROCRACKING",$H10203="RESID_HYDROCRACKING"),"Hydrocracker",IF($H10203="REFORMING","Reformer",""))))</f>
        <v/>
      </c>
    </row>
    <row r="10204" spans="6:7">
      <c r="F10204" s="6">
        <f>IF($M10204="PADD I","PADD 1",IF($M10204="PADD II","PADD 2",IF($M10204="PADD III","PADD 3",IF($M10204="PADD IV","PADD 4",IF($M10204="PADD V","PADD 5","")))))</f>
        <v/>
      </c>
      <c r="G10204" s="6">
        <f>IF(AND($H10204="ATMOS DISTILLATION",ISNUMBER(SEARCH("VPS",$I10204))=FALSE,LEFT($I10204,6)&lt;&gt;"VACUUM"),"CDU",IF($H10204="FLUID CAT CRACKING","FCC",IF(OR($H10204="HYDROCRACKING",$H10204="RESID_HYDROCRACKING"),"Hydrocracker",IF($H10204="REFORMING","Reformer",""))))</f>
        <v/>
      </c>
    </row>
    <row r="10205" spans="6:7">
      <c r="F10205" s="6">
        <f>IF($M10205="PADD I","PADD 1",IF($M10205="PADD II","PADD 2",IF($M10205="PADD III","PADD 3",IF($M10205="PADD IV","PADD 4",IF($M10205="PADD V","PADD 5","")))))</f>
        <v/>
      </c>
      <c r="G10205" s="6">
        <f>IF(AND($H10205="ATMOS DISTILLATION",ISNUMBER(SEARCH("VPS",$I10205))=FALSE,LEFT($I10205,6)&lt;&gt;"VACUUM"),"CDU",IF($H10205="FLUID CAT CRACKING","FCC",IF(OR($H10205="HYDROCRACKING",$H10205="RESID_HYDROCRACKING"),"Hydrocracker",IF($H10205="REFORMING","Reformer",""))))</f>
        <v/>
      </c>
    </row>
    <row r="10206" spans="6:7">
      <c r="F10206" s="6">
        <f>IF($M10206="PADD I","PADD 1",IF($M10206="PADD II","PADD 2",IF($M10206="PADD III","PADD 3",IF($M10206="PADD IV","PADD 4",IF($M10206="PADD V","PADD 5","")))))</f>
        <v/>
      </c>
      <c r="G10206" s="6">
        <f>IF(AND($H10206="ATMOS DISTILLATION",ISNUMBER(SEARCH("VPS",$I10206))=FALSE,LEFT($I10206,6)&lt;&gt;"VACUUM"),"CDU",IF($H10206="FLUID CAT CRACKING","FCC",IF(OR($H10206="HYDROCRACKING",$H10206="RESID_HYDROCRACKING"),"Hydrocracker",IF($H10206="REFORMING","Reformer",""))))</f>
        <v/>
      </c>
    </row>
    <row r="10207" spans="6:7">
      <c r="F10207" s="6">
        <f>IF($M10207="PADD I","PADD 1",IF($M10207="PADD II","PADD 2",IF($M10207="PADD III","PADD 3",IF($M10207="PADD IV","PADD 4",IF($M10207="PADD V","PADD 5","")))))</f>
        <v/>
      </c>
      <c r="G10207" s="6">
        <f>IF(AND($H10207="ATMOS DISTILLATION",ISNUMBER(SEARCH("VPS",$I10207))=FALSE,LEFT($I10207,6)&lt;&gt;"VACUUM"),"CDU",IF($H10207="FLUID CAT CRACKING","FCC",IF(OR($H10207="HYDROCRACKING",$H10207="RESID_HYDROCRACKING"),"Hydrocracker",IF($H10207="REFORMING","Reformer",""))))</f>
        <v/>
      </c>
    </row>
    <row r="10208" spans="6:7">
      <c r="F10208" s="6">
        <f>IF($M10208="PADD I","PADD 1",IF($M10208="PADD II","PADD 2",IF($M10208="PADD III","PADD 3",IF($M10208="PADD IV","PADD 4",IF($M10208="PADD V","PADD 5","")))))</f>
        <v/>
      </c>
      <c r="G10208" s="6">
        <f>IF(AND($H10208="ATMOS DISTILLATION",ISNUMBER(SEARCH("VPS",$I10208))=FALSE,LEFT($I10208,6)&lt;&gt;"VACUUM"),"CDU",IF($H10208="FLUID CAT CRACKING","FCC",IF(OR($H10208="HYDROCRACKING",$H10208="RESID_HYDROCRACKING"),"Hydrocracker",IF($H10208="REFORMING","Reformer",""))))</f>
        <v/>
      </c>
    </row>
    <row r="10209" spans="6:7">
      <c r="F10209" s="6">
        <f>IF($M10209="PADD I","PADD 1",IF($M10209="PADD II","PADD 2",IF($M10209="PADD III","PADD 3",IF($M10209="PADD IV","PADD 4",IF($M10209="PADD V","PADD 5","")))))</f>
        <v/>
      </c>
      <c r="G10209" s="6">
        <f>IF(AND($H10209="ATMOS DISTILLATION",ISNUMBER(SEARCH("VPS",$I10209))=FALSE,LEFT($I10209,6)&lt;&gt;"VACUUM"),"CDU",IF($H10209="FLUID CAT CRACKING","FCC",IF(OR($H10209="HYDROCRACKING",$H10209="RESID_HYDROCRACKING"),"Hydrocracker",IF($H10209="REFORMING","Reformer",""))))</f>
        <v/>
      </c>
    </row>
    <row r="10210" spans="6:7">
      <c r="F10210" s="6">
        <f>IF($M10210="PADD I","PADD 1",IF($M10210="PADD II","PADD 2",IF($M10210="PADD III","PADD 3",IF($M10210="PADD IV","PADD 4",IF($M10210="PADD V","PADD 5","")))))</f>
        <v/>
      </c>
      <c r="G10210" s="6">
        <f>IF(AND($H10210="ATMOS DISTILLATION",ISNUMBER(SEARCH("VPS",$I10210))=FALSE,LEFT($I10210,6)&lt;&gt;"VACUUM"),"CDU",IF($H10210="FLUID CAT CRACKING","FCC",IF(OR($H10210="HYDROCRACKING",$H10210="RESID_HYDROCRACKING"),"Hydrocracker",IF($H10210="REFORMING","Reformer",""))))</f>
        <v/>
      </c>
    </row>
    <row r="10211" spans="6:7">
      <c r="F10211" s="6">
        <f>IF($M10211="PADD I","PADD 1",IF($M10211="PADD II","PADD 2",IF($M10211="PADD III","PADD 3",IF($M10211="PADD IV","PADD 4",IF($M10211="PADD V","PADD 5","")))))</f>
        <v/>
      </c>
      <c r="G10211" s="6">
        <f>IF(AND($H10211="ATMOS DISTILLATION",ISNUMBER(SEARCH("VPS",$I10211))=FALSE,LEFT($I10211,6)&lt;&gt;"VACUUM"),"CDU",IF($H10211="FLUID CAT CRACKING","FCC",IF(OR($H10211="HYDROCRACKING",$H10211="RESID_HYDROCRACKING"),"Hydrocracker",IF($H10211="REFORMING","Reformer",""))))</f>
        <v/>
      </c>
    </row>
    <row r="10212" spans="6:7">
      <c r="F10212" s="6">
        <f>IF($M10212="PADD I","PADD 1",IF($M10212="PADD II","PADD 2",IF($M10212="PADD III","PADD 3",IF($M10212="PADD IV","PADD 4",IF($M10212="PADD V","PADD 5","")))))</f>
        <v/>
      </c>
      <c r="G10212" s="6">
        <f>IF(AND($H10212="ATMOS DISTILLATION",ISNUMBER(SEARCH("VPS",$I10212))=FALSE,LEFT($I10212,6)&lt;&gt;"VACUUM"),"CDU",IF($H10212="FLUID CAT CRACKING","FCC",IF(OR($H10212="HYDROCRACKING",$H10212="RESID_HYDROCRACKING"),"Hydrocracker",IF($H10212="REFORMING","Reformer",""))))</f>
        <v/>
      </c>
    </row>
    <row r="10213" spans="6:7">
      <c r="F10213" s="6">
        <f>IF($M10213="PADD I","PADD 1",IF($M10213="PADD II","PADD 2",IF($M10213="PADD III","PADD 3",IF($M10213="PADD IV","PADD 4",IF($M10213="PADD V","PADD 5","")))))</f>
        <v/>
      </c>
      <c r="G10213" s="6">
        <f>IF(AND($H10213="ATMOS DISTILLATION",ISNUMBER(SEARCH("VPS",$I10213))=FALSE,LEFT($I10213,6)&lt;&gt;"VACUUM"),"CDU",IF($H10213="FLUID CAT CRACKING","FCC",IF(OR($H10213="HYDROCRACKING",$H10213="RESID_HYDROCRACKING"),"Hydrocracker",IF($H10213="REFORMING","Reformer",""))))</f>
        <v/>
      </c>
    </row>
    <row r="10214" spans="6:7">
      <c r="F10214" s="6">
        <f>IF($M10214="PADD I","PADD 1",IF($M10214="PADD II","PADD 2",IF($M10214="PADD III","PADD 3",IF($M10214="PADD IV","PADD 4",IF($M10214="PADD V","PADD 5","")))))</f>
        <v/>
      </c>
      <c r="G10214" s="6">
        <f>IF(AND($H10214="ATMOS DISTILLATION",ISNUMBER(SEARCH("VPS",$I10214))=FALSE,LEFT($I10214,6)&lt;&gt;"VACUUM"),"CDU",IF($H10214="FLUID CAT CRACKING","FCC",IF(OR($H10214="HYDROCRACKING",$H10214="RESID_HYDROCRACKING"),"Hydrocracker",IF($H10214="REFORMING","Reformer",""))))</f>
        <v/>
      </c>
    </row>
    <row r="10215" spans="6:7">
      <c r="F10215" s="6">
        <f>IF($M10215="PADD I","PADD 1",IF($M10215="PADD II","PADD 2",IF($M10215="PADD III","PADD 3",IF($M10215="PADD IV","PADD 4",IF($M10215="PADD V","PADD 5","")))))</f>
        <v/>
      </c>
      <c r="G10215" s="6">
        <f>IF(AND($H10215="ATMOS DISTILLATION",ISNUMBER(SEARCH("VPS",$I10215))=FALSE,LEFT($I10215,6)&lt;&gt;"VACUUM"),"CDU",IF($H10215="FLUID CAT CRACKING","FCC",IF(OR($H10215="HYDROCRACKING",$H10215="RESID_HYDROCRACKING"),"Hydrocracker",IF($H10215="REFORMING","Reformer",""))))</f>
        <v/>
      </c>
    </row>
    <row r="10216" spans="6:7">
      <c r="F10216" s="6">
        <f>IF($M10216="PADD I","PADD 1",IF($M10216="PADD II","PADD 2",IF($M10216="PADD III","PADD 3",IF($M10216="PADD IV","PADD 4",IF($M10216="PADD V","PADD 5","")))))</f>
        <v/>
      </c>
      <c r="G10216" s="6">
        <f>IF(AND($H10216="ATMOS DISTILLATION",ISNUMBER(SEARCH("VPS",$I10216))=FALSE,LEFT($I10216,6)&lt;&gt;"VACUUM"),"CDU",IF($H10216="FLUID CAT CRACKING","FCC",IF(OR($H10216="HYDROCRACKING",$H10216="RESID_HYDROCRACKING"),"Hydrocracker",IF($H10216="REFORMING","Reformer",""))))</f>
        <v/>
      </c>
    </row>
    <row r="10217" spans="6:7">
      <c r="F10217" s="6">
        <f>IF($M10217="PADD I","PADD 1",IF($M10217="PADD II","PADD 2",IF($M10217="PADD III","PADD 3",IF($M10217="PADD IV","PADD 4",IF($M10217="PADD V","PADD 5","")))))</f>
        <v/>
      </c>
      <c r="G10217" s="6">
        <f>IF(AND($H10217="ATMOS DISTILLATION",ISNUMBER(SEARCH("VPS",$I10217))=FALSE,LEFT($I10217,6)&lt;&gt;"VACUUM"),"CDU",IF($H10217="FLUID CAT CRACKING","FCC",IF(OR($H10217="HYDROCRACKING",$H10217="RESID_HYDROCRACKING"),"Hydrocracker",IF($H10217="REFORMING","Reformer",""))))</f>
        <v/>
      </c>
    </row>
    <row r="10218" spans="6:7">
      <c r="F10218" s="6">
        <f>IF($M10218="PADD I","PADD 1",IF($M10218="PADD II","PADD 2",IF($M10218="PADD III","PADD 3",IF($M10218="PADD IV","PADD 4",IF($M10218="PADD V","PADD 5","")))))</f>
        <v/>
      </c>
      <c r="G10218" s="6">
        <f>IF(AND($H10218="ATMOS DISTILLATION",ISNUMBER(SEARCH("VPS",$I10218))=FALSE,LEFT($I10218,6)&lt;&gt;"VACUUM"),"CDU",IF($H10218="FLUID CAT CRACKING","FCC",IF(OR($H10218="HYDROCRACKING",$H10218="RESID_HYDROCRACKING"),"Hydrocracker",IF($H10218="REFORMING","Reformer",""))))</f>
        <v/>
      </c>
    </row>
    <row r="10219" spans="6:7">
      <c r="F10219" s="6">
        <f>IF($M10219="PADD I","PADD 1",IF($M10219="PADD II","PADD 2",IF($M10219="PADD III","PADD 3",IF($M10219="PADD IV","PADD 4",IF($M10219="PADD V","PADD 5","")))))</f>
        <v/>
      </c>
      <c r="G10219" s="6">
        <f>IF(AND($H10219="ATMOS DISTILLATION",ISNUMBER(SEARCH("VPS",$I10219))=FALSE,LEFT($I10219,6)&lt;&gt;"VACUUM"),"CDU",IF($H10219="FLUID CAT CRACKING","FCC",IF(OR($H10219="HYDROCRACKING",$H10219="RESID_HYDROCRACKING"),"Hydrocracker",IF($H10219="REFORMING","Reformer",""))))</f>
        <v/>
      </c>
    </row>
    <row r="10220" spans="6:7">
      <c r="F10220" s="6">
        <f>IF($M10220="PADD I","PADD 1",IF($M10220="PADD II","PADD 2",IF($M10220="PADD III","PADD 3",IF($M10220="PADD IV","PADD 4",IF($M10220="PADD V","PADD 5","")))))</f>
        <v/>
      </c>
      <c r="G10220" s="6">
        <f>IF(AND($H10220="ATMOS DISTILLATION",ISNUMBER(SEARCH("VPS",$I10220))=FALSE,LEFT($I10220,6)&lt;&gt;"VACUUM"),"CDU",IF($H10220="FLUID CAT CRACKING","FCC",IF(OR($H10220="HYDROCRACKING",$H10220="RESID_HYDROCRACKING"),"Hydrocracker",IF($H10220="REFORMING","Reformer",""))))</f>
        <v/>
      </c>
    </row>
    <row r="10221" spans="6:7">
      <c r="F10221" s="6">
        <f>IF($M10221="PADD I","PADD 1",IF($M10221="PADD II","PADD 2",IF($M10221="PADD III","PADD 3",IF($M10221="PADD IV","PADD 4",IF($M10221="PADD V","PADD 5","")))))</f>
        <v/>
      </c>
      <c r="G10221" s="6">
        <f>IF(AND($H10221="ATMOS DISTILLATION",ISNUMBER(SEARCH("VPS",$I10221))=FALSE,LEFT($I10221,6)&lt;&gt;"VACUUM"),"CDU",IF($H10221="FLUID CAT CRACKING","FCC",IF(OR($H10221="HYDROCRACKING",$H10221="RESID_HYDROCRACKING"),"Hydrocracker",IF($H10221="REFORMING","Reformer",""))))</f>
        <v/>
      </c>
    </row>
    <row r="10222" spans="6:7">
      <c r="F10222" s="6">
        <f>IF($M10222="PADD I","PADD 1",IF($M10222="PADD II","PADD 2",IF($M10222="PADD III","PADD 3",IF($M10222="PADD IV","PADD 4",IF($M10222="PADD V","PADD 5","")))))</f>
        <v/>
      </c>
      <c r="G10222" s="6">
        <f>IF(AND($H10222="ATMOS DISTILLATION",ISNUMBER(SEARCH("VPS",$I10222))=FALSE,LEFT($I10222,6)&lt;&gt;"VACUUM"),"CDU",IF($H10222="FLUID CAT CRACKING","FCC",IF(OR($H10222="HYDROCRACKING",$H10222="RESID_HYDROCRACKING"),"Hydrocracker",IF($H10222="REFORMING","Reformer",""))))</f>
        <v/>
      </c>
    </row>
    <row r="10223" spans="6:7">
      <c r="F10223" s="6">
        <f>IF($M10223="PADD I","PADD 1",IF($M10223="PADD II","PADD 2",IF($M10223="PADD III","PADD 3",IF($M10223="PADD IV","PADD 4",IF($M10223="PADD V","PADD 5","")))))</f>
        <v/>
      </c>
      <c r="G10223" s="6">
        <f>IF(AND($H10223="ATMOS DISTILLATION",ISNUMBER(SEARCH("VPS",$I10223))=FALSE,LEFT($I10223,6)&lt;&gt;"VACUUM"),"CDU",IF($H10223="FLUID CAT CRACKING","FCC",IF(OR($H10223="HYDROCRACKING",$H10223="RESID_HYDROCRACKING"),"Hydrocracker",IF($H10223="REFORMING","Reformer",""))))</f>
        <v/>
      </c>
    </row>
    <row r="10224" spans="6:7">
      <c r="F10224" s="6">
        <f>IF($M10224="PADD I","PADD 1",IF($M10224="PADD II","PADD 2",IF($M10224="PADD III","PADD 3",IF($M10224="PADD IV","PADD 4",IF($M10224="PADD V","PADD 5","")))))</f>
        <v/>
      </c>
      <c r="G10224" s="6">
        <f>IF(AND($H10224="ATMOS DISTILLATION",ISNUMBER(SEARCH("VPS",$I10224))=FALSE,LEFT($I10224,6)&lt;&gt;"VACUUM"),"CDU",IF($H10224="FLUID CAT CRACKING","FCC",IF(OR($H10224="HYDROCRACKING",$H10224="RESID_HYDROCRACKING"),"Hydrocracker",IF($H10224="REFORMING","Reformer",""))))</f>
        <v/>
      </c>
    </row>
    <row r="10225" spans="6:7">
      <c r="F10225" s="6">
        <f>IF($M10225="PADD I","PADD 1",IF($M10225="PADD II","PADD 2",IF($M10225="PADD III","PADD 3",IF($M10225="PADD IV","PADD 4",IF($M10225="PADD V","PADD 5","")))))</f>
        <v/>
      </c>
      <c r="G10225" s="6">
        <f>IF(AND($H10225="ATMOS DISTILLATION",ISNUMBER(SEARCH("VPS",$I10225))=FALSE,LEFT($I10225,6)&lt;&gt;"VACUUM"),"CDU",IF($H10225="FLUID CAT CRACKING","FCC",IF(OR($H10225="HYDROCRACKING",$H10225="RESID_HYDROCRACKING"),"Hydrocracker",IF($H10225="REFORMING","Reformer",""))))</f>
        <v/>
      </c>
    </row>
    <row r="10226" spans="6:7">
      <c r="F10226" s="6">
        <f>IF($M10226="PADD I","PADD 1",IF($M10226="PADD II","PADD 2",IF($M10226="PADD III","PADD 3",IF($M10226="PADD IV","PADD 4",IF($M10226="PADD V","PADD 5","")))))</f>
        <v/>
      </c>
      <c r="G10226" s="6">
        <f>IF(AND($H10226="ATMOS DISTILLATION",ISNUMBER(SEARCH("VPS",$I10226))=FALSE,LEFT($I10226,6)&lt;&gt;"VACUUM"),"CDU",IF($H10226="FLUID CAT CRACKING","FCC",IF(OR($H10226="HYDROCRACKING",$H10226="RESID_HYDROCRACKING"),"Hydrocracker",IF($H10226="REFORMING","Reformer",""))))</f>
        <v/>
      </c>
    </row>
    <row r="10227" spans="6:7">
      <c r="F10227" s="6">
        <f>IF($M10227="PADD I","PADD 1",IF($M10227="PADD II","PADD 2",IF($M10227="PADD III","PADD 3",IF($M10227="PADD IV","PADD 4",IF($M10227="PADD V","PADD 5","")))))</f>
        <v/>
      </c>
      <c r="G10227" s="6">
        <f>IF(AND($H10227="ATMOS DISTILLATION",ISNUMBER(SEARCH("VPS",$I10227))=FALSE,LEFT($I10227,6)&lt;&gt;"VACUUM"),"CDU",IF($H10227="FLUID CAT CRACKING","FCC",IF(OR($H10227="HYDROCRACKING",$H10227="RESID_HYDROCRACKING"),"Hydrocracker",IF($H10227="REFORMING","Reformer",""))))</f>
        <v/>
      </c>
    </row>
    <row r="10228" spans="6:7">
      <c r="F10228" s="6">
        <f>IF($M10228="PADD I","PADD 1",IF($M10228="PADD II","PADD 2",IF($M10228="PADD III","PADD 3",IF($M10228="PADD IV","PADD 4",IF($M10228="PADD V","PADD 5","")))))</f>
        <v/>
      </c>
      <c r="G10228" s="6">
        <f>IF(AND($H10228="ATMOS DISTILLATION",ISNUMBER(SEARCH("VPS",$I10228))=FALSE,LEFT($I10228,6)&lt;&gt;"VACUUM"),"CDU",IF($H10228="FLUID CAT CRACKING","FCC",IF(OR($H10228="HYDROCRACKING",$H10228="RESID_HYDROCRACKING"),"Hydrocracker",IF($H10228="REFORMING","Reformer",""))))</f>
        <v/>
      </c>
    </row>
    <row r="10229" spans="6:7">
      <c r="F10229" s="6">
        <f>IF($M10229="PADD I","PADD 1",IF($M10229="PADD II","PADD 2",IF($M10229="PADD III","PADD 3",IF($M10229="PADD IV","PADD 4",IF($M10229="PADD V","PADD 5","")))))</f>
        <v/>
      </c>
      <c r="G10229" s="6">
        <f>IF(AND($H10229="ATMOS DISTILLATION",ISNUMBER(SEARCH("VPS",$I10229))=FALSE,LEFT($I10229,6)&lt;&gt;"VACUUM"),"CDU",IF($H10229="FLUID CAT CRACKING","FCC",IF(OR($H10229="HYDROCRACKING",$H10229="RESID_HYDROCRACKING"),"Hydrocracker",IF($H10229="REFORMING","Reformer",""))))</f>
        <v/>
      </c>
    </row>
    <row r="10230" spans="6:7">
      <c r="F10230" s="6">
        <f>IF($M10230="PADD I","PADD 1",IF($M10230="PADD II","PADD 2",IF($M10230="PADD III","PADD 3",IF($M10230="PADD IV","PADD 4",IF($M10230="PADD V","PADD 5","")))))</f>
        <v/>
      </c>
      <c r="G10230" s="6">
        <f>IF(AND($H10230="ATMOS DISTILLATION",ISNUMBER(SEARCH("VPS",$I10230))=FALSE,LEFT($I10230,6)&lt;&gt;"VACUUM"),"CDU",IF($H10230="FLUID CAT CRACKING","FCC",IF(OR($H10230="HYDROCRACKING",$H10230="RESID_HYDROCRACKING"),"Hydrocracker",IF($H10230="REFORMING","Reformer",""))))</f>
        <v/>
      </c>
    </row>
    <row r="10231" spans="6:7">
      <c r="F10231" s="6">
        <f>IF($M10231="PADD I","PADD 1",IF($M10231="PADD II","PADD 2",IF($M10231="PADD III","PADD 3",IF($M10231="PADD IV","PADD 4",IF($M10231="PADD V","PADD 5","")))))</f>
        <v/>
      </c>
      <c r="G10231" s="6">
        <f>IF(AND($H10231="ATMOS DISTILLATION",ISNUMBER(SEARCH("VPS",$I10231))=FALSE,LEFT($I10231,6)&lt;&gt;"VACUUM"),"CDU",IF($H10231="FLUID CAT CRACKING","FCC",IF(OR($H10231="HYDROCRACKING",$H10231="RESID_HYDROCRACKING"),"Hydrocracker",IF($H10231="REFORMING","Reformer",""))))</f>
        <v/>
      </c>
    </row>
    <row r="10232" spans="6:7">
      <c r="F10232" s="6">
        <f>IF($M10232="PADD I","PADD 1",IF($M10232="PADD II","PADD 2",IF($M10232="PADD III","PADD 3",IF($M10232="PADD IV","PADD 4",IF($M10232="PADD V","PADD 5","")))))</f>
        <v/>
      </c>
      <c r="G10232" s="6">
        <f>IF(AND($H10232="ATMOS DISTILLATION",ISNUMBER(SEARCH("VPS",$I10232))=FALSE,LEFT($I10232,6)&lt;&gt;"VACUUM"),"CDU",IF($H10232="FLUID CAT CRACKING","FCC",IF(OR($H10232="HYDROCRACKING",$H10232="RESID_HYDROCRACKING"),"Hydrocracker",IF($H10232="REFORMING","Reformer",""))))</f>
        <v/>
      </c>
    </row>
    <row r="10233" spans="6:7">
      <c r="F10233" s="6">
        <f>IF($M10233="PADD I","PADD 1",IF($M10233="PADD II","PADD 2",IF($M10233="PADD III","PADD 3",IF($M10233="PADD IV","PADD 4",IF($M10233="PADD V","PADD 5","")))))</f>
        <v/>
      </c>
      <c r="G10233" s="6">
        <f>IF(AND($H10233="ATMOS DISTILLATION",ISNUMBER(SEARCH("VPS",$I10233))=FALSE,LEFT($I10233,6)&lt;&gt;"VACUUM"),"CDU",IF($H10233="FLUID CAT CRACKING","FCC",IF(OR($H10233="HYDROCRACKING",$H10233="RESID_HYDROCRACKING"),"Hydrocracker",IF($H10233="REFORMING","Reformer",""))))</f>
        <v/>
      </c>
    </row>
    <row r="10234" spans="6:7">
      <c r="F10234" s="6">
        <f>IF($M10234="PADD I","PADD 1",IF($M10234="PADD II","PADD 2",IF($M10234="PADD III","PADD 3",IF($M10234="PADD IV","PADD 4",IF($M10234="PADD V","PADD 5","")))))</f>
        <v/>
      </c>
      <c r="G10234" s="6">
        <f>IF(AND($H10234="ATMOS DISTILLATION",ISNUMBER(SEARCH("VPS",$I10234))=FALSE,LEFT($I10234,6)&lt;&gt;"VACUUM"),"CDU",IF($H10234="FLUID CAT CRACKING","FCC",IF(OR($H10234="HYDROCRACKING",$H10234="RESID_HYDROCRACKING"),"Hydrocracker",IF($H10234="REFORMING","Reformer",""))))</f>
        <v/>
      </c>
    </row>
    <row r="10235" spans="6:7">
      <c r="F10235" s="6">
        <f>IF($M10235="PADD I","PADD 1",IF($M10235="PADD II","PADD 2",IF($M10235="PADD III","PADD 3",IF($M10235="PADD IV","PADD 4",IF($M10235="PADD V","PADD 5","")))))</f>
        <v/>
      </c>
      <c r="G10235" s="6">
        <f>IF(AND($H10235="ATMOS DISTILLATION",ISNUMBER(SEARCH("VPS",$I10235))=FALSE,LEFT($I10235,6)&lt;&gt;"VACUUM"),"CDU",IF($H10235="FLUID CAT CRACKING","FCC",IF(OR($H10235="HYDROCRACKING",$H10235="RESID_HYDROCRACKING"),"Hydrocracker",IF($H10235="REFORMING","Reformer",""))))</f>
        <v/>
      </c>
    </row>
    <row r="10236" spans="6:7">
      <c r="F10236" s="6">
        <f>IF($M10236="PADD I","PADD 1",IF($M10236="PADD II","PADD 2",IF($M10236="PADD III","PADD 3",IF($M10236="PADD IV","PADD 4",IF($M10236="PADD V","PADD 5","")))))</f>
        <v/>
      </c>
      <c r="G10236" s="6">
        <f>IF(AND($H10236="ATMOS DISTILLATION",ISNUMBER(SEARCH("VPS",$I10236))=FALSE,LEFT($I10236,6)&lt;&gt;"VACUUM"),"CDU",IF($H10236="FLUID CAT CRACKING","FCC",IF(OR($H10236="HYDROCRACKING",$H10236="RESID_HYDROCRACKING"),"Hydrocracker",IF($H10236="REFORMING","Reformer",""))))</f>
        <v/>
      </c>
    </row>
    <row r="10237" spans="6:7">
      <c r="F10237" s="6">
        <f>IF($M10237="PADD I","PADD 1",IF($M10237="PADD II","PADD 2",IF($M10237="PADD III","PADD 3",IF($M10237="PADD IV","PADD 4",IF($M10237="PADD V","PADD 5","")))))</f>
        <v/>
      </c>
      <c r="G10237" s="6">
        <f>IF(AND($H10237="ATMOS DISTILLATION",ISNUMBER(SEARCH("VPS",$I10237))=FALSE,LEFT($I10237,6)&lt;&gt;"VACUUM"),"CDU",IF($H10237="FLUID CAT CRACKING","FCC",IF(OR($H10237="HYDROCRACKING",$H10237="RESID_HYDROCRACKING"),"Hydrocracker",IF($H10237="REFORMING","Reformer",""))))</f>
        <v/>
      </c>
    </row>
    <row r="10238" spans="6:7">
      <c r="F10238" s="6">
        <f>IF($M10238="PADD I","PADD 1",IF($M10238="PADD II","PADD 2",IF($M10238="PADD III","PADD 3",IF($M10238="PADD IV","PADD 4",IF($M10238="PADD V","PADD 5","")))))</f>
        <v/>
      </c>
      <c r="G10238" s="6">
        <f>IF(AND($H10238="ATMOS DISTILLATION",ISNUMBER(SEARCH("VPS",$I10238))=FALSE,LEFT($I10238,6)&lt;&gt;"VACUUM"),"CDU",IF($H10238="FLUID CAT CRACKING","FCC",IF(OR($H10238="HYDROCRACKING",$H10238="RESID_HYDROCRACKING"),"Hydrocracker",IF($H10238="REFORMING","Reformer",""))))</f>
        <v/>
      </c>
    </row>
    <row r="10239" spans="6:7">
      <c r="F10239" s="6">
        <f>IF($M10239="PADD I","PADD 1",IF($M10239="PADD II","PADD 2",IF($M10239="PADD III","PADD 3",IF($M10239="PADD IV","PADD 4",IF($M10239="PADD V","PADD 5","")))))</f>
        <v/>
      </c>
      <c r="G10239" s="6">
        <f>IF(AND($H10239="ATMOS DISTILLATION",ISNUMBER(SEARCH("VPS",$I10239))=FALSE,LEFT($I10239,6)&lt;&gt;"VACUUM"),"CDU",IF($H10239="FLUID CAT CRACKING","FCC",IF(OR($H10239="HYDROCRACKING",$H10239="RESID_HYDROCRACKING"),"Hydrocracker",IF($H10239="REFORMING","Reformer",""))))</f>
        <v/>
      </c>
    </row>
    <row r="10240" spans="6:7">
      <c r="F10240" s="6">
        <f>IF($M10240="PADD I","PADD 1",IF($M10240="PADD II","PADD 2",IF($M10240="PADD III","PADD 3",IF($M10240="PADD IV","PADD 4",IF($M10240="PADD V","PADD 5","")))))</f>
        <v/>
      </c>
      <c r="G10240" s="6">
        <f>IF(AND($H10240="ATMOS DISTILLATION",ISNUMBER(SEARCH("VPS",$I10240))=FALSE,LEFT($I10240,6)&lt;&gt;"VACUUM"),"CDU",IF($H10240="FLUID CAT CRACKING","FCC",IF(OR($H10240="HYDROCRACKING",$H10240="RESID_HYDROCRACKING"),"Hydrocracker",IF($H10240="REFORMING","Reformer",""))))</f>
        <v/>
      </c>
    </row>
    <row r="10241" spans="6:7">
      <c r="F10241" s="6">
        <f>IF($M10241="PADD I","PADD 1",IF($M10241="PADD II","PADD 2",IF($M10241="PADD III","PADD 3",IF($M10241="PADD IV","PADD 4",IF($M10241="PADD V","PADD 5","")))))</f>
        <v/>
      </c>
      <c r="G10241" s="6">
        <f>IF(AND($H10241="ATMOS DISTILLATION",ISNUMBER(SEARCH("VPS",$I10241))=FALSE,LEFT($I10241,6)&lt;&gt;"VACUUM"),"CDU",IF($H10241="FLUID CAT CRACKING","FCC",IF(OR($H10241="HYDROCRACKING",$H10241="RESID_HYDROCRACKING"),"Hydrocracker",IF($H10241="REFORMING","Reformer",""))))</f>
        <v/>
      </c>
    </row>
    <row r="10242" spans="6:7">
      <c r="F10242" s="6">
        <f>IF($M10242="PADD I","PADD 1",IF($M10242="PADD II","PADD 2",IF($M10242="PADD III","PADD 3",IF($M10242="PADD IV","PADD 4",IF($M10242="PADD V","PADD 5","")))))</f>
        <v/>
      </c>
      <c r="G10242" s="6">
        <f>IF(AND($H10242="ATMOS DISTILLATION",ISNUMBER(SEARCH("VPS",$I10242))=FALSE,LEFT($I10242,6)&lt;&gt;"VACUUM"),"CDU",IF($H10242="FLUID CAT CRACKING","FCC",IF(OR($H10242="HYDROCRACKING",$H10242="RESID_HYDROCRACKING"),"Hydrocracker",IF($H10242="REFORMING","Reformer",""))))</f>
        <v/>
      </c>
    </row>
    <row r="10243" spans="6:7">
      <c r="F10243" s="6">
        <f>IF($M10243="PADD I","PADD 1",IF($M10243="PADD II","PADD 2",IF($M10243="PADD III","PADD 3",IF($M10243="PADD IV","PADD 4",IF($M10243="PADD V","PADD 5","")))))</f>
        <v/>
      </c>
      <c r="G10243" s="6">
        <f>IF(AND($H10243="ATMOS DISTILLATION",ISNUMBER(SEARCH("VPS",$I10243))=FALSE,LEFT($I10243,6)&lt;&gt;"VACUUM"),"CDU",IF($H10243="FLUID CAT CRACKING","FCC",IF(OR($H10243="HYDROCRACKING",$H10243="RESID_HYDROCRACKING"),"Hydrocracker",IF($H10243="REFORMING","Reformer",""))))</f>
        <v/>
      </c>
    </row>
    <row r="10244" spans="6:7">
      <c r="F10244" s="6">
        <f>IF($M10244="PADD I","PADD 1",IF($M10244="PADD II","PADD 2",IF($M10244="PADD III","PADD 3",IF($M10244="PADD IV","PADD 4",IF($M10244="PADD V","PADD 5","")))))</f>
        <v/>
      </c>
      <c r="G10244" s="6">
        <f>IF(AND($H10244="ATMOS DISTILLATION",ISNUMBER(SEARCH("VPS",$I10244))=FALSE,LEFT($I10244,6)&lt;&gt;"VACUUM"),"CDU",IF($H10244="FLUID CAT CRACKING","FCC",IF(OR($H10244="HYDROCRACKING",$H10244="RESID_HYDROCRACKING"),"Hydrocracker",IF($H10244="REFORMING","Reformer",""))))</f>
        <v/>
      </c>
    </row>
    <row r="10245" spans="6:7">
      <c r="F10245" s="6">
        <f>IF($M10245="PADD I","PADD 1",IF($M10245="PADD II","PADD 2",IF($M10245="PADD III","PADD 3",IF($M10245="PADD IV","PADD 4",IF($M10245="PADD V","PADD 5","")))))</f>
        <v/>
      </c>
      <c r="G10245" s="6">
        <f>IF(AND($H10245="ATMOS DISTILLATION",ISNUMBER(SEARCH("VPS",$I10245))=FALSE,LEFT($I10245,6)&lt;&gt;"VACUUM"),"CDU",IF($H10245="FLUID CAT CRACKING","FCC",IF(OR($H10245="HYDROCRACKING",$H10245="RESID_HYDROCRACKING"),"Hydrocracker",IF($H10245="REFORMING","Reformer",""))))</f>
        <v/>
      </c>
    </row>
    <row r="10246" spans="6:7">
      <c r="F10246" s="6">
        <f>IF($M10246="PADD I","PADD 1",IF($M10246="PADD II","PADD 2",IF($M10246="PADD III","PADD 3",IF($M10246="PADD IV","PADD 4",IF($M10246="PADD V","PADD 5","")))))</f>
        <v/>
      </c>
      <c r="G10246" s="6">
        <f>IF(AND($H10246="ATMOS DISTILLATION",ISNUMBER(SEARCH("VPS",$I10246))=FALSE,LEFT($I10246,6)&lt;&gt;"VACUUM"),"CDU",IF($H10246="FLUID CAT CRACKING","FCC",IF(OR($H10246="HYDROCRACKING",$H10246="RESID_HYDROCRACKING"),"Hydrocracker",IF($H10246="REFORMING","Reformer",""))))</f>
        <v/>
      </c>
    </row>
    <row r="10247" spans="6:7">
      <c r="F10247" s="6">
        <f>IF($M10247="PADD I","PADD 1",IF($M10247="PADD II","PADD 2",IF($M10247="PADD III","PADD 3",IF($M10247="PADD IV","PADD 4",IF($M10247="PADD V","PADD 5","")))))</f>
        <v/>
      </c>
      <c r="G10247" s="6">
        <f>IF(AND($H10247="ATMOS DISTILLATION",ISNUMBER(SEARCH("VPS",$I10247))=FALSE,LEFT($I10247,6)&lt;&gt;"VACUUM"),"CDU",IF($H10247="FLUID CAT CRACKING","FCC",IF(OR($H10247="HYDROCRACKING",$H10247="RESID_HYDROCRACKING"),"Hydrocracker",IF($H10247="REFORMING","Reformer",""))))</f>
        <v/>
      </c>
    </row>
    <row r="10248" spans="6:7">
      <c r="F10248" s="6">
        <f>IF($M10248="PADD I","PADD 1",IF($M10248="PADD II","PADD 2",IF($M10248="PADD III","PADD 3",IF($M10248="PADD IV","PADD 4",IF($M10248="PADD V","PADD 5","")))))</f>
        <v/>
      </c>
      <c r="G10248" s="6">
        <f>IF(AND($H10248="ATMOS DISTILLATION",ISNUMBER(SEARCH("VPS",$I10248))=FALSE,LEFT($I10248,6)&lt;&gt;"VACUUM"),"CDU",IF($H10248="FLUID CAT CRACKING","FCC",IF(OR($H10248="HYDROCRACKING",$H10248="RESID_HYDROCRACKING"),"Hydrocracker",IF($H10248="REFORMING","Reformer",""))))</f>
        <v/>
      </c>
    </row>
    <row r="10249" spans="6:7">
      <c r="F10249" s="6">
        <f>IF($M10249="PADD I","PADD 1",IF($M10249="PADD II","PADD 2",IF($M10249="PADD III","PADD 3",IF($M10249="PADD IV","PADD 4",IF($M10249="PADD V","PADD 5","")))))</f>
        <v/>
      </c>
      <c r="G10249" s="6">
        <f>IF(AND($H10249="ATMOS DISTILLATION",ISNUMBER(SEARCH("VPS",$I10249))=FALSE,LEFT($I10249,6)&lt;&gt;"VACUUM"),"CDU",IF($H10249="FLUID CAT CRACKING","FCC",IF(OR($H10249="HYDROCRACKING",$H10249="RESID_HYDROCRACKING"),"Hydrocracker",IF($H10249="REFORMING","Reformer",""))))</f>
        <v/>
      </c>
    </row>
    <row r="10250" spans="6:7">
      <c r="F10250" s="6">
        <f>IF($M10250="PADD I","PADD 1",IF($M10250="PADD II","PADD 2",IF($M10250="PADD III","PADD 3",IF($M10250="PADD IV","PADD 4",IF($M10250="PADD V","PADD 5","")))))</f>
        <v/>
      </c>
      <c r="G10250" s="6">
        <f>IF(AND($H10250="ATMOS DISTILLATION",ISNUMBER(SEARCH("VPS",$I10250))=FALSE,LEFT($I10250,6)&lt;&gt;"VACUUM"),"CDU",IF($H10250="FLUID CAT CRACKING","FCC",IF(OR($H10250="HYDROCRACKING",$H10250="RESID_HYDROCRACKING"),"Hydrocracker",IF($H10250="REFORMING","Reformer",""))))</f>
        <v/>
      </c>
    </row>
    <row r="10251" spans="6:7">
      <c r="F10251" s="6">
        <f>IF($M10251="PADD I","PADD 1",IF($M10251="PADD II","PADD 2",IF($M10251="PADD III","PADD 3",IF($M10251="PADD IV","PADD 4",IF($M10251="PADD V","PADD 5","")))))</f>
        <v/>
      </c>
      <c r="G10251" s="6">
        <f>IF(AND($H10251="ATMOS DISTILLATION",ISNUMBER(SEARCH("VPS",$I10251))=FALSE,LEFT($I10251,6)&lt;&gt;"VACUUM"),"CDU",IF($H10251="FLUID CAT CRACKING","FCC",IF(OR($H10251="HYDROCRACKING",$H10251="RESID_HYDROCRACKING"),"Hydrocracker",IF($H10251="REFORMING","Reformer",""))))</f>
        <v/>
      </c>
    </row>
    <row r="10252" spans="6:7">
      <c r="F10252" s="6">
        <f>IF($M10252="PADD I","PADD 1",IF($M10252="PADD II","PADD 2",IF($M10252="PADD III","PADD 3",IF($M10252="PADD IV","PADD 4",IF($M10252="PADD V","PADD 5","")))))</f>
        <v/>
      </c>
      <c r="G10252" s="6">
        <f>IF(AND($H10252="ATMOS DISTILLATION",ISNUMBER(SEARCH("VPS",$I10252))=FALSE,LEFT($I10252,6)&lt;&gt;"VACUUM"),"CDU",IF($H10252="FLUID CAT CRACKING","FCC",IF(OR($H10252="HYDROCRACKING",$H10252="RESID_HYDROCRACKING"),"Hydrocracker",IF($H10252="REFORMING","Reformer",""))))</f>
        <v/>
      </c>
    </row>
    <row r="10253" spans="6:7">
      <c r="F10253" s="6">
        <f>IF($M10253="PADD I","PADD 1",IF($M10253="PADD II","PADD 2",IF($M10253="PADD III","PADD 3",IF($M10253="PADD IV","PADD 4",IF($M10253="PADD V","PADD 5","")))))</f>
        <v/>
      </c>
      <c r="G10253" s="6">
        <f>IF(AND($H10253="ATMOS DISTILLATION",ISNUMBER(SEARCH("VPS",$I10253))=FALSE,LEFT($I10253,6)&lt;&gt;"VACUUM"),"CDU",IF($H10253="FLUID CAT CRACKING","FCC",IF(OR($H10253="HYDROCRACKING",$H10253="RESID_HYDROCRACKING"),"Hydrocracker",IF($H10253="REFORMING","Reformer",""))))</f>
        <v/>
      </c>
    </row>
    <row r="10254" spans="6:7">
      <c r="F10254" s="6">
        <f>IF($M10254="PADD I","PADD 1",IF($M10254="PADD II","PADD 2",IF($M10254="PADD III","PADD 3",IF($M10254="PADD IV","PADD 4",IF($M10254="PADD V","PADD 5","")))))</f>
        <v/>
      </c>
      <c r="G10254" s="6">
        <f>IF(AND($H10254="ATMOS DISTILLATION",ISNUMBER(SEARCH("VPS",$I10254))=FALSE,LEFT($I10254,6)&lt;&gt;"VACUUM"),"CDU",IF($H10254="FLUID CAT CRACKING","FCC",IF(OR($H10254="HYDROCRACKING",$H10254="RESID_HYDROCRACKING"),"Hydrocracker",IF($H10254="REFORMING","Reformer",""))))</f>
        <v/>
      </c>
    </row>
    <row r="10255" spans="6:7">
      <c r="F10255" s="6">
        <f>IF($M10255="PADD I","PADD 1",IF($M10255="PADD II","PADD 2",IF($M10255="PADD III","PADD 3",IF($M10255="PADD IV","PADD 4",IF($M10255="PADD V","PADD 5","")))))</f>
        <v/>
      </c>
      <c r="G10255" s="6">
        <f>IF(AND($H10255="ATMOS DISTILLATION",ISNUMBER(SEARCH("VPS",$I10255))=FALSE,LEFT($I10255,6)&lt;&gt;"VACUUM"),"CDU",IF($H10255="FLUID CAT CRACKING","FCC",IF(OR($H10255="HYDROCRACKING",$H10255="RESID_HYDROCRACKING"),"Hydrocracker",IF($H10255="REFORMING","Reformer",""))))</f>
        <v/>
      </c>
    </row>
    <row r="10256" spans="6:7">
      <c r="F10256" s="6">
        <f>IF($M10256="PADD I","PADD 1",IF($M10256="PADD II","PADD 2",IF($M10256="PADD III","PADD 3",IF($M10256="PADD IV","PADD 4",IF($M10256="PADD V","PADD 5","")))))</f>
        <v/>
      </c>
      <c r="G10256" s="6">
        <f>IF(AND($H10256="ATMOS DISTILLATION",ISNUMBER(SEARCH("VPS",$I10256))=FALSE,LEFT($I10256,6)&lt;&gt;"VACUUM"),"CDU",IF($H10256="FLUID CAT CRACKING","FCC",IF(OR($H10256="HYDROCRACKING",$H10256="RESID_HYDROCRACKING"),"Hydrocracker",IF($H10256="REFORMING","Reformer",""))))</f>
        <v/>
      </c>
    </row>
    <row r="10257" spans="6:7">
      <c r="F10257" s="6">
        <f>IF($M10257="PADD I","PADD 1",IF($M10257="PADD II","PADD 2",IF($M10257="PADD III","PADD 3",IF($M10257="PADD IV","PADD 4",IF($M10257="PADD V","PADD 5","")))))</f>
        <v/>
      </c>
      <c r="G10257" s="6">
        <f>IF(AND($H10257="ATMOS DISTILLATION",ISNUMBER(SEARCH("VPS",$I10257))=FALSE,LEFT($I10257,6)&lt;&gt;"VACUUM"),"CDU",IF($H10257="FLUID CAT CRACKING","FCC",IF(OR($H10257="HYDROCRACKING",$H10257="RESID_HYDROCRACKING"),"Hydrocracker",IF($H10257="REFORMING","Reformer",""))))</f>
        <v/>
      </c>
    </row>
    <row r="10258" spans="6:7">
      <c r="F10258" s="6">
        <f>IF($M10258="PADD I","PADD 1",IF($M10258="PADD II","PADD 2",IF($M10258="PADD III","PADD 3",IF($M10258="PADD IV","PADD 4",IF($M10258="PADD V","PADD 5","")))))</f>
        <v/>
      </c>
      <c r="G10258" s="6">
        <f>IF(AND($H10258="ATMOS DISTILLATION",ISNUMBER(SEARCH("VPS",$I10258))=FALSE,LEFT($I10258,6)&lt;&gt;"VACUUM"),"CDU",IF($H10258="FLUID CAT CRACKING","FCC",IF(OR($H10258="HYDROCRACKING",$H10258="RESID_HYDROCRACKING"),"Hydrocracker",IF($H10258="REFORMING","Reformer",""))))</f>
        <v/>
      </c>
    </row>
    <row r="10259" spans="6:7">
      <c r="F10259" s="6">
        <f>IF($M10259="PADD I","PADD 1",IF($M10259="PADD II","PADD 2",IF($M10259="PADD III","PADD 3",IF($M10259="PADD IV","PADD 4",IF($M10259="PADD V","PADD 5","")))))</f>
        <v/>
      </c>
      <c r="G10259" s="6">
        <f>IF(AND($H10259="ATMOS DISTILLATION",ISNUMBER(SEARCH("VPS",$I10259))=FALSE,LEFT($I10259,6)&lt;&gt;"VACUUM"),"CDU",IF($H10259="FLUID CAT CRACKING","FCC",IF(OR($H10259="HYDROCRACKING",$H10259="RESID_HYDROCRACKING"),"Hydrocracker",IF($H10259="REFORMING","Reformer",""))))</f>
        <v/>
      </c>
    </row>
    <row r="10260" spans="6:7">
      <c r="F10260" s="6">
        <f>IF($M10260="PADD I","PADD 1",IF($M10260="PADD II","PADD 2",IF($M10260="PADD III","PADD 3",IF($M10260="PADD IV","PADD 4",IF($M10260="PADD V","PADD 5","")))))</f>
        <v/>
      </c>
      <c r="G10260" s="6">
        <f>IF(AND($H10260="ATMOS DISTILLATION",ISNUMBER(SEARCH("VPS",$I10260))=FALSE,LEFT($I10260,6)&lt;&gt;"VACUUM"),"CDU",IF($H10260="FLUID CAT CRACKING","FCC",IF(OR($H10260="HYDROCRACKING",$H10260="RESID_HYDROCRACKING"),"Hydrocracker",IF($H10260="REFORMING","Reformer",""))))</f>
        <v/>
      </c>
    </row>
    <row r="10261" spans="6:7">
      <c r="F10261" s="6">
        <f>IF($M10261="PADD I","PADD 1",IF($M10261="PADD II","PADD 2",IF($M10261="PADD III","PADD 3",IF($M10261="PADD IV","PADD 4",IF($M10261="PADD V","PADD 5","")))))</f>
        <v/>
      </c>
      <c r="G10261" s="6">
        <f>IF(AND($H10261="ATMOS DISTILLATION",ISNUMBER(SEARCH("VPS",$I10261))=FALSE,LEFT($I10261,6)&lt;&gt;"VACUUM"),"CDU",IF($H10261="FLUID CAT CRACKING","FCC",IF(OR($H10261="HYDROCRACKING",$H10261="RESID_HYDROCRACKING"),"Hydrocracker",IF($H10261="REFORMING","Reformer",""))))</f>
        <v/>
      </c>
    </row>
    <row r="10262" spans="6:7">
      <c r="F10262" s="6">
        <f>IF($M10262="PADD I","PADD 1",IF($M10262="PADD II","PADD 2",IF($M10262="PADD III","PADD 3",IF($M10262="PADD IV","PADD 4",IF($M10262="PADD V","PADD 5","")))))</f>
        <v/>
      </c>
      <c r="G10262" s="6">
        <f>IF(AND($H10262="ATMOS DISTILLATION",ISNUMBER(SEARCH("VPS",$I10262))=FALSE,LEFT($I10262,6)&lt;&gt;"VACUUM"),"CDU",IF($H10262="FLUID CAT CRACKING","FCC",IF(OR($H10262="HYDROCRACKING",$H10262="RESID_HYDROCRACKING"),"Hydrocracker",IF($H10262="REFORMING","Reformer",""))))</f>
        <v/>
      </c>
    </row>
    <row r="10263" spans="6:7">
      <c r="F10263" s="6">
        <f>IF($M10263="PADD I","PADD 1",IF($M10263="PADD II","PADD 2",IF($M10263="PADD III","PADD 3",IF($M10263="PADD IV","PADD 4",IF($M10263="PADD V","PADD 5","")))))</f>
        <v/>
      </c>
      <c r="G10263" s="6">
        <f>IF(AND($H10263="ATMOS DISTILLATION",ISNUMBER(SEARCH("VPS",$I10263))=FALSE,LEFT($I10263,6)&lt;&gt;"VACUUM"),"CDU",IF($H10263="FLUID CAT CRACKING","FCC",IF(OR($H10263="HYDROCRACKING",$H10263="RESID_HYDROCRACKING"),"Hydrocracker",IF($H10263="REFORMING","Reformer",""))))</f>
        <v/>
      </c>
    </row>
    <row r="10264" spans="6:7">
      <c r="F10264" s="6">
        <f>IF($M10264="PADD I","PADD 1",IF($M10264="PADD II","PADD 2",IF($M10264="PADD III","PADD 3",IF($M10264="PADD IV","PADD 4",IF($M10264="PADD V","PADD 5","")))))</f>
        <v/>
      </c>
      <c r="G10264" s="6">
        <f>IF(AND($H10264="ATMOS DISTILLATION",ISNUMBER(SEARCH("VPS",$I10264))=FALSE,LEFT($I10264,6)&lt;&gt;"VACUUM"),"CDU",IF($H10264="FLUID CAT CRACKING","FCC",IF(OR($H10264="HYDROCRACKING",$H10264="RESID_HYDROCRACKING"),"Hydrocracker",IF($H10264="REFORMING","Reformer",""))))</f>
        <v/>
      </c>
    </row>
    <row r="10265" spans="6:7">
      <c r="F10265" s="6">
        <f>IF($M10265="PADD I","PADD 1",IF($M10265="PADD II","PADD 2",IF($M10265="PADD III","PADD 3",IF($M10265="PADD IV","PADD 4",IF($M10265="PADD V","PADD 5","")))))</f>
        <v/>
      </c>
      <c r="G10265" s="6">
        <f>IF(AND($H10265="ATMOS DISTILLATION",ISNUMBER(SEARCH("VPS",$I10265))=FALSE,LEFT($I10265,6)&lt;&gt;"VACUUM"),"CDU",IF($H10265="FLUID CAT CRACKING","FCC",IF(OR($H10265="HYDROCRACKING",$H10265="RESID_HYDROCRACKING"),"Hydrocracker",IF($H10265="REFORMING","Reformer",""))))</f>
        <v/>
      </c>
    </row>
    <row r="10266" spans="6:7">
      <c r="F10266" s="6">
        <f>IF($M10266="PADD I","PADD 1",IF($M10266="PADD II","PADD 2",IF($M10266="PADD III","PADD 3",IF($M10266="PADD IV","PADD 4",IF($M10266="PADD V","PADD 5","")))))</f>
        <v/>
      </c>
      <c r="G10266" s="6">
        <f>IF(AND($H10266="ATMOS DISTILLATION",ISNUMBER(SEARCH("VPS",$I10266))=FALSE,LEFT($I10266,6)&lt;&gt;"VACUUM"),"CDU",IF($H10266="FLUID CAT CRACKING","FCC",IF(OR($H10266="HYDROCRACKING",$H10266="RESID_HYDROCRACKING"),"Hydrocracker",IF($H10266="REFORMING","Reformer",""))))</f>
        <v/>
      </c>
    </row>
    <row r="10267" spans="6:7">
      <c r="F10267" s="6">
        <f>IF($M10267="PADD I","PADD 1",IF($M10267="PADD II","PADD 2",IF($M10267="PADD III","PADD 3",IF($M10267="PADD IV","PADD 4",IF($M10267="PADD V","PADD 5","")))))</f>
        <v/>
      </c>
      <c r="G10267" s="6">
        <f>IF(AND($H10267="ATMOS DISTILLATION",ISNUMBER(SEARCH("VPS",$I10267))=FALSE,LEFT($I10267,6)&lt;&gt;"VACUUM"),"CDU",IF($H10267="FLUID CAT CRACKING","FCC",IF(OR($H10267="HYDROCRACKING",$H10267="RESID_HYDROCRACKING"),"Hydrocracker",IF($H10267="REFORMING","Reformer",""))))</f>
        <v/>
      </c>
    </row>
    <row r="10268" spans="6:7">
      <c r="F10268" s="6">
        <f>IF($M10268="PADD I","PADD 1",IF($M10268="PADD II","PADD 2",IF($M10268="PADD III","PADD 3",IF($M10268="PADD IV","PADD 4",IF($M10268="PADD V","PADD 5","")))))</f>
        <v/>
      </c>
      <c r="G10268" s="6">
        <f>IF(AND($H10268="ATMOS DISTILLATION",ISNUMBER(SEARCH("VPS",$I10268))=FALSE,LEFT($I10268,6)&lt;&gt;"VACUUM"),"CDU",IF($H10268="FLUID CAT CRACKING","FCC",IF(OR($H10268="HYDROCRACKING",$H10268="RESID_HYDROCRACKING"),"Hydrocracker",IF($H10268="REFORMING","Reformer",""))))</f>
        <v/>
      </c>
    </row>
    <row r="10269" spans="6:7">
      <c r="F10269" s="6">
        <f>IF($M10269="PADD I","PADD 1",IF($M10269="PADD II","PADD 2",IF($M10269="PADD III","PADD 3",IF($M10269="PADD IV","PADD 4",IF($M10269="PADD V","PADD 5","")))))</f>
        <v/>
      </c>
      <c r="G10269" s="6">
        <f>IF(AND($H10269="ATMOS DISTILLATION",ISNUMBER(SEARCH("VPS",$I10269))=FALSE,LEFT($I10269,6)&lt;&gt;"VACUUM"),"CDU",IF($H10269="FLUID CAT CRACKING","FCC",IF(OR($H10269="HYDROCRACKING",$H10269="RESID_HYDROCRACKING"),"Hydrocracker",IF($H10269="REFORMING","Reformer",""))))</f>
        <v/>
      </c>
    </row>
    <row r="10270" spans="6:7">
      <c r="F10270" s="6">
        <f>IF($M10270="PADD I","PADD 1",IF($M10270="PADD II","PADD 2",IF($M10270="PADD III","PADD 3",IF($M10270="PADD IV","PADD 4",IF($M10270="PADD V","PADD 5","")))))</f>
        <v/>
      </c>
      <c r="G10270" s="6">
        <f>IF(AND($H10270="ATMOS DISTILLATION",ISNUMBER(SEARCH("VPS",$I10270))=FALSE,LEFT($I10270,6)&lt;&gt;"VACUUM"),"CDU",IF($H10270="FLUID CAT CRACKING","FCC",IF(OR($H10270="HYDROCRACKING",$H10270="RESID_HYDROCRACKING"),"Hydrocracker",IF($H10270="REFORMING","Reformer",""))))</f>
        <v/>
      </c>
    </row>
    <row r="10271" spans="6:7">
      <c r="F10271" s="6">
        <f>IF($M10271="PADD I","PADD 1",IF($M10271="PADD II","PADD 2",IF($M10271="PADD III","PADD 3",IF($M10271="PADD IV","PADD 4",IF($M10271="PADD V","PADD 5","")))))</f>
        <v/>
      </c>
      <c r="G10271" s="6">
        <f>IF(AND($H10271="ATMOS DISTILLATION",ISNUMBER(SEARCH("VPS",$I10271))=FALSE,LEFT($I10271,6)&lt;&gt;"VACUUM"),"CDU",IF($H10271="FLUID CAT CRACKING","FCC",IF(OR($H10271="HYDROCRACKING",$H10271="RESID_HYDROCRACKING"),"Hydrocracker",IF($H10271="REFORMING","Reformer",""))))</f>
        <v/>
      </c>
    </row>
    <row r="10272" spans="6:7">
      <c r="F10272" s="6">
        <f>IF($M10272="PADD I","PADD 1",IF($M10272="PADD II","PADD 2",IF($M10272="PADD III","PADD 3",IF($M10272="PADD IV","PADD 4",IF($M10272="PADD V","PADD 5","")))))</f>
        <v/>
      </c>
      <c r="G10272" s="6">
        <f>IF(AND($H10272="ATMOS DISTILLATION",ISNUMBER(SEARCH("VPS",$I10272))=FALSE,LEFT($I10272,6)&lt;&gt;"VACUUM"),"CDU",IF($H10272="FLUID CAT CRACKING","FCC",IF(OR($H10272="HYDROCRACKING",$H10272="RESID_HYDROCRACKING"),"Hydrocracker",IF($H10272="REFORMING","Reformer",""))))</f>
        <v/>
      </c>
    </row>
    <row r="10273" spans="6:7">
      <c r="F10273" s="6">
        <f>IF($M10273="PADD I","PADD 1",IF($M10273="PADD II","PADD 2",IF($M10273="PADD III","PADD 3",IF($M10273="PADD IV","PADD 4",IF($M10273="PADD V","PADD 5","")))))</f>
        <v/>
      </c>
      <c r="G10273" s="6">
        <f>IF(AND($H10273="ATMOS DISTILLATION",ISNUMBER(SEARCH("VPS",$I10273))=FALSE,LEFT($I10273,6)&lt;&gt;"VACUUM"),"CDU",IF($H10273="FLUID CAT CRACKING","FCC",IF(OR($H10273="HYDROCRACKING",$H10273="RESID_HYDROCRACKING"),"Hydrocracker",IF($H10273="REFORMING","Reformer",""))))</f>
        <v/>
      </c>
    </row>
    <row r="10274" spans="6:7">
      <c r="F10274" s="6">
        <f>IF($M10274="PADD I","PADD 1",IF($M10274="PADD II","PADD 2",IF($M10274="PADD III","PADD 3",IF($M10274="PADD IV","PADD 4",IF($M10274="PADD V","PADD 5","")))))</f>
        <v/>
      </c>
      <c r="G10274" s="6">
        <f>IF(AND($H10274="ATMOS DISTILLATION",ISNUMBER(SEARCH("VPS",$I10274))=FALSE,LEFT($I10274,6)&lt;&gt;"VACUUM"),"CDU",IF($H10274="FLUID CAT CRACKING","FCC",IF(OR($H10274="HYDROCRACKING",$H10274="RESID_HYDROCRACKING"),"Hydrocracker",IF($H10274="REFORMING","Reformer",""))))</f>
        <v/>
      </c>
    </row>
    <row r="10275" spans="6:7">
      <c r="F10275" s="6">
        <f>IF($M10275="PADD I","PADD 1",IF($M10275="PADD II","PADD 2",IF($M10275="PADD III","PADD 3",IF($M10275="PADD IV","PADD 4",IF($M10275="PADD V","PADD 5","")))))</f>
        <v/>
      </c>
      <c r="G10275" s="6">
        <f>IF(AND($H10275="ATMOS DISTILLATION",ISNUMBER(SEARCH("VPS",$I10275))=FALSE,LEFT($I10275,6)&lt;&gt;"VACUUM"),"CDU",IF($H10275="FLUID CAT CRACKING","FCC",IF(OR($H10275="HYDROCRACKING",$H10275="RESID_HYDROCRACKING"),"Hydrocracker",IF($H10275="REFORMING","Reformer",""))))</f>
        <v/>
      </c>
    </row>
    <row r="10276" spans="6:7">
      <c r="F10276" s="6">
        <f>IF($M10276="PADD I","PADD 1",IF($M10276="PADD II","PADD 2",IF($M10276="PADD III","PADD 3",IF($M10276="PADD IV","PADD 4",IF($M10276="PADD V","PADD 5","")))))</f>
        <v/>
      </c>
      <c r="G10276" s="6">
        <f>IF(AND($H10276="ATMOS DISTILLATION",ISNUMBER(SEARCH("VPS",$I10276))=FALSE,LEFT($I10276,6)&lt;&gt;"VACUUM"),"CDU",IF($H10276="FLUID CAT CRACKING","FCC",IF(OR($H10276="HYDROCRACKING",$H10276="RESID_HYDROCRACKING"),"Hydrocracker",IF($H10276="REFORMING","Reformer",""))))</f>
        <v/>
      </c>
    </row>
    <row r="10277" spans="6:7">
      <c r="F10277" s="6">
        <f>IF($M10277="PADD I","PADD 1",IF($M10277="PADD II","PADD 2",IF($M10277="PADD III","PADD 3",IF($M10277="PADD IV","PADD 4",IF($M10277="PADD V","PADD 5","")))))</f>
        <v/>
      </c>
      <c r="G10277" s="6">
        <f>IF(AND($H10277="ATMOS DISTILLATION",ISNUMBER(SEARCH("VPS",$I10277))=FALSE,LEFT($I10277,6)&lt;&gt;"VACUUM"),"CDU",IF($H10277="FLUID CAT CRACKING","FCC",IF(OR($H10277="HYDROCRACKING",$H10277="RESID_HYDROCRACKING"),"Hydrocracker",IF($H10277="REFORMING","Reformer",""))))</f>
        <v/>
      </c>
    </row>
    <row r="10278" spans="6:7">
      <c r="F10278" s="6">
        <f>IF($M10278="PADD I","PADD 1",IF($M10278="PADD II","PADD 2",IF($M10278="PADD III","PADD 3",IF($M10278="PADD IV","PADD 4",IF($M10278="PADD V","PADD 5","")))))</f>
        <v/>
      </c>
      <c r="G10278" s="6">
        <f>IF(AND($H10278="ATMOS DISTILLATION",ISNUMBER(SEARCH("VPS",$I10278))=FALSE,LEFT($I10278,6)&lt;&gt;"VACUUM"),"CDU",IF($H10278="FLUID CAT CRACKING","FCC",IF(OR($H10278="HYDROCRACKING",$H10278="RESID_HYDROCRACKING"),"Hydrocracker",IF($H10278="REFORMING","Reformer",""))))</f>
        <v/>
      </c>
    </row>
    <row r="10279" spans="6:7">
      <c r="F10279" s="6">
        <f>IF($M10279="PADD I","PADD 1",IF($M10279="PADD II","PADD 2",IF($M10279="PADD III","PADD 3",IF($M10279="PADD IV","PADD 4",IF($M10279="PADD V","PADD 5","")))))</f>
        <v/>
      </c>
      <c r="G10279" s="6">
        <f>IF(AND($H10279="ATMOS DISTILLATION",ISNUMBER(SEARCH("VPS",$I10279))=FALSE,LEFT($I10279,6)&lt;&gt;"VACUUM"),"CDU",IF($H10279="FLUID CAT CRACKING","FCC",IF(OR($H10279="HYDROCRACKING",$H10279="RESID_HYDROCRACKING"),"Hydrocracker",IF($H10279="REFORMING","Reformer",""))))</f>
        <v/>
      </c>
    </row>
    <row r="10280" spans="6:7">
      <c r="F10280" s="6">
        <f>IF($M10280="PADD I","PADD 1",IF($M10280="PADD II","PADD 2",IF($M10280="PADD III","PADD 3",IF($M10280="PADD IV","PADD 4",IF($M10280="PADD V","PADD 5","")))))</f>
        <v/>
      </c>
      <c r="G10280" s="6">
        <f>IF(AND($H10280="ATMOS DISTILLATION",ISNUMBER(SEARCH("VPS",$I10280))=FALSE,LEFT($I10280,6)&lt;&gt;"VACUUM"),"CDU",IF($H10280="FLUID CAT CRACKING","FCC",IF(OR($H10280="HYDROCRACKING",$H10280="RESID_HYDROCRACKING"),"Hydrocracker",IF($H10280="REFORMING","Reformer",""))))</f>
        <v/>
      </c>
    </row>
    <row r="10281" spans="6:7">
      <c r="F10281" s="6">
        <f>IF($M10281="PADD I","PADD 1",IF($M10281="PADD II","PADD 2",IF($M10281="PADD III","PADD 3",IF($M10281="PADD IV","PADD 4",IF($M10281="PADD V","PADD 5","")))))</f>
        <v/>
      </c>
      <c r="G10281" s="6">
        <f>IF(AND($H10281="ATMOS DISTILLATION",ISNUMBER(SEARCH("VPS",$I10281))=FALSE,LEFT($I10281,6)&lt;&gt;"VACUUM"),"CDU",IF($H10281="FLUID CAT CRACKING","FCC",IF(OR($H10281="HYDROCRACKING",$H10281="RESID_HYDROCRACKING"),"Hydrocracker",IF($H10281="REFORMING","Reformer",""))))</f>
        <v/>
      </c>
    </row>
    <row r="10282" spans="6:7">
      <c r="F10282" s="6">
        <f>IF($M10282="PADD I","PADD 1",IF($M10282="PADD II","PADD 2",IF($M10282="PADD III","PADD 3",IF($M10282="PADD IV","PADD 4",IF($M10282="PADD V","PADD 5","")))))</f>
        <v/>
      </c>
      <c r="G10282" s="6">
        <f>IF(AND($H10282="ATMOS DISTILLATION",ISNUMBER(SEARCH("VPS",$I10282))=FALSE,LEFT($I10282,6)&lt;&gt;"VACUUM"),"CDU",IF($H10282="FLUID CAT CRACKING","FCC",IF(OR($H10282="HYDROCRACKING",$H10282="RESID_HYDROCRACKING"),"Hydrocracker",IF($H10282="REFORMING","Reformer",""))))</f>
        <v/>
      </c>
    </row>
    <row r="10283" spans="6:7">
      <c r="F10283" s="6">
        <f>IF($M10283="PADD I","PADD 1",IF($M10283="PADD II","PADD 2",IF($M10283="PADD III","PADD 3",IF($M10283="PADD IV","PADD 4",IF($M10283="PADD V","PADD 5","")))))</f>
        <v/>
      </c>
      <c r="G10283" s="6">
        <f>IF(AND($H10283="ATMOS DISTILLATION",ISNUMBER(SEARCH("VPS",$I10283))=FALSE,LEFT($I10283,6)&lt;&gt;"VACUUM"),"CDU",IF($H10283="FLUID CAT CRACKING","FCC",IF(OR($H10283="HYDROCRACKING",$H10283="RESID_HYDROCRACKING"),"Hydrocracker",IF($H10283="REFORMING","Reformer",""))))</f>
        <v/>
      </c>
    </row>
    <row r="10284" spans="6:7">
      <c r="F10284" s="6">
        <f>IF($M10284="PADD I","PADD 1",IF($M10284="PADD II","PADD 2",IF($M10284="PADD III","PADD 3",IF($M10284="PADD IV","PADD 4",IF($M10284="PADD V","PADD 5","")))))</f>
        <v/>
      </c>
      <c r="G10284" s="6">
        <f>IF(AND($H10284="ATMOS DISTILLATION",ISNUMBER(SEARCH("VPS",$I10284))=FALSE,LEFT($I10284,6)&lt;&gt;"VACUUM"),"CDU",IF($H10284="FLUID CAT CRACKING","FCC",IF(OR($H10284="HYDROCRACKING",$H10284="RESID_HYDROCRACKING"),"Hydrocracker",IF($H10284="REFORMING","Reformer",""))))</f>
        <v/>
      </c>
    </row>
    <row r="10285" spans="6:7">
      <c r="F10285" s="6">
        <f>IF($M10285="PADD I","PADD 1",IF($M10285="PADD II","PADD 2",IF($M10285="PADD III","PADD 3",IF($M10285="PADD IV","PADD 4",IF($M10285="PADD V","PADD 5","")))))</f>
        <v/>
      </c>
      <c r="G10285" s="6">
        <f>IF(AND($H10285="ATMOS DISTILLATION",ISNUMBER(SEARCH("VPS",$I10285))=FALSE,LEFT($I10285,6)&lt;&gt;"VACUUM"),"CDU",IF($H10285="FLUID CAT CRACKING","FCC",IF(OR($H10285="HYDROCRACKING",$H10285="RESID_HYDROCRACKING"),"Hydrocracker",IF($H10285="REFORMING","Reformer",""))))</f>
        <v/>
      </c>
    </row>
    <row r="10286" spans="6:7">
      <c r="F10286" s="6">
        <f>IF($M10286="PADD I","PADD 1",IF($M10286="PADD II","PADD 2",IF($M10286="PADD III","PADD 3",IF($M10286="PADD IV","PADD 4",IF($M10286="PADD V","PADD 5","")))))</f>
        <v/>
      </c>
      <c r="G10286" s="6">
        <f>IF(AND($H10286="ATMOS DISTILLATION",ISNUMBER(SEARCH("VPS",$I10286))=FALSE,LEFT($I10286,6)&lt;&gt;"VACUUM"),"CDU",IF($H10286="FLUID CAT CRACKING","FCC",IF(OR($H10286="HYDROCRACKING",$H10286="RESID_HYDROCRACKING"),"Hydrocracker",IF($H10286="REFORMING","Reformer",""))))</f>
        <v/>
      </c>
    </row>
    <row r="10287" spans="6:7">
      <c r="F10287" s="6">
        <f>IF($M10287="PADD I","PADD 1",IF($M10287="PADD II","PADD 2",IF($M10287="PADD III","PADD 3",IF($M10287="PADD IV","PADD 4",IF($M10287="PADD V","PADD 5","")))))</f>
        <v/>
      </c>
      <c r="G10287" s="6">
        <f>IF(AND($H10287="ATMOS DISTILLATION",ISNUMBER(SEARCH("VPS",$I10287))=FALSE,LEFT($I10287,6)&lt;&gt;"VACUUM"),"CDU",IF($H10287="FLUID CAT CRACKING","FCC",IF(OR($H10287="HYDROCRACKING",$H10287="RESID_HYDROCRACKING"),"Hydrocracker",IF($H10287="REFORMING","Reformer",""))))</f>
        <v/>
      </c>
    </row>
    <row r="10288" spans="6:7">
      <c r="F10288" s="6">
        <f>IF($M10288="PADD I","PADD 1",IF($M10288="PADD II","PADD 2",IF($M10288="PADD III","PADD 3",IF($M10288="PADD IV","PADD 4",IF($M10288="PADD V","PADD 5","")))))</f>
        <v/>
      </c>
      <c r="G10288" s="6">
        <f>IF(AND($H10288="ATMOS DISTILLATION",ISNUMBER(SEARCH("VPS",$I10288))=FALSE,LEFT($I10288,6)&lt;&gt;"VACUUM"),"CDU",IF($H10288="FLUID CAT CRACKING","FCC",IF(OR($H10288="HYDROCRACKING",$H10288="RESID_HYDROCRACKING"),"Hydrocracker",IF($H10288="REFORMING","Reformer",""))))</f>
        <v/>
      </c>
    </row>
    <row r="10289" spans="6:7">
      <c r="F10289" s="6">
        <f>IF($M10289="PADD I","PADD 1",IF($M10289="PADD II","PADD 2",IF($M10289="PADD III","PADD 3",IF($M10289="PADD IV","PADD 4",IF($M10289="PADD V","PADD 5","")))))</f>
        <v/>
      </c>
      <c r="G10289" s="6">
        <f>IF(AND($H10289="ATMOS DISTILLATION",ISNUMBER(SEARCH("VPS",$I10289))=FALSE,LEFT($I10289,6)&lt;&gt;"VACUUM"),"CDU",IF($H10289="FLUID CAT CRACKING","FCC",IF(OR($H10289="HYDROCRACKING",$H10289="RESID_HYDROCRACKING"),"Hydrocracker",IF($H10289="REFORMING","Reformer",""))))</f>
        <v/>
      </c>
    </row>
    <row r="10290" spans="6:7">
      <c r="F10290" s="6">
        <f>IF($M10290="PADD I","PADD 1",IF($M10290="PADD II","PADD 2",IF($M10290="PADD III","PADD 3",IF($M10290="PADD IV","PADD 4",IF($M10290="PADD V","PADD 5","")))))</f>
        <v/>
      </c>
      <c r="G10290" s="6">
        <f>IF(AND($H10290="ATMOS DISTILLATION",ISNUMBER(SEARCH("VPS",$I10290))=FALSE,LEFT($I10290,6)&lt;&gt;"VACUUM"),"CDU",IF($H10290="FLUID CAT CRACKING","FCC",IF(OR($H10290="HYDROCRACKING",$H10290="RESID_HYDROCRACKING"),"Hydrocracker",IF($H10290="REFORMING","Reformer",""))))</f>
        <v/>
      </c>
    </row>
    <row r="10291" spans="6:7">
      <c r="F10291" s="6">
        <f>IF($M10291="PADD I","PADD 1",IF($M10291="PADD II","PADD 2",IF($M10291="PADD III","PADD 3",IF($M10291="PADD IV","PADD 4",IF($M10291="PADD V","PADD 5","")))))</f>
        <v/>
      </c>
      <c r="G10291" s="6">
        <f>IF(AND($H10291="ATMOS DISTILLATION",ISNUMBER(SEARCH("VPS",$I10291))=FALSE,LEFT($I10291,6)&lt;&gt;"VACUUM"),"CDU",IF($H10291="FLUID CAT CRACKING","FCC",IF(OR($H10291="HYDROCRACKING",$H10291="RESID_HYDROCRACKING"),"Hydrocracker",IF($H10291="REFORMING","Reformer",""))))</f>
        <v/>
      </c>
    </row>
    <row r="10292" spans="6:7">
      <c r="F10292" s="6">
        <f>IF($M10292="PADD I","PADD 1",IF($M10292="PADD II","PADD 2",IF($M10292="PADD III","PADD 3",IF($M10292="PADD IV","PADD 4",IF($M10292="PADD V","PADD 5","")))))</f>
        <v/>
      </c>
      <c r="G10292" s="6">
        <f>IF(AND($H10292="ATMOS DISTILLATION",ISNUMBER(SEARCH("VPS",$I10292))=FALSE,LEFT($I10292,6)&lt;&gt;"VACUUM"),"CDU",IF($H10292="FLUID CAT CRACKING","FCC",IF(OR($H10292="HYDROCRACKING",$H10292="RESID_HYDROCRACKING"),"Hydrocracker",IF($H10292="REFORMING","Reformer",""))))</f>
        <v/>
      </c>
    </row>
    <row r="10293" spans="6:7">
      <c r="F10293" s="6">
        <f>IF($M10293="PADD I","PADD 1",IF($M10293="PADD II","PADD 2",IF($M10293="PADD III","PADD 3",IF($M10293="PADD IV","PADD 4",IF($M10293="PADD V","PADD 5","")))))</f>
        <v/>
      </c>
      <c r="G10293" s="6">
        <f>IF(AND($H10293="ATMOS DISTILLATION",ISNUMBER(SEARCH("VPS",$I10293))=FALSE,LEFT($I10293,6)&lt;&gt;"VACUUM"),"CDU",IF($H10293="FLUID CAT CRACKING","FCC",IF(OR($H10293="HYDROCRACKING",$H10293="RESID_HYDROCRACKING"),"Hydrocracker",IF($H10293="REFORMING","Reformer",""))))</f>
        <v/>
      </c>
    </row>
    <row r="10294" spans="6:7">
      <c r="F10294" s="6">
        <f>IF($M10294="PADD I","PADD 1",IF($M10294="PADD II","PADD 2",IF($M10294="PADD III","PADD 3",IF($M10294="PADD IV","PADD 4",IF($M10294="PADD V","PADD 5","")))))</f>
        <v/>
      </c>
      <c r="G10294" s="6">
        <f>IF(AND($H10294="ATMOS DISTILLATION",ISNUMBER(SEARCH("VPS",$I10294))=FALSE,LEFT($I10294,6)&lt;&gt;"VACUUM"),"CDU",IF($H10294="FLUID CAT CRACKING","FCC",IF(OR($H10294="HYDROCRACKING",$H10294="RESID_HYDROCRACKING"),"Hydrocracker",IF($H10294="REFORMING","Reformer",""))))</f>
        <v/>
      </c>
    </row>
    <row r="10295" spans="6:7">
      <c r="F10295" s="6">
        <f>IF($M10295="PADD I","PADD 1",IF($M10295="PADD II","PADD 2",IF($M10295="PADD III","PADD 3",IF($M10295="PADD IV","PADD 4",IF($M10295="PADD V","PADD 5","")))))</f>
        <v/>
      </c>
      <c r="G10295" s="6">
        <f>IF(AND($H10295="ATMOS DISTILLATION",ISNUMBER(SEARCH("VPS",$I10295))=FALSE,LEFT($I10295,6)&lt;&gt;"VACUUM"),"CDU",IF($H10295="FLUID CAT CRACKING","FCC",IF(OR($H10295="HYDROCRACKING",$H10295="RESID_HYDROCRACKING"),"Hydrocracker",IF($H10295="REFORMING","Reformer",""))))</f>
        <v/>
      </c>
    </row>
    <row r="10296" spans="6:7">
      <c r="F10296" s="6">
        <f>IF($M10296="PADD I","PADD 1",IF($M10296="PADD II","PADD 2",IF($M10296="PADD III","PADD 3",IF($M10296="PADD IV","PADD 4",IF($M10296="PADD V","PADD 5","")))))</f>
        <v/>
      </c>
      <c r="G10296" s="6">
        <f>IF(AND($H10296="ATMOS DISTILLATION",ISNUMBER(SEARCH("VPS",$I10296))=FALSE,LEFT($I10296,6)&lt;&gt;"VACUUM"),"CDU",IF($H10296="FLUID CAT CRACKING","FCC",IF(OR($H10296="HYDROCRACKING",$H10296="RESID_HYDROCRACKING"),"Hydrocracker",IF($H10296="REFORMING","Reformer",""))))</f>
        <v/>
      </c>
    </row>
    <row r="10297" spans="6:7">
      <c r="F10297" s="6">
        <f>IF($M10297="PADD I","PADD 1",IF($M10297="PADD II","PADD 2",IF($M10297="PADD III","PADD 3",IF($M10297="PADD IV","PADD 4",IF($M10297="PADD V","PADD 5","")))))</f>
        <v/>
      </c>
      <c r="G10297" s="6">
        <f>IF(AND($H10297="ATMOS DISTILLATION",ISNUMBER(SEARCH("VPS",$I10297))=FALSE,LEFT($I10297,6)&lt;&gt;"VACUUM"),"CDU",IF($H10297="FLUID CAT CRACKING","FCC",IF(OR($H10297="HYDROCRACKING",$H10297="RESID_HYDROCRACKING"),"Hydrocracker",IF($H10297="REFORMING","Reformer",""))))</f>
        <v/>
      </c>
    </row>
    <row r="10298" spans="6:7">
      <c r="F10298" s="6">
        <f>IF($M10298="PADD I","PADD 1",IF($M10298="PADD II","PADD 2",IF($M10298="PADD III","PADD 3",IF($M10298="PADD IV","PADD 4",IF($M10298="PADD V","PADD 5","")))))</f>
        <v/>
      </c>
      <c r="G10298" s="6">
        <f>IF(AND($H10298="ATMOS DISTILLATION",ISNUMBER(SEARCH("VPS",$I10298))=FALSE,LEFT($I10298,6)&lt;&gt;"VACUUM"),"CDU",IF($H10298="FLUID CAT CRACKING","FCC",IF(OR($H10298="HYDROCRACKING",$H10298="RESID_HYDROCRACKING"),"Hydrocracker",IF($H10298="REFORMING","Reformer",""))))</f>
        <v/>
      </c>
    </row>
    <row r="10299" spans="6:7">
      <c r="F10299" s="6">
        <f>IF($M10299="PADD I","PADD 1",IF($M10299="PADD II","PADD 2",IF($M10299="PADD III","PADD 3",IF($M10299="PADD IV","PADD 4",IF($M10299="PADD V","PADD 5","")))))</f>
        <v/>
      </c>
      <c r="G10299" s="6">
        <f>IF(AND($H10299="ATMOS DISTILLATION",ISNUMBER(SEARCH("VPS",$I10299))=FALSE,LEFT($I10299,6)&lt;&gt;"VACUUM"),"CDU",IF($H10299="FLUID CAT CRACKING","FCC",IF(OR($H10299="HYDROCRACKING",$H10299="RESID_HYDROCRACKING"),"Hydrocracker",IF($H10299="REFORMING","Reformer",""))))</f>
        <v/>
      </c>
    </row>
    <row r="10300" spans="6:7">
      <c r="F10300" s="6">
        <f>IF($M10300="PADD I","PADD 1",IF($M10300="PADD II","PADD 2",IF($M10300="PADD III","PADD 3",IF($M10300="PADD IV","PADD 4",IF($M10300="PADD V","PADD 5","")))))</f>
        <v/>
      </c>
      <c r="G10300" s="6">
        <f>IF(AND($H10300="ATMOS DISTILLATION",ISNUMBER(SEARCH("VPS",$I10300))=FALSE,LEFT($I10300,6)&lt;&gt;"VACUUM"),"CDU",IF($H10300="FLUID CAT CRACKING","FCC",IF(OR($H10300="HYDROCRACKING",$H10300="RESID_HYDROCRACKING"),"Hydrocracker",IF($H10300="REFORMING","Reformer",""))))</f>
        <v/>
      </c>
    </row>
    <row r="10301" spans="6:7">
      <c r="F10301" s="6">
        <f>IF($M10301="PADD I","PADD 1",IF($M10301="PADD II","PADD 2",IF($M10301="PADD III","PADD 3",IF($M10301="PADD IV","PADD 4",IF($M10301="PADD V","PADD 5","")))))</f>
        <v/>
      </c>
      <c r="G10301" s="6">
        <f>IF(AND($H10301="ATMOS DISTILLATION",ISNUMBER(SEARCH("VPS",$I10301))=FALSE,LEFT($I10301,6)&lt;&gt;"VACUUM"),"CDU",IF($H10301="FLUID CAT CRACKING","FCC",IF(OR($H10301="HYDROCRACKING",$H10301="RESID_HYDROCRACKING"),"Hydrocracker",IF($H10301="REFORMING","Reformer",""))))</f>
        <v/>
      </c>
    </row>
    <row r="10302" spans="6:7">
      <c r="F10302" s="6">
        <f>IF($M10302="PADD I","PADD 1",IF($M10302="PADD II","PADD 2",IF($M10302="PADD III","PADD 3",IF($M10302="PADD IV","PADD 4",IF($M10302="PADD V","PADD 5","")))))</f>
        <v/>
      </c>
      <c r="G10302" s="6">
        <f>IF(AND($H10302="ATMOS DISTILLATION",ISNUMBER(SEARCH("VPS",$I10302))=FALSE,LEFT($I10302,6)&lt;&gt;"VACUUM"),"CDU",IF($H10302="FLUID CAT CRACKING","FCC",IF(OR($H10302="HYDROCRACKING",$H10302="RESID_HYDROCRACKING"),"Hydrocracker",IF($H10302="REFORMING","Reformer",""))))</f>
        <v/>
      </c>
    </row>
    <row r="10303" spans="6:7">
      <c r="F10303" s="6">
        <f>IF($M10303="PADD I","PADD 1",IF($M10303="PADD II","PADD 2",IF($M10303="PADD III","PADD 3",IF($M10303="PADD IV","PADD 4",IF($M10303="PADD V","PADD 5","")))))</f>
        <v/>
      </c>
      <c r="G10303" s="6">
        <f>IF(AND($H10303="ATMOS DISTILLATION",ISNUMBER(SEARCH("VPS",$I10303))=FALSE,LEFT($I10303,6)&lt;&gt;"VACUUM"),"CDU",IF($H10303="FLUID CAT CRACKING","FCC",IF(OR($H10303="HYDROCRACKING",$H10303="RESID_HYDROCRACKING"),"Hydrocracker",IF($H10303="REFORMING","Reformer",""))))</f>
        <v/>
      </c>
    </row>
    <row r="10304" spans="6:7">
      <c r="F10304" s="6">
        <f>IF($M10304="PADD I","PADD 1",IF($M10304="PADD II","PADD 2",IF($M10304="PADD III","PADD 3",IF($M10304="PADD IV","PADD 4",IF($M10304="PADD V","PADD 5","")))))</f>
        <v/>
      </c>
      <c r="G10304" s="6">
        <f>IF(AND($H10304="ATMOS DISTILLATION",ISNUMBER(SEARCH("VPS",$I10304))=FALSE,LEFT($I10304,6)&lt;&gt;"VACUUM"),"CDU",IF($H10304="FLUID CAT CRACKING","FCC",IF(OR($H10304="HYDROCRACKING",$H10304="RESID_HYDROCRACKING"),"Hydrocracker",IF($H10304="REFORMING","Reformer",""))))</f>
        <v/>
      </c>
    </row>
    <row r="10305" spans="6:7">
      <c r="F10305" s="6">
        <f>IF($M10305="PADD I","PADD 1",IF($M10305="PADD II","PADD 2",IF($M10305="PADD III","PADD 3",IF($M10305="PADD IV","PADD 4",IF($M10305="PADD V","PADD 5","")))))</f>
        <v/>
      </c>
      <c r="G10305" s="6">
        <f>IF(AND($H10305="ATMOS DISTILLATION",ISNUMBER(SEARCH("VPS",$I10305))=FALSE,LEFT($I10305,6)&lt;&gt;"VACUUM"),"CDU",IF($H10305="FLUID CAT CRACKING","FCC",IF(OR($H10305="HYDROCRACKING",$H10305="RESID_HYDROCRACKING"),"Hydrocracker",IF($H10305="REFORMING","Reformer",""))))</f>
        <v/>
      </c>
    </row>
    <row r="10306" spans="6:7">
      <c r="F10306" s="6">
        <f>IF($M10306="PADD I","PADD 1",IF($M10306="PADD II","PADD 2",IF($M10306="PADD III","PADD 3",IF($M10306="PADD IV","PADD 4",IF($M10306="PADD V","PADD 5","")))))</f>
        <v/>
      </c>
      <c r="G10306" s="6">
        <f>IF(AND($H10306="ATMOS DISTILLATION",ISNUMBER(SEARCH("VPS",$I10306))=FALSE,LEFT($I10306,6)&lt;&gt;"VACUUM"),"CDU",IF($H10306="FLUID CAT CRACKING","FCC",IF(OR($H10306="HYDROCRACKING",$H10306="RESID_HYDROCRACKING"),"Hydrocracker",IF($H10306="REFORMING","Reformer",""))))</f>
        <v/>
      </c>
    </row>
    <row r="10307" spans="6:7">
      <c r="F10307" s="6">
        <f>IF($M10307="PADD I","PADD 1",IF($M10307="PADD II","PADD 2",IF($M10307="PADD III","PADD 3",IF($M10307="PADD IV","PADD 4",IF($M10307="PADD V","PADD 5","")))))</f>
        <v/>
      </c>
      <c r="G10307" s="6">
        <f>IF(AND($H10307="ATMOS DISTILLATION",ISNUMBER(SEARCH("VPS",$I10307))=FALSE,LEFT($I10307,6)&lt;&gt;"VACUUM"),"CDU",IF($H10307="FLUID CAT CRACKING","FCC",IF(OR($H10307="HYDROCRACKING",$H10307="RESID_HYDROCRACKING"),"Hydrocracker",IF($H10307="REFORMING","Reformer",""))))</f>
        <v/>
      </c>
    </row>
    <row r="10308" spans="6:7">
      <c r="F10308" s="6">
        <f>IF($M10308="PADD I","PADD 1",IF($M10308="PADD II","PADD 2",IF($M10308="PADD III","PADD 3",IF($M10308="PADD IV","PADD 4",IF($M10308="PADD V","PADD 5","")))))</f>
        <v/>
      </c>
      <c r="G10308" s="6">
        <f>IF(AND($H10308="ATMOS DISTILLATION",ISNUMBER(SEARCH("VPS",$I10308))=FALSE,LEFT($I10308,6)&lt;&gt;"VACUUM"),"CDU",IF($H10308="FLUID CAT CRACKING","FCC",IF(OR($H10308="HYDROCRACKING",$H10308="RESID_HYDROCRACKING"),"Hydrocracker",IF($H10308="REFORMING","Reformer",""))))</f>
        <v/>
      </c>
    </row>
    <row r="10309" spans="6:7">
      <c r="F10309" s="6">
        <f>IF($M10309="PADD I","PADD 1",IF($M10309="PADD II","PADD 2",IF($M10309="PADD III","PADD 3",IF($M10309="PADD IV","PADD 4",IF($M10309="PADD V","PADD 5","")))))</f>
        <v/>
      </c>
      <c r="G10309" s="6">
        <f>IF(AND($H10309="ATMOS DISTILLATION",ISNUMBER(SEARCH("VPS",$I10309))=FALSE,LEFT($I10309,6)&lt;&gt;"VACUUM"),"CDU",IF($H10309="FLUID CAT CRACKING","FCC",IF(OR($H10309="HYDROCRACKING",$H10309="RESID_HYDROCRACKING"),"Hydrocracker",IF($H10309="REFORMING","Reformer",""))))</f>
        <v/>
      </c>
    </row>
    <row r="10310" spans="6:7">
      <c r="F10310" s="6">
        <f>IF($M10310="PADD I","PADD 1",IF($M10310="PADD II","PADD 2",IF($M10310="PADD III","PADD 3",IF($M10310="PADD IV","PADD 4",IF($M10310="PADD V","PADD 5","")))))</f>
        <v/>
      </c>
      <c r="G10310" s="6">
        <f>IF(AND($H10310="ATMOS DISTILLATION",ISNUMBER(SEARCH("VPS",$I10310))=FALSE,LEFT($I10310,6)&lt;&gt;"VACUUM"),"CDU",IF($H10310="FLUID CAT CRACKING","FCC",IF(OR($H10310="HYDROCRACKING",$H10310="RESID_HYDROCRACKING"),"Hydrocracker",IF($H10310="REFORMING","Reformer",""))))</f>
        <v/>
      </c>
    </row>
    <row r="10311" spans="6:7">
      <c r="F10311" s="6">
        <f>IF($M10311="PADD I","PADD 1",IF($M10311="PADD II","PADD 2",IF($M10311="PADD III","PADD 3",IF($M10311="PADD IV","PADD 4",IF($M10311="PADD V","PADD 5","")))))</f>
        <v/>
      </c>
      <c r="G10311" s="6">
        <f>IF(AND($H10311="ATMOS DISTILLATION",ISNUMBER(SEARCH("VPS",$I10311))=FALSE,LEFT($I10311,6)&lt;&gt;"VACUUM"),"CDU",IF($H10311="FLUID CAT CRACKING","FCC",IF(OR($H10311="HYDROCRACKING",$H10311="RESID_HYDROCRACKING"),"Hydrocracker",IF($H10311="REFORMING","Reformer",""))))</f>
        <v/>
      </c>
    </row>
    <row r="10312" spans="6:7">
      <c r="F10312" s="6">
        <f>IF($M10312="PADD I","PADD 1",IF($M10312="PADD II","PADD 2",IF($M10312="PADD III","PADD 3",IF($M10312="PADD IV","PADD 4",IF($M10312="PADD V","PADD 5","")))))</f>
        <v/>
      </c>
      <c r="G10312" s="6">
        <f>IF(AND($H10312="ATMOS DISTILLATION",ISNUMBER(SEARCH("VPS",$I10312))=FALSE,LEFT($I10312,6)&lt;&gt;"VACUUM"),"CDU",IF($H10312="FLUID CAT CRACKING","FCC",IF(OR($H10312="HYDROCRACKING",$H10312="RESID_HYDROCRACKING"),"Hydrocracker",IF($H10312="REFORMING","Reformer",""))))</f>
        <v/>
      </c>
    </row>
    <row r="10313" spans="6:7">
      <c r="F10313" s="6">
        <f>IF($M10313="PADD I","PADD 1",IF($M10313="PADD II","PADD 2",IF($M10313="PADD III","PADD 3",IF($M10313="PADD IV","PADD 4",IF($M10313="PADD V","PADD 5","")))))</f>
        <v/>
      </c>
      <c r="G10313" s="6">
        <f>IF(AND($H10313="ATMOS DISTILLATION",ISNUMBER(SEARCH("VPS",$I10313))=FALSE,LEFT($I10313,6)&lt;&gt;"VACUUM"),"CDU",IF($H10313="FLUID CAT CRACKING","FCC",IF(OR($H10313="HYDROCRACKING",$H10313="RESID_HYDROCRACKING"),"Hydrocracker",IF($H10313="REFORMING","Reformer",""))))</f>
        <v/>
      </c>
    </row>
    <row r="10314" spans="6:7">
      <c r="F10314" s="6">
        <f>IF($M10314="PADD I","PADD 1",IF($M10314="PADD II","PADD 2",IF($M10314="PADD III","PADD 3",IF($M10314="PADD IV","PADD 4",IF($M10314="PADD V","PADD 5","")))))</f>
        <v/>
      </c>
      <c r="G10314" s="6">
        <f>IF(AND($H10314="ATMOS DISTILLATION",ISNUMBER(SEARCH("VPS",$I10314))=FALSE,LEFT($I10314,6)&lt;&gt;"VACUUM"),"CDU",IF($H10314="FLUID CAT CRACKING","FCC",IF(OR($H10314="HYDROCRACKING",$H10314="RESID_HYDROCRACKING"),"Hydrocracker",IF($H10314="REFORMING","Reformer",""))))</f>
        <v/>
      </c>
    </row>
    <row r="10315" spans="6:7">
      <c r="F10315" s="6">
        <f>IF($M10315="PADD I","PADD 1",IF($M10315="PADD II","PADD 2",IF($M10315="PADD III","PADD 3",IF($M10315="PADD IV","PADD 4",IF($M10315="PADD V","PADD 5","")))))</f>
        <v/>
      </c>
      <c r="G10315" s="6">
        <f>IF(AND($H10315="ATMOS DISTILLATION",ISNUMBER(SEARCH("VPS",$I10315))=FALSE,LEFT($I10315,6)&lt;&gt;"VACUUM"),"CDU",IF($H10315="FLUID CAT CRACKING","FCC",IF(OR($H10315="HYDROCRACKING",$H10315="RESID_HYDROCRACKING"),"Hydrocracker",IF($H10315="REFORMING","Reformer",""))))</f>
        <v/>
      </c>
    </row>
    <row r="10316" spans="6:7">
      <c r="F10316" s="6">
        <f>IF($M10316="PADD I","PADD 1",IF($M10316="PADD II","PADD 2",IF($M10316="PADD III","PADD 3",IF($M10316="PADD IV","PADD 4",IF($M10316="PADD V","PADD 5","")))))</f>
        <v/>
      </c>
      <c r="G10316" s="6">
        <f>IF(AND($H10316="ATMOS DISTILLATION",ISNUMBER(SEARCH("VPS",$I10316))=FALSE,LEFT($I10316,6)&lt;&gt;"VACUUM"),"CDU",IF($H10316="FLUID CAT CRACKING","FCC",IF(OR($H10316="HYDROCRACKING",$H10316="RESID_HYDROCRACKING"),"Hydrocracker",IF($H10316="REFORMING","Reformer",""))))</f>
        <v/>
      </c>
    </row>
    <row r="10317" spans="6:7">
      <c r="F10317" s="6">
        <f>IF($M10317="PADD I","PADD 1",IF($M10317="PADD II","PADD 2",IF($M10317="PADD III","PADD 3",IF($M10317="PADD IV","PADD 4",IF($M10317="PADD V","PADD 5","")))))</f>
        <v/>
      </c>
      <c r="G10317" s="6">
        <f>IF(AND($H10317="ATMOS DISTILLATION",ISNUMBER(SEARCH("VPS",$I10317))=FALSE,LEFT($I10317,6)&lt;&gt;"VACUUM"),"CDU",IF($H10317="FLUID CAT CRACKING","FCC",IF(OR($H10317="HYDROCRACKING",$H10317="RESID_HYDROCRACKING"),"Hydrocracker",IF($H10317="REFORMING","Reformer",""))))</f>
        <v/>
      </c>
    </row>
    <row r="10318" spans="6:7">
      <c r="F10318" s="6">
        <f>IF($M10318="PADD I","PADD 1",IF($M10318="PADD II","PADD 2",IF($M10318="PADD III","PADD 3",IF($M10318="PADD IV","PADD 4",IF($M10318="PADD V","PADD 5","")))))</f>
        <v/>
      </c>
      <c r="G10318" s="6">
        <f>IF(AND($H10318="ATMOS DISTILLATION",ISNUMBER(SEARCH("VPS",$I10318))=FALSE,LEFT($I10318,6)&lt;&gt;"VACUUM"),"CDU",IF($H10318="FLUID CAT CRACKING","FCC",IF(OR($H10318="HYDROCRACKING",$H10318="RESID_HYDROCRACKING"),"Hydrocracker",IF($H10318="REFORMING","Reformer",""))))</f>
        <v/>
      </c>
    </row>
    <row r="10319" spans="6:7">
      <c r="F10319" s="6">
        <f>IF($M10319="PADD I","PADD 1",IF($M10319="PADD II","PADD 2",IF($M10319="PADD III","PADD 3",IF($M10319="PADD IV","PADD 4",IF($M10319="PADD V","PADD 5","")))))</f>
        <v/>
      </c>
      <c r="G10319" s="6">
        <f>IF(AND($H10319="ATMOS DISTILLATION",ISNUMBER(SEARCH("VPS",$I10319))=FALSE,LEFT($I10319,6)&lt;&gt;"VACUUM"),"CDU",IF($H10319="FLUID CAT CRACKING","FCC",IF(OR($H10319="HYDROCRACKING",$H10319="RESID_HYDROCRACKING"),"Hydrocracker",IF($H10319="REFORMING","Reformer",""))))</f>
        <v/>
      </c>
    </row>
    <row r="10320" spans="6:7">
      <c r="F10320" s="6">
        <f>IF($M10320="PADD I","PADD 1",IF($M10320="PADD II","PADD 2",IF($M10320="PADD III","PADD 3",IF($M10320="PADD IV","PADD 4",IF($M10320="PADD V","PADD 5","")))))</f>
        <v/>
      </c>
      <c r="G10320" s="6">
        <f>IF(AND($H10320="ATMOS DISTILLATION",ISNUMBER(SEARCH("VPS",$I10320))=FALSE,LEFT($I10320,6)&lt;&gt;"VACUUM"),"CDU",IF($H10320="FLUID CAT CRACKING","FCC",IF(OR($H10320="HYDROCRACKING",$H10320="RESID_HYDROCRACKING"),"Hydrocracker",IF($H10320="REFORMING","Reformer",""))))</f>
        <v/>
      </c>
    </row>
    <row r="10321" spans="6:7">
      <c r="F10321" s="6">
        <f>IF($M10321="PADD I","PADD 1",IF($M10321="PADD II","PADD 2",IF($M10321="PADD III","PADD 3",IF($M10321="PADD IV","PADD 4",IF($M10321="PADD V","PADD 5","")))))</f>
        <v/>
      </c>
      <c r="G10321" s="6">
        <f>IF(AND($H10321="ATMOS DISTILLATION",ISNUMBER(SEARCH("VPS",$I10321))=FALSE,LEFT($I10321,6)&lt;&gt;"VACUUM"),"CDU",IF($H10321="FLUID CAT CRACKING","FCC",IF(OR($H10321="HYDROCRACKING",$H10321="RESID_HYDROCRACKING"),"Hydrocracker",IF($H10321="REFORMING","Reformer",""))))</f>
        <v/>
      </c>
    </row>
    <row r="10322" spans="6:7">
      <c r="F10322" s="6">
        <f>IF($M10322="PADD I","PADD 1",IF($M10322="PADD II","PADD 2",IF($M10322="PADD III","PADD 3",IF($M10322="PADD IV","PADD 4",IF($M10322="PADD V","PADD 5","")))))</f>
        <v/>
      </c>
      <c r="G10322" s="6">
        <f>IF(AND($H10322="ATMOS DISTILLATION",ISNUMBER(SEARCH("VPS",$I10322))=FALSE,LEFT($I10322,6)&lt;&gt;"VACUUM"),"CDU",IF($H10322="FLUID CAT CRACKING","FCC",IF(OR($H10322="HYDROCRACKING",$H10322="RESID_HYDROCRACKING"),"Hydrocracker",IF($H10322="REFORMING","Reformer",""))))</f>
        <v/>
      </c>
    </row>
    <row r="10323" spans="6:7">
      <c r="F10323" s="6">
        <f>IF($M10323="PADD I","PADD 1",IF($M10323="PADD II","PADD 2",IF($M10323="PADD III","PADD 3",IF($M10323="PADD IV","PADD 4",IF($M10323="PADD V","PADD 5","")))))</f>
        <v/>
      </c>
      <c r="G10323" s="6">
        <f>IF(AND($H10323="ATMOS DISTILLATION",ISNUMBER(SEARCH("VPS",$I10323))=FALSE,LEFT($I10323,6)&lt;&gt;"VACUUM"),"CDU",IF($H10323="FLUID CAT CRACKING","FCC",IF(OR($H10323="HYDROCRACKING",$H10323="RESID_HYDROCRACKING"),"Hydrocracker",IF($H10323="REFORMING","Reformer",""))))</f>
        <v/>
      </c>
    </row>
    <row r="10324" spans="6:7">
      <c r="F10324" s="6">
        <f>IF($M10324="PADD I","PADD 1",IF($M10324="PADD II","PADD 2",IF($M10324="PADD III","PADD 3",IF($M10324="PADD IV","PADD 4",IF($M10324="PADD V","PADD 5","")))))</f>
        <v/>
      </c>
      <c r="G10324" s="6">
        <f>IF(AND($H10324="ATMOS DISTILLATION",ISNUMBER(SEARCH("VPS",$I10324))=FALSE,LEFT($I10324,6)&lt;&gt;"VACUUM"),"CDU",IF($H10324="FLUID CAT CRACKING","FCC",IF(OR($H10324="HYDROCRACKING",$H10324="RESID_HYDROCRACKING"),"Hydrocracker",IF($H10324="REFORMING","Reformer",""))))</f>
        <v/>
      </c>
    </row>
    <row r="10325" spans="6:7">
      <c r="F10325" s="6">
        <f>IF($M10325="PADD I","PADD 1",IF($M10325="PADD II","PADD 2",IF($M10325="PADD III","PADD 3",IF($M10325="PADD IV","PADD 4",IF($M10325="PADD V","PADD 5","")))))</f>
        <v/>
      </c>
      <c r="G10325" s="6">
        <f>IF(AND($H10325="ATMOS DISTILLATION",ISNUMBER(SEARCH("VPS",$I10325))=FALSE,LEFT($I10325,6)&lt;&gt;"VACUUM"),"CDU",IF($H10325="FLUID CAT CRACKING","FCC",IF(OR($H10325="HYDROCRACKING",$H10325="RESID_HYDROCRACKING"),"Hydrocracker",IF($H10325="REFORMING","Reformer",""))))</f>
        <v/>
      </c>
    </row>
    <row r="10326" spans="6:7">
      <c r="F10326" s="6">
        <f>IF($M10326="PADD I","PADD 1",IF($M10326="PADD II","PADD 2",IF($M10326="PADD III","PADD 3",IF($M10326="PADD IV","PADD 4",IF($M10326="PADD V","PADD 5","")))))</f>
        <v/>
      </c>
      <c r="G10326" s="6">
        <f>IF(AND($H10326="ATMOS DISTILLATION",ISNUMBER(SEARCH("VPS",$I10326))=FALSE,LEFT($I10326,6)&lt;&gt;"VACUUM"),"CDU",IF($H10326="FLUID CAT CRACKING","FCC",IF(OR($H10326="HYDROCRACKING",$H10326="RESID_HYDROCRACKING"),"Hydrocracker",IF($H10326="REFORMING","Reformer",""))))</f>
        <v/>
      </c>
    </row>
    <row r="10327" spans="6:7">
      <c r="F10327" s="6">
        <f>IF($M10327="PADD I","PADD 1",IF($M10327="PADD II","PADD 2",IF($M10327="PADD III","PADD 3",IF($M10327="PADD IV","PADD 4",IF($M10327="PADD V","PADD 5","")))))</f>
        <v/>
      </c>
      <c r="G10327" s="6">
        <f>IF(AND($H10327="ATMOS DISTILLATION",ISNUMBER(SEARCH("VPS",$I10327))=FALSE,LEFT($I10327,6)&lt;&gt;"VACUUM"),"CDU",IF($H10327="FLUID CAT CRACKING","FCC",IF(OR($H10327="HYDROCRACKING",$H10327="RESID_HYDROCRACKING"),"Hydrocracker",IF($H10327="REFORMING","Reformer",""))))</f>
        <v/>
      </c>
    </row>
    <row r="10328" spans="6:7">
      <c r="F10328" s="6">
        <f>IF($M10328="PADD I","PADD 1",IF($M10328="PADD II","PADD 2",IF($M10328="PADD III","PADD 3",IF($M10328="PADD IV","PADD 4",IF($M10328="PADD V","PADD 5","")))))</f>
        <v/>
      </c>
      <c r="G10328" s="6">
        <f>IF(AND($H10328="ATMOS DISTILLATION",ISNUMBER(SEARCH("VPS",$I10328))=FALSE,LEFT($I10328,6)&lt;&gt;"VACUUM"),"CDU",IF($H10328="FLUID CAT CRACKING","FCC",IF(OR($H10328="HYDROCRACKING",$H10328="RESID_HYDROCRACKING"),"Hydrocracker",IF($H10328="REFORMING","Reformer",""))))</f>
        <v/>
      </c>
    </row>
    <row r="10329" spans="6:7">
      <c r="F10329" s="6">
        <f>IF($M10329="PADD I","PADD 1",IF($M10329="PADD II","PADD 2",IF($M10329="PADD III","PADD 3",IF($M10329="PADD IV","PADD 4",IF($M10329="PADD V","PADD 5","")))))</f>
        <v/>
      </c>
      <c r="G10329" s="6">
        <f>IF(AND($H10329="ATMOS DISTILLATION",ISNUMBER(SEARCH("VPS",$I10329))=FALSE,LEFT($I10329,6)&lt;&gt;"VACUUM"),"CDU",IF($H10329="FLUID CAT CRACKING","FCC",IF(OR($H10329="HYDROCRACKING",$H10329="RESID_HYDROCRACKING"),"Hydrocracker",IF($H10329="REFORMING","Reformer",""))))</f>
        <v/>
      </c>
    </row>
    <row r="10330" spans="6:7">
      <c r="F10330" s="6">
        <f>IF($M10330="PADD I","PADD 1",IF($M10330="PADD II","PADD 2",IF($M10330="PADD III","PADD 3",IF($M10330="PADD IV","PADD 4",IF($M10330="PADD V","PADD 5","")))))</f>
        <v/>
      </c>
      <c r="G10330" s="6">
        <f>IF(AND($H10330="ATMOS DISTILLATION",ISNUMBER(SEARCH("VPS",$I10330))=FALSE,LEFT($I10330,6)&lt;&gt;"VACUUM"),"CDU",IF($H10330="FLUID CAT CRACKING","FCC",IF(OR($H10330="HYDROCRACKING",$H10330="RESID_HYDROCRACKING"),"Hydrocracker",IF($H10330="REFORMING","Reformer",""))))</f>
        <v/>
      </c>
    </row>
    <row r="10331" spans="6:7">
      <c r="F10331" s="6">
        <f>IF($M10331="PADD I","PADD 1",IF($M10331="PADD II","PADD 2",IF($M10331="PADD III","PADD 3",IF($M10331="PADD IV","PADD 4",IF($M10331="PADD V","PADD 5","")))))</f>
        <v/>
      </c>
      <c r="G10331" s="6">
        <f>IF(AND($H10331="ATMOS DISTILLATION",ISNUMBER(SEARCH("VPS",$I10331))=FALSE,LEFT($I10331,6)&lt;&gt;"VACUUM"),"CDU",IF($H10331="FLUID CAT CRACKING","FCC",IF(OR($H10331="HYDROCRACKING",$H10331="RESID_HYDROCRACKING"),"Hydrocracker",IF($H10331="REFORMING","Reformer",""))))</f>
        <v/>
      </c>
    </row>
    <row r="10332" spans="6:7">
      <c r="F10332" s="6">
        <f>IF($M10332="PADD I","PADD 1",IF($M10332="PADD II","PADD 2",IF($M10332="PADD III","PADD 3",IF($M10332="PADD IV","PADD 4",IF($M10332="PADD V","PADD 5","")))))</f>
        <v/>
      </c>
      <c r="G10332" s="6">
        <f>IF(AND($H10332="ATMOS DISTILLATION",ISNUMBER(SEARCH("VPS",$I10332))=FALSE,LEFT($I10332,6)&lt;&gt;"VACUUM"),"CDU",IF($H10332="FLUID CAT CRACKING","FCC",IF(OR($H10332="HYDROCRACKING",$H10332="RESID_HYDROCRACKING"),"Hydrocracker",IF($H10332="REFORMING","Reformer",""))))</f>
        <v/>
      </c>
    </row>
    <row r="10333" spans="6:7">
      <c r="F10333" s="6">
        <f>IF($M10333="PADD I","PADD 1",IF($M10333="PADD II","PADD 2",IF($M10333="PADD III","PADD 3",IF($M10333="PADD IV","PADD 4",IF($M10333="PADD V","PADD 5","")))))</f>
        <v/>
      </c>
      <c r="G10333" s="6">
        <f>IF(AND($H10333="ATMOS DISTILLATION",ISNUMBER(SEARCH("VPS",$I10333))=FALSE,LEFT($I10333,6)&lt;&gt;"VACUUM"),"CDU",IF($H10333="FLUID CAT CRACKING","FCC",IF(OR($H10333="HYDROCRACKING",$H10333="RESID_HYDROCRACKING"),"Hydrocracker",IF($H10333="REFORMING","Reformer",""))))</f>
        <v/>
      </c>
    </row>
    <row r="10334" spans="6:7">
      <c r="F10334" s="6">
        <f>IF($M10334="PADD I","PADD 1",IF($M10334="PADD II","PADD 2",IF($M10334="PADD III","PADD 3",IF($M10334="PADD IV","PADD 4",IF($M10334="PADD V","PADD 5","")))))</f>
        <v/>
      </c>
      <c r="G10334" s="6">
        <f>IF(AND($H10334="ATMOS DISTILLATION",ISNUMBER(SEARCH("VPS",$I10334))=FALSE,LEFT($I10334,6)&lt;&gt;"VACUUM"),"CDU",IF($H10334="FLUID CAT CRACKING","FCC",IF(OR($H10334="HYDROCRACKING",$H10334="RESID_HYDROCRACKING"),"Hydrocracker",IF($H10334="REFORMING","Reformer",""))))</f>
        <v/>
      </c>
    </row>
    <row r="10335" spans="6:7">
      <c r="F10335" s="6">
        <f>IF($M10335="PADD I","PADD 1",IF($M10335="PADD II","PADD 2",IF($M10335="PADD III","PADD 3",IF($M10335="PADD IV","PADD 4",IF($M10335="PADD V","PADD 5","")))))</f>
        <v/>
      </c>
      <c r="G10335" s="6">
        <f>IF(AND($H10335="ATMOS DISTILLATION",ISNUMBER(SEARCH("VPS",$I10335))=FALSE,LEFT($I10335,6)&lt;&gt;"VACUUM"),"CDU",IF($H10335="FLUID CAT CRACKING","FCC",IF(OR($H10335="HYDROCRACKING",$H10335="RESID_HYDROCRACKING"),"Hydrocracker",IF($H10335="REFORMING","Reformer",""))))</f>
        <v/>
      </c>
    </row>
    <row r="10336" spans="6:7">
      <c r="F10336" s="6">
        <f>IF($M10336="PADD I","PADD 1",IF($M10336="PADD II","PADD 2",IF($M10336="PADD III","PADD 3",IF($M10336="PADD IV","PADD 4",IF($M10336="PADD V","PADD 5","")))))</f>
        <v/>
      </c>
      <c r="G10336" s="6">
        <f>IF(AND($H10336="ATMOS DISTILLATION",ISNUMBER(SEARCH("VPS",$I10336))=FALSE,LEFT($I10336,6)&lt;&gt;"VACUUM"),"CDU",IF($H10336="FLUID CAT CRACKING","FCC",IF(OR($H10336="HYDROCRACKING",$H10336="RESID_HYDROCRACKING"),"Hydrocracker",IF($H10336="REFORMING","Reformer",""))))</f>
        <v/>
      </c>
    </row>
    <row r="10337" spans="6:7">
      <c r="F10337" s="6">
        <f>IF($M10337="PADD I","PADD 1",IF($M10337="PADD II","PADD 2",IF($M10337="PADD III","PADD 3",IF($M10337="PADD IV","PADD 4",IF($M10337="PADD V","PADD 5","")))))</f>
        <v/>
      </c>
      <c r="G10337" s="6">
        <f>IF(AND($H10337="ATMOS DISTILLATION",ISNUMBER(SEARCH("VPS",$I10337))=FALSE,LEFT($I10337,6)&lt;&gt;"VACUUM"),"CDU",IF($H10337="FLUID CAT CRACKING","FCC",IF(OR($H10337="HYDROCRACKING",$H10337="RESID_HYDROCRACKING"),"Hydrocracker",IF($H10337="REFORMING","Reformer",""))))</f>
        <v/>
      </c>
    </row>
    <row r="10338" spans="6:7">
      <c r="F10338" s="6">
        <f>IF($M10338="PADD I","PADD 1",IF($M10338="PADD II","PADD 2",IF($M10338="PADD III","PADD 3",IF($M10338="PADD IV","PADD 4",IF($M10338="PADD V","PADD 5","")))))</f>
        <v/>
      </c>
      <c r="G10338" s="6">
        <f>IF(AND($H10338="ATMOS DISTILLATION",ISNUMBER(SEARCH("VPS",$I10338))=FALSE,LEFT($I10338,6)&lt;&gt;"VACUUM"),"CDU",IF($H10338="FLUID CAT CRACKING","FCC",IF(OR($H10338="HYDROCRACKING",$H10338="RESID_HYDROCRACKING"),"Hydrocracker",IF($H10338="REFORMING","Reformer",""))))</f>
        <v/>
      </c>
    </row>
    <row r="10339" spans="6:7">
      <c r="F10339" s="6">
        <f>IF($M10339="PADD I","PADD 1",IF($M10339="PADD II","PADD 2",IF($M10339="PADD III","PADD 3",IF($M10339="PADD IV","PADD 4",IF($M10339="PADD V","PADD 5","")))))</f>
        <v/>
      </c>
      <c r="G10339" s="6">
        <f>IF(AND($H10339="ATMOS DISTILLATION",ISNUMBER(SEARCH("VPS",$I10339))=FALSE,LEFT($I10339,6)&lt;&gt;"VACUUM"),"CDU",IF($H10339="FLUID CAT CRACKING","FCC",IF(OR($H10339="HYDROCRACKING",$H10339="RESID_HYDROCRACKING"),"Hydrocracker",IF($H10339="REFORMING","Reformer",""))))</f>
        <v/>
      </c>
    </row>
    <row r="10340" spans="6:7">
      <c r="F10340" s="6">
        <f>IF($M10340="PADD I","PADD 1",IF($M10340="PADD II","PADD 2",IF($M10340="PADD III","PADD 3",IF($M10340="PADD IV","PADD 4",IF($M10340="PADD V","PADD 5","")))))</f>
        <v/>
      </c>
      <c r="G10340" s="6">
        <f>IF(AND($H10340="ATMOS DISTILLATION",ISNUMBER(SEARCH("VPS",$I10340))=FALSE,LEFT($I10340,6)&lt;&gt;"VACUUM"),"CDU",IF($H10340="FLUID CAT CRACKING","FCC",IF(OR($H10340="HYDROCRACKING",$H10340="RESID_HYDROCRACKING"),"Hydrocracker",IF($H10340="REFORMING","Reformer",""))))</f>
        <v/>
      </c>
    </row>
    <row r="10341" spans="6:7">
      <c r="F10341" s="6">
        <f>IF($M10341="PADD I","PADD 1",IF($M10341="PADD II","PADD 2",IF($M10341="PADD III","PADD 3",IF($M10341="PADD IV","PADD 4",IF($M10341="PADD V","PADD 5","")))))</f>
        <v/>
      </c>
      <c r="G10341" s="6">
        <f>IF(AND($H10341="ATMOS DISTILLATION",ISNUMBER(SEARCH("VPS",$I10341))=FALSE,LEFT($I10341,6)&lt;&gt;"VACUUM"),"CDU",IF($H10341="FLUID CAT CRACKING","FCC",IF(OR($H10341="HYDROCRACKING",$H10341="RESID_HYDROCRACKING"),"Hydrocracker",IF($H10341="REFORMING","Reformer",""))))</f>
        <v/>
      </c>
    </row>
    <row r="10342" spans="6:7">
      <c r="F10342" s="6">
        <f>IF($M10342="PADD I","PADD 1",IF($M10342="PADD II","PADD 2",IF($M10342="PADD III","PADD 3",IF($M10342="PADD IV","PADD 4",IF($M10342="PADD V","PADD 5","")))))</f>
        <v/>
      </c>
      <c r="G10342" s="6">
        <f>IF(AND($H10342="ATMOS DISTILLATION",ISNUMBER(SEARCH("VPS",$I10342))=FALSE,LEFT($I10342,6)&lt;&gt;"VACUUM"),"CDU",IF($H10342="FLUID CAT CRACKING","FCC",IF(OR($H10342="HYDROCRACKING",$H10342="RESID_HYDROCRACKING"),"Hydrocracker",IF($H10342="REFORMING","Reformer",""))))</f>
        <v/>
      </c>
    </row>
    <row r="10343" spans="6:7">
      <c r="F10343" s="6">
        <f>IF($M10343="PADD I","PADD 1",IF($M10343="PADD II","PADD 2",IF($M10343="PADD III","PADD 3",IF($M10343="PADD IV","PADD 4",IF($M10343="PADD V","PADD 5","")))))</f>
        <v/>
      </c>
      <c r="G10343" s="6">
        <f>IF(AND($H10343="ATMOS DISTILLATION",ISNUMBER(SEARCH("VPS",$I10343))=FALSE,LEFT($I10343,6)&lt;&gt;"VACUUM"),"CDU",IF($H10343="FLUID CAT CRACKING","FCC",IF(OR($H10343="HYDROCRACKING",$H10343="RESID_HYDROCRACKING"),"Hydrocracker",IF($H10343="REFORMING","Reformer",""))))</f>
        <v/>
      </c>
    </row>
    <row r="10344" spans="6:7">
      <c r="F10344" s="6">
        <f>IF($M10344="PADD I","PADD 1",IF($M10344="PADD II","PADD 2",IF($M10344="PADD III","PADD 3",IF($M10344="PADD IV","PADD 4",IF($M10344="PADD V","PADD 5","")))))</f>
        <v/>
      </c>
      <c r="G10344" s="6">
        <f>IF(AND($H10344="ATMOS DISTILLATION",ISNUMBER(SEARCH("VPS",$I10344))=FALSE,LEFT($I10344,6)&lt;&gt;"VACUUM"),"CDU",IF($H10344="FLUID CAT CRACKING","FCC",IF(OR($H10344="HYDROCRACKING",$H10344="RESID_HYDROCRACKING"),"Hydrocracker",IF($H10344="REFORMING","Reformer",""))))</f>
        <v/>
      </c>
    </row>
    <row r="10345" spans="6:7">
      <c r="F10345" s="6">
        <f>IF($M10345="PADD I","PADD 1",IF($M10345="PADD II","PADD 2",IF($M10345="PADD III","PADD 3",IF($M10345="PADD IV","PADD 4",IF($M10345="PADD V","PADD 5","")))))</f>
        <v/>
      </c>
      <c r="G10345" s="6">
        <f>IF(AND($H10345="ATMOS DISTILLATION",ISNUMBER(SEARCH("VPS",$I10345))=FALSE,LEFT($I10345,6)&lt;&gt;"VACUUM"),"CDU",IF($H10345="FLUID CAT CRACKING","FCC",IF(OR($H10345="HYDROCRACKING",$H10345="RESID_HYDROCRACKING"),"Hydrocracker",IF($H10345="REFORMING","Reformer",""))))</f>
        <v/>
      </c>
    </row>
    <row r="10346" spans="6:7">
      <c r="F10346" s="6">
        <f>IF($M10346="PADD I","PADD 1",IF($M10346="PADD II","PADD 2",IF($M10346="PADD III","PADD 3",IF($M10346="PADD IV","PADD 4",IF($M10346="PADD V","PADD 5","")))))</f>
        <v/>
      </c>
      <c r="G10346" s="6">
        <f>IF(AND($H10346="ATMOS DISTILLATION",ISNUMBER(SEARCH("VPS",$I10346))=FALSE,LEFT($I10346,6)&lt;&gt;"VACUUM"),"CDU",IF($H10346="FLUID CAT CRACKING","FCC",IF(OR($H10346="HYDROCRACKING",$H10346="RESID_HYDROCRACKING"),"Hydrocracker",IF($H10346="REFORMING","Reformer",""))))</f>
        <v/>
      </c>
    </row>
    <row r="10347" spans="6:7">
      <c r="F10347" s="6">
        <f>IF($M10347="PADD I","PADD 1",IF($M10347="PADD II","PADD 2",IF($M10347="PADD III","PADD 3",IF($M10347="PADD IV","PADD 4",IF($M10347="PADD V","PADD 5","")))))</f>
        <v/>
      </c>
      <c r="G10347" s="6">
        <f>IF(AND($H10347="ATMOS DISTILLATION",ISNUMBER(SEARCH("VPS",$I10347))=FALSE,LEFT($I10347,6)&lt;&gt;"VACUUM"),"CDU",IF($H10347="FLUID CAT CRACKING","FCC",IF(OR($H10347="HYDROCRACKING",$H10347="RESID_HYDROCRACKING"),"Hydrocracker",IF($H10347="REFORMING","Reformer",""))))</f>
        <v/>
      </c>
    </row>
    <row r="10348" spans="6:7">
      <c r="F10348" s="6">
        <f>IF($M10348="PADD I","PADD 1",IF($M10348="PADD II","PADD 2",IF($M10348="PADD III","PADD 3",IF($M10348="PADD IV","PADD 4",IF($M10348="PADD V","PADD 5","")))))</f>
        <v/>
      </c>
      <c r="G10348" s="6">
        <f>IF(AND($H10348="ATMOS DISTILLATION",ISNUMBER(SEARCH("VPS",$I10348))=FALSE,LEFT($I10348,6)&lt;&gt;"VACUUM"),"CDU",IF($H10348="FLUID CAT CRACKING","FCC",IF(OR($H10348="HYDROCRACKING",$H10348="RESID_HYDROCRACKING"),"Hydrocracker",IF($H10348="REFORMING","Reformer",""))))</f>
        <v/>
      </c>
    </row>
    <row r="10349" spans="6:7">
      <c r="F10349" s="6">
        <f>IF($M10349="PADD I","PADD 1",IF($M10349="PADD II","PADD 2",IF($M10349="PADD III","PADD 3",IF($M10349="PADD IV","PADD 4",IF($M10349="PADD V","PADD 5","")))))</f>
        <v/>
      </c>
      <c r="G10349" s="6">
        <f>IF(AND($H10349="ATMOS DISTILLATION",ISNUMBER(SEARCH("VPS",$I10349))=FALSE,LEFT($I10349,6)&lt;&gt;"VACUUM"),"CDU",IF($H10349="FLUID CAT CRACKING","FCC",IF(OR($H10349="HYDROCRACKING",$H10349="RESID_HYDROCRACKING"),"Hydrocracker",IF($H10349="REFORMING","Reformer",""))))</f>
        <v/>
      </c>
    </row>
    <row r="10350" spans="6:7">
      <c r="F10350" s="6">
        <f>IF($M10350="PADD I","PADD 1",IF($M10350="PADD II","PADD 2",IF($M10350="PADD III","PADD 3",IF($M10350="PADD IV","PADD 4",IF($M10350="PADD V","PADD 5","")))))</f>
        <v/>
      </c>
      <c r="G10350" s="6">
        <f>IF(AND($H10350="ATMOS DISTILLATION",ISNUMBER(SEARCH("VPS",$I10350))=FALSE,LEFT($I10350,6)&lt;&gt;"VACUUM"),"CDU",IF($H10350="FLUID CAT CRACKING","FCC",IF(OR($H10350="HYDROCRACKING",$H10350="RESID_HYDROCRACKING"),"Hydrocracker",IF($H10350="REFORMING","Reformer",""))))</f>
        <v/>
      </c>
    </row>
    <row r="10351" spans="6:7">
      <c r="F10351" s="6">
        <f>IF($M10351="PADD I","PADD 1",IF($M10351="PADD II","PADD 2",IF($M10351="PADD III","PADD 3",IF($M10351="PADD IV","PADD 4",IF($M10351="PADD V","PADD 5","")))))</f>
        <v/>
      </c>
      <c r="G10351" s="6">
        <f>IF(AND($H10351="ATMOS DISTILLATION",ISNUMBER(SEARCH("VPS",$I10351))=FALSE,LEFT($I10351,6)&lt;&gt;"VACUUM"),"CDU",IF($H10351="FLUID CAT CRACKING","FCC",IF(OR($H10351="HYDROCRACKING",$H10351="RESID_HYDROCRACKING"),"Hydrocracker",IF($H10351="REFORMING","Reformer",""))))</f>
        <v/>
      </c>
    </row>
    <row r="10352" spans="6:7">
      <c r="F10352" s="6">
        <f>IF($M10352="PADD I","PADD 1",IF($M10352="PADD II","PADD 2",IF($M10352="PADD III","PADD 3",IF($M10352="PADD IV","PADD 4",IF($M10352="PADD V","PADD 5","")))))</f>
        <v/>
      </c>
      <c r="G10352" s="6">
        <f>IF(AND($H10352="ATMOS DISTILLATION",ISNUMBER(SEARCH("VPS",$I10352))=FALSE,LEFT($I10352,6)&lt;&gt;"VACUUM"),"CDU",IF($H10352="FLUID CAT CRACKING","FCC",IF(OR($H10352="HYDROCRACKING",$H10352="RESID_HYDROCRACKING"),"Hydrocracker",IF($H10352="REFORMING","Reformer",""))))</f>
        <v/>
      </c>
    </row>
    <row r="10353" spans="6:7">
      <c r="F10353" s="6">
        <f>IF($M10353="PADD I","PADD 1",IF($M10353="PADD II","PADD 2",IF($M10353="PADD III","PADD 3",IF($M10353="PADD IV","PADD 4",IF($M10353="PADD V","PADD 5","")))))</f>
        <v/>
      </c>
      <c r="G10353" s="6">
        <f>IF(AND($H10353="ATMOS DISTILLATION",ISNUMBER(SEARCH("VPS",$I10353))=FALSE,LEFT($I10353,6)&lt;&gt;"VACUUM"),"CDU",IF($H10353="FLUID CAT CRACKING","FCC",IF(OR($H10353="HYDROCRACKING",$H10353="RESID_HYDROCRACKING"),"Hydrocracker",IF($H10353="REFORMING","Reformer",""))))</f>
        <v/>
      </c>
    </row>
    <row r="10354" spans="6:7">
      <c r="F10354" s="6">
        <f>IF($M10354="PADD I","PADD 1",IF($M10354="PADD II","PADD 2",IF($M10354="PADD III","PADD 3",IF($M10354="PADD IV","PADD 4",IF($M10354="PADD V","PADD 5","")))))</f>
        <v/>
      </c>
      <c r="G10354" s="6">
        <f>IF(AND($H10354="ATMOS DISTILLATION",ISNUMBER(SEARCH("VPS",$I10354))=FALSE,LEFT($I10354,6)&lt;&gt;"VACUUM"),"CDU",IF($H10354="FLUID CAT CRACKING","FCC",IF(OR($H10354="HYDROCRACKING",$H10354="RESID_HYDROCRACKING"),"Hydrocracker",IF($H10354="REFORMING","Reformer",""))))</f>
        <v/>
      </c>
    </row>
    <row r="10355" spans="6:7">
      <c r="F10355" s="6">
        <f>IF($M10355="PADD I","PADD 1",IF($M10355="PADD II","PADD 2",IF($M10355="PADD III","PADD 3",IF($M10355="PADD IV","PADD 4",IF($M10355="PADD V","PADD 5","")))))</f>
        <v/>
      </c>
      <c r="G10355" s="6">
        <f>IF(AND($H10355="ATMOS DISTILLATION",ISNUMBER(SEARCH("VPS",$I10355))=FALSE,LEFT($I10355,6)&lt;&gt;"VACUUM"),"CDU",IF($H10355="FLUID CAT CRACKING","FCC",IF(OR($H10355="HYDROCRACKING",$H10355="RESID_HYDROCRACKING"),"Hydrocracker",IF($H10355="REFORMING","Reformer",""))))</f>
        <v/>
      </c>
    </row>
    <row r="10356" spans="6:7">
      <c r="F10356" s="6">
        <f>IF($M10356="PADD I","PADD 1",IF($M10356="PADD II","PADD 2",IF($M10356="PADD III","PADD 3",IF($M10356="PADD IV","PADD 4",IF($M10356="PADD V","PADD 5","")))))</f>
        <v/>
      </c>
      <c r="G10356" s="6">
        <f>IF(AND($H10356="ATMOS DISTILLATION",ISNUMBER(SEARCH("VPS",$I10356))=FALSE,LEFT($I10356,6)&lt;&gt;"VACUUM"),"CDU",IF($H10356="FLUID CAT CRACKING","FCC",IF(OR($H10356="HYDROCRACKING",$H10356="RESID_HYDROCRACKING"),"Hydrocracker",IF($H10356="REFORMING","Reformer",""))))</f>
        <v/>
      </c>
    </row>
    <row r="10357" spans="6:7">
      <c r="F10357" s="6">
        <f>IF($M10357="PADD I","PADD 1",IF($M10357="PADD II","PADD 2",IF($M10357="PADD III","PADD 3",IF($M10357="PADD IV","PADD 4",IF($M10357="PADD V","PADD 5","")))))</f>
        <v/>
      </c>
      <c r="G10357" s="6">
        <f>IF(AND($H10357="ATMOS DISTILLATION",ISNUMBER(SEARCH("VPS",$I10357))=FALSE,LEFT($I10357,6)&lt;&gt;"VACUUM"),"CDU",IF($H10357="FLUID CAT CRACKING","FCC",IF(OR($H10357="HYDROCRACKING",$H10357="RESID_HYDROCRACKING"),"Hydrocracker",IF($H10357="REFORMING","Reformer",""))))</f>
        <v/>
      </c>
    </row>
    <row r="10358" spans="6:7">
      <c r="F10358" s="6">
        <f>IF($M10358="PADD I","PADD 1",IF($M10358="PADD II","PADD 2",IF($M10358="PADD III","PADD 3",IF($M10358="PADD IV","PADD 4",IF($M10358="PADD V","PADD 5","")))))</f>
        <v/>
      </c>
      <c r="G10358" s="6">
        <f>IF(AND($H10358="ATMOS DISTILLATION",ISNUMBER(SEARCH("VPS",$I10358))=FALSE,LEFT($I10358,6)&lt;&gt;"VACUUM"),"CDU",IF($H10358="FLUID CAT CRACKING","FCC",IF(OR($H10358="HYDROCRACKING",$H10358="RESID_HYDROCRACKING"),"Hydrocracker",IF($H10358="REFORMING","Reformer",""))))</f>
        <v/>
      </c>
    </row>
    <row r="10359" spans="6:7">
      <c r="F10359" s="6">
        <f>IF($M10359="PADD I","PADD 1",IF($M10359="PADD II","PADD 2",IF($M10359="PADD III","PADD 3",IF($M10359="PADD IV","PADD 4",IF($M10359="PADD V","PADD 5","")))))</f>
        <v/>
      </c>
      <c r="G10359" s="6">
        <f>IF(AND($H10359="ATMOS DISTILLATION",ISNUMBER(SEARCH("VPS",$I10359))=FALSE,LEFT($I10359,6)&lt;&gt;"VACUUM"),"CDU",IF($H10359="FLUID CAT CRACKING","FCC",IF(OR($H10359="HYDROCRACKING",$H10359="RESID_HYDROCRACKING"),"Hydrocracker",IF($H10359="REFORMING","Reformer",""))))</f>
        <v/>
      </c>
    </row>
    <row r="10360" spans="6:7">
      <c r="F10360" s="6">
        <f>IF($M10360="PADD I","PADD 1",IF($M10360="PADD II","PADD 2",IF($M10360="PADD III","PADD 3",IF($M10360="PADD IV","PADD 4",IF($M10360="PADD V","PADD 5","")))))</f>
        <v/>
      </c>
      <c r="G10360" s="6">
        <f>IF(AND($H10360="ATMOS DISTILLATION",ISNUMBER(SEARCH("VPS",$I10360))=FALSE,LEFT($I10360,6)&lt;&gt;"VACUUM"),"CDU",IF($H10360="FLUID CAT CRACKING","FCC",IF(OR($H10360="HYDROCRACKING",$H10360="RESID_HYDROCRACKING"),"Hydrocracker",IF($H10360="REFORMING","Reformer",""))))</f>
        <v/>
      </c>
    </row>
    <row r="10361" spans="6:7">
      <c r="F10361" s="6">
        <f>IF($M10361="PADD I","PADD 1",IF($M10361="PADD II","PADD 2",IF($M10361="PADD III","PADD 3",IF($M10361="PADD IV","PADD 4",IF($M10361="PADD V","PADD 5","")))))</f>
        <v/>
      </c>
      <c r="G10361" s="6">
        <f>IF(AND($H10361="ATMOS DISTILLATION",ISNUMBER(SEARCH("VPS",$I10361))=FALSE,LEFT($I10361,6)&lt;&gt;"VACUUM"),"CDU",IF($H10361="FLUID CAT CRACKING","FCC",IF(OR($H10361="HYDROCRACKING",$H10361="RESID_HYDROCRACKING"),"Hydrocracker",IF($H10361="REFORMING","Reformer",""))))</f>
        <v/>
      </c>
    </row>
    <row r="10362" spans="6:7">
      <c r="F10362" s="6">
        <f>IF($M10362="PADD I","PADD 1",IF($M10362="PADD II","PADD 2",IF($M10362="PADD III","PADD 3",IF($M10362="PADD IV","PADD 4",IF($M10362="PADD V","PADD 5","")))))</f>
        <v/>
      </c>
      <c r="G10362" s="6">
        <f>IF(AND($H10362="ATMOS DISTILLATION",ISNUMBER(SEARCH("VPS",$I10362))=FALSE,LEFT($I10362,6)&lt;&gt;"VACUUM"),"CDU",IF($H10362="FLUID CAT CRACKING","FCC",IF(OR($H10362="HYDROCRACKING",$H10362="RESID_HYDROCRACKING"),"Hydrocracker",IF($H10362="REFORMING","Reformer",""))))</f>
        <v/>
      </c>
    </row>
    <row r="10363" spans="6:7">
      <c r="F10363" s="6">
        <f>IF($M10363="PADD I","PADD 1",IF($M10363="PADD II","PADD 2",IF($M10363="PADD III","PADD 3",IF($M10363="PADD IV","PADD 4",IF($M10363="PADD V","PADD 5","")))))</f>
        <v/>
      </c>
      <c r="G10363" s="6">
        <f>IF(AND($H10363="ATMOS DISTILLATION",ISNUMBER(SEARCH("VPS",$I10363))=FALSE,LEFT($I10363,6)&lt;&gt;"VACUUM"),"CDU",IF($H10363="FLUID CAT CRACKING","FCC",IF(OR($H10363="HYDROCRACKING",$H10363="RESID_HYDROCRACKING"),"Hydrocracker",IF($H10363="REFORMING","Reformer",""))))</f>
        <v/>
      </c>
    </row>
    <row r="10364" spans="6:7">
      <c r="F10364" s="6">
        <f>IF($M10364="PADD I","PADD 1",IF($M10364="PADD II","PADD 2",IF($M10364="PADD III","PADD 3",IF($M10364="PADD IV","PADD 4",IF($M10364="PADD V","PADD 5","")))))</f>
        <v/>
      </c>
      <c r="G10364" s="6">
        <f>IF(AND($H10364="ATMOS DISTILLATION",ISNUMBER(SEARCH("VPS",$I10364))=FALSE,LEFT($I10364,6)&lt;&gt;"VACUUM"),"CDU",IF($H10364="FLUID CAT CRACKING","FCC",IF(OR($H10364="HYDROCRACKING",$H10364="RESID_HYDROCRACKING"),"Hydrocracker",IF($H10364="REFORMING","Reformer",""))))</f>
        <v/>
      </c>
    </row>
    <row r="10365" spans="6:7">
      <c r="F10365" s="6">
        <f>IF($M10365="PADD I","PADD 1",IF($M10365="PADD II","PADD 2",IF($M10365="PADD III","PADD 3",IF($M10365="PADD IV","PADD 4",IF($M10365="PADD V","PADD 5","")))))</f>
        <v/>
      </c>
      <c r="G10365" s="6">
        <f>IF(AND($H10365="ATMOS DISTILLATION",ISNUMBER(SEARCH("VPS",$I10365))=FALSE,LEFT($I10365,6)&lt;&gt;"VACUUM"),"CDU",IF($H10365="FLUID CAT CRACKING","FCC",IF(OR($H10365="HYDROCRACKING",$H10365="RESID_HYDROCRACKING"),"Hydrocracker",IF($H10365="REFORMING","Reformer",""))))</f>
        <v/>
      </c>
    </row>
    <row r="10366" spans="6:7">
      <c r="F10366" s="6">
        <f>IF($M10366="PADD I","PADD 1",IF($M10366="PADD II","PADD 2",IF($M10366="PADD III","PADD 3",IF($M10366="PADD IV","PADD 4",IF($M10366="PADD V","PADD 5","")))))</f>
        <v/>
      </c>
      <c r="G10366" s="6">
        <f>IF(AND($H10366="ATMOS DISTILLATION",ISNUMBER(SEARCH("VPS",$I10366))=FALSE,LEFT($I10366,6)&lt;&gt;"VACUUM"),"CDU",IF($H10366="FLUID CAT CRACKING","FCC",IF(OR($H10366="HYDROCRACKING",$H10366="RESID_HYDROCRACKING"),"Hydrocracker",IF($H10366="REFORMING","Reformer",""))))</f>
        <v/>
      </c>
    </row>
    <row r="10367" spans="6:7">
      <c r="F10367" s="6">
        <f>IF($M10367="PADD I","PADD 1",IF($M10367="PADD II","PADD 2",IF($M10367="PADD III","PADD 3",IF($M10367="PADD IV","PADD 4",IF($M10367="PADD V","PADD 5","")))))</f>
        <v/>
      </c>
      <c r="G10367" s="6">
        <f>IF(AND($H10367="ATMOS DISTILLATION",ISNUMBER(SEARCH("VPS",$I10367))=FALSE,LEFT($I10367,6)&lt;&gt;"VACUUM"),"CDU",IF($H10367="FLUID CAT CRACKING","FCC",IF(OR($H10367="HYDROCRACKING",$H10367="RESID_HYDROCRACKING"),"Hydrocracker",IF($H10367="REFORMING","Reformer",""))))</f>
        <v/>
      </c>
    </row>
    <row r="10368" spans="6:7">
      <c r="F10368" s="6">
        <f>IF($M10368="PADD I","PADD 1",IF($M10368="PADD II","PADD 2",IF($M10368="PADD III","PADD 3",IF($M10368="PADD IV","PADD 4",IF($M10368="PADD V","PADD 5","")))))</f>
        <v/>
      </c>
      <c r="G10368" s="6">
        <f>IF(AND($H10368="ATMOS DISTILLATION",ISNUMBER(SEARCH("VPS",$I10368))=FALSE,LEFT($I10368,6)&lt;&gt;"VACUUM"),"CDU",IF($H10368="FLUID CAT CRACKING","FCC",IF(OR($H10368="HYDROCRACKING",$H10368="RESID_HYDROCRACKING"),"Hydrocracker",IF($H10368="REFORMING","Reformer",""))))</f>
        <v/>
      </c>
    </row>
    <row r="10369" spans="6:7">
      <c r="F10369" s="6">
        <f>IF($M10369="PADD I","PADD 1",IF($M10369="PADD II","PADD 2",IF($M10369="PADD III","PADD 3",IF($M10369="PADD IV","PADD 4",IF($M10369="PADD V","PADD 5","")))))</f>
        <v/>
      </c>
      <c r="G10369" s="6">
        <f>IF(AND($H10369="ATMOS DISTILLATION",ISNUMBER(SEARCH("VPS",$I10369))=FALSE,LEFT($I10369,6)&lt;&gt;"VACUUM"),"CDU",IF($H10369="FLUID CAT CRACKING","FCC",IF(OR($H10369="HYDROCRACKING",$H10369="RESID_HYDROCRACKING"),"Hydrocracker",IF($H10369="REFORMING","Reformer",""))))</f>
        <v/>
      </c>
    </row>
    <row r="10370" spans="6:7">
      <c r="F10370" s="6">
        <f>IF($M10370="PADD I","PADD 1",IF($M10370="PADD II","PADD 2",IF($M10370="PADD III","PADD 3",IF($M10370="PADD IV","PADD 4",IF($M10370="PADD V","PADD 5","")))))</f>
        <v/>
      </c>
      <c r="G10370" s="6">
        <f>IF(AND($H10370="ATMOS DISTILLATION",ISNUMBER(SEARCH("VPS",$I10370))=FALSE,LEFT($I10370,6)&lt;&gt;"VACUUM"),"CDU",IF($H10370="FLUID CAT CRACKING","FCC",IF(OR($H10370="HYDROCRACKING",$H10370="RESID_HYDROCRACKING"),"Hydrocracker",IF($H10370="REFORMING","Reformer",""))))</f>
        <v/>
      </c>
    </row>
    <row r="10371" spans="6:7">
      <c r="F10371" s="6">
        <f>IF($M10371="PADD I","PADD 1",IF($M10371="PADD II","PADD 2",IF($M10371="PADD III","PADD 3",IF($M10371="PADD IV","PADD 4",IF($M10371="PADD V","PADD 5","")))))</f>
        <v/>
      </c>
      <c r="G10371" s="6">
        <f>IF(AND($H10371="ATMOS DISTILLATION",ISNUMBER(SEARCH("VPS",$I10371))=FALSE,LEFT($I10371,6)&lt;&gt;"VACUUM"),"CDU",IF($H10371="FLUID CAT CRACKING","FCC",IF(OR($H10371="HYDROCRACKING",$H10371="RESID_HYDROCRACKING"),"Hydrocracker",IF($H10371="REFORMING","Reformer",""))))</f>
        <v/>
      </c>
    </row>
    <row r="10372" spans="6:7">
      <c r="F10372" s="6">
        <f>IF($M10372="PADD I","PADD 1",IF($M10372="PADD II","PADD 2",IF($M10372="PADD III","PADD 3",IF($M10372="PADD IV","PADD 4",IF($M10372="PADD V","PADD 5","")))))</f>
        <v/>
      </c>
      <c r="G10372" s="6">
        <f>IF(AND($H10372="ATMOS DISTILLATION",ISNUMBER(SEARCH("VPS",$I10372))=FALSE,LEFT($I10372,6)&lt;&gt;"VACUUM"),"CDU",IF($H10372="FLUID CAT CRACKING","FCC",IF(OR($H10372="HYDROCRACKING",$H10372="RESID_HYDROCRACKING"),"Hydrocracker",IF($H10372="REFORMING","Reformer",""))))</f>
        <v/>
      </c>
    </row>
    <row r="10373" spans="6:7">
      <c r="F10373" s="6">
        <f>IF($M10373="PADD I","PADD 1",IF($M10373="PADD II","PADD 2",IF($M10373="PADD III","PADD 3",IF($M10373="PADD IV","PADD 4",IF($M10373="PADD V","PADD 5","")))))</f>
        <v/>
      </c>
      <c r="G10373" s="6">
        <f>IF(AND($H10373="ATMOS DISTILLATION",ISNUMBER(SEARCH("VPS",$I10373))=FALSE,LEFT($I10373,6)&lt;&gt;"VACUUM"),"CDU",IF($H10373="FLUID CAT CRACKING","FCC",IF(OR($H10373="HYDROCRACKING",$H10373="RESID_HYDROCRACKING"),"Hydrocracker",IF($H10373="REFORMING","Reformer",""))))</f>
        <v/>
      </c>
    </row>
    <row r="10374" spans="6:7">
      <c r="F10374" s="6">
        <f>IF($M10374="PADD I","PADD 1",IF($M10374="PADD II","PADD 2",IF($M10374="PADD III","PADD 3",IF($M10374="PADD IV","PADD 4",IF($M10374="PADD V","PADD 5","")))))</f>
        <v/>
      </c>
      <c r="G10374" s="6">
        <f>IF(AND($H10374="ATMOS DISTILLATION",ISNUMBER(SEARCH("VPS",$I10374))=FALSE,LEFT($I10374,6)&lt;&gt;"VACUUM"),"CDU",IF($H10374="FLUID CAT CRACKING","FCC",IF(OR($H10374="HYDROCRACKING",$H10374="RESID_HYDROCRACKING"),"Hydrocracker",IF($H10374="REFORMING","Reformer",""))))</f>
        <v/>
      </c>
    </row>
    <row r="10375" spans="6:7">
      <c r="F10375" s="6">
        <f>IF($M10375="PADD I","PADD 1",IF($M10375="PADD II","PADD 2",IF($M10375="PADD III","PADD 3",IF($M10375="PADD IV","PADD 4",IF($M10375="PADD V","PADD 5","")))))</f>
        <v/>
      </c>
      <c r="G10375" s="6">
        <f>IF(AND($H10375="ATMOS DISTILLATION",ISNUMBER(SEARCH("VPS",$I10375))=FALSE,LEFT($I10375,6)&lt;&gt;"VACUUM"),"CDU",IF($H10375="FLUID CAT CRACKING","FCC",IF(OR($H10375="HYDROCRACKING",$H10375="RESID_HYDROCRACKING"),"Hydrocracker",IF($H10375="REFORMING","Reformer",""))))</f>
        <v/>
      </c>
    </row>
    <row r="10376" spans="6:7">
      <c r="F10376" s="6">
        <f>IF($M10376="PADD I","PADD 1",IF($M10376="PADD II","PADD 2",IF($M10376="PADD III","PADD 3",IF($M10376="PADD IV","PADD 4",IF($M10376="PADD V","PADD 5","")))))</f>
        <v/>
      </c>
      <c r="G10376" s="6">
        <f>IF(AND($H10376="ATMOS DISTILLATION",ISNUMBER(SEARCH("VPS",$I10376))=FALSE,LEFT($I10376,6)&lt;&gt;"VACUUM"),"CDU",IF($H10376="FLUID CAT CRACKING","FCC",IF(OR($H10376="HYDROCRACKING",$H10376="RESID_HYDROCRACKING"),"Hydrocracker",IF($H10376="REFORMING","Reformer",""))))</f>
        <v/>
      </c>
    </row>
    <row r="10377" spans="6:7">
      <c r="F10377" s="6">
        <f>IF($M10377="PADD I","PADD 1",IF($M10377="PADD II","PADD 2",IF($M10377="PADD III","PADD 3",IF($M10377="PADD IV","PADD 4",IF($M10377="PADD V","PADD 5","")))))</f>
        <v/>
      </c>
      <c r="G10377" s="6">
        <f>IF(AND($H10377="ATMOS DISTILLATION",ISNUMBER(SEARCH("VPS",$I10377))=FALSE,LEFT($I10377,6)&lt;&gt;"VACUUM"),"CDU",IF($H10377="FLUID CAT CRACKING","FCC",IF(OR($H10377="HYDROCRACKING",$H10377="RESID_HYDROCRACKING"),"Hydrocracker",IF($H10377="REFORMING","Reformer",""))))</f>
        <v/>
      </c>
    </row>
    <row r="10378" spans="6:7">
      <c r="F10378" s="6">
        <f>IF($M10378="PADD I","PADD 1",IF($M10378="PADD II","PADD 2",IF($M10378="PADD III","PADD 3",IF($M10378="PADD IV","PADD 4",IF($M10378="PADD V","PADD 5","")))))</f>
        <v/>
      </c>
      <c r="G10378" s="6">
        <f>IF(AND($H10378="ATMOS DISTILLATION",ISNUMBER(SEARCH("VPS",$I10378))=FALSE,LEFT($I10378,6)&lt;&gt;"VACUUM"),"CDU",IF($H10378="FLUID CAT CRACKING","FCC",IF(OR($H10378="HYDROCRACKING",$H10378="RESID_HYDROCRACKING"),"Hydrocracker",IF($H10378="REFORMING","Reformer",""))))</f>
        <v/>
      </c>
    </row>
    <row r="10379" spans="6:7">
      <c r="F10379" s="6">
        <f>IF($M10379="PADD I","PADD 1",IF($M10379="PADD II","PADD 2",IF($M10379="PADD III","PADD 3",IF($M10379="PADD IV","PADD 4",IF($M10379="PADD V","PADD 5","")))))</f>
        <v/>
      </c>
      <c r="G10379" s="6">
        <f>IF(AND($H10379="ATMOS DISTILLATION",ISNUMBER(SEARCH("VPS",$I10379))=FALSE,LEFT($I10379,6)&lt;&gt;"VACUUM"),"CDU",IF($H10379="FLUID CAT CRACKING","FCC",IF(OR($H10379="HYDROCRACKING",$H10379="RESID_HYDROCRACKING"),"Hydrocracker",IF($H10379="REFORMING","Reformer",""))))</f>
        <v/>
      </c>
    </row>
    <row r="10380" spans="6:7">
      <c r="F10380" s="6">
        <f>IF($M10380="PADD I","PADD 1",IF($M10380="PADD II","PADD 2",IF($M10380="PADD III","PADD 3",IF($M10380="PADD IV","PADD 4",IF($M10380="PADD V","PADD 5","")))))</f>
        <v/>
      </c>
      <c r="G10380" s="6">
        <f>IF(AND($H10380="ATMOS DISTILLATION",ISNUMBER(SEARCH("VPS",$I10380))=FALSE,LEFT($I10380,6)&lt;&gt;"VACUUM"),"CDU",IF($H10380="FLUID CAT CRACKING","FCC",IF(OR($H10380="HYDROCRACKING",$H10380="RESID_HYDROCRACKING"),"Hydrocracker",IF($H10380="REFORMING","Reformer",""))))</f>
        <v/>
      </c>
    </row>
    <row r="10381" spans="6:7">
      <c r="F10381" s="6">
        <f>IF($M10381="PADD I","PADD 1",IF($M10381="PADD II","PADD 2",IF($M10381="PADD III","PADD 3",IF($M10381="PADD IV","PADD 4",IF($M10381="PADD V","PADD 5","")))))</f>
        <v/>
      </c>
      <c r="G10381" s="6">
        <f>IF(AND($H10381="ATMOS DISTILLATION",ISNUMBER(SEARCH("VPS",$I10381))=FALSE,LEFT($I10381,6)&lt;&gt;"VACUUM"),"CDU",IF($H10381="FLUID CAT CRACKING","FCC",IF(OR($H10381="HYDROCRACKING",$H10381="RESID_HYDROCRACKING"),"Hydrocracker",IF($H10381="REFORMING","Reformer",""))))</f>
        <v/>
      </c>
    </row>
    <row r="10382" spans="6:7">
      <c r="F10382" s="6">
        <f>IF($M10382="PADD I","PADD 1",IF($M10382="PADD II","PADD 2",IF($M10382="PADD III","PADD 3",IF($M10382="PADD IV","PADD 4",IF($M10382="PADD V","PADD 5","")))))</f>
        <v/>
      </c>
      <c r="G10382" s="6">
        <f>IF(AND($H10382="ATMOS DISTILLATION",ISNUMBER(SEARCH("VPS",$I10382))=FALSE,LEFT($I10382,6)&lt;&gt;"VACUUM"),"CDU",IF($H10382="FLUID CAT CRACKING","FCC",IF(OR($H10382="HYDROCRACKING",$H10382="RESID_HYDROCRACKING"),"Hydrocracker",IF($H10382="REFORMING","Reformer",""))))</f>
        <v/>
      </c>
    </row>
    <row r="10383" spans="6:7">
      <c r="F10383" s="6">
        <f>IF($M10383="PADD I","PADD 1",IF($M10383="PADD II","PADD 2",IF($M10383="PADD III","PADD 3",IF($M10383="PADD IV","PADD 4",IF($M10383="PADD V","PADD 5","")))))</f>
        <v/>
      </c>
      <c r="G10383" s="6">
        <f>IF(AND($H10383="ATMOS DISTILLATION",ISNUMBER(SEARCH("VPS",$I10383))=FALSE,LEFT($I10383,6)&lt;&gt;"VACUUM"),"CDU",IF($H10383="FLUID CAT CRACKING","FCC",IF(OR($H10383="HYDROCRACKING",$H10383="RESID_HYDROCRACKING"),"Hydrocracker",IF($H10383="REFORMING","Reformer",""))))</f>
        <v/>
      </c>
    </row>
    <row r="10384" spans="6:7">
      <c r="F10384" s="6">
        <f>IF($M10384="PADD I","PADD 1",IF($M10384="PADD II","PADD 2",IF($M10384="PADD III","PADD 3",IF($M10384="PADD IV","PADD 4",IF($M10384="PADD V","PADD 5","")))))</f>
        <v/>
      </c>
      <c r="G10384" s="6">
        <f>IF(AND($H10384="ATMOS DISTILLATION",ISNUMBER(SEARCH("VPS",$I10384))=FALSE,LEFT($I10384,6)&lt;&gt;"VACUUM"),"CDU",IF($H10384="FLUID CAT CRACKING","FCC",IF(OR($H10384="HYDROCRACKING",$H10384="RESID_HYDROCRACKING"),"Hydrocracker",IF($H10384="REFORMING","Reformer",""))))</f>
        <v/>
      </c>
    </row>
    <row r="10385" spans="6:7">
      <c r="F10385" s="6">
        <f>IF($M10385="PADD I","PADD 1",IF($M10385="PADD II","PADD 2",IF($M10385="PADD III","PADD 3",IF($M10385="PADD IV","PADD 4",IF($M10385="PADD V","PADD 5","")))))</f>
        <v/>
      </c>
      <c r="G10385" s="6">
        <f>IF(AND($H10385="ATMOS DISTILLATION",ISNUMBER(SEARCH("VPS",$I10385))=FALSE,LEFT($I10385,6)&lt;&gt;"VACUUM"),"CDU",IF($H10385="FLUID CAT CRACKING","FCC",IF(OR($H10385="HYDROCRACKING",$H10385="RESID_HYDROCRACKING"),"Hydrocracker",IF($H10385="REFORMING","Reformer",""))))</f>
        <v/>
      </c>
    </row>
    <row r="10386" spans="6:7">
      <c r="F10386" s="6">
        <f>IF($M10386="PADD I","PADD 1",IF($M10386="PADD II","PADD 2",IF($M10386="PADD III","PADD 3",IF($M10386="PADD IV","PADD 4",IF($M10386="PADD V","PADD 5","")))))</f>
        <v/>
      </c>
      <c r="G10386" s="6">
        <f>IF(AND($H10386="ATMOS DISTILLATION",ISNUMBER(SEARCH("VPS",$I10386))=FALSE,LEFT($I10386,6)&lt;&gt;"VACUUM"),"CDU",IF($H10386="FLUID CAT CRACKING","FCC",IF(OR($H10386="HYDROCRACKING",$H10386="RESID_HYDROCRACKING"),"Hydrocracker",IF($H10386="REFORMING","Reformer",""))))</f>
        <v/>
      </c>
    </row>
    <row r="10387" spans="6:7">
      <c r="F10387" s="6">
        <f>IF($M10387="PADD I","PADD 1",IF($M10387="PADD II","PADD 2",IF($M10387="PADD III","PADD 3",IF($M10387="PADD IV","PADD 4",IF($M10387="PADD V","PADD 5","")))))</f>
        <v/>
      </c>
      <c r="G10387" s="6">
        <f>IF(AND($H10387="ATMOS DISTILLATION",ISNUMBER(SEARCH("VPS",$I10387))=FALSE,LEFT($I10387,6)&lt;&gt;"VACUUM"),"CDU",IF($H10387="FLUID CAT CRACKING","FCC",IF(OR($H10387="HYDROCRACKING",$H10387="RESID_HYDROCRACKING"),"Hydrocracker",IF($H10387="REFORMING","Reformer",""))))</f>
        <v/>
      </c>
    </row>
    <row r="10388" spans="6:7">
      <c r="F10388" s="6">
        <f>IF($M10388="PADD I","PADD 1",IF($M10388="PADD II","PADD 2",IF($M10388="PADD III","PADD 3",IF($M10388="PADD IV","PADD 4",IF($M10388="PADD V","PADD 5","")))))</f>
        <v/>
      </c>
      <c r="G10388" s="6">
        <f>IF(AND($H10388="ATMOS DISTILLATION",ISNUMBER(SEARCH("VPS",$I10388))=FALSE,LEFT($I10388,6)&lt;&gt;"VACUUM"),"CDU",IF($H10388="FLUID CAT CRACKING","FCC",IF(OR($H10388="HYDROCRACKING",$H10388="RESID_HYDROCRACKING"),"Hydrocracker",IF($H10388="REFORMING","Reformer",""))))</f>
        <v/>
      </c>
    </row>
    <row r="10389" spans="6:7">
      <c r="F10389" s="6">
        <f>IF($M10389="PADD I","PADD 1",IF($M10389="PADD II","PADD 2",IF($M10389="PADD III","PADD 3",IF($M10389="PADD IV","PADD 4",IF($M10389="PADD V","PADD 5","")))))</f>
        <v/>
      </c>
      <c r="G10389" s="6">
        <f>IF(AND($H10389="ATMOS DISTILLATION",ISNUMBER(SEARCH("VPS",$I10389))=FALSE,LEFT($I10389,6)&lt;&gt;"VACUUM"),"CDU",IF($H10389="FLUID CAT CRACKING","FCC",IF(OR($H10389="HYDROCRACKING",$H10389="RESID_HYDROCRACKING"),"Hydrocracker",IF($H10389="REFORMING","Reformer",""))))</f>
        <v/>
      </c>
    </row>
    <row r="10390" spans="6:7">
      <c r="F10390" s="6">
        <f>IF($M10390="PADD I","PADD 1",IF($M10390="PADD II","PADD 2",IF($M10390="PADD III","PADD 3",IF($M10390="PADD IV","PADD 4",IF($M10390="PADD V","PADD 5","")))))</f>
        <v/>
      </c>
      <c r="G10390" s="6">
        <f>IF(AND($H10390="ATMOS DISTILLATION",ISNUMBER(SEARCH("VPS",$I10390))=FALSE,LEFT($I10390,6)&lt;&gt;"VACUUM"),"CDU",IF($H10390="FLUID CAT CRACKING","FCC",IF(OR($H10390="HYDROCRACKING",$H10390="RESID_HYDROCRACKING"),"Hydrocracker",IF($H10390="REFORMING","Reformer",""))))</f>
        <v/>
      </c>
    </row>
    <row r="10391" spans="6:7">
      <c r="F10391" s="6">
        <f>IF($M10391="PADD I","PADD 1",IF($M10391="PADD II","PADD 2",IF($M10391="PADD III","PADD 3",IF($M10391="PADD IV","PADD 4",IF($M10391="PADD V","PADD 5","")))))</f>
        <v/>
      </c>
      <c r="G10391" s="6">
        <f>IF(AND($H10391="ATMOS DISTILLATION",ISNUMBER(SEARCH("VPS",$I10391))=FALSE,LEFT($I10391,6)&lt;&gt;"VACUUM"),"CDU",IF($H10391="FLUID CAT CRACKING","FCC",IF(OR($H10391="HYDROCRACKING",$H10391="RESID_HYDROCRACKING"),"Hydrocracker",IF($H10391="REFORMING","Reformer",""))))</f>
        <v/>
      </c>
    </row>
    <row r="10392" spans="6:7">
      <c r="F10392" s="6">
        <f>IF($M10392="PADD I","PADD 1",IF($M10392="PADD II","PADD 2",IF($M10392="PADD III","PADD 3",IF($M10392="PADD IV","PADD 4",IF($M10392="PADD V","PADD 5","")))))</f>
        <v/>
      </c>
      <c r="G10392" s="6">
        <f>IF(AND($H10392="ATMOS DISTILLATION",ISNUMBER(SEARCH("VPS",$I10392))=FALSE,LEFT($I10392,6)&lt;&gt;"VACUUM"),"CDU",IF($H10392="FLUID CAT CRACKING","FCC",IF(OR($H10392="HYDROCRACKING",$H10392="RESID_HYDROCRACKING"),"Hydrocracker",IF($H10392="REFORMING","Reformer",""))))</f>
        <v/>
      </c>
    </row>
    <row r="10393" spans="6:7">
      <c r="F10393" s="6">
        <f>IF($M10393="PADD I","PADD 1",IF($M10393="PADD II","PADD 2",IF($M10393="PADD III","PADD 3",IF($M10393="PADD IV","PADD 4",IF($M10393="PADD V","PADD 5","")))))</f>
        <v/>
      </c>
      <c r="G10393" s="6">
        <f>IF(AND($H10393="ATMOS DISTILLATION",ISNUMBER(SEARCH("VPS",$I10393))=FALSE,LEFT($I10393,6)&lt;&gt;"VACUUM"),"CDU",IF($H10393="FLUID CAT CRACKING","FCC",IF(OR($H10393="HYDROCRACKING",$H10393="RESID_HYDROCRACKING"),"Hydrocracker",IF($H10393="REFORMING","Reformer",""))))</f>
        <v/>
      </c>
    </row>
    <row r="10394" spans="6:7">
      <c r="F10394" s="6">
        <f>IF($M10394="PADD I","PADD 1",IF($M10394="PADD II","PADD 2",IF($M10394="PADD III","PADD 3",IF($M10394="PADD IV","PADD 4",IF($M10394="PADD V","PADD 5","")))))</f>
        <v/>
      </c>
      <c r="G10394" s="6">
        <f>IF(AND($H10394="ATMOS DISTILLATION",ISNUMBER(SEARCH("VPS",$I10394))=FALSE,LEFT($I10394,6)&lt;&gt;"VACUUM"),"CDU",IF($H10394="FLUID CAT CRACKING","FCC",IF(OR($H10394="HYDROCRACKING",$H10394="RESID_HYDROCRACKING"),"Hydrocracker",IF($H10394="REFORMING","Reformer",""))))</f>
        <v/>
      </c>
    </row>
    <row r="10395" spans="6:7">
      <c r="F10395" s="6">
        <f>IF($M10395="PADD I","PADD 1",IF($M10395="PADD II","PADD 2",IF($M10395="PADD III","PADD 3",IF($M10395="PADD IV","PADD 4",IF($M10395="PADD V","PADD 5","")))))</f>
        <v/>
      </c>
      <c r="G10395" s="6">
        <f>IF(AND($H10395="ATMOS DISTILLATION",ISNUMBER(SEARCH("VPS",$I10395))=FALSE,LEFT($I10395,6)&lt;&gt;"VACUUM"),"CDU",IF($H10395="FLUID CAT CRACKING","FCC",IF(OR($H10395="HYDROCRACKING",$H10395="RESID_HYDROCRACKING"),"Hydrocracker",IF($H10395="REFORMING","Reformer",""))))</f>
        <v/>
      </c>
    </row>
    <row r="10396" spans="6:7">
      <c r="F10396" s="6">
        <f>IF($M10396="PADD I","PADD 1",IF($M10396="PADD II","PADD 2",IF($M10396="PADD III","PADD 3",IF($M10396="PADD IV","PADD 4",IF($M10396="PADD V","PADD 5","")))))</f>
        <v/>
      </c>
      <c r="G10396" s="6">
        <f>IF(AND($H10396="ATMOS DISTILLATION",ISNUMBER(SEARCH("VPS",$I10396))=FALSE,LEFT($I10396,6)&lt;&gt;"VACUUM"),"CDU",IF($H10396="FLUID CAT CRACKING","FCC",IF(OR($H10396="HYDROCRACKING",$H10396="RESID_HYDROCRACKING"),"Hydrocracker",IF($H10396="REFORMING","Reformer",""))))</f>
        <v/>
      </c>
    </row>
    <row r="10397" spans="6:7">
      <c r="F10397" s="6">
        <f>IF($M10397="PADD I","PADD 1",IF($M10397="PADD II","PADD 2",IF($M10397="PADD III","PADD 3",IF($M10397="PADD IV","PADD 4",IF($M10397="PADD V","PADD 5","")))))</f>
        <v/>
      </c>
      <c r="G10397" s="6">
        <f>IF(AND($H10397="ATMOS DISTILLATION",ISNUMBER(SEARCH("VPS",$I10397))=FALSE,LEFT($I10397,6)&lt;&gt;"VACUUM"),"CDU",IF($H10397="FLUID CAT CRACKING","FCC",IF(OR($H10397="HYDROCRACKING",$H10397="RESID_HYDROCRACKING"),"Hydrocracker",IF($H10397="REFORMING","Reformer",""))))</f>
        <v/>
      </c>
    </row>
    <row r="10398" spans="6:7">
      <c r="F10398" s="6">
        <f>IF($M10398="PADD I","PADD 1",IF($M10398="PADD II","PADD 2",IF($M10398="PADD III","PADD 3",IF($M10398="PADD IV","PADD 4",IF($M10398="PADD V","PADD 5","")))))</f>
        <v/>
      </c>
      <c r="G10398" s="6">
        <f>IF(AND($H10398="ATMOS DISTILLATION",ISNUMBER(SEARCH("VPS",$I10398))=FALSE,LEFT($I10398,6)&lt;&gt;"VACUUM"),"CDU",IF($H10398="FLUID CAT CRACKING","FCC",IF(OR($H10398="HYDROCRACKING",$H10398="RESID_HYDROCRACKING"),"Hydrocracker",IF($H10398="REFORMING","Reformer",""))))</f>
        <v/>
      </c>
    </row>
    <row r="10399" spans="6:7">
      <c r="F10399" s="6">
        <f>IF($M10399="PADD I","PADD 1",IF($M10399="PADD II","PADD 2",IF($M10399="PADD III","PADD 3",IF($M10399="PADD IV","PADD 4",IF($M10399="PADD V","PADD 5","")))))</f>
        <v/>
      </c>
      <c r="G10399" s="6">
        <f>IF(AND($H10399="ATMOS DISTILLATION",ISNUMBER(SEARCH("VPS",$I10399))=FALSE,LEFT($I10399,6)&lt;&gt;"VACUUM"),"CDU",IF($H10399="FLUID CAT CRACKING","FCC",IF(OR($H10399="HYDROCRACKING",$H10399="RESID_HYDROCRACKING"),"Hydrocracker",IF($H10399="REFORMING","Reformer",""))))</f>
        <v/>
      </c>
    </row>
    <row r="10400" spans="6:7">
      <c r="F10400" s="6">
        <f>IF($M10400="PADD I","PADD 1",IF($M10400="PADD II","PADD 2",IF($M10400="PADD III","PADD 3",IF($M10400="PADD IV","PADD 4",IF($M10400="PADD V","PADD 5","")))))</f>
        <v/>
      </c>
      <c r="G10400" s="6">
        <f>IF(AND($H10400="ATMOS DISTILLATION",ISNUMBER(SEARCH("VPS",$I10400))=FALSE,LEFT($I10400,6)&lt;&gt;"VACUUM"),"CDU",IF($H10400="FLUID CAT CRACKING","FCC",IF(OR($H10400="HYDROCRACKING",$H10400="RESID_HYDROCRACKING"),"Hydrocracker",IF($H10400="REFORMING","Reformer",""))))</f>
        <v/>
      </c>
    </row>
    <row r="10401" spans="6:7">
      <c r="F10401" s="6">
        <f>IF($M10401="PADD I","PADD 1",IF($M10401="PADD II","PADD 2",IF($M10401="PADD III","PADD 3",IF($M10401="PADD IV","PADD 4",IF($M10401="PADD V","PADD 5","")))))</f>
        <v/>
      </c>
      <c r="G10401" s="6">
        <f>IF(AND($H10401="ATMOS DISTILLATION",ISNUMBER(SEARCH("VPS",$I10401))=FALSE,LEFT($I10401,6)&lt;&gt;"VACUUM"),"CDU",IF($H10401="FLUID CAT CRACKING","FCC",IF(OR($H10401="HYDROCRACKING",$H10401="RESID_HYDROCRACKING"),"Hydrocracker",IF($H10401="REFORMING","Reformer",""))))</f>
        <v/>
      </c>
    </row>
    <row r="10402" spans="6:7">
      <c r="F10402" s="6">
        <f>IF($M10402="PADD I","PADD 1",IF($M10402="PADD II","PADD 2",IF($M10402="PADD III","PADD 3",IF($M10402="PADD IV","PADD 4",IF($M10402="PADD V","PADD 5","")))))</f>
        <v/>
      </c>
      <c r="G10402" s="6">
        <f>IF(AND($H10402="ATMOS DISTILLATION",ISNUMBER(SEARCH("VPS",$I10402))=FALSE,LEFT($I10402,6)&lt;&gt;"VACUUM"),"CDU",IF($H10402="FLUID CAT CRACKING","FCC",IF(OR($H10402="HYDROCRACKING",$H10402="RESID_HYDROCRACKING"),"Hydrocracker",IF($H10402="REFORMING","Reformer",""))))</f>
        <v/>
      </c>
    </row>
    <row r="10403" spans="6:7">
      <c r="F10403" s="6">
        <f>IF($M10403="PADD I","PADD 1",IF($M10403="PADD II","PADD 2",IF($M10403="PADD III","PADD 3",IF($M10403="PADD IV","PADD 4",IF($M10403="PADD V","PADD 5","")))))</f>
        <v/>
      </c>
      <c r="G10403" s="6">
        <f>IF(AND($H10403="ATMOS DISTILLATION",ISNUMBER(SEARCH("VPS",$I10403))=FALSE,LEFT($I10403,6)&lt;&gt;"VACUUM"),"CDU",IF($H10403="FLUID CAT CRACKING","FCC",IF(OR($H10403="HYDROCRACKING",$H10403="RESID_HYDROCRACKING"),"Hydrocracker",IF($H10403="REFORMING","Reformer",""))))</f>
        <v/>
      </c>
    </row>
    <row r="10404" spans="6:7">
      <c r="F10404" s="6">
        <f>IF($M10404="PADD I","PADD 1",IF($M10404="PADD II","PADD 2",IF($M10404="PADD III","PADD 3",IF($M10404="PADD IV","PADD 4",IF($M10404="PADD V","PADD 5","")))))</f>
        <v/>
      </c>
      <c r="G10404" s="6">
        <f>IF(AND($H10404="ATMOS DISTILLATION",ISNUMBER(SEARCH("VPS",$I10404))=FALSE,LEFT($I10404,6)&lt;&gt;"VACUUM"),"CDU",IF($H10404="FLUID CAT CRACKING","FCC",IF(OR($H10404="HYDROCRACKING",$H10404="RESID_HYDROCRACKING"),"Hydrocracker",IF($H10404="REFORMING","Reformer",""))))</f>
        <v/>
      </c>
    </row>
    <row r="10405" spans="6:7">
      <c r="F10405" s="6">
        <f>IF($M10405="PADD I","PADD 1",IF($M10405="PADD II","PADD 2",IF($M10405="PADD III","PADD 3",IF($M10405="PADD IV","PADD 4",IF($M10405="PADD V","PADD 5","")))))</f>
        <v/>
      </c>
      <c r="G10405" s="6">
        <f>IF(AND($H10405="ATMOS DISTILLATION",ISNUMBER(SEARCH("VPS",$I10405))=FALSE,LEFT($I10405,6)&lt;&gt;"VACUUM"),"CDU",IF($H10405="FLUID CAT CRACKING","FCC",IF(OR($H10405="HYDROCRACKING",$H10405="RESID_HYDROCRACKING"),"Hydrocracker",IF($H10405="REFORMING","Reformer",""))))</f>
        <v/>
      </c>
    </row>
    <row r="10406" spans="6:7">
      <c r="F10406" s="6">
        <f>IF($M10406="PADD I","PADD 1",IF($M10406="PADD II","PADD 2",IF($M10406="PADD III","PADD 3",IF($M10406="PADD IV","PADD 4",IF($M10406="PADD V","PADD 5","")))))</f>
        <v/>
      </c>
      <c r="G10406" s="6">
        <f>IF(AND($H10406="ATMOS DISTILLATION",ISNUMBER(SEARCH("VPS",$I10406))=FALSE,LEFT($I10406,6)&lt;&gt;"VACUUM"),"CDU",IF($H10406="FLUID CAT CRACKING","FCC",IF(OR($H10406="HYDROCRACKING",$H10406="RESID_HYDROCRACKING"),"Hydrocracker",IF($H10406="REFORMING","Reformer",""))))</f>
        <v/>
      </c>
    </row>
    <row r="10407" spans="6:7">
      <c r="F10407" s="6">
        <f>IF($M10407="PADD I","PADD 1",IF($M10407="PADD II","PADD 2",IF($M10407="PADD III","PADD 3",IF($M10407="PADD IV","PADD 4",IF($M10407="PADD V","PADD 5","")))))</f>
        <v/>
      </c>
      <c r="G10407" s="6">
        <f>IF(AND($H10407="ATMOS DISTILLATION",ISNUMBER(SEARCH("VPS",$I10407))=FALSE,LEFT($I10407,6)&lt;&gt;"VACUUM"),"CDU",IF($H10407="FLUID CAT CRACKING","FCC",IF(OR($H10407="HYDROCRACKING",$H10407="RESID_HYDROCRACKING"),"Hydrocracker",IF($H10407="REFORMING","Reformer",""))))</f>
        <v/>
      </c>
    </row>
    <row r="10408" spans="6:7">
      <c r="F10408" s="6">
        <f>IF($M10408="PADD I","PADD 1",IF($M10408="PADD II","PADD 2",IF($M10408="PADD III","PADD 3",IF($M10408="PADD IV","PADD 4",IF($M10408="PADD V","PADD 5","")))))</f>
        <v/>
      </c>
      <c r="G10408" s="6">
        <f>IF(AND($H10408="ATMOS DISTILLATION",ISNUMBER(SEARCH("VPS",$I10408))=FALSE,LEFT($I10408,6)&lt;&gt;"VACUUM"),"CDU",IF($H10408="FLUID CAT CRACKING","FCC",IF(OR($H10408="HYDROCRACKING",$H10408="RESID_HYDROCRACKING"),"Hydrocracker",IF($H10408="REFORMING","Reformer",""))))</f>
        <v/>
      </c>
    </row>
    <row r="10409" spans="6:7">
      <c r="F10409" s="6">
        <f>IF($M10409="PADD I","PADD 1",IF($M10409="PADD II","PADD 2",IF($M10409="PADD III","PADD 3",IF($M10409="PADD IV","PADD 4",IF($M10409="PADD V","PADD 5","")))))</f>
        <v/>
      </c>
      <c r="G10409" s="6">
        <f>IF(AND($H10409="ATMOS DISTILLATION",ISNUMBER(SEARCH("VPS",$I10409))=FALSE,LEFT($I10409,6)&lt;&gt;"VACUUM"),"CDU",IF($H10409="FLUID CAT CRACKING","FCC",IF(OR($H10409="HYDROCRACKING",$H10409="RESID_HYDROCRACKING"),"Hydrocracker",IF($H10409="REFORMING","Reformer",""))))</f>
        <v/>
      </c>
    </row>
    <row r="10410" spans="6:7">
      <c r="F10410" s="6">
        <f>IF($M10410="PADD I","PADD 1",IF($M10410="PADD II","PADD 2",IF($M10410="PADD III","PADD 3",IF($M10410="PADD IV","PADD 4",IF($M10410="PADD V","PADD 5","")))))</f>
        <v/>
      </c>
      <c r="G10410" s="6">
        <f>IF(AND($H10410="ATMOS DISTILLATION",ISNUMBER(SEARCH("VPS",$I10410))=FALSE,LEFT($I10410,6)&lt;&gt;"VACUUM"),"CDU",IF($H10410="FLUID CAT CRACKING","FCC",IF(OR($H10410="HYDROCRACKING",$H10410="RESID_HYDROCRACKING"),"Hydrocracker",IF($H10410="REFORMING","Reformer",""))))</f>
        <v/>
      </c>
    </row>
    <row r="10411" spans="6:7">
      <c r="F10411" s="6">
        <f>IF($M10411="PADD I","PADD 1",IF($M10411="PADD II","PADD 2",IF($M10411="PADD III","PADD 3",IF($M10411="PADD IV","PADD 4",IF($M10411="PADD V","PADD 5","")))))</f>
        <v/>
      </c>
      <c r="G10411" s="6">
        <f>IF(AND($H10411="ATMOS DISTILLATION",ISNUMBER(SEARCH("VPS",$I10411))=FALSE,LEFT($I10411,6)&lt;&gt;"VACUUM"),"CDU",IF($H10411="FLUID CAT CRACKING","FCC",IF(OR($H10411="HYDROCRACKING",$H10411="RESID_HYDROCRACKING"),"Hydrocracker",IF($H10411="REFORMING","Reformer",""))))</f>
        <v/>
      </c>
    </row>
    <row r="10412" spans="6:7">
      <c r="F10412" s="6">
        <f>IF($M10412="PADD I","PADD 1",IF($M10412="PADD II","PADD 2",IF($M10412="PADD III","PADD 3",IF($M10412="PADD IV","PADD 4",IF($M10412="PADD V","PADD 5","")))))</f>
        <v/>
      </c>
      <c r="G10412" s="6">
        <f>IF(AND($H10412="ATMOS DISTILLATION",ISNUMBER(SEARCH("VPS",$I10412))=FALSE,LEFT($I10412,6)&lt;&gt;"VACUUM"),"CDU",IF($H10412="FLUID CAT CRACKING","FCC",IF(OR($H10412="HYDROCRACKING",$H10412="RESID_HYDROCRACKING"),"Hydrocracker",IF($H10412="REFORMING","Reformer",""))))</f>
        <v/>
      </c>
    </row>
    <row r="10413" spans="6:7">
      <c r="F10413" s="6">
        <f>IF($M10413="PADD I","PADD 1",IF($M10413="PADD II","PADD 2",IF($M10413="PADD III","PADD 3",IF($M10413="PADD IV","PADD 4",IF($M10413="PADD V","PADD 5","")))))</f>
        <v/>
      </c>
      <c r="G10413" s="6">
        <f>IF(AND($H10413="ATMOS DISTILLATION",ISNUMBER(SEARCH("VPS",$I10413))=FALSE,LEFT($I10413,6)&lt;&gt;"VACUUM"),"CDU",IF($H10413="FLUID CAT CRACKING","FCC",IF(OR($H10413="HYDROCRACKING",$H10413="RESID_HYDROCRACKING"),"Hydrocracker",IF($H10413="REFORMING","Reformer",""))))</f>
        <v/>
      </c>
    </row>
    <row r="10414" spans="6:7">
      <c r="F10414" s="6">
        <f>IF($M10414="PADD I","PADD 1",IF($M10414="PADD II","PADD 2",IF($M10414="PADD III","PADD 3",IF($M10414="PADD IV","PADD 4",IF($M10414="PADD V","PADD 5","")))))</f>
        <v/>
      </c>
      <c r="G10414" s="6">
        <f>IF(AND($H10414="ATMOS DISTILLATION",ISNUMBER(SEARCH("VPS",$I10414))=FALSE,LEFT($I10414,6)&lt;&gt;"VACUUM"),"CDU",IF($H10414="FLUID CAT CRACKING","FCC",IF(OR($H10414="HYDROCRACKING",$H10414="RESID_HYDROCRACKING"),"Hydrocracker",IF($H10414="REFORMING","Reformer",""))))</f>
        <v/>
      </c>
    </row>
    <row r="10415" spans="6:7">
      <c r="F10415" s="6">
        <f>IF($M10415="PADD I","PADD 1",IF($M10415="PADD II","PADD 2",IF($M10415="PADD III","PADD 3",IF($M10415="PADD IV","PADD 4",IF($M10415="PADD V","PADD 5","")))))</f>
        <v/>
      </c>
      <c r="G10415" s="6">
        <f>IF(AND($H10415="ATMOS DISTILLATION",ISNUMBER(SEARCH("VPS",$I10415))=FALSE,LEFT($I10415,6)&lt;&gt;"VACUUM"),"CDU",IF($H10415="FLUID CAT CRACKING","FCC",IF(OR($H10415="HYDROCRACKING",$H10415="RESID_HYDROCRACKING"),"Hydrocracker",IF($H10415="REFORMING","Reformer",""))))</f>
        <v/>
      </c>
    </row>
    <row r="10416" spans="6:7">
      <c r="F10416" s="6">
        <f>IF($M10416="PADD I","PADD 1",IF($M10416="PADD II","PADD 2",IF($M10416="PADD III","PADD 3",IF($M10416="PADD IV","PADD 4",IF($M10416="PADD V","PADD 5","")))))</f>
        <v/>
      </c>
      <c r="G10416" s="6">
        <f>IF(AND($H10416="ATMOS DISTILLATION",ISNUMBER(SEARCH("VPS",$I10416))=FALSE,LEFT($I10416,6)&lt;&gt;"VACUUM"),"CDU",IF($H10416="FLUID CAT CRACKING","FCC",IF(OR($H10416="HYDROCRACKING",$H10416="RESID_HYDROCRACKING"),"Hydrocracker",IF($H10416="REFORMING","Reformer",""))))</f>
        <v/>
      </c>
    </row>
    <row r="10417" spans="6:7">
      <c r="F10417" s="6">
        <f>IF($M10417="PADD I","PADD 1",IF($M10417="PADD II","PADD 2",IF($M10417="PADD III","PADD 3",IF($M10417="PADD IV","PADD 4",IF($M10417="PADD V","PADD 5","")))))</f>
        <v/>
      </c>
      <c r="G10417" s="6">
        <f>IF(AND($H10417="ATMOS DISTILLATION",ISNUMBER(SEARCH("VPS",$I10417))=FALSE,LEFT($I10417,6)&lt;&gt;"VACUUM"),"CDU",IF($H10417="FLUID CAT CRACKING","FCC",IF(OR($H10417="HYDROCRACKING",$H10417="RESID_HYDROCRACKING"),"Hydrocracker",IF($H10417="REFORMING","Reformer",""))))</f>
        <v/>
      </c>
    </row>
    <row r="10418" spans="6:7">
      <c r="F10418" s="6">
        <f>IF($M10418="PADD I","PADD 1",IF($M10418="PADD II","PADD 2",IF($M10418="PADD III","PADD 3",IF($M10418="PADD IV","PADD 4",IF($M10418="PADD V","PADD 5","")))))</f>
        <v/>
      </c>
      <c r="G10418" s="6">
        <f>IF(AND($H10418="ATMOS DISTILLATION",ISNUMBER(SEARCH("VPS",$I10418))=FALSE,LEFT($I10418,6)&lt;&gt;"VACUUM"),"CDU",IF($H10418="FLUID CAT CRACKING","FCC",IF(OR($H10418="HYDROCRACKING",$H10418="RESID_HYDROCRACKING"),"Hydrocracker",IF($H10418="REFORMING","Reformer",""))))</f>
        <v/>
      </c>
    </row>
    <row r="10419" spans="6:7">
      <c r="F10419" s="6">
        <f>IF($M10419="PADD I","PADD 1",IF($M10419="PADD II","PADD 2",IF($M10419="PADD III","PADD 3",IF($M10419="PADD IV","PADD 4",IF($M10419="PADD V","PADD 5","")))))</f>
        <v/>
      </c>
      <c r="G10419" s="6">
        <f>IF(AND($H10419="ATMOS DISTILLATION",ISNUMBER(SEARCH("VPS",$I10419))=FALSE,LEFT($I10419,6)&lt;&gt;"VACUUM"),"CDU",IF($H10419="FLUID CAT CRACKING","FCC",IF(OR($H10419="HYDROCRACKING",$H10419="RESID_HYDROCRACKING"),"Hydrocracker",IF($H10419="REFORMING","Reformer",""))))</f>
        <v/>
      </c>
    </row>
    <row r="10420" spans="6:7">
      <c r="F10420" s="6">
        <f>IF($M10420="PADD I","PADD 1",IF($M10420="PADD II","PADD 2",IF($M10420="PADD III","PADD 3",IF($M10420="PADD IV","PADD 4",IF($M10420="PADD V","PADD 5","")))))</f>
        <v/>
      </c>
      <c r="G10420" s="6">
        <f>IF(AND($H10420="ATMOS DISTILLATION",ISNUMBER(SEARCH("VPS",$I10420))=FALSE,LEFT($I10420,6)&lt;&gt;"VACUUM"),"CDU",IF($H10420="FLUID CAT CRACKING","FCC",IF(OR($H10420="HYDROCRACKING",$H10420="RESID_HYDROCRACKING"),"Hydrocracker",IF($H10420="REFORMING","Reformer",""))))</f>
        <v/>
      </c>
    </row>
    <row r="10421" spans="6:7">
      <c r="F10421" s="6">
        <f>IF($M10421="PADD I","PADD 1",IF($M10421="PADD II","PADD 2",IF($M10421="PADD III","PADD 3",IF($M10421="PADD IV","PADD 4",IF($M10421="PADD V","PADD 5","")))))</f>
        <v/>
      </c>
      <c r="G10421" s="6">
        <f>IF(AND($H10421="ATMOS DISTILLATION",ISNUMBER(SEARCH("VPS",$I10421))=FALSE,LEFT($I10421,6)&lt;&gt;"VACUUM"),"CDU",IF($H10421="FLUID CAT CRACKING","FCC",IF(OR($H10421="HYDROCRACKING",$H10421="RESID_HYDROCRACKING"),"Hydrocracker",IF($H10421="REFORMING","Reformer",""))))</f>
        <v/>
      </c>
    </row>
    <row r="10422" spans="6:7">
      <c r="F10422" s="6">
        <f>IF($M10422="PADD I","PADD 1",IF($M10422="PADD II","PADD 2",IF($M10422="PADD III","PADD 3",IF($M10422="PADD IV","PADD 4",IF($M10422="PADD V","PADD 5","")))))</f>
        <v/>
      </c>
      <c r="G10422" s="6">
        <f>IF(AND($H10422="ATMOS DISTILLATION",ISNUMBER(SEARCH("VPS",$I10422))=FALSE,LEFT($I10422,6)&lt;&gt;"VACUUM"),"CDU",IF($H10422="FLUID CAT CRACKING","FCC",IF(OR($H10422="HYDROCRACKING",$H10422="RESID_HYDROCRACKING"),"Hydrocracker",IF($H10422="REFORMING","Reformer",""))))</f>
        <v/>
      </c>
    </row>
    <row r="10423" spans="6:7">
      <c r="F10423" s="6">
        <f>IF($M10423="PADD I","PADD 1",IF($M10423="PADD II","PADD 2",IF($M10423="PADD III","PADD 3",IF($M10423="PADD IV","PADD 4",IF($M10423="PADD V","PADD 5","")))))</f>
        <v/>
      </c>
      <c r="G10423" s="6">
        <f>IF(AND($H10423="ATMOS DISTILLATION",ISNUMBER(SEARCH("VPS",$I10423))=FALSE,LEFT($I10423,6)&lt;&gt;"VACUUM"),"CDU",IF($H10423="FLUID CAT CRACKING","FCC",IF(OR($H10423="HYDROCRACKING",$H10423="RESID_HYDROCRACKING"),"Hydrocracker",IF($H10423="REFORMING","Reformer",""))))</f>
        <v/>
      </c>
    </row>
    <row r="10424" spans="6:7">
      <c r="F10424" s="6">
        <f>IF($M10424="PADD I","PADD 1",IF($M10424="PADD II","PADD 2",IF($M10424="PADD III","PADD 3",IF($M10424="PADD IV","PADD 4",IF($M10424="PADD V","PADD 5","")))))</f>
        <v/>
      </c>
      <c r="G10424" s="6">
        <f>IF(AND($H10424="ATMOS DISTILLATION",ISNUMBER(SEARCH("VPS",$I10424))=FALSE,LEFT($I10424,6)&lt;&gt;"VACUUM"),"CDU",IF($H10424="FLUID CAT CRACKING","FCC",IF(OR($H10424="HYDROCRACKING",$H10424="RESID_HYDROCRACKING"),"Hydrocracker",IF($H10424="REFORMING","Reformer",""))))</f>
        <v/>
      </c>
    </row>
    <row r="10425" spans="6:7">
      <c r="F10425" s="6">
        <f>IF($M10425="PADD I","PADD 1",IF($M10425="PADD II","PADD 2",IF($M10425="PADD III","PADD 3",IF($M10425="PADD IV","PADD 4",IF($M10425="PADD V","PADD 5","")))))</f>
        <v/>
      </c>
      <c r="G10425" s="6">
        <f>IF(AND($H10425="ATMOS DISTILLATION",ISNUMBER(SEARCH("VPS",$I10425))=FALSE,LEFT($I10425,6)&lt;&gt;"VACUUM"),"CDU",IF($H10425="FLUID CAT CRACKING","FCC",IF(OR($H10425="HYDROCRACKING",$H10425="RESID_HYDROCRACKING"),"Hydrocracker",IF($H10425="REFORMING","Reformer",""))))</f>
        <v/>
      </c>
    </row>
    <row r="10426" spans="6:7">
      <c r="F10426" s="6">
        <f>IF($M10426="PADD I","PADD 1",IF($M10426="PADD II","PADD 2",IF($M10426="PADD III","PADD 3",IF($M10426="PADD IV","PADD 4",IF($M10426="PADD V","PADD 5","")))))</f>
        <v/>
      </c>
      <c r="G10426" s="6">
        <f>IF(AND($H10426="ATMOS DISTILLATION",ISNUMBER(SEARCH("VPS",$I10426))=FALSE,LEFT($I10426,6)&lt;&gt;"VACUUM"),"CDU",IF($H10426="FLUID CAT CRACKING","FCC",IF(OR($H10426="HYDROCRACKING",$H10426="RESID_HYDROCRACKING"),"Hydrocracker",IF($H10426="REFORMING","Reformer",""))))</f>
        <v/>
      </c>
    </row>
    <row r="10427" spans="6:7">
      <c r="F10427" s="6">
        <f>IF($M10427="PADD I","PADD 1",IF($M10427="PADD II","PADD 2",IF($M10427="PADD III","PADD 3",IF($M10427="PADD IV","PADD 4",IF($M10427="PADD V","PADD 5","")))))</f>
        <v/>
      </c>
      <c r="G10427" s="6">
        <f>IF(AND($H10427="ATMOS DISTILLATION",ISNUMBER(SEARCH("VPS",$I10427))=FALSE,LEFT($I10427,6)&lt;&gt;"VACUUM"),"CDU",IF($H10427="FLUID CAT CRACKING","FCC",IF(OR($H10427="HYDROCRACKING",$H10427="RESID_HYDROCRACKING"),"Hydrocracker",IF($H10427="REFORMING","Reformer",""))))</f>
        <v/>
      </c>
    </row>
    <row r="10428" spans="6:7">
      <c r="F10428" s="6">
        <f>IF($M10428="PADD I","PADD 1",IF($M10428="PADD II","PADD 2",IF($M10428="PADD III","PADD 3",IF($M10428="PADD IV","PADD 4",IF($M10428="PADD V","PADD 5","")))))</f>
        <v/>
      </c>
      <c r="G10428" s="6">
        <f>IF(AND($H10428="ATMOS DISTILLATION",ISNUMBER(SEARCH("VPS",$I10428))=FALSE,LEFT($I10428,6)&lt;&gt;"VACUUM"),"CDU",IF($H10428="FLUID CAT CRACKING","FCC",IF(OR($H10428="HYDROCRACKING",$H10428="RESID_HYDROCRACKING"),"Hydrocracker",IF($H10428="REFORMING","Reformer",""))))</f>
        <v/>
      </c>
    </row>
    <row r="10429" spans="6:7">
      <c r="F10429" s="6">
        <f>IF($M10429="PADD I","PADD 1",IF($M10429="PADD II","PADD 2",IF($M10429="PADD III","PADD 3",IF($M10429="PADD IV","PADD 4",IF($M10429="PADD V","PADD 5","")))))</f>
        <v/>
      </c>
      <c r="G10429" s="6">
        <f>IF(AND($H10429="ATMOS DISTILLATION",ISNUMBER(SEARCH("VPS",$I10429))=FALSE,LEFT($I10429,6)&lt;&gt;"VACUUM"),"CDU",IF($H10429="FLUID CAT CRACKING","FCC",IF(OR($H10429="HYDROCRACKING",$H10429="RESID_HYDROCRACKING"),"Hydrocracker",IF($H10429="REFORMING","Reformer",""))))</f>
        <v/>
      </c>
    </row>
    <row r="10430" spans="6:7">
      <c r="F10430" s="6">
        <f>IF($M10430="PADD I","PADD 1",IF($M10430="PADD II","PADD 2",IF($M10430="PADD III","PADD 3",IF($M10430="PADD IV","PADD 4",IF($M10430="PADD V","PADD 5","")))))</f>
        <v/>
      </c>
      <c r="G10430" s="6">
        <f>IF(AND($H10430="ATMOS DISTILLATION",ISNUMBER(SEARCH("VPS",$I10430))=FALSE,LEFT($I10430,6)&lt;&gt;"VACUUM"),"CDU",IF($H10430="FLUID CAT CRACKING","FCC",IF(OR($H10430="HYDROCRACKING",$H10430="RESID_HYDROCRACKING"),"Hydrocracker",IF($H10430="REFORMING","Reformer",""))))</f>
        <v/>
      </c>
    </row>
    <row r="10431" spans="6:7">
      <c r="F10431" s="6">
        <f>IF($M10431="PADD I","PADD 1",IF($M10431="PADD II","PADD 2",IF($M10431="PADD III","PADD 3",IF($M10431="PADD IV","PADD 4",IF($M10431="PADD V","PADD 5","")))))</f>
        <v/>
      </c>
      <c r="G10431" s="6">
        <f>IF(AND($H10431="ATMOS DISTILLATION",ISNUMBER(SEARCH("VPS",$I10431))=FALSE,LEFT($I10431,6)&lt;&gt;"VACUUM"),"CDU",IF($H10431="FLUID CAT CRACKING","FCC",IF(OR($H10431="HYDROCRACKING",$H10431="RESID_HYDROCRACKING"),"Hydrocracker",IF($H10431="REFORMING","Reformer",""))))</f>
        <v/>
      </c>
    </row>
    <row r="10432" spans="6:7">
      <c r="F10432" s="6">
        <f>IF($M10432="PADD I","PADD 1",IF($M10432="PADD II","PADD 2",IF($M10432="PADD III","PADD 3",IF($M10432="PADD IV","PADD 4",IF($M10432="PADD V","PADD 5","")))))</f>
        <v/>
      </c>
      <c r="G10432" s="6">
        <f>IF(AND($H10432="ATMOS DISTILLATION",ISNUMBER(SEARCH("VPS",$I10432))=FALSE,LEFT($I10432,6)&lt;&gt;"VACUUM"),"CDU",IF($H10432="FLUID CAT CRACKING","FCC",IF(OR($H10432="HYDROCRACKING",$H10432="RESID_HYDROCRACKING"),"Hydrocracker",IF($H10432="REFORMING","Reformer",""))))</f>
        <v/>
      </c>
    </row>
    <row r="10433" spans="6:7">
      <c r="F10433" s="6">
        <f>IF($M10433="PADD I","PADD 1",IF($M10433="PADD II","PADD 2",IF($M10433="PADD III","PADD 3",IF($M10433="PADD IV","PADD 4",IF($M10433="PADD V","PADD 5","")))))</f>
        <v/>
      </c>
      <c r="G10433" s="6">
        <f>IF(AND($H10433="ATMOS DISTILLATION",ISNUMBER(SEARCH("VPS",$I10433))=FALSE,LEFT($I10433,6)&lt;&gt;"VACUUM"),"CDU",IF($H10433="FLUID CAT CRACKING","FCC",IF(OR($H10433="HYDROCRACKING",$H10433="RESID_HYDROCRACKING"),"Hydrocracker",IF($H10433="REFORMING","Reformer",""))))</f>
        <v/>
      </c>
    </row>
    <row r="10434" spans="6:7">
      <c r="F10434" s="6">
        <f>IF($M10434="PADD I","PADD 1",IF($M10434="PADD II","PADD 2",IF($M10434="PADD III","PADD 3",IF($M10434="PADD IV","PADD 4",IF($M10434="PADD V","PADD 5","")))))</f>
        <v/>
      </c>
      <c r="G10434" s="6">
        <f>IF(AND($H10434="ATMOS DISTILLATION",ISNUMBER(SEARCH("VPS",$I10434))=FALSE,LEFT($I10434,6)&lt;&gt;"VACUUM"),"CDU",IF($H10434="FLUID CAT CRACKING","FCC",IF(OR($H10434="HYDROCRACKING",$H10434="RESID_HYDROCRACKING"),"Hydrocracker",IF($H10434="REFORMING","Reformer",""))))</f>
        <v/>
      </c>
    </row>
    <row r="10435" spans="6:7">
      <c r="F10435" s="6">
        <f>IF($M10435="PADD I","PADD 1",IF($M10435="PADD II","PADD 2",IF($M10435="PADD III","PADD 3",IF($M10435="PADD IV","PADD 4",IF($M10435="PADD V","PADD 5","")))))</f>
        <v/>
      </c>
      <c r="G10435" s="6">
        <f>IF(AND($H10435="ATMOS DISTILLATION",ISNUMBER(SEARCH("VPS",$I10435))=FALSE,LEFT($I10435,6)&lt;&gt;"VACUUM"),"CDU",IF($H10435="FLUID CAT CRACKING","FCC",IF(OR($H10435="HYDROCRACKING",$H10435="RESID_HYDROCRACKING"),"Hydrocracker",IF($H10435="REFORMING","Reformer",""))))</f>
        <v/>
      </c>
    </row>
    <row r="10436" spans="6:7">
      <c r="F10436" s="6">
        <f>IF($M10436="PADD I","PADD 1",IF($M10436="PADD II","PADD 2",IF($M10436="PADD III","PADD 3",IF($M10436="PADD IV","PADD 4",IF($M10436="PADD V","PADD 5","")))))</f>
        <v/>
      </c>
      <c r="G10436" s="6">
        <f>IF(AND($H10436="ATMOS DISTILLATION",ISNUMBER(SEARCH("VPS",$I10436))=FALSE,LEFT($I10436,6)&lt;&gt;"VACUUM"),"CDU",IF($H10436="FLUID CAT CRACKING","FCC",IF(OR($H10436="HYDROCRACKING",$H10436="RESID_HYDROCRACKING"),"Hydrocracker",IF($H10436="REFORMING","Reformer",""))))</f>
        <v/>
      </c>
    </row>
    <row r="10437" spans="6:7">
      <c r="F10437" s="6">
        <f>IF($M10437="PADD I","PADD 1",IF($M10437="PADD II","PADD 2",IF($M10437="PADD III","PADD 3",IF($M10437="PADD IV","PADD 4",IF($M10437="PADD V","PADD 5","")))))</f>
        <v/>
      </c>
      <c r="G10437" s="6">
        <f>IF(AND($H10437="ATMOS DISTILLATION",ISNUMBER(SEARCH("VPS",$I10437))=FALSE,LEFT($I10437,6)&lt;&gt;"VACUUM"),"CDU",IF($H10437="FLUID CAT CRACKING","FCC",IF(OR($H10437="HYDROCRACKING",$H10437="RESID_HYDROCRACKING"),"Hydrocracker",IF($H10437="REFORMING","Reformer",""))))</f>
        <v/>
      </c>
    </row>
    <row r="10438" spans="6:7">
      <c r="F10438" s="6">
        <f>IF($M10438="PADD I","PADD 1",IF($M10438="PADD II","PADD 2",IF($M10438="PADD III","PADD 3",IF($M10438="PADD IV","PADD 4",IF($M10438="PADD V","PADD 5","")))))</f>
        <v/>
      </c>
      <c r="G10438" s="6">
        <f>IF(AND($H10438="ATMOS DISTILLATION",ISNUMBER(SEARCH("VPS",$I10438))=FALSE,LEFT($I10438,6)&lt;&gt;"VACUUM"),"CDU",IF($H10438="FLUID CAT CRACKING","FCC",IF(OR($H10438="HYDROCRACKING",$H10438="RESID_HYDROCRACKING"),"Hydrocracker",IF($H10438="REFORMING","Reformer",""))))</f>
        <v/>
      </c>
    </row>
    <row r="10439" spans="6:7">
      <c r="F10439" s="6">
        <f>IF($M10439="PADD I","PADD 1",IF($M10439="PADD II","PADD 2",IF($M10439="PADD III","PADD 3",IF($M10439="PADD IV","PADD 4",IF($M10439="PADD V","PADD 5","")))))</f>
        <v/>
      </c>
      <c r="G10439" s="6">
        <f>IF(AND($H10439="ATMOS DISTILLATION",ISNUMBER(SEARCH("VPS",$I10439))=FALSE,LEFT($I10439,6)&lt;&gt;"VACUUM"),"CDU",IF($H10439="FLUID CAT CRACKING","FCC",IF(OR($H10439="HYDROCRACKING",$H10439="RESID_HYDROCRACKING"),"Hydrocracker",IF($H10439="REFORMING","Reformer",""))))</f>
        <v/>
      </c>
    </row>
    <row r="10440" spans="6:7">
      <c r="F10440" s="6">
        <f>IF($M10440="PADD I","PADD 1",IF($M10440="PADD II","PADD 2",IF($M10440="PADD III","PADD 3",IF($M10440="PADD IV","PADD 4",IF($M10440="PADD V","PADD 5","")))))</f>
        <v/>
      </c>
      <c r="G10440" s="6">
        <f>IF(AND($H10440="ATMOS DISTILLATION",ISNUMBER(SEARCH("VPS",$I10440))=FALSE,LEFT($I10440,6)&lt;&gt;"VACUUM"),"CDU",IF($H10440="FLUID CAT CRACKING","FCC",IF(OR($H10440="HYDROCRACKING",$H10440="RESID_HYDROCRACKING"),"Hydrocracker",IF($H10440="REFORMING","Reformer",""))))</f>
        <v/>
      </c>
    </row>
    <row r="10441" spans="6:7">
      <c r="F10441" s="6">
        <f>IF($M10441="PADD I","PADD 1",IF($M10441="PADD II","PADD 2",IF($M10441="PADD III","PADD 3",IF($M10441="PADD IV","PADD 4",IF($M10441="PADD V","PADD 5","")))))</f>
        <v/>
      </c>
      <c r="G10441" s="6">
        <f>IF(AND($H10441="ATMOS DISTILLATION",ISNUMBER(SEARCH("VPS",$I10441))=FALSE,LEFT($I10441,6)&lt;&gt;"VACUUM"),"CDU",IF($H10441="FLUID CAT CRACKING","FCC",IF(OR($H10441="HYDROCRACKING",$H10441="RESID_HYDROCRACKING"),"Hydrocracker",IF($H10441="REFORMING","Reformer",""))))</f>
        <v/>
      </c>
    </row>
    <row r="10442" spans="6:7">
      <c r="F10442" s="6">
        <f>IF($M10442="PADD I","PADD 1",IF($M10442="PADD II","PADD 2",IF($M10442="PADD III","PADD 3",IF($M10442="PADD IV","PADD 4",IF($M10442="PADD V","PADD 5","")))))</f>
        <v/>
      </c>
      <c r="G10442" s="6">
        <f>IF(AND($H10442="ATMOS DISTILLATION",ISNUMBER(SEARCH("VPS",$I10442))=FALSE,LEFT($I10442,6)&lt;&gt;"VACUUM"),"CDU",IF($H10442="FLUID CAT CRACKING","FCC",IF(OR($H10442="HYDROCRACKING",$H10442="RESID_HYDROCRACKING"),"Hydrocracker",IF($H10442="REFORMING","Reformer",""))))</f>
        <v/>
      </c>
    </row>
    <row r="10443" spans="6:7">
      <c r="F10443" s="6">
        <f>IF($M10443="PADD I","PADD 1",IF($M10443="PADD II","PADD 2",IF($M10443="PADD III","PADD 3",IF($M10443="PADD IV","PADD 4",IF($M10443="PADD V","PADD 5","")))))</f>
        <v/>
      </c>
      <c r="G10443" s="6">
        <f>IF(AND($H10443="ATMOS DISTILLATION",ISNUMBER(SEARCH("VPS",$I10443))=FALSE,LEFT($I10443,6)&lt;&gt;"VACUUM"),"CDU",IF($H10443="FLUID CAT CRACKING","FCC",IF(OR($H10443="HYDROCRACKING",$H10443="RESID_HYDROCRACKING"),"Hydrocracker",IF($H10443="REFORMING","Reformer",""))))</f>
        <v/>
      </c>
    </row>
    <row r="10444" spans="6:7">
      <c r="F10444" s="6">
        <f>IF($M10444="PADD I","PADD 1",IF($M10444="PADD II","PADD 2",IF($M10444="PADD III","PADD 3",IF($M10444="PADD IV","PADD 4",IF($M10444="PADD V","PADD 5","")))))</f>
        <v/>
      </c>
      <c r="G10444" s="6">
        <f>IF(AND($H10444="ATMOS DISTILLATION",ISNUMBER(SEARCH("VPS",$I10444))=FALSE,LEFT($I10444,6)&lt;&gt;"VACUUM"),"CDU",IF($H10444="FLUID CAT CRACKING","FCC",IF(OR($H10444="HYDROCRACKING",$H10444="RESID_HYDROCRACKING"),"Hydrocracker",IF($H10444="REFORMING","Reformer",""))))</f>
        <v/>
      </c>
    </row>
    <row r="10445" spans="6:7">
      <c r="F10445" s="6">
        <f>IF($M10445="PADD I","PADD 1",IF($M10445="PADD II","PADD 2",IF($M10445="PADD III","PADD 3",IF($M10445="PADD IV","PADD 4",IF($M10445="PADD V","PADD 5","")))))</f>
        <v/>
      </c>
      <c r="G10445" s="6">
        <f>IF(AND($H10445="ATMOS DISTILLATION",ISNUMBER(SEARCH("VPS",$I10445))=FALSE,LEFT($I10445,6)&lt;&gt;"VACUUM"),"CDU",IF($H10445="FLUID CAT CRACKING","FCC",IF(OR($H10445="HYDROCRACKING",$H10445="RESID_HYDROCRACKING"),"Hydrocracker",IF($H10445="REFORMING","Reformer",""))))</f>
        <v/>
      </c>
    </row>
    <row r="10446" spans="6:7">
      <c r="F10446" s="6">
        <f>IF($M10446="PADD I","PADD 1",IF($M10446="PADD II","PADD 2",IF($M10446="PADD III","PADD 3",IF($M10446="PADD IV","PADD 4",IF($M10446="PADD V","PADD 5","")))))</f>
        <v/>
      </c>
      <c r="G10446" s="6">
        <f>IF(AND($H10446="ATMOS DISTILLATION",ISNUMBER(SEARCH("VPS",$I10446))=FALSE,LEFT($I10446,6)&lt;&gt;"VACUUM"),"CDU",IF($H10446="FLUID CAT CRACKING","FCC",IF(OR($H10446="HYDROCRACKING",$H10446="RESID_HYDROCRACKING"),"Hydrocracker",IF($H10446="REFORMING","Reformer",""))))</f>
        <v/>
      </c>
    </row>
    <row r="10447" spans="6:7">
      <c r="F10447" s="6">
        <f>IF($M10447="PADD I","PADD 1",IF($M10447="PADD II","PADD 2",IF($M10447="PADD III","PADD 3",IF($M10447="PADD IV","PADD 4",IF($M10447="PADD V","PADD 5","")))))</f>
        <v/>
      </c>
      <c r="G10447" s="6">
        <f>IF(AND($H10447="ATMOS DISTILLATION",ISNUMBER(SEARCH("VPS",$I10447))=FALSE,LEFT($I10447,6)&lt;&gt;"VACUUM"),"CDU",IF($H10447="FLUID CAT CRACKING","FCC",IF(OR($H10447="HYDROCRACKING",$H10447="RESID_HYDROCRACKING"),"Hydrocracker",IF($H10447="REFORMING","Reformer",""))))</f>
        <v/>
      </c>
    </row>
    <row r="10448" spans="6:7">
      <c r="F10448" s="6">
        <f>IF($M10448="PADD I","PADD 1",IF($M10448="PADD II","PADD 2",IF($M10448="PADD III","PADD 3",IF($M10448="PADD IV","PADD 4",IF($M10448="PADD V","PADD 5","")))))</f>
        <v/>
      </c>
      <c r="G10448" s="6">
        <f>IF(AND($H10448="ATMOS DISTILLATION",ISNUMBER(SEARCH("VPS",$I10448))=FALSE,LEFT($I10448,6)&lt;&gt;"VACUUM"),"CDU",IF($H10448="FLUID CAT CRACKING","FCC",IF(OR($H10448="HYDROCRACKING",$H10448="RESID_HYDROCRACKING"),"Hydrocracker",IF($H10448="REFORMING","Reformer",""))))</f>
        <v/>
      </c>
    </row>
    <row r="10449" spans="6:7">
      <c r="F10449" s="6">
        <f>IF($M10449="PADD I","PADD 1",IF($M10449="PADD II","PADD 2",IF($M10449="PADD III","PADD 3",IF($M10449="PADD IV","PADD 4",IF($M10449="PADD V","PADD 5","")))))</f>
        <v/>
      </c>
      <c r="G10449" s="6">
        <f>IF(AND($H10449="ATMOS DISTILLATION",ISNUMBER(SEARCH("VPS",$I10449))=FALSE,LEFT($I10449,6)&lt;&gt;"VACUUM"),"CDU",IF($H10449="FLUID CAT CRACKING","FCC",IF(OR($H10449="HYDROCRACKING",$H10449="RESID_HYDROCRACKING"),"Hydrocracker",IF($H10449="REFORMING","Reformer",""))))</f>
        <v/>
      </c>
    </row>
    <row r="10450" spans="6:7">
      <c r="F10450" s="6">
        <f>IF($M10450="PADD I","PADD 1",IF($M10450="PADD II","PADD 2",IF($M10450="PADD III","PADD 3",IF($M10450="PADD IV","PADD 4",IF($M10450="PADD V","PADD 5","")))))</f>
        <v/>
      </c>
      <c r="G10450" s="6">
        <f>IF(AND($H10450="ATMOS DISTILLATION",ISNUMBER(SEARCH("VPS",$I10450))=FALSE,LEFT($I10450,6)&lt;&gt;"VACUUM"),"CDU",IF($H10450="FLUID CAT CRACKING","FCC",IF(OR($H10450="HYDROCRACKING",$H10450="RESID_HYDROCRACKING"),"Hydrocracker",IF($H10450="REFORMING","Reformer",""))))</f>
        <v/>
      </c>
    </row>
    <row r="10451" spans="6:7">
      <c r="F10451" s="6">
        <f>IF($M10451="PADD I","PADD 1",IF($M10451="PADD II","PADD 2",IF($M10451="PADD III","PADD 3",IF($M10451="PADD IV","PADD 4",IF($M10451="PADD V","PADD 5","")))))</f>
        <v/>
      </c>
      <c r="G10451" s="6">
        <f>IF(AND($H10451="ATMOS DISTILLATION",ISNUMBER(SEARCH("VPS",$I10451))=FALSE,LEFT($I10451,6)&lt;&gt;"VACUUM"),"CDU",IF($H10451="FLUID CAT CRACKING","FCC",IF(OR($H10451="HYDROCRACKING",$H10451="RESID_HYDROCRACKING"),"Hydrocracker",IF($H10451="REFORMING","Reformer",""))))</f>
        <v/>
      </c>
    </row>
    <row r="10452" spans="6:7">
      <c r="F10452" s="6">
        <f>IF($M10452="PADD I","PADD 1",IF($M10452="PADD II","PADD 2",IF($M10452="PADD III","PADD 3",IF($M10452="PADD IV","PADD 4",IF($M10452="PADD V","PADD 5","")))))</f>
        <v/>
      </c>
      <c r="G10452" s="6">
        <f>IF(AND($H10452="ATMOS DISTILLATION",ISNUMBER(SEARCH("VPS",$I10452))=FALSE,LEFT($I10452,6)&lt;&gt;"VACUUM"),"CDU",IF($H10452="FLUID CAT CRACKING","FCC",IF(OR($H10452="HYDROCRACKING",$H10452="RESID_HYDROCRACKING"),"Hydrocracker",IF($H10452="REFORMING","Reformer",""))))</f>
        <v/>
      </c>
    </row>
    <row r="10453" spans="6:7">
      <c r="F10453" s="6">
        <f>IF($M10453="PADD I","PADD 1",IF($M10453="PADD II","PADD 2",IF($M10453="PADD III","PADD 3",IF($M10453="PADD IV","PADD 4",IF($M10453="PADD V","PADD 5","")))))</f>
        <v/>
      </c>
      <c r="G10453" s="6">
        <f>IF(AND($H10453="ATMOS DISTILLATION",ISNUMBER(SEARCH("VPS",$I10453))=FALSE,LEFT($I10453,6)&lt;&gt;"VACUUM"),"CDU",IF($H10453="FLUID CAT CRACKING","FCC",IF(OR($H10453="HYDROCRACKING",$H10453="RESID_HYDROCRACKING"),"Hydrocracker",IF($H10453="REFORMING","Reformer",""))))</f>
        <v/>
      </c>
    </row>
    <row r="10454" spans="6:7">
      <c r="F10454" s="6">
        <f>IF($M10454="PADD I","PADD 1",IF($M10454="PADD II","PADD 2",IF($M10454="PADD III","PADD 3",IF($M10454="PADD IV","PADD 4",IF($M10454="PADD V","PADD 5","")))))</f>
        <v/>
      </c>
      <c r="G10454" s="6">
        <f>IF(AND($H10454="ATMOS DISTILLATION",ISNUMBER(SEARCH("VPS",$I10454))=FALSE,LEFT($I10454,6)&lt;&gt;"VACUUM"),"CDU",IF($H10454="FLUID CAT CRACKING","FCC",IF(OR($H10454="HYDROCRACKING",$H10454="RESID_HYDROCRACKING"),"Hydrocracker",IF($H10454="REFORMING","Reformer",""))))</f>
        <v/>
      </c>
    </row>
    <row r="10455" spans="6:7">
      <c r="F10455" s="6">
        <f>IF($M10455="PADD I","PADD 1",IF($M10455="PADD II","PADD 2",IF($M10455="PADD III","PADD 3",IF($M10455="PADD IV","PADD 4",IF($M10455="PADD V","PADD 5","")))))</f>
        <v/>
      </c>
      <c r="G10455" s="6">
        <f>IF(AND($H10455="ATMOS DISTILLATION",ISNUMBER(SEARCH("VPS",$I10455))=FALSE,LEFT($I10455,6)&lt;&gt;"VACUUM"),"CDU",IF($H10455="FLUID CAT CRACKING","FCC",IF(OR($H10455="HYDROCRACKING",$H10455="RESID_HYDROCRACKING"),"Hydrocracker",IF($H10455="REFORMING","Reformer",""))))</f>
        <v/>
      </c>
    </row>
    <row r="10456" spans="6:7">
      <c r="F10456" s="6">
        <f>IF($M10456="PADD I","PADD 1",IF($M10456="PADD II","PADD 2",IF($M10456="PADD III","PADD 3",IF($M10456="PADD IV","PADD 4",IF($M10456="PADD V","PADD 5","")))))</f>
        <v/>
      </c>
      <c r="G10456" s="6">
        <f>IF(AND($H10456="ATMOS DISTILLATION",ISNUMBER(SEARCH("VPS",$I10456))=FALSE,LEFT($I10456,6)&lt;&gt;"VACUUM"),"CDU",IF($H10456="FLUID CAT CRACKING","FCC",IF(OR($H10456="HYDROCRACKING",$H10456="RESID_HYDROCRACKING"),"Hydrocracker",IF($H10456="REFORMING","Reformer",""))))</f>
        <v/>
      </c>
    </row>
    <row r="10457" spans="6:7">
      <c r="F10457" s="6">
        <f>IF($M10457="PADD I","PADD 1",IF($M10457="PADD II","PADD 2",IF($M10457="PADD III","PADD 3",IF($M10457="PADD IV","PADD 4",IF($M10457="PADD V","PADD 5","")))))</f>
        <v/>
      </c>
      <c r="G10457" s="6">
        <f>IF(AND($H10457="ATMOS DISTILLATION",ISNUMBER(SEARCH("VPS",$I10457))=FALSE,LEFT($I10457,6)&lt;&gt;"VACUUM"),"CDU",IF($H10457="FLUID CAT CRACKING","FCC",IF(OR($H10457="HYDROCRACKING",$H10457="RESID_HYDROCRACKING"),"Hydrocracker",IF($H10457="REFORMING","Reformer",""))))</f>
        <v/>
      </c>
    </row>
    <row r="10458" spans="6:7">
      <c r="F10458" s="6">
        <f>IF($M10458="PADD I","PADD 1",IF($M10458="PADD II","PADD 2",IF($M10458="PADD III","PADD 3",IF($M10458="PADD IV","PADD 4",IF($M10458="PADD V","PADD 5","")))))</f>
        <v/>
      </c>
      <c r="G10458" s="6">
        <f>IF(AND($H10458="ATMOS DISTILLATION",ISNUMBER(SEARCH("VPS",$I10458))=FALSE,LEFT($I10458,6)&lt;&gt;"VACUUM"),"CDU",IF($H10458="FLUID CAT CRACKING","FCC",IF(OR($H10458="HYDROCRACKING",$H10458="RESID_HYDROCRACKING"),"Hydrocracker",IF($H10458="REFORMING","Reformer",""))))</f>
        <v/>
      </c>
    </row>
    <row r="10459" spans="6:7">
      <c r="F10459" s="6">
        <f>IF($M10459="PADD I","PADD 1",IF($M10459="PADD II","PADD 2",IF($M10459="PADD III","PADD 3",IF($M10459="PADD IV","PADD 4",IF($M10459="PADD V","PADD 5","")))))</f>
        <v/>
      </c>
      <c r="G10459" s="6">
        <f>IF(AND($H10459="ATMOS DISTILLATION",ISNUMBER(SEARCH("VPS",$I10459))=FALSE,LEFT($I10459,6)&lt;&gt;"VACUUM"),"CDU",IF($H10459="FLUID CAT CRACKING","FCC",IF(OR($H10459="HYDROCRACKING",$H10459="RESID_HYDROCRACKING"),"Hydrocracker",IF($H10459="REFORMING","Reformer",""))))</f>
        <v/>
      </c>
    </row>
    <row r="10460" spans="6:7">
      <c r="F10460" s="6">
        <f>IF($M10460="PADD I","PADD 1",IF($M10460="PADD II","PADD 2",IF($M10460="PADD III","PADD 3",IF($M10460="PADD IV","PADD 4",IF($M10460="PADD V","PADD 5","")))))</f>
        <v/>
      </c>
      <c r="G10460" s="6">
        <f>IF(AND($H10460="ATMOS DISTILLATION",ISNUMBER(SEARCH("VPS",$I10460))=FALSE,LEFT($I10460,6)&lt;&gt;"VACUUM"),"CDU",IF($H10460="FLUID CAT CRACKING","FCC",IF(OR($H10460="HYDROCRACKING",$H10460="RESID_HYDROCRACKING"),"Hydrocracker",IF($H10460="REFORMING","Reformer",""))))</f>
        <v/>
      </c>
    </row>
    <row r="10461" spans="6:7">
      <c r="F10461" s="6">
        <f>IF($M10461="PADD I","PADD 1",IF($M10461="PADD II","PADD 2",IF($M10461="PADD III","PADD 3",IF($M10461="PADD IV","PADD 4",IF($M10461="PADD V","PADD 5","")))))</f>
        <v/>
      </c>
      <c r="G10461" s="6">
        <f>IF(AND($H10461="ATMOS DISTILLATION",ISNUMBER(SEARCH("VPS",$I10461))=FALSE,LEFT($I10461,6)&lt;&gt;"VACUUM"),"CDU",IF($H10461="FLUID CAT CRACKING","FCC",IF(OR($H10461="HYDROCRACKING",$H10461="RESID_HYDROCRACKING"),"Hydrocracker",IF($H10461="REFORMING","Reformer",""))))</f>
        <v/>
      </c>
    </row>
    <row r="10462" spans="6:7">
      <c r="F10462" s="6">
        <f>IF($M10462="PADD I","PADD 1",IF($M10462="PADD II","PADD 2",IF($M10462="PADD III","PADD 3",IF($M10462="PADD IV","PADD 4",IF($M10462="PADD V","PADD 5","")))))</f>
        <v/>
      </c>
      <c r="G10462" s="6">
        <f>IF(AND($H10462="ATMOS DISTILLATION",ISNUMBER(SEARCH("VPS",$I10462))=FALSE,LEFT($I10462,6)&lt;&gt;"VACUUM"),"CDU",IF($H10462="FLUID CAT CRACKING","FCC",IF(OR($H10462="HYDROCRACKING",$H10462="RESID_HYDROCRACKING"),"Hydrocracker",IF($H10462="REFORMING","Reformer",""))))</f>
        <v/>
      </c>
    </row>
    <row r="10463" spans="6:7">
      <c r="F10463" s="6">
        <f>IF($M10463="PADD I","PADD 1",IF($M10463="PADD II","PADD 2",IF($M10463="PADD III","PADD 3",IF($M10463="PADD IV","PADD 4",IF($M10463="PADD V","PADD 5","")))))</f>
        <v/>
      </c>
      <c r="G10463" s="6">
        <f>IF(AND($H10463="ATMOS DISTILLATION",ISNUMBER(SEARCH("VPS",$I10463))=FALSE,LEFT($I10463,6)&lt;&gt;"VACUUM"),"CDU",IF($H10463="FLUID CAT CRACKING","FCC",IF(OR($H10463="HYDROCRACKING",$H10463="RESID_HYDROCRACKING"),"Hydrocracker",IF($H10463="REFORMING","Reformer",""))))</f>
        <v/>
      </c>
    </row>
    <row r="10464" spans="6:7">
      <c r="F10464" s="6">
        <f>IF($M10464="PADD I","PADD 1",IF($M10464="PADD II","PADD 2",IF($M10464="PADD III","PADD 3",IF($M10464="PADD IV","PADD 4",IF($M10464="PADD V","PADD 5","")))))</f>
        <v/>
      </c>
      <c r="G10464" s="6">
        <f>IF(AND($H10464="ATMOS DISTILLATION",ISNUMBER(SEARCH("VPS",$I10464))=FALSE,LEFT($I10464,6)&lt;&gt;"VACUUM"),"CDU",IF($H10464="FLUID CAT CRACKING","FCC",IF(OR($H10464="HYDROCRACKING",$H10464="RESID_HYDROCRACKING"),"Hydrocracker",IF($H10464="REFORMING","Reformer",""))))</f>
        <v/>
      </c>
    </row>
    <row r="10465" spans="6:7">
      <c r="F10465" s="6">
        <f>IF($M10465="PADD I","PADD 1",IF($M10465="PADD II","PADD 2",IF($M10465="PADD III","PADD 3",IF($M10465="PADD IV","PADD 4",IF($M10465="PADD V","PADD 5","")))))</f>
        <v/>
      </c>
      <c r="G10465" s="6">
        <f>IF(AND($H10465="ATMOS DISTILLATION",ISNUMBER(SEARCH("VPS",$I10465))=FALSE,LEFT($I10465,6)&lt;&gt;"VACUUM"),"CDU",IF($H10465="FLUID CAT CRACKING","FCC",IF(OR($H10465="HYDROCRACKING",$H10465="RESID_HYDROCRACKING"),"Hydrocracker",IF($H10465="REFORMING","Reformer",""))))</f>
        <v/>
      </c>
    </row>
    <row r="10466" spans="6:7">
      <c r="F10466" s="6">
        <f>IF($M10466="PADD I","PADD 1",IF($M10466="PADD II","PADD 2",IF($M10466="PADD III","PADD 3",IF($M10466="PADD IV","PADD 4",IF($M10466="PADD V","PADD 5","")))))</f>
        <v/>
      </c>
      <c r="G10466" s="6">
        <f>IF(AND($H10466="ATMOS DISTILLATION",ISNUMBER(SEARCH("VPS",$I10466))=FALSE,LEFT($I10466,6)&lt;&gt;"VACUUM"),"CDU",IF($H10466="FLUID CAT CRACKING","FCC",IF(OR($H10466="HYDROCRACKING",$H10466="RESID_HYDROCRACKING"),"Hydrocracker",IF($H10466="REFORMING","Reformer",""))))</f>
        <v/>
      </c>
    </row>
    <row r="10467" spans="6:7">
      <c r="F10467" s="6">
        <f>IF($M10467="PADD I","PADD 1",IF($M10467="PADD II","PADD 2",IF($M10467="PADD III","PADD 3",IF($M10467="PADD IV","PADD 4",IF($M10467="PADD V","PADD 5","")))))</f>
        <v/>
      </c>
      <c r="G10467" s="6">
        <f>IF(AND($H10467="ATMOS DISTILLATION",ISNUMBER(SEARCH("VPS",$I10467))=FALSE,LEFT($I10467,6)&lt;&gt;"VACUUM"),"CDU",IF($H10467="FLUID CAT CRACKING","FCC",IF(OR($H10467="HYDROCRACKING",$H10467="RESID_HYDROCRACKING"),"Hydrocracker",IF($H10467="REFORMING","Reformer",""))))</f>
        <v/>
      </c>
    </row>
    <row r="10468" spans="6:7">
      <c r="F10468" s="6">
        <f>IF($M10468="PADD I","PADD 1",IF($M10468="PADD II","PADD 2",IF($M10468="PADD III","PADD 3",IF($M10468="PADD IV","PADD 4",IF($M10468="PADD V","PADD 5","")))))</f>
        <v/>
      </c>
      <c r="G10468" s="6">
        <f>IF(AND($H10468="ATMOS DISTILLATION",ISNUMBER(SEARCH("VPS",$I10468))=FALSE,LEFT($I10468,6)&lt;&gt;"VACUUM"),"CDU",IF($H10468="FLUID CAT CRACKING","FCC",IF(OR($H10468="HYDROCRACKING",$H10468="RESID_HYDROCRACKING"),"Hydrocracker",IF($H10468="REFORMING","Reformer",""))))</f>
        <v/>
      </c>
    </row>
    <row r="10469" spans="6:7">
      <c r="F10469" s="6">
        <f>IF($M10469="PADD I","PADD 1",IF($M10469="PADD II","PADD 2",IF($M10469="PADD III","PADD 3",IF($M10469="PADD IV","PADD 4",IF($M10469="PADD V","PADD 5","")))))</f>
        <v/>
      </c>
      <c r="G10469" s="6">
        <f>IF(AND($H10469="ATMOS DISTILLATION",ISNUMBER(SEARCH("VPS",$I10469))=FALSE,LEFT($I10469,6)&lt;&gt;"VACUUM"),"CDU",IF($H10469="FLUID CAT CRACKING","FCC",IF(OR($H10469="HYDROCRACKING",$H10469="RESID_HYDROCRACKING"),"Hydrocracker",IF($H10469="REFORMING","Reformer",""))))</f>
        <v/>
      </c>
    </row>
    <row r="10470" spans="6:7">
      <c r="F10470" s="6">
        <f>IF($M10470="PADD I","PADD 1",IF($M10470="PADD II","PADD 2",IF($M10470="PADD III","PADD 3",IF($M10470="PADD IV","PADD 4",IF($M10470="PADD V","PADD 5","")))))</f>
        <v/>
      </c>
      <c r="G10470" s="6">
        <f>IF(AND($H10470="ATMOS DISTILLATION",ISNUMBER(SEARCH("VPS",$I10470))=FALSE,LEFT($I10470,6)&lt;&gt;"VACUUM"),"CDU",IF($H10470="FLUID CAT CRACKING","FCC",IF(OR($H10470="HYDROCRACKING",$H10470="RESID_HYDROCRACKING"),"Hydrocracker",IF($H10470="REFORMING","Reformer",""))))</f>
        <v/>
      </c>
    </row>
    <row r="10471" spans="6:7">
      <c r="F10471" s="6">
        <f>IF($M10471="PADD I","PADD 1",IF($M10471="PADD II","PADD 2",IF($M10471="PADD III","PADD 3",IF($M10471="PADD IV","PADD 4",IF($M10471="PADD V","PADD 5","")))))</f>
        <v/>
      </c>
      <c r="G10471" s="6">
        <f>IF(AND($H10471="ATMOS DISTILLATION",ISNUMBER(SEARCH("VPS",$I10471))=FALSE,LEFT($I10471,6)&lt;&gt;"VACUUM"),"CDU",IF($H10471="FLUID CAT CRACKING","FCC",IF(OR($H10471="HYDROCRACKING",$H10471="RESID_HYDROCRACKING"),"Hydrocracker",IF($H10471="REFORMING","Reformer",""))))</f>
        <v/>
      </c>
    </row>
    <row r="10472" spans="6:7">
      <c r="F10472" s="6">
        <f>IF($M10472="PADD I","PADD 1",IF($M10472="PADD II","PADD 2",IF($M10472="PADD III","PADD 3",IF($M10472="PADD IV","PADD 4",IF($M10472="PADD V","PADD 5","")))))</f>
        <v/>
      </c>
      <c r="G10472" s="6">
        <f>IF(AND($H10472="ATMOS DISTILLATION",ISNUMBER(SEARCH("VPS",$I10472))=FALSE,LEFT($I10472,6)&lt;&gt;"VACUUM"),"CDU",IF($H10472="FLUID CAT CRACKING","FCC",IF(OR($H10472="HYDROCRACKING",$H10472="RESID_HYDROCRACKING"),"Hydrocracker",IF($H10472="REFORMING","Reformer",""))))</f>
        <v/>
      </c>
    </row>
    <row r="10473" spans="6:7">
      <c r="F10473" s="6">
        <f>IF($M10473="PADD I","PADD 1",IF($M10473="PADD II","PADD 2",IF($M10473="PADD III","PADD 3",IF($M10473="PADD IV","PADD 4",IF($M10473="PADD V","PADD 5","")))))</f>
        <v/>
      </c>
      <c r="G10473" s="6">
        <f>IF(AND($H10473="ATMOS DISTILLATION",ISNUMBER(SEARCH("VPS",$I10473))=FALSE,LEFT($I10473,6)&lt;&gt;"VACUUM"),"CDU",IF($H10473="FLUID CAT CRACKING","FCC",IF(OR($H10473="HYDROCRACKING",$H10473="RESID_HYDROCRACKING"),"Hydrocracker",IF($H10473="REFORMING","Reformer",""))))</f>
        <v/>
      </c>
    </row>
    <row r="10474" spans="6:7">
      <c r="F10474" s="6">
        <f>IF($M10474="PADD I","PADD 1",IF($M10474="PADD II","PADD 2",IF($M10474="PADD III","PADD 3",IF($M10474="PADD IV","PADD 4",IF($M10474="PADD V","PADD 5","")))))</f>
        <v/>
      </c>
      <c r="G10474" s="6">
        <f>IF(AND($H10474="ATMOS DISTILLATION",ISNUMBER(SEARCH("VPS",$I10474))=FALSE,LEFT($I10474,6)&lt;&gt;"VACUUM"),"CDU",IF($H10474="FLUID CAT CRACKING","FCC",IF(OR($H10474="HYDROCRACKING",$H10474="RESID_HYDROCRACKING"),"Hydrocracker",IF($H10474="REFORMING","Reformer",""))))</f>
        <v/>
      </c>
    </row>
    <row r="10475" spans="6:7">
      <c r="F10475" s="6">
        <f>IF($M10475="PADD I","PADD 1",IF($M10475="PADD II","PADD 2",IF($M10475="PADD III","PADD 3",IF($M10475="PADD IV","PADD 4",IF($M10475="PADD V","PADD 5","")))))</f>
        <v/>
      </c>
      <c r="G10475" s="6">
        <f>IF(AND($H10475="ATMOS DISTILLATION",ISNUMBER(SEARCH("VPS",$I10475))=FALSE,LEFT($I10475,6)&lt;&gt;"VACUUM"),"CDU",IF($H10475="FLUID CAT CRACKING","FCC",IF(OR($H10475="HYDROCRACKING",$H10475="RESID_HYDROCRACKING"),"Hydrocracker",IF($H10475="REFORMING","Reformer",""))))</f>
        <v/>
      </c>
    </row>
    <row r="10476" spans="6:7">
      <c r="F10476" s="6">
        <f>IF($M10476="PADD I","PADD 1",IF($M10476="PADD II","PADD 2",IF($M10476="PADD III","PADD 3",IF($M10476="PADD IV","PADD 4",IF($M10476="PADD V","PADD 5","")))))</f>
        <v/>
      </c>
      <c r="G10476" s="6">
        <f>IF(AND($H10476="ATMOS DISTILLATION",ISNUMBER(SEARCH("VPS",$I10476))=FALSE,LEFT($I10476,6)&lt;&gt;"VACUUM"),"CDU",IF($H10476="FLUID CAT CRACKING","FCC",IF(OR($H10476="HYDROCRACKING",$H10476="RESID_HYDROCRACKING"),"Hydrocracker",IF($H10476="REFORMING","Reformer",""))))</f>
        <v/>
      </c>
    </row>
    <row r="10477" spans="6:7">
      <c r="F10477" s="6">
        <f>IF($M10477="PADD I","PADD 1",IF($M10477="PADD II","PADD 2",IF($M10477="PADD III","PADD 3",IF($M10477="PADD IV","PADD 4",IF($M10477="PADD V","PADD 5","")))))</f>
        <v/>
      </c>
      <c r="G10477" s="6">
        <f>IF(AND($H10477="ATMOS DISTILLATION",ISNUMBER(SEARCH("VPS",$I10477))=FALSE,LEFT($I10477,6)&lt;&gt;"VACUUM"),"CDU",IF($H10477="FLUID CAT CRACKING","FCC",IF(OR($H10477="HYDROCRACKING",$H10477="RESID_HYDROCRACKING"),"Hydrocracker",IF($H10477="REFORMING","Reformer",""))))</f>
        <v/>
      </c>
    </row>
    <row r="10478" spans="6:7">
      <c r="F10478" s="6">
        <f>IF($M10478="PADD I","PADD 1",IF($M10478="PADD II","PADD 2",IF($M10478="PADD III","PADD 3",IF($M10478="PADD IV","PADD 4",IF($M10478="PADD V","PADD 5","")))))</f>
        <v/>
      </c>
      <c r="G10478" s="6">
        <f>IF(AND($H10478="ATMOS DISTILLATION",ISNUMBER(SEARCH("VPS",$I10478))=FALSE,LEFT($I10478,6)&lt;&gt;"VACUUM"),"CDU",IF($H10478="FLUID CAT CRACKING","FCC",IF(OR($H10478="HYDROCRACKING",$H10478="RESID_HYDROCRACKING"),"Hydrocracker",IF($H10478="REFORMING","Reformer",""))))</f>
        <v/>
      </c>
    </row>
    <row r="10479" spans="6:7">
      <c r="F10479" s="6">
        <f>IF($M10479="PADD I","PADD 1",IF($M10479="PADD II","PADD 2",IF($M10479="PADD III","PADD 3",IF($M10479="PADD IV","PADD 4",IF($M10479="PADD V","PADD 5","")))))</f>
        <v/>
      </c>
      <c r="G10479" s="6">
        <f>IF(AND($H10479="ATMOS DISTILLATION",ISNUMBER(SEARCH("VPS",$I10479))=FALSE,LEFT($I10479,6)&lt;&gt;"VACUUM"),"CDU",IF($H10479="FLUID CAT CRACKING","FCC",IF(OR($H10479="HYDROCRACKING",$H10479="RESID_HYDROCRACKING"),"Hydrocracker",IF($H10479="REFORMING","Reformer",""))))</f>
        <v/>
      </c>
    </row>
    <row r="10480" spans="6:7">
      <c r="F10480" s="6">
        <f>IF($M10480="PADD I","PADD 1",IF($M10480="PADD II","PADD 2",IF($M10480="PADD III","PADD 3",IF($M10480="PADD IV","PADD 4",IF($M10480="PADD V","PADD 5","")))))</f>
        <v/>
      </c>
      <c r="G10480" s="6">
        <f>IF(AND($H10480="ATMOS DISTILLATION",ISNUMBER(SEARCH("VPS",$I10480))=FALSE,LEFT($I10480,6)&lt;&gt;"VACUUM"),"CDU",IF($H10480="FLUID CAT CRACKING","FCC",IF(OR($H10480="HYDROCRACKING",$H10480="RESID_HYDROCRACKING"),"Hydrocracker",IF($H10480="REFORMING","Reformer",""))))</f>
        <v/>
      </c>
    </row>
    <row r="10481" spans="6:7">
      <c r="F10481" s="6">
        <f>IF($M10481="PADD I","PADD 1",IF($M10481="PADD II","PADD 2",IF($M10481="PADD III","PADD 3",IF($M10481="PADD IV","PADD 4",IF($M10481="PADD V","PADD 5","")))))</f>
        <v/>
      </c>
      <c r="G10481" s="6">
        <f>IF(AND($H10481="ATMOS DISTILLATION",ISNUMBER(SEARCH("VPS",$I10481))=FALSE,LEFT($I10481,6)&lt;&gt;"VACUUM"),"CDU",IF($H10481="FLUID CAT CRACKING","FCC",IF(OR($H10481="HYDROCRACKING",$H10481="RESID_HYDROCRACKING"),"Hydrocracker",IF($H10481="REFORMING","Reformer",""))))</f>
        <v/>
      </c>
    </row>
    <row r="10482" spans="6:7">
      <c r="F10482" s="6">
        <f>IF($M10482="PADD I","PADD 1",IF($M10482="PADD II","PADD 2",IF($M10482="PADD III","PADD 3",IF($M10482="PADD IV","PADD 4",IF($M10482="PADD V","PADD 5","")))))</f>
        <v/>
      </c>
      <c r="G10482" s="6">
        <f>IF(AND($H10482="ATMOS DISTILLATION",ISNUMBER(SEARCH("VPS",$I10482))=FALSE,LEFT($I10482,6)&lt;&gt;"VACUUM"),"CDU",IF($H10482="FLUID CAT CRACKING","FCC",IF(OR($H10482="HYDROCRACKING",$H10482="RESID_HYDROCRACKING"),"Hydrocracker",IF($H10482="REFORMING","Reformer",""))))</f>
        <v/>
      </c>
    </row>
    <row r="10483" spans="6:7">
      <c r="F10483" s="6">
        <f>IF($M10483="PADD I","PADD 1",IF($M10483="PADD II","PADD 2",IF($M10483="PADD III","PADD 3",IF($M10483="PADD IV","PADD 4",IF($M10483="PADD V","PADD 5","")))))</f>
        <v/>
      </c>
      <c r="G10483" s="6">
        <f>IF(AND($H10483="ATMOS DISTILLATION",ISNUMBER(SEARCH("VPS",$I10483))=FALSE,LEFT($I10483,6)&lt;&gt;"VACUUM"),"CDU",IF($H10483="FLUID CAT CRACKING","FCC",IF(OR($H10483="HYDROCRACKING",$H10483="RESID_HYDROCRACKING"),"Hydrocracker",IF($H10483="REFORMING","Reformer",""))))</f>
        <v/>
      </c>
    </row>
    <row r="10484" spans="6:7">
      <c r="F10484" s="6">
        <f>IF($M10484="PADD I","PADD 1",IF($M10484="PADD II","PADD 2",IF($M10484="PADD III","PADD 3",IF($M10484="PADD IV","PADD 4",IF($M10484="PADD V","PADD 5","")))))</f>
        <v/>
      </c>
      <c r="G10484" s="6">
        <f>IF(AND($H10484="ATMOS DISTILLATION",ISNUMBER(SEARCH("VPS",$I10484))=FALSE,LEFT($I10484,6)&lt;&gt;"VACUUM"),"CDU",IF($H10484="FLUID CAT CRACKING","FCC",IF(OR($H10484="HYDROCRACKING",$H10484="RESID_HYDROCRACKING"),"Hydrocracker",IF($H10484="REFORMING","Reformer",""))))</f>
        <v/>
      </c>
    </row>
    <row r="10485" spans="6:7">
      <c r="F10485" s="6">
        <f>IF($M10485="PADD I","PADD 1",IF($M10485="PADD II","PADD 2",IF($M10485="PADD III","PADD 3",IF($M10485="PADD IV","PADD 4",IF($M10485="PADD V","PADD 5","")))))</f>
        <v/>
      </c>
      <c r="G10485" s="6">
        <f>IF(AND($H10485="ATMOS DISTILLATION",ISNUMBER(SEARCH("VPS",$I10485))=FALSE,LEFT($I10485,6)&lt;&gt;"VACUUM"),"CDU",IF($H10485="FLUID CAT CRACKING","FCC",IF(OR($H10485="HYDROCRACKING",$H10485="RESID_HYDROCRACKING"),"Hydrocracker",IF($H10485="REFORMING","Reformer",""))))</f>
        <v/>
      </c>
    </row>
    <row r="10486" spans="6:7">
      <c r="F10486" s="6">
        <f>IF($M10486="PADD I","PADD 1",IF($M10486="PADD II","PADD 2",IF($M10486="PADD III","PADD 3",IF($M10486="PADD IV","PADD 4",IF($M10486="PADD V","PADD 5","")))))</f>
        <v/>
      </c>
      <c r="G10486" s="6">
        <f>IF(AND($H10486="ATMOS DISTILLATION",ISNUMBER(SEARCH("VPS",$I10486))=FALSE,LEFT($I10486,6)&lt;&gt;"VACUUM"),"CDU",IF($H10486="FLUID CAT CRACKING","FCC",IF(OR($H10486="HYDROCRACKING",$H10486="RESID_HYDROCRACKING"),"Hydrocracker",IF($H10486="REFORMING","Reformer",""))))</f>
        <v/>
      </c>
    </row>
    <row r="10487" spans="6:7">
      <c r="F10487" s="6">
        <f>IF($M10487="PADD I","PADD 1",IF($M10487="PADD II","PADD 2",IF($M10487="PADD III","PADD 3",IF($M10487="PADD IV","PADD 4",IF($M10487="PADD V","PADD 5","")))))</f>
        <v/>
      </c>
      <c r="G10487" s="6">
        <f>IF(AND($H10487="ATMOS DISTILLATION",ISNUMBER(SEARCH("VPS",$I10487))=FALSE,LEFT($I10487,6)&lt;&gt;"VACUUM"),"CDU",IF($H10487="FLUID CAT CRACKING","FCC",IF(OR($H10487="HYDROCRACKING",$H10487="RESID_HYDROCRACKING"),"Hydrocracker",IF($H10487="REFORMING","Reformer",""))))</f>
        <v/>
      </c>
    </row>
    <row r="10488" spans="6:7">
      <c r="F10488" s="6">
        <f>IF($M10488="PADD I","PADD 1",IF($M10488="PADD II","PADD 2",IF($M10488="PADD III","PADD 3",IF($M10488="PADD IV","PADD 4",IF($M10488="PADD V","PADD 5","")))))</f>
        <v/>
      </c>
      <c r="G10488" s="6">
        <f>IF(AND($H10488="ATMOS DISTILLATION",ISNUMBER(SEARCH("VPS",$I10488))=FALSE,LEFT($I10488,6)&lt;&gt;"VACUUM"),"CDU",IF($H10488="FLUID CAT CRACKING","FCC",IF(OR($H10488="HYDROCRACKING",$H10488="RESID_HYDROCRACKING"),"Hydrocracker",IF($H10488="REFORMING","Reformer",""))))</f>
        <v/>
      </c>
    </row>
    <row r="10489" spans="6:7">
      <c r="F10489" s="6">
        <f>IF($M10489="PADD I","PADD 1",IF($M10489="PADD II","PADD 2",IF($M10489="PADD III","PADD 3",IF($M10489="PADD IV","PADD 4",IF($M10489="PADD V","PADD 5","")))))</f>
        <v/>
      </c>
      <c r="G10489" s="6">
        <f>IF(AND($H10489="ATMOS DISTILLATION",ISNUMBER(SEARCH("VPS",$I10489))=FALSE,LEFT($I10489,6)&lt;&gt;"VACUUM"),"CDU",IF($H10489="FLUID CAT CRACKING","FCC",IF(OR($H10489="HYDROCRACKING",$H10489="RESID_HYDROCRACKING"),"Hydrocracker",IF($H10489="REFORMING","Reformer",""))))</f>
        <v/>
      </c>
    </row>
    <row r="10490" spans="6:7">
      <c r="F10490" s="6">
        <f>IF($M10490="PADD I","PADD 1",IF($M10490="PADD II","PADD 2",IF($M10490="PADD III","PADD 3",IF($M10490="PADD IV","PADD 4",IF($M10490="PADD V","PADD 5","")))))</f>
        <v/>
      </c>
      <c r="G10490" s="6">
        <f>IF(AND($H10490="ATMOS DISTILLATION",ISNUMBER(SEARCH("VPS",$I10490))=FALSE,LEFT($I10490,6)&lt;&gt;"VACUUM"),"CDU",IF($H10490="FLUID CAT CRACKING","FCC",IF(OR($H10490="HYDROCRACKING",$H10490="RESID_HYDROCRACKING"),"Hydrocracker",IF($H10490="REFORMING","Reformer",""))))</f>
        <v/>
      </c>
    </row>
    <row r="10491" spans="6:7">
      <c r="F10491" s="6">
        <f>IF($M10491="PADD I","PADD 1",IF($M10491="PADD II","PADD 2",IF($M10491="PADD III","PADD 3",IF($M10491="PADD IV","PADD 4",IF($M10491="PADD V","PADD 5","")))))</f>
        <v/>
      </c>
      <c r="G10491" s="6">
        <f>IF(AND($H10491="ATMOS DISTILLATION",ISNUMBER(SEARCH("VPS",$I10491))=FALSE,LEFT($I10491,6)&lt;&gt;"VACUUM"),"CDU",IF($H10491="FLUID CAT CRACKING","FCC",IF(OR($H10491="HYDROCRACKING",$H10491="RESID_HYDROCRACKING"),"Hydrocracker",IF($H10491="REFORMING","Reformer",""))))</f>
        <v/>
      </c>
    </row>
    <row r="10492" spans="6:7">
      <c r="F10492" s="6">
        <f>IF($M10492="PADD I","PADD 1",IF($M10492="PADD II","PADD 2",IF($M10492="PADD III","PADD 3",IF($M10492="PADD IV","PADD 4",IF($M10492="PADD V","PADD 5","")))))</f>
        <v/>
      </c>
      <c r="G10492" s="6">
        <f>IF(AND($H10492="ATMOS DISTILLATION",ISNUMBER(SEARCH("VPS",$I10492))=FALSE,LEFT($I10492,6)&lt;&gt;"VACUUM"),"CDU",IF($H10492="FLUID CAT CRACKING","FCC",IF(OR($H10492="HYDROCRACKING",$H10492="RESID_HYDROCRACKING"),"Hydrocracker",IF($H10492="REFORMING","Reformer",""))))</f>
        <v/>
      </c>
    </row>
    <row r="10493" spans="6:7">
      <c r="F10493" s="6">
        <f>IF($M10493="PADD I","PADD 1",IF($M10493="PADD II","PADD 2",IF($M10493="PADD III","PADD 3",IF($M10493="PADD IV","PADD 4",IF($M10493="PADD V","PADD 5","")))))</f>
        <v/>
      </c>
      <c r="G10493" s="6">
        <f>IF(AND($H10493="ATMOS DISTILLATION",ISNUMBER(SEARCH("VPS",$I10493))=FALSE,LEFT($I10493,6)&lt;&gt;"VACUUM"),"CDU",IF($H10493="FLUID CAT CRACKING","FCC",IF(OR($H10493="HYDROCRACKING",$H10493="RESID_HYDROCRACKING"),"Hydrocracker",IF($H10493="REFORMING","Reformer",""))))</f>
        <v/>
      </c>
    </row>
    <row r="10494" spans="6:7">
      <c r="F10494" s="6">
        <f>IF($M10494="PADD I","PADD 1",IF($M10494="PADD II","PADD 2",IF($M10494="PADD III","PADD 3",IF($M10494="PADD IV","PADD 4",IF($M10494="PADD V","PADD 5","")))))</f>
        <v/>
      </c>
      <c r="G10494" s="6">
        <f>IF(AND($H10494="ATMOS DISTILLATION",ISNUMBER(SEARCH("VPS",$I10494))=FALSE,LEFT($I10494,6)&lt;&gt;"VACUUM"),"CDU",IF($H10494="FLUID CAT CRACKING","FCC",IF(OR($H10494="HYDROCRACKING",$H10494="RESID_HYDROCRACKING"),"Hydrocracker",IF($H10494="REFORMING","Reformer",""))))</f>
        <v/>
      </c>
    </row>
    <row r="10495" spans="6:7">
      <c r="F10495" s="6">
        <f>IF($M10495="PADD I","PADD 1",IF($M10495="PADD II","PADD 2",IF($M10495="PADD III","PADD 3",IF($M10495="PADD IV","PADD 4",IF($M10495="PADD V","PADD 5","")))))</f>
        <v/>
      </c>
      <c r="G10495" s="6">
        <f>IF(AND($H10495="ATMOS DISTILLATION",ISNUMBER(SEARCH("VPS",$I10495))=FALSE,LEFT($I10495,6)&lt;&gt;"VACUUM"),"CDU",IF($H10495="FLUID CAT CRACKING","FCC",IF(OR($H10495="HYDROCRACKING",$H10495="RESID_HYDROCRACKING"),"Hydrocracker",IF($H10495="REFORMING","Reformer",""))))</f>
        <v/>
      </c>
    </row>
    <row r="10496" spans="6:7">
      <c r="F10496" s="6">
        <f>IF($M10496="PADD I","PADD 1",IF($M10496="PADD II","PADD 2",IF($M10496="PADD III","PADD 3",IF($M10496="PADD IV","PADD 4",IF($M10496="PADD V","PADD 5","")))))</f>
        <v/>
      </c>
      <c r="G10496" s="6">
        <f>IF(AND($H10496="ATMOS DISTILLATION",ISNUMBER(SEARCH("VPS",$I10496))=FALSE,LEFT($I10496,6)&lt;&gt;"VACUUM"),"CDU",IF($H10496="FLUID CAT CRACKING","FCC",IF(OR($H10496="HYDROCRACKING",$H10496="RESID_HYDROCRACKING"),"Hydrocracker",IF($H10496="REFORMING","Reformer",""))))</f>
        <v/>
      </c>
    </row>
    <row r="10497" spans="6:7">
      <c r="F10497" s="6">
        <f>IF($M10497="PADD I","PADD 1",IF($M10497="PADD II","PADD 2",IF($M10497="PADD III","PADD 3",IF($M10497="PADD IV","PADD 4",IF($M10497="PADD V","PADD 5","")))))</f>
        <v/>
      </c>
      <c r="G10497" s="6">
        <f>IF(AND($H10497="ATMOS DISTILLATION",ISNUMBER(SEARCH("VPS",$I10497))=FALSE,LEFT($I10497,6)&lt;&gt;"VACUUM"),"CDU",IF($H10497="FLUID CAT CRACKING","FCC",IF(OR($H10497="HYDROCRACKING",$H10497="RESID_HYDROCRACKING"),"Hydrocracker",IF($H10497="REFORMING","Reformer",""))))</f>
        <v/>
      </c>
    </row>
    <row r="10498" spans="6:7">
      <c r="F10498" s="6">
        <f>IF($M10498="PADD I","PADD 1",IF($M10498="PADD II","PADD 2",IF($M10498="PADD III","PADD 3",IF($M10498="PADD IV","PADD 4",IF($M10498="PADD V","PADD 5","")))))</f>
        <v/>
      </c>
      <c r="G10498" s="6">
        <f>IF(AND($H10498="ATMOS DISTILLATION",ISNUMBER(SEARCH("VPS",$I10498))=FALSE,LEFT($I10498,6)&lt;&gt;"VACUUM"),"CDU",IF($H10498="FLUID CAT CRACKING","FCC",IF(OR($H10498="HYDROCRACKING",$H10498="RESID_HYDROCRACKING"),"Hydrocracker",IF($H10498="REFORMING","Reformer",""))))</f>
        <v/>
      </c>
    </row>
    <row r="10499" spans="6:7">
      <c r="F10499" s="6">
        <f>IF($M10499="PADD I","PADD 1",IF($M10499="PADD II","PADD 2",IF($M10499="PADD III","PADD 3",IF($M10499="PADD IV","PADD 4",IF($M10499="PADD V","PADD 5","")))))</f>
        <v/>
      </c>
      <c r="G10499" s="6">
        <f>IF(AND($H10499="ATMOS DISTILLATION",ISNUMBER(SEARCH("VPS",$I10499))=FALSE,LEFT($I10499,6)&lt;&gt;"VACUUM"),"CDU",IF($H10499="FLUID CAT CRACKING","FCC",IF(OR($H10499="HYDROCRACKING",$H10499="RESID_HYDROCRACKING"),"Hydrocracker",IF($H10499="REFORMING","Reformer",""))))</f>
        <v/>
      </c>
    </row>
    <row r="10500" spans="6:7">
      <c r="F10500" s="6">
        <f>IF($M10500="PADD I","PADD 1",IF($M10500="PADD II","PADD 2",IF($M10500="PADD III","PADD 3",IF($M10500="PADD IV","PADD 4",IF($M10500="PADD V","PADD 5","")))))</f>
        <v/>
      </c>
      <c r="G10500" s="6">
        <f>IF(AND($H10500="ATMOS DISTILLATION",ISNUMBER(SEARCH("VPS",$I10500))=FALSE,LEFT($I10500,6)&lt;&gt;"VACUUM"),"CDU",IF($H10500="FLUID CAT CRACKING","FCC",IF(OR($H10500="HYDROCRACKING",$H10500="RESID_HYDROCRACKING"),"Hydrocracker",IF($H10500="REFORMING","Reformer",""))))</f>
        <v/>
      </c>
    </row>
    <row r="10501" spans="6:7">
      <c r="F10501" s="6">
        <f>IF($M10501="PADD I","PADD 1",IF($M10501="PADD II","PADD 2",IF($M10501="PADD III","PADD 3",IF($M10501="PADD IV","PADD 4",IF($M10501="PADD V","PADD 5","")))))</f>
        <v/>
      </c>
      <c r="G10501" s="6">
        <f>IF(AND($H10501="ATMOS DISTILLATION",ISNUMBER(SEARCH("VPS",$I10501))=FALSE,LEFT($I10501,6)&lt;&gt;"VACUUM"),"CDU",IF($H10501="FLUID CAT CRACKING","FCC",IF(OR($H10501="HYDROCRACKING",$H10501="RESID_HYDROCRACKING"),"Hydrocracker",IF($H10501="REFORMING","Reformer",""))))</f>
        <v/>
      </c>
    </row>
    <row r="10502" spans="6:7">
      <c r="F10502" s="6">
        <f>IF($M10502="PADD I","PADD 1",IF($M10502="PADD II","PADD 2",IF($M10502="PADD III","PADD 3",IF($M10502="PADD IV","PADD 4",IF($M10502="PADD V","PADD 5","")))))</f>
        <v/>
      </c>
      <c r="G10502" s="6">
        <f>IF(AND($H10502="ATMOS DISTILLATION",ISNUMBER(SEARCH("VPS",$I10502))=FALSE,LEFT($I10502,6)&lt;&gt;"VACUUM"),"CDU",IF($H10502="FLUID CAT CRACKING","FCC",IF(OR($H10502="HYDROCRACKING",$H10502="RESID_HYDROCRACKING"),"Hydrocracker",IF($H10502="REFORMING","Reformer",""))))</f>
        <v/>
      </c>
    </row>
    <row r="10503" spans="6:7">
      <c r="F10503" s="6">
        <f>IF($M10503="PADD I","PADD 1",IF($M10503="PADD II","PADD 2",IF($M10503="PADD III","PADD 3",IF($M10503="PADD IV","PADD 4",IF($M10503="PADD V","PADD 5","")))))</f>
        <v/>
      </c>
      <c r="G10503" s="6">
        <f>IF(AND($H10503="ATMOS DISTILLATION",ISNUMBER(SEARCH("VPS",$I10503))=FALSE,LEFT($I10503,6)&lt;&gt;"VACUUM"),"CDU",IF($H10503="FLUID CAT CRACKING","FCC",IF(OR($H10503="HYDROCRACKING",$H10503="RESID_HYDROCRACKING"),"Hydrocracker",IF($H10503="REFORMING","Reformer",""))))</f>
        <v/>
      </c>
    </row>
    <row r="10504" spans="6:7">
      <c r="F10504" s="6">
        <f>IF($M10504="PADD I","PADD 1",IF($M10504="PADD II","PADD 2",IF($M10504="PADD III","PADD 3",IF($M10504="PADD IV","PADD 4",IF($M10504="PADD V","PADD 5","")))))</f>
        <v/>
      </c>
      <c r="G10504" s="6">
        <f>IF(AND($H10504="ATMOS DISTILLATION",ISNUMBER(SEARCH("VPS",$I10504))=FALSE,LEFT($I10504,6)&lt;&gt;"VACUUM"),"CDU",IF($H10504="FLUID CAT CRACKING","FCC",IF(OR($H10504="HYDROCRACKING",$H10504="RESID_HYDROCRACKING"),"Hydrocracker",IF($H10504="REFORMING","Reformer",""))))</f>
        <v/>
      </c>
    </row>
    <row r="10505" spans="6:7">
      <c r="F10505" s="6">
        <f>IF($M10505="PADD I","PADD 1",IF($M10505="PADD II","PADD 2",IF($M10505="PADD III","PADD 3",IF($M10505="PADD IV","PADD 4",IF($M10505="PADD V","PADD 5","")))))</f>
        <v/>
      </c>
      <c r="G10505" s="6">
        <f>IF(AND($H10505="ATMOS DISTILLATION",ISNUMBER(SEARCH("VPS",$I10505))=FALSE,LEFT($I10505,6)&lt;&gt;"VACUUM"),"CDU",IF($H10505="FLUID CAT CRACKING","FCC",IF(OR($H10505="HYDROCRACKING",$H10505="RESID_HYDROCRACKING"),"Hydrocracker",IF($H10505="REFORMING","Reformer",""))))</f>
        <v/>
      </c>
    </row>
    <row r="10506" spans="6:7">
      <c r="F10506" s="6">
        <f>IF($M10506="PADD I","PADD 1",IF($M10506="PADD II","PADD 2",IF($M10506="PADD III","PADD 3",IF($M10506="PADD IV","PADD 4",IF($M10506="PADD V","PADD 5","")))))</f>
        <v/>
      </c>
      <c r="G10506" s="6">
        <f>IF(AND($H10506="ATMOS DISTILLATION",ISNUMBER(SEARCH("VPS",$I10506))=FALSE,LEFT($I10506,6)&lt;&gt;"VACUUM"),"CDU",IF($H10506="FLUID CAT CRACKING","FCC",IF(OR($H10506="HYDROCRACKING",$H10506="RESID_HYDROCRACKING"),"Hydrocracker",IF($H10506="REFORMING","Reformer",""))))</f>
        <v/>
      </c>
    </row>
    <row r="10507" spans="6:7">
      <c r="F10507" s="6">
        <f>IF($M10507="PADD I","PADD 1",IF($M10507="PADD II","PADD 2",IF($M10507="PADD III","PADD 3",IF($M10507="PADD IV","PADD 4",IF($M10507="PADD V","PADD 5","")))))</f>
        <v/>
      </c>
      <c r="G10507" s="6">
        <f>IF(AND($H10507="ATMOS DISTILLATION",ISNUMBER(SEARCH("VPS",$I10507))=FALSE,LEFT($I10507,6)&lt;&gt;"VACUUM"),"CDU",IF($H10507="FLUID CAT CRACKING","FCC",IF(OR($H10507="HYDROCRACKING",$H10507="RESID_HYDROCRACKING"),"Hydrocracker",IF($H10507="REFORMING","Reformer",""))))</f>
        <v/>
      </c>
    </row>
    <row r="10508" spans="6:7">
      <c r="F10508" s="6">
        <f>IF($M10508="PADD I","PADD 1",IF($M10508="PADD II","PADD 2",IF($M10508="PADD III","PADD 3",IF($M10508="PADD IV","PADD 4",IF($M10508="PADD V","PADD 5","")))))</f>
        <v/>
      </c>
      <c r="G10508" s="6">
        <f>IF(AND($H10508="ATMOS DISTILLATION",ISNUMBER(SEARCH("VPS",$I10508))=FALSE,LEFT($I10508,6)&lt;&gt;"VACUUM"),"CDU",IF($H10508="FLUID CAT CRACKING","FCC",IF(OR($H10508="HYDROCRACKING",$H10508="RESID_HYDROCRACKING"),"Hydrocracker",IF($H10508="REFORMING","Reformer",""))))</f>
        <v/>
      </c>
    </row>
    <row r="10509" spans="6:7">
      <c r="F10509" s="6">
        <f>IF($M10509="PADD I","PADD 1",IF($M10509="PADD II","PADD 2",IF($M10509="PADD III","PADD 3",IF($M10509="PADD IV","PADD 4",IF($M10509="PADD V","PADD 5","")))))</f>
        <v/>
      </c>
      <c r="G10509" s="6">
        <f>IF(AND($H10509="ATMOS DISTILLATION",ISNUMBER(SEARCH("VPS",$I10509))=FALSE,LEFT($I10509,6)&lt;&gt;"VACUUM"),"CDU",IF($H10509="FLUID CAT CRACKING","FCC",IF(OR($H10509="HYDROCRACKING",$H10509="RESID_HYDROCRACKING"),"Hydrocracker",IF($H10509="REFORMING","Reformer",""))))</f>
        <v/>
      </c>
    </row>
    <row r="10510" spans="6:7">
      <c r="F10510" s="6">
        <f>IF($M10510="PADD I","PADD 1",IF($M10510="PADD II","PADD 2",IF($M10510="PADD III","PADD 3",IF($M10510="PADD IV","PADD 4",IF($M10510="PADD V","PADD 5","")))))</f>
        <v/>
      </c>
      <c r="G10510" s="6">
        <f>IF(AND($H10510="ATMOS DISTILLATION",ISNUMBER(SEARCH("VPS",$I10510))=FALSE,LEFT($I10510,6)&lt;&gt;"VACUUM"),"CDU",IF($H10510="FLUID CAT CRACKING","FCC",IF(OR($H10510="HYDROCRACKING",$H10510="RESID_HYDROCRACKING"),"Hydrocracker",IF($H10510="REFORMING","Reformer",""))))</f>
        <v/>
      </c>
    </row>
    <row r="10511" spans="6:7">
      <c r="F10511" s="6">
        <f>IF($M10511="PADD I","PADD 1",IF($M10511="PADD II","PADD 2",IF($M10511="PADD III","PADD 3",IF($M10511="PADD IV","PADD 4",IF($M10511="PADD V","PADD 5","")))))</f>
        <v/>
      </c>
      <c r="G10511" s="6">
        <f>IF(AND($H10511="ATMOS DISTILLATION",ISNUMBER(SEARCH("VPS",$I10511))=FALSE,LEFT($I10511,6)&lt;&gt;"VACUUM"),"CDU",IF($H10511="FLUID CAT CRACKING","FCC",IF(OR($H10511="HYDROCRACKING",$H10511="RESID_HYDROCRACKING"),"Hydrocracker",IF($H10511="REFORMING","Reformer",""))))</f>
        <v/>
      </c>
    </row>
    <row r="10512" spans="6:7">
      <c r="F10512" s="6">
        <f>IF($M10512="PADD I","PADD 1",IF($M10512="PADD II","PADD 2",IF($M10512="PADD III","PADD 3",IF($M10512="PADD IV","PADD 4",IF($M10512="PADD V","PADD 5","")))))</f>
        <v/>
      </c>
      <c r="G10512" s="6">
        <f>IF(AND($H10512="ATMOS DISTILLATION",ISNUMBER(SEARCH("VPS",$I10512))=FALSE,LEFT($I10512,6)&lt;&gt;"VACUUM"),"CDU",IF($H10512="FLUID CAT CRACKING","FCC",IF(OR($H10512="HYDROCRACKING",$H10512="RESID_HYDROCRACKING"),"Hydrocracker",IF($H10512="REFORMING","Reformer",""))))</f>
        <v/>
      </c>
    </row>
    <row r="10513" spans="6:7">
      <c r="F10513" s="6">
        <f>IF($M10513="PADD I","PADD 1",IF($M10513="PADD II","PADD 2",IF($M10513="PADD III","PADD 3",IF($M10513="PADD IV","PADD 4",IF($M10513="PADD V","PADD 5","")))))</f>
        <v/>
      </c>
      <c r="G10513" s="6">
        <f>IF(AND($H10513="ATMOS DISTILLATION",ISNUMBER(SEARCH("VPS",$I10513))=FALSE,LEFT($I10513,6)&lt;&gt;"VACUUM"),"CDU",IF($H10513="FLUID CAT CRACKING","FCC",IF(OR($H10513="HYDROCRACKING",$H10513="RESID_HYDROCRACKING"),"Hydrocracker",IF($H10513="REFORMING","Reformer",""))))</f>
        <v/>
      </c>
    </row>
    <row r="10514" spans="6:7">
      <c r="F10514" s="6">
        <f>IF($M10514="PADD I","PADD 1",IF($M10514="PADD II","PADD 2",IF($M10514="PADD III","PADD 3",IF($M10514="PADD IV","PADD 4",IF($M10514="PADD V","PADD 5","")))))</f>
        <v/>
      </c>
      <c r="G10514" s="6">
        <f>IF(AND($H10514="ATMOS DISTILLATION",ISNUMBER(SEARCH("VPS",$I10514))=FALSE,LEFT($I10514,6)&lt;&gt;"VACUUM"),"CDU",IF($H10514="FLUID CAT CRACKING","FCC",IF(OR($H10514="HYDROCRACKING",$H10514="RESID_HYDROCRACKING"),"Hydrocracker",IF($H10514="REFORMING","Reformer",""))))</f>
        <v/>
      </c>
    </row>
    <row r="10515" spans="6:7">
      <c r="F10515" s="6">
        <f>IF($M10515="PADD I","PADD 1",IF($M10515="PADD II","PADD 2",IF($M10515="PADD III","PADD 3",IF($M10515="PADD IV","PADD 4",IF($M10515="PADD V","PADD 5","")))))</f>
        <v/>
      </c>
      <c r="G10515" s="6">
        <f>IF(AND($H10515="ATMOS DISTILLATION",ISNUMBER(SEARCH("VPS",$I10515))=FALSE,LEFT($I10515,6)&lt;&gt;"VACUUM"),"CDU",IF($H10515="FLUID CAT CRACKING","FCC",IF(OR($H10515="HYDROCRACKING",$H10515="RESID_HYDROCRACKING"),"Hydrocracker",IF($H10515="REFORMING","Reformer",""))))</f>
        <v/>
      </c>
    </row>
    <row r="10516" spans="6:7">
      <c r="F10516" s="6">
        <f>IF($M10516="PADD I","PADD 1",IF($M10516="PADD II","PADD 2",IF($M10516="PADD III","PADD 3",IF($M10516="PADD IV","PADD 4",IF($M10516="PADD V","PADD 5","")))))</f>
        <v/>
      </c>
      <c r="G10516" s="6">
        <f>IF(AND($H10516="ATMOS DISTILLATION",ISNUMBER(SEARCH("VPS",$I10516))=FALSE,LEFT($I10516,6)&lt;&gt;"VACUUM"),"CDU",IF($H10516="FLUID CAT CRACKING","FCC",IF(OR($H10516="HYDROCRACKING",$H10516="RESID_HYDROCRACKING"),"Hydrocracker",IF($H10516="REFORMING","Reformer",""))))</f>
        <v/>
      </c>
    </row>
    <row r="10517" spans="6:7">
      <c r="F10517" s="6">
        <f>IF($M10517="PADD I","PADD 1",IF($M10517="PADD II","PADD 2",IF($M10517="PADD III","PADD 3",IF($M10517="PADD IV","PADD 4",IF($M10517="PADD V","PADD 5","")))))</f>
        <v/>
      </c>
      <c r="G10517" s="6">
        <f>IF(AND($H10517="ATMOS DISTILLATION",ISNUMBER(SEARCH("VPS",$I10517))=FALSE,LEFT($I10517,6)&lt;&gt;"VACUUM"),"CDU",IF($H10517="FLUID CAT CRACKING","FCC",IF(OR($H10517="HYDROCRACKING",$H10517="RESID_HYDROCRACKING"),"Hydrocracker",IF($H10517="REFORMING","Reformer",""))))</f>
        <v/>
      </c>
    </row>
    <row r="10518" spans="6:7">
      <c r="F10518" s="6">
        <f>IF($M10518="PADD I","PADD 1",IF($M10518="PADD II","PADD 2",IF($M10518="PADD III","PADD 3",IF($M10518="PADD IV","PADD 4",IF($M10518="PADD V","PADD 5","")))))</f>
        <v/>
      </c>
      <c r="G10518" s="6">
        <f>IF(AND($H10518="ATMOS DISTILLATION",ISNUMBER(SEARCH("VPS",$I10518))=FALSE,LEFT($I10518,6)&lt;&gt;"VACUUM"),"CDU",IF($H10518="FLUID CAT CRACKING","FCC",IF(OR($H10518="HYDROCRACKING",$H10518="RESID_HYDROCRACKING"),"Hydrocracker",IF($H10518="REFORMING","Reformer",""))))</f>
        <v/>
      </c>
    </row>
    <row r="10519" spans="6:7">
      <c r="F10519" s="6">
        <f>IF($M10519="PADD I","PADD 1",IF($M10519="PADD II","PADD 2",IF($M10519="PADD III","PADD 3",IF($M10519="PADD IV","PADD 4",IF($M10519="PADD V","PADD 5","")))))</f>
        <v/>
      </c>
      <c r="G10519" s="6">
        <f>IF(AND($H10519="ATMOS DISTILLATION",ISNUMBER(SEARCH("VPS",$I10519))=FALSE,LEFT($I10519,6)&lt;&gt;"VACUUM"),"CDU",IF($H10519="FLUID CAT CRACKING","FCC",IF(OR($H10519="HYDROCRACKING",$H10519="RESID_HYDROCRACKING"),"Hydrocracker",IF($H10519="REFORMING","Reformer",""))))</f>
        <v/>
      </c>
    </row>
    <row r="10520" spans="6:7">
      <c r="F10520" s="6">
        <f>IF($M10520="PADD I","PADD 1",IF($M10520="PADD II","PADD 2",IF($M10520="PADD III","PADD 3",IF($M10520="PADD IV","PADD 4",IF($M10520="PADD V","PADD 5","")))))</f>
        <v/>
      </c>
      <c r="G10520" s="6">
        <f>IF(AND($H10520="ATMOS DISTILLATION",ISNUMBER(SEARCH("VPS",$I10520))=FALSE,LEFT($I10520,6)&lt;&gt;"VACUUM"),"CDU",IF($H10520="FLUID CAT CRACKING","FCC",IF(OR($H10520="HYDROCRACKING",$H10520="RESID_HYDROCRACKING"),"Hydrocracker",IF($H10520="REFORMING","Reformer",""))))</f>
        <v/>
      </c>
    </row>
    <row r="10521" spans="6:7">
      <c r="F10521" s="6">
        <f>IF($M10521="PADD I","PADD 1",IF($M10521="PADD II","PADD 2",IF($M10521="PADD III","PADD 3",IF($M10521="PADD IV","PADD 4",IF($M10521="PADD V","PADD 5","")))))</f>
        <v/>
      </c>
      <c r="G10521" s="6">
        <f>IF(AND($H10521="ATMOS DISTILLATION",ISNUMBER(SEARCH("VPS",$I10521))=FALSE,LEFT($I10521,6)&lt;&gt;"VACUUM"),"CDU",IF($H10521="FLUID CAT CRACKING","FCC",IF(OR($H10521="HYDROCRACKING",$H10521="RESID_HYDROCRACKING"),"Hydrocracker",IF($H10521="REFORMING","Reformer",""))))</f>
        <v/>
      </c>
    </row>
    <row r="10522" spans="6:7">
      <c r="F10522" s="6">
        <f>IF($M10522="PADD I","PADD 1",IF($M10522="PADD II","PADD 2",IF($M10522="PADD III","PADD 3",IF($M10522="PADD IV","PADD 4",IF($M10522="PADD V","PADD 5","")))))</f>
        <v/>
      </c>
      <c r="G10522" s="6">
        <f>IF(AND($H10522="ATMOS DISTILLATION",ISNUMBER(SEARCH("VPS",$I10522))=FALSE,LEFT($I10522,6)&lt;&gt;"VACUUM"),"CDU",IF($H10522="FLUID CAT CRACKING","FCC",IF(OR($H10522="HYDROCRACKING",$H10522="RESID_HYDROCRACKING"),"Hydrocracker",IF($H10522="REFORMING","Reformer",""))))</f>
        <v/>
      </c>
    </row>
    <row r="10523" spans="6:7">
      <c r="F10523" s="6">
        <f>IF($M10523="PADD I","PADD 1",IF($M10523="PADD II","PADD 2",IF($M10523="PADD III","PADD 3",IF($M10523="PADD IV","PADD 4",IF($M10523="PADD V","PADD 5","")))))</f>
        <v/>
      </c>
      <c r="G10523" s="6">
        <f>IF(AND($H10523="ATMOS DISTILLATION",ISNUMBER(SEARCH("VPS",$I10523))=FALSE,LEFT($I10523,6)&lt;&gt;"VACUUM"),"CDU",IF($H10523="FLUID CAT CRACKING","FCC",IF(OR($H10523="HYDROCRACKING",$H10523="RESID_HYDROCRACKING"),"Hydrocracker",IF($H10523="REFORMING","Reformer",""))))</f>
        <v/>
      </c>
    </row>
    <row r="10524" spans="6:7">
      <c r="F10524" s="6">
        <f>IF($M10524="PADD I","PADD 1",IF($M10524="PADD II","PADD 2",IF($M10524="PADD III","PADD 3",IF($M10524="PADD IV","PADD 4",IF($M10524="PADD V","PADD 5","")))))</f>
        <v/>
      </c>
      <c r="G10524" s="6">
        <f>IF(AND($H10524="ATMOS DISTILLATION",ISNUMBER(SEARCH("VPS",$I10524))=FALSE,LEFT($I10524,6)&lt;&gt;"VACUUM"),"CDU",IF($H10524="FLUID CAT CRACKING","FCC",IF(OR($H10524="HYDROCRACKING",$H10524="RESID_HYDROCRACKING"),"Hydrocracker",IF($H10524="REFORMING","Reformer",""))))</f>
        <v/>
      </c>
    </row>
    <row r="10525" spans="6:7">
      <c r="F10525" s="6">
        <f>IF($M10525="PADD I","PADD 1",IF($M10525="PADD II","PADD 2",IF($M10525="PADD III","PADD 3",IF($M10525="PADD IV","PADD 4",IF($M10525="PADD V","PADD 5","")))))</f>
        <v/>
      </c>
      <c r="G10525" s="6">
        <f>IF(AND($H10525="ATMOS DISTILLATION",ISNUMBER(SEARCH("VPS",$I10525))=FALSE,LEFT($I10525,6)&lt;&gt;"VACUUM"),"CDU",IF($H10525="FLUID CAT CRACKING","FCC",IF(OR($H10525="HYDROCRACKING",$H10525="RESID_HYDROCRACKING"),"Hydrocracker",IF($H10525="REFORMING","Reformer",""))))</f>
        <v/>
      </c>
    </row>
    <row r="10526" spans="6:7">
      <c r="F10526" s="6">
        <f>IF($M10526="PADD I","PADD 1",IF($M10526="PADD II","PADD 2",IF($M10526="PADD III","PADD 3",IF($M10526="PADD IV","PADD 4",IF($M10526="PADD V","PADD 5","")))))</f>
        <v/>
      </c>
      <c r="G10526" s="6">
        <f>IF(AND($H10526="ATMOS DISTILLATION",ISNUMBER(SEARCH("VPS",$I10526))=FALSE,LEFT($I10526,6)&lt;&gt;"VACUUM"),"CDU",IF($H10526="FLUID CAT CRACKING","FCC",IF(OR($H10526="HYDROCRACKING",$H10526="RESID_HYDROCRACKING"),"Hydrocracker",IF($H10526="REFORMING","Reformer",""))))</f>
        <v/>
      </c>
    </row>
    <row r="10527" spans="6:7">
      <c r="F10527" s="6">
        <f>IF($M10527="PADD I","PADD 1",IF($M10527="PADD II","PADD 2",IF($M10527="PADD III","PADD 3",IF($M10527="PADD IV","PADD 4",IF($M10527="PADD V","PADD 5","")))))</f>
        <v/>
      </c>
      <c r="G10527" s="6">
        <f>IF(AND($H10527="ATMOS DISTILLATION",ISNUMBER(SEARCH("VPS",$I10527))=FALSE,LEFT($I10527,6)&lt;&gt;"VACUUM"),"CDU",IF($H10527="FLUID CAT CRACKING","FCC",IF(OR($H10527="HYDROCRACKING",$H10527="RESID_HYDROCRACKING"),"Hydrocracker",IF($H10527="REFORMING","Reformer",""))))</f>
        <v/>
      </c>
    </row>
    <row r="10528" spans="6:7">
      <c r="F10528" s="6">
        <f>IF($M10528="PADD I","PADD 1",IF($M10528="PADD II","PADD 2",IF($M10528="PADD III","PADD 3",IF($M10528="PADD IV","PADD 4",IF($M10528="PADD V","PADD 5","")))))</f>
        <v/>
      </c>
      <c r="G10528" s="6">
        <f>IF(AND($H10528="ATMOS DISTILLATION",ISNUMBER(SEARCH("VPS",$I10528))=FALSE,LEFT($I10528,6)&lt;&gt;"VACUUM"),"CDU",IF($H10528="FLUID CAT CRACKING","FCC",IF(OR($H10528="HYDROCRACKING",$H10528="RESID_HYDROCRACKING"),"Hydrocracker",IF($H10528="REFORMING","Reformer",""))))</f>
        <v/>
      </c>
    </row>
    <row r="10529" spans="6:7">
      <c r="F10529" s="6">
        <f>IF($M10529="PADD I","PADD 1",IF($M10529="PADD II","PADD 2",IF($M10529="PADD III","PADD 3",IF($M10529="PADD IV","PADD 4",IF($M10529="PADD V","PADD 5","")))))</f>
        <v/>
      </c>
      <c r="G10529" s="6">
        <f>IF(AND($H10529="ATMOS DISTILLATION",ISNUMBER(SEARCH("VPS",$I10529))=FALSE,LEFT($I10529,6)&lt;&gt;"VACUUM"),"CDU",IF($H10529="FLUID CAT CRACKING","FCC",IF(OR($H10529="HYDROCRACKING",$H10529="RESID_HYDROCRACKING"),"Hydrocracker",IF($H10529="REFORMING","Reformer",""))))</f>
        <v/>
      </c>
    </row>
    <row r="10530" spans="6:7">
      <c r="F10530" s="6">
        <f>IF($M10530="PADD I","PADD 1",IF($M10530="PADD II","PADD 2",IF($M10530="PADD III","PADD 3",IF($M10530="PADD IV","PADD 4",IF($M10530="PADD V","PADD 5","")))))</f>
        <v/>
      </c>
      <c r="G10530" s="6">
        <f>IF(AND($H10530="ATMOS DISTILLATION",ISNUMBER(SEARCH("VPS",$I10530))=FALSE,LEFT($I10530,6)&lt;&gt;"VACUUM"),"CDU",IF($H10530="FLUID CAT CRACKING","FCC",IF(OR($H10530="HYDROCRACKING",$H10530="RESID_HYDROCRACKING"),"Hydrocracker",IF($H10530="REFORMING","Reformer",""))))</f>
        <v/>
      </c>
    </row>
    <row r="10531" spans="6:7">
      <c r="F10531" s="6">
        <f>IF($M10531="PADD I","PADD 1",IF($M10531="PADD II","PADD 2",IF($M10531="PADD III","PADD 3",IF($M10531="PADD IV","PADD 4",IF($M10531="PADD V","PADD 5","")))))</f>
        <v/>
      </c>
      <c r="G10531" s="6">
        <f>IF(AND($H10531="ATMOS DISTILLATION",ISNUMBER(SEARCH("VPS",$I10531))=FALSE,LEFT($I10531,6)&lt;&gt;"VACUUM"),"CDU",IF($H10531="FLUID CAT CRACKING","FCC",IF(OR($H10531="HYDROCRACKING",$H10531="RESID_HYDROCRACKING"),"Hydrocracker",IF($H10531="REFORMING","Reformer",""))))</f>
        <v/>
      </c>
    </row>
    <row r="10532" spans="6:7">
      <c r="F10532" s="6">
        <f>IF($M10532="PADD I","PADD 1",IF($M10532="PADD II","PADD 2",IF($M10532="PADD III","PADD 3",IF($M10532="PADD IV","PADD 4",IF($M10532="PADD V","PADD 5","")))))</f>
        <v/>
      </c>
      <c r="G10532" s="6">
        <f>IF(AND($H10532="ATMOS DISTILLATION",ISNUMBER(SEARCH("VPS",$I10532))=FALSE,LEFT($I10532,6)&lt;&gt;"VACUUM"),"CDU",IF($H10532="FLUID CAT CRACKING","FCC",IF(OR($H10532="HYDROCRACKING",$H10532="RESID_HYDROCRACKING"),"Hydrocracker",IF($H10532="REFORMING","Reformer",""))))</f>
        <v/>
      </c>
    </row>
    <row r="10533" spans="6:7">
      <c r="F10533" s="6">
        <f>IF($M10533="PADD I","PADD 1",IF($M10533="PADD II","PADD 2",IF($M10533="PADD III","PADD 3",IF($M10533="PADD IV","PADD 4",IF($M10533="PADD V","PADD 5","")))))</f>
        <v/>
      </c>
      <c r="G10533" s="6">
        <f>IF(AND($H10533="ATMOS DISTILLATION",ISNUMBER(SEARCH("VPS",$I10533))=FALSE,LEFT($I10533,6)&lt;&gt;"VACUUM"),"CDU",IF($H10533="FLUID CAT CRACKING","FCC",IF(OR($H10533="HYDROCRACKING",$H10533="RESID_HYDROCRACKING"),"Hydrocracker",IF($H10533="REFORMING","Reformer",""))))</f>
        <v/>
      </c>
    </row>
    <row r="10534" spans="6:7">
      <c r="F10534" s="6">
        <f>IF($M10534="PADD I","PADD 1",IF($M10534="PADD II","PADD 2",IF($M10534="PADD III","PADD 3",IF($M10534="PADD IV","PADD 4",IF($M10534="PADD V","PADD 5","")))))</f>
        <v/>
      </c>
      <c r="G10534" s="6">
        <f>IF(AND($H10534="ATMOS DISTILLATION",ISNUMBER(SEARCH("VPS",$I10534))=FALSE,LEFT($I10534,6)&lt;&gt;"VACUUM"),"CDU",IF($H10534="FLUID CAT CRACKING","FCC",IF(OR($H10534="HYDROCRACKING",$H10534="RESID_HYDROCRACKING"),"Hydrocracker",IF($H10534="REFORMING","Reformer",""))))</f>
        <v/>
      </c>
    </row>
    <row r="10535" spans="6:7">
      <c r="F10535" s="6">
        <f>IF($M10535="PADD I","PADD 1",IF($M10535="PADD II","PADD 2",IF($M10535="PADD III","PADD 3",IF($M10535="PADD IV","PADD 4",IF($M10535="PADD V","PADD 5","")))))</f>
        <v/>
      </c>
      <c r="G10535" s="6">
        <f>IF(AND($H10535="ATMOS DISTILLATION",ISNUMBER(SEARCH("VPS",$I10535))=FALSE,LEFT($I10535,6)&lt;&gt;"VACUUM"),"CDU",IF($H10535="FLUID CAT CRACKING","FCC",IF(OR($H10535="HYDROCRACKING",$H10535="RESID_HYDROCRACKING"),"Hydrocracker",IF($H10535="REFORMING","Reformer",""))))</f>
        <v/>
      </c>
    </row>
    <row r="10536" spans="6:7">
      <c r="F10536" s="6">
        <f>IF($M10536="PADD I","PADD 1",IF($M10536="PADD II","PADD 2",IF($M10536="PADD III","PADD 3",IF($M10536="PADD IV","PADD 4",IF($M10536="PADD V","PADD 5","")))))</f>
        <v/>
      </c>
      <c r="G10536" s="6">
        <f>IF(AND($H10536="ATMOS DISTILLATION",ISNUMBER(SEARCH("VPS",$I10536))=FALSE,LEFT($I10536,6)&lt;&gt;"VACUUM"),"CDU",IF($H10536="FLUID CAT CRACKING","FCC",IF(OR($H10536="HYDROCRACKING",$H10536="RESID_HYDROCRACKING"),"Hydrocracker",IF($H10536="REFORMING","Reformer",""))))</f>
        <v/>
      </c>
    </row>
    <row r="10537" spans="6:7">
      <c r="F10537" s="6">
        <f>IF($M10537="PADD I","PADD 1",IF($M10537="PADD II","PADD 2",IF($M10537="PADD III","PADD 3",IF($M10537="PADD IV","PADD 4",IF($M10537="PADD V","PADD 5","")))))</f>
        <v/>
      </c>
      <c r="G10537" s="6">
        <f>IF(AND($H10537="ATMOS DISTILLATION",ISNUMBER(SEARCH("VPS",$I10537))=FALSE,LEFT($I10537,6)&lt;&gt;"VACUUM"),"CDU",IF($H10537="FLUID CAT CRACKING","FCC",IF(OR($H10537="HYDROCRACKING",$H10537="RESID_HYDROCRACKING"),"Hydrocracker",IF($H10537="REFORMING","Reformer",""))))</f>
        <v/>
      </c>
    </row>
    <row r="10538" spans="6:7">
      <c r="F10538" s="6">
        <f>IF($M10538="PADD I","PADD 1",IF($M10538="PADD II","PADD 2",IF($M10538="PADD III","PADD 3",IF($M10538="PADD IV","PADD 4",IF($M10538="PADD V","PADD 5","")))))</f>
        <v/>
      </c>
      <c r="G10538" s="6">
        <f>IF(AND($H10538="ATMOS DISTILLATION",ISNUMBER(SEARCH("VPS",$I10538))=FALSE,LEFT($I10538,6)&lt;&gt;"VACUUM"),"CDU",IF($H10538="FLUID CAT CRACKING","FCC",IF(OR($H10538="HYDROCRACKING",$H10538="RESID_HYDROCRACKING"),"Hydrocracker",IF($H10538="REFORMING","Reformer",""))))</f>
        <v/>
      </c>
    </row>
    <row r="10539" spans="6:7">
      <c r="F10539" s="6">
        <f>IF($M10539="PADD I","PADD 1",IF($M10539="PADD II","PADD 2",IF($M10539="PADD III","PADD 3",IF($M10539="PADD IV","PADD 4",IF($M10539="PADD V","PADD 5","")))))</f>
        <v/>
      </c>
      <c r="G10539" s="6">
        <f>IF(AND($H10539="ATMOS DISTILLATION",ISNUMBER(SEARCH("VPS",$I10539))=FALSE,LEFT($I10539,6)&lt;&gt;"VACUUM"),"CDU",IF($H10539="FLUID CAT CRACKING","FCC",IF(OR($H10539="HYDROCRACKING",$H10539="RESID_HYDROCRACKING"),"Hydrocracker",IF($H10539="REFORMING","Reformer",""))))</f>
        <v/>
      </c>
    </row>
    <row r="10540" spans="6:7">
      <c r="F10540" s="6">
        <f>IF($M10540="PADD I","PADD 1",IF($M10540="PADD II","PADD 2",IF($M10540="PADD III","PADD 3",IF($M10540="PADD IV","PADD 4",IF($M10540="PADD V","PADD 5","")))))</f>
        <v/>
      </c>
      <c r="G10540" s="6">
        <f>IF(AND($H10540="ATMOS DISTILLATION",ISNUMBER(SEARCH("VPS",$I10540))=FALSE,LEFT($I10540,6)&lt;&gt;"VACUUM"),"CDU",IF($H10540="FLUID CAT CRACKING","FCC",IF(OR($H10540="HYDROCRACKING",$H10540="RESID_HYDROCRACKING"),"Hydrocracker",IF($H10540="REFORMING","Reformer",""))))</f>
        <v/>
      </c>
    </row>
    <row r="10541" spans="6:7">
      <c r="F10541" s="6">
        <f>IF($M10541="PADD I","PADD 1",IF($M10541="PADD II","PADD 2",IF($M10541="PADD III","PADD 3",IF($M10541="PADD IV","PADD 4",IF($M10541="PADD V","PADD 5","")))))</f>
        <v/>
      </c>
      <c r="G10541" s="6">
        <f>IF(AND($H10541="ATMOS DISTILLATION",ISNUMBER(SEARCH("VPS",$I10541))=FALSE,LEFT($I10541,6)&lt;&gt;"VACUUM"),"CDU",IF($H10541="FLUID CAT CRACKING","FCC",IF(OR($H10541="HYDROCRACKING",$H10541="RESID_HYDROCRACKING"),"Hydrocracker",IF($H10541="REFORMING","Reformer",""))))</f>
        <v/>
      </c>
    </row>
    <row r="10542" spans="6:7">
      <c r="F10542" s="6">
        <f>IF($M10542="PADD I","PADD 1",IF($M10542="PADD II","PADD 2",IF($M10542="PADD III","PADD 3",IF($M10542="PADD IV","PADD 4",IF($M10542="PADD V","PADD 5","")))))</f>
        <v/>
      </c>
      <c r="G10542" s="6">
        <f>IF(AND($H10542="ATMOS DISTILLATION",ISNUMBER(SEARCH("VPS",$I10542))=FALSE,LEFT($I10542,6)&lt;&gt;"VACUUM"),"CDU",IF($H10542="FLUID CAT CRACKING","FCC",IF(OR($H10542="HYDROCRACKING",$H10542="RESID_HYDROCRACKING"),"Hydrocracker",IF($H10542="REFORMING","Reformer",""))))</f>
        <v/>
      </c>
    </row>
    <row r="10543" spans="6:7">
      <c r="F10543" s="6">
        <f>IF($M10543="PADD I","PADD 1",IF($M10543="PADD II","PADD 2",IF($M10543="PADD III","PADD 3",IF($M10543="PADD IV","PADD 4",IF($M10543="PADD V","PADD 5","")))))</f>
        <v/>
      </c>
      <c r="G10543" s="6">
        <f>IF(AND($H10543="ATMOS DISTILLATION",ISNUMBER(SEARCH("VPS",$I10543))=FALSE,LEFT($I10543,6)&lt;&gt;"VACUUM"),"CDU",IF($H10543="FLUID CAT CRACKING","FCC",IF(OR($H10543="HYDROCRACKING",$H10543="RESID_HYDROCRACKING"),"Hydrocracker",IF($H10543="REFORMING","Reformer",""))))</f>
        <v/>
      </c>
    </row>
    <row r="10544" spans="6:7">
      <c r="F10544" s="6">
        <f>IF($M10544="PADD I","PADD 1",IF($M10544="PADD II","PADD 2",IF($M10544="PADD III","PADD 3",IF($M10544="PADD IV","PADD 4",IF($M10544="PADD V","PADD 5","")))))</f>
        <v/>
      </c>
      <c r="G10544" s="6">
        <f>IF(AND($H10544="ATMOS DISTILLATION",ISNUMBER(SEARCH("VPS",$I10544))=FALSE,LEFT($I10544,6)&lt;&gt;"VACUUM"),"CDU",IF($H10544="FLUID CAT CRACKING","FCC",IF(OR($H10544="HYDROCRACKING",$H10544="RESID_HYDROCRACKING"),"Hydrocracker",IF($H10544="REFORMING","Reformer",""))))</f>
        <v/>
      </c>
    </row>
    <row r="10545" spans="6:7">
      <c r="F10545" s="6">
        <f>IF($M10545="PADD I","PADD 1",IF($M10545="PADD II","PADD 2",IF($M10545="PADD III","PADD 3",IF($M10545="PADD IV","PADD 4",IF($M10545="PADD V","PADD 5","")))))</f>
        <v/>
      </c>
      <c r="G10545" s="6">
        <f>IF(AND($H10545="ATMOS DISTILLATION",ISNUMBER(SEARCH("VPS",$I10545))=FALSE,LEFT($I10545,6)&lt;&gt;"VACUUM"),"CDU",IF($H10545="FLUID CAT CRACKING","FCC",IF(OR($H10545="HYDROCRACKING",$H10545="RESID_HYDROCRACKING"),"Hydrocracker",IF($H10545="REFORMING","Reformer",""))))</f>
        <v/>
      </c>
    </row>
    <row r="10546" spans="6:7">
      <c r="F10546" s="6">
        <f>IF($M10546="PADD I","PADD 1",IF($M10546="PADD II","PADD 2",IF($M10546="PADD III","PADD 3",IF($M10546="PADD IV","PADD 4",IF($M10546="PADD V","PADD 5","")))))</f>
        <v/>
      </c>
      <c r="G10546" s="6">
        <f>IF(AND($H10546="ATMOS DISTILLATION",ISNUMBER(SEARCH("VPS",$I10546))=FALSE,LEFT($I10546,6)&lt;&gt;"VACUUM"),"CDU",IF($H10546="FLUID CAT CRACKING","FCC",IF(OR($H10546="HYDROCRACKING",$H10546="RESID_HYDROCRACKING"),"Hydrocracker",IF($H10546="REFORMING","Reformer",""))))</f>
        <v/>
      </c>
    </row>
    <row r="10547" spans="6:7">
      <c r="F10547" s="6">
        <f>IF($M10547="PADD I","PADD 1",IF($M10547="PADD II","PADD 2",IF($M10547="PADD III","PADD 3",IF($M10547="PADD IV","PADD 4",IF($M10547="PADD V","PADD 5","")))))</f>
        <v/>
      </c>
      <c r="G10547" s="6">
        <f>IF(AND($H10547="ATMOS DISTILLATION",ISNUMBER(SEARCH("VPS",$I10547))=FALSE,LEFT($I10547,6)&lt;&gt;"VACUUM"),"CDU",IF($H10547="FLUID CAT CRACKING","FCC",IF(OR($H10547="HYDROCRACKING",$H10547="RESID_HYDROCRACKING"),"Hydrocracker",IF($H10547="REFORMING","Reformer",""))))</f>
        <v/>
      </c>
    </row>
    <row r="10548" spans="6:7">
      <c r="F10548" s="6">
        <f>IF($M10548="PADD I","PADD 1",IF($M10548="PADD II","PADD 2",IF($M10548="PADD III","PADD 3",IF($M10548="PADD IV","PADD 4",IF($M10548="PADD V","PADD 5","")))))</f>
        <v/>
      </c>
      <c r="G10548" s="6">
        <f>IF(AND($H10548="ATMOS DISTILLATION",ISNUMBER(SEARCH("VPS",$I10548))=FALSE,LEFT($I10548,6)&lt;&gt;"VACUUM"),"CDU",IF($H10548="FLUID CAT CRACKING","FCC",IF(OR($H10548="HYDROCRACKING",$H10548="RESID_HYDROCRACKING"),"Hydrocracker",IF($H10548="REFORMING","Reformer",""))))</f>
        <v/>
      </c>
    </row>
    <row r="10549" spans="6:7">
      <c r="F10549" s="6">
        <f>IF($M10549="PADD I","PADD 1",IF($M10549="PADD II","PADD 2",IF($M10549="PADD III","PADD 3",IF($M10549="PADD IV","PADD 4",IF($M10549="PADD V","PADD 5","")))))</f>
        <v/>
      </c>
      <c r="G10549" s="6">
        <f>IF(AND($H10549="ATMOS DISTILLATION",ISNUMBER(SEARCH("VPS",$I10549))=FALSE,LEFT($I10549,6)&lt;&gt;"VACUUM"),"CDU",IF($H10549="FLUID CAT CRACKING","FCC",IF(OR($H10549="HYDROCRACKING",$H10549="RESID_HYDROCRACKING"),"Hydrocracker",IF($H10549="REFORMING","Reformer",""))))</f>
        <v/>
      </c>
    </row>
    <row r="10550" spans="6:7">
      <c r="F10550" s="6">
        <f>IF($M10550="PADD I","PADD 1",IF($M10550="PADD II","PADD 2",IF($M10550="PADD III","PADD 3",IF($M10550="PADD IV","PADD 4",IF($M10550="PADD V","PADD 5","")))))</f>
        <v/>
      </c>
      <c r="G10550" s="6">
        <f>IF(AND($H10550="ATMOS DISTILLATION",ISNUMBER(SEARCH("VPS",$I10550))=FALSE,LEFT($I10550,6)&lt;&gt;"VACUUM"),"CDU",IF($H10550="FLUID CAT CRACKING","FCC",IF(OR($H10550="HYDROCRACKING",$H10550="RESID_HYDROCRACKING"),"Hydrocracker",IF($H10550="REFORMING","Reformer",""))))</f>
        <v/>
      </c>
    </row>
    <row r="10551" spans="6:7">
      <c r="F10551" s="6">
        <f>IF($M10551="PADD I","PADD 1",IF($M10551="PADD II","PADD 2",IF($M10551="PADD III","PADD 3",IF($M10551="PADD IV","PADD 4",IF($M10551="PADD V","PADD 5","")))))</f>
        <v/>
      </c>
      <c r="G10551" s="6">
        <f>IF(AND($H10551="ATMOS DISTILLATION",ISNUMBER(SEARCH("VPS",$I10551))=FALSE,LEFT($I10551,6)&lt;&gt;"VACUUM"),"CDU",IF($H10551="FLUID CAT CRACKING","FCC",IF(OR($H10551="HYDROCRACKING",$H10551="RESID_HYDROCRACKING"),"Hydrocracker",IF($H10551="REFORMING","Reformer",""))))</f>
        <v/>
      </c>
    </row>
    <row r="10552" spans="6:7">
      <c r="F10552" s="6">
        <f>IF($M10552="PADD I","PADD 1",IF($M10552="PADD II","PADD 2",IF($M10552="PADD III","PADD 3",IF($M10552="PADD IV","PADD 4",IF($M10552="PADD V","PADD 5","")))))</f>
        <v/>
      </c>
      <c r="G10552" s="6">
        <f>IF(AND($H10552="ATMOS DISTILLATION",ISNUMBER(SEARCH("VPS",$I10552))=FALSE,LEFT($I10552,6)&lt;&gt;"VACUUM"),"CDU",IF($H10552="FLUID CAT CRACKING","FCC",IF(OR($H10552="HYDROCRACKING",$H10552="RESID_HYDROCRACKING"),"Hydrocracker",IF($H10552="REFORMING","Reformer",""))))</f>
        <v/>
      </c>
    </row>
    <row r="10553" spans="6:7">
      <c r="F10553" s="6">
        <f>IF($M10553="PADD I","PADD 1",IF($M10553="PADD II","PADD 2",IF($M10553="PADD III","PADD 3",IF($M10553="PADD IV","PADD 4",IF($M10553="PADD V","PADD 5","")))))</f>
        <v/>
      </c>
      <c r="G10553" s="6">
        <f>IF(AND($H10553="ATMOS DISTILLATION",ISNUMBER(SEARCH("VPS",$I10553))=FALSE,LEFT($I10553,6)&lt;&gt;"VACUUM"),"CDU",IF($H10553="FLUID CAT CRACKING","FCC",IF(OR($H10553="HYDROCRACKING",$H10553="RESID_HYDROCRACKING"),"Hydrocracker",IF($H10553="REFORMING","Reformer",""))))</f>
        <v/>
      </c>
    </row>
    <row r="10554" spans="6:7">
      <c r="F10554" s="6">
        <f>IF($M10554="PADD I","PADD 1",IF($M10554="PADD II","PADD 2",IF($M10554="PADD III","PADD 3",IF($M10554="PADD IV","PADD 4",IF($M10554="PADD V","PADD 5","")))))</f>
        <v/>
      </c>
      <c r="G10554" s="6">
        <f>IF(AND($H10554="ATMOS DISTILLATION",ISNUMBER(SEARCH("VPS",$I10554))=FALSE,LEFT($I10554,6)&lt;&gt;"VACUUM"),"CDU",IF($H10554="FLUID CAT CRACKING","FCC",IF(OR($H10554="HYDROCRACKING",$H10554="RESID_HYDROCRACKING"),"Hydrocracker",IF($H10554="REFORMING","Reformer",""))))</f>
        <v/>
      </c>
    </row>
    <row r="10555" spans="6:7">
      <c r="F10555" s="6">
        <f>IF($M10555="PADD I","PADD 1",IF($M10555="PADD II","PADD 2",IF($M10555="PADD III","PADD 3",IF($M10555="PADD IV","PADD 4",IF($M10555="PADD V","PADD 5","")))))</f>
        <v/>
      </c>
      <c r="G10555" s="6">
        <f>IF(AND($H10555="ATMOS DISTILLATION",ISNUMBER(SEARCH("VPS",$I10555))=FALSE,LEFT($I10555,6)&lt;&gt;"VACUUM"),"CDU",IF($H10555="FLUID CAT CRACKING","FCC",IF(OR($H10555="HYDROCRACKING",$H10555="RESID_HYDROCRACKING"),"Hydrocracker",IF($H10555="REFORMING","Reformer",""))))</f>
        <v/>
      </c>
    </row>
    <row r="10556" spans="6:7">
      <c r="F10556" s="6">
        <f>IF($M10556="PADD I","PADD 1",IF($M10556="PADD II","PADD 2",IF($M10556="PADD III","PADD 3",IF($M10556="PADD IV","PADD 4",IF($M10556="PADD V","PADD 5","")))))</f>
        <v/>
      </c>
      <c r="G10556" s="6">
        <f>IF(AND($H10556="ATMOS DISTILLATION",ISNUMBER(SEARCH("VPS",$I10556))=FALSE,LEFT($I10556,6)&lt;&gt;"VACUUM"),"CDU",IF($H10556="FLUID CAT CRACKING","FCC",IF(OR($H10556="HYDROCRACKING",$H10556="RESID_HYDROCRACKING"),"Hydrocracker",IF($H10556="REFORMING","Reformer",""))))</f>
        <v/>
      </c>
    </row>
    <row r="10557" spans="6:7">
      <c r="F10557" s="6">
        <f>IF($M10557="PADD I","PADD 1",IF($M10557="PADD II","PADD 2",IF($M10557="PADD III","PADD 3",IF($M10557="PADD IV","PADD 4",IF($M10557="PADD V","PADD 5","")))))</f>
        <v/>
      </c>
      <c r="G10557" s="6">
        <f>IF(AND($H10557="ATMOS DISTILLATION",ISNUMBER(SEARCH("VPS",$I10557))=FALSE,LEFT($I10557,6)&lt;&gt;"VACUUM"),"CDU",IF($H10557="FLUID CAT CRACKING","FCC",IF(OR($H10557="HYDROCRACKING",$H10557="RESID_HYDROCRACKING"),"Hydrocracker",IF($H10557="REFORMING","Reformer",""))))</f>
        <v/>
      </c>
    </row>
    <row r="10558" spans="6:7">
      <c r="F10558" s="6">
        <f>IF($M10558="PADD I","PADD 1",IF($M10558="PADD II","PADD 2",IF($M10558="PADD III","PADD 3",IF($M10558="PADD IV","PADD 4",IF($M10558="PADD V","PADD 5","")))))</f>
        <v/>
      </c>
      <c r="G10558" s="6">
        <f>IF(AND($H10558="ATMOS DISTILLATION",ISNUMBER(SEARCH("VPS",$I10558))=FALSE,LEFT($I10558,6)&lt;&gt;"VACUUM"),"CDU",IF($H10558="FLUID CAT CRACKING","FCC",IF(OR($H10558="HYDROCRACKING",$H10558="RESID_HYDROCRACKING"),"Hydrocracker",IF($H10558="REFORMING","Reformer",""))))</f>
        <v/>
      </c>
    </row>
    <row r="10559" spans="6:7">
      <c r="F10559" s="6">
        <f>IF($M10559="PADD I","PADD 1",IF($M10559="PADD II","PADD 2",IF($M10559="PADD III","PADD 3",IF($M10559="PADD IV","PADD 4",IF($M10559="PADD V","PADD 5","")))))</f>
        <v/>
      </c>
      <c r="G10559" s="6">
        <f>IF(AND($H10559="ATMOS DISTILLATION",ISNUMBER(SEARCH("VPS",$I10559))=FALSE,LEFT($I10559,6)&lt;&gt;"VACUUM"),"CDU",IF($H10559="FLUID CAT CRACKING","FCC",IF(OR($H10559="HYDROCRACKING",$H10559="RESID_HYDROCRACKING"),"Hydrocracker",IF($H10559="REFORMING","Reformer",""))))</f>
        <v/>
      </c>
    </row>
    <row r="10560" spans="6:7">
      <c r="F10560" s="6">
        <f>IF($M10560="PADD I","PADD 1",IF($M10560="PADD II","PADD 2",IF($M10560="PADD III","PADD 3",IF($M10560="PADD IV","PADD 4",IF($M10560="PADD V","PADD 5","")))))</f>
        <v/>
      </c>
      <c r="G10560" s="6">
        <f>IF(AND($H10560="ATMOS DISTILLATION",ISNUMBER(SEARCH("VPS",$I10560))=FALSE,LEFT($I10560,6)&lt;&gt;"VACUUM"),"CDU",IF($H10560="FLUID CAT CRACKING","FCC",IF(OR($H10560="HYDROCRACKING",$H10560="RESID_HYDROCRACKING"),"Hydrocracker",IF($H10560="REFORMING","Reformer",""))))</f>
        <v/>
      </c>
    </row>
    <row r="10561" spans="6:7">
      <c r="F10561" s="6">
        <f>IF($M10561="PADD I","PADD 1",IF($M10561="PADD II","PADD 2",IF($M10561="PADD III","PADD 3",IF($M10561="PADD IV","PADD 4",IF($M10561="PADD V","PADD 5","")))))</f>
        <v/>
      </c>
      <c r="G10561" s="6">
        <f>IF(AND($H10561="ATMOS DISTILLATION",ISNUMBER(SEARCH("VPS",$I10561))=FALSE,LEFT($I10561,6)&lt;&gt;"VACUUM"),"CDU",IF($H10561="FLUID CAT CRACKING","FCC",IF(OR($H10561="HYDROCRACKING",$H10561="RESID_HYDROCRACKING"),"Hydrocracker",IF($H10561="REFORMING","Reformer",""))))</f>
        <v/>
      </c>
    </row>
    <row r="10562" spans="6:7">
      <c r="F10562" s="6">
        <f>IF($M10562="PADD I","PADD 1",IF($M10562="PADD II","PADD 2",IF($M10562="PADD III","PADD 3",IF($M10562="PADD IV","PADD 4",IF($M10562="PADD V","PADD 5","")))))</f>
        <v/>
      </c>
      <c r="G10562" s="6">
        <f>IF(AND($H10562="ATMOS DISTILLATION",ISNUMBER(SEARCH("VPS",$I10562))=FALSE,LEFT($I10562,6)&lt;&gt;"VACUUM"),"CDU",IF($H10562="FLUID CAT CRACKING","FCC",IF(OR($H10562="HYDROCRACKING",$H10562="RESID_HYDROCRACKING"),"Hydrocracker",IF($H10562="REFORMING","Reformer",""))))</f>
        <v/>
      </c>
    </row>
    <row r="10563" spans="6:7">
      <c r="F10563" s="6">
        <f>IF($M10563="PADD I","PADD 1",IF($M10563="PADD II","PADD 2",IF($M10563="PADD III","PADD 3",IF($M10563="PADD IV","PADD 4",IF($M10563="PADD V","PADD 5","")))))</f>
        <v/>
      </c>
      <c r="G10563" s="6">
        <f>IF(AND($H10563="ATMOS DISTILLATION",ISNUMBER(SEARCH("VPS",$I10563))=FALSE,LEFT($I10563,6)&lt;&gt;"VACUUM"),"CDU",IF($H10563="FLUID CAT CRACKING","FCC",IF(OR($H10563="HYDROCRACKING",$H10563="RESID_HYDROCRACKING"),"Hydrocracker",IF($H10563="REFORMING","Reformer",""))))</f>
        <v/>
      </c>
    </row>
    <row r="10564" spans="6:7">
      <c r="F10564" s="6">
        <f>IF($M10564="PADD I","PADD 1",IF($M10564="PADD II","PADD 2",IF($M10564="PADD III","PADD 3",IF($M10564="PADD IV","PADD 4",IF($M10564="PADD V","PADD 5","")))))</f>
        <v/>
      </c>
      <c r="G10564" s="6">
        <f>IF(AND($H10564="ATMOS DISTILLATION",ISNUMBER(SEARCH("VPS",$I10564))=FALSE,LEFT($I10564,6)&lt;&gt;"VACUUM"),"CDU",IF($H10564="FLUID CAT CRACKING","FCC",IF(OR($H10564="HYDROCRACKING",$H10564="RESID_HYDROCRACKING"),"Hydrocracker",IF($H10564="REFORMING","Reformer",""))))</f>
        <v/>
      </c>
    </row>
    <row r="10565" spans="6:7">
      <c r="F10565" s="6">
        <f>IF($M10565="PADD I","PADD 1",IF($M10565="PADD II","PADD 2",IF($M10565="PADD III","PADD 3",IF($M10565="PADD IV","PADD 4",IF($M10565="PADD V","PADD 5","")))))</f>
        <v/>
      </c>
      <c r="G10565" s="6">
        <f>IF(AND($H10565="ATMOS DISTILLATION",ISNUMBER(SEARCH("VPS",$I10565))=FALSE,LEFT($I10565,6)&lt;&gt;"VACUUM"),"CDU",IF($H10565="FLUID CAT CRACKING","FCC",IF(OR($H10565="HYDROCRACKING",$H10565="RESID_HYDROCRACKING"),"Hydrocracker",IF($H10565="REFORMING","Reformer",""))))</f>
        <v/>
      </c>
    </row>
    <row r="10566" spans="6:7">
      <c r="F10566" s="6">
        <f>IF($M10566="PADD I","PADD 1",IF($M10566="PADD II","PADD 2",IF($M10566="PADD III","PADD 3",IF($M10566="PADD IV","PADD 4",IF($M10566="PADD V","PADD 5","")))))</f>
        <v/>
      </c>
      <c r="G10566" s="6">
        <f>IF(AND($H10566="ATMOS DISTILLATION",ISNUMBER(SEARCH("VPS",$I10566))=FALSE,LEFT($I10566,6)&lt;&gt;"VACUUM"),"CDU",IF($H10566="FLUID CAT CRACKING","FCC",IF(OR($H10566="HYDROCRACKING",$H10566="RESID_HYDROCRACKING"),"Hydrocracker",IF($H10566="REFORMING","Reformer",""))))</f>
        <v/>
      </c>
    </row>
    <row r="10567" spans="6:7">
      <c r="F10567" s="6">
        <f>IF($M10567="PADD I","PADD 1",IF($M10567="PADD II","PADD 2",IF($M10567="PADD III","PADD 3",IF($M10567="PADD IV","PADD 4",IF($M10567="PADD V","PADD 5","")))))</f>
        <v/>
      </c>
      <c r="G10567" s="6">
        <f>IF(AND($H10567="ATMOS DISTILLATION",ISNUMBER(SEARCH("VPS",$I10567))=FALSE,LEFT($I10567,6)&lt;&gt;"VACUUM"),"CDU",IF($H10567="FLUID CAT CRACKING","FCC",IF(OR($H10567="HYDROCRACKING",$H10567="RESID_HYDROCRACKING"),"Hydrocracker",IF($H10567="REFORMING","Reformer",""))))</f>
        <v/>
      </c>
    </row>
    <row r="10568" spans="6:7">
      <c r="F10568" s="6">
        <f>IF($M10568="PADD I","PADD 1",IF($M10568="PADD II","PADD 2",IF($M10568="PADD III","PADD 3",IF($M10568="PADD IV","PADD 4",IF($M10568="PADD V","PADD 5","")))))</f>
        <v/>
      </c>
      <c r="G10568" s="6">
        <f>IF(AND($H10568="ATMOS DISTILLATION",ISNUMBER(SEARCH("VPS",$I10568))=FALSE,LEFT($I10568,6)&lt;&gt;"VACUUM"),"CDU",IF($H10568="FLUID CAT CRACKING","FCC",IF(OR($H10568="HYDROCRACKING",$H10568="RESID_HYDROCRACKING"),"Hydrocracker",IF($H10568="REFORMING","Reformer",""))))</f>
        <v/>
      </c>
    </row>
    <row r="10569" spans="6:7">
      <c r="F10569" s="6">
        <f>IF($M10569="PADD I","PADD 1",IF($M10569="PADD II","PADD 2",IF($M10569="PADD III","PADD 3",IF($M10569="PADD IV","PADD 4",IF($M10569="PADD V","PADD 5","")))))</f>
        <v/>
      </c>
      <c r="G10569" s="6">
        <f>IF(AND($H10569="ATMOS DISTILLATION",ISNUMBER(SEARCH("VPS",$I10569))=FALSE,LEFT($I10569,6)&lt;&gt;"VACUUM"),"CDU",IF($H10569="FLUID CAT CRACKING","FCC",IF(OR($H10569="HYDROCRACKING",$H10569="RESID_HYDROCRACKING"),"Hydrocracker",IF($H10569="REFORMING","Reformer",""))))</f>
        <v/>
      </c>
    </row>
    <row r="10570" spans="6:7">
      <c r="F10570" s="6">
        <f>IF($M10570="PADD I","PADD 1",IF($M10570="PADD II","PADD 2",IF($M10570="PADD III","PADD 3",IF($M10570="PADD IV","PADD 4",IF($M10570="PADD V","PADD 5","")))))</f>
        <v/>
      </c>
      <c r="G10570" s="6">
        <f>IF(AND($H10570="ATMOS DISTILLATION",ISNUMBER(SEARCH("VPS",$I10570))=FALSE,LEFT($I10570,6)&lt;&gt;"VACUUM"),"CDU",IF($H10570="FLUID CAT CRACKING","FCC",IF(OR($H10570="HYDROCRACKING",$H10570="RESID_HYDROCRACKING"),"Hydrocracker",IF($H10570="REFORMING","Reformer",""))))</f>
        <v/>
      </c>
    </row>
    <row r="10571" spans="6:7">
      <c r="F10571" s="6">
        <f>IF($M10571="PADD I","PADD 1",IF($M10571="PADD II","PADD 2",IF($M10571="PADD III","PADD 3",IF($M10571="PADD IV","PADD 4",IF($M10571="PADD V","PADD 5","")))))</f>
        <v/>
      </c>
      <c r="G10571" s="6">
        <f>IF(AND($H10571="ATMOS DISTILLATION",ISNUMBER(SEARCH("VPS",$I10571))=FALSE,LEFT($I10571,6)&lt;&gt;"VACUUM"),"CDU",IF($H10571="FLUID CAT CRACKING","FCC",IF(OR($H10571="HYDROCRACKING",$H10571="RESID_HYDROCRACKING"),"Hydrocracker",IF($H10571="REFORMING","Reformer",""))))</f>
        <v/>
      </c>
    </row>
    <row r="10572" spans="6:7">
      <c r="F10572" s="6">
        <f>IF($M10572="PADD I","PADD 1",IF($M10572="PADD II","PADD 2",IF($M10572="PADD III","PADD 3",IF($M10572="PADD IV","PADD 4",IF($M10572="PADD V","PADD 5","")))))</f>
        <v/>
      </c>
      <c r="G10572" s="6">
        <f>IF(AND($H10572="ATMOS DISTILLATION",ISNUMBER(SEARCH("VPS",$I10572))=FALSE,LEFT($I10572,6)&lt;&gt;"VACUUM"),"CDU",IF($H10572="FLUID CAT CRACKING","FCC",IF(OR($H10572="HYDROCRACKING",$H10572="RESID_HYDROCRACKING"),"Hydrocracker",IF($H10572="REFORMING","Reformer",""))))</f>
        <v/>
      </c>
    </row>
    <row r="10573" spans="6:7">
      <c r="F10573" s="6">
        <f>IF($M10573="PADD I","PADD 1",IF($M10573="PADD II","PADD 2",IF($M10573="PADD III","PADD 3",IF($M10573="PADD IV","PADD 4",IF($M10573="PADD V","PADD 5","")))))</f>
        <v/>
      </c>
      <c r="G10573" s="6">
        <f>IF(AND($H10573="ATMOS DISTILLATION",ISNUMBER(SEARCH("VPS",$I10573))=FALSE,LEFT($I10573,6)&lt;&gt;"VACUUM"),"CDU",IF($H10573="FLUID CAT CRACKING","FCC",IF(OR($H10573="HYDROCRACKING",$H10573="RESID_HYDROCRACKING"),"Hydrocracker",IF($H10573="REFORMING","Reformer",""))))</f>
        <v/>
      </c>
    </row>
    <row r="10574" spans="6:7">
      <c r="F10574" s="6">
        <f>IF($M10574="PADD I","PADD 1",IF($M10574="PADD II","PADD 2",IF($M10574="PADD III","PADD 3",IF($M10574="PADD IV","PADD 4",IF($M10574="PADD V","PADD 5","")))))</f>
        <v/>
      </c>
      <c r="G10574" s="6">
        <f>IF(AND($H10574="ATMOS DISTILLATION",ISNUMBER(SEARCH("VPS",$I10574))=FALSE,LEFT($I10574,6)&lt;&gt;"VACUUM"),"CDU",IF($H10574="FLUID CAT CRACKING","FCC",IF(OR($H10574="HYDROCRACKING",$H10574="RESID_HYDROCRACKING"),"Hydrocracker",IF($H10574="REFORMING","Reformer",""))))</f>
        <v/>
      </c>
    </row>
    <row r="10575" spans="6:7">
      <c r="F10575" s="6">
        <f>IF($M10575="PADD I","PADD 1",IF($M10575="PADD II","PADD 2",IF($M10575="PADD III","PADD 3",IF($M10575="PADD IV","PADD 4",IF($M10575="PADD V","PADD 5","")))))</f>
        <v/>
      </c>
      <c r="G10575" s="6">
        <f>IF(AND($H10575="ATMOS DISTILLATION",ISNUMBER(SEARCH("VPS",$I10575))=FALSE,LEFT($I10575,6)&lt;&gt;"VACUUM"),"CDU",IF($H10575="FLUID CAT CRACKING","FCC",IF(OR($H10575="HYDROCRACKING",$H10575="RESID_HYDROCRACKING"),"Hydrocracker",IF($H10575="REFORMING","Reformer",""))))</f>
        <v/>
      </c>
    </row>
    <row r="10576" spans="6:7">
      <c r="F10576" s="6">
        <f>IF($M10576="PADD I","PADD 1",IF($M10576="PADD II","PADD 2",IF($M10576="PADD III","PADD 3",IF($M10576="PADD IV","PADD 4",IF($M10576="PADD V","PADD 5","")))))</f>
        <v/>
      </c>
      <c r="G10576" s="6">
        <f>IF(AND($H10576="ATMOS DISTILLATION",ISNUMBER(SEARCH("VPS",$I10576))=FALSE,LEFT($I10576,6)&lt;&gt;"VACUUM"),"CDU",IF($H10576="FLUID CAT CRACKING","FCC",IF(OR($H10576="HYDROCRACKING",$H10576="RESID_HYDROCRACKING"),"Hydrocracker",IF($H10576="REFORMING","Reformer",""))))</f>
        <v/>
      </c>
    </row>
    <row r="10577" spans="6:7">
      <c r="F10577" s="6">
        <f>IF($M10577="PADD I","PADD 1",IF($M10577="PADD II","PADD 2",IF($M10577="PADD III","PADD 3",IF($M10577="PADD IV","PADD 4",IF($M10577="PADD V","PADD 5","")))))</f>
        <v/>
      </c>
      <c r="G10577" s="6">
        <f>IF(AND($H10577="ATMOS DISTILLATION",ISNUMBER(SEARCH("VPS",$I10577))=FALSE,LEFT($I10577,6)&lt;&gt;"VACUUM"),"CDU",IF($H10577="FLUID CAT CRACKING","FCC",IF(OR($H10577="HYDROCRACKING",$H10577="RESID_HYDROCRACKING"),"Hydrocracker",IF($H10577="REFORMING","Reformer",""))))</f>
        <v/>
      </c>
    </row>
    <row r="10578" spans="6:7">
      <c r="F10578" s="6">
        <f>IF($M10578="PADD I","PADD 1",IF($M10578="PADD II","PADD 2",IF($M10578="PADD III","PADD 3",IF($M10578="PADD IV","PADD 4",IF($M10578="PADD V","PADD 5","")))))</f>
        <v/>
      </c>
      <c r="G10578" s="6">
        <f>IF(AND($H10578="ATMOS DISTILLATION",ISNUMBER(SEARCH("VPS",$I10578))=FALSE,LEFT($I10578,6)&lt;&gt;"VACUUM"),"CDU",IF($H10578="FLUID CAT CRACKING","FCC",IF(OR($H10578="HYDROCRACKING",$H10578="RESID_HYDROCRACKING"),"Hydrocracker",IF($H10578="REFORMING","Reformer",""))))</f>
        <v/>
      </c>
    </row>
    <row r="10579" spans="6:7">
      <c r="F10579" s="6">
        <f>IF($M10579="PADD I","PADD 1",IF($M10579="PADD II","PADD 2",IF($M10579="PADD III","PADD 3",IF($M10579="PADD IV","PADD 4",IF($M10579="PADD V","PADD 5","")))))</f>
        <v/>
      </c>
      <c r="G10579" s="6">
        <f>IF(AND($H10579="ATMOS DISTILLATION",ISNUMBER(SEARCH("VPS",$I10579))=FALSE,LEFT($I10579,6)&lt;&gt;"VACUUM"),"CDU",IF($H10579="FLUID CAT CRACKING","FCC",IF(OR($H10579="HYDROCRACKING",$H10579="RESID_HYDROCRACKING"),"Hydrocracker",IF($H10579="REFORMING","Reformer",""))))</f>
        <v/>
      </c>
    </row>
    <row r="10580" spans="6:7">
      <c r="F10580" s="6">
        <f>IF($M10580="PADD I","PADD 1",IF($M10580="PADD II","PADD 2",IF($M10580="PADD III","PADD 3",IF($M10580="PADD IV","PADD 4",IF($M10580="PADD V","PADD 5","")))))</f>
        <v/>
      </c>
      <c r="G10580" s="6">
        <f>IF(AND($H10580="ATMOS DISTILLATION",ISNUMBER(SEARCH("VPS",$I10580))=FALSE,LEFT($I10580,6)&lt;&gt;"VACUUM"),"CDU",IF($H10580="FLUID CAT CRACKING","FCC",IF(OR($H10580="HYDROCRACKING",$H10580="RESID_HYDROCRACKING"),"Hydrocracker",IF($H10580="REFORMING","Reformer",""))))</f>
        <v/>
      </c>
    </row>
    <row r="10581" spans="6:7">
      <c r="F10581" s="6">
        <f>IF($M10581="PADD I","PADD 1",IF($M10581="PADD II","PADD 2",IF($M10581="PADD III","PADD 3",IF($M10581="PADD IV","PADD 4",IF($M10581="PADD V","PADD 5","")))))</f>
        <v/>
      </c>
      <c r="G10581" s="6">
        <f>IF(AND($H10581="ATMOS DISTILLATION",ISNUMBER(SEARCH("VPS",$I10581))=FALSE,LEFT($I10581,6)&lt;&gt;"VACUUM"),"CDU",IF($H10581="FLUID CAT CRACKING","FCC",IF(OR($H10581="HYDROCRACKING",$H10581="RESID_HYDROCRACKING"),"Hydrocracker",IF($H10581="REFORMING","Reformer",""))))</f>
        <v/>
      </c>
    </row>
    <row r="10582" spans="6:7">
      <c r="F10582" s="6">
        <f>IF($M10582="PADD I","PADD 1",IF($M10582="PADD II","PADD 2",IF($M10582="PADD III","PADD 3",IF($M10582="PADD IV","PADD 4",IF($M10582="PADD V","PADD 5","")))))</f>
        <v/>
      </c>
      <c r="G10582" s="6">
        <f>IF(AND($H10582="ATMOS DISTILLATION",ISNUMBER(SEARCH("VPS",$I10582))=FALSE,LEFT($I10582,6)&lt;&gt;"VACUUM"),"CDU",IF($H10582="FLUID CAT CRACKING","FCC",IF(OR($H10582="HYDROCRACKING",$H10582="RESID_HYDROCRACKING"),"Hydrocracker",IF($H10582="REFORMING","Reformer",""))))</f>
        <v/>
      </c>
    </row>
    <row r="10583" spans="6:7">
      <c r="F10583" s="6">
        <f>IF($M10583="PADD I","PADD 1",IF($M10583="PADD II","PADD 2",IF($M10583="PADD III","PADD 3",IF($M10583="PADD IV","PADD 4",IF($M10583="PADD V","PADD 5","")))))</f>
        <v/>
      </c>
      <c r="G10583" s="6">
        <f>IF(AND($H10583="ATMOS DISTILLATION",ISNUMBER(SEARCH("VPS",$I10583))=FALSE,LEFT($I10583,6)&lt;&gt;"VACUUM"),"CDU",IF($H10583="FLUID CAT CRACKING","FCC",IF(OR($H10583="HYDROCRACKING",$H10583="RESID_HYDROCRACKING"),"Hydrocracker",IF($H10583="REFORMING","Reformer",""))))</f>
        <v/>
      </c>
    </row>
    <row r="10584" spans="6:7">
      <c r="F10584" s="6">
        <f>IF($M10584="PADD I","PADD 1",IF($M10584="PADD II","PADD 2",IF($M10584="PADD III","PADD 3",IF($M10584="PADD IV","PADD 4",IF($M10584="PADD V","PADD 5","")))))</f>
        <v/>
      </c>
      <c r="G10584" s="6">
        <f>IF(AND($H10584="ATMOS DISTILLATION",ISNUMBER(SEARCH("VPS",$I10584))=FALSE,LEFT($I10584,6)&lt;&gt;"VACUUM"),"CDU",IF($H10584="FLUID CAT CRACKING","FCC",IF(OR($H10584="HYDROCRACKING",$H10584="RESID_HYDROCRACKING"),"Hydrocracker",IF($H10584="REFORMING","Reformer",""))))</f>
        <v/>
      </c>
    </row>
    <row r="10585" spans="6:7">
      <c r="F10585" s="6">
        <f>IF($M10585="PADD I","PADD 1",IF($M10585="PADD II","PADD 2",IF($M10585="PADD III","PADD 3",IF($M10585="PADD IV","PADD 4",IF($M10585="PADD V","PADD 5","")))))</f>
        <v/>
      </c>
      <c r="G10585" s="6">
        <f>IF(AND($H10585="ATMOS DISTILLATION",ISNUMBER(SEARCH("VPS",$I10585))=FALSE,LEFT($I10585,6)&lt;&gt;"VACUUM"),"CDU",IF($H10585="FLUID CAT CRACKING","FCC",IF(OR($H10585="HYDROCRACKING",$H10585="RESID_HYDROCRACKING"),"Hydrocracker",IF($H10585="REFORMING","Reformer",""))))</f>
        <v/>
      </c>
    </row>
    <row r="10586" spans="6:7">
      <c r="F10586" s="6">
        <f>IF($M10586="PADD I","PADD 1",IF($M10586="PADD II","PADD 2",IF($M10586="PADD III","PADD 3",IF($M10586="PADD IV","PADD 4",IF($M10586="PADD V","PADD 5","")))))</f>
        <v/>
      </c>
      <c r="G10586" s="6">
        <f>IF(AND($H10586="ATMOS DISTILLATION",ISNUMBER(SEARCH("VPS",$I10586))=FALSE,LEFT($I10586,6)&lt;&gt;"VACUUM"),"CDU",IF($H10586="FLUID CAT CRACKING","FCC",IF(OR($H10586="HYDROCRACKING",$H10586="RESID_HYDROCRACKING"),"Hydrocracker",IF($H10586="REFORMING","Reformer",""))))</f>
        <v/>
      </c>
    </row>
    <row r="10587" spans="6:7">
      <c r="F10587" s="6">
        <f>IF($M10587="PADD I","PADD 1",IF($M10587="PADD II","PADD 2",IF($M10587="PADD III","PADD 3",IF($M10587="PADD IV","PADD 4",IF($M10587="PADD V","PADD 5","")))))</f>
        <v/>
      </c>
      <c r="G10587" s="6">
        <f>IF(AND($H10587="ATMOS DISTILLATION",ISNUMBER(SEARCH("VPS",$I10587))=FALSE,LEFT($I10587,6)&lt;&gt;"VACUUM"),"CDU",IF($H10587="FLUID CAT CRACKING","FCC",IF(OR($H10587="HYDROCRACKING",$H10587="RESID_HYDROCRACKING"),"Hydrocracker",IF($H10587="REFORMING","Reformer",""))))</f>
        <v/>
      </c>
    </row>
    <row r="10588" spans="6:7">
      <c r="F10588" s="6">
        <f>IF($M10588="PADD I","PADD 1",IF($M10588="PADD II","PADD 2",IF($M10588="PADD III","PADD 3",IF($M10588="PADD IV","PADD 4",IF($M10588="PADD V","PADD 5","")))))</f>
        <v/>
      </c>
      <c r="G10588" s="6">
        <f>IF(AND($H10588="ATMOS DISTILLATION",ISNUMBER(SEARCH("VPS",$I10588))=FALSE,LEFT($I10588,6)&lt;&gt;"VACUUM"),"CDU",IF($H10588="FLUID CAT CRACKING","FCC",IF(OR($H10588="HYDROCRACKING",$H10588="RESID_HYDROCRACKING"),"Hydrocracker",IF($H10588="REFORMING","Reformer",""))))</f>
        <v/>
      </c>
    </row>
    <row r="10589" spans="6:7">
      <c r="F10589" s="6">
        <f>IF($M10589="PADD I","PADD 1",IF($M10589="PADD II","PADD 2",IF($M10589="PADD III","PADD 3",IF($M10589="PADD IV","PADD 4",IF($M10589="PADD V","PADD 5","")))))</f>
        <v/>
      </c>
      <c r="G10589" s="6">
        <f>IF(AND($H10589="ATMOS DISTILLATION",ISNUMBER(SEARCH("VPS",$I10589))=FALSE,LEFT($I10589,6)&lt;&gt;"VACUUM"),"CDU",IF($H10589="FLUID CAT CRACKING","FCC",IF(OR($H10589="HYDROCRACKING",$H10589="RESID_HYDROCRACKING"),"Hydrocracker",IF($H10589="REFORMING","Reformer",""))))</f>
        <v/>
      </c>
    </row>
    <row r="10590" spans="6:7">
      <c r="F10590" s="6">
        <f>IF($M10590="PADD I","PADD 1",IF($M10590="PADD II","PADD 2",IF($M10590="PADD III","PADD 3",IF($M10590="PADD IV","PADD 4",IF($M10590="PADD V","PADD 5","")))))</f>
        <v/>
      </c>
      <c r="G10590" s="6">
        <f>IF(AND($H10590="ATMOS DISTILLATION",ISNUMBER(SEARCH("VPS",$I10590))=FALSE,LEFT($I10590,6)&lt;&gt;"VACUUM"),"CDU",IF($H10590="FLUID CAT CRACKING","FCC",IF(OR($H10590="HYDROCRACKING",$H10590="RESID_HYDROCRACKING"),"Hydrocracker",IF($H10590="REFORMING","Reformer",""))))</f>
        <v/>
      </c>
    </row>
    <row r="10591" spans="6:7">
      <c r="F10591" s="6">
        <f>IF($M10591="PADD I","PADD 1",IF($M10591="PADD II","PADD 2",IF($M10591="PADD III","PADD 3",IF($M10591="PADD IV","PADD 4",IF($M10591="PADD V","PADD 5","")))))</f>
        <v/>
      </c>
      <c r="G10591" s="6">
        <f>IF(AND($H10591="ATMOS DISTILLATION",ISNUMBER(SEARCH("VPS",$I10591))=FALSE,LEFT($I10591,6)&lt;&gt;"VACUUM"),"CDU",IF($H10591="FLUID CAT CRACKING","FCC",IF(OR($H10591="HYDROCRACKING",$H10591="RESID_HYDROCRACKING"),"Hydrocracker",IF($H10591="REFORMING","Reformer",""))))</f>
        <v/>
      </c>
    </row>
    <row r="10592" spans="6:7">
      <c r="F10592" s="6">
        <f>IF($M10592="PADD I","PADD 1",IF($M10592="PADD II","PADD 2",IF($M10592="PADD III","PADD 3",IF($M10592="PADD IV","PADD 4",IF($M10592="PADD V","PADD 5","")))))</f>
        <v/>
      </c>
      <c r="G10592" s="6">
        <f>IF(AND($H10592="ATMOS DISTILLATION",ISNUMBER(SEARCH("VPS",$I10592))=FALSE,LEFT($I10592,6)&lt;&gt;"VACUUM"),"CDU",IF($H10592="FLUID CAT CRACKING","FCC",IF(OR($H10592="HYDROCRACKING",$H10592="RESID_HYDROCRACKING"),"Hydrocracker",IF($H10592="REFORMING","Reformer",""))))</f>
        <v/>
      </c>
    </row>
    <row r="10593" spans="6:7">
      <c r="F10593" s="6">
        <f>IF($M10593="PADD I","PADD 1",IF($M10593="PADD II","PADD 2",IF($M10593="PADD III","PADD 3",IF($M10593="PADD IV","PADD 4",IF($M10593="PADD V","PADD 5","")))))</f>
        <v/>
      </c>
      <c r="G10593" s="6">
        <f>IF(AND($H10593="ATMOS DISTILLATION",ISNUMBER(SEARCH("VPS",$I10593))=FALSE,LEFT($I10593,6)&lt;&gt;"VACUUM"),"CDU",IF($H10593="FLUID CAT CRACKING","FCC",IF(OR($H10593="HYDROCRACKING",$H10593="RESID_HYDROCRACKING"),"Hydrocracker",IF($H10593="REFORMING","Reformer",""))))</f>
        <v/>
      </c>
    </row>
    <row r="10594" spans="6:7">
      <c r="F10594" s="6">
        <f>IF($M10594="PADD I","PADD 1",IF($M10594="PADD II","PADD 2",IF($M10594="PADD III","PADD 3",IF($M10594="PADD IV","PADD 4",IF($M10594="PADD V","PADD 5","")))))</f>
        <v/>
      </c>
      <c r="G10594" s="6">
        <f>IF(AND($H10594="ATMOS DISTILLATION",ISNUMBER(SEARCH("VPS",$I10594))=FALSE,LEFT($I10594,6)&lt;&gt;"VACUUM"),"CDU",IF($H10594="FLUID CAT CRACKING","FCC",IF(OR($H10594="HYDROCRACKING",$H10594="RESID_HYDROCRACKING"),"Hydrocracker",IF($H10594="REFORMING","Reformer",""))))</f>
        <v/>
      </c>
    </row>
    <row r="10595" spans="6:7">
      <c r="F10595" s="6">
        <f>IF($M10595="PADD I","PADD 1",IF($M10595="PADD II","PADD 2",IF($M10595="PADD III","PADD 3",IF($M10595="PADD IV","PADD 4",IF($M10595="PADD V","PADD 5","")))))</f>
        <v/>
      </c>
      <c r="G10595" s="6">
        <f>IF(AND($H10595="ATMOS DISTILLATION",ISNUMBER(SEARCH("VPS",$I10595))=FALSE,LEFT($I10595,6)&lt;&gt;"VACUUM"),"CDU",IF($H10595="FLUID CAT CRACKING","FCC",IF(OR($H10595="HYDROCRACKING",$H10595="RESID_HYDROCRACKING"),"Hydrocracker",IF($H10595="REFORMING","Reformer",""))))</f>
        <v/>
      </c>
    </row>
    <row r="10596" spans="6:7">
      <c r="F10596" s="6">
        <f>IF($M10596="PADD I","PADD 1",IF($M10596="PADD II","PADD 2",IF($M10596="PADD III","PADD 3",IF($M10596="PADD IV","PADD 4",IF($M10596="PADD V","PADD 5","")))))</f>
        <v/>
      </c>
      <c r="G10596" s="6">
        <f>IF(AND($H10596="ATMOS DISTILLATION",ISNUMBER(SEARCH("VPS",$I10596))=FALSE,LEFT($I10596,6)&lt;&gt;"VACUUM"),"CDU",IF($H10596="FLUID CAT CRACKING","FCC",IF(OR($H10596="HYDROCRACKING",$H10596="RESID_HYDROCRACKING"),"Hydrocracker",IF($H10596="REFORMING","Reformer",""))))</f>
        <v/>
      </c>
    </row>
    <row r="10597" spans="6:7">
      <c r="F10597" s="6">
        <f>IF($M10597="PADD I","PADD 1",IF($M10597="PADD II","PADD 2",IF($M10597="PADD III","PADD 3",IF($M10597="PADD IV","PADD 4",IF($M10597="PADD V","PADD 5","")))))</f>
        <v/>
      </c>
      <c r="G10597" s="6">
        <f>IF(AND($H10597="ATMOS DISTILLATION",ISNUMBER(SEARCH("VPS",$I10597))=FALSE,LEFT($I10597,6)&lt;&gt;"VACUUM"),"CDU",IF($H10597="FLUID CAT CRACKING","FCC",IF(OR($H10597="HYDROCRACKING",$H10597="RESID_HYDROCRACKING"),"Hydrocracker",IF($H10597="REFORMING","Reformer",""))))</f>
        <v/>
      </c>
    </row>
    <row r="10598" spans="6:7">
      <c r="F10598" s="6">
        <f>IF($M10598="PADD I","PADD 1",IF($M10598="PADD II","PADD 2",IF($M10598="PADD III","PADD 3",IF($M10598="PADD IV","PADD 4",IF($M10598="PADD V","PADD 5","")))))</f>
        <v/>
      </c>
      <c r="G10598" s="6">
        <f>IF(AND($H10598="ATMOS DISTILLATION",ISNUMBER(SEARCH("VPS",$I10598))=FALSE,LEFT($I10598,6)&lt;&gt;"VACUUM"),"CDU",IF($H10598="FLUID CAT CRACKING","FCC",IF(OR($H10598="HYDROCRACKING",$H10598="RESID_HYDROCRACKING"),"Hydrocracker",IF($H10598="REFORMING","Reformer",""))))</f>
        <v/>
      </c>
    </row>
    <row r="10599" spans="6:7">
      <c r="F10599" s="6">
        <f>IF($M10599="PADD I","PADD 1",IF($M10599="PADD II","PADD 2",IF($M10599="PADD III","PADD 3",IF($M10599="PADD IV","PADD 4",IF($M10599="PADD V","PADD 5","")))))</f>
        <v/>
      </c>
      <c r="G10599" s="6">
        <f>IF(AND($H10599="ATMOS DISTILLATION",ISNUMBER(SEARCH("VPS",$I10599))=FALSE,LEFT($I10599,6)&lt;&gt;"VACUUM"),"CDU",IF($H10599="FLUID CAT CRACKING","FCC",IF(OR($H10599="HYDROCRACKING",$H10599="RESID_HYDROCRACKING"),"Hydrocracker",IF($H10599="REFORMING","Reformer",""))))</f>
        <v/>
      </c>
    </row>
    <row r="10600" spans="6:7">
      <c r="F10600" s="6">
        <f>IF($M10600="PADD I","PADD 1",IF($M10600="PADD II","PADD 2",IF($M10600="PADD III","PADD 3",IF($M10600="PADD IV","PADD 4",IF($M10600="PADD V","PADD 5","")))))</f>
        <v/>
      </c>
      <c r="G10600" s="6">
        <f>IF(AND($H10600="ATMOS DISTILLATION",ISNUMBER(SEARCH("VPS",$I10600))=FALSE,LEFT($I10600,6)&lt;&gt;"VACUUM"),"CDU",IF($H10600="FLUID CAT CRACKING","FCC",IF(OR($H10600="HYDROCRACKING",$H10600="RESID_HYDROCRACKING"),"Hydrocracker",IF($H10600="REFORMING","Reformer",""))))</f>
        <v/>
      </c>
    </row>
    <row r="10601" spans="6:7">
      <c r="F10601" s="6">
        <f>IF($M10601="PADD I","PADD 1",IF($M10601="PADD II","PADD 2",IF($M10601="PADD III","PADD 3",IF($M10601="PADD IV","PADD 4",IF($M10601="PADD V","PADD 5","")))))</f>
        <v/>
      </c>
      <c r="G10601" s="6">
        <f>IF(AND($H10601="ATMOS DISTILLATION",ISNUMBER(SEARCH("VPS",$I10601))=FALSE,LEFT($I10601,6)&lt;&gt;"VACUUM"),"CDU",IF($H10601="FLUID CAT CRACKING","FCC",IF(OR($H10601="HYDROCRACKING",$H10601="RESID_HYDROCRACKING"),"Hydrocracker",IF($H10601="REFORMING","Reformer",""))))</f>
        <v/>
      </c>
    </row>
    <row r="10602" spans="6:7">
      <c r="F10602" s="6">
        <f>IF($M10602="PADD I","PADD 1",IF($M10602="PADD II","PADD 2",IF($M10602="PADD III","PADD 3",IF($M10602="PADD IV","PADD 4",IF($M10602="PADD V","PADD 5","")))))</f>
        <v/>
      </c>
      <c r="G10602" s="6">
        <f>IF(AND($H10602="ATMOS DISTILLATION",ISNUMBER(SEARCH("VPS",$I10602))=FALSE,LEFT($I10602,6)&lt;&gt;"VACUUM"),"CDU",IF($H10602="FLUID CAT CRACKING","FCC",IF(OR($H10602="HYDROCRACKING",$H10602="RESID_HYDROCRACKING"),"Hydrocracker",IF($H10602="REFORMING","Reformer",""))))</f>
        <v/>
      </c>
    </row>
    <row r="10603" spans="6:7">
      <c r="F10603" s="6">
        <f>IF($M10603="PADD I","PADD 1",IF($M10603="PADD II","PADD 2",IF($M10603="PADD III","PADD 3",IF($M10603="PADD IV","PADD 4",IF($M10603="PADD V","PADD 5","")))))</f>
        <v/>
      </c>
      <c r="G10603" s="6">
        <f>IF(AND($H10603="ATMOS DISTILLATION",ISNUMBER(SEARCH("VPS",$I10603))=FALSE,LEFT($I10603,6)&lt;&gt;"VACUUM"),"CDU",IF($H10603="FLUID CAT CRACKING","FCC",IF(OR($H10603="HYDROCRACKING",$H10603="RESID_HYDROCRACKING"),"Hydrocracker",IF($H10603="REFORMING","Reformer",""))))</f>
        <v/>
      </c>
    </row>
    <row r="10604" spans="6:7">
      <c r="F10604" s="6">
        <f>IF($M10604="PADD I","PADD 1",IF($M10604="PADD II","PADD 2",IF($M10604="PADD III","PADD 3",IF($M10604="PADD IV","PADD 4",IF($M10604="PADD V","PADD 5","")))))</f>
        <v/>
      </c>
      <c r="G10604" s="6">
        <f>IF(AND($H10604="ATMOS DISTILLATION",ISNUMBER(SEARCH("VPS",$I10604))=FALSE,LEFT($I10604,6)&lt;&gt;"VACUUM"),"CDU",IF($H10604="FLUID CAT CRACKING","FCC",IF(OR($H10604="HYDROCRACKING",$H10604="RESID_HYDROCRACKING"),"Hydrocracker",IF($H10604="REFORMING","Reformer",""))))</f>
        <v/>
      </c>
    </row>
    <row r="10605" spans="6:7">
      <c r="F10605" s="6">
        <f>IF($M10605="PADD I","PADD 1",IF($M10605="PADD II","PADD 2",IF($M10605="PADD III","PADD 3",IF($M10605="PADD IV","PADD 4",IF($M10605="PADD V","PADD 5","")))))</f>
        <v/>
      </c>
      <c r="G10605" s="6">
        <f>IF(AND($H10605="ATMOS DISTILLATION",ISNUMBER(SEARCH("VPS",$I10605))=FALSE,LEFT($I10605,6)&lt;&gt;"VACUUM"),"CDU",IF($H10605="FLUID CAT CRACKING","FCC",IF(OR($H10605="HYDROCRACKING",$H10605="RESID_HYDROCRACKING"),"Hydrocracker",IF($H10605="REFORMING","Reformer",""))))</f>
        <v/>
      </c>
    </row>
    <row r="10606" spans="6:7">
      <c r="F10606" s="6">
        <f>IF($M10606="PADD I","PADD 1",IF($M10606="PADD II","PADD 2",IF($M10606="PADD III","PADD 3",IF($M10606="PADD IV","PADD 4",IF($M10606="PADD V","PADD 5","")))))</f>
        <v/>
      </c>
      <c r="G10606" s="6">
        <f>IF(AND($H10606="ATMOS DISTILLATION",ISNUMBER(SEARCH("VPS",$I10606))=FALSE,LEFT($I10606,6)&lt;&gt;"VACUUM"),"CDU",IF($H10606="FLUID CAT CRACKING","FCC",IF(OR($H10606="HYDROCRACKING",$H10606="RESID_HYDROCRACKING"),"Hydrocracker",IF($H10606="REFORMING","Reformer",""))))</f>
        <v/>
      </c>
    </row>
    <row r="10607" spans="6:7">
      <c r="F10607" s="6">
        <f>IF($M10607="PADD I","PADD 1",IF($M10607="PADD II","PADD 2",IF($M10607="PADD III","PADD 3",IF($M10607="PADD IV","PADD 4",IF($M10607="PADD V","PADD 5","")))))</f>
        <v/>
      </c>
      <c r="G10607" s="6">
        <f>IF(AND($H10607="ATMOS DISTILLATION",ISNUMBER(SEARCH("VPS",$I10607))=FALSE,LEFT($I10607,6)&lt;&gt;"VACUUM"),"CDU",IF($H10607="FLUID CAT CRACKING","FCC",IF(OR($H10607="HYDROCRACKING",$H10607="RESID_HYDROCRACKING"),"Hydrocracker",IF($H10607="REFORMING","Reformer",""))))</f>
        <v/>
      </c>
    </row>
    <row r="10608" spans="6:7">
      <c r="F10608" s="6">
        <f>IF($M10608="PADD I","PADD 1",IF($M10608="PADD II","PADD 2",IF($M10608="PADD III","PADD 3",IF($M10608="PADD IV","PADD 4",IF($M10608="PADD V","PADD 5","")))))</f>
        <v/>
      </c>
      <c r="G10608" s="6">
        <f>IF(AND($H10608="ATMOS DISTILLATION",ISNUMBER(SEARCH("VPS",$I10608))=FALSE,LEFT($I10608,6)&lt;&gt;"VACUUM"),"CDU",IF($H10608="FLUID CAT CRACKING","FCC",IF(OR($H10608="HYDROCRACKING",$H10608="RESID_HYDROCRACKING"),"Hydrocracker",IF($H10608="REFORMING","Reformer",""))))</f>
        <v/>
      </c>
    </row>
    <row r="10609" spans="6:7">
      <c r="F10609" s="6">
        <f>IF($M10609="PADD I","PADD 1",IF($M10609="PADD II","PADD 2",IF($M10609="PADD III","PADD 3",IF($M10609="PADD IV","PADD 4",IF($M10609="PADD V","PADD 5","")))))</f>
        <v/>
      </c>
      <c r="G10609" s="6">
        <f>IF(AND($H10609="ATMOS DISTILLATION",ISNUMBER(SEARCH("VPS",$I10609))=FALSE,LEFT($I10609,6)&lt;&gt;"VACUUM"),"CDU",IF($H10609="FLUID CAT CRACKING","FCC",IF(OR($H10609="HYDROCRACKING",$H10609="RESID_HYDROCRACKING"),"Hydrocracker",IF($H10609="REFORMING","Reformer",""))))</f>
        <v/>
      </c>
    </row>
    <row r="10610" spans="6:7">
      <c r="F10610" s="6">
        <f>IF($M10610="PADD I","PADD 1",IF($M10610="PADD II","PADD 2",IF($M10610="PADD III","PADD 3",IF($M10610="PADD IV","PADD 4",IF($M10610="PADD V","PADD 5","")))))</f>
        <v/>
      </c>
      <c r="G10610" s="6">
        <f>IF(AND($H10610="ATMOS DISTILLATION",ISNUMBER(SEARCH("VPS",$I10610))=FALSE,LEFT($I10610,6)&lt;&gt;"VACUUM"),"CDU",IF($H10610="FLUID CAT CRACKING","FCC",IF(OR($H10610="HYDROCRACKING",$H10610="RESID_HYDROCRACKING"),"Hydrocracker",IF($H10610="REFORMING","Reformer",""))))</f>
        <v/>
      </c>
    </row>
    <row r="10611" spans="6:7">
      <c r="F10611" s="6">
        <f>IF($M10611="PADD I","PADD 1",IF($M10611="PADD II","PADD 2",IF($M10611="PADD III","PADD 3",IF($M10611="PADD IV","PADD 4",IF($M10611="PADD V","PADD 5","")))))</f>
        <v/>
      </c>
      <c r="G10611" s="6">
        <f>IF(AND($H10611="ATMOS DISTILLATION",ISNUMBER(SEARCH("VPS",$I10611))=FALSE,LEFT($I10611,6)&lt;&gt;"VACUUM"),"CDU",IF($H10611="FLUID CAT CRACKING","FCC",IF(OR($H10611="HYDROCRACKING",$H10611="RESID_HYDROCRACKING"),"Hydrocracker",IF($H10611="REFORMING","Reformer",""))))</f>
        <v/>
      </c>
    </row>
    <row r="10612" spans="6:7">
      <c r="F10612" s="6">
        <f>IF($M10612="PADD I","PADD 1",IF($M10612="PADD II","PADD 2",IF($M10612="PADD III","PADD 3",IF($M10612="PADD IV","PADD 4",IF($M10612="PADD V","PADD 5","")))))</f>
        <v/>
      </c>
      <c r="G10612" s="6">
        <f>IF(AND($H10612="ATMOS DISTILLATION",ISNUMBER(SEARCH("VPS",$I10612))=FALSE,LEFT($I10612,6)&lt;&gt;"VACUUM"),"CDU",IF($H10612="FLUID CAT CRACKING","FCC",IF(OR($H10612="HYDROCRACKING",$H10612="RESID_HYDROCRACKING"),"Hydrocracker",IF($H10612="REFORMING","Reformer",""))))</f>
        <v/>
      </c>
    </row>
    <row r="10613" spans="6:7">
      <c r="F10613" s="6">
        <f>IF($M10613="PADD I","PADD 1",IF($M10613="PADD II","PADD 2",IF($M10613="PADD III","PADD 3",IF($M10613="PADD IV","PADD 4",IF($M10613="PADD V","PADD 5","")))))</f>
        <v/>
      </c>
      <c r="G10613" s="6">
        <f>IF(AND($H10613="ATMOS DISTILLATION",ISNUMBER(SEARCH("VPS",$I10613))=FALSE,LEFT($I10613,6)&lt;&gt;"VACUUM"),"CDU",IF($H10613="FLUID CAT CRACKING","FCC",IF(OR($H10613="HYDROCRACKING",$H10613="RESID_HYDROCRACKING"),"Hydrocracker",IF($H10613="REFORMING","Reformer",""))))</f>
        <v/>
      </c>
    </row>
    <row r="10614" spans="6:7">
      <c r="F10614" s="6">
        <f>IF($M10614="PADD I","PADD 1",IF($M10614="PADD II","PADD 2",IF($M10614="PADD III","PADD 3",IF($M10614="PADD IV","PADD 4",IF($M10614="PADD V","PADD 5","")))))</f>
        <v/>
      </c>
      <c r="G10614" s="6">
        <f>IF(AND($H10614="ATMOS DISTILLATION",ISNUMBER(SEARCH("VPS",$I10614))=FALSE,LEFT($I10614,6)&lt;&gt;"VACUUM"),"CDU",IF($H10614="FLUID CAT CRACKING","FCC",IF(OR($H10614="HYDROCRACKING",$H10614="RESID_HYDROCRACKING"),"Hydrocracker",IF($H10614="REFORMING","Reformer",""))))</f>
        <v/>
      </c>
    </row>
    <row r="10615" spans="6:7">
      <c r="F10615" s="6">
        <f>IF($M10615="PADD I","PADD 1",IF($M10615="PADD II","PADD 2",IF($M10615="PADD III","PADD 3",IF($M10615="PADD IV","PADD 4",IF($M10615="PADD V","PADD 5","")))))</f>
        <v/>
      </c>
      <c r="G10615" s="6">
        <f>IF(AND($H10615="ATMOS DISTILLATION",ISNUMBER(SEARCH("VPS",$I10615))=FALSE,LEFT($I10615,6)&lt;&gt;"VACUUM"),"CDU",IF($H10615="FLUID CAT CRACKING","FCC",IF(OR($H10615="HYDROCRACKING",$H10615="RESID_HYDROCRACKING"),"Hydrocracker",IF($H10615="REFORMING","Reformer",""))))</f>
        <v/>
      </c>
    </row>
    <row r="10616" spans="6:7">
      <c r="F10616" s="6">
        <f>IF($M10616="PADD I","PADD 1",IF($M10616="PADD II","PADD 2",IF($M10616="PADD III","PADD 3",IF($M10616="PADD IV","PADD 4",IF($M10616="PADD V","PADD 5","")))))</f>
        <v/>
      </c>
      <c r="G10616" s="6">
        <f>IF(AND($H10616="ATMOS DISTILLATION",ISNUMBER(SEARCH("VPS",$I10616))=FALSE,LEFT($I10616,6)&lt;&gt;"VACUUM"),"CDU",IF($H10616="FLUID CAT CRACKING","FCC",IF(OR($H10616="HYDROCRACKING",$H10616="RESID_HYDROCRACKING"),"Hydrocracker",IF($H10616="REFORMING","Reformer",""))))</f>
        <v/>
      </c>
    </row>
    <row r="10617" spans="6:7">
      <c r="F10617" s="6">
        <f>IF($M10617="PADD I","PADD 1",IF($M10617="PADD II","PADD 2",IF($M10617="PADD III","PADD 3",IF($M10617="PADD IV","PADD 4",IF($M10617="PADD V","PADD 5","")))))</f>
        <v/>
      </c>
      <c r="G10617" s="6">
        <f>IF(AND($H10617="ATMOS DISTILLATION",ISNUMBER(SEARCH("VPS",$I10617))=FALSE,LEFT($I10617,6)&lt;&gt;"VACUUM"),"CDU",IF($H10617="FLUID CAT CRACKING","FCC",IF(OR($H10617="HYDROCRACKING",$H10617="RESID_HYDROCRACKING"),"Hydrocracker",IF($H10617="REFORMING","Reformer",""))))</f>
        <v/>
      </c>
    </row>
    <row r="10618" spans="6:7">
      <c r="F10618" s="6">
        <f>IF($M10618="PADD I","PADD 1",IF($M10618="PADD II","PADD 2",IF($M10618="PADD III","PADD 3",IF($M10618="PADD IV","PADD 4",IF($M10618="PADD V","PADD 5","")))))</f>
        <v/>
      </c>
      <c r="G10618" s="6">
        <f>IF(AND($H10618="ATMOS DISTILLATION",ISNUMBER(SEARCH("VPS",$I10618))=FALSE,LEFT($I10618,6)&lt;&gt;"VACUUM"),"CDU",IF($H10618="FLUID CAT CRACKING","FCC",IF(OR($H10618="HYDROCRACKING",$H10618="RESID_HYDROCRACKING"),"Hydrocracker",IF($H10618="REFORMING","Reformer",""))))</f>
        <v/>
      </c>
    </row>
    <row r="10619" spans="6:7">
      <c r="F10619" s="6">
        <f>IF($M10619="PADD I","PADD 1",IF($M10619="PADD II","PADD 2",IF($M10619="PADD III","PADD 3",IF($M10619="PADD IV","PADD 4",IF($M10619="PADD V","PADD 5","")))))</f>
        <v/>
      </c>
      <c r="G10619" s="6">
        <f>IF(AND($H10619="ATMOS DISTILLATION",ISNUMBER(SEARCH("VPS",$I10619))=FALSE,LEFT($I10619,6)&lt;&gt;"VACUUM"),"CDU",IF($H10619="FLUID CAT CRACKING","FCC",IF(OR($H10619="HYDROCRACKING",$H10619="RESID_HYDROCRACKING"),"Hydrocracker",IF($H10619="REFORMING","Reformer",""))))</f>
        <v/>
      </c>
    </row>
    <row r="10620" spans="6:7">
      <c r="F10620" s="6">
        <f>IF($M10620="PADD I","PADD 1",IF($M10620="PADD II","PADD 2",IF($M10620="PADD III","PADD 3",IF($M10620="PADD IV","PADD 4",IF($M10620="PADD V","PADD 5","")))))</f>
        <v/>
      </c>
      <c r="G10620" s="6">
        <f>IF(AND($H10620="ATMOS DISTILLATION",ISNUMBER(SEARCH("VPS",$I10620))=FALSE,LEFT($I10620,6)&lt;&gt;"VACUUM"),"CDU",IF($H10620="FLUID CAT CRACKING","FCC",IF(OR($H10620="HYDROCRACKING",$H10620="RESID_HYDROCRACKING"),"Hydrocracker",IF($H10620="REFORMING","Reformer",""))))</f>
        <v/>
      </c>
    </row>
    <row r="10621" spans="6:7">
      <c r="F10621" s="6">
        <f>IF($M10621="PADD I","PADD 1",IF($M10621="PADD II","PADD 2",IF($M10621="PADD III","PADD 3",IF($M10621="PADD IV","PADD 4",IF($M10621="PADD V","PADD 5","")))))</f>
        <v/>
      </c>
      <c r="G10621" s="6">
        <f>IF(AND($H10621="ATMOS DISTILLATION",ISNUMBER(SEARCH("VPS",$I10621))=FALSE,LEFT($I10621,6)&lt;&gt;"VACUUM"),"CDU",IF($H10621="FLUID CAT CRACKING","FCC",IF(OR($H10621="HYDROCRACKING",$H10621="RESID_HYDROCRACKING"),"Hydrocracker",IF($H10621="REFORMING","Reformer",""))))</f>
        <v/>
      </c>
    </row>
    <row r="10622" spans="6:7">
      <c r="F10622" s="6">
        <f>IF($M10622="PADD I","PADD 1",IF($M10622="PADD II","PADD 2",IF($M10622="PADD III","PADD 3",IF($M10622="PADD IV","PADD 4",IF($M10622="PADD V","PADD 5","")))))</f>
        <v/>
      </c>
      <c r="G10622" s="6">
        <f>IF(AND($H10622="ATMOS DISTILLATION",ISNUMBER(SEARCH("VPS",$I10622))=FALSE,LEFT($I10622,6)&lt;&gt;"VACUUM"),"CDU",IF($H10622="FLUID CAT CRACKING","FCC",IF(OR($H10622="HYDROCRACKING",$H10622="RESID_HYDROCRACKING"),"Hydrocracker",IF($H10622="REFORMING","Reformer",""))))</f>
        <v/>
      </c>
    </row>
    <row r="10623" spans="6:7">
      <c r="F10623" s="6">
        <f>IF($M10623="PADD I","PADD 1",IF($M10623="PADD II","PADD 2",IF($M10623="PADD III","PADD 3",IF($M10623="PADD IV","PADD 4",IF($M10623="PADD V","PADD 5","")))))</f>
        <v/>
      </c>
      <c r="G10623" s="6">
        <f>IF(AND($H10623="ATMOS DISTILLATION",ISNUMBER(SEARCH("VPS",$I10623))=FALSE,LEFT($I10623,6)&lt;&gt;"VACUUM"),"CDU",IF($H10623="FLUID CAT CRACKING","FCC",IF(OR($H10623="HYDROCRACKING",$H10623="RESID_HYDROCRACKING"),"Hydrocracker",IF($H10623="REFORMING","Reformer",""))))</f>
        <v/>
      </c>
    </row>
    <row r="10624" spans="6:7">
      <c r="F10624" s="6">
        <f>IF($M10624="PADD I","PADD 1",IF($M10624="PADD II","PADD 2",IF($M10624="PADD III","PADD 3",IF($M10624="PADD IV","PADD 4",IF($M10624="PADD V","PADD 5","")))))</f>
        <v/>
      </c>
      <c r="G10624" s="6">
        <f>IF(AND($H10624="ATMOS DISTILLATION",ISNUMBER(SEARCH("VPS",$I10624))=FALSE,LEFT($I10624,6)&lt;&gt;"VACUUM"),"CDU",IF($H10624="FLUID CAT CRACKING","FCC",IF(OR($H10624="HYDROCRACKING",$H10624="RESID_HYDROCRACKING"),"Hydrocracker",IF($H10624="REFORMING","Reformer",""))))</f>
        <v/>
      </c>
    </row>
    <row r="10625" spans="6:7">
      <c r="F10625" s="6">
        <f>IF($M10625="PADD I","PADD 1",IF($M10625="PADD II","PADD 2",IF($M10625="PADD III","PADD 3",IF($M10625="PADD IV","PADD 4",IF($M10625="PADD V","PADD 5","")))))</f>
        <v/>
      </c>
      <c r="G10625" s="6">
        <f>IF(AND($H10625="ATMOS DISTILLATION",ISNUMBER(SEARCH("VPS",$I10625))=FALSE,LEFT($I10625,6)&lt;&gt;"VACUUM"),"CDU",IF($H10625="FLUID CAT CRACKING","FCC",IF(OR($H10625="HYDROCRACKING",$H10625="RESID_HYDROCRACKING"),"Hydrocracker",IF($H10625="REFORMING","Reformer",""))))</f>
        <v/>
      </c>
    </row>
    <row r="10626" spans="6:7">
      <c r="F10626" s="6">
        <f>IF($M10626="PADD I","PADD 1",IF($M10626="PADD II","PADD 2",IF($M10626="PADD III","PADD 3",IF($M10626="PADD IV","PADD 4",IF($M10626="PADD V","PADD 5","")))))</f>
        <v/>
      </c>
      <c r="G10626" s="6">
        <f>IF(AND($H10626="ATMOS DISTILLATION",ISNUMBER(SEARCH("VPS",$I10626))=FALSE,LEFT($I10626,6)&lt;&gt;"VACUUM"),"CDU",IF($H10626="FLUID CAT CRACKING","FCC",IF(OR($H10626="HYDROCRACKING",$H10626="RESID_HYDROCRACKING"),"Hydrocracker",IF($H10626="REFORMING","Reformer",""))))</f>
        <v/>
      </c>
    </row>
    <row r="10627" spans="6:7">
      <c r="F10627" s="6">
        <f>IF($M10627="PADD I","PADD 1",IF($M10627="PADD II","PADD 2",IF($M10627="PADD III","PADD 3",IF($M10627="PADD IV","PADD 4",IF($M10627="PADD V","PADD 5","")))))</f>
        <v/>
      </c>
      <c r="G10627" s="6">
        <f>IF(AND($H10627="ATMOS DISTILLATION",ISNUMBER(SEARCH("VPS",$I10627))=FALSE,LEFT($I10627,6)&lt;&gt;"VACUUM"),"CDU",IF($H10627="FLUID CAT CRACKING","FCC",IF(OR($H10627="HYDROCRACKING",$H10627="RESID_HYDROCRACKING"),"Hydrocracker",IF($H10627="REFORMING","Reformer",""))))</f>
        <v/>
      </c>
    </row>
    <row r="10628" spans="6:7">
      <c r="F10628" s="6">
        <f>IF($M10628="PADD I","PADD 1",IF($M10628="PADD II","PADD 2",IF($M10628="PADD III","PADD 3",IF($M10628="PADD IV","PADD 4",IF($M10628="PADD V","PADD 5","")))))</f>
        <v/>
      </c>
      <c r="G10628" s="6">
        <f>IF(AND($H10628="ATMOS DISTILLATION",ISNUMBER(SEARCH("VPS",$I10628))=FALSE,LEFT($I10628,6)&lt;&gt;"VACUUM"),"CDU",IF($H10628="FLUID CAT CRACKING","FCC",IF(OR($H10628="HYDROCRACKING",$H10628="RESID_HYDROCRACKING"),"Hydrocracker",IF($H10628="REFORMING","Reformer",""))))</f>
        <v/>
      </c>
    </row>
    <row r="10629" spans="6:7">
      <c r="F10629" s="6">
        <f>IF($M10629="PADD I","PADD 1",IF($M10629="PADD II","PADD 2",IF($M10629="PADD III","PADD 3",IF($M10629="PADD IV","PADD 4",IF($M10629="PADD V","PADD 5","")))))</f>
        <v/>
      </c>
      <c r="G10629" s="6">
        <f>IF(AND($H10629="ATMOS DISTILLATION",ISNUMBER(SEARCH("VPS",$I10629))=FALSE,LEFT($I10629,6)&lt;&gt;"VACUUM"),"CDU",IF($H10629="FLUID CAT CRACKING","FCC",IF(OR($H10629="HYDROCRACKING",$H10629="RESID_HYDROCRACKING"),"Hydrocracker",IF($H10629="REFORMING","Reformer",""))))</f>
        <v/>
      </c>
    </row>
    <row r="10630" spans="6:7">
      <c r="F10630" s="6">
        <f>IF($M10630="PADD I","PADD 1",IF($M10630="PADD II","PADD 2",IF($M10630="PADD III","PADD 3",IF($M10630="PADD IV","PADD 4",IF($M10630="PADD V","PADD 5","")))))</f>
        <v/>
      </c>
      <c r="G10630" s="6">
        <f>IF(AND($H10630="ATMOS DISTILLATION",ISNUMBER(SEARCH("VPS",$I10630))=FALSE,LEFT($I10630,6)&lt;&gt;"VACUUM"),"CDU",IF($H10630="FLUID CAT CRACKING","FCC",IF(OR($H10630="HYDROCRACKING",$H10630="RESID_HYDROCRACKING"),"Hydrocracker",IF($H10630="REFORMING","Reformer",""))))</f>
        <v/>
      </c>
    </row>
    <row r="10631" spans="6:7">
      <c r="F10631" s="6">
        <f>IF($M10631="PADD I","PADD 1",IF($M10631="PADD II","PADD 2",IF($M10631="PADD III","PADD 3",IF($M10631="PADD IV","PADD 4",IF($M10631="PADD V","PADD 5","")))))</f>
        <v/>
      </c>
      <c r="G10631" s="6">
        <f>IF(AND($H10631="ATMOS DISTILLATION",ISNUMBER(SEARCH("VPS",$I10631))=FALSE,LEFT($I10631,6)&lt;&gt;"VACUUM"),"CDU",IF($H10631="FLUID CAT CRACKING","FCC",IF(OR($H10631="HYDROCRACKING",$H10631="RESID_HYDROCRACKING"),"Hydrocracker",IF($H10631="REFORMING","Reformer",""))))</f>
        <v/>
      </c>
    </row>
    <row r="10632" spans="6:7">
      <c r="F10632" s="6">
        <f>IF($M10632="PADD I","PADD 1",IF($M10632="PADD II","PADD 2",IF($M10632="PADD III","PADD 3",IF($M10632="PADD IV","PADD 4",IF($M10632="PADD V","PADD 5","")))))</f>
        <v/>
      </c>
      <c r="G10632" s="6">
        <f>IF(AND($H10632="ATMOS DISTILLATION",ISNUMBER(SEARCH("VPS",$I10632))=FALSE,LEFT($I10632,6)&lt;&gt;"VACUUM"),"CDU",IF($H10632="FLUID CAT CRACKING","FCC",IF(OR($H10632="HYDROCRACKING",$H10632="RESID_HYDROCRACKING"),"Hydrocracker",IF($H10632="REFORMING","Reformer",""))))</f>
        <v/>
      </c>
    </row>
    <row r="10633" spans="6:7">
      <c r="F10633" s="6">
        <f>IF($M10633="PADD I","PADD 1",IF($M10633="PADD II","PADD 2",IF($M10633="PADD III","PADD 3",IF($M10633="PADD IV","PADD 4",IF($M10633="PADD V","PADD 5","")))))</f>
        <v/>
      </c>
      <c r="G10633" s="6">
        <f>IF(AND($H10633="ATMOS DISTILLATION",ISNUMBER(SEARCH("VPS",$I10633))=FALSE,LEFT($I10633,6)&lt;&gt;"VACUUM"),"CDU",IF($H10633="FLUID CAT CRACKING","FCC",IF(OR($H10633="HYDROCRACKING",$H10633="RESID_HYDROCRACKING"),"Hydrocracker",IF($H10633="REFORMING","Reformer",""))))</f>
        <v/>
      </c>
    </row>
    <row r="10634" spans="6:7">
      <c r="F10634" s="6">
        <f>IF($M10634="PADD I","PADD 1",IF($M10634="PADD II","PADD 2",IF($M10634="PADD III","PADD 3",IF($M10634="PADD IV","PADD 4",IF($M10634="PADD V","PADD 5","")))))</f>
        <v/>
      </c>
      <c r="G10634" s="6">
        <f>IF(AND($H10634="ATMOS DISTILLATION",ISNUMBER(SEARCH("VPS",$I10634))=FALSE,LEFT($I10634,6)&lt;&gt;"VACUUM"),"CDU",IF($H10634="FLUID CAT CRACKING","FCC",IF(OR($H10634="HYDROCRACKING",$H10634="RESID_HYDROCRACKING"),"Hydrocracker",IF($H10634="REFORMING","Reformer",""))))</f>
        <v/>
      </c>
    </row>
    <row r="10635" spans="6:7">
      <c r="F10635" s="6">
        <f>IF($M10635="PADD I","PADD 1",IF($M10635="PADD II","PADD 2",IF($M10635="PADD III","PADD 3",IF($M10635="PADD IV","PADD 4",IF($M10635="PADD V","PADD 5","")))))</f>
        <v/>
      </c>
      <c r="G10635" s="6">
        <f>IF(AND($H10635="ATMOS DISTILLATION",ISNUMBER(SEARCH("VPS",$I10635))=FALSE,LEFT($I10635,6)&lt;&gt;"VACUUM"),"CDU",IF($H10635="FLUID CAT CRACKING","FCC",IF(OR($H10635="HYDROCRACKING",$H10635="RESID_HYDROCRACKING"),"Hydrocracker",IF($H10635="REFORMING","Reformer",""))))</f>
        <v/>
      </c>
    </row>
    <row r="10636" spans="6:7">
      <c r="F10636" s="6">
        <f>IF($M10636="PADD I","PADD 1",IF($M10636="PADD II","PADD 2",IF($M10636="PADD III","PADD 3",IF($M10636="PADD IV","PADD 4",IF($M10636="PADD V","PADD 5","")))))</f>
        <v/>
      </c>
      <c r="G10636" s="6">
        <f>IF(AND($H10636="ATMOS DISTILLATION",ISNUMBER(SEARCH("VPS",$I10636))=FALSE,LEFT($I10636,6)&lt;&gt;"VACUUM"),"CDU",IF($H10636="FLUID CAT CRACKING","FCC",IF(OR($H10636="HYDROCRACKING",$H10636="RESID_HYDROCRACKING"),"Hydrocracker",IF($H10636="REFORMING","Reformer",""))))</f>
        <v/>
      </c>
    </row>
    <row r="10637" spans="6:7">
      <c r="F10637" s="6">
        <f>IF($M10637="PADD I","PADD 1",IF($M10637="PADD II","PADD 2",IF($M10637="PADD III","PADD 3",IF($M10637="PADD IV","PADD 4",IF($M10637="PADD V","PADD 5","")))))</f>
        <v/>
      </c>
      <c r="G10637" s="6">
        <f>IF(AND($H10637="ATMOS DISTILLATION",ISNUMBER(SEARCH("VPS",$I10637))=FALSE,LEFT($I10637,6)&lt;&gt;"VACUUM"),"CDU",IF($H10637="FLUID CAT CRACKING","FCC",IF(OR($H10637="HYDROCRACKING",$H10637="RESID_HYDROCRACKING"),"Hydrocracker",IF($H10637="REFORMING","Reformer",""))))</f>
        <v/>
      </c>
    </row>
    <row r="10638" spans="6:7">
      <c r="F10638" s="6">
        <f>IF($M10638="PADD I","PADD 1",IF($M10638="PADD II","PADD 2",IF($M10638="PADD III","PADD 3",IF($M10638="PADD IV","PADD 4",IF($M10638="PADD V","PADD 5","")))))</f>
        <v/>
      </c>
      <c r="G10638" s="6">
        <f>IF(AND($H10638="ATMOS DISTILLATION",ISNUMBER(SEARCH("VPS",$I10638))=FALSE,LEFT($I10638,6)&lt;&gt;"VACUUM"),"CDU",IF($H10638="FLUID CAT CRACKING","FCC",IF(OR($H10638="HYDROCRACKING",$H10638="RESID_HYDROCRACKING"),"Hydrocracker",IF($H10638="REFORMING","Reformer",""))))</f>
        <v/>
      </c>
    </row>
    <row r="10639" spans="6:7">
      <c r="F10639" s="6">
        <f>IF($M10639="PADD I","PADD 1",IF($M10639="PADD II","PADD 2",IF($M10639="PADD III","PADD 3",IF($M10639="PADD IV","PADD 4",IF($M10639="PADD V","PADD 5","")))))</f>
        <v/>
      </c>
      <c r="G10639" s="6">
        <f>IF(AND($H10639="ATMOS DISTILLATION",ISNUMBER(SEARCH("VPS",$I10639))=FALSE,LEFT($I10639,6)&lt;&gt;"VACUUM"),"CDU",IF($H10639="FLUID CAT CRACKING","FCC",IF(OR($H10639="HYDROCRACKING",$H10639="RESID_HYDROCRACKING"),"Hydrocracker",IF($H10639="REFORMING","Reformer",""))))</f>
        <v/>
      </c>
    </row>
    <row r="10640" spans="6:7">
      <c r="F10640" s="6">
        <f>IF($M10640="PADD I","PADD 1",IF($M10640="PADD II","PADD 2",IF($M10640="PADD III","PADD 3",IF($M10640="PADD IV","PADD 4",IF($M10640="PADD V","PADD 5","")))))</f>
        <v/>
      </c>
      <c r="G10640" s="6">
        <f>IF(AND($H10640="ATMOS DISTILLATION",ISNUMBER(SEARCH("VPS",$I10640))=FALSE,LEFT($I10640,6)&lt;&gt;"VACUUM"),"CDU",IF($H10640="FLUID CAT CRACKING","FCC",IF(OR($H10640="HYDROCRACKING",$H10640="RESID_HYDROCRACKING"),"Hydrocracker",IF($H10640="REFORMING","Reformer",""))))</f>
        <v/>
      </c>
    </row>
    <row r="10641" spans="6:7">
      <c r="F10641" s="6">
        <f>IF($M10641="PADD I","PADD 1",IF($M10641="PADD II","PADD 2",IF($M10641="PADD III","PADD 3",IF($M10641="PADD IV","PADD 4",IF($M10641="PADD V","PADD 5","")))))</f>
        <v/>
      </c>
      <c r="G10641" s="6">
        <f>IF(AND($H10641="ATMOS DISTILLATION",ISNUMBER(SEARCH("VPS",$I10641))=FALSE,LEFT($I10641,6)&lt;&gt;"VACUUM"),"CDU",IF($H10641="FLUID CAT CRACKING","FCC",IF(OR($H10641="HYDROCRACKING",$H10641="RESID_HYDROCRACKING"),"Hydrocracker",IF($H10641="REFORMING","Reformer",""))))</f>
        <v/>
      </c>
    </row>
    <row r="10642" spans="6:7">
      <c r="F10642" s="6">
        <f>IF($M10642="PADD I","PADD 1",IF($M10642="PADD II","PADD 2",IF($M10642="PADD III","PADD 3",IF($M10642="PADD IV","PADD 4",IF($M10642="PADD V","PADD 5","")))))</f>
        <v/>
      </c>
      <c r="G10642" s="6">
        <f>IF(AND($H10642="ATMOS DISTILLATION",ISNUMBER(SEARCH("VPS",$I10642))=FALSE,LEFT($I10642,6)&lt;&gt;"VACUUM"),"CDU",IF($H10642="FLUID CAT CRACKING","FCC",IF(OR($H10642="HYDROCRACKING",$H10642="RESID_HYDROCRACKING"),"Hydrocracker",IF($H10642="REFORMING","Reformer",""))))</f>
        <v/>
      </c>
    </row>
    <row r="10643" spans="6:7">
      <c r="F10643" s="6">
        <f>IF($M10643="PADD I","PADD 1",IF($M10643="PADD II","PADD 2",IF($M10643="PADD III","PADD 3",IF($M10643="PADD IV","PADD 4",IF($M10643="PADD V","PADD 5","")))))</f>
        <v/>
      </c>
      <c r="G10643" s="6">
        <f>IF(AND($H10643="ATMOS DISTILLATION",ISNUMBER(SEARCH("VPS",$I10643))=FALSE,LEFT($I10643,6)&lt;&gt;"VACUUM"),"CDU",IF($H10643="FLUID CAT CRACKING","FCC",IF(OR($H10643="HYDROCRACKING",$H10643="RESID_HYDROCRACKING"),"Hydrocracker",IF($H10643="REFORMING","Reformer",""))))</f>
        <v/>
      </c>
    </row>
    <row r="10644" spans="6:7">
      <c r="F10644" s="6">
        <f>IF($M10644="PADD I","PADD 1",IF($M10644="PADD II","PADD 2",IF($M10644="PADD III","PADD 3",IF($M10644="PADD IV","PADD 4",IF($M10644="PADD V","PADD 5","")))))</f>
        <v/>
      </c>
      <c r="G10644" s="6">
        <f>IF(AND($H10644="ATMOS DISTILLATION",ISNUMBER(SEARCH("VPS",$I10644))=FALSE,LEFT($I10644,6)&lt;&gt;"VACUUM"),"CDU",IF($H10644="FLUID CAT CRACKING","FCC",IF(OR($H10644="HYDROCRACKING",$H10644="RESID_HYDROCRACKING"),"Hydrocracker",IF($H10644="REFORMING","Reformer",""))))</f>
        <v/>
      </c>
    </row>
    <row r="10645" spans="6:7">
      <c r="F10645" s="6">
        <f>IF($M10645="PADD I","PADD 1",IF($M10645="PADD II","PADD 2",IF($M10645="PADD III","PADD 3",IF($M10645="PADD IV","PADD 4",IF($M10645="PADD V","PADD 5","")))))</f>
        <v/>
      </c>
      <c r="G10645" s="6">
        <f>IF(AND($H10645="ATMOS DISTILLATION",ISNUMBER(SEARCH("VPS",$I10645))=FALSE,LEFT($I10645,6)&lt;&gt;"VACUUM"),"CDU",IF($H10645="FLUID CAT CRACKING","FCC",IF(OR($H10645="HYDROCRACKING",$H10645="RESID_HYDROCRACKING"),"Hydrocracker",IF($H10645="REFORMING","Reformer",""))))</f>
        <v/>
      </c>
    </row>
    <row r="10646" spans="6:7">
      <c r="F10646" s="6">
        <f>IF($M10646="PADD I","PADD 1",IF($M10646="PADD II","PADD 2",IF($M10646="PADD III","PADD 3",IF($M10646="PADD IV","PADD 4",IF($M10646="PADD V","PADD 5","")))))</f>
        <v/>
      </c>
      <c r="G10646" s="6">
        <f>IF(AND($H10646="ATMOS DISTILLATION",ISNUMBER(SEARCH("VPS",$I10646))=FALSE,LEFT($I10646,6)&lt;&gt;"VACUUM"),"CDU",IF($H10646="FLUID CAT CRACKING","FCC",IF(OR($H10646="HYDROCRACKING",$H10646="RESID_HYDROCRACKING"),"Hydrocracker",IF($H10646="REFORMING","Reformer",""))))</f>
        <v/>
      </c>
    </row>
    <row r="10647" spans="6:7">
      <c r="F10647" s="6">
        <f>IF($M10647="PADD I","PADD 1",IF($M10647="PADD II","PADD 2",IF($M10647="PADD III","PADD 3",IF($M10647="PADD IV","PADD 4",IF($M10647="PADD V","PADD 5","")))))</f>
        <v/>
      </c>
      <c r="G10647" s="6">
        <f>IF(AND($H10647="ATMOS DISTILLATION",ISNUMBER(SEARCH("VPS",$I10647))=FALSE,LEFT($I10647,6)&lt;&gt;"VACUUM"),"CDU",IF($H10647="FLUID CAT CRACKING","FCC",IF(OR($H10647="HYDROCRACKING",$H10647="RESID_HYDROCRACKING"),"Hydrocracker",IF($H10647="REFORMING","Reformer",""))))</f>
        <v/>
      </c>
    </row>
    <row r="10648" spans="6:7">
      <c r="F10648" s="6">
        <f>IF($M10648="PADD I","PADD 1",IF($M10648="PADD II","PADD 2",IF($M10648="PADD III","PADD 3",IF($M10648="PADD IV","PADD 4",IF($M10648="PADD V","PADD 5","")))))</f>
        <v/>
      </c>
      <c r="G10648" s="6">
        <f>IF(AND($H10648="ATMOS DISTILLATION",ISNUMBER(SEARCH("VPS",$I10648))=FALSE,LEFT($I10648,6)&lt;&gt;"VACUUM"),"CDU",IF($H10648="FLUID CAT CRACKING","FCC",IF(OR($H10648="HYDROCRACKING",$H10648="RESID_HYDROCRACKING"),"Hydrocracker",IF($H10648="REFORMING","Reformer",""))))</f>
        <v/>
      </c>
    </row>
    <row r="10649" spans="6:7">
      <c r="F10649" s="6">
        <f>IF($M10649="PADD I","PADD 1",IF($M10649="PADD II","PADD 2",IF($M10649="PADD III","PADD 3",IF($M10649="PADD IV","PADD 4",IF($M10649="PADD V","PADD 5","")))))</f>
        <v/>
      </c>
      <c r="G10649" s="6">
        <f>IF(AND($H10649="ATMOS DISTILLATION",ISNUMBER(SEARCH("VPS",$I10649))=FALSE,LEFT($I10649,6)&lt;&gt;"VACUUM"),"CDU",IF($H10649="FLUID CAT CRACKING","FCC",IF(OR($H10649="HYDROCRACKING",$H10649="RESID_HYDROCRACKING"),"Hydrocracker",IF($H10649="REFORMING","Reformer",""))))</f>
        <v/>
      </c>
    </row>
    <row r="10650" spans="6:7">
      <c r="F10650" s="6">
        <f>IF($M10650="PADD I","PADD 1",IF($M10650="PADD II","PADD 2",IF($M10650="PADD III","PADD 3",IF($M10650="PADD IV","PADD 4",IF($M10650="PADD V","PADD 5","")))))</f>
        <v/>
      </c>
      <c r="G10650" s="6">
        <f>IF(AND($H10650="ATMOS DISTILLATION",ISNUMBER(SEARCH("VPS",$I10650))=FALSE,LEFT($I10650,6)&lt;&gt;"VACUUM"),"CDU",IF($H10650="FLUID CAT CRACKING","FCC",IF(OR($H10650="HYDROCRACKING",$H10650="RESID_HYDROCRACKING"),"Hydrocracker",IF($H10650="REFORMING","Reformer",""))))</f>
        <v/>
      </c>
    </row>
    <row r="10651" spans="6:7">
      <c r="F10651" s="6">
        <f>IF($M10651="PADD I","PADD 1",IF($M10651="PADD II","PADD 2",IF($M10651="PADD III","PADD 3",IF($M10651="PADD IV","PADD 4",IF($M10651="PADD V","PADD 5","")))))</f>
        <v/>
      </c>
      <c r="G10651" s="6">
        <f>IF(AND($H10651="ATMOS DISTILLATION",ISNUMBER(SEARCH("VPS",$I10651))=FALSE,LEFT($I10651,6)&lt;&gt;"VACUUM"),"CDU",IF($H10651="FLUID CAT CRACKING","FCC",IF(OR($H10651="HYDROCRACKING",$H10651="RESID_HYDROCRACKING"),"Hydrocracker",IF($H10651="REFORMING","Reformer",""))))</f>
        <v/>
      </c>
    </row>
    <row r="10652" spans="6:7">
      <c r="F10652" s="6">
        <f>IF($M10652="PADD I","PADD 1",IF($M10652="PADD II","PADD 2",IF($M10652="PADD III","PADD 3",IF($M10652="PADD IV","PADD 4",IF($M10652="PADD V","PADD 5","")))))</f>
        <v/>
      </c>
      <c r="G10652" s="6">
        <f>IF(AND($H10652="ATMOS DISTILLATION",ISNUMBER(SEARCH("VPS",$I10652))=FALSE,LEFT($I10652,6)&lt;&gt;"VACUUM"),"CDU",IF($H10652="FLUID CAT CRACKING","FCC",IF(OR($H10652="HYDROCRACKING",$H10652="RESID_HYDROCRACKING"),"Hydrocracker",IF($H10652="REFORMING","Reformer",""))))</f>
        <v/>
      </c>
    </row>
    <row r="10653" spans="6:7">
      <c r="F10653" s="6">
        <f>IF($M10653="PADD I","PADD 1",IF($M10653="PADD II","PADD 2",IF($M10653="PADD III","PADD 3",IF($M10653="PADD IV","PADD 4",IF($M10653="PADD V","PADD 5","")))))</f>
        <v/>
      </c>
      <c r="G10653" s="6">
        <f>IF(AND($H10653="ATMOS DISTILLATION",ISNUMBER(SEARCH("VPS",$I10653))=FALSE,LEFT($I10653,6)&lt;&gt;"VACUUM"),"CDU",IF($H10653="FLUID CAT CRACKING","FCC",IF(OR($H10653="HYDROCRACKING",$H10653="RESID_HYDROCRACKING"),"Hydrocracker",IF($H10653="REFORMING","Reformer",""))))</f>
        <v/>
      </c>
    </row>
    <row r="10654" spans="6:7">
      <c r="F10654" s="6">
        <f>IF($M10654="PADD I","PADD 1",IF($M10654="PADD II","PADD 2",IF($M10654="PADD III","PADD 3",IF($M10654="PADD IV","PADD 4",IF($M10654="PADD V","PADD 5","")))))</f>
        <v/>
      </c>
      <c r="G10654" s="6">
        <f>IF(AND($H10654="ATMOS DISTILLATION",ISNUMBER(SEARCH("VPS",$I10654))=FALSE,LEFT($I10654,6)&lt;&gt;"VACUUM"),"CDU",IF($H10654="FLUID CAT CRACKING","FCC",IF(OR($H10654="HYDROCRACKING",$H10654="RESID_HYDROCRACKING"),"Hydrocracker",IF($H10654="REFORMING","Reformer",""))))</f>
        <v/>
      </c>
    </row>
    <row r="10655" spans="6:7">
      <c r="F10655" s="6">
        <f>IF($M10655="PADD I","PADD 1",IF($M10655="PADD II","PADD 2",IF($M10655="PADD III","PADD 3",IF($M10655="PADD IV","PADD 4",IF($M10655="PADD V","PADD 5","")))))</f>
        <v/>
      </c>
      <c r="G10655" s="6">
        <f>IF(AND($H10655="ATMOS DISTILLATION",ISNUMBER(SEARCH("VPS",$I10655))=FALSE,LEFT($I10655,6)&lt;&gt;"VACUUM"),"CDU",IF($H10655="FLUID CAT CRACKING","FCC",IF(OR($H10655="HYDROCRACKING",$H10655="RESID_HYDROCRACKING"),"Hydrocracker",IF($H10655="REFORMING","Reformer",""))))</f>
        <v/>
      </c>
    </row>
    <row r="10656" spans="6:7">
      <c r="F10656" s="6">
        <f>IF($M10656="PADD I","PADD 1",IF($M10656="PADD II","PADD 2",IF($M10656="PADD III","PADD 3",IF($M10656="PADD IV","PADD 4",IF($M10656="PADD V","PADD 5","")))))</f>
        <v/>
      </c>
      <c r="G10656" s="6">
        <f>IF(AND($H10656="ATMOS DISTILLATION",ISNUMBER(SEARCH("VPS",$I10656))=FALSE,LEFT($I10656,6)&lt;&gt;"VACUUM"),"CDU",IF($H10656="FLUID CAT CRACKING","FCC",IF(OR($H10656="HYDROCRACKING",$H10656="RESID_HYDROCRACKING"),"Hydrocracker",IF($H10656="REFORMING","Reformer",""))))</f>
        <v/>
      </c>
    </row>
    <row r="10657" spans="6:7">
      <c r="F10657" s="6">
        <f>IF($M10657="PADD I","PADD 1",IF($M10657="PADD II","PADD 2",IF($M10657="PADD III","PADD 3",IF($M10657="PADD IV","PADD 4",IF($M10657="PADD V","PADD 5","")))))</f>
        <v/>
      </c>
      <c r="G10657" s="6">
        <f>IF(AND($H10657="ATMOS DISTILLATION",ISNUMBER(SEARCH("VPS",$I10657))=FALSE,LEFT($I10657,6)&lt;&gt;"VACUUM"),"CDU",IF($H10657="FLUID CAT CRACKING","FCC",IF(OR($H10657="HYDROCRACKING",$H10657="RESID_HYDROCRACKING"),"Hydrocracker",IF($H10657="REFORMING","Reformer",""))))</f>
        <v/>
      </c>
    </row>
    <row r="10658" spans="6:7">
      <c r="F10658" s="6">
        <f>IF($M10658="PADD I","PADD 1",IF($M10658="PADD II","PADD 2",IF($M10658="PADD III","PADD 3",IF($M10658="PADD IV","PADD 4",IF($M10658="PADD V","PADD 5","")))))</f>
        <v/>
      </c>
      <c r="G10658" s="6">
        <f>IF(AND($H10658="ATMOS DISTILLATION",ISNUMBER(SEARCH("VPS",$I10658))=FALSE,LEFT($I10658,6)&lt;&gt;"VACUUM"),"CDU",IF($H10658="FLUID CAT CRACKING","FCC",IF(OR($H10658="HYDROCRACKING",$H10658="RESID_HYDROCRACKING"),"Hydrocracker",IF($H10658="REFORMING","Reformer",""))))</f>
        <v/>
      </c>
    </row>
    <row r="10659" spans="6:7">
      <c r="F10659" s="6">
        <f>IF($M10659="PADD I","PADD 1",IF($M10659="PADD II","PADD 2",IF($M10659="PADD III","PADD 3",IF($M10659="PADD IV","PADD 4",IF($M10659="PADD V","PADD 5","")))))</f>
        <v/>
      </c>
      <c r="G10659" s="6">
        <f>IF(AND($H10659="ATMOS DISTILLATION",ISNUMBER(SEARCH("VPS",$I10659))=FALSE,LEFT($I10659,6)&lt;&gt;"VACUUM"),"CDU",IF($H10659="FLUID CAT CRACKING","FCC",IF(OR($H10659="HYDROCRACKING",$H10659="RESID_HYDROCRACKING"),"Hydrocracker",IF($H10659="REFORMING","Reformer",""))))</f>
        <v/>
      </c>
    </row>
    <row r="10660" spans="6:7">
      <c r="F10660" s="6">
        <f>IF($M10660="PADD I","PADD 1",IF($M10660="PADD II","PADD 2",IF($M10660="PADD III","PADD 3",IF($M10660="PADD IV","PADD 4",IF($M10660="PADD V","PADD 5","")))))</f>
        <v/>
      </c>
      <c r="G10660" s="6">
        <f>IF(AND($H10660="ATMOS DISTILLATION",ISNUMBER(SEARCH("VPS",$I10660))=FALSE,LEFT($I10660,6)&lt;&gt;"VACUUM"),"CDU",IF($H10660="FLUID CAT CRACKING","FCC",IF(OR($H10660="HYDROCRACKING",$H10660="RESID_HYDROCRACKING"),"Hydrocracker",IF($H10660="REFORMING","Reformer",""))))</f>
        <v/>
      </c>
    </row>
    <row r="10661" spans="6:7">
      <c r="F10661" s="6">
        <f>IF($M10661="PADD I","PADD 1",IF($M10661="PADD II","PADD 2",IF($M10661="PADD III","PADD 3",IF($M10661="PADD IV","PADD 4",IF($M10661="PADD V","PADD 5","")))))</f>
        <v/>
      </c>
      <c r="G10661" s="6">
        <f>IF(AND($H10661="ATMOS DISTILLATION",ISNUMBER(SEARCH("VPS",$I10661))=FALSE,LEFT($I10661,6)&lt;&gt;"VACUUM"),"CDU",IF($H10661="FLUID CAT CRACKING","FCC",IF(OR($H10661="HYDROCRACKING",$H10661="RESID_HYDROCRACKING"),"Hydrocracker",IF($H10661="REFORMING","Reformer",""))))</f>
        <v/>
      </c>
    </row>
    <row r="10662" spans="6:7">
      <c r="F10662" s="6">
        <f>IF($M10662="PADD I","PADD 1",IF($M10662="PADD II","PADD 2",IF($M10662="PADD III","PADD 3",IF($M10662="PADD IV","PADD 4",IF($M10662="PADD V","PADD 5","")))))</f>
        <v/>
      </c>
      <c r="G10662" s="6">
        <f>IF(AND($H10662="ATMOS DISTILLATION",ISNUMBER(SEARCH("VPS",$I10662))=FALSE,LEFT($I10662,6)&lt;&gt;"VACUUM"),"CDU",IF($H10662="FLUID CAT CRACKING","FCC",IF(OR($H10662="HYDROCRACKING",$H10662="RESID_HYDROCRACKING"),"Hydrocracker",IF($H10662="REFORMING","Reformer",""))))</f>
        <v/>
      </c>
    </row>
    <row r="10663" spans="6:7">
      <c r="F10663" s="6">
        <f>IF($M10663="PADD I","PADD 1",IF($M10663="PADD II","PADD 2",IF($M10663="PADD III","PADD 3",IF($M10663="PADD IV","PADD 4",IF($M10663="PADD V","PADD 5","")))))</f>
        <v/>
      </c>
      <c r="G10663" s="6">
        <f>IF(AND($H10663="ATMOS DISTILLATION",ISNUMBER(SEARCH("VPS",$I10663))=FALSE,LEFT($I10663,6)&lt;&gt;"VACUUM"),"CDU",IF($H10663="FLUID CAT CRACKING","FCC",IF(OR($H10663="HYDROCRACKING",$H10663="RESID_HYDROCRACKING"),"Hydrocracker",IF($H10663="REFORMING","Reformer",""))))</f>
        <v/>
      </c>
    </row>
    <row r="10664" spans="6:7">
      <c r="F10664" s="6">
        <f>IF($M10664="PADD I","PADD 1",IF($M10664="PADD II","PADD 2",IF($M10664="PADD III","PADD 3",IF($M10664="PADD IV","PADD 4",IF($M10664="PADD V","PADD 5","")))))</f>
        <v/>
      </c>
      <c r="G10664" s="6">
        <f>IF(AND($H10664="ATMOS DISTILLATION",ISNUMBER(SEARCH("VPS",$I10664))=FALSE,LEFT($I10664,6)&lt;&gt;"VACUUM"),"CDU",IF($H10664="FLUID CAT CRACKING","FCC",IF(OR($H10664="HYDROCRACKING",$H10664="RESID_HYDROCRACKING"),"Hydrocracker",IF($H10664="REFORMING","Reformer",""))))</f>
        <v/>
      </c>
    </row>
    <row r="10665" spans="6:7">
      <c r="F10665" s="6">
        <f>IF($M10665="PADD I","PADD 1",IF($M10665="PADD II","PADD 2",IF($M10665="PADD III","PADD 3",IF($M10665="PADD IV","PADD 4",IF($M10665="PADD V","PADD 5","")))))</f>
        <v/>
      </c>
      <c r="G10665" s="6">
        <f>IF(AND($H10665="ATMOS DISTILLATION",ISNUMBER(SEARCH("VPS",$I10665))=FALSE,LEFT($I10665,6)&lt;&gt;"VACUUM"),"CDU",IF($H10665="FLUID CAT CRACKING","FCC",IF(OR($H10665="HYDROCRACKING",$H10665="RESID_HYDROCRACKING"),"Hydrocracker",IF($H10665="REFORMING","Reformer",""))))</f>
        <v/>
      </c>
    </row>
    <row r="10666" spans="6:7">
      <c r="F10666" s="6">
        <f>IF($M10666="PADD I","PADD 1",IF($M10666="PADD II","PADD 2",IF($M10666="PADD III","PADD 3",IF($M10666="PADD IV","PADD 4",IF($M10666="PADD V","PADD 5","")))))</f>
        <v/>
      </c>
      <c r="G10666" s="6">
        <f>IF(AND($H10666="ATMOS DISTILLATION",ISNUMBER(SEARCH("VPS",$I10666))=FALSE,LEFT($I10666,6)&lt;&gt;"VACUUM"),"CDU",IF($H10666="FLUID CAT CRACKING","FCC",IF(OR($H10666="HYDROCRACKING",$H10666="RESID_HYDROCRACKING"),"Hydrocracker",IF($H10666="REFORMING","Reformer",""))))</f>
        <v/>
      </c>
    </row>
    <row r="10667" spans="6:7">
      <c r="F10667" s="6">
        <f>IF($M10667="PADD I","PADD 1",IF($M10667="PADD II","PADD 2",IF($M10667="PADD III","PADD 3",IF($M10667="PADD IV","PADD 4",IF($M10667="PADD V","PADD 5","")))))</f>
        <v/>
      </c>
      <c r="G10667" s="6">
        <f>IF(AND($H10667="ATMOS DISTILLATION",ISNUMBER(SEARCH("VPS",$I10667))=FALSE,LEFT($I10667,6)&lt;&gt;"VACUUM"),"CDU",IF($H10667="FLUID CAT CRACKING","FCC",IF(OR($H10667="HYDROCRACKING",$H10667="RESID_HYDROCRACKING"),"Hydrocracker",IF($H10667="REFORMING","Reformer",""))))</f>
        <v/>
      </c>
    </row>
    <row r="10668" spans="6:7">
      <c r="F10668" s="6">
        <f>IF($M10668="PADD I","PADD 1",IF($M10668="PADD II","PADD 2",IF($M10668="PADD III","PADD 3",IF($M10668="PADD IV","PADD 4",IF($M10668="PADD V","PADD 5","")))))</f>
        <v/>
      </c>
      <c r="G10668" s="6">
        <f>IF(AND($H10668="ATMOS DISTILLATION",ISNUMBER(SEARCH("VPS",$I10668))=FALSE,LEFT($I10668,6)&lt;&gt;"VACUUM"),"CDU",IF($H10668="FLUID CAT CRACKING","FCC",IF(OR($H10668="HYDROCRACKING",$H10668="RESID_HYDROCRACKING"),"Hydrocracker",IF($H10668="REFORMING","Reformer",""))))</f>
        <v/>
      </c>
    </row>
    <row r="10669" spans="6:7">
      <c r="F10669" s="6">
        <f>IF($M10669="PADD I","PADD 1",IF($M10669="PADD II","PADD 2",IF($M10669="PADD III","PADD 3",IF($M10669="PADD IV","PADD 4",IF($M10669="PADD V","PADD 5","")))))</f>
        <v/>
      </c>
      <c r="G10669" s="6">
        <f>IF(AND($H10669="ATMOS DISTILLATION",ISNUMBER(SEARCH("VPS",$I10669))=FALSE,LEFT($I10669,6)&lt;&gt;"VACUUM"),"CDU",IF($H10669="FLUID CAT CRACKING","FCC",IF(OR($H10669="HYDROCRACKING",$H10669="RESID_HYDROCRACKING"),"Hydrocracker",IF($H10669="REFORMING","Reformer",""))))</f>
        <v/>
      </c>
    </row>
    <row r="10670" spans="6:7">
      <c r="F10670" s="6">
        <f>IF($M10670="PADD I","PADD 1",IF($M10670="PADD II","PADD 2",IF($M10670="PADD III","PADD 3",IF($M10670="PADD IV","PADD 4",IF($M10670="PADD V","PADD 5","")))))</f>
        <v/>
      </c>
      <c r="G10670" s="6">
        <f>IF(AND($H10670="ATMOS DISTILLATION",ISNUMBER(SEARCH("VPS",$I10670))=FALSE,LEFT($I10670,6)&lt;&gt;"VACUUM"),"CDU",IF($H10670="FLUID CAT CRACKING","FCC",IF(OR($H10670="HYDROCRACKING",$H10670="RESID_HYDROCRACKING"),"Hydrocracker",IF($H10670="REFORMING","Reformer",""))))</f>
        <v/>
      </c>
    </row>
    <row r="10671" spans="6:7">
      <c r="F10671" s="6">
        <f>IF($M10671="PADD I","PADD 1",IF($M10671="PADD II","PADD 2",IF($M10671="PADD III","PADD 3",IF($M10671="PADD IV","PADD 4",IF($M10671="PADD V","PADD 5","")))))</f>
        <v/>
      </c>
      <c r="G10671" s="6">
        <f>IF(AND($H10671="ATMOS DISTILLATION",ISNUMBER(SEARCH("VPS",$I10671))=FALSE,LEFT($I10671,6)&lt;&gt;"VACUUM"),"CDU",IF($H10671="FLUID CAT CRACKING","FCC",IF(OR($H10671="HYDROCRACKING",$H10671="RESID_HYDROCRACKING"),"Hydrocracker",IF($H10671="REFORMING","Reformer",""))))</f>
        <v/>
      </c>
    </row>
    <row r="10672" spans="6:7">
      <c r="F10672" s="6">
        <f>IF($M10672="PADD I","PADD 1",IF($M10672="PADD II","PADD 2",IF($M10672="PADD III","PADD 3",IF($M10672="PADD IV","PADD 4",IF($M10672="PADD V","PADD 5","")))))</f>
        <v/>
      </c>
      <c r="G10672" s="6">
        <f>IF(AND($H10672="ATMOS DISTILLATION",ISNUMBER(SEARCH("VPS",$I10672))=FALSE,LEFT($I10672,6)&lt;&gt;"VACUUM"),"CDU",IF($H10672="FLUID CAT CRACKING","FCC",IF(OR($H10672="HYDROCRACKING",$H10672="RESID_HYDROCRACKING"),"Hydrocracker",IF($H10672="REFORMING","Reformer",""))))</f>
        <v/>
      </c>
    </row>
    <row r="10673" spans="6:7">
      <c r="F10673" s="6">
        <f>IF($M10673="PADD I","PADD 1",IF($M10673="PADD II","PADD 2",IF($M10673="PADD III","PADD 3",IF($M10673="PADD IV","PADD 4",IF($M10673="PADD V","PADD 5","")))))</f>
        <v/>
      </c>
      <c r="G10673" s="6">
        <f>IF(AND($H10673="ATMOS DISTILLATION",ISNUMBER(SEARCH("VPS",$I10673))=FALSE,LEFT($I10673,6)&lt;&gt;"VACUUM"),"CDU",IF($H10673="FLUID CAT CRACKING","FCC",IF(OR($H10673="HYDROCRACKING",$H10673="RESID_HYDROCRACKING"),"Hydrocracker",IF($H10673="REFORMING","Reformer",""))))</f>
        <v/>
      </c>
    </row>
    <row r="10674" spans="6:7">
      <c r="F10674" s="6">
        <f>IF($M10674="PADD I","PADD 1",IF($M10674="PADD II","PADD 2",IF($M10674="PADD III","PADD 3",IF($M10674="PADD IV","PADD 4",IF($M10674="PADD V","PADD 5","")))))</f>
        <v/>
      </c>
      <c r="G10674" s="6">
        <f>IF(AND($H10674="ATMOS DISTILLATION",ISNUMBER(SEARCH("VPS",$I10674))=FALSE,LEFT($I10674,6)&lt;&gt;"VACUUM"),"CDU",IF($H10674="FLUID CAT CRACKING","FCC",IF(OR($H10674="HYDROCRACKING",$H10674="RESID_HYDROCRACKING"),"Hydrocracker",IF($H10674="REFORMING","Reformer",""))))</f>
        <v/>
      </c>
    </row>
    <row r="10675" spans="6:7">
      <c r="F10675" s="6">
        <f>IF($M10675="PADD I","PADD 1",IF($M10675="PADD II","PADD 2",IF($M10675="PADD III","PADD 3",IF($M10675="PADD IV","PADD 4",IF($M10675="PADD V","PADD 5","")))))</f>
        <v/>
      </c>
      <c r="G10675" s="6">
        <f>IF(AND($H10675="ATMOS DISTILLATION",ISNUMBER(SEARCH("VPS",$I10675))=FALSE,LEFT($I10675,6)&lt;&gt;"VACUUM"),"CDU",IF($H10675="FLUID CAT CRACKING","FCC",IF(OR($H10675="HYDROCRACKING",$H10675="RESID_HYDROCRACKING"),"Hydrocracker",IF($H10675="REFORMING","Reformer",""))))</f>
        <v/>
      </c>
    </row>
    <row r="10676" spans="6:7">
      <c r="F10676" s="6">
        <f>IF($M10676="PADD I","PADD 1",IF($M10676="PADD II","PADD 2",IF($M10676="PADD III","PADD 3",IF($M10676="PADD IV","PADD 4",IF($M10676="PADD V","PADD 5","")))))</f>
        <v/>
      </c>
      <c r="G10676" s="6">
        <f>IF(AND($H10676="ATMOS DISTILLATION",ISNUMBER(SEARCH("VPS",$I10676))=FALSE,LEFT($I10676,6)&lt;&gt;"VACUUM"),"CDU",IF($H10676="FLUID CAT CRACKING","FCC",IF(OR($H10676="HYDROCRACKING",$H10676="RESID_HYDROCRACKING"),"Hydrocracker",IF($H10676="REFORMING","Reformer",""))))</f>
        <v/>
      </c>
    </row>
    <row r="10677" spans="6:7">
      <c r="F10677" s="6">
        <f>IF($M10677="PADD I","PADD 1",IF($M10677="PADD II","PADD 2",IF($M10677="PADD III","PADD 3",IF($M10677="PADD IV","PADD 4",IF($M10677="PADD V","PADD 5","")))))</f>
        <v/>
      </c>
      <c r="G10677" s="6">
        <f>IF(AND($H10677="ATMOS DISTILLATION",ISNUMBER(SEARCH("VPS",$I10677))=FALSE,LEFT($I10677,6)&lt;&gt;"VACUUM"),"CDU",IF($H10677="FLUID CAT CRACKING","FCC",IF(OR($H10677="HYDROCRACKING",$H10677="RESID_HYDROCRACKING"),"Hydrocracker",IF($H10677="REFORMING","Reformer",""))))</f>
        <v/>
      </c>
    </row>
    <row r="10678" spans="6:7">
      <c r="F10678" s="6">
        <f>IF($M10678="PADD I","PADD 1",IF($M10678="PADD II","PADD 2",IF($M10678="PADD III","PADD 3",IF($M10678="PADD IV","PADD 4",IF($M10678="PADD V","PADD 5","")))))</f>
        <v/>
      </c>
      <c r="G10678" s="6">
        <f>IF(AND($H10678="ATMOS DISTILLATION",ISNUMBER(SEARCH("VPS",$I10678))=FALSE,LEFT($I10678,6)&lt;&gt;"VACUUM"),"CDU",IF($H10678="FLUID CAT CRACKING","FCC",IF(OR($H10678="HYDROCRACKING",$H10678="RESID_HYDROCRACKING"),"Hydrocracker",IF($H10678="REFORMING","Reformer",""))))</f>
        <v/>
      </c>
    </row>
    <row r="10679" spans="6:7">
      <c r="F10679" s="6">
        <f>IF($M10679="PADD I","PADD 1",IF($M10679="PADD II","PADD 2",IF($M10679="PADD III","PADD 3",IF($M10679="PADD IV","PADD 4",IF($M10679="PADD V","PADD 5","")))))</f>
        <v/>
      </c>
      <c r="G10679" s="6">
        <f>IF(AND($H10679="ATMOS DISTILLATION",ISNUMBER(SEARCH("VPS",$I10679))=FALSE,LEFT($I10679,6)&lt;&gt;"VACUUM"),"CDU",IF($H10679="FLUID CAT CRACKING","FCC",IF(OR($H10679="HYDROCRACKING",$H10679="RESID_HYDROCRACKING"),"Hydrocracker",IF($H10679="REFORMING","Reformer",""))))</f>
        <v/>
      </c>
    </row>
    <row r="10680" spans="6:7">
      <c r="F10680" s="6">
        <f>IF($M10680="PADD I","PADD 1",IF($M10680="PADD II","PADD 2",IF($M10680="PADD III","PADD 3",IF($M10680="PADD IV","PADD 4",IF($M10680="PADD V","PADD 5","")))))</f>
        <v/>
      </c>
      <c r="G10680" s="6">
        <f>IF(AND($H10680="ATMOS DISTILLATION",ISNUMBER(SEARCH("VPS",$I10680))=FALSE,LEFT($I10680,6)&lt;&gt;"VACUUM"),"CDU",IF($H10680="FLUID CAT CRACKING","FCC",IF(OR($H10680="HYDROCRACKING",$H10680="RESID_HYDROCRACKING"),"Hydrocracker",IF($H10680="REFORMING","Reformer",""))))</f>
        <v/>
      </c>
    </row>
    <row r="10681" spans="6:7">
      <c r="F10681" s="6">
        <f>IF($M10681="PADD I","PADD 1",IF($M10681="PADD II","PADD 2",IF($M10681="PADD III","PADD 3",IF($M10681="PADD IV","PADD 4",IF($M10681="PADD V","PADD 5","")))))</f>
        <v/>
      </c>
      <c r="G10681" s="6">
        <f>IF(AND($H10681="ATMOS DISTILLATION",ISNUMBER(SEARCH("VPS",$I10681))=FALSE,LEFT($I10681,6)&lt;&gt;"VACUUM"),"CDU",IF($H10681="FLUID CAT CRACKING","FCC",IF(OR($H10681="HYDROCRACKING",$H10681="RESID_HYDROCRACKING"),"Hydrocracker",IF($H10681="REFORMING","Reformer",""))))</f>
        <v/>
      </c>
    </row>
    <row r="10682" spans="6:7">
      <c r="F10682" s="6">
        <f>IF($M10682="PADD I","PADD 1",IF($M10682="PADD II","PADD 2",IF($M10682="PADD III","PADD 3",IF($M10682="PADD IV","PADD 4",IF($M10682="PADD V","PADD 5","")))))</f>
        <v/>
      </c>
      <c r="G10682" s="6">
        <f>IF(AND($H10682="ATMOS DISTILLATION",ISNUMBER(SEARCH("VPS",$I10682))=FALSE,LEFT($I10682,6)&lt;&gt;"VACUUM"),"CDU",IF($H10682="FLUID CAT CRACKING","FCC",IF(OR($H10682="HYDROCRACKING",$H10682="RESID_HYDROCRACKING"),"Hydrocracker",IF($H10682="REFORMING","Reformer",""))))</f>
        <v/>
      </c>
    </row>
    <row r="10683" spans="6:7">
      <c r="F10683" s="6">
        <f>IF($M10683="PADD I","PADD 1",IF($M10683="PADD II","PADD 2",IF($M10683="PADD III","PADD 3",IF($M10683="PADD IV","PADD 4",IF($M10683="PADD V","PADD 5","")))))</f>
        <v/>
      </c>
      <c r="G10683" s="6">
        <f>IF(AND($H10683="ATMOS DISTILLATION",ISNUMBER(SEARCH("VPS",$I10683))=FALSE,LEFT($I10683,6)&lt;&gt;"VACUUM"),"CDU",IF($H10683="FLUID CAT CRACKING","FCC",IF(OR($H10683="HYDROCRACKING",$H10683="RESID_HYDROCRACKING"),"Hydrocracker",IF($H10683="REFORMING","Reformer",""))))</f>
        <v/>
      </c>
    </row>
    <row r="10684" spans="6:7">
      <c r="F10684" s="6">
        <f>IF($M10684="PADD I","PADD 1",IF($M10684="PADD II","PADD 2",IF($M10684="PADD III","PADD 3",IF($M10684="PADD IV","PADD 4",IF($M10684="PADD V","PADD 5","")))))</f>
        <v/>
      </c>
      <c r="G10684" s="6">
        <f>IF(AND($H10684="ATMOS DISTILLATION",ISNUMBER(SEARCH("VPS",$I10684))=FALSE,LEFT($I10684,6)&lt;&gt;"VACUUM"),"CDU",IF($H10684="FLUID CAT CRACKING","FCC",IF(OR($H10684="HYDROCRACKING",$H10684="RESID_HYDROCRACKING"),"Hydrocracker",IF($H10684="REFORMING","Reformer",""))))</f>
        <v/>
      </c>
    </row>
    <row r="10685" spans="6:7">
      <c r="F10685" s="6">
        <f>IF($M10685="PADD I","PADD 1",IF($M10685="PADD II","PADD 2",IF($M10685="PADD III","PADD 3",IF($M10685="PADD IV","PADD 4",IF($M10685="PADD V","PADD 5","")))))</f>
        <v/>
      </c>
      <c r="G10685" s="6">
        <f>IF(AND($H10685="ATMOS DISTILLATION",ISNUMBER(SEARCH("VPS",$I10685))=FALSE,LEFT($I10685,6)&lt;&gt;"VACUUM"),"CDU",IF($H10685="FLUID CAT CRACKING","FCC",IF(OR($H10685="HYDROCRACKING",$H10685="RESID_HYDROCRACKING"),"Hydrocracker",IF($H10685="REFORMING","Reformer",""))))</f>
        <v/>
      </c>
    </row>
    <row r="10686" spans="6:7">
      <c r="F10686" s="6">
        <f>IF($M10686="PADD I","PADD 1",IF($M10686="PADD II","PADD 2",IF($M10686="PADD III","PADD 3",IF($M10686="PADD IV","PADD 4",IF($M10686="PADD V","PADD 5","")))))</f>
        <v/>
      </c>
      <c r="G10686" s="6">
        <f>IF(AND($H10686="ATMOS DISTILLATION",ISNUMBER(SEARCH("VPS",$I10686))=FALSE,LEFT($I10686,6)&lt;&gt;"VACUUM"),"CDU",IF($H10686="FLUID CAT CRACKING","FCC",IF(OR($H10686="HYDROCRACKING",$H10686="RESID_HYDROCRACKING"),"Hydrocracker",IF($H10686="REFORMING","Reformer",""))))</f>
        <v/>
      </c>
    </row>
    <row r="10687" spans="6:7">
      <c r="F10687" s="6">
        <f>IF($M10687="PADD I","PADD 1",IF($M10687="PADD II","PADD 2",IF($M10687="PADD III","PADD 3",IF($M10687="PADD IV","PADD 4",IF($M10687="PADD V","PADD 5","")))))</f>
        <v/>
      </c>
      <c r="G10687" s="6">
        <f>IF(AND($H10687="ATMOS DISTILLATION",ISNUMBER(SEARCH("VPS",$I10687))=FALSE,LEFT($I10687,6)&lt;&gt;"VACUUM"),"CDU",IF($H10687="FLUID CAT CRACKING","FCC",IF(OR($H10687="HYDROCRACKING",$H10687="RESID_HYDROCRACKING"),"Hydrocracker",IF($H10687="REFORMING","Reformer",""))))</f>
        <v/>
      </c>
    </row>
    <row r="10688" spans="6:7">
      <c r="F10688" s="6">
        <f>IF($M10688="PADD I","PADD 1",IF($M10688="PADD II","PADD 2",IF($M10688="PADD III","PADD 3",IF($M10688="PADD IV","PADD 4",IF($M10688="PADD V","PADD 5","")))))</f>
        <v/>
      </c>
      <c r="G10688" s="6">
        <f>IF(AND($H10688="ATMOS DISTILLATION",ISNUMBER(SEARCH("VPS",$I10688))=FALSE,LEFT($I10688,6)&lt;&gt;"VACUUM"),"CDU",IF($H10688="FLUID CAT CRACKING","FCC",IF(OR($H10688="HYDROCRACKING",$H10688="RESID_HYDROCRACKING"),"Hydrocracker",IF($H10688="REFORMING","Reformer",""))))</f>
        <v/>
      </c>
    </row>
    <row r="10689" spans="6:7">
      <c r="F10689" s="6">
        <f>IF($M10689="PADD I","PADD 1",IF($M10689="PADD II","PADD 2",IF($M10689="PADD III","PADD 3",IF($M10689="PADD IV","PADD 4",IF($M10689="PADD V","PADD 5","")))))</f>
        <v/>
      </c>
      <c r="G10689" s="6">
        <f>IF(AND($H10689="ATMOS DISTILLATION",ISNUMBER(SEARCH("VPS",$I10689))=FALSE,LEFT($I10689,6)&lt;&gt;"VACUUM"),"CDU",IF($H10689="FLUID CAT CRACKING","FCC",IF(OR($H10689="HYDROCRACKING",$H10689="RESID_HYDROCRACKING"),"Hydrocracker",IF($H10689="REFORMING","Reformer",""))))</f>
        <v/>
      </c>
    </row>
    <row r="10690" spans="6:7">
      <c r="F10690" s="6">
        <f>IF($M10690="PADD I","PADD 1",IF($M10690="PADD II","PADD 2",IF($M10690="PADD III","PADD 3",IF($M10690="PADD IV","PADD 4",IF($M10690="PADD V","PADD 5","")))))</f>
        <v/>
      </c>
      <c r="G10690" s="6">
        <f>IF(AND($H10690="ATMOS DISTILLATION",ISNUMBER(SEARCH("VPS",$I10690))=FALSE,LEFT($I10690,6)&lt;&gt;"VACUUM"),"CDU",IF($H10690="FLUID CAT CRACKING","FCC",IF(OR($H10690="HYDROCRACKING",$H10690="RESID_HYDROCRACKING"),"Hydrocracker",IF($H10690="REFORMING","Reformer",""))))</f>
        <v/>
      </c>
    </row>
    <row r="10691" spans="6:7">
      <c r="F10691" s="6">
        <f>IF($M10691="PADD I","PADD 1",IF($M10691="PADD II","PADD 2",IF($M10691="PADD III","PADD 3",IF($M10691="PADD IV","PADD 4",IF($M10691="PADD V","PADD 5","")))))</f>
        <v/>
      </c>
      <c r="G10691" s="6">
        <f>IF(AND($H10691="ATMOS DISTILLATION",ISNUMBER(SEARCH("VPS",$I10691))=FALSE,LEFT($I10691,6)&lt;&gt;"VACUUM"),"CDU",IF($H10691="FLUID CAT CRACKING","FCC",IF(OR($H10691="HYDROCRACKING",$H10691="RESID_HYDROCRACKING"),"Hydrocracker",IF($H10691="REFORMING","Reformer",""))))</f>
        <v/>
      </c>
    </row>
    <row r="10692" spans="6:7">
      <c r="F10692" s="6">
        <f>IF($M10692="PADD I","PADD 1",IF($M10692="PADD II","PADD 2",IF($M10692="PADD III","PADD 3",IF($M10692="PADD IV","PADD 4",IF($M10692="PADD V","PADD 5","")))))</f>
        <v/>
      </c>
      <c r="G10692" s="6">
        <f>IF(AND($H10692="ATMOS DISTILLATION",ISNUMBER(SEARCH("VPS",$I10692))=FALSE,LEFT($I10692,6)&lt;&gt;"VACUUM"),"CDU",IF($H10692="FLUID CAT CRACKING","FCC",IF(OR($H10692="HYDROCRACKING",$H10692="RESID_HYDROCRACKING"),"Hydrocracker",IF($H10692="REFORMING","Reformer",""))))</f>
        <v/>
      </c>
    </row>
    <row r="10693" spans="6:7">
      <c r="F10693" s="6">
        <f>IF($M10693="PADD I","PADD 1",IF($M10693="PADD II","PADD 2",IF($M10693="PADD III","PADD 3",IF($M10693="PADD IV","PADD 4",IF($M10693="PADD V","PADD 5","")))))</f>
        <v/>
      </c>
      <c r="G10693" s="6">
        <f>IF(AND($H10693="ATMOS DISTILLATION",ISNUMBER(SEARCH("VPS",$I10693))=FALSE,LEFT($I10693,6)&lt;&gt;"VACUUM"),"CDU",IF($H10693="FLUID CAT CRACKING","FCC",IF(OR($H10693="HYDROCRACKING",$H10693="RESID_HYDROCRACKING"),"Hydrocracker",IF($H10693="REFORMING","Reformer",""))))</f>
        <v/>
      </c>
    </row>
    <row r="10694" spans="6:7">
      <c r="F10694" s="6">
        <f>IF($M10694="PADD I","PADD 1",IF($M10694="PADD II","PADD 2",IF($M10694="PADD III","PADD 3",IF($M10694="PADD IV","PADD 4",IF($M10694="PADD V","PADD 5","")))))</f>
        <v/>
      </c>
      <c r="G10694" s="6">
        <f>IF(AND($H10694="ATMOS DISTILLATION",ISNUMBER(SEARCH("VPS",$I10694))=FALSE,LEFT($I10694,6)&lt;&gt;"VACUUM"),"CDU",IF($H10694="FLUID CAT CRACKING","FCC",IF(OR($H10694="HYDROCRACKING",$H10694="RESID_HYDROCRACKING"),"Hydrocracker",IF($H10694="REFORMING","Reformer",""))))</f>
        <v/>
      </c>
    </row>
    <row r="10695" spans="6:7">
      <c r="F10695" s="6">
        <f>IF($M10695="PADD I","PADD 1",IF($M10695="PADD II","PADD 2",IF($M10695="PADD III","PADD 3",IF($M10695="PADD IV","PADD 4",IF($M10695="PADD V","PADD 5","")))))</f>
        <v/>
      </c>
      <c r="G10695" s="6">
        <f>IF(AND($H10695="ATMOS DISTILLATION",ISNUMBER(SEARCH("VPS",$I10695))=FALSE,LEFT($I10695,6)&lt;&gt;"VACUUM"),"CDU",IF($H10695="FLUID CAT CRACKING","FCC",IF(OR($H10695="HYDROCRACKING",$H10695="RESID_HYDROCRACKING"),"Hydrocracker",IF($H10695="REFORMING","Reformer",""))))</f>
        <v/>
      </c>
    </row>
    <row r="10696" spans="6:7">
      <c r="F10696" s="6">
        <f>IF($M10696="PADD I","PADD 1",IF($M10696="PADD II","PADD 2",IF($M10696="PADD III","PADD 3",IF($M10696="PADD IV","PADD 4",IF($M10696="PADD V","PADD 5","")))))</f>
        <v/>
      </c>
      <c r="G10696" s="6">
        <f>IF(AND($H10696="ATMOS DISTILLATION",ISNUMBER(SEARCH("VPS",$I10696))=FALSE,LEFT($I10696,6)&lt;&gt;"VACUUM"),"CDU",IF($H10696="FLUID CAT CRACKING","FCC",IF(OR($H10696="HYDROCRACKING",$H10696="RESID_HYDROCRACKING"),"Hydrocracker",IF($H10696="REFORMING","Reformer",""))))</f>
        <v/>
      </c>
    </row>
    <row r="10697" spans="6:7">
      <c r="F10697" s="6">
        <f>IF($M10697="PADD I","PADD 1",IF($M10697="PADD II","PADD 2",IF($M10697="PADD III","PADD 3",IF($M10697="PADD IV","PADD 4",IF($M10697="PADD V","PADD 5","")))))</f>
        <v/>
      </c>
      <c r="G10697" s="6">
        <f>IF(AND($H10697="ATMOS DISTILLATION",ISNUMBER(SEARCH("VPS",$I10697))=FALSE,LEFT($I10697,6)&lt;&gt;"VACUUM"),"CDU",IF($H10697="FLUID CAT CRACKING","FCC",IF(OR($H10697="HYDROCRACKING",$H10697="RESID_HYDROCRACKING"),"Hydrocracker",IF($H10697="REFORMING","Reformer",""))))</f>
        <v/>
      </c>
    </row>
    <row r="10698" spans="6:7">
      <c r="F10698" s="6">
        <f>IF($M10698="PADD I","PADD 1",IF($M10698="PADD II","PADD 2",IF($M10698="PADD III","PADD 3",IF($M10698="PADD IV","PADD 4",IF($M10698="PADD V","PADD 5","")))))</f>
        <v/>
      </c>
      <c r="G10698" s="6">
        <f>IF(AND($H10698="ATMOS DISTILLATION",ISNUMBER(SEARCH("VPS",$I10698))=FALSE,LEFT($I10698,6)&lt;&gt;"VACUUM"),"CDU",IF($H10698="FLUID CAT CRACKING","FCC",IF(OR($H10698="HYDROCRACKING",$H10698="RESID_HYDROCRACKING"),"Hydrocracker",IF($H10698="REFORMING","Reformer",""))))</f>
        <v/>
      </c>
    </row>
    <row r="10699" spans="6:7">
      <c r="F10699" s="6">
        <f>IF($M10699="PADD I","PADD 1",IF($M10699="PADD II","PADD 2",IF($M10699="PADD III","PADD 3",IF($M10699="PADD IV","PADD 4",IF($M10699="PADD V","PADD 5","")))))</f>
        <v/>
      </c>
      <c r="G10699" s="6">
        <f>IF(AND($H10699="ATMOS DISTILLATION",ISNUMBER(SEARCH("VPS",$I10699))=FALSE,LEFT($I10699,6)&lt;&gt;"VACUUM"),"CDU",IF($H10699="FLUID CAT CRACKING","FCC",IF(OR($H10699="HYDROCRACKING",$H10699="RESID_HYDROCRACKING"),"Hydrocracker",IF($H10699="REFORMING","Reformer",""))))</f>
        <v/>
      </c>
    </row>
    <row r="10700" spans="6:7">
      <c r="F10700" s="6">
        <f>IF($M10700="PADD I","PADD 1",IF($M10700="PADD II","PADD 2",IF($M10700="PADD III","PADD 3",IF($M10700="PADD IV","PADD 4",IF($M10700="PADD V","PADD 5","")))))</f>
        <v/>
      </c>
      <c r="G10700" s="6">
        <f>IF(AND($H10700="ATMOS DISTILLATION",ISNUMBER(SEARCH("VPS",$I10700))=FALSE,LEFT($I10700,6)&lt;&gt;"VACUUM"),"CDU",IF($H10700="FLUID CAT CRACKING","FCC",IF(OR($H10700="HYDROCRACKING",$H10700="RESID_HYDROCRACKING"),"Hydrocracker",IF($H10700="REFORMING","Reformer",""))))</f>
        <v/>
      </c>
    </row>
    <row r="10701" spans="6:7">
      <c r="F10701" s="6">
        <f>IF($M10701="PADD I","PADD 1",IF($M10701="PADD II","PADD 2",IF($M10701="PADD III","PADD 3",IF($M10701="PADD IV","PADD 4",IF($M10701="PADD V","PADD 5","")))))</f>
        <v/>
      </c>
      <c r="G10701" s="6">
        <f>IF(AND($H10701="ATMOS DISTILLATION",ISNUMBER(SEARCH("VPS",$I10701))=FALSE,LEFT($I10701,6)&lt;&gt;"VACUUM"),"CDU",IF($H10701="FLUID CAT CRACKING","FCC",IF(OR($H10701="HYDROCRACKING",$H10701="RESID_HYDROCRACKING"),"Hydrocracker",IF($H10701="REFORMING","Reformer",""))))</f>
        <v/>
      </c>
    </row>
    <row r="10702" spans="6:7">
      <c r="F10702" s="6">
        <f>IF($M10702="PADD I","PADD 1",IF($M10702="PADD II","PADD 2",IF($M10702="PADD III","PADD 3",IF($M10702="PADD IV","PADD 4",IF($M10702="PADD V","PADD 5","")))))</f>
        <v/>
      </c>
      <c r="G10702" s="6">
        <f>IF(AND($H10702="ATMOS DISTILLATION",ISNUMBER(SEARCH("VPS",$I10702))=FALSE,LEFT($I10702,6)&lt;&gt;"VACUUM"),"CDU",IF($H10702="FLUID CAT CRACKING","FCC",IF(OR($H10702="HYDROCRACKING",$H10702="RESID_HYDROCRACKING"),"Hydrocracker",IF($H10702="REFORMING","Reformer",""))))</f>
        <v/>
      </c>
    </row>
    <row r="10703" spans="6:7">
      <c r="F10703" s="6">
        <f>IF($M10703="PADD I","PADD 1",IF($M10703="PADD II","PADD 2",IF($M10703="PADD III","PADD 3",IF($M10703="PADD IV","PADD 4",IF($M10703="PADD V","PADD 5","")))))</f>
        <v/>
      </c>
      <c r="G10703" s="6">
        <f>IF(AND($H10703="ATMOS DISTILLATION",ISNUMBER(SEARCH("VPS",$I10703))=FALSE,LEFT($I10703,6)&lt;&gt;"VACUUM"),"CDU",IF($H10703="FLUID CAT CRACKING","FCC",IF(OR($H10703="HYDROCRACKING",$H10703="RESID_HYDROCRACKING"),"Hydrocracker",IF($H10703="REFORMING","Reformer",""))))</f>
        <v/>
      </c>
    </row>
    <row r="10704" spans="6:7">
      <c r="F10704" s="6">
        <f>IF($M10704="PADD I","PADD 1",IF($M10704="PADD II","PADD 2",IF($M10704="PADD III","PADD 3",IF($M10704="PADD IV","PADD 4",IF($M10704="PADD V","PADD 5","")))))</f>
        <v/>
      </c>
      <c r="G10704" s="6">
        <f>IF(AND($H10704="ATMOS DISTILLATION",ISNUMBER(SEARCH("VPS",$I10704))=FALSE,LEFT($I10704,6)&lt;&gt;"VACUUM"),"CDU",IF($H10704="FLUID CAT CRACKING","FCC",IF(OR($H10704="HYDROCRACKING",$H10704="RESID_HYDROCRACKING"),"Hydrocracker",IF($H10704="REFORMING","Reformer",""))))</f>
        <v/>
      </c>
    </row>
    <row r="10705" spans="6:7">
      <c r="F10705" s="6">
        <f>IF($M10705="PADD I","PADD 1",IF($M10705="PADD II","PADD 2",IF($M10705="PADD III","PADD 3",IF($M10705="PADD IV","PADD 4",IF($M10705="PADD V","PADD 5","")))))</f>
        <v/>
      </c>
      <c r="G10705" s="6">
        <f>IF(AND($H10705="ATMOS DISTILLATION",ISNUMBER(SEARCH("VPS",$I10705))=FALSE,LEFT($I10705,6)&lt;&gt;"VACUUM"),"CDU",IF($H10705="FLUID CAT CRACKING","FCC",IF(OR($H10705="HYDROCRACKING",$H10705="RESID_HYDROCRACKING"),"Hydrocracker",IF($H10705="REFORMING","Reformer",""))))</f>
        <v/>
      </c>
    </row>
    <row r="10706" spans="6:7">
      <c r="F10706" s="6">
        <f>IF($M10706="PADD I","PADD 1",IF($M10706="PADD II","PADD 2",IF($M10706="PADD III","PADD 3",IF($M10706="PADD IV","PADD 4",IF($M10706="PADD V","PADD 5","")))))</f>
        <v/>
      </c>
      <c r="G10706" s="6">
        <f>IF(AND($H10706="ATMOS DISTILLATION",ISNUMBER(SEARCH("VPS",$I10706))=FALSE,LEFT($I10706,6)&lt;&gt;"VACUUM"),"CDU",IF($H10706="FLUID CAT CRACKING","FCC",IF(OR($H10706="HYDROCRACKING",$H10706="RESID_HYDROCRACKING"),"Hydrocracker",IF($H10706="REFORMING","Reformer",""))))</f>
        <v/>
      </c>
    </row>
    <row r="10707" spans="6:7">
      <c r="F10707" s="6">
        <f>IF($M10707="PADD I","PADD 1",IF($M10707="PADD II","PADD 2",IF($M10707="PADD III","PADD 3",IF($M10707="PADD IV","PADD 4",IF($M10707="PADD V","PADD 5","")))))</f>
        <v/>
      </c>
      <c r="G10707" s="6">
        <f>IF(AND($H10707="ATMOS DISTILLATION",ISNUMBER(SEARCH("VPS",$I10707))=FALSE,LEFT($I10707,6)&lt;&gt;"VACUUM"),"CDU",IF($H10707="FLUID CAT CRACKING","FCC",IF(OR($H10707="HYDROCRACKING",$H10707="RESID_HYDROCRACKING"),"Hydrocracker",IF($H10707="REFORMING","Reformer",""))))</f>
        <v/>
      </c>
    </row>
    <row r="10708" spans="6:7">
      <c r="F10708" s="6">
        <f>IF($M10708="PADD I","PADD 1",IF($M10708="PADD II","PADD 2",IF($M10708="PADD III","PADD 3",IF($M10708="PADD IV","PADD 4",IF($M10708="PADD V","PADD 5","")))))</f>
        <v/>
      </c>
      <c r="G10708" s="6">
        <f>IF(AND($H10708="ATMOS DISTILLATION",ISNUMBER(SEARCH("VPS",$I10708))=FALSE,LEFT($I10708,6)&lt;&gt;"VACUUM"),"CDU",IF($H10708="FLUID CAT CRACKING","FCC",IF(OR($H10708="HYDROCRACKING",$H10708="RESID_HYDROCRACKING"),"Hydrocracker",IF($H10708="REFORMING","Reformer",""))))</f>
        <v/>
      </c>
    </row>
    <row r="10709" spans="6:7">
      <c r="F10709" s="6">
        <f>IF($M10709="PADD I","PADD 1",IF($M10709="PADD II","PADD 2",IF($M10709="PADD III","PADD 3",IF($M10709="PADD IV","PADD 4",IF($M10709="PADD V","PADD 5","")))))</f>
        <v/>
      </c>
      <c r="G10709" s="6">
        <f>IF(AND($H10709="ATMOS DISTILLATION",ISNUMBER(SEARCH("VPS",$I10709))=FALSE,LEFT($I10709,6)&lt;&gt;"VACUUM"),"CDU",IF($H10709="FLUID CAT CRACKING","FCC",IF(OR($H10709="HYDROCRACKING",$H10709="RESID_HYDROCRACKING"),"Hydrocracker",IF($H10709="REFORMING","Reformer",""))))</f>
        <v/>
      </c>
    </row>
    <row r="10710" spans="6:7">
      <c r="F10710" s="6">
        <f>IF($M10710="PADD I","PADD 1",IF($M10710="PADD II","PADD 2",IF($M10710="PADD III","PADD 3",IF($M10710="PADD IV","PADD 4",IF($M10710="PADD V","PADD 5","")))))</f>
        <v/>
      </c>
      <c r="G10710" s="6">
        <f>IF(AND($H10710="ATMOS DISTILLATION",ISNUMBER(SEARCH("VPS",$I10710))=FALSE,LEFT($I10710,6)&lt;&gt;"VACUUM"),"CDU",IF($H10710="FLUID CAT CRACKING","FCC",IF(OR($H10710="HYDROCRACKING",$H10710="RESID_HYDROCRACKING"),"Hydrocracker",IF($H10710="REFORMING","Reformer",""))))</f>
        <v/>
      </c>
    </row>
    <row r="10711" spans="6:7">
      <c r="F10711" s="6">
        <f>IF($M10711="PADD I","PADD 1",IF($M10711="PADD II","PADD 2",IF($M10711="PADD III","PADD 3",IF($M10711="PADD IV","PADD 4",IF($M10711="PADD V","PADD 5","")))))</f>
        <v/>
      </c>
      <c r="G10711" s="6">
        <f>IF(AND($H10711="ATMOS DISTILLATION",ISNUMBER(SEARCH("VPS",$I10711))=FALSE,LEFT($I10711,6)&lt;&gt;"VACUUM"),"CDU",IF($H10711="FLUID CAT CRACKING","FCC",IF(OR($H10711="HYDROCRACKING",$H10711="RESID_HYDROCRACKING"),"Hydrocracker",IF($H10711="REFORMING","Reformer",""))))</f>
        <v/>
      </c>
    </row>
    <row r="10712" spans="6:7">
      <c r="F10712" s="6">
        <f>IF($M10712="PADD I","PADD 1",IF($M10712="PADD II","PADD 2",IF($M10712="PADD III","PADD 3",IF($M10712="PADD IV","PADD 4",IF($M10712="PADD V","PADD 5","")))))</f>
        <v/>
      </c>
      <c r="G10712" s="6">
        <f>IF(AND($H10712="ATMOS DISTILLATION",ISNUMBER(SEARCH("VPS",$I10712))=FALSE,LEFT($I10712,6)&lt;&gt;"VACUUM"),"CDU",IF($H10712="FLUID CAT CRACKING","FCC",IF(OR($H10712="HYDROCRACKING",$H10712="RESID_HYDROCRACKING"),"Hydrocracker",IF($H10712="REFORMING","Reformer",""))))</f>
        <v/>
      </c>
    </row>
    <row r="10713" spans="6:7">
      <c r="F10713" s="6">
        <f>IF($M10713="PADD I","PADD 1",IF($M10713="PADD II","PADD 2",IF($M10713="PADD III","PADD 3",IF($M10713="PADD IV","PADD 4",IF($M10713="PADD V","PADD 5","")))))</f>
        <v/>
      </c>
      <c r="G10713" s="6">
        <f>IF(AND($H10713="ATMOS DISTILLATION",ISNUMBER(SEARCH("VPS",$I10713))=FALSE,LEFT($I10713,6)&lt;&gt;"VACUUM"),"CDU",IF($H10713="FLUID CAT CRACKING","FCC",IF(OR($H10713="HYDROCRACKING",$H10713="RESID_HYDROCRACKING"),"Hydrocracker",IF($H10713="REFORMING","Reformer",""))))</f>
        <v/>
      </c>
    </row>
    <row r="10714" spans="6:7">
      <c r="F10714" s="6">
        <f>IF($M10714="PADD I","PADD 1",IF($M10714="PADD II","PADD 2",IF($M10714="PADD III","PADD 3",IF($M10714="PADD IV","PADD 4",IF($M10714="PADD V","PADD 5","")))))</f>
        <v/>
      </c>
      <c r="G10714" s="6">
        <f>IF(AND($H10714="ATMOS DISTILLATION",ISNUMBER(SEARCH("VPS",$I10714))=FALSE,LEFT($I10714,6)&lt;&gt;"VACUUM"),"CDU",IF($H10714="FLUID CAT CRACKING","FCC",IF(OR($H10714="HYDROCRACKING",$H10714="RESID_HYDROCRACKING"),"Hydrocracker",IF($H10714="REFORMING","Reformer",""))))</f>
        <v/>
      </c>
    </row>
    <row r="10715" spans="6:7">
      <c r="F10715" s="6">
        <f>IF($M10715="PADD I","PADD 1",IF($M10715="PADD II","PADD 2",IF($M10715="PADD III","PADD 3",IF($M10715="PADD IV","PADD 4",IF($M10715="PADD V","PADD 5","")))))</f>
        <v/>
      </c>
      <c r="G10715" s="6">
        <f>IF(AND($H10715="ATMOS DISTILLATION",ISNUMBER(SEARCH("VPS",$I10715))=FALSE,LEFT($I10715,6)&lt;&gt;"VACUUM"),"CDU",IF($H10715="FLUID CAT CRACKING","FCC",IF(OR($H10715="HYDROCRACKING",$H10715="RESID_HYDROCRACKING"),"Hydrocracker",IF($H10715="REFORMING","Reformer",""))))</f>
        <v/>
      </c>
    </row>
    <row r="10716" spans="6:7">
      <c r="F10716" s="6">
        <f>IF($M10716="PADD I","PADD 1",IF($M10716="PADD II","PADD 2",IF($M10716="PADD III","PADD 3",IF($M10716="PADD IV","PADD 4",IF($M10716="PADD V","PADD 5","")))))</f>
        <v/>
      </c>
      <c r="G10716" s="6">
        <f>IF(AND($H10716="ATMOS DISTILLATION",ISNUMBER(SEARCH("VPS",$I10716))=FALSE,LEFT($I10716,6)&lt;&gt;"VACUUM"),"CDU",IF($H10716="FLUID CAT CRACKING","FCC",IF(OR($H10716="HYDROCRACKING",$H10716="RESID_HYDROCRACKING"),"Hydrocracker",IF($H10716="REFORMING","Reformer",""))))</f>
        <v/>
      </c>
    </row>
    <row r="10717" spans="6:7">
      <c r="F10717" s="6">
        <f>IF($M10717="PADD I","PADD 1",IF($M10717="PADD II","PADD 2",IF($M10717="PADD III","PADD 3",IF($M10717="PADD IV","PADD 4",IF($M10717="PADD V","PADD 5","")))))</f>
        <v/>
      </c>
      <c r="G10717" s="6">
        <f>IF(AND($H10717="ATMOS DISTILLATION",ISNUMBER(SEARCH("VPS",$I10717))=FALSE,LEFT($I10717,6)&lt;&gt;"VACUUM"),"CDU",IF($H10717="FLUID CAT CRACKING","FCC",IF(OR($H10717="HYDROCRACKING",$H10717="RESID_HYDROCRACKING"),"Hydrocracker",IF($H10717="REFORMING","Reformer",""))))</f>
        <v/>
      </c>
    </row>
    <row r="10718" spans="6:7">
      <c r="F10718" s="6">
        <f>IF($M10718="PADD I","PADD 1",IF($M10718="PADD II","PADD 2",IF($M10718="PADD III","PADD 3",IF($M10718="PADD IV","PADD 4",IF($M10718="PADD V","PADD 5","")))))</f>
        <v/>
      </c>
      <c r="G10718" s="6">
        <f>IF(AND($H10718="ATMOS DISTILLATION",ISNUMBER(SEARCH("VPS",$I10718))=FALSE,LEFT($I10718,6)&lt;&gt;"VACUUM"),"CDU",IF($H10718="FLUID CAT CRACKING","FCC",IF(OR($H10718="HYDROCRACKING",$H10718="RESID_HYDROCRACKING"),"Hydrocracker",IF($H10718="REFORMING","Reformer",""))))</f>
        <v/>
      </c>
    </row>
    <row r="10719" spans="6:7">
      <c r="F10719" s="6">
        <f>IF($M10719="PADD I","PADD 1",IF($M10719="PADD II","PADD 2",IF($M10719="PADD III","PADD 3",IF($M10719="PADD IV","PADD 4",IF($M10719="PADD V","PADD 5","")))))</f>
        <v/>
      </c>
      <c r="G10719" s="6">
        <f>IF(AND($H10719="ATMOS DISTILLATION",ISNUMBER(SEARCH("VPS",$I10719))=FALSE,LEFT($I10719,6)&lt;&gt;"VACUUM"),"CDU",IF($H10719="FLUID CAT CRACKING","FCC",IF(OR($H10719="HYDROCRACKING",$H10719="RESID_HYDROCRACKING"),"Hydrocracker",IF($H10719="REFORMING","Reformer",""))))</f>
        <v/>
      </c>
    </row>
    <row r="10720" spans="6:7">
      <c r="F10720" s="6">
        <f>IF($M10720="PADD I","PADD 1",IF($M10720="PADD II","PADD 2",IF($M10720="PADD III","PADD 3",IF($M10720="PADD IV","PADD 4",IF($M10720="PADD V","PADD 5","")))))</f>
        <v/>
      </c>
      <c r="G10720" s="6">
        <f>IF(AND($H10720="ATMOS DISTILLATION",ISNUMBER(SEARCH("VPS",$I10720))=FALSE,LEFT($I10720,6)&lt;&gt;"VACUUM"),"CDU",IF($H10720="FLUID CAT CRACKING","FCC",IF(OR($H10720="HYDROCRACKING",$H10720="RESID_HYDROCRACKING"),"Hydrocracker",IF($H10720="REFORMING","Reformer",""))))</f>
        <v/>
      </c>
    </row>
    <row r="10721" spans="6:7">
      <c r="F10721" s="6">
        <f>IF($M10721="PADD I","PADD 1",IF($M10721="PADD II","PADD 2",IF($M10721="PADD III","PADD 3",IF($M10721="PADD IV","PADD 4",IF($M10721="PADD V","PADD 5","")))))</f>
        <v/>
      </c>
      <c r="G10721" s="6">
        <f>IF(AND($H10721="ATMOS DISTILLATION",ISNUMBER(SEARCH("VPS",$I10721))=FALSE,LEFT($I10721,6)&lt;&gt;"VACUUM"),"CDU",IF($H10721="FLUID CAT CRACKING","FCC",IF(OR($H10721="HYDROCRACKING",$H10721="RESID_HYDROCRACKING"),"Hydrocracker",IF($H10721="REFORMING","Reformer",""))))</f>
        <v/>
      </c>
    </row>
    <row r="10722" spans="6:7">
      <c r="F10722" s="6">
        <f>IF($M10722="PADD I","PADD 1",IF($M10722="PADD II","PADD 2",IF($M10722="PADD III","PADD 3",IF($M10722="PADD IV","PADD 4",IF($M10722="PADD V","PADD 5","")))))</f>
        <v/>
      </c>
      <c r="G10722" s="6">
        <f>IF(AND($H10722="ATMOS DISTILLATION",ISNUMBER(SEARCH("VPS",$I10722))=FALSE,LEFT($I10722,6)&lt;&gt;"VACUUM"),"CDU",IF($H10722="FLUID CAT CRACKING","FCC",IF(OR($H10722="HYDROCRACKING",$H10722="RESID_HYDROCRACKING"),"Hydrocracker",IF($H10722="REFORMING","Reformer",""))))</f>
        <v/>
      </c>
    </row>
    <row r="10723" spans="6:7">
      <c r="F10723" s="6">
        <f>IF($M10723="PADD I","PADD 1",IF($M10723="PADD II","PADD 2",IF($M10723="PADD III","PADD 3",IF($M10723="PADD IV","PADD 4",IF($M10723="PADD V","PADD 5","")))))</f>
        <v/>
      </c>
      <c r="G10723" s="6">
        <f>IF(AND($H10723="ATMOS DISTILLATION",ISNUMBER(SEARCH("VPS",$I10723))=FALSE,LEFT($I10723,6)&lt;&gt;"VACUUM"),"CDU",IF($H10723="FLUID CAT CRACKING","FCC",IF(OR($H10723="HYDROCRACKING",$H10723="RESID_HYDROCRACKING"),"Hydrocracker",IF($H10723="REFORMING","Reformer",""))))</f>
        <v/>
      </c>
    </row>
    <row r="10724" spans="6:7">
      <c r="F10724" s="6">
        <f>IF($M10724="PADD I","PADD 1",IF($M10724="PADD II","PADD 2",IF($M10724="PADD III","PADD 3",IF($M10724="PADD IV","PADD 4",IF($M10724="PADD V","PADD 5","")))))</f>
        <v/>
      </c>
      <c r="G10724" s="6">
        <f>IF(AND($H10724="ATMOS DISTILLATION",ISNUMBER(SEARCH("VPS",$I10724))=FALSE,LEFT($I10724,6)&lt;&gt;"VACUUM"),"CDU",IF($H10724="FLUID CAT CRACKING","FCC",IF(OR($H10724="HYDROCRACKING",$H10724="RESID_HYDROCRACKING"),"Hydrocracker",IF($H10724="REFORMING","Reformer",""))))</f>
        <v/>
      </c>
    </row>
    <row r="10725" spans="6:7">
      <c r="F10725" s="6">
        <f>IF($M10725="PADD I","PADD 1",IF($M10725="PADD II","PADD 2",IF($M10725="PADD III","PADD 3",IF($M10725="PADD IV","PADD 4",IF($M10725="PADD V","PADD 5","")))))</f>
        <v/>
      </c>
      <c r="G10725" s="6">
        <f>IF(AND($H10725="ATMOS DISTILLATION",ISNUMBER(SEARCH("VPS",$I10725))=FALSE,LEFT($I10725,6)&lt;&gt;"VACUUM"),"CDU",IF($H10725="FLUID CAT CRACKING","FCC",IF(OR($H10725="HYDROCRACKING",$H10725="RESID_HYDROCRACKING"),"Hydrocracker",IF($H10725="REFORMING","Reformer",""))))</f>
        <v/>
      </c>
    </row>
    <row r="10726" spans="6:7">
      <c r="F10726" s="6">
        <f>IF($M10726="PADD I","PADD 1",IF($M10726="PADD II","PADD 2",IF($M10726="PADD III","PADD 3",IF($M10726="PADD IV","PADD 4",IF($M10726="PADD V","PADD 5","")))))</f>
        <v/>
      </c>
      <c r="G10726" s="6">
        <f>IF(AND($H10726="ATMOS DISTILLATION",ISNUMBER(SEARCH("VPS",$I10726))=FALSE,LEFT($I10726,6)&lt;&gt;"VACUUM"),"CDU",IF($H10726="FLUID CAT CRACKING","FCC",IF(OR($H10726="HYDROCRACKING",$H10726="RESID_HYDROCRACKING"),"Hydrocracker",IF($H10726="REFORMING","Reformer",""))))</f>
        <v/>
      </c>
    </row>
    <row r="10727" spans="6:7">
      <c r="F10727" s="6">
        <f>IF($M10727="PADD I","PADD 1",IF($M10727="PADD II","PADD 2",IF($M10727="PADD III","PADD 3",IF($M10727="PADD IV","PADD 4",IF($M10727="PADD V","PADD 5","")))))</f>
        <v/>
      </c>
      <c r="G10727" s="6">
        <f>IF(AND($H10727="ATMOS DISTILLATION",ISNUMBER(SEARCH("VPS",$I10727))=FALSE,LEFT($I10727,6)&lt;&gt;"VACUUM"),"CDU",IF($H10727="FLUID CAT CRACKING","FCC",IF(OR($H10727="HYDROCRACKING",$H10727="RESID_HYDROCRACKING"),"Hydrocracker",IF($H10727="REFORMING","Reformer",""))))</f>
        <v/>
      </c>
    </row>
    <row r="10728" spans="6:7">
      <c r="F10728" s="6">
        <f>IF($M10728="PADD I","PADD 1",IF($M10728="PADD II","PADD 2",IF($M10728="PADD III","PADD 3",IF($M10728="PADD IV","PADD 4",IF($M10728="PADD V","PADD 5","")))))</f>
        <v/>
      </c>
      <c r="G10728" s="6">
        <f>IF(AND($H10728="ATMOS DISTILLATION",ISNUMBER(SEARCH("VPS",$I10728))=FALSE,LEFT($I10728,6)&lt;&gt;"VACUUM"),"CDU",IF($H10728="FLUID CAT CRACKING","FCC",IF(OR($H10728="HYDROCRACKING",$H10728="RESID_HYDROCRACKING"),"Hydrocracker",IF($H10728="REFORMING","Reformer",""))))</f>
        <v/>
      </c>
    </row>
    <row r="10729" spans="6:7">
      <c r="F10729" s="6">
        <f>IF($M10729="PADD I","PADD 1",IF($M10729="PADD II","PADD 2",IF($M10729="PADD III","PADD 3",IF($M10729="PADD IV","PADD 4",IF($M10729="PADD V","PADD 5","")))))</f>
        <v/>
      </c>
      <c r="G10729" s="6">
        <f>IF(AND($H10729="ATMOS DISTILLATION",ISNUMBER(SEARCH("VPS",$I10729))=FALSE,LEFT($I10729,6)&lt;&gt;"VACUUM"),"CDU",IF($H10729="FLUID CAT CRACKING","FCC",IF(OR($H10729="HYDROCRACKING",$H10729="RESID_HYDROCRACKING"),"Hydrocracker",IF($H10729="REFORMING","Reformer",""))))</f>
        <v/>
      </c>
    </row>
    <row r="10730" spans="6:7">
      <c r="F10730" s="6">
        <f>IF($M10730="PADD I","PADD 1",IF($M10730="PADD II","PADD 2",IF($M10730="PADD III","PADD 3",IF($M10730="PADD IV","PADD 4",IF($M10730="PADD V","PADD 5","")))))</f>
        <v/>
      </c>
      <c r="G10730" s="6">
        <f>IF(AND($H10730="ATMOS DISTILLATION",ISNUMBER(SEARCH("VPS",$I10730))=FALSE,LEFT($I10730,6)&lt;&gt;"VACUUM"),"CDU",IF($H10730="FLUID CAT CRACKING","FCC",IF(OR($H10730="HYDROCRACKING",$H10730="RESID_HYDROCRACKING"),"Hydrocracker",IF($H10730="REFORMING","Reformer",""))))</f>
        <v/>
      </c>
    </row>
    <row r="10731" spans="6:7">
      <c r="F10731" s="6">
        <f>IF($M10731="PADD I","PADD 1",IF($M10731="PADD II","PADD 2",IF($M10731="PADD III","PADD 3",IF($M10731="PADD IV","PADD 4",IF($M10731="PADD V","PADD 5","")))))</f>
        <v/>
      </c>
      <c r="G10731" s="6">
        <f>IF(AND($H10731="ATMOS DISTILLATION",ISNUMBER(SEARCH("VPS",$I10731))=FALSE,LEFT($I10731,6)&lt;&gt;"VACUUM"),"CDU",IF($H10731="FLUID CAT CRACKING","FCC",IF(OR($H10731="HYDROCRACKING",$H10731="RESID_HYDROCRACKING"),"Hydrocracker",IF($H10731="REFORMING","Reformer",""))))</f>
        <v/>
      </c>
    </row>
    <row r="10732" spans="6:7">
      <c r="F10732" s="6">
        <f>IF($M10732="PADD I","PADD 1",IF($M10732="PADD II","PADD 2",IF($M10732="PADD III","PADD 3",IF($M10732="PADD IV","PADD 4",IF($M10732="PADD V","PADD 5","")))))</f>
        <v/>
      </c>
      <c r="G10732" s="6">
        <f>IF(AND($H10732="ATMOS DISTILLATION",ISNUMBER(SEARCH("VPS",$I10732))=FALSE,LEFT($I10732,6)&lt;&gt;"VACUUM"),"CDU",IF($H10732="FLUID CAT CRACKING","FCC",IF(OR($H10732="HYDROCRACKING",$H10732="RESID_HYDROCRACKING"),"Hydrocracker",IF($H10732="REFORMING","Reformer",""))))</f>
        <v/>
      </c>
    </row>
    <row r="10733" spans="6:7">
      <c r="F10733" s="6">
        <f>IF($M10733="PADD I","PADD 1",IF($M10733="PADD II","PADD 2",IF($M10733="PADD III","PADD 3",IF($M10733="PADD IV","PADD 4",IF($M10733="PADD V","PADD 5","")))))</f>
        <v/>
      </c>
      <c r="G10733" s="6">
        <f>IF(AND($H10733="ATMOS DISTILLATION",ISNUMBER(SEARCH("VPS",$I10733))=FALSE,LEFT($I10733,6)&lt;&gt;"VACUUM"),"CDU",IF($H10733="FLUID CAT CRACKING","FCC",IF(OR($H10733="HYDROCRACKING",$H10733="RESID_HYDROCRACKING"),"Hydrocracker",IF($H10733="REFORMING","Reformer",""))))</f>
        <v/>
      </c>
    </row>
    <row r="10734" spans="6:7">
      <c r="F10734" s="6">
        <f>IF($M10734="PADD I","PADD 1",IF($M10734="PADD II","PADD 2",IF($M10734="PADD III","PADD 3",IF($M10734="PADD IV","PADD 4",IF($M10734="PADD V","PADD 5","")))))</f>
        <v/>
      </c>
      <c r="G10734" s="6">
        <f>IF(AND($H10734="ATMOS DISTILLATION",ISNUMBER(SEARCH("VPS",$I10734))=FALSE,LEFT($I10734,6)&lt;&gt;"VACUUM"),"CDU",IF($H10734="FLUID CAT CRACKING","FCC",IF(OR($H10734="HYDROCRACKING",$H10734="RESID_HYDROCRACKING"),"Hydrocracker",IF($H10734="REFORMING","Reformer",""))))</f>
        <v/>
      </c>
    </row>
    <row r="10735" spans="6:7">
      <c r="F10735" s="6">
        <f>IF($M10735="PADD I","PADD 1",IF($M10735="PADD II","PADD 2",IF($M10735="PADD III","PADD 3",IF($M10735="PADD IV","PADD 4",IF($M10735="PADD V","PADD 5","")))))</f>
        <v/>
      </c>
      <c r="G10735" s="6">
        <f>IF(AND($H10735="ATMOS DISTILLATION",ISNUMBER(SEARCH("VPS",$I10735))=FALSE,LEFT($I10735,6)&lt;&gt;"VACUUM"),"CDU",IF($H10735="FLUID CAT CRACKING","FCC",IF(OR($H10735="HYDROCRACKING",$H10735="RESID_HYDROCRACKING"),"Hydrocracker",IF($H10735="REFORMING","Reformer",""))))</f>
        <v/>
      </c>
    </row>
    <row r="10736" spans="6:7">
      <c r="F10736" s="6">
        <f>IF($M10736="PADD I","PADD 1",IF($M10736="PADD II","PADD 2",IF($M10736="PADD III","PADD 3",IF($M10736="PADD IV","PADD 4",IF($M10736="PADD V","PADD 5","")))))</f>
        <v/>
      </c>
      <c r="G10736" s="6">
        <f>IF(AND($H10736="ATMOS DISTILLATION",ISNUMBER(SEARCH("VPS",$I10736))=FALSE,LEFT($I10736,6)&lt;&gt;"VACUUM"),"CDU",IF($H10736="FLUID CAT CRACKING","FCC",IF(OR($H10736="HYDROCRACKING",$H10736="RESID_HYDROCRACKING"),"Hydrocracker",IF($H10736="REFORMING","Reformer",""))))</f>
        <v/>
      </c>
    </row>
    <row r="10737" spans="6:7">
      <c r="F10737" s="6">
        <f>IF($M10737="PADD I","PADD 1",IF($M10737="PADD II","PADD 2",IF($M10737="PADD III","PADD 3",IF($M10737="PADD IV","PADD 4",IF($M10737="PADD V","PADD 5","")))))</f>
        <v/>
      </c>
      <c r="G10737" s="6">
        <f>IF(AND($H10737="ATMOS DISTILLATION",ISNUMBER(SEARCH("VPS",$I10737))=FALSE,LEFT($I10737,6)&lt;&gt;"VACUUM"),"CDU",IF($H10737="FLUID CAT CRACKING","FCC",IF(OR($H10737="HYDROCRACKING",$H10737="RESID_HYDROCRACKING"),"Hydrocracker",IF($H10737="REFORMING","Reformer",""))))</f>
        <v/>
      </c>
    </row>
    <row r="10738" spans="6:7">
      <c r="F10738" s="6">
        <f>IF($M10738="PADD I","PADD 1",IF($M10738="PADD II","PADD 2",IF($M10738="PADD III","PADD 3",IF($M10738="PADD IV","PADD 4",IF($M10738="PADD V","PADD 5","")))))</f>
        <v/>
      </c>
      <c r="G10738" s="6">
        <f>IF(AND($H10738="ATMOS DISTILLATION",ISNUMBER(SEARCH("VPS",$I10738))=FALSE,LEFT($I10738,6)&lt;&gt;"VACUUM"),"CDU",IF($H10738="FLUID CAT CRACKING","FCC",IF(OR($H10738="HYDROCRACKING",$H10738="RESID_HYDROCRACKING"),"Hydrocracker",IF($H10738="REFORMING","Reformer",""))))</f>
        <v/>
      </c>
    </row>
    <row r="10739" spans="6:7">
      <c r="F10739" s="6">
        <f>IF($M10739="PADD I","PADD 1",IF($M10739="PADD II","PADD 2",IF($M10739="PADD III","PADD 3",IF($M10739="PADD IV","PADD 4",IF($M10739="PADD V","PADD 5","")))))</f>
        <v/>
      </c>
      <c r="G10739" s="6">
        <f>IF(AND($H10739="ATMOS DISTILLATION",ISNUMBER(SEARCH("VPS",$I10739))=FALSE,LEFT($I10739,6)&lt;&gt;"VACUUM"),"CDU",IF($H10739="FLUID CAT CRACKING","FCC",IF(OR($H10739="HYDROCRACKING",$H10739="RESID_HYDROCRACKING"),"Hydrocracker",IF($H10739="REFORMING","Reformer",""))))</f>
        <v/>
      </c>
    </row>
    <row r="10740" spans="6:7">
      <c r="F10740" s="6">
        <f>IF($M10740="PADD I","PADD 1",IF($M10740="PADD II","PADD 2",IF($M10740="PADD III","PADD 3",IF($M10740="PADD IV","PADD 4",IF($M10740="PADD V","PADD 5","")))))</f>
        <v/>
      </c>
      <c r="G10740" s="6">
        <f>IF(AND($H10740="ATMOS DISTILLATION",ISNUMBER(SEARCH("VPS",$I10740))=FALSE,LEFT($I10740,6)&lt;&gt;"VACUUM"),"CDU",IF($H10740="FLUID CAT CRACKING","FCC",IF(OR($H10740="HYDROCRACKING",$H10740="RESID_HYDROCRACKING"),"Hydrocracker",IF($H10740="REFORMING","Reformer",""))))</f>
        <v/>
      </c>
    </row>
    <row r="10741" spans="6:7">
      <c r="F10741" s="6">
        <f>IF($M10741="PADD I","PADD 1",IF($M10741="PADD II","PADD 2",IF($M10741="PADD III","PADD 3",IF($M10741="PADD IV","PADD 4",IF($M10741="PADD V","PADD 5","")))))</f>
        <v/>
      </c>
      <c r="G10741" s="6">
        <f>IF(AND($H10741="ATMOS DISTILLATION",ISNUMBER(SEARCH("VPS",$I10741))=FALSE,LEFT($I10741,6)&lt;&gt;"VACUUM"),"CDU",IF($H10741="FLUID CAT CRACKING","FCC",IF(OR($H10741="HYDROCRACKING",$H10741="RESID_HYDROCRACKING"),"Hydrocracker",IF($H10741="REFORMING","Reformer",""))))</f>
        <v/>
      </c>
    </row>
    <row r="10742" spans="6:7">
      <c r="F10742" s="6">
        <f>IF($M10742="PADD I","PADD 1",IF($M10742="PADD II","PADD 2",IF($M10742="PADD III","PADD 3",IF($M10742="PADD IV","PADD 4",IF($M10742="PADD V","PADD 5","")))))</f>
        <v/>
      </c>
      <c r="G10742" s="6">
        <f>IF(AND($H10742="ATMOS DISTILLATION",ISNUMBER(SEARCH("VPS",$I10742))=FALSE,LEFT($I10742,6)&lt;&gt;"VACUUM"),"CDU",IF($H10742="FLUID CAT CRACKING","FCC",IF(OR($H10742="HYDROCRACKING",$H10742="RESID_HYDROCRACKING"),"Hydrocracker",IF($H10742="REFORMING","Reformer",""))))</f>
        <v/>
      </c>
    </row>
    <row r="10743" spans="6:7">
      <c r="F10743" s="6">
        <f>IF($M10743="PADD I","PADD 1",IF($M10743="PADD II","PADD 2",IF($M10743="PADD III","PADD 3",IF($M10743="PADD IV","PADD 4",IF($M10743="PADD V","PADD 5","")))))</f>
        <v/>
      </c>
      <c r="G10743" s="6">
        <f>IF(AND($H10743="ATMOS DISTILLATION",ISNUMBER(SEARCH("VPS",$I10743))=FALSE,LEFT($I10743,6)&lt;&gt;"VACUUM"),"CDU",IF($H10743="FLUID CAT CRACKING","FCC",IF(OR($H10743="HYDROCRACKING",$H10743="RESID_HYDROCRACKING"),"Hydrocracker",IF($H10743="REFORMING","Reformer",""))))</f>
        <v/>
      </c>
    </row>
    <row r="10744" spans="6:7">
      <c r="F10744" s="6">
        <f>IF($M10744="PADD I","PADD 1",IF($M10744="PADD II","PADD 2",IF($M10744="PADD III","PADD 3",IF($M10744="PADD IV","PADD 4",IF($M10744="PADD V","PADD 5","")))))</f>
        <v/>
      </c>
      <c r="G10744" s="6">
        <f>IF(AND($H10744="ATMOS DISTILLATION",ISNUMBER(SEARCH("VPS",$I10744))=FALSE,LEFT($I10744,6)&lt;&gt;"VACUUM"),"CDU",IF($H10744="FLUID CAT CRACKING","FCC",IF(OR($H10744="HYDROCRACKING",$H10744="RESID_HYDROCRACKING"),"Hydrocracker",IF($H10744="REFORMING","Reformer",""))))</f>
        <v/>
      </c>
    </row>
    <row r="10745" spans="6:7">
      <c r="F10745" s="6">
        <f>IF($M10745="PADD I","PADD 1",IF($M10745="PADD II","PADD 2",IF($M10745="PADD III","PADD 3",IF($M10745="PADD IV","PADD 4",IF($M10745="PADD V","PADD 5","")))))</f>
        <v/>
      </c>
      <c r="G10745" s="6">
        <f>IF(AND($H10745="ATMOS DISTILLATION",ISNUMBER(SEARCH("VPS",$I10745))=FALSE,LEFT($I10745,6)&lt;&gt;"VACUUM"),"CDU",IF($H10745="FLUID CAT CRACKING","FCC",IF(OR($H10745="HYDROCRACKING",$H10745="RESID_HYDROCRACKING"),"Hydrocracker",IF($H10745="REFORMING","Reformer",""))))</f>
        <v/>
      </c>
    </row>
    <row r="10746" spans="6:7">
      <c r="F10746" s="6">
        <f>IF($M10746="PADD I","PADD 1",IF($M10746="PADD II","PADD 2",IF($M10746="PADD III","PADD 3",IF($M10746="PADD IV","PADD 4",IF($M10746="PADD V","PADD 5","")))))</f>
        <v/>
      </c>
      <c r="G10746" s="6">
        <f>IF(AND($H10746="ATMOS DISTILLATION",ISNUMBER(SEARCH("VPS",$I10746))=FALSE,LEFT($I10746,6)&lt;&gt;"VACUUM"),"CDU",IF($H10746="FLUID CAT CRACKING","FCC",IF(OR($H10746="HYDROCRACKING",$H10746="RESID_HYDROCRACKING"),"Hydrocracker",IF($H10746="REFORMING","Reformer",""))))</f>
        <v/>
      </c>
    </row>
    <row r="10747" spans="6:7">
      <c r="F10747" s="6">
        <f>IF($M10747="PADD I","PADD 1",IF($M10747="PADD II","PADD 2",IF($M10747="PADD III","PADD 3",IF($M10747="PADD IV","PADD 4",IF($M10747="PADD V","PADD 5","")))))</f>
        <v/>
      </c>
      <c r="G10747" s="6">
        <f>IF(AND($H10747="ATMOS DISTILLATION",ISNUMBER(SEARCH("VPS",$I10747))=FALSE,LEFT($I10747,6)&lt;&gt;"VACUUM"),"CDU",IF($H10747="FLUID CAT CRACKING","FCC",IF(OR($H10747="HYDROCRACKING",$H10747="RESID_HYDROCRACKING"),"Hydrocracker",IF($H10747="REFORMING","Reformer",""))))</f>
        <v/>
      </c>
    </row>
    <row r="10748" spans="6:7">
      <c r="F10748" s="6">
        <f>IF($M10748="PADD I","PADD 1",IF($M10748="PADD II","PADD 2",IF($M10748="PADD III","PADD 3",IF($M10748="PADD IV","PADD 4",IF($M10748="PADD V","PADD 5","")))))</f>
        <v/>
      </c>
      <c r="G10748" s="6">
        <f>IF(AND($H10748="ATMOS DISTILLATION",ISNUMBER(SEARCH("VPS",$I10748))=FALSE,LEFT($I10748,6)&lt;&gt;"VACUUM"),"CDU",IF($H10748="FLUID CAT CRACKING","FCC",IF(OR($H10748="HYDROCRACKING",$H10748="RESID_HYDROCRACKING"),"Hydrocracker",IF($H10748="REFORMING","Reformer",""))))</f>
        <v/>
      </c>
    </row>
    <row r="10749" spans="6:7">
      <c r="F10749" s="6">
        <f>IF($M10749="PADD I","PADD 1",IF($M10749="PADD II","PADD 2",IF($M10749="PADD III","PADD 3",IF($M10749="PADD IV","PADD 4",IF($M10749="PADD V","PADD 5","")))))</f>
        <v/>
      </c>
      <c r="G10749" s="6">
        <f>IF(AND($H10749="ATMOS DISTILLATION",ISNUMBER(SEARCH("VPS",$I10749))=FALSE,LEFT($I10749,6)&lt;&gt;"VACUUM"),"CDU",IF($H10749="FLUID CAT CRACKING","FCC",IF(OR($H10749="HYDROCRACKING",$H10749="RESID_HYDROCRACKING"),"Hydrocracker",IF($H10749="REFORMING","Reformer",""))))</f>
        <v/>
      </c>
    </row>
    <row r="10750" spans="6:7">
      <c r="F10750" s="6">
        <f>IF($M10750="PADD I","PADD 1",IF($M10750="PADD II","PADD 2",IF($M10750="PADD III","PADD 3",IF($M10750="PADD IV","PADD 4",IF($M10750="PADD V","PADD 5","")))))</f>
        <v/>
      </c>
      <c r="G10750" s="6">
        <f>IF(AND($H10750="ATMOS DISTILLATION",ISNUMBER(SEARCH("VPS",$I10750))=FALSE,LEFT($I10750,6)&lt;&gt;"VACUUM"),"CDU",IF($H10750="FLUID CAT CRACKING","FCC",IF(OR($H10750="HYDROCRACKING",$H10750="RESID_HYDROCRACKING"),"Hydrocracker",IF($H10750="REFORMING","Reformer",""))))</f>
        <v/>
      </c>
    </row>
    <row r="10751" spans="6:7">
      <c r="F10751" s="6">
        <f>IF($M10751="PADD I","PADD 1",IF($M10751="PADD II","PADD 2",IF($M10751="PADD III","PADD 3",IF($M10751="PADD IV","PADD 4",IF($M10751="PADD V","PADD 5","")))))</f>
        <v/>
      </c>
      <c r="G10751" s="6">
        <f>IF(AND($H10751="ATMOS DISTILLATION",ISNUMBER(SEARCH("VPS",$I10751))=FALSE,LEFT($I10751,6)&lt;&gt;"VACUUM"),"CDU",IF($H10751="FLUID CAT CRACKING","FCC",IF(OR($H10751="HYDROCRACKING",$H10751="RESID_HYDROCRACKING"),"Hydrocracker",IF($H10751="REFORMING","Reformer",""))))</f>
        <v/>
      </c>
    </row>
    <row r="10752" spans="6:7">
      <c r="F10752" s="6">
        <f>IF($M10752="PADD I","PADD 1",IF($M10752="PADD II","PADD 2",IF($M10752="PADD III","PADD 3",IF($M10752="PADD IV","PADD 4",IF($M10752="PADD V","PADD 5","")))))</f>
        <v/>
      </c>
      <c r="G10752" s="6">
        <f>IF(AND($H10752="ATMOS DISTILLATION",ISNUMBER(SEARCH("VPS",$I10752))=FALSE,LEFT($I10752,6)&lt;&gt;"VACUUM"),"CDU",IF($H10752="FLUID CAT CRACKING","FCC",IF(OR($H10752="HYDROCRACKING",$H10752="RESID_HYDROCRACKING"),"Hydrocracker",IF($H10752="REFORMING","Reformer",""))))</f>
        <v/>
      </c>
    </row>
    <row r="10753" spans="6:7">
      <c r="F10753" s="6">
        <f>IF($M10753="PADD I","PADD 1",IF($M10753="PADD II","PADD 2",IF($M10753="PADD III","PADD 3",IF($M10753="PADD IV","PADD 4",IF($M10753="PADD V","PADD 5","")))))</f>
        <v/>
      </c>
      <c r="G10753" s="6">
        <f>IF(AND($H10753="ATMOS DISTILLATION",ISNUMBER(SEARCH("VPS",$I10753))=FALSE,LEFT($I10753,6)&lt;&gt;"VACUUM"),"CDU",IF($H10753="FLUID CAT CRACKING","FCC",IF(OR($H10753="HYDROCRACKING",$H10753="RESID_HYDROCRACKING"),"Hydrocracker",IF($H10753="REFORMING","Reformer",""))))</f>
        <v/>
      </c>
    </row>
    <row r="10754" spans="6:7">
      <c r="F10754" s="6">
        <f>IF($M10754="PADD I","PADD 1",IF($M10754="PADD II","PADD 2",IF($M10754="PADD III","PADD 3",IF($M10754="PADD IV","PADD 4",IF($M10754="PADD V","PADD 5","")))))</f>
        <v/>
      </c>
      <c r="G10754" s="6">
        <f>IF(AND($H10754="ATMOS DISTILLATION",ISNUMBER(SEARCH("VPS",$I10754))=FALSE,LEFT($I10754,6)&lt;&gt;"VACUUM"),"CDU",IF($H10754="FLUID CAT CRACKING","FCC",IF(OR($H10754="HYDROCRACKING",$H10754="RESID_HYDROCRACKING"),"Hydrocracker",IF($H10754="REFORMING","Reformer",""))))</f>
        <v/>
      </c>
    </row>
    <row r="10755" spans="6:7">
      <c r="F10755" s="6">
        <f>IF($M10755="PADD I","PADD 1",IF($M10755="PADD II","PADD 2",IF($M10755="PADD III","PADD 3",IF($M10755="PADD IV","PADD 4",IF($M10755="PADD V","PADD 5","")))))</f>
        <v/>
      </c>
      <c r="G10755" s="6">
        <f>IF(AND($H10755="ATMOS DISTILLATION",ISNUMBER(SEARCH("VPS",$I10755))=FALSE,LEFT($I10755,6)&lt;&gt;"VACUUM"),"CDU",IF($H10755="FLUID CAT CRACKING","FCC",IF(OR($H10755="HYDROCRACKING",$H10755="RESID_HYDROCRACKING"),"Hydrocracker",IF($H10755="REFORMING","Reformer",""))))</f>
        <v/>
      </c>
    </row>
    <row r="10756" spans="6:7">
      <c r="F10756" s="6">
        <f>IF($M10756="PADD I","PADD 1",IF($M10756="PADD II","PADD 2",IF($M10756="PADD III","PADD 3",IF($M10756="PADD IV","PADD 4",IF($M10756="PADD V","PADD 5","")))))</f>
        <v/>
      </c>
      <c r="G10756" s="6">
        <f>IF(AND($H10756="ATMOS DISTILLATION",ISNUMBER(SEARCH("VPS",$I10756))=FALSE,LEFT($I10756,6)&lt;&gt;"VACUUM"),"CDU",IF($H10756="FLUID CAT CRACKING","FCC",IF(OR($H10756="HYDROCRACKING",$H10756="RESID_HYDROCRACKING"),"Hydrocracker",IF($H10756="REFORMING","Reformer",""))))</f>
        <v/>
      </c>
    </row>
    <row r="10757" spans="6:7">
      <c r="F10757" s="6">
        <f>IF($M10757="PADD I","PADD 1",IF($M10757="PADD II","PADD 2",IF($M10757="PADD III","PADD 3",IF($M10757="PADD IV","PADD 4",IF($M10757="PADD V","PADD 5","")))))</f>
        <v/>
      </c>
      <c r="G10757" s="6">
        <f>IF(AND($H10757="ATMOS DISTILLATION",ISNUMBER(SEARCH("VPS",$I10757))=FALSE,LEFT($I10757,6)&lt;&gt;"VACUUM"),"CDU",IF($H10757="FLUID CAT CRACKING","FCC",IF(OR($H10757="HYDROCRACKING",$H10757="RESID_HYDROCRACKING"),"Hydrocracker",IF($H10757="REFORMING","Reformer",""))))</f>
        <v/>
      </c>
    </row>
    <row r="10758" spans="6:7">
      <c r="F10758" s="6">
        <f>IF($M10758="PADD I","PADD 1",IF($M10758="PADD II","PADD 2",IF($M10758="PADD III","PADD 3",IF($M10758="PADD IV","PADD 4",IF($M10758="PADD V","PADD 5","")))))</f>
        <v/>
      </c>
      <c r="G10758" s="6">
        <f>IF(AND($H10758="ATMOS DISTILLATION",ISNUMBER(SEARCH("VPS",$I10758))=FALSE,LEFT($I10758,6)&lt;&gt;"VACUUM"),"CDU",IF($H10758="FLUID CAT CRACKING","FCC",IF(OR($H10758="HYDROCRACKING",$H10758="RESID_HYDROCRACKING"),"Hydrocracker",IF($H10758="REFORMING","Reformer",""))))</f>
        <v/>
      </c>
    </row>
    <row r="10759" spans="6:7">
      <c r="F10759" s="6">
        <f>IF($M10759="PADD I","PADD 1",IF($M10759="PADD II","PADD 2",IF($M10759="PADD III","PADD 3",IF($M10759="PADD IV","PADD 4",IF($M10759="PADD V","PADD 5","")))))</f>
        <v/>
      </c>
      <c r="G10759" s="6">
        <f>IF(AND($H10759="ATMOS DISTILLATION",ISNUMBER(SEARCH("VPS",$I10759))=FALSE,LEFT($I10759,6)&lt;&gt;"VACUUM"),"CDU",IF($H10759="FLUID CAT CRACKING","FCC",IF(OR($H10759="HYDROCRACKING",$H10759="RESID_HYDROCRACKING"),"Hydrocracker",IF($H10759="REFORMING","Reformer",""))))</f>
        <v/>
      </c>
    </row>
    <row r="10760" spans="6:7">
      <c r="F10760" s="6">
        <f>IF($M10760="PADD I","PADD 1",IF($M10760="PADD II","PADD 2",IF($M10760="PADD III","PADD 3",IF($M10760="PADD IV","PADD 4",IF($M10760="PADD V","PADD 5","")))))</f>
        <v/>
      </c>
      <c r="G10760" s="6">
        <f>IF(AND($H10760="ATMOS DISTILLATION",ISNUMBER(SEARCH("VPS",$I10760))=FALSE,LEFT($I10760,6)&lt;&gt;"VACUUM"),"CDU",IF($H10760="FLUID CAT CRACKING","FCC",IF(OR($H10760="HYDROCRACKING",$H10760="RESID_HYDROCRACKING"),"Hydrocracker",IF($H10760="REFORMING","Reformer",""))))</f>
        <v/>
      </c>
    </row>
    <row r="10761" spans="6:7">
      <c r="F10761" s="6">
        <f>IF($M10761="PADD I","PADD 1",IF($M10761="PADD II","PADD 2",IF($M10761="PADD III","PADD 3",IF($M10761="PADD IV","PADD 4",IF($M10761="PADD V","PADD 5","")))))</f>
        <v/>
      </c>
      <c r="G10761" s="6">
        <f>IF(AND($H10761="ATMOS DISTILLATION",ISNUMBER(SEARCH("VPS",$I10761))=FALSE,LEFT($I10761,6)&lt;&gt;"VACUUM"),"CDU",IF($H10761="FLUID CAT CRACKING","FCC",IF(OR($H10761="HYDROCRACKING",$H10761="RESID_HYDROCRACKING"),"Hydrocracker",IF($H10761="REFORMING","Reformer",""))))</f>
        <v/>
      </c>
    </row>
    <row r="10762" spans="6:7">
      <c r="F10762" s="6">
        <f>IF($M10762="PADD I","PADD 1",IF($M10762="PADD II","PADD 2",IF($M10762="PADD III","PADD 3",IF($M10762="PADD IV","PADD 4",IF($M10762="PADD V","PADD 5","")))))</f>
        <v/>
      </c>
      <c r="G10762" s="6">
        <f>IF(AND($H10762="ATMOS DISTILLATION",ISNUMBER(SEARCH("VPS",$I10762))=FALSE,LEFT($I10762,6)&lt;&gt;"VACUUM"),"CDU",IF($H10762="FLUID CAT CRACKING","FCC",IF(OR($H10762="HYDROCRACKING",$H10762="RESID_HYDROCRACKING"),"Hydrocracker",IF($H10762="REFORMING","Reformer",""))))</f>
        <v/>
      </c>
    </row>
    <row r="10763" spans="6:7">
      <c r="F10763" s="6">
        <f>IF($M10763="PADD I","PADD 1",IF($M10763="PADD II","PADD 2",IF($M10763="PADD III","PADD 3",IF($M10763="PADD IV","PADD 4",IF($M10763="PADD V","PADD 5","")))))</f>
        <v/>
      </c>
      <c r="G10763" s="6">
        <f>IF(AND($H10763="ATMOS DISTILLATION",ISNUMBER(SEARCH("VPS",$I10763))=FALSE,LEFT($I10763,6)&lt;&gt;"VACUUM"),"CDU",IF($H10763="FLUID CAT CRACKING","FCC",IF(OR($H10763="HYDROCRACKING",$H10763="RESID_HYDROCRACKING"),"Hydrocracker",IF($H10763="REFORMING","Reformer",""))))</f>
        <v/>
      </c>
    </row>
    <row r="10764" spans="6:7">
      <c r="F10764" s="6">
        <f>IF($M10764="PADD I","PADD 1",IF($M10764="PADD II","PADD 2",IF($M10764="PADD III","PADD 3",IF($M10764="PADD IV","PADD 4",IF($M10764="PADD V","PADD 5","")))))</f>
        <v/>
      </c>
      <c r="G10764" s="6">
        <f>IF(AND($H10764="ATMOS DISTILLATION",ISNUMBER(SEARCH("VPS",$I10764))=FALSE,LEFT($I10764,6)&lt;&gt;"VACUUM"),"CDU",IF($H10764="FLUID CAT CRACKING","FCC",IF(OR($H10764="HYDROCRACKING",$H10764="RESID_HYDROCRACKING"),"Hydrocracker",IF($H10764="REFORMING","Reformer",""))))</f>
        <v/>
      </c>
    </row>
    <row r="10765" spans="6:7">
      <c r="F10765" s="6">
        <f>IF($M10765="PADD I","PADD 1",IF($M10765="PADD II","PADD 2",IF($M10765="PADD III","PADD 3",IF($M10765="PADD IV","PADD 4",IF($M10765="PADD V","PADD 5","")))))</f>
        <v/>
      </c>
      <c r="G10765" s="6">
        <f>IF(AND($H10765="ATMOS DISTILLATION",ISNUMBER(SEARCH("VPS",$I10765))=FALSE,LEFT($I10765,6)&lt;&gt;"VACUUM"),"CDU",IF($H10765="FLUID CAT CRACKING","FCC",IF(OR($H10765="HYDROCRACKING",$H10765="RESID_HYDROCRACKING"),"Hydrocracker",IF($H10765="REFORMING","Reformer",""))))</f>
        <v/>
      </c>
    </row>
    <row r="10766" spans="6:7">
      <c r="F10766" s="6">
        <f>IF($M10766="PADD I","PADD 1",IF($M10766="PADD II","PADD 2",IF($M10766="PADD III","PADD 3",IF($M10766="PADD IV","PADD 4",IF($M10766="PADD V","PADD 5","")))))</f>
        <v/>
      </c>
      <c r="G10766" s="6">
        <f>IF(AND($H10766="ATMOS DISTILLATION",ISNUMBER(SEARCH("VPS",$I10766))=FALSE,LEFT($I10766,6)&lt;&gt;"VACUUM"),"CDU",IF($H10766="FLUID CAT CRACKING","FCC",IF(OR($H10766="HYDROCRACKING",$H10766="RESID_HYDROCRACKING"),"Hydrocracker",IF($H10766="REFORMING","Reformer",""))))</f>
        <v/>
      </c>
    </row>
    <row r="10767" spans="6:7">
      <c r="F10767" s="6">
        <f>IF($M10767="PADD I","PADD 1",IF($M10767="PADD II","PADD 2",IF($M10767="PADD III","PADD 3",IF($M10767="PADD IV","PADD 4",IF($M10767="PADD V","PADD 5","")))))</f>
        <v/>
      </c>
      <c r="G10767" s="6">
        <f>IF(AND($H10767="ATMOS DISTILLATION",ISNUMBER(SEARCH("VPS",$I10767))=FALSE,LEFT($I10767,6)&lt;&gt;"VACUUM"),"CDU",IF($H10767="FLUID CAT CRACKING","FCC",IF(OR($H10767="HYDROCRACKING",$H10767="RESID_HYDROCRACKING"),"Hydrocracker",IF($H10767="REFORMING","Reformer",""))))</f>
        <v/>
      </c>
    </row>
    <row r="10768" spans="6:7">
      <c r="F10768" s="6">
        <f>IF($M10768="PADD I","PADD 1",IF($M10768="PADD II","PADD 2",IF($M10768="PADD III","PADD 3",IF($M10768="PADD IV","PADD 4",IF($M10768="PADD V","PADD 5","")))))</f>
        <v/>
      </c>
      <c r="G10768" s="6">
        <f>IF(AND($H10768="ATMOS DISTILLATION",ISNUMBER(SEARCH("VPS",$I10768))=FALSE,LEFT($I10768,6)&lt;&gt;"VACUUM"),"CDU",IF($H10768="FLUID CAT CRACKING","FCC",IF(OR($H10768="HYDROCRACKING",$H10768="RESID_HYDROCRACKING"),"Hydrocracker",IF($H10768="REFORMING","Reformer",""))))</f>
        <v/>
      </c>
    </row>
    <row r="10769" spans="6:7">
      <c r="F10769" s="6">
        <f>IF($M10769="PADD I","PADD 1",IF($M10769="PADD II","PADD 2",IF($M10769="PADD III","PADD 3",IF($M10769="PADD IV","PADD 4",IF($M10769="PADD V","PADD 5","")))))</f>
        <v/>
      </c>
      <c r="G10769" s="6">
        <f>IF(AND($H10769="ATMOS DISTILLATION",ISNUMBER(SEARCH("VPS",$I10769))=FALSE,LEFT($I10769,6)&lt;&gt;"VACUUM"),"CDU",IF($H10769="FLUID CAT CRACKING","FCC",IF(OR($H10769="HYDROCRACKING",$H10769="RESID_HYDROCRACKING"),"Hydrocracker",IF($H10769="REFORMING","Reformer",""))))</f>
        <v/>
      </c>
    </row>
    <row r="10770" spans="6:7">
      <c r="F10770" s="6">
        <f>IF($M10770="PADD I","PADD 1",IF($M10770="PADD II","PADD 2",IF($M10770="PADD III","PADD 3",IF($M10770="PADD IV","PADD 4",IF($M10770="PADD V","PADD 5","")))))</f>
        <v/>
      </c>
      <c r="G10770" s="6">
        <f>IF(AND($H10770="ATMOS DISTILLATION",ISNUMBER(SEARCH("VPS",$I10770))=FALSE,LEFT($I10770,6)&lt;&gt;"VACUUM"),"CDU",IF($H10770="FLUID CAT CRACKING","FCC",IF(OR($H10770="HYDROCRACKING",$H10770="RESID_HYDROCRACKING"),"Hydrocracker",IF($H10770="REFORMING","Reformer",""))))</f>
        <v/>
      </c>
    </row>
    <row r="10771" spans="6:7">
      <c r="F10771" s="6">
        <f>IF($M10771="PADD I","PADD 1",IF($M10771="PADD II","PADD 2",IF($M10771="PADD III","PADD 3",IF($M10771="PADD IV","PADD 4",IF($M10771="PADD V","PADD 5","")))))</f>
        <v/>
      </c>
      <c r="G10771" s="6">
        <f>IF(AND($H10771="ATMOS DISTILLATION",ISNUMBER(SEARCH("VPS",$I10771))=FALSE,LEFT($I10771,6)&lt;&gt;"VACUUM"),"CDU",IF($H10771="FLUID CAT CRACKING","FCC",IF(OR($H10771="HYDROCRACKING",$H10771="RESID_HYDROCRACKING"),"Hydrocracker",IF($H10771="REFORMING","Reformer",""))))</f>
        <v/>
      </c>
    </row>
    <row r="10772" spans="6:7">
      <c r="F10772" s="6">
        <f>IF($M10772="PADD I","PADD 1",IF($M10772="PADD II","PADD 2",IF($M10772="PADD III","PADD 3",IF($M10772="PADD IV","PADD 4",IF($M10772="PADD V","PADD 5","")))))</f>
        <v/>
      </c>
      <c r="G10772" s="6">
        <f>IF(AND($H10772="ATMOS DISTILLATION",ISNUMBER(SEARCH("VPS",$I10772))=FALSE,LEFT($I10772,6)&lt;&gt;"VACUUM"),"CDU",IF($H10772="FLUID CAT CRACKING","FCC",IF(OR($H10772="HYDROCRACKING",$H10772="RESID_HYDROCRACKING"),"Hydrocracker",IF($H10772="REFORMING","Reformer",""))))</f>
        <v/>
      </c>
    </row>
    <row r="10773" spans="6:7">
      <c r="F10773" s="6">
        <f>IF($M10773="PADD I","PADD 1",IF($M10773="PADD II","PADD 2",IF($M10773="PADD III","PADD 3",IF($M10773="PADD IV","PADD 4",IF($M10773="PADD V","PADD 5","")))))</f>
        <v/>
      </c>
      <c r="G10773" s="6">
        <f>IF(AND($H10773="ATMOS DISTILLATION",ISNUMBER(SEARCH("VPS",$I10773))=FALSE,LEFT($I10773,6)&lt;&gt;"VACUUM"),"CDU",IF($H10773="FLUID CAT CRACKING","FCC",IF(OR($H10773="HYDROCRACKING",$H10773="RESID_HYDROCRACKING"),"Hydrocracker",IF($H10773="REFORMING","Reformer",""))))</f>
        <v/>
      </c>
    </row>
    <row r="10774" spans="6:7">
      <c r="F10774" s="6">
        <f>IF($M10774="PADD I","PADD 1",IF($M10774="PADD II","PADD 2",IF($M10774="PADD III","PADD 3",IF($M10774="PADD IV","PADD 4",IF($M10774="PADD V","PADD 5","")))))</f>
        <v/>
      </c>
      <c r="G10774" s="6">
        <f>IF(AND($H10774="ATMOS DISTILLATION",ISNUMBER(SEARCH("VPS",$I10774))=FALSE,LEFT($I10774,6)&lt;&gt;"VACUUM"),"CDU",IF($H10774="FLUID CAT CRACKING","FCC",IF(OR($H10774="HYDROCRACKING",$H10774="RESID_HYDROCRACKING"),"Hydrocracker",IF($H10774="REFORMING","Reformer",""))))</f>
        <v/>
      </c>
    </row>
    <row r="10775" spans="6:7">
      <c r="F10775" s="6">
        <f>IF($M10775="PADD I","PADD 1",IF($M10775="PADD II","PADD 2",IF($M10775="PADD III","PADD 3",IF($M10775="PADD IV","PADD 4",IF($M10775="PADD V","PADD 5","")))))</f>
        <v/>
      </c>
      <c r="G10775" s="6">
        <f>IF(AND($H10775="ATMOS DISTILLATION",ISNUMBER(SEARCH("VPS",$I10775))=FALSE,LEFT($I10775,6)&lt;&gt;"VACUUM"),"CDU",IF($H10775="FLUID CAT CRACKING","FCC",IF(OR($H10775="HYDROCRACKING",$H10775="RESID_HYDROCRACKING"),"Hydrocracker",IF($H10775="REFORMING","Reformer",""))))</f>
        <v/>
      </c>
    </row>
    <row r="10776" spans="6:7">
      <c r="F10776" s="6">
        <f>IF($M10776="PADD I","PADD 1",IF($M10776="PADD II","PADD 2",IF($M10776="PADD III","PADD 3",IF($M10776="PADD IV","PADD 4",IF($M10776="PADD V","PADD 5","")))))</f>
        <v/>
      </c>
      <c r="G10776" s="6">
        <f>IF(AND($H10776="ATMOS DISTILLATION",ISNUMBER(SEARCH("VPS",$I10776))=FALSE,LEFT($I10776,6)&lt;&gt;"VACUUM"),"CDU",IF($H10776="FLUID CAT CRACKING","FCC",IF(OR($H10776="HYDROCRACKING",$H10776="RESID_HYDROCRACKING"),"Hydrocracker",IF($H10776="REFORMING","Reformer",""))))</f>
        <v/>
      </c>
    </row>
    <row r="10777" spans="6:7">
      <c r="F10777" s="6">
        <f>IF($M10777="PADD I","PADD 1",IF($M10777="PADD II","PADD 2",IF($M10777="PADD III","PADD 3",IF($M10777="PADD IV","PADD 4",IF($M10777="PADD V","PADD 5","")))))</f>
        <v/>
      </c>
      <c r="G10777" s="6">
        <f>IF(AND($H10777="ATMOS DISTILLATION",ISNUMBER(SEARCH("VPS",$I10777))=FALSE,LEFT($I10777,6)&lt;&gt;"VACUUM"),"CDU",IF($H10777="FLUID CAT CRACKING","FCC",IF(OR($H10777="HYDROCRACKING",$H10777="RESID_HYDROCRACKING"),"Hydrocracker",IF($H10777="REFORMING","Reformer",""))))</f>
        <v/>
      </c>
    </row>
    <row r="10778" spans="6:7">
      <c r="F10778" s="6">
        <f>IF($M10778="PADD I","PADD 1",IF($M10778="PADD II","PADD 2",IF($M10778="PADD III","PADD 3",IF($M10778="PADD IV","PADD 4",IF($M10778="PADD V","PADD 5","")))))</f>
        <v/>
      </c>
      <c r="G10778" s="6">
        <f>IF(AND($H10778="ATMOS DISTILLATION",ISNUMBER(SEARCH("VPS",$I10778))=FALSE,LEFT($I10778,6)&lt;&gt;"VACUUM"),"CDU",IF($H10778="FLUID CAT CRACKING","FCC",IF(OR($H10778="HYDROCRACKING",$H10778="RESID_HYDROCRACKING"),"Hydrocracker",IF($H10778="REFORMING","Reformer",""))))</f>
        <v/>
      </c>
    </row>
    <row r="10779" spans="6:7">
      <c r="F10779" s="6">
        <f>IF($M10779="PADD I","PADD 1",IF($M10779="PADD II","PADD 2",IF($M10779="PADD III","PADD 3",IF($M10779="PADD IV","PADD 4",IF($M10779="PADD V","PADD 5","")))))</f>
        <v/>
      </c>
      <c r="G10779" s="6">
        <f>IF(AND($H10779="ATMOS DISTILLATION",ISNUMBER(SEARCH("VPS",$I10779))=FALSE,LEFT($I10779,6)&lt;&gt;"VACUUM"),"CDU",IF($H10779="FLUID CAT CRACKING","FCC",IF(OR($H10779="HYDROCRACKING",$H10779="RESID_HYDROCRACKING"),"Hydrocracker",IF($H10779="REFORMING","Reformer",""))))</f>
        <v/>
      </c>
    </row>
    <row r="10780" spans="6:7">
      <c r="F10780" s="6">
        <f>IF($M10780="PADD I","PADD 1",IF($M10780="PADD II","PADD 2",IF($M10780="PADD III","PADD 3",IF($M10780="PADD IV","PADD 4",IF($M10780="PADD V","PADD 5","")))))</f>
        <v/>
      </c>
      <c r="G10780" s="6">
        <f>IF(AND($H10780="ATMOS DISTILLATION",ISNUMBER(SEARCH("VPS",$I10780))=FALSE,LEFT($I10780,6)&lt;&gt;"VACUUM"),"CDU",IF($H10780="FLUID CAT CRACKING","FCC",IF(OR($H10780="HYDROCRACKING",$H10780="RESID_HYDROCRACKING"),"Hydrocracker",IF($H10780="REFORMING","Reformer",""))))</f>
        <v/>
      </c>
    </row>
    <row r="10781" spans="6:7">
      <c r="F10781" s="6">
        <f>IF($M10781="PADD I","PADD 1",IF($M10781="PADD II","PADD 2",IF($M10781="PADD III","PADD 3",IF($M10781="PADD IV","PADD 4",IF($M10781="PADD V","PADD 5","")))))</f>
        <v/>
      </c>
      <c r="G10781" s="6">
        <f>IF(AND($H10781="ATMOS DISTILLATION",ISNUMBER(SEARCH("VPS",$I10781))=FALSE,LEFT($I10781,6)&lt;&gt;"VACUUM"),"CDU",IF($H10781="FLUID CAT CRACKING","FCC",IF(OR($H10781="HYDROCRACKING",$H10781="RESID_HYDROCRACKING"),"Hydrocracker",IF($H10781="REFORMING","Reformer",""))))</f>
        <v/>
      </c>
    </row>
    <row r="10782" spans="6:7">
      <c r="F10782" s="6">
        <f>IF($M10782="PADD I","PADD 1",IF($M10782="PADD II","PADD 2",IF($M10782="PADD III","PADD 3",IF($M10782="PADD IV","PADD 4",IF($M10782="PADD V","PADD 5","")))))</f>
        <v/>
      </c>
      <c r="G10782" s="6">
        <f>IF(AND($H10782="ATMOS DISTILLATION",ISNUMBER(SEARCH("VPS",$I10782))=FALSE,LEFT($I10782,6)&lt;&gt;"VACUUM"),"CDU",IF($H10782="FLUID CAT CRACKING","FCC",IF(OR($H10782="HYDROCRACKING",$H10782="RESID_HYDROCRACKING"),"Hydrocracker",IF($H10782="REFORMING","Reformer",""))))</f>
        <v/>
      </c>
    </row>
    <row r="10783" spans="6:7">
      <c r="F10783" s="6">
        <f>IF($M10783="PADD I","PADD 1",IF($M10783="PADD II","PADD 2",IF($M10783="PADD III","PADD 3",IF($M10783="PADD IV","PADD 4",IF($M10783="PADD V","PADD 5","")))))</f>
        <v/>
      </c>
      <c r="G10783" s="6">
        <f>IF(AND($H10783="ATMOS DISTILLATION",ISNUMBER(SEARCH("VPS",$I10783))=FALSE,LEFT($I10783,6)&lt;&gt;"VACUUM"),"CDU",IF($H10783="FLUID CAT CRACKING","FCC",IF(OR($H10783="HYDROCRACKING",$H10783="RESID_HYDROCRACKING"),"Hydrocracker",IF($H10783="REFORMING","Reformer",""))))</f>
        <v/>
      </c>
    </row>
    <row r="10784" spans="6:7">
      <c r="F10784" s="6">
        <f>IF($M10784="PADD I","PADD 1",IF($M10784="PADD II","PADD 2",IF($M10784="PADD III","PADD 3",IF($M10784="PADD IV","PADD 4",IF($M10784="PADD V","PADD 5","")))))</f>
        <v/>
      </c>
      <c r="G10784" s="6">
        <f>IF(AND($H10784="ATMOS DISTILLATION",ISNUMBER(SEARCH("VPS",$I10784))=FALSE,LEFT($I10784,6)&lt;&gt;"VACUUM"),"CDU",IF($H10784="FLUID CAT CRACKING","FCC",IF(OR($H10784="HYDROCRACKING",$H10784="RESID_HYDROCRACKING"),"Hydrocracker",IF($H10784="REFORMING","Reformer",""))))</f>
        <v/>
      </c>
    </row>
    <row r="10785" spans="6:7">
      <c r="F10785" s="6">
        <f>IF($M10785="PADD I","PADD 1",IF($M10785="PADD II","PADD 2",IF($M10785="PADD III","PADD 3",IF($M10785="PADD IV","PADD 4",IF($M10785="PADD V","PADD 5","")))))</f>
        <v/>
      </c>
      <c r="G10785" s="6">
        <f>IF(AND($H10785="ATMOS DISTILLATION",ISNUMBER(SEARCH("VPS",$I10785))=FALSE,LEFT($I10785,6)&lt;&gt;"VACUUM"),"CDU",IF($H10785="FLUID CAT CRACKING","FCC",IF(OR($H10785="HYDROCRACKING",$H10785="RESID_HYDROCRACKING"),"Hydrocracker",IF($H10785="REFORMING","Reformer",""))))</f>
        <v/>
      </c>
    </row>
    <row r="10786" spans="6:7">
      <c r="F10786" s="6">
        <f>IF($M10786="PADD I","PADD 1",IF($M10786="PADD II","PADD 2",IF($M10786="PADD III","PADD 3",IF($M10786="PADD IV","PADD 4",IF($M10786="PADD V","PADD 5","")))))</f>
        <v/>
      </c>
      <c r="G10786" s="6">
        <f>IF(AND($H10786="ATMOS DISTILLATION",ISNUMBER(SEARCH("VPS",$I10786))=FALSE,LEFT($I10786,6)&lt;&gt;"VACUUM"),"CDU",IF($H10786="FLUID CAT CRACKING","FCC",IF(OR($H10786="HYDROCRACKING",$H10786="RESID_HYDROCRACKING"),"Hydrocracker",IF($H10786="REFORMING","Reformer",""))))</f>
        <v/>
      </c>
    </row>
    <row r="10787" spans="6:7">
      <c r="F10787" s="6">
        <f>IF($M10787="PADD I","PADD 1",IF($M10787="PADD II","PADD 2",IF($M10787="PADD III","PADD 3",IF($M10787="PADD IV","PADD 4",IF($M10787="PADD V","PADD 5","")))))</f>
        <v/>
      </c>
      <c r="G10787" s="6">
        <f>IF(AND($H10787="ATMOS DISTILLATION",ISNUMBER(SEARCH("VPS",$I10787))=FALSE,LEFT($I10787,6)&lt;&gt;"VACUUM"),"CDU",IF($H10787="FLUID CAT CRACKING","FCC",IF(OR($H10787="HYDROCRACKING",$H10787="RESID_HYDROCRACKING"),"Hydrocracker",IF($H10787="REFORMING","Reformer",""))))</f>
        <v/>
      </c>
    </row>
    <row r="10788" spans="6:7">
      <c r="F10788" s="6">
        <f>IF($M10788="PADD I","PADD 1",IF($M10788="PADD II","PADD 2",IF($M10788="PADD III","PADD 3",IF($M10788="PADD IV","PADD 4",IF($M10788="PADD V","PADD 5","")))))</f>
        <v/>
      </c>
      <c r="G10788" s="6">
        <f>IF(AND($H10788="ATMOS DISTILLATION",ISNUMBER(SEARCH("VPS",$I10788))=FALSE,LEFT($I10788,6)&lt;&gt;"VACUUM"),"CDU",IF($H10788="FLUID CAT CRACKING","FCC",IF(OR($H10788="HYDROCRACKING",$H10788="RESID_HYDROCRACKING"),"Hydrocracker",IF($H10788="REFORMING","Reformer",""))))</f>
        <v/>
      </c>
    </row>
    <row r="10789" spans="6:7">
      <c r="F10789" s="6">
        <f>IF($M10789="PADD I","PADD 1",IF($M10789="PADD II","PADD 2",IF($M10789="PADD III","PADD 3",IF($M10789="PADD IV","PADD 4",IF($M10789="PADD V","PADD 5","")))))</f>
        <v/>
      </c>
      <c r="G10789" s="6">
        <f>IF(AND($H10789="ATMOS DISTILLATION",ISNUMBER(SEARCH("VPS",$I10789))=FALSE,LEFT($I10789,6)&lt;&gt;"VACUUM"),"CDU",IF($H10789="FLUID CAT CRACKING","FCC",IF(OR($H10789="HYDROCRACKING",$H10789="RESID_HYDROCRACKING"),"Hydrocracker",IF($H10789="REFORMING","Reformer",""))))</f>
        <v/>
      </c>
    </row>
    <row r="10790" spans="6:7">
      <c r="F10790" s="6">
        <f>IF($M10790="PADD I","PADD 1",IF($M10790="PADD II","PADD 2",IF($M10790="PADD III","PADD 3",IF($M10790="PADD IV","PADD 4",IF($M10790="PADD V","PADD 5","")))))</f>
        <v/>
      </c>
      <c r="G10790" s="6">
        <f>IF(AND($H10790="ATMOS DISTILLATION",ISNUMBER(SEARCH("VPS",$I10790))=FALSE,LEFT($I10790,6)&lt;&gt;"VACUUM"),"CDU",IF($H10790="FLUID CAT CRACKING","FCC",IF(OR($H10790="HYDROCRACKING",$H10790="RESID_HYDROCRACKING"),"Hydrocracker",IF($H10790="REFORMING","Reformer",""))))</f>
        <v/>
      </c>
    </row>
    <row r="10791" spans="6:7">
      <c r="F10791" s="6">
        <f>IF($M10791="PADD I","PADD 1",IF($M10791="PADD II","PADD 2",IF($M10791="PADD III","PADD 3",IF($M10791="PADD IV","PADD 4",IF($M10791="PADD V","PADD 5","")))))</f>
        <v/>
      </c>
      <c r="G10791" s="6">
        <f>IF(AND($H10791="ATMOS DISTILLATION",ISNUMBER(SEARCH("VPS",$I10791))=FALSE,LEFT($I10791,6)&lt;&gt;"VACUUM"),"CDU",IF($H10791="FLUID CAT CRACKING","FCC",IF(OR($H10791="HYDROCRACKING",$H10791="RESID_HYDROCRACKING"),"Hydrocracker",IF($H10791="REFORMING","Reformer",""))))</f>
        <v/>
      </c>
    </row>
    <row r="10792" spans="6:7">
      <c r="F10792" s="6">
        <f>IF($M10792="PADD I","PADD 1",IF($M10792="PADD II","PADD 2",IF($M10792="PADD III","PADD 3",IF($M10792="PADD IV","PADD 4",IF($M10792="PADD V","PADD 5","")))))</f>
        <v/>
      </c>
      <c r="G10792" s="6">
        <f>IF(AND($H10792="ATMOS DISTILLATION",ISNUMBER(SEARCH("VPS",$I10792))=FALSE,LEFT($I10792,6)&lt;&gt;"VACUUM"),"CDU",IF($H10792="FLUID CAT CRACKING","FCC",IF(OR($H10792="HYDROCRACKING",$H10792="RESID_HYDROCRACKING"),"Hydrocracker",IF($H10792="REFORMING","Reformer",""))))</f>
        <v/>
      </c>
    </row>
    <row r="10793" spans="6:7">
      <c r="F10793" s="6">
        <f>IF($M10793="PADD I","PADD 1",IF($M10793="PADD II","PADD 2",IF($M10793="PADD III","PADD 3",IF($M10793="PADD IV","PADD 4",IF($M10793="PADD V","PADD 5","")))))</f>
        <v/>
      </c>
      <c r="G10793" s="6">
        <f>IF(AND($H10793="ATMOS DISTILLATION",ISNUMBER(SEARCH("VPS",$I10793))=FALSE,LEFT($I10793,6)&lt;&gt;"VACUUM"),"CDU",IF($H10793="FLUID CAT CRACKING","FCC",IF(OR($H10793="HYDROCRACKING",$H10793="RESID_HYDROCRACKING"),"Hydrocracker",IF($H10793="REFORMING","Reformer",""))))</f>
        <v/>
      </c>
    </row>
    <row r="10794" spans="6:7">
      <c r="F10794" s="6">
        <f>IF($M10794="PADD I","PADD 1",IF($M10794="PADD II","PADD 2",IF($M10794="PADD III","PADD 3",IF($M10794="PADD IV","PADD 4",IF($M10794="PADD V","PADD 5","")))))</f>
        <v/>
      </c>
      <c r="G10794" s="6">
        <f>IF(AND($H10794="ATMOS DISTILLATION",ISNUMBER(SEARCH("VPS",$I10794))=FALSE,LEFT($I10794,6)&lt;&gt;"VACUUM"),"CDU",IF($H10794="FLUID CAT CRACKING","FCC",IF(OR($H10794="HYDROCRACKING",$H10794="RESID_HYDROCRACKING"),"Hydrocracker",IF($H10794="REFORMING","Reformer",""))))</f>
        <v/>
      </c>
    </row>
    <row r="10795" spans="6:7">
      <c r="F10795" s="6">
        <f>IF($M10795="PADD I","PADD 1",IF($M10795="PADD II","PADD 2",IF($M10795="PADD III","PADD 3",IF($M10795="PADD IV","PADD 4",IF($M10795="PADD V","PADD 5","")))))</f>
        <v/>
      </c>
      <c r="G10795" s="6">
        <f>IF(AND($H10795="ATMOS DISTILLATION",ISNUMBER(SEARCH("VPS",$I10795))=FALSE,LEFT($I10795,6)&lt;&gt;"VACUUM"),"CDU",IF($H10795="FLUID CAT CRACKING","FCC",IF(OR($H10795="HYDROCRACKING",$H10795="RESID_HYDROCRACKING"),"Hydrocracker",IF($H10795="REFORMING","Reformer",""))))</f>
        <v/>
      </c>
    </row>
    <row r="10796" spans="6:7">
      <c r="F10796" s="6">
        <f>IF($M10796="PADD I","PADD 1",IF($M10796="PADD II","PADD 2",IF($M10796="PADD III","PADD 3",IF($M10796="PADD IV","PADD 4",IF($M10796="PADD V","PADD 5","")))))</f>
        <v/>
      </c>
      <c r="G10796" s="6">
        <f>IF(AND($H10796="ATMOS DISTILLATION",ISNUMBER(SEARCH("VPS",$I10796))=FALSE,LEFT($I10796,6)&lt;&gt;"VACUUM"),"CDU",IF($H10796="FLUID CAT CRACKING","FCC",IF(OR($H10796="HYDROCRACKING",$H10796="RESID_HYDROCRACKING"),"Hydrocracker",IF($H10796="REFORMING","Reformer",""))))</f>
        <v/>
      </c>
    </row>
    <row r="10797" spans="6:7">
      <c r="F10797" s="6">
        <f>IF($M10797="PADD I","PADD 1",IF($M10797="PADD II","PADD 2",IF($M10797="PADD III","PADD 3",IF($M10797="PADD IV","PADD 4",IF($M10797="PADD V","PADD 5","")))))</f>
        <v/>
      </c>
      <c r="G10797" s="6">
        <f>IF(AND($H10797="ATMOS DISTILLATION",ISNUMBER(SEARCH("VPS",$I10797))=FALSE,LEFT($I10797,6)&lt;&gt;"VACUUM"),"CDU",IF($H10797="FLUID CAT CRACKING","FCC",IF(OR($H10797="HYDROCRACKING",$H10797="RESID_HYDROCRACKING"),"Hydrocracker",IF($H10797="REFORMING","Reformer",""))))</f>
        <v/>
      </c>
    </row>
    <row r="10798" spans="6:7">
      <c r="F10798" s="6">
        <f>IF($M10798="PADD I","PADD 1",IF($M10798="PADD II","PADD 2",IF($M10798="PADD III","PADD 3",IF($M10798="PADD IV","PADD 4",IF($M10798="PADD V","PADD 5","")))))</f>
        <v/>
      </c>
      <c r="G10798" s="6">
        <f>IF(AND($H10798="ATMOS DISTILLATION",ISNUMBER(SEARCH("VPS",$I10798))=FALSE,LEFT($I10798,6)&lt;&gt;"VACUUM"),"CDU",IF($H10798="FLUID CAT CRACKING","FCC",IF(OR($H10798="HYDROCRACKING",$H10798="RESID_HYDROCRACKING"),"Hydrocracker",IF($H10798="REFORMING","Reformer",""))))</f>
        <v/>
      </c>
    </row>
    <row r="10799" spans="6:7">
      <c r="F10799" s="6">
        <f>IF($M10799="PADD I","PADD 1",IF($M10799="PADD II","PADD 2",IF($M10799="PADD III","PADD 3",IF($M10799="PADD IV","PADD 4",IF($M10799="PADD V","PADD 5","")))))</f>
        <v/>
      </c>
      <c r="G10799" s="6">
        <f>IF(AND($H10799="ATMOS DISTILLATION",ISNUMBER(SEARCH("VPS",$I10799))=FALSE,LEFT($I10799,6)&lt;&gt;"VACUUM"),"CDU",IF($H10799="FLUID CAT CRACKING","FCC",IF(OR($H10799="HYDROCRACKING",$H10799="RESID_HYDROCRACKING"),"Hydrocracker",IF($H10799="REFORMING","Reformer",""))))</f>
        <v/>
      </c>
    </row>
    <row r="10800" spans="6:7">
      <c r="F10800" s="6">
        <f>IF($M10800="PADD I","PADD 1",IF($M10800="PADD II","PADD 2",IF($M10800="PADD III","PADD 3",IF($M10800="PADD IV","PADD 4",IF($M10800="PADD V","PADD 5","")))))</f>
        <v/>
      </c>
      <c r="G10800" s="6">
        <f>IF(AND($H10800="ATMOS DISTILLATION",ISNUMBER(SEARCH("VPS",$I10800))=FALSE,LEFT($I10800,6)&lt;&gt;"VACUUM"),"CDU",IF($H10800="FLUID CAT CRACKING","FCC",IF(OR($H10800="HYDROCRACKING",$H10800="RESID_HYDROCRACKING"),"Hydrocracker",IF($H10800="REFORMING","Reformer",""))))</f>
        <v/>
      </c>
    </row>
    <row r="10801" spans="6:7">
      <c r="F10801" s="6">
        <f>IF($M10801="PADD I","PADD 1",IF($M10801="PADD II","PADD 2",IF($M10801="PADD III","PADD 3",IF($M10801="PADD IV","PADD 4",IF($M10801="PADD V","PADD 5","")))))</f>
        <v/>
      </c>
      <c r="G10801" s="6">
        <f>IF(AND($H10801="ATMOS DISTILLATION",ISNUMBER(SEARCH("VPS",$I10801))=FALSE,LEFT($I10801,6)&lt;&gt;"VACUUM"),"CDU",IF($H10801="FLUID CAT CRACKING","FCC",IF(OR($H10801="HYDROCRACKING",$H10801="RESID_HYDROCRACKING"),"Hydrocracker",IF($H10801="REFORMING","Reformer",""))))</f>
        <v/>
      </c>
    </row>
    <row r="10802" spans="6:7">
      <c r="F10802" s="6">
        <f>IF($M10802="PADD I","PADD 1",IF($M10802="PADD II","PADD 2",IF($M10802="PADD III","PADD 3",IF($M10802="PADD IV","PADD 4",IF($M10802="PADD V","PADD 5","")))))</f>
        <v/>
      </c>
      <c r="G10802" s="6">
        <f>IF(AND($H10802="ATMOS DISTILLATION",ISNUMBER(SEARCH("VPS",$I10802))=FALSE,LEFT($I10802,6)&lt;&gt;"VACUUM"),"CDU",IF($H10802="FLUID CAT CRACKING","FCC",IF(OR($H10802="HYDROCRACKING",$H10802="RESID_HYDROCRACKING"),"Hydrocracker",IF($H10802="REFORMING","Reformer",""))))</f>
        <v/>
      </c>
    </row>
    <row r="10803" spans="6:7">
      <c r="F10803" s="6">
        <f>IF($M10803="PADD I","PADD 1",IF($M10803="PADD II","PADD 2",IF($M10803="PADD III","PADD 3",IF($M10803="PADD IV","PADD 4",IF($M10803="PADD V","PADD 5","")))))</f>
        <v/>
      </c>
      <c r="G10803" s="6">
        <f>IF(AND($H10803="ATMOS DISTILLATION",ISNUMBER(SEARCH("VPS",$I10803))=FALSE,LEFT($I10803,6)&lt;&gt;"VACUUM"),"CDU",IF($H10803="FLUID CAT CRACKING","FCC",IF(OR($H10803="HYDROCRACKING",$H10803="RESID_HYDROCRACKING"),"Hydrocracker",IF($H10803="REFORMING","Reformer",""))))</f>
        <v/>
      </c>
    </row>
    <row r="10804" spans="6:7">
      <c r="F10804" s="6">
        <f>IF($M10804="PADD I","PADD 1",IF($M10804="PADD II","PADD 2",IF($M10804="PADD III","PADD 3",IF($M10804="PADD IV","PADD 4",IF($M10804="PADD V","PADD 5","")))))</f>
        <v/>
      </c>
      <c r="G10804" s="6">
        <f>IF(AND($H10804="ATMOS DISTILLATION",ISNUMBER(SEARCH("VPS",$I10804))=FALSE,LEFT($I10804,6)&lt;&gt;"VACUUM"),"CDU",IF($H10804="FLUID CAT CRACKING","FCC",IF(OR($H10804="HYDROCRACKING",$H10804="RESID_HYDROCRACKING"),"Hydrocracker",IF($H10804="REFORMING","Reformer",""))))</f>
        <v/>
      </c>
    </row>
    <row r="10805" spans="6:7">
      <c r="F10805" s="6">
        <f>IF($M10805="PADD I","PADD 1",IF($M10805="PADD II","PADD 2",IF($M10805="PADD III","PADD 3",IF($M10805="PADD IV","PADD 4",IF($M10805="PADD V","PADD 5","")))))</f>
        <v/>
      </c>
      <c r="G10805" s="6">
        <f>IF(AND($H10805="ATMOS DISTILLATION",ISNUMBER(SEARCH("VPS",$I10805))=FALSE,LEFT($I10805,6)&lt;&gt;"VACUUM"),"CDU",IF($H10805="FLUID CAT CRACKING","FCC",IF(OR($H10805="HYDROCRACKING",$H10805="RESID_HYDROCRACKING"),"Hydrocracker",IF($H10805="REFORMING","Reformer",""))))</f>
        <v/>
      </c>
    </row>
    <row r="10806" spans="6:7">
      <c r="F10806" s="6">
        <f>IF($M10806="PADD I","PADD 1",IF($M10806="PADD II","PADD 2",IF($M10806="PADD III","PADD 3",IF($M10806="PADD IV","PADD 4",IF($M10806="PADD V","PADD 5","")))))</f>
        <v/>
      </c>
      <c r="G10806" s="6">
        <f>IF(AND($H10806="ATMOS DISTILLATION",ISNUMBER(SEARCH("VPS",$I10806))=FALSE,LEFT($I10806,6)&lt;&gt;"VACUUM"),"CDU",IF($H10806="FLUID CAT CRACKING","FCC",IF(OR($H10806="HYDROCRACKING",$H10806="RESID_HYDROCRACKING"),"Hydrocracker",IF($H10806="REFORMING","Reformer",""))))</f>
        <v/>
      </c>
    </row>
    <row r="10807" spans="6:7">
      <c r="F10807" s="6">
        <f>IF($M10807="PADD I","PADD 1",IF($M10807="PADD II","PADD 2",IF($M10807="PADD III","PADD 3",IF($M10807="PADD IV","PADD 4",IF($M10807="PADD V","PADD 5","")))))</f>
        <v/>
      </c>
      <c r="G10807" s="6">
        <f>IF(AND($H10807="ATMOS DISTILLATION",ISNUMBER(SEARCH("VPS",$I10807))=FALSE,LEFT($I10807,6)&lt;&gt;"VACUUM"),"CDU",IF($H10807="FLUID CAT CRACKING","FCC",IF(OR($H10807="HYDROCRACKING",$H10807="RESID_HYDROCRACKING"),"Hydrocracker",IF($H10807="REFORMING","Reformer",""))))</f>
        <v/>
      </c>
    </row>
    <row r="10808" spans="6:7">
      <c r="F10808" s="6">
        <f>IF($M10808="PADD I","PADD 1",IF($M10808="PADD II","PADD 2",IF($M10808="PADD III","PADD 3",IF($M10808="PADD IV","PADD 4",IF($M10808="PADD V","PADD 5","")))))</f>
        <v/>
      </c>
      <c r="G10808" s="6">
        <f>IF(AND($H10808="ATMOS DISTILLATION",ISNUMBER(SEARCH("VPS",$I10808))=FALSE,LEFT($I10808,6)&lt;&gt;"VACUUM"),"CDU",IF($H10808="FLUID CAT CRACKING","FCC",IF(OR($H10808="HYDROCRACKING",$H10808="RESID_HYDROCRACKING"),"Hydrocracker",IF($H10808="REFORMING","Reformer",""))))</f>
        <v/>
      </c>
    </row>
    <row r="10809" spans="6:7">
      <c r="F10809" s="6">
        <f>IF($M10809="PADD I","PADD 1",IF($M10809="PADD II","PADD 2",IF($M10809="PADD III","PADD 3",IF($M10809="PADD IV","PADD 4",IF($M10809="PADD V","PADD 5","")))))</f>
        <v/>
      </c>
      <c r="G10809" s="6">
        <f>IF(AND($H10809="ATMOS DISTILLATION",ISNUMBER(SEARCH("VPS",$I10809))=FALSE,LEFT($I10809,6)&lt;&gt;"VACUUM"),"CDU",IF($H10809="FLUID CAT CRACKING","FCC",IF(OR($H10809="HYDROCRACKING",$H10809="RESID_HYDROCRACKING"),"Hydrocracker",IF($H10809="REFORMING","Reformer",""))))</f>
        <v/>
      </c>
    </row>
    <row r="10810" spans="6:7">
      <c r="F10810" s="6">
        <f>IF($M10810="PADD I","PADD 1",IF($M10810="PADD II","PADD 2",IF($M10810="PADD III","PADD 3",IF($M10810="PADD IV","PADD 4",IF($M10810="PADD V","PADD 5","")))))</f>
        <v/>
      </c>
      <c r="G10810" s="6">
        <f>IF(AND($H10810="ATMOS DISTILLATION",ISNUMBER(SEARCH("VPS",$I10810))=FALSE,LEFT($I10810,6)&lt;&gt;"VACUUM"),"CDU",IF($H10810="FLUID CAT CRACKING","FCC",IF(OR($H10810="HYDROCRACKING",$H10810="RESID_HYDROCRACKING"),"Hydrocracker",IF($H10810="REFORMING","Reformer",""))))</f>
        <v/>
      </c>
    </row>
    <row r="10811" spans="6:7">
      <c r="F10811" s="6">
        <f>IF($M10811="PADD I","PADD 1",IF($M10811="PADD II","PADD 2",IF($M10811="PADD III","PADD 3",IF($M10811="PADD IV","PADD 4",IF($M10811="PADD V","PADD 5","")))))</f>
        <v/>
      </c>
      <c r="G10811" s="6">
        <f>IF(AND($H10811="ATMOS DISTILLATION",ISNUMBER(SEARCH("VPS",$I10811))=FALSE,LEFT($I10811,6)&lt;&gt;"VACUUM"),"CDU",IF($H10811="FLUID CAT CRACKING","FCC",IF(OR($H10811="HYDROCRACKING",$H10811="RESID_HYDROCRACKING"),"Hydrocracker",IF($H10811="REFORMING","Reformer",""))))</f>
        <v/>
      </c>
    </row>
    <row r="10812" spans="6:7">
      <c r="F10812" s="6">
        <f>IF($M10812="PADD I","PADD 1",IF($M10812="PADD II","PADD 2",IF($M10812="PADD III","PADD 3",IF($M10812="PADD IV","PADD 4",IF($M10812="PADD V","PADD 5","")))))</f>
        <v/>
      </c>
      <c r="G10812" s="6">
        <f>IF(AND($H10812="ATMOS DISTILLATION",ISNUMBER(SEARCH("VPS",$I10812))=FALSE,LEFT($I10812,6)&lt;&gt;"VACUUM"),"CDU",IF($H10812="FLUID CAT CRACKING","FCC",IF(OR($H10812="HYDROCRACKING",$H10812="RESID_HYDROCRACKING"),"Hydrocracker",IF($H10812="REFORMING","Reformer",""))))</f>
        <v/>
      </c>
    </row>
    <row r="10813" spans="6:7">
      <c r="F10813" s="6">
        <f>IF($M10813="PADD I","PADD 1",IF($M10813="PADD II","PADD 2",IF($M10813="PADD III","PADD 3",IF($M10813="PADD IV","PADD 4",IF($M10813="PADD V","PADD 5","")))))</f>
        <v/>
      </c>
      <c r="G10813" s="6">
        <f>IF(AND($H10813="ATMOS DISTILLATION",ISNUMBER(SEARCH("VPS",$I10813))=FALSE,LEFT($I10813,6)&lt;&gt;"VACUUM"),"CDU",IF($H10813="FLUID CAT CRACKING","FCC",IF(OR($H10813="HYDROCRACKING",$H10813="RESID_HYDROCRACKING"),"Hydrocracker",IF($H10813="REFORMING","Reformer",""))))</f>
        <v/>
      </c>
    </row>
    <row r="10814" spans="6:7">
      <c r="F10814" s="6">
        <f>IF($M10814="PADD I","PADD 1",IF($M10814="PADD II","PADD 2",IF($M10814="PADD III","PADD 3",IF($M10814="PADD IV","PADD 4",IF($M10814="PADD V","PADD 5","")))))</f>
        <v/>
      </c>
      <c r="G10814" s="6">
        <f>IF(AND($H10814="ATMOS DISTILLATION",ISNUMBER(SEARCH("VPS",$I10814))=FALSE,LEFT($I10814,6)&lt;&gt;"VACUUM"),"CDU",IF($H10814="FLUID CAT CRACKING","FCC",IF(OR($H10814="HYDROCRACKING",$H10814="RESID_HYDROCRACKING"),"Hydrocracker",IF($H10814="REFORMING","Reformer",""))))</f>
        <v/>
      </c>
    </row>
    <row r="10815" spans="6:7">
      <c r="F10815" s="6">
        <f>IF($M10815="PADD I","PADD 1",IF($M10815="PADD II","PADD 2",IF($M10815="PADD III","PADD 3",IF($M10815="PADD IV","PADD 4",IF($M10815="PADD V","PADD 5","")))))</f>
        <v/>
      </c>
      <c r="G10815" s="6">
        <f>IF(AND($H10815="ATMOS DISTILLATION",ISNUMBER(SEARCH("VPS",$I10815))=FALSE,LEFT($I10815,6)&lt;&gt;"VACUUM"),"CDU",IF($H10815="FLUID CAT CRACKING","FCC",IF(OR($H10815="HYDROCRACKING",$H10815="RESID_HYDROCRACKING"),"Hydrocracker",IF($H10815="REFORMING","Reformer",""))))</f>
        <v/>
      </c>
    </row>
    <row r="10816" spans="6:7">
      <c r="F10816" s="6">
        <f>IF($M10816="PADD I","PADD 1",IF($M10816="PADD II","PADD 2",IF($M10816="PADD III","PADD 3",IF($M10816="PADD IV","PADD 4",IF($M10816="PADD V","PADD 5","")))))</f>
        <v/>
      </c>
      <c r="G10816" s="6">
        <f>IF(AND($H10816="ATMOS DISTILLATION",ISNUMBER(SEARCH("VPS",$I10816))=FALSE,LEFT($I10816,6)&lt;&gt;"VACUUM"),"CDU",IF($H10816="FLUID CAT CRACKING","FCC",IF(OR($H10816="HYDROCRACKING",$H10816="RESID_HYDROCRACKING"),"Hydrocracker",IF($H10816="REFORMING","Reformer",""))))</f>
        <v/>
      </c>
    </row>
    <row r="10817" spans="6:7">
      <c r="F10817" s="6">
        <f>IF($M10817="PADD I","PADD 1",IF($M10817="PADD II","PADD 2",IF($M10817="PADD III","PADD 3",IF($M10817="PADD IV","PADD 4",IF($M10817="PADD V","PADD 5","")))))</f>
        <v/>
      </c>
      <c r="G10817" s="6">
        <f>IF(AND($H10817="ATMOS DISTILLATION",ISNUMBER(SEARCH("VPS",$I10817))=FALSE,LEFT($I10817,6)&lt;&gt;"VACUUM"),"CDU",IF($H10817="FLUID CAT CRACKING","FCC",IF(OR($H10817="HYDROCRACKING",$H10817="RESID_HYDROCRACKING"),"Hydrocracker",IF($H10817="REFORMING","Reformer",""))))</f>
        <v/>
      </c>
    </row>
    <row r="10818" spans="6:7">
      <c r="F10818" s="6">
        <f>IF($M10818="PADD I","PADD 1",IF($M10818="PADD II","PADD 2",IF($M10818="PADD III","PADD 3",IF($M10818="PADD IV","PADD 4",IF($M10818="PADD V","PADD 5","")))))</f>
        <v/>
      </c>
      <c r="G10818" s="6">
        <f>IF(AND($H10818="ATMOS DISTILLATION",ISNUMBER(SEARCH("VPS",$I10818))=FALSE,LEFT($I10818,6)&lt;&gt;"VACUUM"),"CDU",IF($H10818="FLUID CAT CRACKING","FCC",IF(OR($H10818="HYDROCRACKING",$H10818="RESID_HYDROCRACKING"),"Hydrocracker",IF($H10818="REFORMING","Reformer",""))))</f>
        <v/>
      </c>
    </row>
    <row r="10819" spans="6:7">
      <c r="F10819" s="6">
        <f>IF($M10819="PADD I","PADD 1",IF($M10819="PADD II","PADD 2",IF($M10819="PADD III","PADD 3",IF($M10819="PADD IV","PADD 4",IF($M10819="PADD V","PADD 5","")))))</f>
        <v/>
      </c>
      <c r="G10819" s="6">
        <f>IF(AND($H10819="ATMOS DISTILLATION",ISNUMBER(SEARCH("VPS",$I10819))=FALSE,LEFT($I10819,6)&lt;&gt;"VACUUM"),"CDU",IF($H10819="FLUID CAT CRACKING","FCC",IF(OR($H10819="HYDROCRACKING",$H10819="RESID_HYDROCRACKING"),"Hydrocracker",IF($H10819="REFORMING","Reformer",""))))</f>
        <v/>
      </c>
    </row>
    <row r="10820" spans="6:7">
      <c r="F10820" s="6">
        <f>IF($M10820="PADD I","PADD 1",IF($M10820="PADD II","PADD 2",IF($M10820="PADD III","PADD 3",IF($M10820="PADD IV","PADD 4",IF($M10820="PADD V","PADD 5","")))))</f>
        <v/>
      </c>
      <c r="G10820" s="6">
        <f>IF(AND($H10820="ATMOS DISTILLATION",ISNUMBER(SEARCH("VPS",$I10820))=FALSE,LEFT($I10820,6)&lt;&gt;"VACUUM"),"CDU",IF($H10820="FLUID CAT CRACKING","FCC",IF(OR($H10820="HYDROCRACKING",$H10820="RESID_HYDROCRACKING"),"Hydrocracker",IF($H10820="REFORMING","Reformer",""))))</f>
        <v/>
      </c>
    </row>
    <row r="10821" spans="6:7">
      <c r="F10821" s="6">
        <f>IF($M10821="PADD I","PADD 1",IF($M10821="PADD II","PADD 2",IF($M10821="PADD III","PADD 3",IF($M10821="PADD IV","PADD 4",IF($M10821="PADD V","PADD 5","")))))</f>
        <v/>
      </c>
      <c r="G10821" s="6">
        <f>IF(AND($H10821="ATMOS DISTILLATION",ISNUMBER(SEARCH("VPS",$I10821))=FALSE,LEFT($I10821,6)&lt;&gt;"VACUUM"),"CDU",IF($H10821="FLUID CAT CRACKING","FCC",IF(OR($H10821="HYDROCRACKING",$H10821="RESID_HYDROCRACKING"),"Hydrocracker",IF($H10821="REFORMING","Reformer",""))))</f>
        <v/>
      </c>
    </row>
    <row r="10822" spans="6:7">
      <c r="F10822" s="6">
        <f>IF($M10822="PADD I","PADD 1",IF($M10822="PADD II","PADD 2",IF($M10822="PADD III","PADD 3",IF($M10822="PADD IV","PADD 4",IF($M10822="PADD V","PADD 5","")))))</f>
        <v/>
      </c>
      <c r="G10822" s="6">
        <f>IF(AND($H10822="ATMOS DISTILLATION",ISNUMBER(SEARCH("VPS",$I10822))=FALSE,LEFT($I10822,6)&lt;&gt;"VACUUM"),"CDU",IF($H10822="FLUID CAT CRACKING","FCC",IF(OR($H10822="HYDROCRACKING",$H10822="RESID_HYDROCRACKING"),"Hydrocracker",IF($H10822="REFORMING","Reformer",""))))</f>
        <v/>
      </c>
    </row>
    <row r="10823" spans="6:7">
      <c r="F10823" s="6">
        <f>IF($M10823="PADD I","PADD 1",IF($M10823="PADD II","PADD 2",IF($M10823="PADD III","PADD 3",IF($M10823="PADD IV","PADD 4",IF($M10823="PADD V","PADD 5","")))))</f>
        <v/>
      </c>
      <c r="G10823" s="6">
        <f>IF(AND($H10823="ATMOS DISTILLATION",ISNUMBER(SEARCH("VPS",$I10823))=FALSE,LEFT($I10823,6)&lt;&gt;"VACUUM"),"CDU",IF($H10823="FLUID CAT CRACKING","FCC",IF(OR($H10823="HYDROCRACKING",$H10823="RESID_HYDROCRACKING"),"Hydrocracker",IF($H10823="REFORMING","Reformer",""))))</f>
        <v/>
      </c>
    </row>
    <row r="10824" spans="6:7">
      <c r="F10824" s="6">
        <f>IF($M10824="PADD I","PADD 1",IF($M10824="PADD II","PADD 2",IF($M10824="PADD III","PADD 3",IF($M10824="PADD IV","PADD 4",IF($M10824="PADD V","PADD 5","")))))</f>
        <v/>
      </c>
      <c r="G10824" s="6">
        <f>IF(AND($H10824="ATMOS DISTILLATION",ISNUMBER(SEARCH("VPS",$I10824))=FALSE,LEFT($I10824,6)&lt;&gt;"VACUUM"),"CDU",IF($H10824="FLUID CAT CRACKING","FCC",IF(OR($H10824="HYDROCRACKING",$H10824="RESID_HYDROCRACKING"),"Hydrocracker",IF($H10824="REFORMING","Reformer",""))))</f>
        <v/>
      </c>
    </row>
    <row r="10825" spans="6:7">
      <c r="F10825" s="6">
        <f>IF($M10825="PADD I","PADD 1",IF($M10825="PADD II","PADD 2",IF($M10825="PADD III","PADD 3",IF($M10825="PADD IV","PADD 4",IF($M10825="PADD V","PADD 5","")))))</f>
        <v/>
      </c>
      <c r="G10825" s="6">
        <f>IF(AND($H10825="ATMOS DISTILLATION",ISNUMBER(SEARCH("VPS",$I10825))=FALSE,LEFT($I10825,6)&lt;&gt;"VACUUM"),"CDU",IF($H10825="FLUID CAT CRACKING","FCC",IF(OR($H10825="HYDROCRACKING",$H10825="RESID_HYDROCRACKING"),"Hydrocracker",IF($H10825="REFORMING","Reformer",""))))</f>
        <v/>
      </c>
    </row>
    <row r="10826" spans="6:7">
      <c r="F10826" s="6">
        <f>IF($M10826="PADD I","PADD 1",IF($M10826="PADD II","PADD 2",IF($M10826="PADD III","PADD 3",IF($M10826="PADD IV","PADD 4",IF($M10826="PADD V","PADD 5","")))))</f>
        <v/>
      </c>
      <c r="G10826" s="6">
        <f>IF(AND($H10826="ATMOS DISTILLATION",ISNUMBER(SEARCH("VPS",$I10826))=FALSE,LEFT($I10826,6)&lt;&gt;"VACUUM"),"CDU",IF($H10826="FLUID CAT CRACKING","FCC",IF(OR($H10826="HYDROCRACKING",$H10826="RESID_HYDROCRACKING"),"Hydrocracker",IF($H10826="REFORMING","Reformer",""))))</f>
        <v/>
      </c>
    </row>
    <row r="10827" spans="6:7">
      <c r="F10827" s="6">
        <f>IF($M10827="PADD I","PADD 1",IF($M10827="PADD II","PADD 2",IF($M10827="PADD III","PADD 3",IF($M10827="PADD IV","PADD 4",IF($M10827="PADD V","PADD 5","")))))</f>
        <v/>
      </c>
      <c r="G10827" s="6">
        <f>IF(AND($H10827="ATMOS DISTILLATION",ISNUMBER(SEARCH("VPS",$I10827))=FALSE,LEFT($I10827,6)&lt;&gt;"VACUUM"),"CDU",IF($H10827="FLUID CAT CRACKING","FCC",IF(OR($H10827="HYDROCRACKING",$H10827="RESID_HYDROCRACKING"),"Hydrocracker",IF($H10827="REFORMING","Reformer",""))))</f>
        <v/>
      </c>
    </row>
    <row r="10828" spans="6:7">
      <c r="F10828" s="6">
        <f>IF($M10828="PADD I","PADD 1",IF($M10828="PADD II","PADD 2",IF($M10828="PADD III","PADD 3",IF($M10828="PADD IV","PADD 4",IF($M10828="PADD V","PADD 5","")))))</f>
        <v/>
      </c>
      <c r="G10828" s="6">
        <f>IF(AND($H10828="ATMOS DISTILLATION",ISNUMBER(SEARCH("VPS",$I10828))=FALSE,LEFT($I10828,6)&lt;&gt;"VACUUM"),"CDU",IF($H10828="FLUID CAT CRACKING","FCC",IF(OR($H10828="HYDROCRACKING",$H10828="RESID_HYDROCRACKING"),"Hydrocracker",IF($H10828="REFORMING","Reformer",""))))</f>
        <v/>
      </c>
    </row>
    <row r="10829" spans="6:7">
      <c r="F10829" s="6">
        <f>IF($M10829="PADD I","PADD 1",IF($M10829="PADD II","PADD 2",IF($M10829="PADD III","PADD 3",IF($M10829="PADD IV","PADD 4",IF($M10829="PADD V","PADD 5","")))))</f>
        <v/>
      </c>
      <c r="G10829" s="6">
        <f>IF(AND($H10829="ATMOS DISTILLATION",ISNUMBER(SEARCH("VPS",$I10829))=FALSE,LEFT($I10829,6)&lt;&gt;"VACUUM"),"CDU",IF($H10829="FLUID CAT CRACKING","FCC",IF(OR($H10829="HYDROCRACKING",$H10829="RESID_HYDROCRACKING"),"Hydrocracker",IF($H10829="REFORMING","Reformer",""))))</f>
        <v/>
      </c>
    </row>
    <row r="10830" spans="6:7">
      <c r="F10830" s="6">
        <f>IF($M10830="PADD I","PADD 1",IF($M10830="PADD II","PADD 2",IF($M10830="PADD III","PADD 3",IF($M10830="PADD IV","PADD 4",IF($M10830="PADD V","PADD 5","")))))</f>
        <v/>
      </c>
      <c r="G10830" s="6">
        <f>IF(AND($H10830="ATMOS DISTILLATION",ISNUMBER(SEARCH("VPS",$I10830))=FALSE,LEFT($I10830,6)&lt;&gt;"VACUUM"),"CDU",IF($H10830="FLUID CAT CRACKING","FCC",IF(OR($H10830="HYDROCRACKING",$H10830="RESID_HYDROCRACKING"),"Hydrocracker",IF($H10830="REFORMING","Reformer",""))))</f>
        <v/>
      </c>
    </row>
    <row r="10831" spans="6:7">
      <c r="F10831" s="6">
        <f>IF($M10831="PADD I","PADD 1",IF($M10831="PADD II","PADD 2",IF($M10831="PADD III","PADD 3",IF($M10831="PADD IV","PADD 4",IF($M10831="PADD V","PADD 5","")))))</f>
        <v/>
      </c>
      <c r="G10831" s="6">
        <f>IF(AND($H10831="ATMOS DISTILLATION",ISNUMBER(SEARCH("VPS",$I10831))=FALSE,LEFT($I10831,6)&lt;&gt;"VACUUM"),"CDU",IF($H10831="FLUID CAT CRACKING","FCC",IF(OR($H10831="HYDROCRACKING",$H10831="RESID_HYDROCRACKING"),"Hydrocracker",IF($H10831="REFORMING","Reformer",""))))</f>
        <v/>
      </c>
    </row>
    <row r="10832" spans="6:7">
      <c r="F10832" s="6">
        <f>IF($M10832="PADD I","PADD 1",IF($M10832="PADD II","PADD 2",IF($M10832="PADD III","PADD 3",IF($M10832="PADD IV","PADD 4",IF($M10832="PADD V","PADD 5","")))))</f>
        <v/>
      </c>
      <c r="G10832" s="6">
        <f>IF(AND($H10832="ATMOS DISTILLATION",ISNUMBER(SEARCH("VPS",$I10832))=FALSE,LEFT($I10832,6)&lt;&gt;"VACUUM"),"CDU",IF($H10832="FLUID CAT CRACKING","FCC",IF(OR($H10832="HYDROCRACKING",$H10832="RESID_HYDROCRACKING"),"Hydrocracker",IF($H10832="REFORMING","Reformer",""))))</f>
        <v/>
      </c>
    </row>
    <row r="10833" spans="6:7">
      <c r="F10833" s="6">
        <f>IF($M10833="PADD I","PADD 1",IF($M10833="PADD II","PADD 2",IF($M10833="PADD III","PADD 3",IF($M10833="PADD IV","PADD 4",IF($M10833="PADD V","PADD 5","")))))</f>
        <v/>
      </c>
      <c r="G10833" s="6">
        <f>IF(AND($H10833="ATMOS DISTILLATION",ISNUMBER(SEARCH("VPS",$I10833))=FALSE,LEFT($I10833,6)&lt;&gt;"VACUUM"),"CDU",IF($H10833="FLUID CAT CRACKING","FCC",IF(OR($H10833="HYDROCRACKING",$H10833="RESID_HYDROCRACKING"),"Hydrocracker",IF($H10833="REFORMING","Reformer",""))))</f>
        <v/>
      </c>
    </row>
    <row r="10834" spans="6:7">
      <c r="F10834" s="6">
        <f>IF($M10834="PADD I","PADD 1",IF($M10834="PADD II","PADD 2",IF($M10834="PADD III","PADD 3",IF($M10834="PADD IV","PADD 4",IF($M10834="PADD V","PADD 5","")))))</f>
        <v/>
      </c>
      <c r="G10834" s="6">
        <f>IF(AND($H10834="ATMOS DISTILLATION",ISNUMBER(SEARCH("VPS",$I10834))=FALSE,LEFT($I10834,6)&lt;&gt;"VACUUM"),"CDU",IF($H10834="FLUID CAT CRACKING","FCC",IF(OR($H10834="HYDROCRACKING",$H10834="RESID_HYDROCRACKING"),"Hydrocracker",IF($H10834="REFORMING","Reformer",""))))</f>
        <v/>
      </c>
    </row>
    <row r="10835" spans="6:7">
      <c r="F10835" s="6">
        <f>IF($M10835="PADD I","PADD 1",IF($M10835="PADD II","PADD 2",IF($M10835="PADD III","PADD 3",IF($M10835="PADD IV","PADD 4",IF($M10835="PADD V","PADD 5","")))))</f>
        <v/>
      </c>
      <c r="G10835" s="6">
        <f>IF(AND($H10835="ATMOS DISTILLATION",ISNUMBER(SEARCH("VPS",$I10835))=FALSE,LEFT($I10835,6)&lt;&gt;"VACUUM"),"CDU",IF($H10835="FLUID CAT CRACKING","FCC",IF(OR($H10835="HYDROCRACKING",$H10835="RESID_HYDROCRACKING"),"Hydrocracker",IF($H10835="REFORMING","Reformer",""))))</f>
        <v/>
      </c>
    </row>
    <row r="10836" spans="6:7">
      <c r="F10836" s="6">
        <f>IF($M10836="PADD I","PADD 1",IF($M10836="PADD II","PADD 2",IF($M10836="PADD III","PADD 3",IF($M10836="PADD IV","PADD 4",IF($M10836="PADD V","PADD 5","")))))</f>
        <v/>
      </c>
      <c r="G10836" s="6">
        <f>IF(AND($H10836="ATMOS DISTILLATION",ISNUMBER(SEARCH("VPS",$I10836))=FALSE,LEFT($I10836,6)&lt;&gt;"VACUUM"),"CDU",IF($H10836="FLUID CAT CRACKING","FCC",IF(OR($H10836="HYDROCRACKING",$H10836="RESID_HYDROCRACKING"),"Hydrocracker",IF($H10836="REFORMING","Reformer",""))))</f>
        <v/>
      </c>
    </row>
    <row r="10837" spans="6:7">
      <c r="F10837" s="6">
        <f>IF($M10837="PADD I","PADD 1",IF($M10837="PADD II","PADD 2",IF($M10837="PADD III","PADD 3",IF($M10837="PADD IV","PADD 4",IF($M10837="PADD V","PADD 5","")))))</f>
        <v/>
      </c>
      <c r="G10837" s="6">
        <f>IF(AND($H10837="ATMOS DISTILLATION",ISNUMBER(SEARCH("VPS",$I10837))=FALSE,LEFT($I10837,6)&lt;&gt;"VACUUM"),"CDU",IF($H10837="FLUID CAT CRACKING","FCC",IF(OR($H10837="HYDROCRACKING",$H10837="RESID_HYDROCRACKING"),"Hydrocracker",IF($H10837="REFORMING","Reformer",""))))</f>
        <v/>
      </c>
    </row>
    <row r="10838" spans="6:7">
      <c r="F10838" s="6">
        <f>IF($M10838="PADD I","PADD 1",IF($M10838="PADD II","PADD 2",IF($M10838="PADD III","PADD 3",IF($M10838="PADD IV","PADD 4",IF($M10838="PADD V","PADD 5","")))))</f>
        <v/>
      </c>
      <c r="G10838" s="6">
        <f>IF(AND($H10838="ATMOS DISTILLATION",ISNUMBER(SEARCH("VPS",$I10838))=FALSE,LEFT($I10838,6)&lt;&gt;"VACUUM"),"CDU",IF($H10838="FLUID CAT CRACKING","FCC",IF(OR($H10838="HYDROCRACKING",$H10838="RESID_HYDROCRACKING"),"Hydrocracker",IF($H10838="REFORMING","Reformer",""))))</f>
        <v/>
      </c>
    </row>
    <row r="10839" spans="6:7">
      <c r="F10839" s="6">
        <f>IF($M10839="PADD I","PADD 1",IF($M10839="PADD II","PADD 2",IF($M10839="PADD III","PADD 3",IF($M10839="PADD IV","PADD 4",IF($M10839="PADD V","PADD 5","")))))</f>
        <v/>
      </c>
      <c r="G10839" s="6">
        <f>IF(AND($H10839="ATMOS DISTILLATION",ISNUMBER(SEARCH("VPS",$I10839))=FALSE,LEFT($I10839,6)&lt;&gt;"VACUUM"),"CDU",IF($H10839="FLUID CAT CRACKING","FCC",IF(OR($H10839="HYDROCRACKING",$H10839="RESID_HYDROCRACKING"),"Hydrocracker",IF($H10839="REFORMING","Reformer",""))))</f>
        <v/>
      </c>
    </row>
    <row r="10840" spans="6:7">
      <c r="F10840" s="6">
        <f>IF($M10840="PADD I","PADD 1",IF($M10840="PADD II","PADD 2",IF($M10840="PADD III","PADD 3",IF($M10840="PADD IV","PADD 4",IF($M10840="PADD V","PADD 5","")))))</f>
        <v/>
      </c>
      <c r="G10840" s="6">
        <f>IF(AND($H10840="ATMOS DISTILLATION",ISNUMBER(SEARCH("VPS",$I10840))=FALSE,LEFT($I10840,6)&lt;&gt;"VACUUM"),"CDU",IF($H10840="FLUID CAT CRACKING","FCC",IF(OR($H10840="HYDROCRACKING",$H10840="RESID_HYDROCRACKING"),"Hydrocracker",IF($H10840="REFORMING","Reformer",""))))</f>
        <v/>
      </c>
    </row>
    <row r="10841" spans="6:7">
      <c r="F10841" s="6">
        <f>IF($M10841="PADD I","PADD 1",IF($M10841="PADD II","PADD 2",IF($M10841="PADD III","PADD 3",IF($M10841="PADD IV","PADD 4",IF($M10841="PADD V","PADD 5","")))))</f>
        <v/>
      </c>
      <c r="G10841" s="6">
        <f>IF(AND($H10841="ATMOS DISTILLATION",ISNUMBER(SEARCH("VPS",$I10841))=FALSE,LEFT($I10841,6)&lt;&gt;"VACUUM"),"CDU",IF($H10841="FLUID CAT CRACKING","FCC",IF(OR($H10841="HYDROCRACKING",$H10841="RESID_HYDROCRACKING"),"Hydrocracker",IF($H10841="REFORMING","Reformer",""))))</f>
        <v/>
      </c>
    </row>
    <row r="10842" spans="6:7">
      <c r="F10842" s="6">
        <f>IF($M10842="PADD I","PADD 1",IF($M10842="PADD II","PADD 2",IF($M10842="PADD III","PADD 3",IF($M10842="PADD IV","PADD 4",IF($M10842="PADD V","PADD 5","")))))</f>
        <v/>
      </c>
      <c r="G10842" s="6">
        <f>IF(AND($H10842="ATMOS DISTILLATION",ISNUMBER(SEARCH("VPS",$I10842))=FALSE,LEFT($I10842,6)&lt;&gt;"VACUUM"),"CDU",IF($H10842="FLUID CAT CRACKING","FCC",IF(OR($H10842="HYDROCRACKING",$H10842="RESID_HYDROCRACKING"),"Hydrocracker",IF($H10842="REFORMING","Reformer",""))))</f>
        <v/>
      </c>
    </row>
    <row r="10843" spans="6:7">
      <c r="F10843" s="6">
        <f>IF($M10843="PADD I","PADD 1",IF($M10843="PADD II","PADD 2",IF($M10843="PADD III","PADD 3",IF($M10843="PADD IV","PADD 4",IF($M10843="PADD V","PADD 5","")))))</f>
        <v/>
      </c>
      <c r="G10843" s="6">
        <f>IF(AND($H10843="ATMOS DISTILLATION",ISNUMBER(SEARCH("VPS",$I10843))=FALSE,LEFT($I10843,6)&lt;&gt;"VACUUM"),"CDU",IF($H10843="FLUID CAT CRACKING","FCC",IF(OR($H10843="HYDROCRACKING",$H10843="RESID_HYDROCRACKING"),"Hydrocracker",IF($H10843="REFORMING","Reformer",""))))</f>
        <v/>
      </c>
    </row>
    <row r="10844" spans="6:7">
      <c r="F10844" s="6">
        <f>IF($M10844="PADD I","PADD 1",IF($M10844="PADD II","PADD 2",IF($M10844="PADD III","PADD 3",IF($M10844="PADD IV","PADD 4",IF($M10844="PADD V","PADD 5","")))))</f>
        <v/>
      </c>
      <c r="G10844" s="6">
        <f>IF(AND($H10844="ATMOS DISTILLATION",ISNUMBER(SEARCH("VPS",$I10844))=FALSE,LEFT($I10844,6)&lt;&gt;"VACUUM"),"CDU",IF($H10844="FLUID CAT CRACKING","FCC",IF(OR($H10844="HYDROCRACKING",$H10844="RESID_HYDROCRACKING"),"Hydrocracker",IF($H10844="REFORMING","Reformer",""))))</f>
        <v/>
      </c>
    </row>
    <row r="10845" spans="6:7">
      <c r="F10845" s="6">
        <f>IF($M10845="PADD I","PADD 1",IF($M10845="PADD II","PADD 2",IF($M10845="PADD III","PADD 3",IF($M10845="PADD IV","PADD 4",IF($M10845="PADD V","PADD 5","")))))</f>
        <v/>
      </c>
      <c r="G10845" s="6">
        <f>IF(AND($H10845="ATMOS DISTILLATION",ISNUMBER(SEARCH("VPS",$I10845))=FALSE,LEFT($I10845,6)&lt;&gt;"VACUUM"),"CDU",IF($H10845="FLUID CAT CRACKING","FCC",IF(OR($H10845="HYDROCRACKING",$H10845="RESID_HYDROCRACKING"),"Hydrocracker",IF($H10845="REFORMING","Reformer",""))))</f>
        <v/>
      </c>
    </row>
    <row r="10846" spans="6:7">
      <c r="F10846" s="6">
        <f>IF($M10846="PADD I","PADD 1",IF($M10846="PADD II","PADD 2",IF($M10846="PADD III","PADD 3",IF($M10846="PADD IV","PADD 4",IF($M10846="PADD V","PADD 5","")))))</f>
        <v/>
      </c>
      <c r="G10846" s="6">
        <f>IF(AND($H10846="ATMOS DISTILLATION",ISNUMBER(SEARCH("VPS",$I10846))=FALSE,LEFT($I10846,6)&lt;&gt;"VACUUM"),"CDU",IF($H10846="FLUID CAT CRACKING","FCC",IF(OR($H10846="HYDROCRACKING",$H10846="RESID_HYDROCRACKING"),"Hydrocracker",IF($H10846="REFORMING","Reformer",""))))</f>
        <v/>
      </c>
    </row>
    <row r="10847" spans="6:7">
      <c r="F10847" s="6">
        <f>IF($M10847="PADD I","PADD 1",IF($M10847="PADD II","PADD 2",IF($M10847="PADD III","PADD 3",IF($M10847="PADD IV","PADD 4",IF($M10847="PADD V","PADD 5","")))))</f>
        <v/>
      </c>
      <c r="G10847" s="6">
        <f>IF(AND($H10847="ATMOS DISTILLATION",ISNUMBER(SEARCH("VPS",$I10847))=FALSE,LEFT($I10847,6)&lt;&gt;"VACUUM"),"CDU",IF($H10847="FLUID CAT CRACKING","FCC",IF(OR($H10847="HYDROCRACKING",$H10847="RESID_HYDROCRACKING"),"Hydrocracker",IF($H10847="REFORMING","Reformer",""))))</f>
        <v/>
      </c>
    </row>
    <row r="10848" spans="6:7">
      <c r="F10848" s="6">
        <f>IF($M10848="PADD I","PADD 1",IF($M10848="PADD II","PADD 2",IF($M10848="PADD III","PADD 3",IF($M10848="PADD IV","PADD 4",IF($M10848="PADD V","PADD 5","")))))</f>
        <v/>
      </c>
      <c r="G10848" s="6">
        <f>IF(AND($H10848="ATMOS DISTILLATION",ISNUMBER(SEARCH("VPS",$I10848))=FALSE,LEFT($I10848,6)&lt;&gt;"VACUUM"),"CDU",IF($H10848="FLUID CAT CRACKING","FCC",IF(OR($H10848="HYDROCRACKING",$H10848="RESID_HYDROCRACKING"),"Hydrocracker",IF($H10848="REFORMING","Reformer",""))))</f>
        <v/>
      </c>
    </row>
    <row r="10849" spans="6:7">
      <c r="F10849" s="6">
        <f>IF($M10849="PADD I","PADD 1",IF($M10849="PADD II","PADD 2",IF($M10849="PADD III","PADD 3",IF($M10849="PADD IV","PADD 4",IF($M10849="PADD V","PADD 5","")))))</f>
        <v/>
      </c>
      <c r="G10849" s="6">
        <f>IF(AND($H10849="ATMOS DISTILLATION",ISNUMBER(SEARCH("VPS",$I10849))=FALSE,LEFT($I10849,6)&lt;&gt;"VACUUM"),"CDU",IF($H10849="FLUID CAT CRACKING","FCC",IF(OR($H10849="HYDROCRACKING",$H10849="RESID_HYDROCRACKING"),"Hydrocracker",IF($H10849="REFORMING","Reformer",""))))</f>
        <v/>
      </c>
    </row>
    <row r="10850" spans="6:7">
      <c r="F10850" s="6">
        <f>IF($M10850="PADD I","PADD 1",IF($M10850="PADD II","PADD 2",IF($M10850="PADD III","PADD 3",IF($M10850="PADD IV","PADD 4",IF($M10850="PADD V","PADD 5","")))))</f>
        <v/>
      </c>
      <c r="G10850" s="6">
        <f>IF(AND($H10850="ATMOS DISTILLATION",ISNUMBER(SEARCH("VPS",$I10850))=FALSE,LEFT($I10850,6)&lt;&gt;"VACUUM"),"CDU",IF($H10850="FLUID CAT CRACKING","FCC",IF(OR($H10850="HYDROCRACKING",$H10850="RESID_HYDROCRACKING"),"Hydrocracker",IF($H10850="REFORMING","Reformer",""))))</f>
        <v/>
      </c>
    </row>
    <row r="10851" spans="6:7">
      <c r="F10851" s="6">
        <f>IF($M10851="PADD I","PADD 1",IF($M10851="PADD II","PADD 2",IF($M10851="PADD III","PADD 3",IF($M10851="PADD IV","PADD 4",IF($M10851="PADD V","PADD 5","")))))</f>
        <v/>
      </c>
      <c r="G10851" s="6">
        <f>IF(AND($H10851="ATMOS DISTILLATION",ISNUMBER(SEARCH("VPS",$I10851))=FALSE,LEFT($I10851,6)&lt;&gt;"VACUUM"),"CDU",IF($H10851="FLUID CAT CRACKING","FCC",IF(OR($H10851="HYDROCRACKING",$H10851="RESID_HYDROCRACKING"),"Hydrocracker",IF($H10851="REFORMING","Reformer",""))))</f>
        <v/>
      </c>
    </row>
    <row r="10852" spans="6:7">
      <c r="F10852" s="6">
        <f>IF($M10852="PADD I","PADD 1",IF($M10852="PADD II","PADD 2",IF($M10852="PADD III","PADD 3",IF($M10852="PADD IV","PADD 4",IF($M10852="PADD V","PADD 5","")))))</f>
        <v/>
      </c>
      <c r="G10852" s="6">
        <f>IF(AND($H10852="ATMOS DISTILLATION",ISNUMBER(SEARCH("VPS",$I10852))=FALSE,LEFT($I10852,6)&lt;&gt;"VACUUM"),"CDU",IF($H10852="FLUID CAT CRACKING","FCC",IF(OR($H10852="HYDROCRACKING",$H10852="RESID_HYDROCRACKING"),"Hydrocracker",IF($H10852="REFORMING","Reformer",""))))</f>
        <v/>
      </c>
    </row>
    <row r="10853" spans="6:7">
      <c r="F10853" s="6">
        <f>IF($M10853="PADD I","PADD 1",IF($M10853="PADD II","PADD 2",IF($M10853="PADD III","PADD 3",IF($M10853="PADD IV","PADD 4",IF($M10853="PADD V","PADD 5","")))))</f>
        <v/>
      </c>
      <c r="G10853" s="6">
        <f>IF(AND($H10853="ATMOS DISTILLATION",ISNUMBER(SEARCH("VPS",$I10853))=FALSE,LEFT($I10853,6)&lt;&gt;"VACUUM"),"CDU",IF($H10853="FLUID CAT CRACKING","FCC",IF(OR($H10853="HYDROCRACKING",$H10853="RESID_HYDROCRACKING"),"Hydrocracker",IF($H10853="REFORMING","Reformer",""))))</f>
        <v/>
      </c>
    </row>
    <row r="10854" spans="6:7">
      <c r="F10854" s="6">
        <f>IF($M10854="PADD I","PADD 1",IF($M10854="PADD II","PADD 2",IF($M10854="PADD III","PADD 3",IF($M10854="PADD IV","PADD 4",IF($M10854="PADD V","PADD 5","")))))</f>
        <v/>
      </c>
      <c r="G10854" s="6">
        <f>IF(AND($H10854="ATMOS DISTILLATION",ISNUMBER(SEARCH("VPS",$I10854))=FALSE,LEFT($I10854,6)&lt;&gt;"VACUUM"),"CDU",IF($H10854="FLUID CAT CRACKING","FCC",IF(OR($H10854="HYDROCRACKING",$H10854="RESID_HYDROCRACKING"),"Hydrocracker",IF($H10854="REFORMING","Reformer",""))))</f>
        <v/>
      </c>
    </row>
    <row r="10855" spans="6:7">
      <c r="F10855" s="6">
        <f>IF($M10855="PADD I","PADD 1",IF($M10855="PADD II","PADD 2",IF($M10855="PADD III","PADD 3",IF($M10855="PADD IV","PADD 4",IF($M10855="PADD V","PADD 5","")))))</f>
        <v/>
      </c>
      <c r="G10855" s="6">
        <f>IF(AND($H10855="ATMOS DISTILLATION",ISNUMBER(SEARCH("VPS",$I10855))=FALSE,LEFT($I10855,6)&lt;&gt;"VACUUM"),"CDU",IF($H10855="FLUID CAT CRACKING","FCC",IF(OR($H10855="HYDROCRACKING",$H10855="RESID_HYDROCRACKING"),"Hydrocracker",IF($H10855="REFORMING","Reformer",""))))</f>
        <v/>
      </c>
    </row>
    <row r="10856" spans="6:7">
      <c r="F10856" s="6">
        <f>IF($M10856="PADD I","PADD 1",IF($M10856="PADD II","PADD 2",IF($M10856="PADD III","PADD 3",IF($M10856="PADD IV","PADD 4",IF($M10856="PADD V","PADD 5","")))))</f>
        <v/>
      </c>
      <c r="G10856" s="6">
        <f>IF(AND($H10856="ATMOS DISTILLATION",ISNUMBER(SEARCH("VPS",$I10856))=FALSE,LEFT($I10856,6)&lt;&gt;"VACUUM"),"CDU",IF($H10856="FLUID CAT CRACKING","FCC",IF(OR($H10856="HYDROCRACKING",$H10856="RESID_HYDROCRACKING"),"Hydrocracker",IF($H10856="REFORMING","Reformer",""))))</f>
        <v/>
      </c>
    </row>
    <row r="10857" spans="6:7">
      <c r="F10857" s="6">
        <f>IF($M10857="PADD I","PADD 1",IF($M10857="PADD II","PADD 2",IF($M10857="PADD III","PADD 3",IF($M10857="PADD IV","PADD 4",IF($M10857="PADD V","PADD 5","")))))</f>
        <v/>
      </c>
      <c r="G10857" s="6">
        <f>IF(AND($H10857="ATMOS DISTILLATION",ISNUMBER(SEARCH("VPS",$I10857))=FALSE,LEFT($I10857,6)&lt;&gt;"VACUUM"),"CDU",IF($H10857="FLUID CAT CRACKING","FCC",IF(OR($H10857="HYDROCRACKING",$H10857="RESID_HYDROCRACKING"),"Hydrocracker",IF($H10857="REFORMING","Reformer",""))))</f>
        <v/>
      </c>
    </row>
    <row r="10858" spans="6:7">
      <c r="F10858" s="6">
        <f>IF($M10858="PADD I","PADD 1",IF($M10858="PADD II","PADD 2",IF($M10858="PADD III","PADD 3",IF($M10858="PADD IV","PADD 4",IF($M10858="PADD V","PADD 5","")))))</f>
        <v/>
      </c>
      <c r="G10858" s="6">
        <f>IF(AND($H10858="ATMOS DISTILLATION",ISNUMBER(SEARCH("VPS",$I10858))=FALSE,LEFT($I10858,6)&lt;&gt;"VACUUM"),"CDU",IF($H10858="FLUID CAT CRACKING","FCC",IF(OR($H10858="HYDROCRACKING",$H10858="RESID_HYDROCRACKING"),"Hydrocracker",IF($H10858="REFORMING","Reformer",""))))</f>
        <v/>
      </c>
    </row>
    <row r="10859" spans="6:7">
      <c r="F10859" s="6">
        <f>IF($M10859="PADD I","PADD 1",IF($M10859="PADD II","PADD 2",IF($M10859="PADD III","PADD 3",IF($M10859="PADD IV","PADD 4",IF($M10859="PADD V","PADD 5","")))))</f>
        <v/>
      </c>
      <c r="G10859" s="6">
        <f>IF(AND($H10859="ATMOS DISTILLATION",ISNUMBER(SEARCH("VPS",$I10859))=FALSE,LEFT($I10859,6)&lt;&gt;"VACUUM"),"CDU",IF($H10859="FLUID CAT CRACKING","FCC",IF(OR($H10859="HYDROCRACKING",$H10859="RESID_HYDROCRACKING"),"Hydrocracker",IF($H10859="REFORMING","Reformer",""))))</f>
        <v/>
      </c>
    </row>
    <row r="10860" spans="6:7">
      <c r="F10860" s="6">
        <f>IF($M10860="PADD I","PADD 1",IF($M10860="PADD II","PADD 2",IF($M10860="PADD III","PADD 3",IF($M10860="PADD IV","PADD 4",IF($M10860="PADD V","PADD 5","")))))</f>
        <v/>
      </c>
      <c r="G10860" s="6">
        <f>IF(AND($H10860="ATMOS DISTILLATION",ISNUMBER(SEARCH("VPS",$I10860))=FALSE,LEFT($I10860,6)&lt;&gt;"VACUUM"),"CDU",IF($H10860="FLUID CAT CRACKING","FCC",IF(OR($H10860="HYDROCRACKING",$H10860="RESID_HYDROCRACKING"),"Hydrocracker",IF($H10860="REFORMING","Reformer",""))))</f>
        <v/>
      </c>
    </row>
    <row r="10861" spans="6:7">
      <c r="F10861" s="6">
        <f>IF($M10861="PADD I","PADD 1",IF($M10861="PADD II","PADD 2",IF($M10861="PADD III","PADD 3",IF($M10861="PADD IV","PADD 4",IF($M10861="PADD V","PADD 5","")))))</f>
        <v/>
      </c>
      <c r="G10861" s="6">
        <f>IF(AND($H10861="ATMOS DISTILLATION",ISNUMBER(SEARCH("VPS",$I10861))=FALSE,LEFT($I10861,6)&lt;&gt;"VACUUM"),"CDU",IF($H10861="FLUID CAT CRACKING","FCC",IF(OR($H10861="HYDROCRACKING",$H10861="RESID_HYDROCRACKING"),"Hydrocracker",IF($H10861="REFORMING","Reformer",""))))</f>
        <v/>
      </c>
    </row>
    <row r="10862" spans="6:7">
      <c r="F10862" s="6">
        <f>IF($M10862="PADD I","PADD 1",IF($M10862="PADD II","PADD 2",IF($M10862="PADD III","PADD 3",IF($M10862="PADD IV","PADD 4",IF($M10862="PADD V","PADD 5","")))))</f>
        <v/>
      </c>
      <c r="G10862" s="6">
        <f>IF(AND($H10862="ATMOS DISTILLATION",ISNUMBER(SEARCH("VPS",$I10862))=FALSE,LEFT($I10862,6)&lt;&gt;"VACUUM"),"CDU",IF($H10862="FLUID CAT CRACKING","FCC",IF(OR($H10862="HYDROCRACKING",$H10862="RESID_HYDROCRACKING"),"Hydrocracker",IF($H10862="REFORMING","Reformer",""))))</f>
        <v/>
      </c>
    </row>
    <row r="10863" spans="6:7">
      <c r="F10863" s="6">
        <f>IF($M10863="PADD I","PADD 1",IF($M10863="PADD II","PADD 2",IF($M10863="PADD III","PADD 3",IF($M10863="PADD IV","PADD 4",IF($M10863="PADD V","PADD 5","")))))</f>
        <v/>
      </c>
      <c r="G10863" s="6">
        <f>IF(AND($H10863="ATMOS DISTILLATION",ISNUMBER(SEARCH("VPS",$I10863))=FALSE,LEFT($I10863,6)&lt;&gt;"VACUUM"),"CDU",IF($H10863="FLUID CAT CRACKING","FCC",IF(OR($H10863="HYDROCRACKING",$H10863="RESID_HYDROCRACKING"),"Hydrocracker",IF($H10863="REFORMING","Reformer",""))))</f>
        <v/>
      </c>
    </row>
    <row r="10864" spans="6:7">
      <c r="F10864" s="6">
        <f>IF($M10864="PADD I","PADD 1",IF($M10864="PADD II","PADD 2",IF($M10864="PADD III","PADD 3",IF($M10864="PADD IV","PADD 4",IF($M10864="PADD V","PADD 5","")))))</f>
        <v/>
      </c>
      <c r="G10864" s="6">
        <f>IF(AND($H10864="ATMOS DISTILLATION",ISNUMBER(SEARCH("VPS",$I10864))=FALSE,LEFT($I10864,6)&lt;&gt;"VACUUM"),"CDU",IF($H10864="FLUID CAT CRACKING","FCC",IF(OR($H10864="HYDROCRACKING",$H10864="RESID_HYDROCRACKING"),"Hydrocracker",IF($H10864="REFORMING","Reformer",""))))</f>
        <v/>
      </c>
    </row>
    <row r="10865" spans="6:7">
      <c r="F10865" s="6">
        <f>IF($M10865="PADD I","PADD 1",IF($M10865="PADD II","PADD 2",IF($M10865="PADD III","PADD 3",IF($M10865="PADD IV","PADD 4",IF($M10865="PADD V","PADD 5","")))))</f>
        <v/>
      </c>
      <c r="G10865" s="6">
        <f>IF(AND($H10865="ATMOS DISTILLATION",ISNUMBER(SEARCH("VPS",$I10865))=FALSE,LEFT($I10865,6)&lt;&gt;"VACUUM"),"CDU",IF($H10865="FLUID CAT CRACKING","FCC",IF(OR($H10865="HYDROCRACKING",$H10865="RESID_HYDROCRACKING"),"Hydrocracker",IF($H10865="REFORMING","Reformer",""))))</f>
        <v/>
      </c>
    </row>
    <row r="10866" spans="6:7">
      <c r="F10866" s="6">
        <f>IF($M10866="PADD I","PADD 1",IF($M10866="PADD II","PADD 2",IF($M10866="PADD III","PADD 3",IF($M10866="PADD IV","PADD 4",IF($M10866="PADD V","PADD 5","")))))</f>
        <v/>
      </c>
      <c r="G10866" s="6">
        <f>IF(AND($H10866="ATMOS DISTILLATION",ISNUMBER(SEARCH("VPS",$I10866))=FALSE,LEFT($I10866,6)&lt;&gt;"VACUUM"),"CDU",IF($H10866="FLUID CAT CRACKING","FCC",IF(OR($H10866="HYDROCRACKING",$H10866="RESID_HYDROCRACKING"),"Hydrocracker",IF($H10866="REFORMING","Reformer",""))))</f>
        <v/>
      </c>
    </row>
    <row r="10867" spans="6:7">
      <c r="F10867" s="6">
        <f>IF($M10867="PADD I","PADD 1",IF($M10867="PADD II","PADD 2",IF($M10867="PADD III","PADD 3",IF($M10867="PADD IV","PADD 4",IF($M10867="PADD V","PADD 5","")))))</f>
        <v/>
      </c>
      <c r="G10867" s="6">
        <f>IF(AND($H10867="ATMOS DISTILLATION",ISNUMBER(SEARCH("VPS",$I10867))=FALSE,LEFT($I10867,6)&lt;&gt;"VACUUM"),"CDU",IF($H10867="FLUID CAT CRACKING","FCC",IF(OR($H10867="HYDROCRACKING",$H10867="RESID_HYDROCRACKING"),"Hydrocracker",IF($H10867="REFORMING","Reformer",""))))</f>
        <v/>
      </c>
    </row>
    <row r="10868" spans="6:7">
      <c r="F10868" s="6">
        <f>IF($M10868="PADD I","PADD 1",IF($M10868="PADD II","PADD 2",IF($M10868="PADD III","PADD 3",IF($M10868="PADD IV","PADD 4",IF($M10868="PADD V","PADD 5","")))))</f>
        <v/>
      </c>
      <c r="G10868" s="6">
        <f>IF(AND($H10868="ATMOS DISTILLATION",ISNUMBER(SEARCH("VPS",$I10868))=FALSE,LEFT($I10868,6)&lt;&gt;"VACUUM"),"CDU",IF($H10868="FLUID CAT CRACKING","FCC",IF(OR($H10868="HYDROCRACKING",$H10868="RESID_HYDROCRACKING"),"Hydrocracker",IF($H10868="REFORMING","Reformer",""))))</f>
        <v/>
      </c>
    </row>
    <row r="10869" spans="6:7">
      <c r="F10869" s="6">
        <f>IF($M10869="PADD I","PADD 1",IF($M10869="PADD II","PADD 2",IF($M10869="PADD III","PADD 3",IF($M10869="PADD IV","PADD 4",IF($M10869="PADD V","PADD 5","")))))</f>
        <v/>
      </c>
      <c r="G10869" s="6">
        <f>IF(AND($H10869="ATMOS DISTILLATION",ISNUMBER(SEARCH("VPS",$I10869))=FALSE,LEFT($I10869,6)&lt;&gt;"VACUUM"),"CDU",IF($H10869="FLUID CAT CRACKING","FCC",IF(OR($H10869="HYDROCRACKING",$H10869="RESID_HYDROCRACKING"),"Hydrocracker",IF($H10869="REFORMING","Reformer",""))))</f>
        <v/>
      </c>
    </row>
    <row r="10870" spans="6:7">
      <c r="F10870" s="6">
        <f>IF($M10870="PADD I","PADD 1",IF($M10870="PADD II","PADD 2",IF($M10870="PADD III","PADD 3",IF($M10870="PADD IV","PADD 4",IF($M10870="PADD V","PADD 5","")))))</f>
        <v/>
      </c>
      <c r="G10870" s="6">
        <f>IF(AND($H10870="ATMOS DISTILLATION",ISNUMBER(SEARCH("VPS",$I10870))=FALSE,LEFT($I10870,6)&lt;&gt;"VACUUM"),"CDU",IF($H10870="FLUID CAT CRACKING","FCC",IF(OR($H10870="HYDROCRACKING",$H10870="RESID_HYDROCRACKING"),"Hydrocracker",IF($H10870="REFORMING","Reformer",""))))</f>
        <v/>
      </c>
    </row>
    <row r="10871" spans="6:7">
      <c r="F10871" s="6">
        <f>IF($M10871="PADD I","PADD 1",IF($M10871="PADD II","PADD 2",IF($M10871="PADD III","PADD 3",IF($M10871="PADD IV","PADD 4",IF($M10871="PADD V","PADD 5","")))))</f>
        <v/>
      </c>
      <c r="G10871" s="6">
        <f>IF(AND($H10871="ATMOS DISTILLATION",ISNUMBER(SEARCH("VPS",$I10871))=FALSE,LEFT($I10871,6)&lt;&gt;"VACUUM"),"CDU",IF($H10871="FLUID CAT CRACKING","FCC",IF(OR($H10871="HYDROCRACKING",$H10871="RESID_HYDROCRACKING"),"Hydrocracker",IF($H10871="REFORMING","Reformer",""))))</f>
        <v/>
      </c>
    </row>
    <row r="10872" spans="6:7">
      <c r="F10872" s="6">
        <f>IF($M10872="PADD I","PADD 1",IF($M10872="PADD II","PADD 2",IF($M10872="PADD III","PADD 3",IF($M10872="PADD IV","PADD 4",IF($M10872="PADD V","PADD 5","")))))</f>
        <v/>
      </c>
      <c r="G10872" s="6">
        <f>IF(AND($H10872="ATMOS DISTILLATION",ISNUMBER(SEARCH("VPS",$I10872))=FALSE,LEFT($I10872,6)&lt;&gt;"VACUUM"),"CDU",IF($H10872="FLUID CAT CRACKING","FCC",IF(OR($H10872="HYDROCRACKING",$H10872="RESID_HYDROCRACKING"),"Hydrocracker",IF($H10872="REFORMING","Reformer",""))))</f>
        <v/>
      </c>
    </row>
    <row r="10873" spans="6:7">
      <c r="F10873" s="6">
        <f>IF($M10873="PADD I","PADD 1",IF($M10873="PADD II","PADD 2",IF($M10873="PADD III","PADD 3",IF($M10873="PADD IV","PADD 4",IF($M10873="PADD V","PADD 5","")))))</f>
        <v/>
      </c>
      <c r="G10873" s="6">
        <f>IF(AND($H10873="ATMOS DISTILLATION",ISNUMBER(SEARCH("VPS",$I10873))=FALSE,LEFT($I10873,6)&lt;&gt;"VACUUM"),"CDU",IF($H10873="FLUID CAT CRACKING","FCC",IF(OR($H10873="HYDROCRACKING",$H10873="RESID_HYDROCRACKING"),"Hydrocracker",IF($H10873="REFORMING","Reformer",""))))</f>
        <v/>
      </c>
    </row>
    <row r="10874" spans="6:7">
      <c r="F10874" s="6">
        <f>IF($M10874="PADD I","PADD 1",IF($M10874="PADD II","PADD 2",IF($M10874="PADD III","PADD 3",IF($M10874="PADD IV","PADD 4",IF($M10874="PADD V","PADD 5","")))))</f>
        <v/>
      </c>
      <c r="G10874" s="6">
        <f>IF(AND($H10874="ATMOS DISTILLATION",ISNUMBER(SEARCH("VPS",$I10874))=FALSE,LEFT($I10874,6)&lt;&gt;"VACUUM"),"CDU",IF($H10874="FLUID CAT CRACKING","FCC",IF(OR($H10874="HYDROCRACKING",$H10874="RESID_HYDROCRACKING"),"Hydrocracker",IF($H10874="REFORMING","Reformer",""))))</f>
        <v/>
      </c>
    </row>
    <row r="10875" spans="6:7">
      <c r="F10875" s="6">
        <f>IF($M10875="PADD I","PADD 1",IF($M10875="PADD II","PADD 2",IF($M10875="PADD III","PADD 3",IF($M10875="PADD IV","PADD 4",IF($M10875="PADD V","PADD 5","")))))</f>
        <v/>
      </c>
      <c r="G10875" s="6">
        <f>IF(AND($H10875="ATMOS DISTILLATION",ISNUMBER(SEARCH("VPS",$I10875))=FALSE,LEFT($I10875,6)&lt;&gt;"VACUUM"),"CDU",IF($H10875="FLUID CAT CRACKING","FCC",IF(OR($H10875="HYDROCRACKING",$H10875="RESID_HYDROCRACKING"),"Hydrocracker",IF($H10875="REFORMING","Reformer",""))))</f>
        <v/>
      </c>
    </row>
    <row r="10876" spans="6:7">
      <c r="F10876" s="6">
        <f>IF($M10876="PADD I","PADD 1",IF($M10876="PADD II","PADD 2",IF($M10876="PADD III","PADD 3",IF($M10876="PADD IV","PADD 4",IF($M10876="PADD V","PADD 5","")))))</f>
        <v/>
      </c>
      <c r="G10876" s="6">
        <f>IF(AND($H10876="ATMOS DISTILLATION",ISNUMBER(SEARCH("VPS",$I10876))=FALSE,LEFT($I10876,6)&lt;&gt;"VACUUM"),"CDU",IF($H10876="FLUID CAT CRACKING","FCC",IF(OR($H10876="HYDROCRACKING",$H10876="RESID_HYDROCRACKING"),"Hydrocracker",IF($H10876="REFORMING","Reformer",""))))</f>
        <v/>
      </c>
    </row>
    <row r="10877" spans="6:7">
      <c r="F10877" s="6">
        <f>IF($M10877="PADD I","PADD 1",IF($M10877="PADD II","PADD 2",IF($M10877="PADD III","PADD 3",IF($M10877="PADD IV","PADD 4",IF($M10877="PADD V","PADD 5","")))))</f>
        <v/>
      </c>
      <c r="G10877" s="6">
        <f>IF(AND($H10877="ATMOS DISTILLATION",ISNUMBER(SEARCH("VPS",$I10877))=FALSE,LEFT($I10877,6)&lt;&gt;"VACUUM"),"CDU",IF($H10877="FLUID CAT CRACKING","FCC",IF(OR($H10877="HYDROCRACKING",$H10877="RESID_HYDROCRACKING"),"Hydrocracker",IF($H10877="REFORMING","Reformer",""))))</f>
        <v/>
      </c>
    </row>
    <row r="10878" spans="6:7">
      <c r="F10878" s="6">
        <f>IF($M10878="PADD I","PADD 1",IF($M10878="PADD II","PADD 2",IF($M10878="PADD III","PADD 3",IF($M10878="PADD IV","PADD 4",IF($M10878="PADD V","PADD 5","")))))</f>
        <v/>
      </c>
      <c r="G10878" s="6">
        <f>IF(AND($H10878="ATMOS DISTILLATION",ISNUMBER(SEARCH("VPS",$I10878))=FALSE,LEFT($I10878,6)&lt;&gt;"VACUUM"),"CDU",IF($H10878="FLUID CAT CRACKING","FCC",IF(OR($H10878="HYDROCRACKING",$H10878="RESID_HYDROCRACKING"),"Hydrocracker",IF($H10878="REFORMING","Reformer",""))))</f>
        <v/>
      </c>
    </row>
    <row r="10879" spans="6:7">
      <c r="F10879" s="6">
        <f>IF($M10879="PADD I","PADD 1",IF($M10879="PADD II","PADD 2",IF($M10879="PADD III","PADD 3",IF($M10879="PADD IV","PADD 4",IF($M10879="PADD V","PADD 5","")))))</f>
        <v/>
      </c>
      <c r="G10879" s="6">
        <f>IF(AND($H10879="ATMOS DISTILLATION",ISNUMBER(SEARCH("VPS",$I10879))=FALSE,LEFT($I10879,6)&lt;&gt;"VACUUM"),"CDU",IF($H10879="FLUID CAT CRACKING","FCC",IF(OR($H10879="HYDROCRACKING",$H10879="RESID_HYDROCRACKING"),"Hydrocracker",IF($H10879="REFORMING","Reformer",""))))</f>
        <v/>
      </c>
    </row>
    <row r="10880" spans="6:7">
      <c r="F10880" s="6">
        <f>IF($M10880="PADD I","PADD 1",IF($M10880="PADD II","PADD 2",IF($M10880="PADD III","PADD 3",IF($M10880="PADD IV","PADD 4",IF($M10880="PADD V","PADD 5","")))))</f>
        <v/>
      </c>
      <c r="G10880" s="6">
        <f>IF(AND($H10880="ATMOS DISTILLATION",ISNUMBER(SEARCH("VPS",$I10880))=FALSE,LEFT($I10880,6)&lt;&gt;"VACUUM"),"CDU",IF($H10880="FLUID CAT CRACKING","FCC",IF(OR($H10880="HYDROCRACKING",$H10880="RESID_HYDROCRACKING"),"Hydrocracker",IF($H10880="REFORMING","Reformer",""))))</f>
        <v/>
      </c>
    </row>
    <row r="10881" spans="6:7">
      <c r="F10881" s="6">
        <f>IF($M10881="PADD I","PADD 1",IF($M10881="PADD II","PADD 2",IF($M10881="PADD III","PADD 3",IF($M10881="PADD IV","PADD 4",IF($M10881="PADD V","PADD 5","")))))</f>
        <v/>
      </c>
      <c r="G10881" s="6">
        <f>IF(AND($H10881="ATMOS DISTILLATION",ISNUMBER(SEARCH("VPS",$I10881))=FALSE,LEFT($I10881,6)&lt;&gt;"VACUUM"),"CDU",IF($H10881="FLUID CAT CRACKING","FCC",IF(OR($H10881="HYDROCRACKING",$H10881="RESID_HYDROCRACKING"),"Hydrocracker",IF($H10881="REFORMING","Reformer",""))))</f>
        <v/>
      </c>
    </row>
    <row r="10882" spans="6:7">
      <c r="F10882" s="6">
        <f>IF($M10882="PADD I","PADD 1",IF($M10882="PADD II","PADD 2",IF($M10882="PADD III","PADD 3",IF($M10882="PADD IV","PADD 4",IF($M10882="PADD V","PADD 5","")))))</f>
        <v/>
      </c>
      <c r="G10882" s="6">
        <f>IF(AND($H10882="ATMOS DISTILLATION",ISNUMBER(SEARCH("VPS",$I10882))=FALSE,LEFT($I10882,6)&lt;&gt;"VACUUM"),"CDU",IF($H10882="FLUID CAT CRACKING","FCC",IF(OR($H10882="HYDROCRACKING",$H10882="RESID_HYDROCRACKING"),"Hydrocracker",IF($H10882="REFORMING","Reformer",""))))</f>
        <v/>
      </c>
    </row>
    <row r="10883" spans="6:7">
      <c r="F10883" s="6">
        <f>IF($M10883="PADD I","PADD 1",IF($M10883="PADD II","PADD 2",IF($M10883="PADD III","PADD 3",IF($M10883="PADD IV","PADD 4",IF($M10883="PADD V","PADD 5","")))))</f>
        <v/>
      </c>
      <c r="G10883" s="6">
        <f>IF(AND($H10883="ATMOS DISTILLATION",ISNUMBER(SEARCH("VPS",$I10883))=FALSE,LEFT($I10883,6)&lt;&gt;"VACUUM"),"CDU",IF($H10883="FLUID CAT CRACKING","FCC",IF(OR($H10883="HYDROCRACKING",$H10883="RESID_HYDROCRACKING"),"Hydrocracker",IF($H10883="REFORMING","Reformer",""))))</f>
        <v/>
      </c>
    </row>
    <row r="10884" spans="6:7">
      <c r="F10884" s="6">
        <f>IF($M10884="PADD I","PADD 1",IF($M10884="PADD II","PADD 2",IF($M10884="PADD III","PADD 3",IF($M10884="PADD IV","PADD 4",IF($M10884="PADD V","PADD 5","")))))</f>
        <v/>
      </c>
      <c r="G10884" s="6">
        <f>IF(AND($H10884="ATMOS DISTILLATION",ISNUMBER(SEARCH("VPS",$I10884))=FALSE,LEFT($I10884,6)&lt;&gt;"VACUUM"),"CDU",IF($H10884="FLUID CAT CRACKING","FCC",IF(OR($H10884="HYDROCRACKING",$H10884="RESID_HYDROCRACKING"),"Hydrocracker",IF($H10884="REFORMING","Reformer",""))))</f>
        <v/>
      </c>
    </row>
    <row r="10885" spans="6:7">
      <c r="F10885" s="6">
        <f>IF($M10885="PADD I","PADD 1",IF($M10885="PADD II","PADD 2",IF($M10885="PADD III","PADD 3",IF($M10885="PADD IV","PADD 4",IF($M10885="PADD V","PADD 5","")))))</f>
        <v/>
      </c>
      <c r="G10885" s="6">
        <f>IF(AND($H10885="ATMOS DISTILLATION",ISNUMBER(SEARCH("VPS",$I10885))=FALSE,LEFT($I10885,6)&lt;&gt;"VACUUM"),"CDU",IF($H10885="FLUID CAT CRACKING","FCC",IF(OR($H10885="HYDROCRACKING",$H10885="RESID_HYDROCRACKING"),"Hydrocracker",IF($H10885="REFORMING","Reformer",""))))</f>
        <v/>
      </c>
    </row>
    <row r="10886" spans="6:7">
      <c r="F10886" s="6">
        <f>IF($M10886="PADD I","PADD 1",IF($M10886="PADD II","PADD 2",IF($M10886="PADD III","PADD 3",IF($M10886="PADD IV","PADD 4",IF($M10886="PADD V","PADD 5","")))))</f>
        <v/>
      </c>
      <c r="G10886" s="6">
        <f>IF(AND($H10886="ATMOS DISTILLATION",ISNUMBER(SEARCH("VPS",$I10886))=FALSE,LEFT($I10886,6)&lt;&gt;"VACUUM"),"CDU",IF($H10886="FLUID CAT CRACKING","FCC",IF(OR($H10886="HYDROCRACKING",$H10886="RESID_HYDROCRACKING"),"Hydrocracker",IF($H10886="REFORMING","Reformer",""))))</f>
        <v/>
      </c>
    </row>
    <row r="10887" spans="6:7">
      <c r="F10887" s="6">
        <f>IF($M10887="PADD I","PADD 1",IF($M10887="PADD II","PADD 2",IF($M10887="PADD III","PADD 3",IF($M10887="PADD IV","PADD 4",IF($M10887="PADD V","PADD 5","")))))</f>
        <v/>
      </c>
      <c r="G10887" s="6">
        <f>IF(AND($H10887="ATMOS DISTILLATION",ISNUMBER(SEARCH("VPS",$I10887))=FALSE,LEFT($I10887,6)&lt;&gt;"VACUUM"),"CDU",IF($H10887="FLUID CAT CRACKING","FCC",IF(OR($H10887="HYDROCRACKING",$H10887="RESID_HYDROCRACKING"),"Hydrocracker",IF($H10887="REFORMING","Reformer",""))))</f>
        <v/>
      </c>
    </row>
    <row r="10888" spans="6:7">
      <c r="F10888" s="6">
        <f>IF($M10888="PADD I","PADD 1",IF($M10888="PADD II","PADD 2",IF($M10888="PADD III","PADD 3",IF($M10888="PADD IV","PADD 4",IF($M10888="PADD V","PADD 5","")))))</f>
        <v/>
      </c>
      <c r="G10888" s="6">
        <f>IF(AND($H10888="ATMOS DISTILLATION",ISNUMBER(SEARCH("VPS",$I10888))=FALSE,LEFT($I10888,6)&lt;&gt;"VACUUM"),"CDU",IF($H10888="FLUID CAT CRACKING","FCC",IF(OR($H10888="HYDROCRACKING",$H10888="RESID_HYDROCRACKING"),"Hydrocracker",IF($H10888="REFORMING","Reformer",""))))</f>
        <v/>
      </c>
    </row>
    <row r="10889" spans="6:7">
      <c r="F10889" s="6">
        <f>IF($M10889="PADD I","PADD 1",IF($M10889="PADD II","PADD 2",IF($M10889="PADD III","PADD 3",IF($M10889="PADD IV","PADD 4",IF($M10889="PADD V","PADD 5","")))))</f>
        <v/>
      </c>
      <c r="G10889" s="6">
        <f>IF(AND($H10889="ATMOS DISTILLATION",ISNUMBER(SEARCH("VPS",$I10889))=FALSE,LEFT($I10889,6)&lt;&gt;"VACUUM"),"CDU",IF($H10889="FLUID CAT CRACKING","FCC",IF(OR($H10889="HYDROCRACKING",$H10889="RESID_HYDROCRACKING"),"Hydrocracker",IF($H10889="REFORMING","Reformer",""))))</f>
        <v/>
      </c>
    </row>
    <row r="10890" spans="6:7">
      <c r="F10890" s="6">
        <f>IF($M10890="PADD I","PADD 1",IF($M10890="PADD II","PADD 2",IF($M10890="PADD III","PADD 3",IF($M10890="PADD IV","PADD 4",IF($M10890="PADD V","PADD 5","")))))</f>
        <v/>
      </c>
      <c r="G10890" s="6">
        <f>IF(AND($H10890="ATMOS DISTILLATION",ISNUMBER(SEARCH("VPS",$I10890))=FALSE,LEFT($I10890,6)&lt;&gt;"VACUUM"),"CDU",IF($H10890="FLUID CAT CRACKING","FCC",IF(OR($H10890="HYDROCRACKING",$H10890="RESID_HYDROCRACKING"),"Hydrocracker",IF($H10890="REFORMING","Reformer",""))))</f>
        <v/>
      </c>
    </row>
    <row r="10891" spans="6:7">
      <c r="F10891" s="6">
        <f>IF($M10891="PADD I","PADD 1",IF($M10891="PADD II","PADD 2",IF($M10891="PADD III","PADD 3",IF($M10891="PADD IV","PADD 4",IF($M10891="PADD V","PADD 5","")))))</f>
        <v/>
      </c>
      <c r="G10891" s="6">
        <f>IF(AND($H10891="ATMOS DISTILLATION",ISNUMBER(SEARCH("VPS",$I10891))=FALSE,LEFT($I10891,6)&lt;&gt;"VACUUM"),"CDU",IF($H10891="FLUID CAT CRACKING","FCC",IF(OR($H10891="HYDROCRACKING",$H10891="RESID_HYDROCRACKING"),"Hydrocracker",IF($H10891="REFORMING","Reformer",""))))</f>
        <v/>
      </c>
    </row>
    <row r="10892" spans="6:7">
      <c r="F10892" s="6">
        <f>IF($M10892="PADD I","PADD 1",IF($M10892="PADD II","PADD 2",IF($M10892="PADD III","PADD 3",IF($M10892="PADD IV","PADD 4",IF($M10892="PADD V","PADD 5","")))))</f>
        <v/>
      </c>
      <c r="G10892" s="6">
        <f>IF(AND($H10892="ATMOS DISTILLATION",ISNUMBER(SEARCH("VPS",$I10892))=FALSE,LEFT($I10892,6)&lt;&gt;"VACUUM"),"CDU",IF($H10892="FLUID CAT CRACKING","FCC",IF(OR($H10892="HYDROCRACKING",$H10892="RESID_HYDROCRACKING"),"Hydrocracker",IF($H10892="REFORMING","Reformer",""))))</f>
        <v/>
      </c>
    </row>
    <row r="10893" spans="6:7">
      <c r="F10893" s="6">
        <f>IF($M10893="PADD I","PADD 1",IF($M10893="PADD II","PADD 2",IF($M10893="PADD III","PADD 3",IF($M10893="PADD IV","PADD 4",IF($M10893="PADD V","PADD 5","")))))</f>
        <v/>
      </c>
      <c r="G10893" s="6">
        <f>IF(AND($H10893="ATMOS DISTILLATION",ISNUMBER(SEARCH("VPS",$I10893))=FALSE,LEFT($I10893,6)&lt;&gt;"VACUUM"),"CDU",IF($H10893="FLUID CAT CRACKING","FCC",IF(OR($H10893="HYDROCRACKING",$H10893="RESID_HYDROCRACKING"),"Hydrocracker",IF($H10893="REFORMING","Reformer",""))))</f>
        <v/>
      </c>
    </row>
    <row r="10894" spans="6:7">
      <c r="F10894" s="6">
        <f>IF($M10894="PADD I","PADD 1",IF($M10894="PADD II","PADD 2",IF($M10894="PADD III","PADD 3",IF($M10894="PADD IV","PADD 4",IF($M10894="PADD V","PADD 5","")))))</f>
        <v/>
      </c>
      <c r="G10894" s="6">
        <f>IF(AND($H10894="ATMOS DISTILLATION",ISNUMBER(SEARCH("VPS",$I10894))=FALSE,LEFT($I10894,6)&lt;&gt;"VACUUM"),"CDU",IF($H10894="FLUID CAT CRACKING","FCC",IF(OR($H10894="HYDROCRACKING",$H10894="RESID_HYDROCRACKING"),"Hydrocracker",IF($H10894="REFORMING","Reformer",""))))</f>
        <v/>
      </c>
    </row>
    <row r="10895" spans="6:7">
      <c r="F10895" s="6">
        <f>IF($M10895="PADD I","PADD 1",IF($M10895="PADD II","PADD 2",IF($M10895="PADD III","PADD 3",IF($M10895="PADD IV","PADD 4",IF($M10895="PADD V","PADD 5","")))))</f>
        <v/>
      </c>
      <c r="G10895" s="6">
        <f>IF(AND($H10895="ATMOS DISTILLATION",ISNUMBER(SEARCH("VPS",$I10895))=FALSE,LEFT($I10895,6)&lt;&gt;"VACUUM"),"CDU",IF($H10895="FLUID CAT CRACKING","FCC",IF(OR($H10895="HYDROCRACKING",$H10895="RESID_HYDROCRACKING"),"Hydrocracker",IF($H10895="REFORMING","Reformer",""))))</f>
        <v/>
      </c>
    </row>
    <row r="10896" spans="6:7">
      <c r="F10896" s="6">
        <f>IF($M10896="PADD I","PADD 1",IF($M10896="PADD II","PADD 2",IF($M10896="PADD III","PADD 3",IF($M10896="PADD IV","PADD 4",IF($M10896="PADD V","PADD 5","")))))</f>
        <v/>
      </c>
      <c r="G10896" s="6">
        <f>IF(AND($H10896="ATMOS DISTILLATION",ISNUMBER(SEARCH("VPS",$I10896))=FALSE,LEFT($I10896,6)&lt;&gt;"VACUUM"),"CDU",IF($H10896="FLUID CAT CRACKING","FCC",IF(OR($H10896="HYDROCRACKING",$H10896="RESID_HYDROCRACKING"),"Hydrocracker",IF($H10896="REFORMING","Reformer",""))))</f>
        <v/>
      </c>
    </row>
    <row r="10897" spans="6:7">
      <c r="F10897" s="6">
        <f>IF($M10897="PADD I","PADD 1",IF($M10897="PADD II","PADD 2",IF($M10897="PADD III","PADD 3",IF($M10897="PADD IV","PADD 4",IF($M10897="PADD V","PADD 5","")))))</f>
        <v/>
      </c>
      <c r="G10897" s="6">
        <f>IF(AND($H10897="ATMOS DISTILLATION",ISNUMBER(SEARCH("VPS",$I10897))=FALSE,LEFT($I10897,6)&lt;&gt;"VACUUM"),"CDU",IF($H10897="FLUID CAT CRACKING","FCC",IF(OR($H10897="HYDROCRACKING",$H10897="RESID_HYDROCRACKING"),"Hydrocracker",IF($H10897="REFORMING","Reformer",""))))</f>
        <v/>
      </c>
    </row>
    <row r="10898" spans="6:7">
      <c r="F10898" s="6">
        <f>IF($M10898="PADD I","PADD 1",IF($M10898="PADD II","PADD 2",IF($M10898="PADD III","PADD 3",IF($M10898="PADD IV","PADD 4",IF($M10898="PADD V","PADD 5","")))))</f>
        <v/>
      </c>
      <c r="G10898" s="6">
        <f>IF(AND($H10898="ATMOS DISTILLATION",ISNUMBER(SEARCH("VPS",$I10898))=FALSE,LEFT($I10898,6)&lt;&gt;"VACUUM"),"CDU",IF($H10898="FLUID CAT CRACKING","FCC",IF(OR($H10898="HYDROCRACKING",$H10898="RESID_HYDROCRACKING"),"Hydrocracker",IF($H10898="REFORMING","Reformer",""))))</f>
        <v/>
      </c>
    </row>
    <row r="10899" spans="6:7">
      <c r="F10899" s="6">
        <f>IF($M10899="PADD I","PADD 1",IF($M10899="PADD II","PADD 2",IF($M10899="PADD III","PADD 3",IF($M10899="PADD IV","PADD 4",IF($M10899="PADD V","PADD 5","")))))</f>
        <v/>
      </c>
      <c r="G10899" s="6">
        <f>IF(AND($H10899="ATMOS DISTILLATION",ISNUMBER(SEARCH("VPS",$I10899))=FALSE,LEFT($I10899,6)&lt;&gt;"VACUUM"),"CDU",IF($H10899="FLUID CAT CRACKING","FCC",IF(OR($H10899="HYDROCRACKING",$H10899="RESID_HYDROCRACKING"),"Hydrocracker",IF($H10899="REFORMING","Reformer",""))))</f>
        <v/>
      </c>
    </row>
    <row r="10900" spans="6:7">
      <c r="F10900" s="6">
        <f>IF($M10900="PADD I","PADD 1",IF($M10900="PADD II","PADD 2",IF($M10900="PADD III","PADD 3",IF($M10900="PADD IV","PADD 4",IF($M10900="PADD V","PADD 5","")))))</f>
        <v/>
      </c>
      <c r="G10900" s="6">
        <f>IF(AND($H10900="ATMOS DISTILLATION",ISNUMBER(SEARCH("VPS",$I10900))=FALSE,LEFT($I10900,6)&lt;&gt;"VACUUM"),"CDU",IF($H10900="FLUID CAT CRACKING","FCC",IF(OR($H10900="HYDROCRACKING",$H10900="RESID_HYDROCRACKING"),"Hydrocracker",IF($H10900="REFORMING","Reformer",""))))</f>
        <v/>
      </c>
    </row>
    <row r="10901" spans="6:7">
      <c r="F10901" s="6">
        <f>IF($M10901="PADD I","PADD 1",IF($M10901="PADD II","PADD 2",IF($M10901="PADD III","PADD 3",IF($M10901="PADD IV","PADD 4",IF($M10901="PADD V","PADD 5","")))))</f>
        <v/>
      </c>
      <c r="G10901" s="6">
        <f>IF(AND($H10901="ATMOS DISTILLATION",ISNUMBER(SEARCH("VPS",$I10901))=FALSE,LEFT($I10901,6)&lt;&gt;"VACUUM"),"CDU",IF($H10901="FLUID CAT CRACKING","FCC",IF(OR($H10901="HYDROCRACKING",$H10901="RESID_HYDROCRACKING"),"Hydrocracker",IF($H10901="REFORMING","Reformer",""))))</f>
        <v/>
      </c>
    </row>
    <row r="10902" spans="6:7">
      <c r="F10902" s="6">
        <f>IF($M10902="PADD I","PADD 1",IF($M10902="PADD II","PADD 2",IF($M10902="PADD III","PADD 3",IF($M10902="PADD IV","PADD 4",IF($M10902="PADD V","PADD 5","")))))</f>
        <v/>
      </c>
      <c r="G10902" s="6">
        <f>IF(AND($H10902="ATMOS DISTILLATION",ISNUMBER(SEARCH("VPS",$I10902))=FALSE,LEFT($I10902,6)&lt;&gt;"VACUUM"),"CDU",IF($H10902="FLUID CAT CRACKING","FCC",IF(OR($H10902="HYDROCRACKING",$H10902="RESID_HYDROCRACKING"),"Hydrocracker",IF($H10902="REFORMING","Reformer",""))))</f>
        <v/>
      </c>
    </row>
    <row r="10903" spans="6:7">
      <c r="F10903" s="6">
        <f>IF($M10903="PADD I","PADD 1",IF($M10903="PADD II","PADD 2",IF($M10903="PADD III","PADD 3",IF($M10903="PADD IV","PADD 4",IF($M10903="PADD V","PADD 5","")))))</f>
        <v/>
      </c>
      <c r="G10903" s="6">
        <f>IF(AND($H10903="ATMOS DISTILLATION",ISNUMBER(SEARCH("VPS",$I10903))=FALSE,LEFT($I10903,6)&lt;&gt;"VACUUM"),"CDU",IF($H10903="FLUID CAT CRACKING","FCC",IF(OR($H10903="HYDROCRACKING",$H10903="RESID_HYDROCRACKING"),"Hydrocracker",IF($H10903="REFORMING","Reformer",""))))</f>
        <v/>
      </c>
    </row>
    <row r="10904" spans="6:7">
      <c r="F10904" s="6">
        <f>IF($M10904="PADD I","PADD 1",IF($M10904="PADD II","PADD 2",IF($M10904="PADD III","PADD 3",IF($M10904="PADD IV","PADD 4",IF($M10904="PADD V","PADD 5","")))))</f>
        <v/>
      </c>
      <c r="G10904" s="6">
        <f>IF(AND($H10904="ATMOS DISTILLATION",ISNUMBER(SEARCH("VPS",$I10904))=FALSE,LEFT($I10904,6)&lt;&gt;"VACUUM"),"CDU",IF($H10904="FLUID CAT CRACKING","FCC",IF(OR($H10904="HYDROCRACKING",$H10904="RESID_HYDROCRACKING"),"Hydrocracker",IF($H10904="REFORMING","Reformer",""))))</f>
        <v/>
      </c>
    </row>
    <row r="10905" spans="6:7">
      <c r="F10905" s="6">
        <f>IF($M10905="PADD I","PADD 1",IF($M10905="PADD II","PADD 2",IF($M10905="PADD III","PADD 3",IF($M10905="PADD IV","PADD 4",IF($M10905="PADD V","PADD 5","")))))</f>
        <v/>
      </c>
      <c r="G10905" s="6">
        <f>IF(AND($H10905="ATMOS DISTILLATION",ISNUMBER(SEARCH("VPS",$I10905))=FALSE,LEFT($I10905,6)&lt;&gt;"VACUUM"),"CDU",IF($H10905="FLUID CAT CRACKING","FCC",IF(OR($H10905="HYDROCRACKING",$H10905="RESID_HYDROCRACKING"),"Hydrocracker",IF($H10905="REFORMING","Reformer",""))))</f>
        <v/>
      </c>
    </row>
    <row r="10906" spans="6:7">
      <c r="F10906" s="6">
        <f>IF($M10906="PADD I","PADD 1",IF($M10906="PADD II","PADD 2",IF($M10906="PADD III","PADD 3",IF($M10906="PADD IV","PADD 4",IF($M10906="PADD V","PADD 5","")))))</f>
        <v/>
      </c>
      <c r="G10906" s="6">
        <f>IF(AND($H10906="ATMOS DISTILLATION",ISNUMBER(SEARCH("VPS",$I10906))=FALSE,LEFT($I10906,6)&lt;&gt;"VACUUM"),"CDU",IF($H10906="FLUID CAT CRACKING","FCC",IF(OR($H10906="HYDROCRACKING",$H10906="RESID_HYDROCRACKING"),"Hydrocracker",IF($H10906="REFORMING","Reformer",""))))</f>
        <v/>
      </c>
    </row>
    <row r="10907" spans="6:7">
      <c r="F10907" s="6">
        <f>IF($M10907="PADD I","PADD 1",IF($M10907="PADD II","PADD 2",IF($M10907="PADD III","PADD 3",IF($M10907="PADD IV","PADD 4",IF($M10907="PADD V","PADD 5","")))))</f>
        <v/>
      </c>
      <c r="G10907" s="6">
        <f>IF(AND($H10907="ATMOS DISTILLATION",ISNUMBER(SEARCH("VPS",$I10907))=FALSE,LEFT($I10907,6)&lt;&gt;"VACUUM"),"CDU",IF($H10907="FLUID CAT CRACKING","FCC",IF(OR($H10907="HYDROCRACKING",$H10907="RESID_HYDROCRACKING"),"Hydrocracker",IF($H10907="REFORMING","Reformer",""))))</f>
        <v/>
      </c>
    </row>
    <row r="10908" spans="6:7">
      <c r="F10908" s="6">
        <f>IF($M10908="PADD I","PADD 1",IF($M10908="PADD II","PADD 2",IF($M10908="PADD III","PADD 3",IF($M10908="PADD IV","PADD 4",IF($M10908="PADD V","PADD 5","")))))</f>
        <v/>
      </c>
      <c r="G10908" s="6">
        <f>IF(AND($H10908="ATMOS DISTILLATION",ISNUMBER(SEARCH("VPS",$I10908))=FALSE,LEFT($I10908,6)&lt;&gt;"VACUUM"),"CDU",IF($H10908="FLUID CAT CRACKING","FCC",IF(OR($H10908="HYDROCRACKING",$H10908="RESID_HYDROCRACKING"),"Hydrocracker",IF($H10908="REFORMING","Reformer",""))))</f>
        <v/>
      </c>
    </row>
    <row r="10909" spans="6:7">
      <c r="F10909" s="6">
        <f>IF($M10909="PADD I","PADD 1",IF($M10909="PADD II","PADD 2",IF($M10909="PADD III","PADD 3",IF($M10909="PADD IV","PADD 4",IF($M10909="PADD V","PADD 5","")))))</f>
        <v/>
      </c>
      <c r="G10909" s="6">
        <f>IF(AND($H10909="ATMOS DISTILLATION",ISNUMBER(SEARCH("VPS",$I10909))=FALSE,LEFT($I10909,6)&lt;&gt;"VACUUM"),"CDU",IF($H10909="FLUID CAT CRACKING","FCC",IF(OR($H10909="HYDROCRACKING",$H10909="RESID_HYDROCRACKING"),"Hydrocracker",IF($H10909="REFORMING","Reformer",""))))</f>
        <v/>
      </c>
    </row>
    <row r="10910" spans="6:7">
      <c r="F10910" s="6">
        <f>IF($M10910="PADD I","PADD 1",IF($M10910="PADD II","PADD 2",IF($M10910="PADD III","PADD 3",IF($M10910="PADD IV","PADD 4",IF($M10910="PADD V","PADD 5","")))))</f>
        <v/>
      </c>
      <c r="G10910" s="6">
        <f>IF(AND($H10910="ATMOS DISTILLATION",ISNUMBER(SEARCH("VPS",$I10910))=FALSE,LEFT($I10910,6)&lt;&gt;"VACUUM"),"CDU",IF($H10910="FLUID CAT CRACKING","FCC",IF(OR($H10910="HYDROCRACKING",$H10910="RESID_HYDROCRACKING"),"Hydrocracker",IF($H10910="REFORMING","Reformer",""))))</f>
        <v/>
      </c>
    </row>
    <row r="10911" spans="6:7">
      <c r="F10911" s="6">
        <f>IF($M10911="PADD I","PADD 1",IF($M10911="PADD II","PADD 2",IF($M10911="PADD III","PADD 3",IF($M10911="PADD IV","PADD 4",IF($M10911="PADD V","PADD 5","")))))</f>
        <v/>
      </c>
      <c r="G10911" s="6">
        <f>IF(AND($H10911="ATMOS DISTILLATION",ISNUMBER(SEARCH("VPS",$I10911))=FALSE,LEFT($I10911,6)&lt;&gt;"VACUUM"),"CDU",IF($H10911="FLUID CAT CRACKING","FCC",IF(OR($H10911="HYDROCRACKING",$H10911="RESID_HYDROCRACKING"),"Hydrocracker",IF($H10911="REFORMING","Reformer",""))))</f>
        <v/>
      </c>
    </row>
    <row r="10912" spans="6:7">
      <c r="F10912" s="6">
        <f>IF($M10912="PADD I","PADD 1",IF($M10912="PADD II","PADD 2",IF($M10912="PADD III","PADD 3",IF($M10912="PADD IV","PADD 4",IF($M10912="PADD V","PADD 5","")))))</f>
        <v/>
      </c>
      <c r="G10912" s="6">
        <f>IF(AND($H10912="ATMOS DISTILLATION",ISNUMBER(SEARCH("VPS",$I10912))=FALSE,LEFT($I10912,6)&lt;&gt;"VACUUM"),"CDU",IF($H10912="FLUID CAT CRACKING","FCC",IF(OR($H10912="HYDROCRACKING",$H10912="RESID_HYDROCRACKING"),"Hydrocracker",IF($H10912="REFORMING","Reformer",""))))</f>
        <v/>
      </c>
    </row>
    <row r="10913" spans="6:7">
      <c r="F10913" s="6">
        <f>IF($M10913="PADD I","PADD 1",IF($M10913="PADD II","PADD 2",IF($M10913="PADD III","PADD 3",IF($M10913="PADD IV","PADD 4",IF($M10913="PADD V","PADD 5","")))))</f>
        <v/>
      </c>
      <c r="G10913" s="6">
        <f>IF(AND($H10913="ATMOS DISTILLATION",ISNUMBER(SEARCH("VPS",$I10913))=FALSE,LEFT($I10913,6)&lt;&gt;"VACUUM"),"CDU",IF($H10913="FLUID CAT CRACKING","FCC",IF(OR($H10913="HYDROCRACKING",$H10913="RESID_HYDROCRACKING"),"Hydrocracker",IF($H10913="REFORMING","Reformer",""))))</f>
        <v/>
      </c>
    </row>
    <row r="10914" spans="6:7">
      <c r="F10914" s="6">
        <f>IF($M10914="PADD I","PADD 1",IF($M10914="PADD II","PADD 2",IF($M10914="PADD III","PADD 3",IF($M10914="PADD IV","PADD 4",IF($M10914="PADD V","PADD 5","")))))</f>
        <v/>
      </c>
      <c r="G10914" s="6">
        <f>IF(AND($H10914="ATMOS DISTILLATION",ISNUMBER(SEARCH("VPS",$I10914))=FALSE,LEFT($I10914,6)&lt;&gt;"VACUUM"),"CDU",IF($H10914="FLUID CAT CRACKING","FCC",IF(OR($H10914="HYDROCRACKING",$H10914="RESID_HYDROCRACKING"),"Hydrocracker",IF($H10914="REFORMING","Reformer",""))))</f>
        <v/>
      </c>
    </row>
    <row r="10915" spans="6:7">
      <c r="F10915" s="6">
        <f>IF($M10915="PADD I","PADD 1",IF($M10915="PADD II","PADD 2",IF($M10915="PADD III","PADD 3",IF($M10915="PADD IV","PADD 4",IF($M10915="PADD V","PADD 5","")))))</f>
        <v/>
      </c>
      <c r="G10915" s="6">
        <f>IF(AND($H10915="ATMOS DISTILLATION",ISNUMBER(SEARCH("VPS",$I10915))=FALSE,LEFT($I10915,6)&lt;&gt;"VACUUM"),"CDU",IF($H10915="FLUID CAT CRACKING","FCC",IF(OR($H10915="HYDROCRACKING",$H10915="RESID_HYDROCRACKING"),"Hydrocracker",IF($H10915="REFORMING","Reformer",""))))</f>
        <v/>
      </c>
    </row>
    <row r="10916" spans="6:7">
      <c r="F10916" s="6">
        <f>IF($M10916="PADD I","PADD 1",IF($M10916="PADD II","PADD 2",IF($M10916="PADD III","PADD 3",IF($M10916="PADD IV","PADD 4",IF($M10916="PADD V","PADD 5","")))))</f>
        <v/>
      </c>
      <c r="G10916" s="6">
        <f>IF(AND($H10916="ATMOS DISTILLATION",ISNUMBER(SEARCH("VPS",$I10916))=FALSE,LEFT($I10916,6)&lt;&gt;"VACUUM"),"CDU",IF($H10916="FLUID CAT CRACKING","FCC",IF(OR($H10916="HYDROCRACKING",$H10916="RESID_HYDROCRACKING"),"Hydrocracker",IF($H10916="REFORMING","Reformer",""))))</f>
        <v/>
      </c>
    </row>
    <row r="10917" spans="6:7">
      <c r="F10917" s="6">
        <f>IF($M10917="PADD I","PADD 1",IF($M10917="PADD II","PADD 2",IF($M10917="PADD III","PADD 3",IF($M10917="PADD IV","PADD 4",IF($M10917="PADD V","PADD 5","")))))</f>
        <v/>
      </c>
      <c r="G10917" s="6">
        <f>IF(AND($H10917="ATMOS DISTILLATION",ISNUMBER(SEARCH("VPS",$I10917))=FALSE,LEFT($I10917,6)&lt;&gt;"VACUUM"),"CDU",IF($H10917="FLUID CAT CRACKING","FCC",IF(OR($H10917="HYDROCRACKING",$H10917="RESID_HYDROCRACKING"),"Hydrocracker",IF($H10917="REFORMING","Reformer",""))))</f>
        <v/>
      </c>
    </row>
    <row r="10918" spans="6:7">
      <c r="F10918" s="6">
        <f>IF($M10918="PADD I","PADD 1",IF($M10918="PADD II","PADD 2",IF($M10918="PADD III","PADD 3",IF($M10918="PADD IV","PADD 4",IF($M10918="PADD V","PADD 5","")))))</f>
        <v/>
      </c>
      <c r="G10918" s="6">
        <f>IF(AND($H10918="ATMOS DISTILLATION",ISNUMBER(SEARCH("VPS",$I10918))=FALSE,LEFT($I10918,6)&lt;&gt;"VACUUM"),"CDU",IF($H10918="FLUID CAT CRACKING","FCC",IF(OR($H10918="HYDROCRACKING",$H10918="RESID_HYDROCRACKING"),"Hydrocracker",IF($H10918="REFORMING","Reformer",""))))</f>
        <v/>
      </c>
    </row>
    <row r="10919" spans="6:7">
      <c r="F10919" s="6">
        <f>IF($M10919="PADD I","PADD 1",IF($M10919="PADD II","PADD 2",IF($M10919="PADD III","PADD 3",IF($M10919="PADD IV","PADD 4",IF($M10919="PADD V","PADD 5","")))))</f>
        <v/>
      </c>
      <c r="G10919" s="6">
        <f>IF(AND($H10919="ATMOS DISTILLATION",ISNUMBER(SEARCH("VPS",$I10919))=FALSE,LEFT($I10919,6)&lt;&gt;"VACUUM"),"CDU",IF($H10919="FLUID CAT CRACKING","FCC",IF(OR($H10919="HYDROCRACKING",$H10919="RESID_HYDROCRACKING"),"Hydrocracker",IF($H10919="REFORMING","Reformer",""))))</f>
        <v/>
      </c>
    </row>
    <row r="10920" spans="6:7">
      <c r="F10920" s="6">
        <f>IF($M10920="PADD I","PADD 1",IF($M10920="PADD II","PADD 2",IF($M10920="PADD III","PADD 3",IF($M10920="PADD IV","PADD 4",IF($M10920="PADD V","PADD 5","")))))</f>
        <v/>
      </c>
      <c r="G10920" s="6">
        <f>IF(AND($H10920="ATMOS DISTILLATION",ISNUMBER(SEARCH("VPS",$I10920))=FALSE,LEFT($I10920,6)&lt;&gt;"VACUUM"),"CDU",IF($H10920="FLUID CAT CRACKING","FCC",IF(OR($H10920="HYDROCRACKING",$H10920="RESID_HYDROCRACKING"),"Hydrocracker",IF($H10920="REFORMING","Reformer",""))))</f>
        <v/>
      </c>
    </row>
    <row r="10921" spans="6:7">
      <c r="F10921" s="6">
        <f>IF($M10921="PADD I","PADD 1",IF($M10921="PADD II","PADD 2",IF($M10921="PADD III","PADD 3",IF($M10921="PADD IV","PADD 4",IF($M10921="PADD V","PADD 5","")))))</f>
        <v/>
      </c>
      <c r="G10921" s="6">
        <f>IF(AND($H10921="ATMOS DISTILLATION",ISNUMBER(SEARCH("VPS",$I10921))=FALSE,LEFT($I10921,6)&lt;&gt;"VACUUM"),"CDU",IF($H10921="FLUID CAT CRACKING","FCC",IF(OR($H10921="HYDROCRACKING",$H10921="RESID_HYDROCRACKING"),"Hydrocracker",IF($H10921="REFORMING","Reformer",""))))</f>
        <v/>
      </c>
    </row>
    <row r="10922" spans="6:7">
      <c r="F10922" s="6">
        <f>IF($M10922="PADD I","PADD 1",IF($M10922="PADD II","PADD 2",IF($M10922="PADD III","PADD 3",IF($M10922="PADD IV","PADD 4",IF($M10922="PADD V","PADD 5","")))))</f>
        <v/>
      </c>
      <c r="G10922" s="6">
        <f>IF(AND($H10922="ATMOS DISTILLATION",ISNUMBER(SEARCH("VPS",$I10922))=FALSE,LEFT($I10922,6)&lt;&gt;"VACUUM"),"CDU",IF($H10922="FLUID CAT CRACKING","FCC",IF(OR($H10922="HYDROCRACKING",$H10922="RESID_HYDROCRACKING"),"Hydrocracker",IF($H10922="REFORMING","Reformer",""))))</f>
        <v/>
      </c>
    </row>
    <row r="10923" spans="6:7">
      <c r="F10923" s="6">
        <f>IF($M10923="PADD I","PADD 1",IF($M10923="PADD II","PADD 2",IF($M10923="PADD III","PADD 3",IF($M10923="PADD IV","PADD 4",IF($M10923="PADD V","PADD 5","")))))</f>
        <v/>
      </c>
      <c r="G10923" s="6">
        <f>IF(AND($H10923="ATMOS DISTILLATION",ISNUMBER(SEARCH("VPS",$I10923))=FALSE,LEFT($I10923,6)&lt;&gt;"VACUUM"),"CDU",IF($H10923="FLUID CAT CRACKING","FCC",IF(OR($H10923="HYDROCRACKING",$H10923="RESID_HYDROCRACKING"),"Hydrocracker",IF($H10923="REFORMING","Reformer",""))))</f>
        <v/>
      </c>
    </row>
    <row r="10924" spans="6:7">
      <c r="F10924" s="6">
        <f>IF($M10924="PADD I","PADD 1",IF($M10924="PADD II","PADD 2",IF($M10924="PADD III","PADD 3",IF($M10924="PADD IV","PADD 4",IF($M10924="PADD V","PADD 5","")))))</f>
        <v/>
      </c>
      <c r="G10924" s="6">
        <f>IF(AND($H10924="ATMOS DISTILLATION",ISNUMBER(SEARCH("VPS",$I10924))=FALSE,LEFT($I10924,6)&lt;&gt;"VACUUM"),"CDU",IF($H10924="FLUID CAT CRACKING","FCC",IF(OR($H10924="HYDROCRACKING",$H10924="RESID_HYDROCRACKING"),"Hydrocracker",IF($H10924="REFORMING","Reformer",""))))</f>
        <v/>
      </c>
    </row>
    <row r="10925" spans="6:7">
      <c r="F10925" s="6">
        <f>IF($M10925="PADD I","PADD 1",IF($M10925="PADD II","PADD 2",IF($M10925="PADD III","PADD 3",IF($M10925="PADD IV","PADD 4",IF($M10925="PADD V","PADD 5","")))))</f>
        <v/>
      </c>
      <c r="G10925" s="6">
        <f>IF(AND($H10925="ATMOS DISTILLATION",ISNUMBER(SEARCH("VPS",$I10925))=FALSE,LEFT($I10925,6)&lt;&gt;"VACUUM"),"CDU",IF($H10925="FLUID CAT CRACKING","FCC",IF(OR($H10925="HYDROCRACKING",$H10925="RESID_HYDROCRACKING"),"Hydrocracker",IF($H10925="REFORMING","Reformer",""))))</f>
        <v/>
      </c>
    </row>
    <row r="10926" spans="6:7">
      <c r="F10926" s="6">
        <f>IF($M10926="PADD I","PADD 1",IF($M10926="PADD II","PADD 2",IF($M10926="PADD III","PADD 3",IF($M10926="PADD IV","PADD 4",IF($M10926="PADD V","PADD 5","")))))</f>
        <v/>
      </c>
      <c r="G10926" s="6">
        <f>IF(AND($H10926="ATMOS DISTILLATION",ISNUMBER(SEARCH("VPS",$I10926))=FALSE,LEFT($I10926,6)&lt;&gt;"VACUUM"),"CDU",IF($H10926="FLUID CAT CRACKING","FCC",IF(OR($H10926="HYDROCRACKING",$H10926="RESID_HYDROCRACKING"),"Hydrocracker",IF($H10926="REFORMING","Reformer",""))))</f>
        <v/>
      </c>
    </row>
    <row r="10927" spans="6:7">
      <c r="F10927" s="6">
        <f>IF($M10927="PADD I","PADD 1",IF($M10927="PADD II","PADD 2",IF($M10927="PADD III","PADD 3",IF($M10927="PADD IV","PADD 4",IF($M10927="PADD V","PADD 5","")))))</f>
        <v/>
      </c>
      <c r="G10927" s="6">
        <f>IF(AND($H10927="ATMOS DISTILLATION",ISNUMBER(SEARCH("VPS",$I10927))=FALSE,LEFT($I10927,6)&lt;&gt;"VACUUM"),"CDU",IF($H10927="FLUID CAT CRACKING","FCC",IF(OR($H10927="HYDROCRACKING",$H10927="RESID_HYDROCRACKING"),"Hydrocracker",IF($H10927="REFORMING","Reformer",""))))</f>
        <v/>
      </c>
    </row>
    <row r="10928" spans="6:7">
      <c r="F10928" s="6">
        <f>IF($M10928="PADD I","PADD 1",IF($M10928="PADD II","PADD 2",IF($M10928="PADD III","PADD 3",IF($M10928="PADD IV","PADD 4",IF($M10928="PADD V","PADD 5","")))))</f>
        <v/>
      </c>
      <c r="G10928" s="6">
        <f>IF(AND($H10928="ATMOS DISTILLATION",ISNUMBER(SEARCH("VPS",$I10928))=FALSE,LEFT($I10928,6)&lt;&gt;"VACUUM"),"CDU",IF($H10928="FLUID CAT CRACKING","FCC",IF(OR($H10928="HYDROCRACKING",$H10928="RESID_HYDROCRACKING"),"Hydrocracker",IF($H10928="REFORMING","Reformer",""))))</f>
        <v/>
      </c>
    </row>
    <row r="10929" spans="6:7">
      <c r="F10929" s="6">
        <f>IF($M10929="PADD I","PADD 1",IF($M10929="PADD II","PADD 2",IF($M10929="PADD III","PADD 3",IF($M10929="PADD IV","PADD 4",IF($M10929="PADD V","PADD 5","")))))</f>
        <v/>
      </c>
      <c r="G10929" s="6">
        <f>IF(AND($H10929="ATMOS DISTILLATION",ISNUMBER(SEARCH("VPS",$I10929))=FALSE,LEFT($I10929,6)&lt;&gt;"VACUUM"),"CDU",IF($H10929="FLUID CAT CRACKING","FCC",IF(OR($H10929="HYDROCRACKING",$H10929="RESID_HYDROCRACKING"),"Hydrocracker",IF($H10929="REFORMING","Reformer",""))))</f>
        <v/>
      </c>
    </row>
    <row r="10930" spans="6:7">
      <c r="F10930" s="6">
        <f>IF($M10930="PADD I","PADD 1",IF($M10930="PADD II","PADD 2",IF($M10930="PADD III","PADD 3",IF($M10930="PADD IV","PADD 4",IF($M10930="PADD V","PADD 5","")))))</f>
        <v/>
      </c>
      <c r="G10930" s="6">
        <f>IF(AND($H10930="ATMOS DISTILLATION",ISNUMBER(SEARCH("VPS",$I10930))=FALSE,LEFT($I10930,6)&lt;&gt;"VACUUM"),"CDU",IF($H10930="FLUID CAT CRACKING","FCC",IF(OR($H10930="HYDROCRACKING",$H10930="RESID_HYDROCRACKING"),"Hydrocracker",IF($H10930="REFORMING","Reformer",""))))</f>
        <v/>
      </c>
    </row>
    <row r="10931" spans="6:7">
      <c r="F10931" s="6">
        <f>IF($M10931="PADD I","PADD 1",IF($M10931="PADD II","PADD 2",IF($M10931="PADD III","PADD 3",IF($M10931="PADD IV","PADD 4",IF($M10931="PADD V","PADD 5","")))))</f>
        <v/>
      </c>
      <c r="G10931" s="6">
        <f>IF(AND($H10931="ATMOS DISTILLATION",ISNUMBER(SEARCH("VPS",$I10931))=FALSE,LEFT($I10931,6)&lt;&gt;"VACUUM"),"CDU",IF($H10931="FLUID CAT CRACKING","FCC",IF(OR($H10931="HYDROCRACKING",$H10931="RESID_HYDROCRACKING"),"Hydrocracker",IF($H10931="REFORMING","Reformer",""))))</f>
        <v/>
      </c>
    </row>
    <row r="10932" spans="6:7">
      <c r="F10932" s="6">
        <f>IF($M10932="PADD I","PADD 1",IF($M10932="PADD II","PADD 2",IF($M10932="PADD III","PADD 3",IF($M10932="PADD IV","PADD 4",IF($M10932="PADD V","PADD 5","")))))</f>
        <v/>
      </c>
      <c r="G10932" s="6">
        <f>IF(AND($H10932="ATMOS DISTILLATION",ISNUMBER(SEARCH("VPS",$I10932))=FALSE,LEFT($I10932,6)&lt;&gt;"VACUUM"),"CDU",IF($H10932="FLUID CAT CRACKING","FCC",IF(OR($H10932="HYDROCRACKING",$H10932="RESID_HYDROCRACKING"),"Hydrocracker",IF($H10932="REFORMING","Reformer",""))))</f>
        <v/>
      </c>
    </row>
    <row r="10933" spans="6:7">
      <c r="F10933" s="6">
        <f>IF($M10933="PADD I","PADD 1",IF($M10933="PADD II","PADD 2",IF($M10933="PADD III","PADD 3",IF($M10933="PADD IV","PADD 4",IF($M10933="PADD V","PADD 5","")))))</f>
        <v/>
      </c>
      <c r="G10933" s="6">
        <f>IF(AND($H10933="ATMOS DISTILLATION",ISNUMBER(SEARCH("VPS",$I10933))=FALSE,LEFT($I10933,6)&lt;&gt;"VACUUM"),"CDU",IF($H10933="FLUID CAT CRACKING","FCC",IF(OR($H10933="HYDROCRACKING",$H10933="RESID_HYDROCRACKING"),"Hydrocracker",IF($H10933="REFORMING","Reformer",""))))</f>
        <v/>
      </c>
    </row>
    <row r="10934" spans="6:7">
      <c r="F10934" s="6">
        <f>IF($M10934="PADD I","PADD 1",IF($M10934="PADD II","PADD 2",IF($M10934="PADD III","PADD 3",IF($M10934="PADD IV","PADD 4",IF($M10934="PADD V","PADD 5","")))))</f>
        <v/>
      </c>
      <c r="G10934" s="6">
        <f>IF(AND($H10934="ATMOS DISTILLATION",ISNUMBER(SEARCH("VPS",$I10934))=FALSE,LEFT($I10934,6)&lt;&gt;"VACUUM"),"CDU",IF($H10934="FLUID CAT CRACKING","FCC",IF(OR($H10934="HYDROCRACKING",$H10934="RESID_HYDROCRACKING"),"Hydrocracker",IF($H10934="REFORMING","Reformer",""))))</f>
        <v/>
      </c>
    </row>
    <row r="10935" spans="6:7">
      <c r="F10935" s="6">
        <f>IF($M10935="PADD I","PADD 1",IF($M10935="PADD II","PADD 2",IF($M10935="PADD III","PADD 3",IF($M10935="PADD IV","PADD 4",IF($M10935="PADD V","PADD 5","")))))</f>
        <v/>
      </c>
      <c r="G10935" s="6">
        <f>IF(AND($H10935="ATMOS DISTILLATION",ISNUMBER(SEARCH("VPS",$I10935))=FALSE,LEFT($I10935,6)&lt;&gt;"VACUUM"),"CDU",IF($H10935="FLUID CAT CRACKING","FCC",IF(OR($H10935="HYDROCRACKING",$H10935="RESID_HYDROCRACKING"),"Hydrocracker",IF($H10935="REFORMING","Reformer",""))))</f>
        <v/>
      </c>
    </row>
    <row r="10936" spans="6:7">
      <c r="F10936" s="6">
        <f>IF($M10936="PADD I","PADD 1",IF($M10936="PADD II","PADD 2",IF($M10936="PADD III","PADD 3",IF($M10936="PADD IV","PADD 4",IF($M10936="PADD V","PADD 5","")))))</f>
        <v/>
      </c>
      <c r="G10936" s="6">
        <f>IF(AND($H10936="ATMOS DISTILLATION",ISNUMBER(SEARCH("VPS",$I10936))=FALSE,LEFT($I10936,6)&lt;&gt;"VACUUM"),"CDU",IF($H10936="FLUID CAT CRACKING","FCC",IF(OR($H10936="HYDROCRACKING",$H10936="RESID_HYDROCRACKING"),"Hydrocracker",IF($H10936="REFORMING","Reformer",""))))</f>
        <v/>
      </c>
    </row>
    <row r="10937" spans="6:7">
      <c r="F10937" s="6">
        <f>IF($M10937="PADD I","PADD 1",IF($M10937="PADD II","PADD 2",IF($M10937="PADD III","PADD 3",IF($M10937="PADD IV","PADD 4",IF($M10937="PADD V","PADD 5","")))))</f>
        <v/>
      </c>
      <c r="G10937" s="6">
        <f>IF(AND($H10937="ATMOS DISTILLATION",ISNUMBER(SEARCH("VPS",$I10937))=FALSE,LEFT($I10937,6)&lt;&gt;"VACUUM"),"CDU",IF($H10937="FLUID CAT CRACKING","FCC",IF(OR($H10937="HYDROCRACKING",$H10937="RESID_HYDROCRACKING"),"Hydrocracker",IF($H10937="REFORMING","Reformer",""))))</f>
        <v/>
      </c>
    </row>
    <row r="10938" spans="6:7">
      <c r="F10938" s="6">
        <f>IF($M10938="PADD I","PADD 1",IF($M10938="PADD II","PADD 2",IF($M10938="PADD III","PADD 3",IF($M10938="PADD IV","PADD 4",IF($M10938="PADD V","PADD 5","")))))</f>
        <v/>
      </c>
      <c r="G10938" s="6">
        <f>IF(AND($H10938="ATMOS DISTILLATION",ISNUMBER(SEARCH("VPS",$I10938))=FALSE,LEFT($I10938,6)&lt;&gt;"VACUUM"),"CDU",IF($H10938="FLUID CAT CRACKING","FCC",IF(OR($H10938="HYDROCRACKING",$H10938="RESID_HYDROCRACKING"),"Hydrocracker",IF($H10938="REFORMING","Reformer",""))))</f>
        <v/>
      </c>
    </row>
    <row r="10939" spans="6:7">
      <c r="F10939" s="6">
        <f>IF($M10939="PADD I","PADD 1",IF($M10939="PADD II","PADD 2",IF($M10939="PADD III","PADD 3",IF($M10939="PADD IV","PADD 4",IF($M10939="PADD V","PADD 5","")))))</f>
        <v/>
      </c>
      <c r="G10939" s="6">
        <f>IF(AND($H10939="ATMOS DISTILLATION",ISNUMBER(SEARCH("VPS",$I10939))=FALSE,LEFT($I10939,6)&lt;&gt;"VACUUM"),"CDU",IF($H10939="FLUID CAT CRACKING","FCC",IF(OR($H10939="HYDROCRACKING",$H10939="RESID_HYDROCRACKING"),"Hydrocracker",IF($H10939="REFORMING","Reformer",""))))</f>
        <v/>
      </c>
    </row>
    <row r="10940" spans="6:7">
      <c r="F10940" s="6">
        <f>IF($M10940="PADD I","PADD 1",IF($M10940="PADD II","PADD 2",IF($M10940="PADD III","PADD 3",IF($M10940="PADD IV","PADD 4",IF($M10940="PADD V","PADD 5","")))))</f>
        <v/>
      </c>
      <c r="G10940" s="6">
        <f>IF(AND($H10940="ATMOS DISTILLATION",ISNUMBER(SEARCH("VPS",$I10940))=FALSE,LEFT($I10940,6)&lt;&gt;"VACUUM"),"CDU",IF($H10940="FLUID CAT CRACKING","FCC",IF(OR($H10940="HYDROCRACKING",$H10940="RESID_HYDROCRACKING"),"Hydrocracker",IF($H10940="REFORMING","Reformer",""))))</f>
        <v/>
      </c>
    </row>
    <row r="10941" spans="6:7">
      <c r="F10941" s="6">
        <f>IF($M10941="PADD I","PADD 1",IF($M10941="PADD II","PADD 2",IF($M10941="PADD III","PADD 3",IF($M10941="PADD IV","PADD 4",IF($M10941="PADD V","PADD 5","")))))</f>
        <v/>
      </c>
      <c r="G10941" s="6">
        <f>IF(AND($H10941="ATMOS DISTILLATION",ISNUMBER(SEARCH("VPS",$I10941))=FALSE,LEFT($I10941,6)&lt;&gt;"VACUUM"),"CDU",IF($H10941="FLUID CAT CRACKING","FCC",IF(OR($H10941="HYDROCRACKING",$H10941="RESID_HYDROCRACKING"),"Hydrocracker",IF($H10941="REFORMING","Reformer",""))))</f>
        <v/>
      </c>
    </row>
    <row r="10942" spans="6:7">
      <c r="F10942" s="6">
        <f>IF($M10942="PADD I","PADD 1",IF($M10942="PADD II","PADD 2",IF($M10942="PADD III","PADD 3",IF($M10942="PADD IV","PADD 4",IF($M10942="PADD V","PADD 5","")))))</f>
        <v/>
      </c>
      <c r="G10942" s="6">
        <f>IF(AND($H10942="ATMOS DISTILLATION",ISNUMBER(SEARCH("VPS",$I10942))=FALSE,LEFT($I10942,6)&lt;&gt;"VACUUM"),"CDU",IF($H10942="FLUID CAT CRACKING","FCC",IF(OR($H10942="HYDROCRACKING",$H10942="RESID_HYDROCRACKING"),"Hydrocracker",IF($H10942="REFORMING","Reformer",""))))</f>
        <v/>
      </c>
    </row>
    <row r="10943" spans="6:7">
      <c r="F10943" s="6">
        <f>IF($M10943="PADD I","PADD 1",IF($M10943="PADD II","PADD 2",IF($M10943="PADD III","PADD 3",IF($M10943="PADD IV","PADD 4",IF($M10943="PADD V","PADD 5","")))))</f>
        <v/>
      </c>
      <c r="G10943" s="6">
        <f>IF(AND($H10943="ATMOS DISTILLATION",ISNUMBER(SEARCH("VPS",$I10943))=FALSE,LEFT($I10943,6)&lt;&gt;"VACUUM"),"CDU",IF($H10943="FLUID CAT CRACKING","FCC",IF(OR($H10943="HYDROCRACKING",$H10943="RESID_HYDROCRACKING"),"Hydrocracker",IF($H10943="REFORMING","Reformer",""))))</f>
        <v/>
      </c>
    </row>
    <row r="10944" spans="6:7">
      <c r="F10944" s="6">
        <f>IF($M10944="PADD I","PADD 1",IF($M10944="PADD II","PADD 2",IF($M10944="PADD III","PADD 3",IF($M10944="PADD IV","PADD 4",IF($M10944="PADD V","PADD 5","")))))</f>
        <v/>
      </c>
      <c r="G10944" s="6">
        <f>IF(AND($H10944="ATMOS DISTILLATION",ISNUMBER(SEARCH("VPS",$I10944))=FALSE,LEFT($I10944,6)&lt;&gt;"VACUUM"),"CDU",IF($H10944="FLUID CAT CRACKING","FCC",IF(OR($H10944="HYDROCRACKING",$H10944="RESID_HYDROCRACKING"),"Hydrocracker",IF($H10944="REFORMING","Reformer",""))))</f>
        <v/>
      </c>
    </row>
    <row r="10945" spans="6:7">
      <c r="F10945" s="6">
        <f>IF($M10945="PADD I","PADD 1",IF($M10945="PADD II","PADD 2",IF($M10945="PADD III","PADD 3",IF($M10945="PADD IV","PADD 4",IF($M10945="PADD V","PADD 5","")))))</f>
        <v/>
      </c>
      <c r="G10945" s="6">
        <f>IF(AND($H10945="ATMOS DISTILLATION",ISNUMBER(SEARCH("VPS",$I10945))=FALSE,LEFT($I10945,6)&lt;&gt;"VACUUM"),"CDU",IF($H10945="FLUID CAT CRACKING","FCC",IF(OR($H10945="HYDROCRACKING",$H10945="RESID_HYDROCRACKING"),"Hydrocracker",IF($H10945="REFORMING","Reformer",""))))</f>
        <v/>
      </c>
    </row>
    <row r="10946" spans="6:7">
      <c r="F10946" s="6">
        <f>IF($M10946="PADD I","PADD 1",IF($M10946="PADD II","PADD 2",IF($M10946="PADD III","PADD 3",IF($M10946="PADD IV","PADD 4",IF($M10946="PADD V","PADD 5","")))))</f>
        <v/>
      </c>
      <c r="G10946" s="6">
        <f>IF(AND($H10946="ATMOS DISTILLATION",ISNUMBER(SEARCH("VPS",$I10946))=FALSE,LEFT($I10946,6)&lt;&gt;"VACUUM"),"CDU",IF($H10946="FLUID CAT CRACKING","FCC",IF(OR($H10946="HYDROCRACKING",$H10946="RESID_HYDROCRACKING"),"Hydrocracker",IF($H10946="REFORMING","Reformer",""))))</f>
        <v/>
      </c>
    </row>
    <row r="10947" spans="6:7">
      <c r="F10947" s="6">
        <f>IF($M10947="PADD I","PADD 1",IF($M10947="PADD II","PADD 2",IF($M10947="PADD III","PADD 3",IF($M10947="PADD IV","PADD 4",IF($M10947="PADD V","PADD 5","")))))</f>
        <v/>
      </c>
      <c r="G10947" s="6">
        <f>IF(AND($H10947="ATMOS DISTILLATION",ISNUMBER(SEARCH("VPS",$I10947))=FALSE,LEFT($I10947,6)&lt;&gt;"VACUUM"),"CDU",IF($H10947="FLUID CAT CRACKING","FCC",IF(OR($H10947="HYDROCRACKING",$H10947="RESID_HYDROCRACKING"),"Hydrocracker",IF($H10947="REFORMING","Reformer",""))))</f>
        <v/>
      </c>
    </row>
    <row r="10948" spans="6:7">
      <c r="F10948" s="6">
        <f>IF($M10948="PADD I","PADD 1",IF($M10948="PADD II","PADD 2",IF($M10948="PADD III","PADD 3",IF($M10948="PADD IV","PADD 4",IF($M10948="PADD V","PADD 5","")))))</f>
        <v/>
      </c>
      <c r="G10948" s="6">
        <f>IF(AND($H10948="ATMOS DISTILLATION",ISNUMBER(SEARCH("VPS",$I10948))=FALSE,LEFT($I10948,6)&lt;&gt;"VACUUM"),"CDU",IF($H10948="FLUID CAT CRACKING","FCC",IF(OR($H10948="HYDROCRACKING",$H10948="RESID_HYDROCRACKING"),"Hydrocracker",IF($H10948="REFORMING","Reformer",""))))</f>
        <v/>
      </c>
    </row>
    <row r="10949" spans="6:7">
      <c r="F10949" s="6">
        <f>IF($M10949="PADD I","PADD 1",IF($M10949="PADD II","PADD 2",IF($M10949="PADD III","PADD 3",IF($M10949="PADD IV","PADD 4",IF($M10949="PADD V","PADD 5","")))))</f>
        <v/>
      </c>
      <c r="G10949" s="6">
        <f>IF(AND($H10949="ATMOS DISTILLATION",ISNUMBER(SEARCH("VPS",$I10949))=FALSE,LEFT($I10949,6)&lt;&gt;"VACUUM"),"CDU",IF($H10949="FLUID CAT CRACKING","FCC",IF(OR($H10949="HYDROCRACKING",$H10949="RESID_HYDROCRACKING"),"Hydrocracker",IF($H10949="REFORMING","Reformer",""))))</f>
        <v/>
      </c>
    </row>
    <row r="10950" spans="6:7">
      <c r="F10950" s="6">
        <f>IF($M10950="PADD I","PADD 1",IF($M10950="PADD II","PADD 2",IF($M10950="PADD III","PADD 3",IF($M10950="PADD IV","PADD 4",IF($M10950="PADD V","PADD 5","")))))</f>
        <v/>
      </c>
      <c r="G10950" s="6">
        <f>IF(AND($H10950="ATMOS DISTILLATION",ISNUMBER(SEARCH("VPS",$I10950))=FALSE,LEFT($I10950,6)&lt;&gt;"VACUUM"),"CDU",IF($H10950="FLUID CAT CRACKING","FCC",IF(OR($H10950="HYDROCRACKING",$H10950="RESID_HYDROCRACKING"),"Hydrocracker",IF($H10950="REFORMING","Reformer",""))))</f>
        <v/>
      </c>
    </row>
    <row r="10951" spans="6:7">
      <c r="F10951" s="6">
        <f>IF($M10951="PADD I","PADD 1",IF($M10951="PADD II","PADD 2",IF($M10951="PADD III","PADD 3",IF($M10951="PADD IV","PADD 4",IF($M10951="PADD V","PADD 5","")))))</f>
        <v/>
      </c>
      <c r="G10951" s="6">
        <f>IF(AND($H10951="ATMOS DISTILLATION",ISNUMBER(SEARCH("VPS",$I10951))=FALSE,LEFT($I10951,6)&lt;&gt;"VACUUM"),"CDU",IF($H10951="FLUID CAT CRACKING","FCC",IF(OR($H10951="HYDROCRACKING",$H10951="RESID_HYDROCRACKING"),"Hydrocracker",IF($H10951="REFORMING","Reformer",""))))</f>
        <v/>
      </c>
    </row>
    <row r="10952" spans="6:7">
      <c r="F10952" s="6">
        <f>IF($M10952="PADD I","PADD 1",IF($M10952="PADD II","PADD 2",IF($M10952="PADD III","PADD 3",IF($M10952="PADD IV","PADD 4",IF($M10952="PADD V","PADD 5","")))))</f>
        <v/>
      </c>
      <c r="G10952" s="6">
        <f>IF(AND($H10952="ATMOS DISTILLATION",ISNUMBER(SEARCH("VPS",$I10952))=FALSE,LEFT($I10952,6)&lt;&gt;"VACUUM"),"CDU",IF($H10952="FLUID CAT CRACKING","FCC",IF(OR($H10952="HYDROCRACKING",$H10952="RESID_HYDROCRACKING"),"Hydrocracker",IF($H10952="REFORMING","Reformer",""))))</f>
        <v/>
      </c>
    </row>
    <row r="10953" spans="6:7">
      <c r="F10953" s="6">
        <f>IF($M10953="PADD I","PADD 1",IF($M10953="PADD II","PADD 2",IF($M10953="PADD III","PADD 3",IF($M10953="PADD IV","PADD 4",IF($M10953="PADD V","PADD 5","")))))</f>
        <v/>
      </c>
      <c r="G10953" s="6">
        <f>IF(AND($H10953="ATMOS DISTILLATION",ISNUMBER(SEARCH("VPS",$I10953))=FALSE,LEFT($I10953,6)&lt;&gt;"VACUUM"),"CDU",IF($H10953="FLUID CAT CRACKING","FCC",IF(OR($H10953="HYDROCRACKING",$H10953="RESID_HYDROCRACKING"),"Hydrocracker",IF($H10953="REFORMING","Reformer",""))))</f>
        <v/>
      </c>
    </row>
    <row r="10954" spans="6:7">
      <c r="F10954" s="6">
        <f>IF($M10954="PADD I","PADD 1",IF($M10954="PADD II","PADD 2",IF($M10954="PADD III","PADD 3",IF($M10954="PADD IV","PADD 4",IF($M10954="PADD V","PADD 5","")))))</f>
        <v/>
      </c>
      <c r="G10954" s="6">
        <f>IF(AND($H10954="ATMOS DISTILLATION",ISNUMBER(SEARCH("VPS",$I10954))=FALSE,LEFT($I10954,6)&lt;&gt;"VACUUM"),"CDU",IF($H10954="FLUID CAT CRACKING","FCC",IF(OR($H10954="HYDROCRACKING",$H10954="RESID_HYDROCRACKING"),"Hydrocracker",IF($H10954="REFORMING","Reformer",""))))</f>
        <v/>
      </c>
    </row>
    <row r="10955" spans="6:7">
      <c r="F10955" s="6">
        <f>IF($M10955="PADD I","PADD 1",IF($M10955="PADD II","PADD 2",IF($M10955="PADD III","PADD 3",IF($M10955="PADD IV","PADD 4",IF($M10955="PADD V","PADD 5","")))))</f>
        <v/>
      </c>
      <c r="G10955" s="6">
        <f>IF(AND($H10955="ATMOS DISTILLATION",ISNUMBER(SEARCH("VPS",$I10955))=FALSE,LEFT($I10955,6)&lt;&gt;"VACUUM"),"CDU",IF($H10955="FLUID CAT CRACKING","FCC",IF(OR($H10955="HYDROCRACKING",$H10955="RESID_HYDROCRACKING"),"Hydrocracker",IF($H10955="REFORMING","Reformer",""))))</f>
        <v/>
      </c>
    </row>
    <row r="10956" spans="6:7">
      <c r="F10956" s="6">
        <f>IF($M10956="PADD I","PADD 1",IF($M10956="PADD II","PADD 2",IF($M10956="PADD III","PADD 3",IF($M10956="PADD IV","PADD 4",IF($M10956="PADD V","PADD 5","")))))</f>
        <v/>
      </c>
      <c r="G10956" s="6">
        <f>IF(AND($H10956="ATMOS DISTILLATION",ISNUMBER(SEARCH("VPS",$I10956))=FALSE,LEFT($I10956,6)&lt;&gt;"VACUUM"),"CDU",IF($H10956="FLUID CAT CRACKING","FCC",IF(OR($H10956="HYDROCRACKING",$H10956="RESID_HYDROCRACKING"),"Hydrocracker",IF($H10956="REFORMING","Reformer",""))))</f>
        <v/>
      </c>
    </row>
    <row r="10957" spans="6:7">
      <c r="F10957" s="6">
        <f>IF($M10957="PADD I","PADD 1",IF($M10957="PADD II","PADD 2",IF($M10957="PADD III","PADD 3",IF($M10957="PADD IV","PADD 4",IF($M10957="PADD V","PADD 5","")))))</f>
        <v/>
      </c>
      <c r="G10957" s="6">
        <f>IF(AND($H10957="ATMOS DISTILLATION",ISNUMBER(SEARCH("VPS",$I10957))=FALSE,LEFT($I10957,6)&lt;&gt;"VACUUM"),"CDU",IF($H10957="FLUID CAT CRACKING","FCC",IF(OR($H10957="HYDROCRACKING",$H10957="RESID_HYDROCRACKING"),"Hydrocracker",IF($H10957="REFORMING","Reformer",""))))</f>
        <v/>
      </c>
    </row>
    <row r="10958" spans="6:7">
      <c r="F10958" s="6">
        <f>IF($M10958="PADD I","PADD 1",IF($M10958="PADD II","PADD 2",IF($M10958="PADD III","PADD 3",IF($M10958="PADD IV","PADD 4",IF($M10958="PADD V","PADD 5","")))))</f>
        <v/>
      </c>
      <c r="G10958" s="6">
        <f>IF(AND($H10958="ATMOS DISTILLATION",ISNUMBER(SEARCH("VPS",$I10958))=FALSE,LEFT($I10958,6)&lt;&gt;"VACUUM"),"CDU",IF($H10958="FLUID CAT CRACKING","FCC",IF(OR($H10958="HYDROCRACKING",$H10958="RESID_HYDROCRACKING"),"Hydrocracker",IF($H10958="REFORMING","Reformer",""))))</f>
        <v/>
      </c>
    </row>
    <row r="10959" spans="6:7">
      <c r="F10959" s="6">
        <f>IF($M10959="PADD I","PADD 1",IF($M10959="PADD II","PADD 2",IF($M10959="PADD III","PADD 3",IF($M10959="PADD IV","PADD 4",IF($M10959="PADD V","PADD 5","")))))</f>
        <v/>
      </c>
      <c r="G10959" s="6">
        <f>IF(AND($H10959="ATMOS DISTILLATION",ISNUMBER(SEARCH("VPS",$I10959))=FALSE,LEFT($I10959,6)&lt;&gt;"VACUUM"),"CDU",IF($H10959="FLUID CAT CRACKING","FCC",IF(OR($H10959="HYDROCRACKING",$H10959="RESID_HYDROCRACKING"),"Hydrocracker",IF($H10959="REFORMING","Reformer",""))))</f>
        <v/>
      </c>
    </row>
    <row r="10960" spans="6:7">
      <c r="F10960" s="6">
        <f>IF($M10960="PADD I","PADD 1",IF($M10960="PADD II","PADD 2",IF($M10960="PADD III","PADD 3",IF($M10960="PADD IV","PADD 4",IF($M10960="PADD V","PADD 5","")))))</f>
        <v/>
      </c>
      <c r="G10960" s="6">
        <f>IF(AND($H10960="ATMOS DISTILLATION",ISNUMBER(SEARCH("VPS",$I10960))=FALSE,LEFT($I10960,6)&lt;&gt;"VACUUM"),"CDU",IF($H10960="FLUID CAT CRACKING","FCC",IF(OR($H10960="HYDROCRACKING",$H10960="RESID_HYDROCRACKING"),"Hydrocracker",IF($H10960="REFORMING","Reformer",""))))</f>
        <v/>
      </c>
    </row>
    <row r="10961" spans="6:7">
      <c r="F10961" s="6">
        <f>IF($M10961="PADD I","PADD 1",IF($M10961="PADD II","PADD 2",IF($M10961="PADD III","PADD 3",IF($M10961="PADD IV","PADD 4",IF($M10961="PADD V","PADD 5","")))))</f>
        <v/>
      </c>
      <c r="G10961" s="6">
        <f>IF(AND($H10961="ATMOS DISTILLATION",ISNUMBER(SEARCH("VPS",$I10961))=FALSE,LEFT($I10961,6)&lt;&gt;"VACUUM"),"CDU",IF($H10961="FLUID CAT CRACKING","FCC",IF(OR($H10961="HYDROCRACKING",$H10961="RESID_HYDROCRACKING"),"Hydrocracker",IF($H10961="REFORMING","Reformer",""))))</f>
        <v/>
      </c>
    </row>
    <row r="10962" spans="6:7">
      <c r="F10962" s="6">
        <f>IF($M10962="PADD I","PADD 1",IF($M10962="PADD II","PADD 2",IF($M10962="PADD III","PADD 3",IF($M10962="PADD IV","PADD 4",IF($M10962="PADD V","PADD 5","")))))</f>
        <v/>
      </c>
      <c r="G10962" s="6">
        <f>IF(AND($H10962="ATMOS DISTILLATION",ISNUMBER(SEARCH("VPS",$I10962))=FALSE,LEFT($I10962,6)&lt;&gt;"VACUUM"),"CDU",IF($H10962="FLUID CAT CRACKING","FCC",IF(OR($H10962="HYDROCRACKING",$H10962="RESID_HYDROCRACKING"),"Hydrocracker",IF($H10962="REFORMING","Reformer",""))))</f>
        <v/>
      </c>
    </row>
    <row r="10963" spans="6:7">
      <c r="F10963" s="6">
        <f>IF($M10963="PADD I","PADD 1",IF($M10963="PADD II","PADD 2",IF($M10963="PADD III","PADD 3",IF($M10963="PADD IV","PADD 4",IF($M10963="PADD V","PADD 5","")))))</f>
        <v/>
      </c>
      <c r="G10963" s="6">
        <f>IF(AND($H10963="ATMOS DISTILLATION",ISNUMBER(SEARCH("VPS",$I10963))=FALSE,LEFT($I10963,6)&lt;&gt;"VACUUM"),"CDU",IF($H10963="FLUID CAT CRACKING","FCC",IF(OR($H10963="HYDROCRACKING",$H10963="RESID_HYDROCRACKING"),"Hydrocracker",IF($H10963="REFORMING","Reformer",""))))</f>
        <v/>
      </c>
    </row>
    <row r="10964" spans="6:7">
      <c r="F10964" s="6">
        <f>IF($M10964="PADD I","PADD 1",IF($M10964="PADD II","PADD 2",IF($M10964="PADD III","PADD 3",IF($M10964="PADD IV","PADD 4",IF($M10964="PADD V","PADD 5","")))))</f>
        <v/>
      </c>
      <c r="G10964" s="6">
        <f>IF(AND($H10964="ATMOS DISTILLATION",ISNUMBER(SEARCH("VPS",$I10964))=FALSE,LEFT($I10964,6)&lt;&gt;"VACUUM"),"CDU",IF($H10964="FLUID CAT CRACKING","FCC",IF(OR($H10964="HYDROCRACKING",$H10964="RESID_HYDROCRACKING"),"Hydrocracker",IF($H10964="REFORMING","Reformer",""))))</f>
        <v/>
      </c>
    </row>
    <row r="10965" spans="6:7">
      <c r="F10965" s="6">
        <f>IF($M10965="PADD I","PADD 1",IF($M10965="PADD II","PADD 2",IF($M10965="PADD III","PADD 3",IF($M10965="PADD IV","PADD 4",IF($M10965="PADD V","PADD 5","")))))</f>
        <v/>
      </c>
      <c r="G10965" s="6">
        <f>IF(AND($H10965="ATMOS DISTILLATION",ISNUMBER(SEARCH("VPS",$I10965))=FALSE,LEFT($I10965,6)&lt;&gt;"VACUUM"),"CDU",IF($H10965="FLUID CAT CRACKING","FCC",IF(OR($H10965="HYDROCRACKING",$H10965="RESID_HYDROCRACKING"),"Hydrocracker",IF($H10965="REFORMING","Reformer",""))))</f>
        <v/>
      </c>
    </row>
    <row r="10966" spans="6:7">
      <c r="F10966" s="6">
        <f>IF($M10966="PADD I","PADD 1",IF($M10966="PADD II","PADD 2",IF($M10966="PADD III","PADD 3",IF($M10966="PADD IV","PADD 4",IF($M10966="PADD V","PADD 5","")))))</f>
        <v/>
      </c>
      <c r="G10966" s="6">
        <f>IF(AND($H10966="ATMOS DISTILLATION",ISNUMBER(SEARCH("VPS",$I10966))=FALSE,LEFT($I10966,6)&lt;&gt;"VACUUM"),"CDU",IF($H10966="FLUID CAT CRACKING","FCC",IF(OR($H10966="HYDROCRACKING",$H10966="RESID_HYDROCRACKING"),"Hydrocracker",IF($H10966="REFORMING","Reformer",""))))</f>
        <v/>
      </c>
    </row>
    <row r="10967" spans="6:7">
      <c r="F10967" s="6">
        <f>IF($M10967="PADD I","PADD 1",IF($M10967="PADD II","PADD 2",IF($M10967="PADD III","PADD 3",IF($M10967="PADD IV","PADD 4",IF($M10967="PADD V","PADD 5","")))))</f>
        <v/>
      </c>
      <c r="G10967" s="6">
        <f>IF(AND($H10967="ATMOS DISTILLATION",ISNUMBER(SEARCH("VPS",$I10967))=FALSE,LEFT($I10967,6)&lt;&gt;"VACUUM"),"CDU",IF($H10967="FLUID CAT CRACKING","FCC",IF(OR($H10967="HYDROCRACKING",$H10967="RESID_HYDROCRACKING"),"Hydrocracker",IF($H10967="REFORMING","Reformer",""))))</f>
        <v/>
      </c>
    </row>
    <row r="10968" spans="6:7">
      <c r="F10968" s="6">
        <f>IF($M10968="PADD I","PADD 1",IF($M10968="PADD II","PADD 2",IF($M10968="PADD III","PADD 3",IF($M10968="PADD IV","PADD 4",IF($M10968="PADD V","PADD 5","")))))</f>
        <v/>
      </c>
      <c r="G10968" s="6">
        <f>IF(AND($H10968="ATMOS DISTILLATION",ISNUMBER(SEARCH("VPS",$I10968))=FALSE,LEFT($I10968,6)&lt;&gt;"VACUUM"),"CDU",IF($H10968="FLUID CAT CRACKING","FCC",IF(OR($H10968="HYDROCRACKING",$H10968="RESID_HYDROCRACKING"),"Hydrocracker",IF($H10968="REFORMING","Reformer",""))))</f>
        <v/>
      </c>
    </row>
    <row r="10969" spans="6:7">
      <c r="F10969" s="6">
        <f>IF($M10969="PADD I","PADD 1",IF($M10969="PADD II","PADD 2",IF($M10969="PADD III","PADD 3",IF($M10969="PADD IV","PADD 4",IF($M10969="PADD V","PADD 5","")))))</f>
        <v/>
      </c>
      <c r="G10969" s="6">
        <f>IF(AND($H10969="ATMOS DISTILLATION",ISNUMBER(SEARCH("VPS",$I10969))=FALSE,LEFT($I10969,6)&lt;&gt;"VACUUM"),"CDU",IF($H10969="FLUID CAT CRACKING","FCC",IF(OR($H10969="HYDROCRACKING",$H10969="RESID_HYDROCRACKING"),"Hydrocracker",IF($H10969="REFORMING","Reformer",""))))</f>
        <v/>
      </c>
    </row>
    <row r="10970" spans="6:7">
      <c r="F10970" s="6">
        <f>IF($M10970="PADD I","PADD 1",IF($M10970="PADD II","PADD 2",IF($M10970="PADD III","PADD 3",IF($M10970="PADD IV","PADD 4",IF($M10970="PADD V","PADD 5","")))))</f>
        <v/>
      </c>
      <c r="G10970" s="6">
        <f>IF(AND($H10970="ATMOS DISTILLATION",ISNUMBER(SEARCH("VPS",$I10970))=FALSE,LEFT($I10970,6)&lt;&gt;"VACUUM"),"CDU",IF($H10970="FLUID CAT CRACKING","FCC",IF(OR($H10970="HYDROCRACKING",$H10970="RESID_HYDROCRACKING"),"Hydrocracker",IF($H10970="REFORMING","Reformer",""))))</f>
        <v/>
      </c>
    </row>
    <row r="10971" spans="6:7">
      <c r="F10971" s="6">
        <f>IF($M10971="PADD I","PADD 1",IF($M10971="PADD II","PADD 2",IF($M10971="PADD III","PADD 3",IF($M10971="PADD IV","PADD 4",IF($M10971="PADD V","PADD 5","")))))</f>
        <v/>
      </c>
      <c r="G10971" s="6">
        <f>IF(AND($H10971="ATMOS DISTILLATION",ISNUMBER(SEARCH("VPS",$I10971))=FALSE,LEFT($I10971,6)&lt;&gt;"VACUUM"),"CDU",IF($H10971="FLUID CAT CRACKING","FCC",IF(OR($H10971="HYDROCRACKING",$H10971="RESID_HYDROCRACKING"),"Hydrocracker",IF($H10971="REFORMING","Reformer",""))))</f>
        <v/>
      </c>
    </row>
    <row r="10972" spans="6:7">
      <c r="F10972" s="6">
        <f>IF($M10972="PADD I","PADD 1",IF($M10972="PADD II","PADD 2",IF($M10972="PADD III","PADD 3",IF($M10972="PADD IV","PADD 4",IF($M10972="PADD V","PADD 5","")))))</f>
        <v/>
      </c>
      <c r="G10972" s="6">
        <f>IF(AND($H10972="ATMOS DISTILLATION",ISNUMBER(SEARCH("VPS",$I10972))=FALSE,LEFT($I10972,6)&lt;&gt;"VACUUM"),"CDU",IF($H10972="FLUID CAT CRACKING","FCC",IF(OR($H10972="HYDROCRACKING",$H10972="RESID_HYDROCRACKING"),"Hydrocracker",IF($H10972="REFORMING","Reformer",""))))</f>
        <v/>
      </c>
    </row>
    <row r="10973" spans="6:7">
      <c r="F10973" s="6">
        <f>IF($M10973="PADD I","PADD 1",IF($M10973="PADD II","PADD 2",IF($M10973="PADD III","PADD 3",IF($M10973="PADD IV","PADD 4",IF($M10973="PADD V","PADD 5","")))))</f>
        <v/>
      </c>
      <c r="G10973" s="6">
        <f>IF(AND($H10973="ATMOS DISTILLATION",ISNUMBER(SEARCH("VPS",$I10973))=FALSE,LEFT($I10973,6)&lt;&gt;"VACUUM"),"CDU",IF($H10973="FLUID CAT CRACKING","FCC",IF(OR($H10973="HYDROCRACKING",$H10973="RESID_HYDROCRACKING"),"Hydrocracker",IF($H10973="REFORMING","Reformer",""))))</f>
        <v/>
      </c>
    </row>
    <row r="10974" spans="6:7">
      <c r="F10974" s="6">
        <f>IF($M10974="PADD I","PADD 1",IF($M10974="PADD II","PADD 2",IF($M10974="PADD III","PADD 3",IF($M10974="PADD IV","PADD 4",IF($M10974="PADD V","PADD 5","")))))</f>
        <v/>
      </c>
      <c r="G10974" s="6">
        <f>IF(AND($H10974="ATMOS DISTILLATION",ISNUMBER(SEARCH("VPS",$I10974))=FALSE,LEFT($I10974,6)&lt;&gt;"VACUUM"),"CDU",IF($H10974="FLUID CAT CRACKING","FCC",IF(OR($H10974="HYDROCRACKING",$H10974="RESID_HYDROCRACKING"),"Hydrocracker",IF($H10974="REFORMING","Reformer",""))))</f>
        <v/>
      </c>
    </row>
    <row r="10975" spans="6:7">
      <c r="F10975" s="6">
        <f>IF($M10975="PADD I","PADD 1",IF($M10975="PADD II","PADD 2",IF($M10975="PADD III","PADD 3",IF($M10975="PADD IV","PADD 4",IF($M10975="PADD V","PADD 5","")))))</f>
        <v/>
      </c>
      <c r="G10975" s="6">
        <f>IF(AND($H10975="ATMOS DISTILLATION",ISNUMBER(SEARCH("VPS",$I10975))=FALSE,LEFT($I10975,6)&lt;&gt;"VACUUM"),"CDU",IF($H10975="FLUID CAT CRACKING","FCC",IF(OR($H10975="HYDROCRACKING",$H10975="RESID_HYDROCRACKING"),"Hydrocracker",IF($H10975="REFORMING","Reformer",""))))</f>
        <v/>
      </c>
    </row>
    <row r="10976" spans="6:7">
      <c r="F10976" s="6">
        <f>IF($M10976="PADD I","PADD 1",IF($M10976="PADD II","PADD 2",IF($M10976="PADD III","PADD 3",IF($M10976="PADD IV","PADD 4",IF($M10976="PADD V","PADD 5","")))))</f>
        <v/>
      </c>
      <c r="G10976" s="6">
        <f>IF(AND($H10976="ATMOS DISTILLATION",ISNUMBER(SEARCH("VPS",$I10976))=FALSE,LEFT($I10976,6)&lt;&gt;"VACUUM"),"CDU",IF($H10976="FLUID CAT CRACKING","FCC",IF(OR($H10976="HYDROCRACKING",$H10976="RESID_HYDROCRACKING"),"Hydrocracker",IF($H10976="REFORMING","Reformer",""))))</f>
        <v/>
      </c>
    </row>
    <row r="10977" spans="6:7">
      <c r="F10977" s="6">
        <f>IF($M10977="PADD I","PADD 1",IF($M10977="PADD II","PADD 2",IF($M10977="PADD III","PADD 3",IF($M10977="PADD IV","PADD 4",IF($M10977="PADD V","PADD 5","")))))</f>
        <v/>
      </c>
      <c r="G10977" s="6">
        <f>IF(AND($H10977="ATMOS DISTILLATION",ISNUMBER(SEARCH("VPS",$I10977))=FALSE,LEFT($I10977,6)&lt;&gt;"VACUUM"),"CDU",IF($H10977="FLUID CAT CRACKING","FCC",IF(OR($H10977="HYDROCRACKING",$H10977="RESID_HYDROCRACKING"),"Hydrocracker",IF($H10977="REFORMING","Reformer",""))))</f>
        <v/>
      </c>
    </row>
    <row r="10978" spans="6:7">
      <c r="F10978" s="6">
        <f>IF($M10978="PADD I","PADD 1",IF($M10978="PADD II","PADD 2",IF($M10978="PADD III","PADD 3",IF($M10978="PADD IV","PADD 4",IF($M10978="PADD V","PADD 5","")))))</f>
        <v/>
      </c>
      <c r="G10978" s="6">
        <f>IF(AND($H10978="ATMOS DISTILLATION",ISNUMBER(SEARCH("VPS",$I10978))=FALSE,LEFT($I10978,6)&lt;&gt;"VACUUM"),"CDU",IF($H10978="FLUID CAT CRACKING","FCC",IF(OR($H10978="HYDROCRACKING",$H10978="RESID_HYDROCRACKING"),"Hydrocracker",IF($H10978="REFORMING","Reformer",""))))</f>
        <v/>
      </c>
    </row>
    <row r="10979" spans="6:7">
      <c r="F10979" s="6">
        <f>IF($M10979="PADD I","PADD 1",IF($M10979="PADD II","PADD 2",IF($M10979="PADD III","PADD 3",IF($M10979="PADD IV","PADD 4",IF($M10979="PADD V","PADD 5","")))))</f>
        <v/>
      </c>
      <c r="G10979" s="6">
        <f>IF(AND($H10979="ATMOS DISTILLATION",ISNUMBER(SEARCH("VPS",$I10979))=FALSE,LEFT($I10979,6)&lt;&gt;"VACUUM"),"CDU",IF($H10979="FLUID CAT CRACKING","FCC",IF(OR($H10979="HYDROCRACKING",$H10979="RESID_HYDROCRACKING"),"Hydrocracker",IF($H10979="REFORMING","Reformer",""))))</f>
        <v/>
      </c>
    </row>
    <row r="10980" spans="6:7">
      <c r="F10980" s="6">
        <f>IF($M10980="PADD I","PADD 1",IF($M10980="PADD II","PADD 2",IF($M10980="PADD III","PADD 3",IF($M10980="PADD IV","PADD 4",IF($M10980="PADD V","PADD 5","")))))</f>
        <v/>
      </c>
      <c r="G10980" s="6">
        <f>IF(AND($H10980="ATMOS DISTILLATION",ISNUMBER(SEARCH("VPS",$I10980))=FALSE,LEFT($I10980,6)&lt;&gt;"VACUUM"),"CDU",IF($H10980="FLUID CAT CRACKING","FCC",IF(OR($H10980="HYDROCRACKING",$H10980="RESID_HYDROCRACKING"),"Hydrocracker",IF($H10980="REFORMING","Reformer",""))))</f>
        <v/>
      </c>
    </row>
    <row r="10981" spans="6:7">
      <c r="F10981" s="6">
        <f>IF($M10981="PADD I","PADD 1",IF($M10981="PADD II","PADD 2",IF($M10981="PADD III","PADD 3",IF($M10981="PADD IV","PADD 4",IF($M10981="PADD V","PADD 5","")))))</f>
        <v/>
      </c>
      <c r="G10981" s="6">
        <f>IF(AND($H10981="ATMOS DISTILLATION",ISNUMBER(SEARCH("VPS",$I10981))=FALSE,LEFT($I10981,6)&lt;&gt;"VACUUM"),"CDU",IF($H10981="FLUID CAT CRACKING","FCC",IF(OR($H10981="HYDROCRACKING",$H10981="RESID_HYDROCRACKING"),"Hydrocracker",IF($H10981="REFORMING","Reformer",""))))</f>
        <v/>
      </c>
    </row>
    <row r="10982" spans="6:7">
      <c r="F10982" s="6">
        <f>IF($M10982="PADD I","PADD 1",IF($M10982="PADD II","PADD 2",IF($M10982="PADD III","PADD 3",IF($M10982="PADD IV","PADD 4",IF($M10982="PADD V","PADD 5","")))))</f>
        <v/>
      </c>
      <c r="G10982" s="6">
        <f>IF(AND($H10982="ATMOS DISTILLATION",ISNUMBER(SEARCH("VPS",$I10982))=FALSE,LEFT($I10982,6)&lt;&gt;"VACUUM"),"CDU",IF($H10982="FLUID CAT CRACKING","FCC",IF(OR($H10982="HYDROCRACKING",$H10982="RESID_HYDROCRACKING"),"Hydrocracker",IF($H10982="REFORMING","Reformer",""))))</f>
        <v/>
      </c>
    </row>
    <row r="10983" spans="6:7">
      <c r="F10983" s="6">
        <f>IF($M10983="PADD I","PADD 1",IF($M10983="PADD II","PADD 2",IF($M10983="PADD III","PADD 3",IF($M10983="PADD IV","PADD 4",IF($M10983="PADD V","PADD 5","")))))</f>
        <v/>
      </c>
      <c r="G10983" s="6">
        <f>IF(AND($H10983="ATMOS DISTILLATION",ISNUMBER(SEARCH("VPS",$I10983))=FALSE,LEFT($I10983,6)&lt;&gt;"VACUUM"),"CDU",IF($H10983="FLUID CAT CRACKING","FCC",IF(OR($H10983="HYDROCRACKING",$H10983="RESID_HYDROCRACKING"),"Hydrocracker",IF($H10983="REFORMING","Reformer",""))))</f>
        <v/>
      </c>
    </row>
    <row r="10984" spans="6:7">
      <c r="F10984" s="6">
        <f>IF($M10984="PADD I","PADD 1",IF($M10984="PADD II","PADD 2",IF($M10984="PADD III","PADD 3",IF($M10984="PADD IV","PADD 4",IF($M10984="PADD V","PADD 5","")))))</f>
        <v/>
      </c>
      <c r="G10984" s="6">
        <f>IF(AND($H10984="ATMOS DISTILLATION",ISNUMBER(SEARCH("VPS",$I10984))=FALSE,LEFT($I10984,6)&lt;&gt;"VACUUM"),"CDU",IF($H10984="FLUID CAT CRACKING","FCC",IF(OR($H10984="HYDROCRACKING",$H10984="RESID_HYDROCRACKING"),"Hydrocracker",IF($H10984="REFORMING","Reformer",""))))</f>
        <v/>
      </c>
    </row>
    <row r="10985" spans="6:7">
      <c r="F10985" s="6">
        <f>IF($M10985="PADD I","PADD 1",IF($M10985="PADD II","PADD 2",IF($M10985="PADD III","PADD 3",IF($M10985="PADD IV","PADD 4",IF($M10985="PADD V","PADD 5","")))))</f>
        <v/>
      </c>
      <c r="G10985" s="6">
        <f>IF(AND($H10985="ATMOS DISTILLATION",ISNUMBER(SEARCH("VPS",$I10985))=FALSE,LEFT($I10985,6)&lt;&gt;"VACUUM"),"CDU",IF($H10985="FLUID CAT CRACKING","FCC",IF(OR($H10985="HYDROCRACKING",$H10985="RESID_HYDROCRACKING"),"Hydrocracker",IF($H10985="REFORMING","Reformer",""))))</f>
        <v/>
      </c>
    </row>
    <row r="10986" spans="6:7">
      <c r="F10986" s="6">
        <f>IF($M10986="PADD I","PADD 1",IF($M10986="PADD II","PADD 2",IF($M10986="PADD III","PADD 3",IF($M10986="PADD IV","PADD 4",IF($M10986="PADD V","PADD 5","")))))</f>
        <v/>
      </c>
      <c r="G10986" s="6">
        <f>IF(AND($H10986="ATMOS DISTILLATION",ISNUMBER(SEARCH("VPS",$I10986))=FALSE,LEFT($I10986,6)&lt;&gt;"VACUUM"),"CDU",IF($H10986="FLUID CAT CRACKING","FCC",IF(OR($H10986="HYDROCRACKING",$H10986="RESID_HYDROCRACKING"),"Hydrocracker",IF($H10986="REFORMING","Reformer",""))))</f>
        <v/>
      </c>
    </row>
    <row r="10987" spans="6:7">
      <c r="F10987" s="6">
        <f>IF($M10987="PADD I","PADD 1",IF($M10987="PADD II","PADD 2",IF($M10987="PADD III","PADD 3",IF($M10987="PADD IV","PADD 4",IF($M10987="PADD V","PADD 5","")))))</f>
        <v/>
      </c>
      <c r="G10987" s="6">
        <f>IF(AND($H10987="ATMOS DISTILLATION",ISNUMBER(SEARCH("VPS",$I10987))=FALSE,LEFT($I10987,6)&lt;&gt;"VACUUM"),"CDU",IF($H10987="FLUID CAT CRACKING","FCC",IF(OR($H10987="HYDROCRACKING",$H10987="RESID_HYDROCRACKING"),"Hydrocracker",IF($H10987="REFORMING","Reformer",""))))</f>
        <v/>
      </c>
    </row>
    <row r="10988" spans="6:7">
      <c r="F10988" s="6">
        <f>IF($M10988="PADD I","PADD 1",IF($M10988="PADD II","PADD 2",IF($M10988="PADD III","PADD 3",IF($M10988="PADD IV","PADD 4",IF($M10988="PADD V","PADD 5","")))))</f>
        <v/>
      </c>
      <c r="G10988" s="6">
        <f>IF(AND($H10988="ATMOS DISTILLATION",ISNUMBER(SEARCH("VPS",$I10988))=FALSE,LEFT($I10988,6)&lt;&gt;"VACUUM"),"CDU",IF($H10988="FLUID CAT CRACKING","FCC",IF(OR($H10988="HYDROCRACKING",$H10988="RESID_HYDROCRACKING"),"Hydrocracker",IF($H10988="REFORMING","Reformer",""))))</f>
        <v/>
      </c>
    </row>
    <row r="10989" spans="6:7">
      <c r="F10989" s="6">
        <f>IF($M10989="PADD I","PADD 1",IF($M10989="PADD II","PADD 2",IF($M10989="PADD III","PADD 3",IF($M10989="PADD IV","PADD 4",IF($M10989="PADD V","PADD 5","")))))</f>
        <v/>
      </c>
      <c r="G10989" s="6">
        <f>IF(AND($H10989="ATMOS DISTILLATION",ISNUMBER(SEARCH("VPS",$I10989))=FALSE,LEFT($I10989,6)&lt;&gt;"VACUUM"),"CDU",IF($H10989="FLUID CAT CRACKING","FCC",IF(OR($H10989="HYDROCRACKING",$H10989="RESID_HYDROCRACKING"),"Hydrocracker",IF($H10989="REFORMING","Reformer",""))))</f>
        <v/>
      </c>
    </row>
    <row r="10990" spans="6:7">
      <c r="F10990" s="6">
        <f>IF($M10990="PADD I","PADD 1",IF($M10990="PADD II","PADD 2",IF($M10990="PADD III","PADD 3",IF($M10990="PADD IV","PADD 4",IF($M10990="PADD V","PADD 5","")))))</f>
        <v/>
      </c>
      <c r="G10990" s="6">
        <f>IF(AND($H10990="ATMOS DISTILLATION",ISNUMBER(SEARCH("VPS",$I10990))=FALSE,LEFT($I10990,6)&lt;&gt;"VACUUM"),"CDU",IF($H10990="FLUID CAT CRACKING","FCC",IF(OR($H10990="HYDROCRACKING",$H10990="RESID_HYDROCRACKING"),"Hydrocracker",IF($H10990="REFORMING","Reformer",""))))</f>
        <v/>
      </c>
    </row>
    <row r="10991" spans="6:7">
      <c r="F10991" s="6">
        <f>IF($M10991="PADD I","PADD 1",IF($M10991="PADD II","PADD 2",IF($M10991="PADD III","PADD 3",IF($M10991="PADD IV","PADD 4",IF($M10991="PADD V","PADD 5","")))))</f>
        <v/>
      </c>
      <c r="G10991" s="6">
        <f>IF(AND($H10991="ATMOS DISTILLATION",ISNUMBER(SEARCH("VPS",$I10991))=FALSE,LEFT($I10991,6)&lt;&gt;"VACUUM"),"CDU",IF($H10991="FLUID CAT CRACKING","FCC",IF(OR($H10991="HYDROCRACKING",$H10991="RESID_HYDROCRACKING"),"Hydrocracker",IF($H10991="REFORMING","Reformer",""))))</f>
        <v/>
      </c>
    </row>
    <row r="10992" spans="6:7">
      <c r="F10992" s="6">
        <f>IF($M10992="PADD I","PADD 1",IF($M10992="PADD II","PADD 2",IF($M10992="PADD III","PADD 3",IF($M10992="PADD IV","PADD 4",IF($M10992="PADD V","PADD 5","")))))</f>
        <v/>
      </c>
      <c r="G10992" s="6">
        <f>IF(AND($H10992="ATMOS DISTILLATION",ISNUMBER(SEARCH("VPS",$I10992))=FALSE,LEFT($I10992,6)&lt;&gt;"VACUUM"),"CDU",IF($H10992="FLUID CAT CRACKING","FCC",IF(OR($H10992="HYDROCRACKING",$H10992="RESID_HYDROCRACKING"),"Hydrocracker",IF($H10992="REFORMING","Reformer",""))))</f>
        <v/>
      </c>
    </row>
    <row r="10993" spans="6:7">
      <c r="F10993" s="6">
        <f>IF($M10993="PADD I","PADD 1",IF($M10993="PADD II","PADD 2",IF($M10993="PADD III","PADD 3",IF($M10993="PADD IV","PADD 4",IF($M10993="PADD V","PADD 5","")))))</f>
        <v/>
      </c>
      <c r="G10993" s="6">
        <f>IF(AND($H10993="ATMOS DISTILLATION",ISNUMBER(SEARCH("VPS",$I10993))=FALSE,LEFT($I10993,6)&lt;&gt;"VACUUM"),"CDU",IF($H10993="FLUID CAT CRACKING","FCC",IF(OR($H10993="HYDROCRACKING",$H10993="RESID_HYDROCRACKING"),"Hydrocracker",IF($H10993="REFORMING","Reformer",""))))</f>
        <v/>
      </c>
    </row>
    <row r="10994" spans="6:7">
      <c r="F10994" s="6">
        <f>IF($M10994="PADD I","PADD 1",IF($M10994="PADD II","PADD 2",IF($M10994="PADD III","PADD 3",IF($M10994="PADD IV","PADD 4",IF($M10994="PADD V","PADD 5","")))))</f>
        <v/>
      </c>
      <c r="G10994" s="6">
        <f>IF(AND($H10994="ATMOS DISTILLATION",ISNUMBER(SEARCH("VPS",$I10994))=FALSE,LEFT($I10994,6)&lt;&gt;"VACUUM"),"CDU",IF($H10994="FLUID CAT CRACKING","FCC",IF(OR($H10994="HYDROCRACKING",$H10994="RESID_HYDROCRACKING"),"Hydrocracker",IF($H10994="REFORMING","Reformer",""))))</f>
        <v/>
      </c>
    </row>
    <row r="10995" spans="6:7">
      <c r="F10995" s="6">
        <f>IF($M10995="PADD I","PADD 1",IF($M10995="PADD II","PADD 2",IF($M10995="PADD III","PADD 3",IF($M10995="PADD IV","PADD 4",IF($M10995="PADD V","PADD 5","")))))</f>
        <v/>
      </c>
      <c r="G10995" s="6">
        <f>IF(AND($H10995="ATMOS DISTILLATION",ISNUMBER(SEARCH("VPS",$I10995))=FALSE,LEFT($I10995,6)&lt;&gt;"VACUUM"),"CDU",IF($H10995="FLUID CAT CRACKING","FCC",IF(OR($H10995="HYDROCRACKING",$H10995="RESID_HYDROCRACKING"),"Hydrocracker",IF($H10995="REFORMING","Reformer",""))))</f>
        <v/>
      </c>
    </row>
    <row r="10996" spans="6:7">
      <c r="F10996" s="6">
        <f>IF($M10996="PADD I","PADD 1",IF($M10996="PADD II","PADD 2",IF($M10996="PADD III","PADD 3",IF($M10996="PADD IV","PADD 4",IF($M10996="PADD V","PADD 5","")))))</f>
        <v/>
      </c>
      <c r="G10996" s="6">
        <f>IF(AND($H10996="ATMOS DISTILLATION",ISNUMBER(SEARCH("VPS",$I10996))=FALSE,LEFT($I10996,6)&lt;&gt;"VACUUM"),"CDU",IF($H10996="FLUID CAT CRACKING","FCC",IF(OR($H10996="HYDROCRACKING",$H10996="RESID_HYDROCRACKING"),"Hydrocracker",IF($H10996="REFORMING","Reformer",""))))</f>
        <v/>
      </c>
    </row>
    <row r="10997" spans="6:7">
      <c r="F10997" s="6">
        <f>IF($M10997="PADD I","PADD 1",IF($M10997="PADD II","PADD 2",IF($M10997="PADD III","PADD 3",IF($M10997="PADD IV","PADD 4",IF($M10997="PADD V","PADD 5","")))))</f>
        <v/>
      </c>
      <c r="G10997" s="6">
        <f>IF(AND($H10997="ATMOS DISTILLATION",ISNUMBER(SEARCH("VPS",$I10997))=FALSE,LEFT($I10997,6)&lt;&gt;"VACUUM"),"CDU",IF($H10997="FLUID CAT CRACKING","FCC",IF(OR($H10997="HYDROCRACKING",$H10997="RESID_HYDROCRACKING"),"Hydrocracker",IF($H10997="REFORMING","Reformer",""))))</f>
        <v/>
      </c>
    </row>
    <row r="10998" spans="6:7">
      <c r="F10998" s="6">
        <f>IF($M10998="PADD I","PADD 1",IF($M10998="PADD II","PADD 2",IF($M10998="PADD III","PADD 3",IF($M10998="PADD IV","PADD 4",IF($M10998="PADD V","PADD 5","")))))</f>
        <v/>
      </c>
      <c r="G10998" s="6">
        <f>IF(AND($H10998="ATMOS DISTILLATION",ISNUMBER(SEARCH("VPS",$I10998))=FALSE,LEFT($I10998,6)&lt;&gt;"VACUUM"),"CDU",IF($H10998="FLUID CAT CRACKING","FCC",IF(OR($H10998="HYDROCRACKING",$H10998="RESID_HYDROCRACKING"),"Hydrocracker",IF($H10998="REFORMING","Reformer",""))))</f>
        <v/>
      </c>
    </row>
    <row r="10999" spans="6:7">
      <c r="F10999" s="6">
        <f>IF($M10999="PADD I","PADD 1",IF($M10999="PADD II","PADD 2",IF($M10999="PADD III","PADD 3",IF($M10999="PADD IV","PADD 4",IF($M10999="PADD V","PADD 5","")))))</f>
        <v/>
      </c>
      <c r="G10999" s="6">
        <f>IF(AND($H10999="ATMOS DISTILLATION",ISNUMBER(SEARCH("VPS",$I10999))=FALSE,LEFT($I10999,6)&lt;&gt;"VACUUM"),"CDU",IF($H10999="FLUID CAT CRACKING","FCC",IF(OR($H10999="HYDROCRACKING",$H10999="RESID_HYDROCRACKING"),"Hydrocracker",IF($H10999="REFORMING","Reformer",""))))</f>
        <v/>
      </c>
    </row>
    <row r="11000" spans="6:7">
      <c r="F11000" s="6">
        <f>IF($M11000="PADD I","PADD 1",IF($M11000="PADD II","PADD 2",IF($M11000="PADD III","PADD 3",IF($M11000="PADD IV","PADD 4",IF($M11000="PADD V","PADD 5","")))))</f>
        <v/>
      </c>
      <c r="G11000" s="6">
        <f>IF(AND($H11000="ATMOS DISTILLATION",ISNUMBER(SEARCH("VPS",$I11000))=FALSE,LEFT($I11000,6)&lt;&gt;"VACUUM"),"CDU",IF($H11000="FLUID CAT CRACKING","FCC",IF(OR($H11000="HYDROCRACKING",$H11000="RESID_HYDROCRACKING"),"Hydrocracker",IF($H11000="REFORMING","Reformer",""))))</f>
        <v/>
      </c>
    </row>
    <row r="11001" spans="6:7">
      <c r="F11001" s="6">
        <f>IF($M11001="PADD I","PADD 1",IF($M11001="PADD II","PADD 2",IF($M11001="PADD III","PADD 3",IF($M11001="PADD IV","PADD 4",IF($M11001="PADD V","PADD 5","")))))</f>
        <v/>
      </c>
      <c r="G11001" s="6">
        <f>IF(AND($H11001="ATMOS DISTILLATION",ISNUMBER(SEARCH("VPS",$I11001))=FALSE,LEFT($I11001,6)&lt;&gt;"VACUUM"),"CDU",IF($H11001="FLUID CAT CRACKING","FCC",IF(OR($H11001="HYDROCRACKING",$H11001="RESID_HYDROCRACKING"),"Hydrocracker",IF($H11001="REFORMING","Reformer",""))))</f>
        <v/>
      </c>
    </row>
    <row r="11002" spans="6:7">
      <c r="F11002" s="6">
        <f>IF($M11002="PADD I","PADD 1",IF($M11002="PADD II","PADD 2",IF($M11002="PADD III","PADD 3",IF($M11002="PADD IV","PADD 4",IF($M11002="PADD V","PADD 5","")))))</f>
        <v/>
      </c>
      <c r="G11002" s="6">
        <f>IF(AND($H11002="ATMOS DISTILLATION",ISNUMBER(SEARCH("VPS",$I11002))=FALSE,LEFT($I11002,6)&lt;&gt;"VACUUM"),"CDU",IF($H11002="FLUID CAT CRACKING","FCC",IF(OR($H11002="HYDROCRACKING",$H11002="RESID_HYDROCRACKING"),"Hydrocracker",IF($H11002="REFORMING","Reformer",""))))</f>
        <v/>
      </c>
    </row>
    <row r="11003" spans="6:7">
      <c r="F11003" s="6">
        <f>IF($M11003="PADD I","PADD 1",IF($M11003="PADD II","PADD 2",IF($M11003="PADD III","PADD 3",IF($M11003="PADD IV","PADD 4",IF($M11003="PADD V","PADD 5","")))))</f>
        <v/>
      </c>
      <c r="G11003" s="6">
        <f>IF(AND($H11003="ATMOS DISTILLATION",ISNUMBER(SEARCH("VPS",$I11003))=FALSE,LEFT($I11003,6)&lt;&gt;"VACUUM"),"CDU",IF($H11003="FLUID CAT CRACKING","FCC",IF(OR($H11003="HYDROCRACKING",$H11003="RESID_HYDROCRACKING"),"Hydrocracker",IF($H11003="REFORMING","Reformer",""))))</f>
        <v/>
      </c>
    </row>
    <row r="11004" spans="6:7">
      <c r="F11004" s="6">
        <f>IF($M11004="PADD I","PADD 1",IF($M11004="PADD II","PADD 2",IF($M11004="PADD III","PADD 3",IF($M11004="PADD IV","PADD 4",IF($M11004="PADD V","PADD 5","")))))</f>
        <v/>
      </c>
      <c r="G11004" s="6">
        <f>IF(AND($H11004="ATMOS DISTILLATION",ISNUMBER(SEARCH("VPS",$I11004))=FALSE,LEFT($I11004,6)&lt;&gt;"VACUUM"),"CDU",IF($H11004="FLUID CAT CRACKING","FCC",IF(OR($H11004="HYDROCRACKING",$H11004="RESID_HYDROCRACKING"),"Hydrocracker",IF($H11004="REFORMING","Reformer",""))))</f>
        <v/>
      </c>
    </row>
    <row r="11005" spans="6:7">
      <c r="F11005" s="6">
        <f>IF($M11005="PADD I","PADD 1",IF($M11005="PADD II","PADD 2",IF($M11005="PADD III","PADD 3",IF($M11005="PADD IV","PADD 4",IF($M11005="PADD V","PADD 5","")))))</f>
        <v/>
      </c>
      <c r="G11005" s="6">
        <f>IF(AND($H11005="ATMOS DISTILLATION",ISNUMBER(SEARCH("VPS",$I11005))=FALSE,LEFT($I11005,6)&lt;&gt;"VACUUM"),"CDU",IF($H11005="FLUID CAT CRACKING","FCC",IF(OR($H11005="HYDROCRACKING",$H11005="RESID_HYDROCRACKING"),"Hydrocracker",IF($H11005="REFORMING","Reformer",""))))</f>
        <v/>
      </c>
    </row>
    <row r="11006" spans="6:7">
      <c r="F11006" s="6">
        <f>IF($M11006="PADD I","PADD 1",IF($M11006="PADD II","PADD 2",IF($M11006="PADD III","PADD 3",IF($M11006="PADD IV","PADD 4",IF($M11006="PADD V","PADD 5","")))))</f>
        <v/>
      </c>
      <c r="G11006" s="6">
        <f>IF(AND($H11006="ATMOS DISTILLATION",ISNUMBER(SEARCH("VPS",$I11006))=FALSE,LEFT($I11006,6)&lt;&gt;"VACUUM"),"CDU",IF($H11006="FLUID CAT CRACKING","FCC",IF(OR($H11006="HYDROCRACKING",$H11006="RESID_HYDROCRACKING"),"Hydrocracker",IF($H11006="REFORMING","Reformer",""))))</f>
        <v/>
      </c>
    </row>
    <row r="11007" spans="6:7">
      <c r="F11007" s="6">
        <f>IF($M11007="PADD I","PADD 1",IF($M11007="PADD II","PADD 2",IF($M11007="PADD III","PADD 3",IF($M11007="PADD IV","PADD 4",IF($M11007="PADD V","PADD 5","")))))</f>
        <v/>
      </c>
      <c r="G11007" s="6">
        <f>IF(AND($H11007="ATMOS DISTILLATION",ISNUMBER(SEARCH("VPS",$I11007))=FALSE,LEFT($I11007,6)&lt;&gt;"VACUUM"),"CDU",IF($H11007="FLUID CAT CRACKING","FCC",IF(OR($H11007="HYDROCRACKING",$H11007="RESID_HYDROCRACKING"),"Hydrocracker",IF($H11007="REFORMING","Reformer",""))))</f>
        <v/>
      </c>
    </row>
    <row r="11008" spans="6:7">
      <c r="F11008" s="6">
        <f>IF($M11008="PADD I","PADD 1",IF($M11008="PADD II","PADD 2",IF($M11008="PADD III","PADD 3",IF($M11008="PADD IV","PADD 4",IF($M11008="PADD V","PADD 5","")))))</f>
        <v/>
      </c>
      <c r="G11008" s="6">
        <f>IF(AND($H11008="ATMOS DISTILLATION",ISNUMBER(SEARCH("VPS",$I11008))=FALSE,LEFT($I11008,6)&lt;&gt;"VACUUM"),"CDU",IF($H11008="FLUID CAT CRACKING","FCC",IF(OR($H11008="HYDROCRACKING",$H11008="RESID_HYDROCRACKING"),"Hydrocracker",IF($H11008="REFORMING","Reformer",""))))</f>
        <v/>
      </c>
    </row>
    <row r="11009" spans="6:7">
      <c r="F11009" s="6">
        <f>IF($M11009="PADD I","PADD 1",IF($M11009="PADD II","PADD 2",IF($M11009="PADD III","PADD 3",IF($M11009="PADD IV","PADD 4",IF($M11009="PADD V","PADD 5","")))))</f>
        <v/>
      </c>
      <c r="G11009" s="6">
        <f>IF(AND($H11009="ATMOS DISTILLATION",ISNUMBER(SEARCH("VPS",$I11009))=FALSE,LEFT($I11009,6)&lt;&gt;"VACUUM"),"CDU",IF($H11009="FLUID CAT CRACKING","FCC",IF(OR($H11009="HYDROCRACKING",$H11009="RESID_HYDROCRACKING"),"Hydrocracker",IF($H11009="REFORMING","Reformer",""))))</f>
        <v/>
      </c>
    </row>
    <row r="11010" spans="6:7">
      <c r="F11010" s="6">
        <f>IF($M11010="PADD I","PADD 1",IF($M11010="PADD II","PADD 2",IF($M11010="PADD III","PADD 3",IF($M11010="PADD IV","PADD 4",IF($M11010="PADD V","PADD 5","")))))</f>
        <v/>
      </c>
      <c r="G11010" s="6">
        <f>IF(AND($H11010="ATMOS DISTILLATION",ISNUMBER(SEARCH("VPS",$I11010))=FALSE,LEFT($I11010,6)&lt;&gt;"VACUUM"),"CDU",IF($H11010="FLUID CAT CRACKING","FCC",IF(OR($H11010="HYDROCRACKING",$H11010="RESID_HYDROCRACKING"),"Hydrocracker",IF($H11010="REFORMING","Reformer",""))))</f>
        <v/>
      </c>
    </row>
    <row r="11011" spans="6:7">
      <c r="F11011" s="6">
        <f>IF($M11011="PADD I","PADD 1",IF($M11011="PADD II","PADD 2",IF($M11011="PADD III","PADD 3",IF($M11011="PADD IV","PADD 4",IF($M11011="PADD V","PADD 5","")))))</f>
        <v/>
      </c>
      <c r="G11011" s="6">
        <f>IF(AND($H11011="ATMOS DISTILLATION",ISNUMBER(SEARCH("VPS",$I11011))=FALSE,LEFT($I11011,6)&lt;&gt;"VACUUM"),"CDU",IF($H11011="FLUID CAT CRACKING","FCC",IF(OR($H11011="HYDROCRACKING",$H11011="RESID_HYDROCRACKING"),"Hydrocracker",IF($H11011="REFORMING","Reformer",""))))</f>
        <v/>
      </c>
    </row>
    <row r="11012" spans="6:7">
      <c r="F11012" s="6">
        <f>IF($M11012="PADD I","PADD 1",IF($M11012="PADD II","PADD 2",IF($M11012="PADD III","PADD 3",IF($M11012="PADD IV","PADD 4",IF($M11012="PADD V","PADD 5","")))))</f>
        <v/>
      </c>
      <c r="G11012" s="6">
        <f>IF(AND($H11012="ATMOS DISTILLATION",ISNUMBER(SEARCH("VPS",$I11012))=FALSE,LEFT($I11012,6)&lt;&gt;"VACUUM"),"CDU",IF($H11012="FLUID CAT CRACKING","FCC",IF(OR($H11012="HYDROCRACKING",$H11012="RESID_HYDROCRACKING"),"Hydrocracker",IF($H11012="REFORMING","Reformer",""))))</f>
        <v/>
      </c>
    </row>
    <row r="11013" spans="6:7">
      <c r="F11013" s="6">
        <f>IF($M11013="PADD I","PADD 1",IF($M11013="PADD II","PADD 2",IF($M11013="PADD III","PADD 3",IF($M11013="PADD IV","PADD 4",IF($M11013="PADD V","PADD 5","")))))</f>
        <v/>
      </c>
      <c r="G11013" s="6">
        <f>IF(AND($H11013="ATMOS DISTILLATION",ISNUMBER(SEARCH("VPS",$I11013))=FALSE,LEFT($I11013,6)&lt;&gt;"VACUUM"),"CDU",IF($H11013="FLUID CAT CRACKING","FCC",IF(OR($H11013="HYDROCRACKING",$H11013="RESID_HYDROCRACKING"),"Hydrocracker",IF($H11013="REFORMING","Reformer",""))))</f>
        <v/>
      </c>
    </row>
    <row r="11014" spans="6:7">
      <c r="F11014" s="6">
        <f>IF($M11014="PADD I","PADD 1",IF($M11014="PADD II","PADD 2",IF($M11014="PADD III","PADD 3",IF($M11014="PADD IV","PADD 4",IF($M11014="PADD V","PADD 5","")))))</f>
        <v/>
      </c>
      <c r="G11014" s="6">
        <f>IF(AND($H11014="ATMOS DISTILLATION",ISNUMBER(SEARCH("VPS",$I11014))=FALSE,LEFT($I11014,6)&lt;&gt;"VACUUM"),"CDU",IF($H11014="FLUID CAT CRACKING","FCC",IF(OR($H11014="HYDROCRACKING",$H11014="RESID_HYDROCRACKING"),"Hydrocracker",IF($H11014="REFORMING","Reformer",""))))</f>
        <v/>
      </c>
    </row>
    <row r="11015" spans="6:7">
      <c r="F11015" s="6">
        <f>IF($M11015="PADD I","PADD 1",IF($M11015="PADD II","PADD 2",IF($M11015="PADD III","PADD 3",IF($M11015="PADD IV","PADD 4",IF($M11015="PADD V","PADD 5","")))))</f>
        <v/>
      </c>
      <c r="G11015" s="6">
        <f>IF(AND($H11015="ATMOS DISTILLATION",ISNUMBER(SEARCH("VPS",$I11015))=FALSE,LEFT($I11015,6)&lt;&gt;"VACUUM"),"CDU",IF($H11015="FLUID CAT CRACKING","FCC",IF(OR($H11015="HYDROCRACKING",$H11015="RESID_HYDROCRACKING"),"Hydrocracker",IF($H11015="REFORMING","Reformer",""))))</f>
        <v/>
      </c>
    </row>
    <row r="11016" spans="6:7">
      <c r="F11016" s="6">
        <f>IF($M11016="PADD I","PADD 1",IF($M11016="PADD II","PADD 2",IF($M11016="PADD III","PADD 3",IF($M11016="PADD IV","PADD 4",IF($M11016="PADD V","PADD 5","")))))</f>
        <v/>
      </c>
      <c r="G11016" s="6">
        <f>IF(AND($H11016="ATMOS DISTILLATION",ISNUMBER(SEARCH("VPS",$I11016))=FALSE,LEFT($I11016,6)&lt;&gt;"VACUUM"),"CDU",IF($H11016="FLUID CAT CRACKING","FCC",IF(OR($H11016="HYDROCRACKING",$H11016="RESID_HYDROCRACKING"),"Hydrocracker",IF($H11016="REFORMING","Reformer",""))))</f>
        <v/>
      </c>
    </row>
    <row r="11017" spans="6:7">
      <c r="F11017" s="6">
        <f>IF($M11017="PADD I","PADD 1",IF($M11017="PADD II","PADD 2",IF($M11017="PADD III","PADD 3",IF($M11017="PADD IV","PADD 4",IF($M11017="PADD V","PADD 5","")))))</f>
        <v/>
      </c>
      <c r="G11017" s="6">
        <f>IF(AND($H11017="ATMOS DISTILLATION",ISNUMBER(SEARCH("VPS",$I11017))=FALSE,LEFT($I11017,6)&lt;&gt;"VACUUM"),"CDU",IF($H11017="FLUID CAT CRACKING","FCC",IF(OR($H11017="HYDROCRACKING",$H11017="RESID_HYDROCRACKING"),"Hydrocracker",IF($H11017="REFORMING","Reformer",""))))</f>
        <v/>
      </c>
    </row>
    <row r="11018" spans="6:7">
      <c r="F11018" s="6">
        <f>IF($M11018="PADD I","PADD 1",IF($M11018="PADD II","PADD 2",IF($M11018="PADD III","PADD 3",IF($M11018="PADD IV","PADD 4",IF($M11018="PADD V","PADD 5","")))))</f>
        <v/>
      </c>
      <c r="G11018" s="6">
        <f>IF(AND($H11018="ATMOS DISTILLATION",ISNUMBER(SEARCH("VPS",$I11018))=FALSE,LEFT($I11018,6)&lt;&gt;"VACUUM"),"CDU",IF($H11018="FLUID CAT CRACKING","FCC",IF(OR($H11018="HYDROCRACKING",$H11018="RESID_HYDROCRACKING"),"Hydrocracker",IF($H11018="REFORMING","Reformer",""))))</f>
        <v/>
      </c>
    </row>
    <row r="11019" spans="6:7">
      <c r="F11019" s="6">
        <f>IF($M11019="PADD I","PADD 1",IF($M11019="PADD II","PADD 2",IF($M11019="PADD III","PADD 3",IF($M11019="PADD IV","PADD 4",IF($M11019="PADD V","PADD 5","")))))</f>
        <v/>
      </c>
      <c r="G11019" s="6">
        <f>IF(AND($H11019="ATMOS DISTILLATION",ISNUMBER(SEARCH("VPS",$I11019))=FALSE,LEFT($I11019,6)&lt;&gt;"VACUUM"),"CDU",IF($H11019="FLUID CAT CRACKING","FCC",IF(OR($H11019="HYDROCRACKING",$H11019="RESID_HYDROCRACKING"),"Hydrocracker",IF($H11019="REFORMING","Reformer",""))))</f>
        <v/>
      </c>
    </row>
    <row r="11020" spans="6:7">
      <c r="F11020" s="6">
        <f>IF($M11020="PADD I","PADD 1",IF($M11020="PADD II","PADD 2",IF($M11020="PADD III","PADD 3",IF($M11020="PADD IV","PADD 4",IF($M11020="PADD V","PADD 5","")))))</f>
        <v/>
      </c>
      <c r="G11020" s="6">
        <f>IF(AND($H11020="ATMOS DISTILLATION",ISNUMBER(SEARCH("VPS",$I11020))=FALSE,LEFT($I11020,6)&lt;&gt;"VACUUM"),"CDU",IF($H11020="FLUID CAT CRACKING","FCC",IF(OR($H11020="HYDROCRACKING",$H11020="RESID_HYDROCRACKING"),"Hydrocracker",IF($H11020="REFORMING","Reformer",""))))</f>
        <v/>
      </c>
    </row>
    <row r="11021" spans="6:7">
      <c r="F11021" s="6">
        <f>IF($M11021="PADD I","PADD 1",IF($M11021="PADD II","PADD 2",IF($M11021="PADD III","PADD 3",IF($M11021="PADD IV","PADD 4",IF($M11021="PADD V","PADD 5","")))))</f>
        <v/>
      </c>
      <c r="G11021" s="6">
        <f>IF(AND($H11021="ATMOS DISTILLATION",ISNUMBER(SEARCH("VPS",$I11021))=FALSE,LEFT($I11021,6)&lt;&gt;"VACUUM"),"CDU",IF($H11021="FLUID CAT CRACKING","FCC",IF(OR($H11021="HYDROCRACKING",$H11021="RESID_HYDROCRACKING"),"Hydrocracker",IF($H11021="REFORMING","Reformer",""))))</f>
        <v/>
      </c>
    </row>
    <row r="11022" spans="6:7">
      <c r="F11022" s="6">
        <f>IF($M11022="PADD I","PADD 1",IF($M11022="PADD II","PADD 2",IF($M11022="PADD III","PADD 3",IF($M11022="PADD IV","PADD 4",IF($M11022="PADD V","PADD 5","")))))</f>
        <v/>
      </c>
      <c r="G11022" s="6">
        <f>IF(AND($H11022="ATMOS DISTILLATION",ISNUMBER(SEARCH("VPS",$I11022))=FALSE,LEFT($I11022,6)&lt;&gt;"VACUUM"),"CDU",IF($H11022="FLUID CAT CRACKING","FCC",IF(OR($H11022="HYDROCRACKING",$H11022="RESID_HYDROCRACKING"),"Hydrocracker",IF($H11022="REFORMING","Reformer",""))))</f>
        <v/>
      </c>
    </row>
    <row r="11023" spans="6:7">
      <c r="F11023" s="6">
        <f>IF($M11023="PADD I","PADD 1",IF($M11023="PADD II","PADD 2",IF($M11023="PADD III","PADD 3",IF($M11023="PADD IV","PADD 4",IF($M11023="PADD V","PADD 5","")))))</f>
        <v/>
      </c>
      <c r="G11023" s="6">
        <f>IF(AND($H11023="ATMOS DISTILLATION",ISNUMBER(SEARCH("VPS",$I11023))=FALSE,LEFT($I11023,6)&lt;&gt;"VACUUM"),"CDU",IF($H11023="FLUID CAT CRACKING","FCC",IF(OR($H11023="HYDROCRACKING",$H11023="RESID_HYDROCRACKING"),"Hydrocracker",IF($H11023="REFORMING","Reformer",""))))</f>
        <v/>
      </c>
    </row>
    <row r="11024" spans="6:7">
      <c r="F11024" s="6">
        <f>IF($M11024="PADD I","PADD 1",IF($M11024="PADD II","PADD 2",IF($M11024="PADD III","PADD 3",IF($M11024="PADD IV","PADD 4",IF($M11024="PADD V","PADD 5","")))))</f>
        <v/>
      </c>
      <c r="G11024" s="6">
        <f>IF(AND($H11024="ATMOS DISTILLATION",ISNUMBER(SEARCH("VPS",$I11024))=FALSE,LEFT($I11024,6)&lt;&gt;"VACUUM"),"CDU",IF($H11024="FLUID CAT CRACKING","FCC",IF(OR($H11024="HYDROCRACKING",$H11024="RESID_HYDROCRACKING"),"Hydrocracker",IF($H11024="REFORMING","Reformer",""))))</f>
        <v/>
      </c>
    </row>
    <row r="11025" spans="6:7">
      <c r="F11025" s="6">
        <f>IF($M11025="PADD I","PADD 1",IF($M11025="PADD II","PADD 2",IF($M11025="PADD III","PADD 3",IF($M11025="PADD IV","PADD 4",IF($M11025="PADD V","PADD 5","")))))</f>
        <v/>
      </c>
      <c r="G11025" s="6">
        <f>IF(AND($H11025="ATMOS DISTILLATION",ISNUMBER(SEARCH("VPS",$I11025))=FALSE,LEFT($I11025,6)&lt;&gt;"VACUUM"),"CDU",IF($H11025="FLUID CAT CRACKING","FCC",IF(OR($H11025="HYDROCRACKING",$H11025="RESID_HYDROCRACKING"),"Hydrocracker",IF($H11025="REFORMING","Reformer",""))))</f>
        <v/>
      </c>
    </row>
    <row r="11026" spans="6:7">
      <c r="F11026" s="6">
        <f>IF($M11026="PADD I","PADD 1",IF($M11026="PADD II","PADD 2",IF($M11026="PADD III","PADD 3",IF($M11026="PADD IV","PADD 4",IF($M11026="PADD V","PADD 5","")))))</f>
        <v/>
      </c>
      <c r="G11026" s="6">
        <f>IF(AND($H11026="ATMOS DISTILLATION",ISNUMBER(SEARCH("VPS",$I11026))=FALSE,LEFT($I11026,6)&lt;&gt;"VACUUM"),"CDU",IF($H11026="FLUID CAT CRACKING","FCC",IF(OR($H11026="HYDROCRACKING",$H11026="RESID_HYDROCRACKING"),"Hydrocracker",IF($H11026="REFORMING","Reformer",""))))</f>
        <v/>
      </c>
    </row>
    <row r="11027" spans="6:7">
      <c r="F11027" s="6">
        <f>IF($M11027="PADD I","PADD 1",IF($M11027="PADD II","PADD 2",IF($M11027="PADD III","PADD 3",IF($M11027="PADD IV","PADD 4",IF($M11027="PADD V","PADD 5","")))))</f>
        <v/>
      </c>
      <c r="G11027" s="6">
        <f>IF(AND($H11027="ATMOS DISTILLATION",ISNUMBER(SEARCH("VPS",$I11027))=FALSE,LEFT($I11027,6)&lt;&gt;"VACUUM"),"CDU",IF($H11027="FLUID CAT CRACKING","FCC",IF(OR($H11027="HYDROCRACKING",$H11027="RESID_HYDROCRACKING"),"Hydrocracker",IF($H11027="REFORMING","Reformer",""))))</f>
        <v/>
      </c>
    </row>
    <row r="11028" spans="6:7">
      <c r="F11028" s="6">
        <f>IF($M11028="PADD I","PADD 1",IF($M11028="PADD II","PADD 2",IF($M11028="PADD III","PADD 3",IF($M11028="PADD IV","PADD 4",IF($M11028="PADD V","PADD 5","")))))</f>
        <v/>
      </c>
      <c r="G11028" s="6">
        <f>IF(AND($H11028="ATMOS DISTILLATION",ISNUMBER(SEARCH("VPS",$I11028))=FALSE,LEFT($I11028,6)&lt;&gt;"VACUUM"),"CDU",IF($H11028="FLUID CAT CRACKING","FCC",IF(OR($H11028="HYDROCRACKING",$H11028="RESID_HYDROCRACKING"),"Hydrocracker",IF($H11028="REFORMING","Reformer",""))))</f>
        <v/>
      </c>
    </row>
    <row r="11029" spans="6:7">
      <c r="F11029" s="6">
        <f>IF($M11029="PADD I","PADD 1",IF($M11029="PADD II","PADD 2",IF($M11029="PADD III","PADD 3",IF($M11029="PADD IV","PADD 4",IF($M11029="PADD V","PADD 5","")))))</f>
        <v/>
      </c>
      <c r="G11029" s="6">
        <f>IF(AND($H11029="ATMOS DISTILLATION",ISNUMBER(SEARCH("VPS",$I11029))=FALSE,LEFT($I11029,6)&lt;&gt;"VACUUM"),"CDU",IF($H11029="FLUID CAT CRACKING","FCC",IF(OR($H11029="HYDROCRACKING",$H11029="RESID_HYDROCRACKING"),"Hydrocracker",IF($H11029="REFORMING","Reformer",""))))</f>
        <v/>
      </c>
    </row>
    <row r="11030" spans="6:7">
      <c r="F11030" s="6">
        <f>IF($M11030="PADD I","PADD 1",IF($M11030="PADD II","PADD 2",IF($M11030="PADD III","PADD 3",IF($M11030="PADD IV","PADD 4",IF($M11030="PADD V","PADD 5","")))))</f>
        <v/>
      </c>
      <c r="G11030" s="6">
        <f>IF(AND($H11030="ATMOS DISTILLATION",ISNUMBER(SEARCH("VPS",$I11030))=FALSE,LEFT($I11030,6)&lt;&gt;"VACUUM"),"CDU",IF($H11030="FLUID CAT CRACKING","FCC",IF(OR($H11030="HYDROCRACKING",$H11030="RESID_HYDROCRACKING"),"Hydrocracker",IF($H11030="REFORMING","Reformer",""))))</f>
        <v/>
      </c>
    </row>
    <row r="11031" spans="6:7">
      <c r="F11031" s="6">
        <f>IF($M11031="PADD I","PADD 1",IF($M11031="PADD II","PADD 2",IF($M11031="PADD III","PADD 3",IF($M11031="PADD IV","PADD 4",IF($M11031="PADD V","PADD 5","")))))</f>
        <v/>
      </c>
      <c r="G11031" s="6">
        <f>IF(AND($H11031="ATMOS DISTILLATION",ISNUMBER(SEARCH("VPS",$I11031))=FALSE,LEFT($I11031,6)&lt;&gt;"VACUUM"),"CDU",IF($H11031="FLUID CAT CRACKING","FCC",IF(OR($H11031="HYDROCRACKING",$H11031="RESID_HYDROCRACKING"),"Hydrocracker",IF($H11031="REFORMING","Reformer",""))))</f>
        <v/>
      </c>
    </row>
    <row r="11032" spans="6:7">
      <c r="F11032" s="6">
        <f>IF($M11032="PADD I","PADD 1",IF($M11032="PADD II","PADD 2",IF($M11032="PADD III","PADD 3",IF($M11032="PADD IV","PADD 4",IF($M11032="PADD V","PADD 5","")))))</f>
        <v/>
      </c>
      <c r="G11032" s="6">
        <f>IF(AND($H11032="ATMOS DISTILLATION",ISNUMBER(SEARCH("VPS",$I11032))=FALSE,LEFT($I11032,6)&lt;&gt;"VACUUM"),"CDU",IF($H11032="FLUID CAT CRACKING","FCC",IF(OR($H11032="HYDROCRACKING",$H11032="RESID_HYDROCRACKING"),"Hydrocracker",IF($H11032="REFORMING","Reformer",""))))</f>
        <v/>
      </c>
    </row>
    <row r="11033" spans="6:7">
      <c r="F11033" s="6">
        <f>IF($M11033="PADD I","PADD 1",IF($M11033="PADD II","PADD 2",IF($M11033="PADD III","PADD 3",IF($M11033="PADD IV","PADD 4",IF($M11033="PADD V","PADD 5","")))))</f>
        <v/>
      </c>
      <c r="G11033" s="6">
        <f>IF(AND($H11033="ATMOS DISTILLATION",ISNUMBER(SEARCH("VPS",$I11033))=FALSE,LEFT($I11033,6)&lt;&gt;"VACUUM"),"CDU",IF($H11033="FLUID CAT CRACKING","FCC",IF(OR($H11033="HYDROCRACKING",$H11033="RESID_HYDROCRACKING"),"Hydrocracker",IF($H11033="REFORMING","Reformer",""))))</f>
        <v/>
      </c>
    </row>
    <row r="11034" spans="6:7">
      <c r="F11034" s="6">
        <f>IF($M11034="PADD I","PADD 1",IF($M11034="PADD II","PADD 2",IF($M11034="PADD III","PADD 3",IF($M11034="PADD IV","PADD 4",IF($M11034="PADD V","PADD 5","")))))</f>
        <v/>
      </c>
      <c r="G11034" s="6">
        <f>IF(AND($H11034="ATMOS DISTILLATION",ISNUMBER(SEARCH("VPS",$I11034))=FALSE,LEFT($I11034,6)&lt;&gt;"VACUUM"),"CDU",IF($H11034="FLUID CAT CRACKING","FCC",IF(OR($H11034="HYDROCRACKING",$H11034="RESID_HYDROCRACKING"),"Hydrocracker",IF($H11034="REFORMING","Reformer",""))))</f>
        <v/>
      </c>
    </row>
    <row r="11035" spans="6:7">
      <c r="F11035" s="6">
        <f>IF($M11035="PADD I","PADD 1",IF($M11035="PADD II","PADD 2",IF($M11035="PADD III","PADD 3",IF($M11035="PADD IV","PADD 4",IF($M11035="PADD V","PADD 5","")))))</f>
        <v/>
      </c>
      <c r="G11035" s="6">
        <f>IF(AND($H11035="ATMOS DISTILLATION",ISNUMBER(SEARCH("VPS",$I11035))=FALSE,LEFT($I11035,6)&lt;&gt;"VACUUM"),"CDU",IF($H11035="FLUID CAT CRACKING","FCC",IF(OR($H11035="HYDROCRACKING",$H11035="RESID_HYDROCRACKING"),"Hydrocracker",IF($H11035="REFORMING","Reformer",""))))</f>
        <v/>
      </c>
    </row>
    <row r="11036" spans="6:7">
      <c r="F11036" s="6">
        <f>IF($M11036="PADD I","PADD 1",IF($M11036="PADD II","PADD 2",IF($M11036="PADD III","PADD 3",IF($M11036="PADD IV","PADD 4",IF($M11036="PADD V","PADD 5","")))))</f>
        <v/>
      </c>
      <c r="G11036" s="6">
        <f>IF(AND($H11036="ATMOS DISTILLATION",ISNUMBER(SEARCH("VPS",$I11036))=FALSE,LEFT($I11036,6)&lt;&gt;"VACUUM"),"CDU",IF($H11036="FLUID CAT CRACKING","FCC",IF(OR($H11036="HYDROCRACKING",$H11036="RESID_HYDROCRACKING"),"Hydrocracker",IF($H11036="REFORMING","Reformer",""))))</f>
        <v/>
      </c>
    </row>
    <row r="11037" spans="6:7">
      <c r="F11037" s="6">
        <f>IF($M11037="PADD I","PADD 1",IF($M11037="PADD II","PADD 2",IF($M11037="PADD III","PADD 3",IF($M11037="PADD IV","PADD 4",IF($M11037="PADD V","PADD 5","")))))</f>
        <v/>
      </c>
      <c r="G11037" s="6">
        <f>IF(AND($H11037="ATMOS DISTILLATION",ISNUMBER(SEARCH("VPS",$I11037))=FALSE,LEFT($I11037,6)&lt;&gt;"VACUUM"),"CDU",IF($H11037="FLUID CAT CRACKING","FCC",IF(OR($H11037="HYDROCRACKING",$H11037="RESID_HYDROCRACKING"),"Hydrocracker",IF($H11037="REFORMING","Reformer",""))))</f>
        <v/>
      </c>
    </row>
    <row r="11038" spans="6:7">
      <c r="F11038" s="6">
        <f>IF($M11038="PADD I","PADD 1",IF($M11038="PADD II","PADD 2",IF($M11038="PADD III","PADD 3",IF($M11038="PADD IV","PADD 4",IF($M11038="PADD V","PADD 5","")))))</f>
        <v/>
      </c>
      <c r="G11038" s="6">
        <f>IF(AND($H11038="ATMOS DISTILLATION",ISNUMBER(SEARCH("VPS",$I11038))=FALSE,LEFT($I11038,6)&lt;&gt;"VACUUM"),"CDU",IF($H11038="FLUID CAT CRACKING","FCC",IF(OR($H11038="HYDROCRACKING",$H11038="RESID_HYDROCRACKING"),"Hydrocracker",IF($H11038="REFORMING","Reformer",""))))</f>
        <v/>
      </c>
    </row>
    <row r="11039" spans="6:7">
      <c r="F11039" s="6">
        <f>IF($M11039="PADD I","PADD 1",IF($M11039="PADD II","PADD 2",IF($M11039="PADD III","PADD 3",IF($M11039="PADD IV","PADD 4",IF($M11039="PADD V","PADD 5","")))))</f>
        <v/>
      </c>
      <c r="G11039" s="6">
        <f>IF(AND($H11039="ATMOS DISTILLATION",ISNUMBER(SEARCH("VPS",$I11039))=FALSE,LEFT($I11039,6)&lt;&gt;"VACUUM"),"CDU",IF($H11039="FLUID CAT CRACKING","FCC",IF(OR($H11039="HYDROCRACKING",$H11039="RESID_HYDROCRACKING"),"Hydrocracker",IF($H11039="REFORMING","Reformer",""))))</f>
        <v/>
      </c>
    </row>
    <row r="11040" spans="6:7">
      <c r="F11040" s="6">
        <f>IF($M11040="PADD I","PADD 1",IF($M11040="PADD II","PADD 2",IF($M11040="PADD III","PADD 3",IF($M11040="PADD IV","PADD 4",IF($M11040="PADD V","PADD 5","")))))</f>
        <v/>
      </c>
      <c r="G11040" s="6">
        <f>IF(AND($H11040="ATMOS DISTILLATION",ISNUMBER(SEARCH("VPS",$I11040))=FALSE,LEFT($I11040,6)&lt;&gt;"VACUUM"),"CDU",IF($H11040="FLUID CAT CRACKING","FCC",IF(OR($H11040="HYDROCRACKING",$H11040="RESID_HYDROCRACKING"),"Hydrocracker",IF($H11040="REFORMING","Reformer",""))))</f>
        <v/>
      </c>
    </row>
    <row r="11041" spans="6:7">
      <c r="F11041" s="6">
        <f>IF($M11041="PADD I","PADD 1",IF($M11041="PADD II","PADD 2",IF($M11041="PADD III","PADD 3",IF($M11041="PADD IV","PADD 4",IF($M11041="PADD V","PADD 5","")))))</f>
        <v/>
      </c>
      <c r="G11041" s="6">
        <f>IF(AND($H11041="ATMOS DISTILLATION",ISNUMBER(SEARCH("VPS",$I11041))=FALSE,LEFT($I11041,6)&lt;&gt;"VACUUM"),"CDU",IF($H11041="FLUID CAT CRACKING","FCC",IF(OR($H11041="HYDROCRACKING",$H11041="RESID_HYDROCRACKING"),"Hydrocracker",IF($H11041="REFORMING","Reformer",""))))</f>
        <v/>
      </c>
    </row>
    <row r="11042" spans="6:7">
      <c r="F11042" s="6">
        <f>IF($M11042="PADD I","PADD 1",IF($M11042="PADD II","PADD 2",IF($M11042="PADD III","PADD 3",IF($M11042="PADD IV","PADD 4",IF($M11042="PADD V","PADD 5","")))))</f>
        <v/>
      </c>
      <c r="G11042" s="6">
        <f>IF(AND($H11042="ATMOS DISTILLATION",ISNUMBER(SEARCH("VPS",$I11042))=FALSE,LEFT($I11042,6)&lt;&gt;"VACUUM"),"CDU",IF($H11042="FLUID CAT CRACKING","FCC",IF(OR($H11042="HYDROCRACKING",$H11042="RESID_HYDROCRACKING"),"Hydrocracker",IF($H11042="REFORMING","Reformer",""))))</f>
        <v/>
      </c>
    </row>
    <row r="11043" spans="6:7">
      <c r="F11043" s="6">
        <f>IF($M11043="PADD I","PADD 1",IF($M11043="PADD II","PADD 2",IF($M11043="PADD III","PADD 3",IF($M11043="PADD IV","PADD 4",IF($M11043="PADD V","PADD 5","")))))</f>
        <v/>
      </c>
      <c r="G11043" s="6">
        <f>IF(AND($H11043="ATMOS DISTILLATION",ISNUMBER(SEARCH("VPS",$I11043))=FALSE,LEFT($I11043,6)&lt;&gt;"VACUUM"),"CDU",IF($H11043="FLUID CAT CRACKING","FCC",IF(OR($H11043="HYDROCRACKING",$H11043="RESID_HYDROCRACKING"),"Hydrocracker",IF($H11043="REFORMING","Reformer",""))))</f>
        <v/>
      </c>
    </row>
    <row r="11044" spans="6:7">
      <c r="F11044" s="6">
        <f>IF($M11044="PADD I","PADD 1",IF($M11044="PADD II","PADD 2",IF($M11044="PADD III","PADD 3",IF($M11044="PADD IV","PADD 4",IF($M11044="PADD V","PADD 5","")))))</f>
        <v/>
      </c>
      <c r="G11044" s="6">
        <f>IF(AND($H11044="ATMOS DISTILLATION",ISNUMBER(SEARCH("VPS",$I11044))=FALSE,LEFT($I11044,6)&lt;&gt;"VACUUM"),"CDU",IF($H11044="FLUID CAT CRACKING","FCC",IF(OR($H11044="HYDROCRACKING",$H11044="RESID_HYDROCRACKING"),"Hydrocracker",IF($H11044="REFORMING","Reformer",""))))</f>
        <v/>
      </c>
    </row>
    <row r="11045" spans="6:7">
      <c r="F11045" s="6">
        <f>IF($M11045="PADD I","PADD 1",IF($M11045="PADD II","PADD 2",IF($M11045="PADD III","PADD 3",IF($M11045="PADD IV","PADD 4",IF($M11045="PADD V","PADD 5","")))))</f>
        <v/>
      </c>
      <c r="G11045" s="6">
        <f>IF(AND($H11045="ATMOS DISTILLATION",ISNUMBER(SEARCH("VPS",$I11045))=FALSE,LEFT($I11045,6)&lt;&gt;"VACUUM"),"CDU",IF($H11045="FLUID CAT CRACKING","FCC",IF(OR($H11045="HYDROCRACKING",$H11045="RESID_HYDROCRACKING"),"Hydrocracker",IF($H11045="REFORMING","Reformer",""))))</f>
        <v/>
      </c>
    </row>
    <row r="11046" spans="6:7">
      <c r="F11046" s="6">
        <f>IF($M11046="PADD I","PADD 1",IF($M11046="PADD II","PADD 2",IF($M11046="PADD III","PADD 3",IF($M11046="PADD IV","PADD 4",IF($M11046="PADD V","PADD 5","")))))</f>
        <v/>
      </c>
      <c r="G11046" s="6">
        <f>IF(AND($H11046="ATMOS DISTILLATION",ISNUMBER(SEARCH("VPS",$I11046))=FALSE,LEFT($I11046,6)&lt;&gt;"VACUUM"),"CDU",IF($H11046="FLUID CAT CRACKING","FCC",IF(OR($H11046="HYDROCRACKING",$H11046="RESID_HYDROCRACKING"),"Hydrocracker",IF($H11046="REFORMING","Reformer",""))))</f>
        <v/>
      </c>
    </row>
    <row r="11047" spans="6:7">
      <c r="F11047" s="6">
        <f>IF($M11047="PADD I","PADD 1",IF($M11047="PADD II","PADD 2",IF($M11047="PADD III","PADD 3",IF($M11047="PADD IV","PADD 4",IF($M11047="PADD V","PADD 5","")))))</f>
        <v/>
      </c>
      <c r="G11047" s="6">
        <f>IF(AND($H11047="ATMOS DISTILLATION",ISNUMBER(SEARCH("VPS",$I11047))=FALSE,LEFT($I11047,6)&lt;&gt;"VACUUM"),"CDU",IF($H11047="FLUID CAT CRACKING","FCC",IF(OR($H11047="HYDROCRACKING",$H11047="RESID_HYDROCRACKING"),"Hydrocracker",IF($H11047="REFORMING","Reformer",""))))</f>
        <v/>
      </c>
    </row>
    <row r="11048" spans="6:7">
      <c r="F11048" s="6">
        <f>IF($M11048="PADD I","PADD 1",IF($M11048="PADD II","PADD 2",IF($M11048="PADD III","PADD 3",IF($M11048="PADD IV","PADD 4",IF($M11048="PADD V","PADD 5","")))))</f>
        <v/>
      </c>
      <c r="G11048" s="6">
        <f>IF(AND($H11048="ATMOS DISTILLATION",ISNUMBER(SEARCH("VPS",$I11048))=FALSE,LEFT($I11048,6)&lt;&gt;"VACUUM"),"CDU",IF($H11048="FLUID CAT CRACKING","FCC",IF(OR($H11048="HYDROCRACKING",$H11048="RESID_HYDROCRACKING"),"Hydrocracker",IF($H11048="REFORMING","Reformer",""))))</f>
        <v/>
      </c>
    </row>
    <row r="11049" spans="6:7">
      <c r="F11049" s="6">
        <f>IF($M11049="PADD I","PADD 1",IF($M11049="PADD II","PADD 2",IF($M11049="PADD III","PADD 3",IF($M11049="PADD IV","PADD 4",IF($M11049="PADD V","PADD 5","")))))</f>
        <v/>
      </c>
      <c r="G11049" s="6">
        <f>IF(AND($H11049="ATMOS DISTILLATION",ISNUMBER(SEARCH("VPS",$I11049))=FALSE,LEFT($I11049,6)&lt;&gt;"VACUUM"),"CDU",IF($H11049="FLUID CAT CRACKING","FCC",IF(OR($H11049="HYDROCRACKING",$H11049="RESID_HYDROCRACKING"),"Hydrocracker",IF($H11049="REFORMING","Reformer",""))))</f>
        <v/>
      </c>
    </row>
    <row r="11050" spans="6:7">
      <c r="F11050" s="6">
        <f>IF($M11050="PADD I","PADD 1",IF($M11050="PADD II","PADD 2",IF($M11050="PADD III","PADD 3",IF($M11050="PADD IV","PADD 4",IF($M11050="PADD V","PADD 5","")))))</f>
        <v/>
      </c>
      <c r="G11050" s="6">
        <f>IF(AND($H11050="ATMOS DISTILLATION",ISNUMBER(SEARCH("VPS",$I11050))=FALSE,LEFT($I11050,6)&lt;&gt;"VACUUM"),"CDU",IF($H11050="FLUID CAT CRACKING","FCC",IF(OR($H11050="HYDROCRACKING",$H11050="RESID_HYDROCRACKING"),"Hydrocracker",IF($H11050="REFORMING","Reformer",""))))</f>
        <v/>
      </c>
    </row>
    <row r="11051" spans="6:7">
      <c r="F11051" s="6">
        <f>IF($M11051="PADD I","PADD 1",IF($M11051="PADD II","PADD 2",IF($M11051="PADD III","PADD 3",IF($M11051="PADD IV","PADD 4",IF($M11051="PADD V","PADD 5","")))))</f>
        <v/>
      </c>
      <c r="G11051" s="6">
        <f>IF(AND($H11051="ATMOS DISTILLATION",ISNUMBER(SEARCH("VPS",$I11051))=FALSE,LEFT($I11051,6)&lt;&gt;"VACUUM"),"CDU",IF($H11051="FLUID CAT CRACKING","FCC",IF(OR($H11051="HYDROCRACKING",$H11051="RESID_HYDROCRACKING"),"Hydrocracker",IF($H11051="REFORMING","Reformer",""))))</f>
        <v/>
      </c>
    </row>
    <row r="11052" spans="6:7">
      <c r="F11052" s="6">
        <f>IF($M11052="PADD I","PADD 1",IF($M11052="PADD II","PADD 2",IF($M11052="PADD III","PADD 3",IF($M11052="PADD IV","PADD 4",IF($M11052="PADD V","PADD 5","")))))</f>
        <v/>
      </c>
      <c r="G11052" s="6">
        <f>IF(AND($H11052="ATMOS DISTILLATION",ISNUMBER(SEARCH("VPS",$I11052))=FALSE,LEFT($I11052,6)&lt;&gt;"VACUUM"),"CDU",IF($H11052="FLUID CAT CRACKING","FCC",IF(OR($H11052="HYDROCRACKING",$H11052="RESID_HYDROCRACKING"),"Hydrocracker",IF($H11052="REFORMING","Reformer",""))))</f>
        <v/>
      </c>
    </row>
    <row r="11053" spans="6:7">
      <c r="F11053" s="6">
        <f>IF($M11053="PADD I","PADD 1",IF($M11053="PADD II","PADD 2",IF($M11053="PADD III","PADD 3",IF($M11053="PADD IV","PADD 4",IF($M11053="PADD V","PADD 5","")))))</f>
        <v/>
      </c>
      <c r="G11053" s="6">
        <f>IF(AND($H11053="ATMOS DISTILLATION",ISNUMBER(SEARCH("VPS",$I11053))=FALSE,LEFT($I11053,6)&lt;&gt;"VACUUM"),"CDU",IF($H11053="FLUID CAT CRACKING","FCC",IF(OR($H11053="HYDROCRACKING",$H11053="RESID_HYDROCRACKING"),"Hydrocracker",IF($H11053="REFORMING","Reformer",""))))</f>
        <v/>
      </c>
    </row>
    <row r="11054" spans="6:7">
      <c r="F11054" s="6">
        <f>IF($M11054="PADD I","PADD 1",IF($M11054="PADD II","PADD 2",IF($M11054="PADD III","PADD 3",IF($M11054="PADD IV","PADD 4",IF($M11054="PADD V","PADD 5","")))))</f>
        <v/>
      </c>
      <c r="G11054" s="6">
        <f>IF(AND($H11054="ATMOS DISTILLATION",ISNUMBER(SEARCH("VPS",$I11054))=FALSE,LEFT($I11054,6)&lt;&gt;"VACUUM"),"CDU",IF($H11054="FLUID CAT CRACKING","FCC",IF(OR($H11054="HYDROCRACKING",$H11054="RESID_HYDROCRACKING"),"Hydrocracker",IF($H11054="REFORMING","Reformer",""))))</f>
        <v/>
      </c>
    </row>
    <row r="11055" spans="6:7">
      <c r="F11055" s="6">
        <f>IF($M11055="PADD I","PADD 1",IF($M11055="PADD II","PADD 2",IF($M11055="PADD III","PADD 3",IF($M11055="PADD IV","PADD 4",IF($M11055="PADD V","PADD 5","")))))</f>
        <v/>
      </c>
      <c r="G11055" s="6">
        <f>IF(AND($H11055="ATMOS DISTILLATION",ISNUMBER(SEARCH("VPS",$I11055))=FALSE,LEFT($I11055,6)&lt;&gt;"VACUUM"),"CDU",IF($H11055="FLUID CAT CRACKING","FCC",IF(OR($H11055="HYDROCRACKING",$H11055="RESID_HYDROCRACKING"),"Hydrocracker",IF($H11055="REFORMING","Reformer",""))))</f>
        <v/>
      </c>
    </row>
    <row r="11056" spans="6:7">
      <c r="F11056" s="6">
        <f>IF($M11056="PADD I","PADD 1",IF($M11056="PADD II","PADD 2",IF($M11056="PADD III","PADD 3",IF($M11056="PADD IV","PADD 4",IF($M11056="PADD V","PADD 5","")))))</f>
        <v/>
      </c>
      <c r="G11056" s="6">
        <f>IF(AND($H11056="ATMOS DISTILLATION",ISNUMBER(SEARCH("VPS",$I11056))=FALSE,LEFT($I11056,6)&lt;&gt;"VACUUM"),"CDU",IF($H11056="FLUID CAT CRACKING","FCC",IF(OR($H11056="HYDROCRACKING",$H11056="RESID_HYDROCRACKING"),"Hydrocracker",IF($H11056="REFORMING","Reformer",""))))</f>
        <v/>
      </c>
    </row>
    <row r="11057" spans="6:7">
      <c r="F11057" s="6">
        <f>IF($M11057="PADD I","PADD 1",IF($M11057="PADD II","PADD 2",IF($M11057="PADD III","PADD 3",IF($M11057="PADD IV","PADD 4",IF($M11057="PADD V","PADD 5","")))))</f>
        <v/>
      </c>
      <c r="G11057" s="6">
        <f>IF(AND($H11057="ATMOS DISTILLATION",ISNUMBER(SEARCH("VPS",$I11057))=FALSE,LEFT($I11057,6)&lt;&gt;"VACUUM"),"CDU",IF($H11057="FLUID CAT CRACKING","FCC",IF(OR($H11057="HYDROCRACKING",$H11057="RESID_HYDROCRACKING"),"Hydrocracker",IF($H11057="REFORMING","Reformer",""))))</f>
        <v/>
      </c>
    </row>
    <row r="11058" spans="6:7">
      <c r="F11058" s="6">
        <f>IF($M11058="PADD I","PADD 1",IF($M11058="PADD II","PADD 2",IF($M11058="PADD III","PADD 3",IF($M11058="PADD IV","PADD 4",IF($M11058="PADD V","PADD 5","")))))</f>
        <v/>
      </c>
      <c r="G11058" s="6">
        <f>IF(AND($H11058="ATMOS DISTILLATION",ISNUMBER(SEARCH("VPS",$I11058))=FALSE,LEFT($I11058,6)&lt;&gt;"VACUUM"),"CDU",IF($H11058="FLUID CAT CRACKING","FCC",IF(OR($H11058="HYDROCRACKING",$H11058="RESID_HYDROCRACKING"),"Hydrocracker",IF($H11058="REFORMING","Reformer",""))))</f>
        <v/>
      </c>
    </row>
    <row r="11059" spans="6:7">
      <c r="F11059" s="6">
        <f>IF($M11059="PADD I","PADD 1",IF($M11059="PADD II","PADD 2",IF($M11059="PADD III","PADD 3",IF($M11059="PADD IV","PADD 4",IF($M11059="PADD V","PADD 5","")))))</f>
        <v/>
      </c>
      <c r="G11059" s="6">
        <f>IF(AND($H11059="ATMOS DISTILLATION",ISNUMBER(SEARCH("VPS",$I11059))=FALSE,LEFT($I11059,6)&lt;&gt;"VACUUM"),"CDU",IF($H11059="FLUID CAT CRACKING","FCC",IF(OR($H11059="HYDROCRACKING",$H11059="RESID_HYDROCRACKING"),"Hydrocracker",IF($H11059="REFORMING","Reformer",""))))</f>
        <v/>
      </c>
    </row>
    <row r="11060" spans="6:7">
      <c r="F11060" s="6">
        <f>IF($M11060="PADD I","PADD 1",IF($M11060="PADD II","PADD 2",IF($M11060="PADD III","PADD 3",IF($M11060="PADD IV","PADD 4",IF($M11060="PADD V","PADD 5","")))))</f>
        <v/>
      </c>
      <c r="G11060" s="6">
        <f>IF(AND($H11060="ATMOS DISTILLATION",ISNUMBER(SEARCH("VPS",$I11060))=FALSE,LEFT($I11060,6)&lt;&gt;"VACUUM"),"CDU",IF($H11060="FLUID CAT CRACKING","FCC",IF(OR($H11060="HYDROCRACKING",$H11060="RESID_HYDROCRACKING"),"Hydrocracker",IF($H11060="REFORMING","Reformer",""))))</f>
        <v/>
      </c>
    </row>
    <row r="11061" spans="6:7">
      <c r="F11061" s="6">
        <f>IF($M11061="PADD I","PADD 1",IF($M11061="PADD II","PADD 2",IF($M11061="PADD III","PADD 3",IF($M11061="PADD IV","PADD 4",IF($M11061="PADD V","PADD 5","")))))</f>
        <v/>
      </c>
      <c r="G11061" s="6">
        <f>IF(AND($H11061="ATMOS DISTILLATION",ISNUMBER(SEARCH("VPS",$I11061))=FALSE,LEFT($I11061,6)&lt;&gt;"VACUUM"),"CDU",IF($H11061="FLUID CAT CRACKING","FCC",IF(OR($H11061="HYDROCRACKING",$H11061="RESID_HYDROCRACKING"),"Hydrocracker",IF($H11061="REFORMING","Reformer",""))))</f>
        <v/>
      </c>
    </row>
    <row r="11062" spans="6:7">
      <c r="F11062" s="6">
        <f>IF($M11062="PADD I","PADD 1",IF($M11062="PADD II","PADD 2",IF($M11062="PADD III","PADD 3",IF($M11062="PADD IV","PADD 4",IF($M11062="PADD V","PADD 5","")))))</f>
        <v/>
      </c>
      <c r="G11062" s="6">
        <f>IF(AND($H11062="ATMOS DISTILLATION",ISNUMBER(SEARCH("VPS",$I11062))=FALSE,LEFT($I11062,6)&lt;&gt;"VACUUM"),"CDU",IF($H11062="FLUID CAT CRACKING","FCC",IF(OR($H11062="HYDROCRACKING",$H11062="RESID_HYDROCRACKING"),"Hydrocracker",IF($H11062="REFORMING","Reformer",""))))</f>
        <v/>
      </c>
    </row>
    <row r="11063" spans="6:7">
      <c r="F11063" s="6">
        <f>IF($M11063="PADD I","PADD 1",IF($M11063="PADD II","PADD 2",IF($M11063="PADD III","PADD 3",IF($M11063="PADD IV","PADD 4",IF($M11063="PADD V","PADD 5","")))))</f>
        <v/>
      </c>
      <c r="G11063" s="6">
        <f>IF(AND($H11063="ATMOS DISTILLATION",ISNUMBER(SEARCH("VPS",$I11063))=FALSE,LEFT($I11063,6)&lt;&gt;"VACUUM"),"CDU",IF($H11063="FLUID CAT CRACKING","FCC",IF(OR($H11063="HYDROCRACKING",$H11063="RESID_HYDROCRACKING"),"Hydrocracker",IF($H11063="REFORMING","Reformer",""))))</f>
        <v/>
      </c>
    </row>
    <row r="11064" spans="6:7">
      <c r="F11064" s="6">
        <f>IF($M11064="PADD I","PADD 1",IF($M11064="PADD II","PADD 2",IF($M11064="PADD III","PADD 3",IF($M11064="PADD IV","PADD 4",IF($M11064="PADD V","PADD 5","")))))</f>
        <v/>
      </c>
      <c r="G11064" s="6">
        <f>IF(AND($H11064="ATMOS DISTILLATION",ISNUMBER(SEARCH("VPS",$I11064))=FALSE,LEFT($I11064,6)&lt;&gt;"VACUUM"),"CDU",IF($H11064="FLUID CAT CRACKING","FCC",IF(OR($H11064="HYDROCRACKING",$H11064="RESID_HYDROCRACKING"),"Hydrocracker",IF($H11064="REFORMING","Reformer",""))))</f>
        <v/>
      </c>
    </row>
    <row r="11065" spans="6:7">
      <c r="F11065" s="6">
        <f>IF($M11065="PADD I","PADD 1",IF($M11065="PADD II","PADD 2",IF($M11065="PADD III","PADD 3",IF($M11065="PADD IV","PADD 4",IF($M11065="PADD V","PADD 5","")))))</f>
        <v/>
      </c>
      <c r="G11065" s="6">
        <f>IF(AND($H11065="ATMOS DISTILLATION",ISNUMBER(SEARCH("VPS",$I11065))=FALSE,LEFT($I11065,6)&lt;&gt;"VACUUM"),"CDU",IF($H11065="FLUID CAT CRACKING","FCC",IF(OR($H11065="HYDROCRACKING",$H11065="RESID_HYDROCRACKING"),"Hydrocracker",IF($H11065="REFORMING","Reformer",""))))</f>
        <v/>
      </c>
    </row>
    <row r="11066" spans="6:7">
      <c r="F11066" s="6">
        <f>IF($M11066="PADD I","PADD 1",IF($M11066="PADD II","PADD 2",IF($M11066="PADD III","PADD 3",IF($M11066="PADD IV","PADD 4",IF($M11066="PADD V","PADD 5","")))))</f>
        <v/>
      </c>
      <c r="G11066" s="6">
        <f>IF(AND($H11066="ATMOS DISTILLATION",ISNUMBER(SEARCH("VPS",$I11066))=FALSE,LEFT($I11066,6)&lt;&gt;"VACUUM"),"CDU",IF($H11066="FLUID CAT CRACKING","FCC",IF(OR($H11066="HYDROCRACKING",$H11066="RESID_HYDROCRACKING"),"Hydrocracker",IF($H11066="REFORMING","Reformer",""))))</f>
        <v/>
      </c>
    </row>
    <row r="11067" spans="6:7">
      <c r="F11067" s="6">
        <f>IF($M11067="PADD I","PADD 1",IF($M11067="PADD II","PADD 2",IF($M11067="PADD III","PADD 3",IF($M11067="PADD IV","PADD 4",IF($M11067="PADD V","PADD 5","")))))</f>
        <v/>
      </c>
      <c r="G11067" s="6">
        <f>IF(AND($H11067="ATMOS DISTILLATION",ISNUMBER(SEARCH("VPS",$I11067))=FALSE,LEFT($I11067,6)&lt;&gt;"VACUUM"),"CDU",IF($H11067="FLUID CAT CRACKING","FCC",IF(OR($H11067="HYDROCRACKING",$H11067="RESID_HYDROCRACKING"),"Hydrocracker",IF($H11067="REFORMING","Reformer",""))))</f>
        <v/>
      </c>
    </row>
    <row r="11068" spans="6:7">
      <c r="F11068" s="6">
        <f>IF($M11068="PADD I","PADD 1",IF($M11068="PADD II","PADD 2",IF($M11068="PADD III","PADD 3",IF($M11068="PADD IV","PADD 4",IF($M11068="PADD V","PADD 5","")))))</f>
        <v/>
      </c>
      <c r="G11068" s="6">
        <f>IF(AND($H11068="ATMOS DISTILLATION",ISNUMBER(SEARCH("VPS",$I11068))=FALSE,LEFT($I11068,6)&lt;&gt;"VACUUM"),"CDU",IF($H11068="FLUID CAT CRACKING","FCC",IF(OR($H11068="HYDROCRACKING",$H11068="RESID_HYDROCRACKING"),"Hydrocracker",IF($H11068="REFORMING","Reformer",""))))</f>
        <v/>
      </c>
    </row>
    <row r="11069" spans="6:7">
      <c r="F11069" s="6">
        <f>IF($M11069="PADD I","PADD 1",IF($M11069="PADD II","PADD 2",IF($M11069="PADD III","PADD 3",IF($M11069="PADD IV","PADD 4",IF($M11069="PADD V","PADD 5","")))))</f>
        <v/>
      </c>
      <c r="G11069" s="6">
        <f>IF(AND($H11069="ATMOS DISTILLATION",ISNUMBER(SEARCH("VPS",$I11069))=FALSE,LEFT($I11069,6)&lt;&gt;"VACUUM"),"CDU",IF($H11069="FLUID CAT CRACKING","FCC",IF(OR($H11069="HYDROCRACKING",$H11069="RESID_HYDROCRACKING"),"Hydrocracker",IF($H11069="REFORMING","Reformer",""))))</f>
        <v/>
      </c>
    </row>
    <row r="11070" spans="6:7">
      <c r="F11070" s="6">
        <f>IF($M11070="PADD I","PADD 1",IF($M11070="PADD II","PADD 2",IF($M11070="PADD III","PADD 3",IF($M11070="PADD IV","PADD 4",IF($M11070="PADD V","PADD 5","")))))</f>
        <v/>
      </c>
      <c r="G11070" s="6">
        <f>IF(AND($H11070="ATMOS DISTILLATION",ISNUMBER(SEARCH("VPS",$I11070))=FALSE,LEFT($I11070,6)&lt;&gt;"VACUUM"),"CDU",IF($H11070="FLUID CAT CRACKING","FCC",IF(OR($H11070="HYDROCRACKING",$H11070="RESID_HYDROCRACKING"),"Hydrocracker",IF($H11070="REFORMING","Reformer",""))))</f>
        <v/>
      </c>
    </row>
    <row r="11071" spans="6:7">
      <c r="F11071" s="6">
        <f>IF($M11071="PADD I","PADD 1",IF($M11071="PADD II","PADD 2",IF($M11071="PADD III","PADD 3",IF($M11071="PADD IV","PADD 4",IF($M11071="PADD V","PADD 5","")))))</f>
        <v/>
      </c>
      <c r="G11071" s="6">
        <f>IF(AND($H11071="ATMOS DISTILLATION",ISNUMBER(SEARCH("VPS",$I11071))=FALSE,LEFT($I11071,6)&lt;&gt;"VACUUM"),"CDU",IF($H11071="FLUID CAT CRACKING","FCC",IF(OR($H11071="HYDROCRACKING",$H11071="RESID_HYDROCRACKING"),"Hydrocracker",IF($H11071="REFORMING","Reformer",""))))</f>
        <v/>
      </c>
    </row>
    <row r="11072" spans="6:7">
      <c r="F11072" s="6">
        <f>IF($M11072="PADD I","PADD 1",IF($M11072="PADD II","PADD 2",IF($M11072="PADD III","PADD 3",IF($M11072="PADD IV","PADD 4",IF($M11072="PADD V","PADD 5","")))))</f>
        <v/>
      </c>
      <c r="G11072" s="6">
        <f>IF(AND($H11072="ATMOS DISTILLATION",ISNUMBER(SEARCH("VPS",$I11072))=FALSE,LEFT($I11072,6)&lt;&gt;"VACUUM"),"CDU",IF($H11072="FLUID CAT CRACKING","FCC",IF(OR($H11072="HYDROCRACKING",$H11072="RESID_HYDROCRACKING"),"Hydrocracker",IF($H11072="REFORMING","Reformer",""))))</f>
        <v/>
      </c>
    </row>
    <row r="11073" spans="6:7">
      <c r="F11073" s="6">
        <f>IF($M11073="PADD I","PADD 1",IF($M11073="PADD II","PADD 2",IF($M11073="PADD III","PADD 3",IF($M11073="PADD IV","PADD 4",IF($M11073="PADD V","PADD 5","")))))</f>
        <v/>
      </c>
      <c r="G11073" s="6">
        <f>IF(AND($H11073="ATMOS DISTILLATION",ISNUMBER(SEARCH("VPS",$I11073))=FALSE,LEFT($I11073,6)&lt;&gt;"VACUUM"),"CDU",IF($H11073="FLUID CAT CRACKING","FCC",IF(OR($H11073="HYDROCRACKING",$H11073="RESID_HYDROCRACKING"),"Hydrocracker",IF($H11073="REFORMING","Reformer",""))))</f>
        <v/>
      </c>
    </row>
    <row r="11074" spans="6:7">
      <c r="F11074" s="6">
        <f>IF($M11074="PADD I","PADD 1",IF($M11074="PADD II","PADD 2",IF($M11074="PADD III","PADD 3",IF($M11074="PADD IV","PADD 4",IF($M11074="PADD V","PADD 5","")))))</f>
        <v/>
      </c>
      <c r="G11074" s="6">
        <f>IF(AND($H11074="ATMOS DISTILLATION",ISNUMBER(SEARCH("VPS",$I11074))=FALSE,LEFT($I11074,6)&lt;&gt;"VACUUM"),"CDU",IF($H11074="FLUID CAT CRACKING","FCC",IF(OR($H11074="HYDROCRACKING",$H11074="RESID_HYDROCRACKING"),"Hydrocracker",IF($H11074="REFORMING","Reformer",""))))</f>
        <v/>
      </c>
    </row>
    <row r="11075" spans="6:7">
      <c r="F11075" s="6">
        <f>IF($M11075="PADD I","PADD 1",IF($M11075="PADD II","PADD 2",IF($M11075="PADD III","PADD 3",IF($M11075="PADD IV","PADD 4",IF($M11075="PADD V","PADD 5","")))))</f>
        <v/>
      </c>
      <c r="G11075" s="6">
        <f>IF(AND($H11075="ATMOS DISTILLATION",ISNUMBER(SEARCH("VPS",$I11075))=FALSE,LEFT($I11075,6)&lt;&gt;"VACUUM"),"CDU",IF($H11075="FLUID CAT CRACKING","FCC",IF(OR($H11075="HYDROCRACKING",$H11075="RESID_HYDROCRACKING"),"Hydrocracker",IF($H11075="REFORMING","Reformer",""))))</f>
        <v/>
      </c>
    </row>
    <row r="11076" spans="6:7">
      <c r="F11076" s="6">
        <f>IF($M11076="PADD I","PADD 1",IF($M11076="PADD II","PADD 2",IF($M11076="PADD III","PADD 3",IF($M11076="PADD IV","PADD 4",IF($M11076="PADD V","PADD 5","")))))</f>
        <v/>
      </c>
      <c r="G11076" s="6">
        <f>IF(AND($H11076="ATMOS DISTILLATION",ISNUMBER(SEARCH("VPS",$I11076))=FALSE,LEFT($I11076,6)&lt;&gt;"VACUUM"),"CDU",IF($H11076="FLUID CAT CRACKING","FCC",IF(OR($H11076="HYDROCRACKING",$H11076="RESID_HYDROCRACKING"),"Hydrocracker",IF($H11076="REFORMING","Reformer",""))))</f>
        <v/>
      </c>
    </row>
    <row r="11077" spans="6:7">
      <c r="F11077" s="6">
        <f>IF($M11077="PADD I","PADD 1",IF($M11077="PADD II","PADD 2",IF($M11077="PADD III","PADD 3",IF($M11077="PADD IV","PADD 4",IF($M11077="PADD V","PADD 5","")))))</f>
        <v/>
      </c>
      <c r="G11077" s="6">
        <f>IF(AND($H11077="ATMOS DISTILLATION",ISNUMBER(SEARCH("VPS",$I11077))=FALSE,LEFT($I11077,6)&lt;&gt;"VACUUM"),"CDU",IF($H11077="FLUID CAT CRACKING","FCC",IF(OR($H11077="HYDROCRACKING",$H11077="RESID_HYDROCRACKING"),"Hydrocracker",IF($H11077="REFORMING","Reformer",""))))</f>
        <v/>
      </c>
    </row>
    <row r="11078" spans="6:7">
      <c r="F11078" s="6">
        <f>IF($M11078="PADD I","PADD 1",IF($M11078="PADD II","PADD 2",IF($M11078="PADD III","PADD 3",IF($M11078="PADD IV","PADD 4",IF($M11078="PADD V","PADD 5","")))))</f>
        <v/>
      </c>
      <c r="G11078" s="6">
        <f>IF(AND($H11078="ATMOS DISTILLATION",ISNUMBER(SEARCH("VPS",$I11078))=FALSE,LEFT($I11078,6)&lt;&gt;"VACUUM"),"CDU",IF($H11078="FLUID CAT CRACKING","FCC",IF(OR($H11078="HYDROCRACKING",$H11078="RESID_HYDROCRACKING"),"Hydrocracker",IF($H11078="REFORMING","Reformer",""))))</f>
        <v/>
      </c>
    </row>
    <row r="11079" spans="6:7">
      <c r="F11079" s="6">
        <f>IF($M11079="PADD I","PADD 1",IF($M11079="PADD II","PADD 2",IF($M11079="PADD III","PADD 3",IF($M11079="PADD IV","PADD 4",IF($M11079="PADD V","PADD 5","")))))</f>
        <v/>
      </c>
      <c r="G11079" s="6">
        <f>IF(AND($H11079="ATMOS DISTILLATION",ISNUMBER(SEARCH("VPS",$I11079))=FALSE,LEFT($I11079,6)&lt;&gt;"VACUUM"),"CDU",IF($H11079="FLUID CAT CRACKING","FCC",IF(OR($H11079="HYDROCRACKING",$H11079="RESID_HYDROCRACKING"),"Hydrocracker",IF($H11079="REFORMING","Reformer",""))))</f>
        <v/>
      </c>
    </row>
    <row r="11080" spans="6:7">
      <c r="F11080" s="6">
        <f>IF($M11080="PADD I","PADD 1",IF($M11080="PADD II","PADD 2",IF($M11080="PADD III","PADD 3",IF($M11080="PADD IV","PADD 4",IF($M11080="PADD V","PADD 5","")))))</f>
        <v/>
      </c>
      <c r="G11080" s="6">
        <f>IF(AND($H11080="ATMOS DISTILLATION",ISNUMBER(SEARCH("VPS",$I11080))=FALSE,LEFT($I11080,6)&lt;&gt;"VACUUM"),"CDU",IF($H11080="FLUID CAT CRACKING","FCC",IF(OR($H11080="HYDROCRACKING",$H11080="RESID_HYDROCRACKING"),"Hydrocracker",IF($H11080="REFORMING","Reformer",""))))</f>
        <v/>
      </c>
    </row>
    <row r="11081" spans="6:7">
      <c r="F11081" s="6">
        <f>IF($M11081="PADD I","PADD 1",IF($M11081="PADD II","PADD 2",IF($M11081="PADD III","PADD 3",IF($M11081="PADD IV","PADD 4",IF($M11081="PADD V","PADD 5","")))))</f>
        <v/>
      </c>
      <c r="G11081" s="6">
        <f>IF(AND($H11081="ATMOS DISTILLATION",ISNUMBER(SEARCH("VPS",$I11081))=FALSE,LEFT($I11081,6)&lt;&gt;"VACUUM"),"CDU",IF($H11081="FLUID CAT CRACKING","FCC",IF(OR($H11081="HYDROCRACKING",$H11081="RESID_HYDROCRACKING"),"Hydrocracker",IF($H11081="REFORMING","Reformer",""))))</f>
        <v/>
      </c>
    </row>
    <row r="11082" spans="6:7">
      <c r="F11082" s="6">
        <f>IF($M11082="PADD I","PADD 1",IF($M11082="PADD II","PADD 2",IF($M11082="PADD III","PADD 3",IF($M11082="PADD IV","PADD 4",IF($M11082="PADD V","PADD 5","")))))</f>
        <v/>
      </c>
      <c r="G11082" s="6">
        <f>IF(AND($H11082="ATMOS DISTILLATION",ISNUMBER(SEARCH("VPS",$I11082))=FALSE,LEFT($I11082,6)&lt;&gt;"VACUUM"),"CDU",IF($H11082="FLUID CAT CRACKING","FCC",IF(OR($H11082="HYDROCRACKING",$H11082="RESID_HYDROCRACKING"),"Hydrocracker",IF($H11082="REFORMING","Reformer",""))))</f>
        <v/>
      </c>
    </row>
    <row r="11083" spans="6:7">
      <c r="F11083" s="6">
        <f>IF($M11083="PADD I","PADD 1",IF($M11083="PADD II","PADD 2",IF($M11083="PADD III","PADD 3",IF($M11083="PADD IV","PADD 4",IF($M11083="PADD V","PADD 5","")))))</f>
        <v/>
      </c>
      <c r="G11083" s="6">
        <f>IF(AND($H11083="ATMOS DISTILLATION",ISNUMBER(SEARCH("VPS",$I11083))=FALSE,LEFT($I11083,6)&lt;&gt;"VACUUM"),"CDU",IF($H11083="FLUID CAT CRACKING","FCC",IF(OR($H11083="HYDROCRACKING",$H11083="RESID_HYDROCRACKING"),"Hydrocracker",IF($H11083="REFORMING","Reformer",""))))</f>
        <v/>
      </c>
    </row>
    <row r="11084" spans="6:7">
      <c r="F11084" s="6">
        <f>IF($M11084="PADD I","PADD 1",IF($M11084="PADD II","PADD 2",IF($M11084="PADD III","PADD 3",IF($M11084="PADD IV","PADD 4",IF($M11084="PADD V","PADD 5","")))))</f>
        <v/>
      </c>
      <c r="G11084" s="6">
        <f>IF(AND($H11084="ATMOS DISTILLATION",ISNUMBER(SEARCH("VPS",$I11084))=FALSE,LEFT($I11084,6)&lt;&gt;"VACUUM"),"CDU",IF($H11084="FLUID CAT CRACKING","FCC",IF(OR($H11084="HYDROCRACKING",$H11084="RESID_HYDROCRACKING"),"Hydrocracker",IF($H11084="REFORMING","Reformer",""))))</f>
        <v/>
      </c>
    </row>
    <row r="11085" spans="6:7">
      <c r="F11085" s="6">
        <f>IF($M11085="PADD I","PADD 1",IF($M11085="PADD II","PADD 2",IF($M11085="PADD III","PADD 3",IF($M11085="PADD IV","PADD 4",IF($M11085="PADD V","PADD 5","")))))</f>
        <v/>
      </c>
      <c r="G11085" s="6">
        <f>IF(AND($H11085="ATMOS DISTILLATION",ISNUMBER(SEARCH("VPS",$I11085))=FALSE,LEFT($I11085,6)&lt;&gt;"VACUUM"),"CDU",IF($H11085="FLUID CAT CRACKING","FCC",IF(OR($H11085="HYDROCRACKING",$H11085="RESID_HYDROCRACKING"),"Hydrocracker",IF($H11085="REFORMING","Reformer",""))))</f>
        <v/>
      </c>
    </row>
    <row r="11086" spans="6:7">
      <c r="F11086" s="6">
        <f>IF($M11086="PADD I","PADD 1",IF($M11086="PADD II","PADD 2",IF($M11086="PADD III","PADD 3",IF($M11086="PADD IV","PADD 4",IF($M11086="PADD V","PADD 5","")))))</f>
        <v/>
      </c>
      <c r="G11086" s="6">
        <f>IF(AND($H11086="ATMOS DISTILLATION",ISNUMBER(SEARCH("VPS",$I11086))=FALSE,LEFT($I11086,6)&lt;&gt;"VACUUM"),"CDU",IF($H11086="FLUID CAT CRACKING","FCC",IF(OR($H11086="HYDROCRACKING",$H11086="RESID_HYDROCRACKING"),"Hydrocracker",IF($H11086="REFORMING","Reformer",""))))</f>
        <v/>
      </c>
    </row>
    <row r="11087" spans="6:7">
      <c r="F11087" s="6">
        <f>IF($M11087="PADD I","PADD 1",IF($M11087="PADD II","PADD 2",IF($M11087="PADD III","PADD 3",IF($M11087="PADD IV","PADD 4",IF($M11087="PADD V","PADD 5","")))))</f>
        <v/>
      </c>
      <c r="G11087" s="6">
        <f>IF(AND($H11087="ATMOS DISTILLATION",ISNUMBER(SEARCH("VPS",$I11087))=FALSE,LEFT($I11087,6)&lt;&gt;"VACUUM"),"CDU",IF($H11087="FLUID CAT CRACKING","FCC",IF(OR($H11087="HYDROCRACKING",$H11087="RESID_HYDROCRACKING"),"Hydrocracker",IF($H11087="REFORMING","Reformer",""))))</f>
        <v/>
      </c>
    </row>
    <row r="11088" spans="6:7">
      <c r="F11088" s="6">
        <f>IF($M11088="PADD I","PADD 1",IF($M11088="PADD II","PADD 2",IF($M11088="PADD III","PADD 3",IF($M11088="PADD IV","PADD 4",IF($M11088="PADD V","PADD 5","")))))</f>
        <v/>
      </c>
      <c r="G11088" s="6">
        <f>IF(AND($H11088="ATMOS DISTILLATION",ISNUMBER(SEARCH("VPS",$I11088))=FALSE,LEFT($I11088,6)&lt;&gt;"VACUUM"),"CDU",IF($H11088="FLUID CAT CRACKING","FCC",IF(OR($H11088="HYDROCRACKING",$H11088="RESID_HYDROCRACKING"),"Hydrocracker",IF($H11088="REFORMING","Reformer",""))))</f>
        <v/>
      </c>
    </row>
    <row r="11089" spans="6:7">
      <c r="F11089" s="6">
        <f>IF($M11089="PADD I","PADD 1",IF($M11089="PADD II","PADD 2",IF($M11089="PADD III","PADD 3",IF($M11089="PADD IV","PADD 4",IF($M11089="PADD V","PADD 5","")))))</f>
        <v/>
      </c>
      <c r="G11089" s="6">
        <f>IF(AND($H11089="ATMOS DISTILLATION",ISNUMBER(SEARCH("VPS",$I11089))=FALSE,LEFT($I11089,6)&lt;&gt;"VACUUM"),"CDU",IF($H11089="FLUID CAT CRACKING","FCC",IF(OR($H11089="HYDROCRACKING",$H11089="RESID_HYDROCRACKING"),"Hydrocracker",IF($H11089="REFORMING","Reformer",""))))</f>
        <v/>
      </c>
    </row>
    <row r="11090" spans="6:7">
      <c r="F11090" s="6">
        <f>IF($M11090="PADD I","PADD 1",IF($M11090="PADD II","PADD 2",IF($M11090="PADD III","PADD 3",IF($M11090="PADD IV","PADD 4",IF($M11090="PADD V","PADD 5","")))))</f>
        <v/>
      </c>
      <c r="G11090" s="6">
        <f>IF(AND($H11090="ATMOS DISTILLATION",ISNUMBER(SEARCH("VPS",$I11090))=FALSE,LEFT($I11090,6)&lt;&gt;"VACUUM"),"CDU",IF($H11090="FLUID CAT CRACKING","FCC",IF(OR($H11090="HYDROCRACKING",$H11090="RESID_HYDROCRACKING"),"Hydrocracker",IF($H11090="REFORMING","Reformer",""))))</f>
        <v/>
      </c>
    </row>
    <row r="11091" spans="6:7">
      <c r="F11091" s="6">
        <f>IF($M11091="PADD I","PADD 1",IF($M11091="PADD II","PADD 2",IF($M11091="PADD III","PADD 3",IF($M11091="PADD IV","PADD 4",IF($M11091="PADD V","PADD 5","")))))</f>
        <v/>
      </c>
      <c r="G11091" s="6">
        <f>IF(AND($H11091="ATMOS DISTILLATION",ISNUMBER(SEARCH("VPS",$I11091))=FALSE,LEFT($I11091,6)&lt;&gt;"VACUUM"),"CDU",IF($H11091="FLUID CAT CRACKING","FCC",IF(OR($H11091="HYDROCRACKING",$H11091="RESID_HYDROCRACKING"),"Hydrocracker",IF($H11091="REFORMING","Reformer",""))))</f>
        <v/>
      </c>
    </row>
    <row r="11092" spans="6:7">
      <c r="F11092" s="6">
        <f>IF($M11092="PADD I","PADD 1",IF($M11092="PADD II","PADD 2",IF($M11092="PADD III","PADD 3",IF($M11092="PADD IV","PADD 4",IF($M11092="PADD V","PADD 5","")))))</f>
        <v/>
      </c>
      <c r="G11092" s="6">
        <f>IF(AND($H11092="ATMOS DISTILLATION",ISNUMBER(SEARCH("VPS",$I11092))=FALSE,LEFT($I11092,6)&lt;&gt;"VACUUM"),"CDU",IF($H11092="FLUID CAT CRACKING","FCC",IF(OR($H11092="HYDROCRACKING",$H11092="RESID_HYDROCRACKING"),"Hydrocracker",IF($H11092="REFORMING","Reformer",""))))</f>
        <v/>
      </c>
    </row>
    <row r="11093" spans="6:7">
      <c r="F11093" s="6">
        <f>IF($M11093="PADD I","PADD 1",IF($M11093="PADD II","PADD 2",IF($M11093="PADD III","PADD 3",IF($M11093="PADD IV","PADD 4",IF($M11093="PADD V","PADD 5","")))))</f>
        <v/>
      </c>
      <c r="G11093" s="6">
        <f>IF(AND($H11093="ATMOS DISTILLATION",ISNUMBER(SEARCH("VPS",$I11093))=FALSE,LEFT($I11093,6)&lt;&gt;"VACUUM"),"CDU",IF($H11093="FLUID CAT CRACKING","FCC",IF(OR($H11093="HYDROCRACKING",$H11093="RESID_HYDROCRACKING"),"Hydrocracker",IF($H11093="REFORMING","Reformer",""))))</f>
        <v/>
      </c>
    </row>
    <row r="11094" spans="6:7">
      <c r="F11094" s="6">
        <f>IF($M11094="PADD I","PADD 1",IF($M11094="PADD II","PADD 2",IF($M11094="PADD III","PADD 3",IF($M11094="PADD IV","PADD 4",IF($M11094="PADD V","PADD 5","")))))</f>
        <v/>
      </c>
      <c r="G11094" s="6">
        <f>IF(AND($H11094="ATMOS DISTILLATION",ISNUMBER(SEARCH("VPS",$I11094))=FALSE,LEFT($I11094,6)&lt;&gt;"VACUUM"),"CDU",IF($H11094="FLUID CAT CRACKING","FCC",IF(OR($H11094="HYDROCRACKING",$H11094="RESID_HYDROCRACKING"),"Hydrocracker",IF($H11094="REFORMING","Reformer",""))))</f>
        <v/>
      </c>
    </row>
    <row r="11095" spans="6:7">
      <c r="F11095" s="6">
        <f>IF($M11095="PADD I","PADD 1",IF($M11095="PADD II","PADD 2",IF($M11095="PADD III","PADD 3",IF($M11095="PADD IV","PADD 4",IF($M11095="PADD V","PADD 5","")))))</f>
        <v/>
      </c>
      <c r="G11095" s="6">
        <f>IF(AND($H11095="ATMOS DISTILLATION",ISNUMBER(SEARCH("VPS",$I11095))=FALSE,LEFT($I11095,6)&lt;&gt;"VACUUM"),"CDU",IF($H11095="FLUID CAT CRACKING","FCC",IF(OR($H11095="HYDROCRACKING",$H11095="RESID_HYDROCRACKING"),"Hydrocracker",IF($H11095="REFORMING","Reformer",""))))</f>
        <v/>
      </c>
    </row>
    <row r="11096" spans="6:7">
      <c r="F11096" s="6">
        <f>IF($M11096="PADD I","PADD 1",IF($M11096="PADD II","PADD 2",IF($M11096="PADD III","PADD 3",IF($M11096="PADD IV","PADD 4",IF($M11096="PADD V","PADD 5","")))))</f>
        <v/>
      </c>
      <c r="G11096" s="6">
        <f>IF(AND($H11096="ATMOS DISTILLATION",ISNUMBER(SEARCH("VPS",$I11096))=FALSE,LEFT($I11096,6)&lt;&gt;"VACUUM"),"CDU",IF($H11096="FLUID CAT CRACKING","FCC",IF(OR($H11096="HYDROCRACKING",$H11096="RESID_HYDROCRACKING"),"Hydrocracker",IF($H11096="REFORMING","Reformer",""))))</f>
        <v/>
      </c>
    </row>
    <row r="11097" spans="6:7">
      <c r="F11097" s="6">
        <f>IF($M11097="PADD I","PADD 1",IF($M11097="PADD II","PADD 2",IF($M11097="PADD III","PADD 3",IF($M11097="PADD IV","PADD 4",IF($M11097="PADD V","PADD 5","")))))</f>
        <v/>
      </c>
      <c r="G11097" s="6">
        <f>IF(AND($H11097="ATMOS DISTILLATION",ISNUMBER(SEARCH("VPS",$I11097))=FALSE,LEFT($I11097,6)&lt;&gt;"VACUUM"),"CDU",IF($H11097="FLUID CAT CRACKING","FCC",IF(OR($H11097="HYDROCRACKING",$H11097="RESID_HYDROCRACKING"),"Hydrocracker",IF($H11097="REFORMING","Reformer",""))))</f>
        <v/>
      </c>
    </row>
    <row r="11098" spans="6:7">
      <c r="F11098" s="6">
        <f>IF($M11098="PADD I","PADD 1",IF($M11098="PADD II","PADD 2",IF($M11098="PADD III","PADD 3",IF($M11098="PADD IV","PADD 4",IF($M11098="PADD V","PADD 5","")))))</f>
        <v/>
      </c>
      <c r="G11098" s="6">
        <f>IF(AND($H11098="ATMOS DISTILLATION",ISNUMBER(SEARCH("VPS",$I11098))=FALSE,LEFT($I11098,6)&lt;&gt;"VACUUM"),"CDU",IF($H11098="FLUID CAT CRACKING","FCC",IF(OR($H11098="HYDROCRACKING",$H11098="RESID_HYDROCRACKING"),"Hydrocracker",IF($H11098="REFORMING","Reformer",""))))</f>
        <v/>
      </c>
    </row>
    <row r="11099" spans="6:7">
      <c r="F11099" s="6">
        <f>IF($M11099="PADD I","PADD 1",IF($M11099="PADD II","PADD 2",IF($M11099="PADD III","PADD 3",IF($M11099="PADD IV","PADD 4",IF($M11099="PADD V","PADD 5","")))))</f>
        <v/>
      </c>
      <c r="G11099" s="6">
        <f>IF(AND($H11099="ATMOS DISTILLATION",ISNUMBER(SEARCH("VPS",$I11099))=FALSE,LEFT($I11099,6)&lt;&gt;"VACUUM"),"CDU",IF($H11099="FLUID CAT CRACKING","FCC",IF(OR($H11099="HYDROCRACKING",$H11099="RESID_HYDROCRACKING"),"Hydrocracker",IF($H11099="REFORMING","Reformer",""))))</f>
        <v/>
      </c>
    </row>
    <row r="11100" spans="6:7">
      <c r="F11100" s="6">
        <f>IF($M11100="PADD I","PADD 1",IF($M11100="PADD II","PADD 2",IF($M11100="PADD III","PADD 3",IF($M11100="PADD IV","PADD 4",IF($M11100="PADD V","PADD 5","")))))</f>
        <v/>
      </c>
      <c r="G11100" s="6">
        <f>IF(AND($H11100="ATMOS DISTILLATION",ISNUMBER(SEARCH("VPS",$I11100))=FALSE,LEFT($I11100,6)&lt;&gt;"VACUUM"),"CDU",IF($H11100="FLUID CAT CRACKING","FCC",IF(OR($H11100="HYDROCRACKING",$H11100="RESID_HYDROCRACKING"),"Hydrocracker",IF($H11100="REFORMING","Reformer",""))))</f>
        <v/>
      </c>
    </row>
    <row r="11101" spans="6:7">
      <c r="F11101" s="6">
        <f>IF($M11101="PADD I","PADD 1",IF($M11101="PADD II","PADD 2",IF($M11101="PADD III","PADD 3",IF($M11101="PADD IV","PADD 4",IF($M11101="PADD V","PADD 5","")))))</f>
        <v/>
      </c>
      <c r="G11101" s="6">
        <f>IF(AND($H11101="ATMOS DISTILLATION",ISNUMBER(SEARCH("VPS",$I11101))=FALSE,LEFT($I11101,6)&lt;&gt;"VACUUM"),"CDU",IF($H11101="FLUID CAT CRACKING","FCC",IF(OR($H11101="HYDROCRACKING",$H11101="RESID_HYDROCRACKING"),"Hydrocracker",IF($H11101="REFORMING","Reformer",""))))</f>
        <v/>
      </c>
    </row>
    <row r="11102" spans="6:7">
      <c r="F11102" s="6">
        <f>IF($M11102="PADD I","PADD 1",IF($M11102="PADD II","PADD 2",IF($M11102="PADD III","PADD 3",IF($M11102="PADD IV","PADD 4",IF($M11102="PADD V","PADD 5","")))))</f>
        <v/>
      </c>
      <c r="G11102" s="6">
        <f>IF(AND($H11102="ATMOS DISTILLATION",ISNUMBER(SEARCH("VPS",$I11102))=FALSE,LEFT($I11102,6)&lt;&gt;"VACUUM"),"CDU",IF($H11102="FLUID CAT CRACKING","FCC",IF(OR($H11102="HYDROCRACKING",$H11102="RESID_HYDROCRACKING"),"Hydrocracker",IF($H11102="REFORMING","Reformer",""))))</f>
        <v/>
      </c>
    </row>
    <row r="11103" spans="6:7">
      <c r="F11103" s="6">
        <f>IF($M11103="PADD I","PADD 1",IF($M11103="PADD II","PADD 2",IF($M11103="PADD III","PADD 3",IF($M11103="PADD IV","PADD 4",IF($M11103="PADD V","PADD 5","")))))</f>
        <v/>
      </c>
      <c r="G11103" s="6">
        <f>IF(AND($H11103="ATMOS DISTILLATION",ISNUMBER(SEARCH("VPS",$I11103))=FALSE,LEFT($I11103,6)&lt;&gt;"VACUUM"),"CDU",IF($H11103="FLUID CAT CRACKING","FCC",IF(OR($H11103="HYDROCRACKING",$H11103="RESID_HYDROCRACKING"),"Hydrocracker",IF($H11103="REFORMING","Reformer",""))))</f>
        <v/>
      </c>
    </row>
    <row r="11104" spans="6:7">
      <c r="F11104" s="6">
        <f>IF($M11104="PADD I","PADD 1",IF($M11104="PADD II","PADD 2",IF($M11104="PADD III","PADD 3",IF($M11104="PADD IV","PADD 4",IF($M11104="PADD V","PADD 5","")))))</f>
        <v/>
      </c>
      <c r="G11104" s="6">
        <f>IF(AND($H11104="ATMOS DISTILLATION",ISNUMBER(SEARCH("VPS",$I11104))=FALSE,LEFT($I11104,6)&lt;&gt;"VACUUM"),"CDU",IF($H11104="FLUID CAT CRACKING","FCC",IF(OR($H11104="HYDROCRACKING",$H11104="RESID_HYDROCRACKING"),"Hydrocracker",IF($H11104="REFORMING","Reformer",""))))</f>
        <v/>
      </c>
    </row>
    <row r="11105" spans="6:7">
      <c r="F11105" s="6">
        <f>IF($M11105="PADD I","PADD 1",IF($M11105="PADD II","PADD 2",IF($M11105="PADD III","PADD 3",IF($M11105="PADD IV","PADD 4",IF($M11105="PADD V","PADD 5","")))))</f>
        <v/>
      </c>
      <c r="G11105" s="6">
        <f>IF(AND($H11105="ATMOS DISTILLATION",ISNUMBER(SEARCH("VPS",$I11105))=FALSE,LEFT($I11105,6)&lt;&gt;"VACUUM"),"CDU",IF($H11105="FLUID CAT CRACKING","FCC",IF(OR($H11105="HYDROCRACKING",$H11105="RESID_HYDROCRACKING"),"Hydrocracker",IF($H11105="REFORMING","Reformer",""))))</f>
        <v/>
      </c>
    </row>
    <row r="11106" spans="6:7">
      <c r="F11106" s="6">
        <f>IF($M11106="PADD I","PADD 1",IF($M11106="PADD II","PADD 2",IF($M11106="PADD III","PADD 3",IF($M11106="PADD IV","PADD 4",IF($M11106="PADD V","PADD 5","")))))</f>
        <v/>
      </c>
      <c r="G11106" s="6">
        <f>IF(AND($H11106="ATMOS DISTILLATION",ISNUMBER(SEARCH("VPS",$I11106))=FALSE,LEFT($I11106,6)&lt;&gt;"VACUUM"),"CDU",IF($H11106="FLUID CAT CRACKING","FCC",IF(OR($H11106="HYDROCRACKING",$H11106="RESID_HYDROCRACKING"),"Hydrocracker",IF($H11106="REFORMING","Reformer",""))))</f>
        <v/>
      </c>
    </row>
    <row r="11107" spans="6:7">
      <c r="F11107" s="6">
        <f>IF($M11107="PADD I","PADD 1",IF($M11107="PADD II","PADD 2",IF($M11107="PADD III","PADD 3",IF($M11107="PADD IV","PADD 4",IF($M11107="PADD V","PADD 5","")))))</f>
        <v/>
      </c>
      <c r="G11107" s="6">
        <f>IF(AND($H11107="ATMOS DISTILLATION",ISNUMBER(SEARCH("VPS",$I11107))=FALSE,LEFT($I11107,6)&lt;&gt;"VACUUM"),"CDU",IF($H11107="FLUID CAT CRACKING","FCC",IF(OR($H11107="HYDROCRACKING",$H11107="RESID_HYDROCRACKING"),"Hydrocracker",IF($H11107="REFORMING","Reformer",""))))</f>
        <v/>
      </c>
    </row>
    <row r="11108" spans="6:7">
      <c r="F11108" s="6">
        <f>IF($M11108="PADD I","PADD 1",IF($M11108="PADD II","PADD 2",IF($M11108="PADD III","PADD 3",IF($M11108="PADD IV","PADD 4",IF($M11108="PADD V","PADD 5","")))))</f>
        <v/>
      </c>
      <c r="G11108" s="6">
        <f>IF(AND($H11108="ATMOS DISTILLATION",ISNUMBER(SEARCH("VPS",$I11108))=FALSE,LEFT($I11108,6)&lt;&gt;"VACUUM"),"CDU",IF($H11108="FLUID CAT CRACKING","FCC",IF(OR($H11108="HYDROCRACKING",$H11108="RESID_HYDROCRACKING"),"Hydrocracker",IF($H11108="REFORMING","Reformer",""))))</f>
        <v/>
      </c>
    </row>
    <row r="11109" spans="6:7">
      <c r="F11109" s="6">
        <f>IF($M11109="PADD I","PADD 1",IF($M11109="PADD II","PADD 2",IF($M11109="PADD III","PADD 3",IF($M11109="PADD IV","PADD 4",IF($M11109="PADD V","PADD 5","")))))</f>
        <v/>
      </c>
      <c r="G11109" s="6">
        <f>IF(AND($H11109="ATMOS DISTILLATION",ISNUMBER(SEARCH("VPS",$I11109))=FALSE,LEFT($I11109,6)&lt;&gt;"VACUUM"),"CDU",IF($H11109="FLUID CAT CRACKING","FCC",IF(OR($H11109="HYDROCRACKING",$H11109="RESID_HYDROCRACKING"),"Hydrocracker",IF($H11109="REFORMING","Reformer",""))))</f>
        <v/>
      </c>
    </row>
    <row r="11110" spans="6:7">
      <c r="F11110" s="6">
        <f>IF($M11110="PADD I","PADD 1",IF($M11110="PADD II","PADD 2",IF($M11110="PADD III","PADD 3",IF($M11110="PADD IV","PADD 4",IF($M11110="PADD V","PADD 5","")))))</f>
        <v/>
      </c>
      <c r="G11110" s="6">
        <f>IF(AND($H11110="ATMOS DISTILLATION",ISNUMBER(SEARCH("VPS",$I11110))=FALSE,LEFT($I11110,6)&lt;&gt;"VACUUM"),"CDU",IF($H11110="FLUID CAT CRACKING","FCC",IF(OR($H11110="HYDROCRACKING",$H11110="RESID_HYDROCRACKING"),"Hydrocracker",IF($H11110="REFORMING","Reformer",""))))</f>
        <v/>
      </c>
    </row>
    <row r="11111" spans="6:7">
      <c r="F11111" s="6">
        <f>IF($M11111="PADD I","PADD 1",IF($M11111="PADD II","PADD 2",IF($M11111="PADD III","PADD 3",IF($M11111="PADD IV","PADD 4",IF($M11111="PADD V","PADD 5","")))))</f>
        <v/>
      </c>
      <c r="G11111" s="6">
        <f>IF(AND($H11111="ATMOS DISTILLATION",ISNUMBER(SEARCH("VPS",$I11111))=FALSE,LEFT($I11111,6)&lt;&gt;"VACUUM"),"CDU",IF($H11111="FLUID CAT CRACKING","FCC",IF(OR($H11111="HYDROCRACKING",$H11111="RESID_HYDROCRACKING"),"Hydrocracker",IF($H11111="REFORMING","Reformer",""))))</f>
        <v/>
      </c>
    </row>
    <row r="11112" spans="6:7">
      <c r="F11112" s="6">
        <f>IF($M11112="PADD I","PADD 1",IF($M11112="PADD II","PADD 2",IF($M11112="PADD III","PADD 3",IF($M11112="PADD IV","PADD 4",IF($M11112="PADD V","PADD 5","")))))</f>
        <v/>
      </c>
      <c r="G11112" s="6">
        <f>IF(AND($H11112="ATMOS DISTILLATION",ISNUMBER(SEARCH("VPS",$I11112))=FALSE,LEFT($I11112,6)&lt;&gt;"VACUUM"),"CDU",IF($H11112="FLUID CAT CRACKING","FCC",IF(OR($H11112="HYDROCRACKING",$H11112="RESID_HYDROCRACKING"),"Hydrocracker",IF($H11112="REFORMING","Reformer",""))))</f>
        <v/>
      </c>
    </row>
    <row r="11113" spans="6:7">
      <c r="F11113" s="6">
        <f>IF($M11113="PADD I","PADD 1",IF($M11113="PADD II","PADD 2",IF($M11113="PADD III","PADD 3",IF($M11113="PADD IV","PADD 4",IF($M11113="PADD V","PADD 5","")))))</f>
        <v/>
      </c>
      <c r="G11113" s="6">
        <f>IF(AND($H11113="ATMOS DISTILLATION",ISNUMBER(SEARCH("VPS",$I11113))=FALSE,LEFT($I11113,6)&lt;&gt;"VACUUM"),"CDU",IF($H11113="FLUID CAT CRACKING","FCC",IF(OR($H11113="HYDROCRACKING",$H11113="RESID_HYDROCRACKING"),"Hydrocracker",IF($H11113="REFORMING","Reformer",""))))</f>
        <v/>
      </c>
    </row>
    <row r="11114" spans="6:7">
      <c r="F11114" s="6">
        <f>IF($M11114="PADD I","PADD 1",IF($M11114="PADD II","PADD 2",IF($M11114="PADD III","PADD 3",IF($M11114="PADD IV","PADD 4",IF($M11114="PADD V","PADD 5","")))))</f>
        <v/>
      </c>
      <c r="G11114" s="6">
        <f>IF(AND($H11114="ATMOS DISTILLATION",ISNUMBER(SEARCH("VPS",$I11114))=FALSE,LEFT($I11114,6)&lt;&gt;"VACUUM"),"CDU",IF($H11114="FLUID CAT CRACKING","FCC",IF(OR($H11114="HYDROCRACKING",$H11114="RESID_HYDROCRACKING"),"Hydrocracker",IF($H11114="REFORMING","Reformer",""))))</f>
        <v/>
      </c>
    </row>
    <row r="11115" spans="6:7">
      <c r="F11115" s="6">
        <f>IF($M11115="PADD I","PADD 1",IF($M11115="PADD II","PADD 2",IF($M11115="PADD III","PADD 3",IF($M11115="PADD IV","PADD 4",IF($M11115="PADD V","PADD 5","")))))</f>
        <v/>
      </c>
      <c r="G11115" s="6">
        <f>IF(AND($H11115="ATMOS DISTILLATION",ISNUMBER(SEARCH("VPS",$I11115))=FALSE,LEFT($I11115,6)&lt;&gt;"VACUUM"),"CDU",IF($H11115="FLUID CAT CRACKING","FCC",IF(OR($H11115="HYDROCRACKING",$H11115="RESID_HYDROCRACKING"),"Hydrocracker",IF($H11115="REFORMING","Reformer",""))))</f>
        <v/>
      </c>
    </row>
    <row r="11116" spans="6:7">
      <c r="F11116" s="6">
        <f>IF($M11116="PADD I","PADD 1",IF($M11116="PADD II","PADD 2",IF($M11116="PADD III","PADD 3",IF($M11116="PADD IV","PADD 4",IF($M11116="PADD V","PADD 5","")))))</f>
        <v/>
      </c>
      <c r="G11116" s="6">
        <f>IF(AND($H11116="ATMOS DISTILLATION",ISNUMBER(SEARCH("VPS",$I11116))=FALSE,LEFT($I11116,6)&lt;&gt;"VACUUM"),"CDU",IF($H11116="FLUID CAT CRACKING","FCC",IF(OR($H11116="HYDROCRACKING",$H11116="RESID_HYDROCRACKING"),"Hydrocracker",IF($H11116="REFORMING","Reformer",""))))</f>
        <v/>
      </c>
    </row>
    <row r="11117" spans="6:7">
      <c r="F11117" s="6">
        <f>IF($M11117="PADD I","PADD 1",IF($M11117="PADD II","PADD 2",IF($M11117="PADD III","PADD 3",IF($M11117="PADD IV","PADD 4",IF($M11117="PADD V","PADD 5","")))))</f>
        <v/>
      </c>
      <c r="G11117" s="6">
        <f>IF(AND($H11117="ATMOS DISTILLATION",ISNUMBER(SEARCH("VPS",$I11117))=FALSE,LEFT($I11117,6)&lt;&gt;"VACUUM"),"CDU",IF($H11117="FLUID CAT CRACKING","FCC",IF(OR($H11117="HYDROCRACKING",$H11117="RESID_HYDROCRACKING"),"Hydrocracker",IF($H11117="REFORMING","Reformer",""))))</f>
        <v/>
      </c>
    </row>
    <row r="11118" spans="6:7">
      <c r="F11118" s="6">
        <f>IF($M11118="PADD I","PADD 1",IF($M11118="PADD II","PADD 2",IF($M11118="PADD III","PADD 3",IF($M11118="PADD IV","PADD 4",IF($M11118="PADD V","PADD 5","")))))</f>
        <v/>
      </c>
      <c r="G11118" s="6">
        <f>IF(AND($H11118="ATMOS DISTILLATION",ISNUMBER(SEARCH("VPS",$I11118))=FALSE,LEFT($I11118,6)&lt;&gt;"VACUUM"),"CDU",IF($H11118="FLUID CAT CRACKING","FCC",IF(OR($H11118="HYDROCRACKING",$H11118="RESID_HYDROCRACKING"),"Hydrocracker",IF($H11118="REFORMING","Reformer",""))))</f>
        <v/>
      </c>
    </row>
    <row r="11119" spans="6:7">
      <c r="F11119" s="6">
        <f>IF($M11119="PADD I","PADD 1",IF($M11119="PADD II","PADD 2",IF($M11119="PADD III","PADD 3",IF($M11119="PADD IV","PADD 4",IF($M11119="PADD V","PADD 5","")))))</f>
        <v/>
      </c>
      <c r="G11119" s="6">
        <f>IF(AND($H11119="ATMOS DISTILLATION",ISNUMBER(SEARCH("VPS",$I11119))=FALSE,LEFT($I11119,6)&lt;&gt;"VACUUM"),"CDU",IF($H11119="FLUID CAT CRACKING","FCC",IF(OR($H11119="HYDROCRACKING",$H11119="RESID_HYDROCRACKING"),"Hydrocracker",IF($H11119="REFORMING","Reformer",""))))</f>
        <v/>
      </c>
    </row>
    <row r="11120" spans="6:7">
      <c r="F11120" s="6">
        <f>IF($M11120="PADD I","PADD 1",IF($M11120="PADD II","PADD 2",IF($M11120="PADD III","PADD 3",IF($M11120="PADD IV","PADD 4",IF($M11120="PADD V","PADD 5","")))))</f>
        <v/>
      </c>
      <c r="G11120" s="6">
        <f>IF(AND($H11120="ATMOS DISTILLATION",ISNUMBER(SEARCH("VPS",$I11120))=FALSE,LEFT($I11120,6)&lt;&gt;"VACUUM"),"CDU",IF($H11120="FLUID CAT CRACKING","FCC",IF(OR($H11120="HYDROCRACKING",$H11120="RESID_HYDROCRACKING"),"Hydrocracker",IF($H11120="REFORMING","Reformer",""))))</f>
        <v/>
      </c>
    </row>
    <row r="11121" spans="6:7">
      <c r="F11121" s="6">
        <f>IF($M11121="PADD I","PADD 1",IF($M11121="PADD II","PADD 2",IF($M11121="PADD III","PADD 3",IF($M11121="PADD IV","PADD 4",IF($M11121="PADD V","PADD 5","")))))</f>
        <v/>
      </c>
      <c r="G11121" s="6">
        <f>IF(AND($H11121="ATMOS DISTILLATION",ISNUMBER(SEARCH("VPS",$I11121))=FALSE,LEFT($I11121,6)&lt;&gt;"VACUUM"),"CDU",IF($H11121="FLUID CAT CRACKING","FCC",IF(OR($H11121="HYDROCRACKING",$H11121="RESID_HYDROCRACKING"),"Hydrocracker",IF($H11121="REFORMING","Reformer",""))))</f>
        <v/>
      </c>
    </row>
    <row r="11122" spans="6:7">
      <c r="F11122" s="6">
        <f>IF($M11122="PADD I","PADD 1",IF($M11122="PADD II","PADD 2",IF($M11122="PADD III","PADD 3",IF($M11122="PADD IV","PADD 4",IF($M11122="PADD V","PADD 5","")))))</f>
        <v/>
      </c>
      <c r="G11122" s="6">
        <f>IF(AND($H11122="ATMOS DISTILLATION",ISNUMBER(SEARCH("VPS",$I11122))=FALSE,LEFT($I11122,6)&lt;&gt;"VACUUM"),"CDU",IF($H11122="FLUID CAT CRACKING","FCC",IF(OR($H11122="HYDROCRACKING",$H11122="RESID_HYDROCRACKING"),"Hydrocracker",IF($H11122="REFORMING","Reformer",""))))</f>
        <v/>
      </c>
    </row>
    <row r="11123" spans="6:7">
      <c r="F11123" s="6">
        <f>IF($M11123="PADD I","PADD 1",IF($M11123="PADD II","PADD 2",IF($M11123="PADD III","PADD 3",IF($M11123="PADD IV","PADD 4",IF($M11123="PADD V","PADD 5","")))))</f>
        <v/>
      </c>
      <c r="G11123" s="6">
        <f>IF(AND($H11123="ATMOS DISTILLATION",ISNUMBER(SEARCH("VPS",$I11123))=FALSE,LEFT($I11123,6)&lt;&gt;"VACUUM"),"CDU",IF($H11123="FLUID CAT CRACKING","FCC",IF(OR($H11123="HYDROCRACKING",$H11123="RESID_HYDROCRACKING"),"Hydrocracker",IF($H11123="REFORMING","Reformer",""))))</f>
        <v/>
      </c>
    </row>
    <row r="11124" spans="6:7">
      <c r="F11124" s="6">
        <f>IF($M11124="PADD I","PADD 1",IF($M11124="PADD II","PADD 2",IF($M11124="PADD III","PADD 3",IF($M11124="PADD IV","PADD 4",IF($M11124="PADD V","PADD 5","")))))</f>
        <v/>
      </c>
      <c r="G11124" s="6">
        <f>IF(AND($H11124="ATMOS DISTILLATION",ISNUMBER(SEARCH("VPS",$I11124))=FALSE,LEFT($I11124,6)&lt;&gt;"VACUUM"),"CDU",IF($H11124="FLUID CAT CRACKING","FCC",IF(OR($H11124="HYDROCRACKING",$H11124="RESID_HYDROCRACKING"),"Hydrocracker",IF($H11124="REFORMING","Reformer",""))))</f>
        <v/>
      </c>
    </row>
    <row r="11125" spans="6:7">
      <c r="F11125" s="6">
        <f>IF($M11125="PADD I","PADD 1",IF($M11125="PADD II","PADD 2",IF($M11125="PADD III","PADD 3",IF($M11125="PADD IV","PADD 4",IF($M11125="PADD V","PADD 5","")))))</f>
        <v/>
      </c>
      <c r="G11125" s="6">
        <f>IF(AND($H11125="ATMOS DISTILLATION",ISNUMBER(SEARCH("VPS",$I11125))=FALSE,LEFT($I11125,6)&lt;&gt;"VACUUM"),"CDU",IF($H11125="FLUID CAT CRACKING","FCC",IF(OR($H11125="HYDROCRACKING",$H11125="RESID_HYDROCRACKING"),"Hydrocracker",IF($H11125="REFORMING","Reformer",""))))</f>
        <v/>
      </c>
    </row>
    <row r="11126" spans="6:7">
      <c r="F11126" s="6">
        <f>IF($M11126="PADD I","PADD 1",IF($M11126="PADD II","PADD 2",IF($M11126="PADD III","PADD 3",IF($M11126="PADD IV","PADD 4",IF($M11126="PADD V","PADD 5","")))))</f>
        <v/>
      </c>
      <c r="G11126" s="6">
        <f>IF(AND($H11126="ATMOS DISTILLATION",ISNUMBER(SEARCH("VPS",$I11126))=FALSE,LEFT($I11126,6)&lt;&gt;"VACUUM"),"CDU",IF($H11126="FLUID CAT CRACKING","FCC",IF(OR($H11126="HYDROCRACKING",$H11126="RESID_HYDROCRACKING"),"Hydrocracker",IF($H11126="REFORMING","Reformer",""))))</f>
        <v/>
      </c>
    </row>
    <row r="11127" spans="6:7">
      <c r="F11127" s="6">
        <f>IF($M11127="PADD I","PADD 1",IF($M11127="PADD II","PADD 2",IF($M11127="PADD III","PADD 3",IF($M11127="PADD IV","PADD 4",IF($M11127="PADD V","PADD 5","")))))</f>
        <v/>
      </c>
      <c r="G11127" s="6">
        <f>IF(AND($H11127="ATMOS DISTILLATION",ISNUMBER(SEARCH("VPS",$I11127))=FALSE,LEFT($I11127,6)&lt;&gt;"VACUUM"),"CDU",IF($H11127="FLUID CAT CRACKING","FCC",IF(OR($H11127="HYDROCRACKING",$H11127="RESID_HYDROCRACKING"),"Hydrocracker",IF($H11127="REFORMING","Reformer",""))))</f>
        <v/>
      </c>
    </row>
    <row r="11128" spans="6:7">
      <c r="F11128" s="6">
        <f>IF($M11128="PADD I","PADD 1",IF($M11128="PADD II","PADD 2",IF($M11128="PADD III","PADD 3",IF($M11128="PADD IV","PADD 4",IF($M11128="PADD V","PADD 5","")))))</f>
        <v/>
      </c>
      <c r="G11128" s="6">
        <f>IF(AND($H11128="ATMOS DISTILLATION",ISNUMBER(SEARCH("VPS",$I11128))=FALSE,LEFT($I11128,6)&lt;&gt;"VACUUM"),"CDU",IF($H11128="FLUID CAT CRACKING","FCC",IF(OR($H11128="HYDROCRACKING",$H11128="RESID_HYDROCRACKING"),"Hydrocracker",IF($H11128="REFORMING","Reformer",""))))</f>
        <v/>
      </c>
    </row>
    <row r="11129" spans="6:7">
      <c r="F11129" s="6">
        <f>IF($M11129="PADD I","PADD 1",IF($M11129="PADD II","PADD 2",IF($M11129="PADD III","PADD 3",IF($M11129="PADD IV","PADD 4",IF($M11129="PADD V","PADD 5","")))))</f>
        <v/>
      </c>
      <c r="G11129" s="6">
        <f>IF(AND($H11129="ATMOS DISTILLATION",ISNUMBER(SEARCH("VPS",$I11129))=FALSE,LEFT($I11129,6)&lt;&gt;"VACUUM"),"CDU",IF($H11129="FLUID CAT CRACKING","FCC",IF(OR($H11129="HYDROCRACKING",$H11129="RESID_HYDROCRACKING"),"Hydrocracker",IF($H11129="REFORMING","Reformer",""))))</f>
        <v/>
      </c>
    </row>
    <row r="11130" spans="6:7">
      <c r="F11130" s="6">
        <f>IF($M11130="PADD I","PADD 1",IF($M11130="PADD II","PADD 2",IF($M11130="PADD III","PADD 3",IF($M11130="PADD IV","PADD 4",IF($M11130="PADD V","PADD 5","")))))</f>
        <v/>
      </c>
      <c r="G11130" s="6">
        <f>IF(AND($H11130="ATMOS DISTILLATION",ISNUMBER(SEARCH("VPS",$I11130))=FALSE,LEFT($I11130,6)&lt;&gt;"VACUUM"),"CDU",IF($H11130="FLUID CAT CRACKING","FCC",IF(OR($H11130="HYDROCRACKING",$H11130="RESID_HYDROCRACKING"),"Hydrocracker",IF($H11130="REFORMING","Reformer",""))))</f>
        <v/>
      </c>
    </row>
    <row r="11131" spans="6:7">
      <c r="F11131" s="6">
        <f>IF($M11131="PADD I","PADD 1",IF($M11131="PADD II","PADD 2",IF($M11131="PADD III","PADD 3",IF($M11131="PADD IV","PADD 4",IF($M11131="PADD V","PADD 5","")))))</f>
        <v/>
      </c>
      <c r="G11131" s="6">
        <f>IF(AND($H11131="ATMOS DISTILLATION",ISNUMBER(SEARCH("VPS",$I11131))=FALSE,LEFT($I11131,6)&lt;&gt;"VACUUM"),"CDU",IF($H11131="FLUID CAT CRACKING","FCC",IF(OR($H11131="HYDROCRACKING",$H11131="RESID_HYDROCRACKING"),"Hydrocracker",IF($H11131="REFORMING","Reformer",""))))</f>
        <v/>
      </c>
    </row>
    <row r="11132" spans="6:7">
      <c r="F11132" s="6">
        <f>IF($M11132="PADD I","PADD 1",IF($M11132="PADD II","PADD 2",IF($M11132="PADD III","PADD 3",IF($M11132="PADD IV","PADD 4",IF($M11132="PADD V","PADD 5","")))))</f>
        <v/>
      </c>
      <c r="G11132" s="6">
        <f>IF(AND($H11132="ATMOS DISTILLATION",ISNUMBER(SEARCH("VPS",$I11132))=FALSE,LEFT($I11132,6)&lt;&gt;"VACUUM"),"CDU",IF($H11132="FLUID CAT CRACKING","FCC",IF(OR($H11132="HYDROCRACKING",$H11132="RESID_HYDROCRACKING"),"Hydrocracker",IF($H11132="REFORMING","Reformer",""))))</f>
        <v/>
      </c>
    </row>
    <row r="11133" spans="6:7">
      <c r="F11133" s="6">
        <f>IF($M11133="PADD I","PADD 1",IF($M11133="PADD II","PADD 2",IF($M11133="PADD III","PADD 3",IF($M11133="PADD IV","PADD 4",IF($M11133="PADD V","PADD 5","")))))</f>
        <v/>
      </c>
      <c r="G11133" s="6">
        <f>IF(AND($H11133="ATMOS DISTILLATION",ISNUMBER(SEARCH("VPS",$I11133))=FALSE,LEFT($I11133,6)&lt;&gt;"VACUUM"),"CDU",IF($H11133="FLUID CAT CRACKING","FCC",IF(OR($H11133="HYDROCRACKING",$H11133="RESID_HYDROCRACKING"),"Hydrocracker",IF($H11133="REFORMING","Reformer",""))))</f>
        <v/>
      </c>
    </row>
    <row r="11134" spans="6:7">
      <c r="F11134" s="6">
        <f>IF($M11134="PADD I","PADD 1",IF($M11134="PADD II","PADD 2",IF($M11134="PADD III","PADD 3",IF($M11134="PADD IV","PADD 4",IF($M11134="PADD V","PADD 5","")))))</f>
        <v/>
      </c>
      <c r="G11134" s="6">
        <f>IF(AND($H11134="ATMOS DISTILLATION",ISNUMBER(SEARCH("VPS",$I11134))=FALSE,LEFT($I11134,6)&lt;&gt;"VACUUM"),"CDU",IF($H11134="FLUID CAT CRACKING","FCC",IF(OR($H11134="HYDROCRACKING",$H11134="RESID_HYDROCRACKING"),"Hydrocracker",IF($H11134="REFORMING","Reformer",""))))</f>
        <v/>
      </c>
    </row>
    <row r="11135" spans="6:7">
      <c r="F11135" s="6">
        <f>IF($M11135="PADD I","PADD 1",IF($M11135="PADD II","PADD 2",IF($M11135="PADD III","PADD 3",IF($M11135="PADD IV","PADD 4",IF($M11135="PADD V","PADD 5","")))))</f>
        <v/>
      </c>
      <c r="G11135" s="6">
        <f>IF(AND($H11135="ATMOS DISTILLATION",ISNUMBER(SEARCH("VPS",$I11135))=FALSE,LEFT($I11135,6)&lt;&gt;"VACUUM"),"CDU",IF($H11135="FLUID CAT CRACKING","FCC",IF(OR($H11135="HYDROCRACKING",$H11135="RESID_HYDROCRACKING"),"Hydrocracker",IF($H11135="REFORMING","Reformer",""))))</f>
        <v/>
      </c>
    </row>
    <row r="11136" spans="6:7">
      <c r="F11136" s="6">
        <f>IF($M11136="PADD I","PADD 1",IF($M11136="PADD II","PADD 2",IF($M11136="PADD III","PADD 3",IF($M11136="PADD IV","PADD 4",IF($M11136="PADD V","PADD 5","")))))</f>
        <v/>
      </c>
      <c r="G11136" s="6">
        <f>IF(AND($H11136="ATMOS DISTILLATION",ISNUMBER(SEARCH("VPS",$I11136))=FALSE,LEFT($I11136,6)&lt;&gt;"VACUUM"),"CDU",IF($H11136="FLUID CAT CRACKING","FCC",IF(OR($H11136="HYDROCRACKING",$H11136="RESID_HYDROCRACKING"),"Hydrocracker",IF($H11136="REFORMING","Reformer",""))))</f>
        <v/>
      </c>
    </row>
    <row r="11137" spans="6:7">
      <c r="F11137" s="6">
        <f>IF($M11137="PADD I","PADD 1",IF($M11137="PADD II","PADD 2",IF($M11137="PADD III","PADD 3",IF($M11137="PADD IV","PADD 4",IF($M11137="PADD V","PADD 5","")))))</f>
        <v/>
      </c>
      <c r="G11137" s="6">
        <f>IF(AND($H11137="ATMOS DISTILLATION",ISNUMBER(SEARCH("VPS",$I11137))=FALSE,LEFT($I11137,6)&lt;&gt;"VACUUM"),"CDU",IF($H11137="FLUID CAT CRACKING","FCC",IF(OR($H11137="HYDROCRACKING",$H11137="RESID_HYDROCRACKING"),"Hydrocracker",IF($H11137="REFORMING","Reformer",""))))</f>
        <v/>
      </c>
    </row>
    <row r="11138" spans="6:7">
      <c r="F11138" s="6">
        <f>IF($M11138="PADD I","PADD 1",IF($M11138="PADD II","PADD 2",IF($M11138="PADD III","PADD 3",IF($M11138="PADD IV","PADD 4",IF($M11138="PADD V","PADD 5","")))))</f>
        <v/>
      </c>
      <c r="G11138" s="6">
        <f>IF(AND($H11138="ATMOS DISTILLATION",ISNUMBER(SEARCH("VPS",$I11138))=FALSE,LEFT($I11138,6)&lt;&gt;"VACUUM"),"CDU",IF($H11138="FLUID CAT CRACKING","FCC",IF(OR($H11138="HYDROCRACKING",$H11138="RESID_HYDROCRACKING"),"Hydrocracker",IF($H11138="REFORMING","Reformer",""))))</f>
        <v/>
      </c>
    </row>
    <row r="11139" spans="6:7">
      <c r="F11139" s="6">
        <f>IF($M11139="PADD I","PADD 1",IF($M11139="PADD II","PADD 2",IF($M11139="PADD III","PADD 3",IF($M11139="PADD IV","PADD 4",IF($M11139="PADD V","PADD 5","")))))</f>
        <v/>
      </c>
      <c r="G11139" s="6">
        <f>IF(AND($H11139="ATMOS DISTILLATION",ISNUMBER(SEARCH("VPS",$I11139))=FALSE,LEFT($I11139,6)&lt;&gt;"VACUUM"),"CDU",IF($H11139="FLUID CAT CRACKING","FCC",IF(OR($H11139="HYDROCRACKING",$H11139="RESID_HYDROCRACKING"),"Hydrocracker",IF($H11139="REFORMING","Reformer",""))))</f>
        <v/>
      </c>
    </row>
    <row r="11140" spans="6:7">
      <c r="F11140" s="6">
        <f>IF($M11140="PADD I","PADD 1",IF($M11140="PADD II","PADD 2",IF($M11140="PADD III","PADD 3",IF($M11140="PADD IV","PADD 4",IF($M11140="PADD V","PADD 5","")))))</f>
        <v/>
      </c>
      <c r="G11140" s="6">
        <f>IF(AND($H11140="ATMOS DISTILLATION",ISNUMBER(SEARCH("VPS",$I11140))=FALSE,LEFT($I11140,6)&lt;&gt;"VACUUM"),"CDU",IF($H11140="FLUID CAT CRACKING","FCC",IF(OR($H11140="HYDROCRACKING",$H11140="RESID_HYDROCRACKING"),"Hydrocracker",IF($H11140="REFORMING","Reformer",""))))</f>
        <v/>
      </c>
    </row>
    <row r="11141" spans="6:7">
      <c r="F11141" s="6">
        <f>IF($M11141="PADD I","PADD 1",IF($M11141="PADD II","PADD 2",IF($M11141="PADD III","PADD 3",IF($M11141="PADD IV","PADD 4",IF($M11141="PADD V","PADD 5","")))))</f>
        <v/>
      </c>
      <c r="G11141" s="6">
        <f>IF(AND($H11141="ATMOS DISTILLATION",ISNUMBER(SEARCH("VPS",$I11141))=FALSE,LEFT($I11141,6)&lt;&gt;"VACUUM"),"CDU",IF($H11141="FLUID CAT CRACKING","FCC",IF(OR($H11141="HYDROCRACKING",$H11141="RESID_HYDROCRACKING"),"Hydrocracker",IF($H11141="REFORMING","Reformer",""))))</f>
        <v/>
      </c>
    </row>
    <row r="11142" spans="6:7">
      <c r="F11142" s="6">
        <f>IF($M11142="PADD I","PADD 1",IF($M11142="PADD II","PADD 2",IF($M11142="PADD III","PADD 3",IF($M11142="PADD IV","PADD 4",IF($M11142="PADD V","PADD 5","")))))</f>
        <v/>
      </c>
      <c r="G11142" s="6">
        <f>IF(AND($H11142="ATMOS DISTILLATION",ISNUMBER(SEARCH("VPS",$I11142))=FALSE,LEFT($I11142,6)&lt;&gt;"VACUUM"),"CDU",IF($H11142="FLUID CAT CRACKING","FCC",IF(OR($H11142="HYDROCRACKING",$H11142="RESID_HYDROCRACKING"),"Hydrocracker",IF($H11142="REFORMING","Reformer",""))))</f>
        <v/>
      </c>
    </row>
    <row r="11143" spans="6:7">
      <c r="F11143" s="6">
        <f>IF($M11143="PADD I","PADD 1",IF($M11143="PADD II","PADD 2",IF($M11143="PADD III","PADD 3",IF($M11143="PADD IV","PADD 4",IF($M11143="PADD V","PADD 5","")))))</f>
        <v/>
      </c>
      <c r="G11143" s="6">
        <f>IF(AND($H11143="ATMOS DISTILLATION",ISNUMBER(SEARCH("VPS",$I11143))=FALSE,LEFT($I11143,6)&lt;&gt;"VACUUM"),"CDU",IF($H11143="FLUID CAT CRACKING","FCC",IF(OR($H11143="HYDROCRACKING",$H11143="RESID_HYDROCRACKING"),"Hydrocracker",IF($H11143="REFORMING","Reformer",""))))</f>
        <v/>
      </c>
    </row>
    <row r="11144" spans="6:7">
      <c r="F11144" s="6">
        <f>IF($M11144="PADD I","PADD 1",IF($M11144="PADD II","PADD 2",IF($M11144="PADD III","PADD 3",IF($M11144="PADD IV","PADD 4",IF($M11144="PADD V","PADD 5","")))))</f>
        <v/>
      </c>
      <c r="G11144" s="6">
        <f>IF(AND($H11144="ATMOS DISTILLATION",ISNUMBER(SEARCH("VPS",$I11144))=FALSE,LEFT($I11144,6)&lt;&gt;"VACUUM"),"CDU",IF($H11144="FLUID CAT CRACKING","FCC",IF(OR($H11144="HYDROCRACKING",$H11144="RESID_HYDROCRACKING"),"Hydrocracker",IF($H11144="REFORMING","Reformer",""))))</f>
        <v/>
      </c>
    </row>
    <row r="11145" spans="6:7">
      <c r="F11145" s="6">
        <f>IF($M11145="PADD I","PADD 1",IF($M11145="PADD II","PADD 2",IF($M11145="PADD III","PADD 3",IF($M11145="PADD IV","PADD 4",IF($M11145="PADD V","PADD 5","")))))</f>
        <v/>
      </c>
      <c r="G11145" s="6">
        <f>IF(AND($H11145="ATMOS DISTILLATION",ISNUMBER(SEARCH("VPS",$I11145))=FALSE,LEFT($I11145,6)&lt;&gt;"VACUUM"),"CDU",IF($H11145="FLUID CAT CRACKING","FCC",IF(OR($H11145="HYDROCRACKING",$H11145="RESID_HYDROCRACKING"),"Hydrocracker",IF($H11145="REFORMING","Reformer",""))))</f>
        <v/>
      </c>
    </row>
    <row r="11146" spans="6:7">
      <c r="F11146" s="6">
        <f>IF($M11146="PADD I","PADD 1",IF($M11146="PADD II","PADD 2",IF($M11146="PADD III","PADD 3",IF($M11146="PADD IV","PADD 4",IF($M11146="PADD V","PADD 5","")))))</f>
        <v/>
      </c>
      <c r="G11146" s="6">
        <f>IF(AND($H11146="ATMOS DISTILLATION",ISNUMBER(SEARCH("VPS",$I11146))=FALSE,LEFT($I11146,6)&lt;&gt;"VACUUM"),"CDU",IF($H11146="FLUID CAT CRACKING","FCC",IF(OR($H11146="HYDROCRACKING",$H11146="RESID_HYDROCRACKING"),"Hydrocracker",IF($H11146="REFORMING","Reformer",""))))</f>
        <v/>
      </c>
    </row>
    <row r="11147" spans="6:7">
      <c r="F11147" s="6">
        <f>IF($M11147="PADD I","PADD 1",IF($M11147="PADD II","PADD 2",IF($M11147="PADD III","PADD 3",IF($M11147="PADD IV","PADD 4",IF($M11147="PADD V","PADD 5","")))))</f>
        <v/>
      </c>
      <c r="G11147" s="6">
        <f>IF(AND($H11147="ATMOS DISTILLATION",ISNUMBER(SEARCH("VPS",$I11147))=FALSE,LEFT($I11147,6)&lt;&gt;"VACUUM"),"CDU",IF($H11147="FLUID CAT CRACKING","FCC",IF(OR($H11147="HYDROCRACKING",$H11147="RESID_HYDROCRACKING"),"Hydrocracker",IF($H11147="REFORMING","Reformer",""))))</f>
        <v/>
      </c>
    </row>
    <row r="11148" spans="6:7">
      <c r="F11148" s="6">
        <f>IF($M11148="PADD I","PADD 1",IF($M11148="PADD II","PADD 2",IF($M11148="PADD III","PADD 3",IF($M11148="PADD IV","PADD 4",IF($M11148="PADD V","PADD 5","")))))</f>
        <v/>
      </c>
      <c r="G11148" s="6">
        <f>IF(AND($H11148="ATMOS DISTILLATION",ISNUMBER(SEARCH("VPS",$I11148))=FALSE,LEFT($I11148,6)&lt;&gt;"VACUUM"),"CDU",IF($H11148="FLUID CAT CRACKING","FCC",IF(OR($H11148="HYDROCRACKING",$H11148="RESID_HYDROCRACKING"),"Hydrocracker",IF($H11148="REFORMING","Reformer",""))))</f>
        <v/>
      </c>
    </row>
    <row r="11149" spans="6:7">
      <c r="F11149" s="6">
        <f>IF($M11149="PADD I","PADD 1",IF($M11149="PADD II","PADD 2",IF($M11149="PADD III","PADD 3",IF($M11149="PADD IV","PADD 4",IF($M11149="PADD V","PADD 5","")))))</f>
        <v/>
      </c>
      <c r="G11149" s="6">
        <f>IF(AND($H11149="ATMOS DISTILLATION",ISNUMBER(SEARCH("VPS",$I11149))=FALSE,LEFT($I11149,6)&lt;&gt;"VACUUM"),"CDU",IF($H11149="FLUID CAT CRACKING","FCC",IF(OR($H11149="HYDROCRACKING",$H11149="RESID_HYDROCRACKING"),"Hydrocracker",IF($H11149="REFORMING","Reformer",""))))</f>
        <v/>
      </c>
    </row>
    <row r="11150" spans="6:7">
      <c r="F11150" s="6">
        <f>IF($M11150="PADD I","PADD 1",IF($M11150="PADD II","PADD 2",IF($M11150="PADD III","PADD 3",IF($M11150="PADD IV","PADD 4",IF($M11150="PADD V","PADD 5","")))))</f>
        <v/>
      </c>
      <c r="G11150" s="6">
        <f>IF(AND($H11150="ATMOS DISTILLATION",ISNUMBER(SEARCH("VPS",$I11150))=FALSE,LEFT($I11150,6)&lt;&gt;"VACUUM"),"CDU",IF($H11150="FLUID CAT CRACKING","FCC",IF(OR($H11150="HYDROCRACKING",$H11150="RESID_HYDROCRACKING"),"Hydrocracker",IF($H11150="REFORMING","Reformer",""))))</f>
        <v/>
      </c>
    </row>
    <row r="11151" spans="6:7">
      <c r="F11151" s="6">
        <f>IF($M11151="PADD I","PADD 1",IF($M11151="PADD II","PADD 2",IF($M11151="PADD III","PADD 3",IF($M11151="PADD IV","PADD 4",IF($M11151="PADD V","PADD 5","")))))</f>
        <v/>
      </c>
      <c r="G11151" s="6">
        <f>IF(AND($H11151="ATMOS DISTILLATION",ISNUMBER(SEARCH("VPS",$I11151))=FALSE,LEFT($I11151,6)&lt;&gt;"VACUUM"),"CDU",IF($H11151="FLUID CAT CRACKING","FCC",IF(OR($H11151="HYDROCRACKING",$H11151="RESID_HYDROCRACKING"),"Hydrocracker",IF($H11151="REFORMING","Reformer",""))))</f>
        <v/>
      </c>
    </row>
    <row r="11152" spans="6:7">
      <c r="F11152" s="6">
        <f>IF($M11152="PADD I","PADD 1",IF($M11152="PADD II","PADD 2",IF($M11152="PADD III","PADD 3",IF($M11152="PADD IV","PADD 4",IF($M11152="PADD V","PADD 5","")))))</f>
        <v/>
      </c>
      <c r="G11152" s="6">
        <f>IF(AND($H11152="ATMOS DISTILLATION",ISNUMBER(SEARCH("VPS",$I11152))=FALSE,LEFT($I11152,6)&lt;&gt;"VACUUM"),"CDU",IF($H11152="FLUID CAT CRACKING","FCC",IF(OR($H11152="HYDROCRACKING",$H11152="RESID_HYDROCRACKING"),"Hydrocracker",IF($H11152="REFORMING","Reformer",""))))</f>
        <v/>
      </c>
    </row>
    <row r="11153" spans="6:7">
      <c r="F11153" s="6">
        <f>IF($M11153="PADD I","PADD 1",IF($M11153="PADD II","PADD 2",IF($M11153="PADD III","PADD 3",IF($M11153="PADD IV","PADD 4",IF($M11153="PADD V","PADD 5","")))))</f>
        <v/>
      </c>
      <c r="G11153" s="6">
        <f>IF(AND($H11153="ATMOS DISTILLATION",ISNUMBER(SEARCH("VPS",$I11153))=FALSE,LEFT($I11153,6)&lt;&gt;"VACUUM"),"CDU",IF($H11153="FLUID CAT CRACKING","FCC",IF(OR($H11153="HYDROCRACKING",$H11153="RESID_HYDROCRACKING"),"Hydrocracker",IF($H11153="REFORMING","Reformer",""))))</f>
        <v/>
      </c>
    </row>
    <row r="11154" spans="6:7">
      <c r="F11154" s="6">
        <f>IF($M11154="PADD I","PADD 1",IF($M11154="PADD II","PADD 2",IF($M11154="PADD III","PADD 3",IF($M11154="PADD IV","PADD 4",IF($M11154="PADD V","PADD 5","")))))</f>
        <v/>
      </c>
      <c r="G11154" s="6">
        <f>IF(AND($H11154="ATMOS DISTILLATION",ISNUMBER(SEARCH("VPS",$I11154))=FALSE,LEFT($I11154,6)&lt;&gt;"VACUUM"),"CDU",IF($H11154="FLUID CAT CRACKING","FCC",IF(OR($H11154="HYDROCRACKING",$H11154="RESID_HYDROCRACKING"),"Hydrocracker",IF($H11154="REFORMING","Reformer",""))))</f>
        <v/>
      </c>
    </row>
    <row r="11155" spans="6:7">
      <c r="F11155" s="6">
        <f>IF($M11155="PADD I","PADD 1",IF($M11155="PADD II","PADD 2",IF($M11155="PADD III","PADD 3",IF($M11155="PADD IV","PADD 4",IF($M11155="PADD V","PADD 5","")))))</f>
        <v/>
      </c>
      <c r="G11155" s="6">
        <f>IF(AND($H11155="ATMOS DISTILLATION",ISNUMBER(SEARCH("VPS",$I11155))=FALSE,LEFT($I11155,6)&lt;&gt;"VACUUM"),"CDU",IF($H11155="FLUID CAT CRACKING","FCC",IF(OR($H11155="HYDROCRACKING",$H11155="RESID_HYDROCRACKING"),"Hydrocracker",IF($H11155="REFORMING","Reformer",""))))</f>
        <v/>
      </c>
    </row>
    <row r="11156" spans="6:7">
      <c r="F11156" s="6">
        <f>IF($M11156="PADD I","PADD 1",IF($M11156="PADD II","PADD 2",IF($M11156="PADD III","PADD 3",IF($M11156="PADD IV","PADD 4",IF($M11156="PADD V","PADD 5","")))))</f>
        <v/>
      </c>
      <c r="G11156" s="6">
        <f>IF(AND($H11156="ATMOS DISTILLATION",ISNUMBER(SEARCH("VPS",$I11156))=FALSE,LEFT($I11156,6)&lt;&gt;"VACUUM"),"CDU",IF($H11156="FLUID CAT CRACKING","FCC",IF(OR($H11156="HYDROCRACKING",$H11156="RESID_HYDROCRACKING"),"Hydrocracker",IF($H11156="REFORMING","Reformer",""))))</f>
        <v/>
      </c>
    </row>
    <row r="11157" spans="6:7">
      <c r="F11157" s="6">
        <f>IF($M11157="PADD I","PADD 1",IF($M11157="PADD II","PADD 2",IF($M11157="PADD III","PADD 3",IF($M11157="PADD IV","PADD 4",IF($M11157="PADD V","PADD 5","")))))</f>
        <v/>
      </c>
      <c r="G11157" s="6">
        <f>IF(AND($H11157="ATMOS DISTILLATION",ISNUMBER(SEARCH("VPS",$I11157))=FALSE,LEFT($I11157,6)&lt;&gt;"VACUUM"),"CDU",IF($H11157="FLUID CAT CRACKING","FCC",IF(OR($H11157="HYDROCRACKING",$H11157="RESID_HYDROCRACKING"),"Hydrocracker",IF($H11157="REFORMING","Reformer",""))))</f>
        <v/>
      </c>
    </row>
    <row r="11158" spans="6:7">
      <c r="F11158" s="6">
        <f>IF($M11158="PADD I","PADD 1",IF($M11158="PADD II","PADD 2",IF($M11158="PADD III","PADD 3",IF($M11158="PADD IV","PADD 4",IF($M11158="PADD V","PADD 5","")))))</f>
        <v/>
      </c>
      <c r="G11158" s="6">
        <f>IF(AND($H11158="ATMOS DISTILLATION",ISNUMBER(SEARCH("VPS",$I11158))=FALSE,LEFT($I11158,6)&lt;&gt;"VACUUM"),"CDU",IF($H11158="FLUID CAT CRACKING","FCC",IF(OR($H11158="HYDROCRACKING",$H11158="RESID_HYDROCRACKING"),"Hydrocracker",IF($H11158="REFORMING","Reformer",""))))</f>
        <v/>
      </c>
    </row>
    <row r="11159" spans="6:7">
      <c r="F11159" s="6">
        <f>IF($M11159="PADD I","PADD 1",IF($M11159="PADD II","PADD 2",IF($M11159="PADD III","PADD 3",IF($M11159="PADD IV","PADD 4",IF($M11159="PADD V","PADD 5","")))))</f>
        <v/>
      </c>
      <c r="G11159" s="6">
        <f>IF(AND($H11159="ATMOS DISTILLATION",ISNUMBER(SEARCH("VPS",$I11159))=FALSE,LEFT($I11159,6)&lt;&gt;"VACUUM"),"CDU",IF($H11159="FLUID CAT CRACKING","FCC",IF(OR($H11159="HYDROCRACKING",$H11159="RESID_HYDROCRACKING"),"Hydrocracker",IF($H11159="REFORMING","Reformer",""))))</f>
        <v/>
      </c>
    </row>
    <row r="11160" spans="6:7">
      <c r="F11160" s="6">
        <f>IF($M11160="PADD I","PADD 1",IF($M11160="PADD II","PADD 2",IF($M11160="PADD III","PADD 3",IF($M11160="PADD IV","PADD 4",IF($M11160="PADD V","PADD 5","")))))</f>
        <v/>
      </c>
      <c r="G11160" s="6">
        <f>IF(AND($H11160="ATMOS DISTILLATION",ISNUMBER(SEARCH("VPS",$I11160))=FALSE,LEFT($I11160,6)&lt;&gt;"VACUUM"),"CDU",IF($H11160="FLUID CAT CRACKING","FCC",IF(OR($H11160="HYDROCRACKING",$H11160="RESID_HYDROCRACKING"),"Hydrocracker",IF($H11160="REFORMING","Reformer",""))))</f>
        <v/>
      </c>
    </row>
    <row r="11161" spans="6:7">
      <c r="F11161" s="6">
        <f>IF($M11161="PADD I","PADD 1",IF($M11161="PADD II","PADD 2",IF($M11161="PADD III","PADD 3",IF($M11161="PADD IV","PADD 4",IF($M11161="PADD V","PADD 5","")))))</f>
        <v/>
      </c>
      <c r="G11161" s="6">
        <f>IF(AND($H11161="ATMOS DISTILLATION",ISNUMBER(SEARCH("VPS",$I11161))=FALSE,LEFT($I11161,6)&lt;&gt;"VACUUM"),"CDU",IF($H11161="FLUID CAT CRACKING","FCC",IF(OR($H11161="HYDROCRACKING",$H11161="RESID_HYDROCRACKING"),"Hydrocracker",IF($H11161="REFORMING","Reformer",""))))</f>
        <v/>
      </c>
    </row>
    <row r="11162" spans="6:7">
      <c r="F11162" s="6">
        <f>IF($M11162="PADD I","PADD 1",IF($M11162="PADD II","PADD 2",IF($M11162="PADD III","PADD 3",IF($M11162="PADD IV","PADD 4",IF($M11162="PADD V","PADD 5","")))))</f>
        <v/>
      </c>
      <c r="G11162" s="6">
        <f>IF(AND($H11162="ATMOS DISTILLATION",ISNUMBER(SEARCH("VPS",$I11162))=FALSE,LEFT($I11162,6)&lt;&gt;"VACUUM"),"CDU",IF($H11162="FLUID CAT CRACKING","FCC",IF(OR($H11162="HYDROCRACKING",$H11162="RESID_HYDROCRACKING"),"Hydrocracker",IF($H11162="REFORMING","Reformer",""))))</f>
        <v/>
      </c>
    </row>
    <row r="11163" spans="6:7">
      <c r="F11163" s="6">
        <f>IF($M11163="PADD I","PADD 1",IF($M11163="PADD II","PADD 2",IF($M11163="PADD III","PADD 3",IF($M11163="PADD IV","PADD 4",IF($M11163="PADD V","PADD 5","")))))</f>
        <v/>
      </c>
      <c r="G11163" s="6">
        <f>IF(AND($H11163="ATMOS DISTILLATION",ISNUMBER(SEARCH("VPS",$I11163))=FALSE,LEFT($I11163,6)&lt;&gt;"VACUUM"),"CDU",IF($H11163="FLUID CAT CRACKING","FCC",IF(OR($H11163="HYDROCRACKING",$H11163="RESID_HYDROCRACKING"),"Hydrocracker",IF($H11163="REFORMING","Reformer",""))))</f>
        <v/>
      </c>
    </row>
    <row r="11164" spans="6:7">
      <c r="F11164" s="6">
        <f>IF($M11164="PADD I","PADD 1",IF($M11164="PADD II","PADD 2",IF($M11164="PADD III","PADD 3",IF($M11164="PADD IV","PADD 4",IF($M11164="PADD V","PADD 5","")))))</f>
        <v/>
      </c>
      <c r="G11164" s="6">
        <f>IF(AND($H11164="ATMOS DISTILLATION",ISNUMBER(SEARCH("VPS",$I11164))=FALSE,LEFT($I11164,6)&lt;&gt;"VACUUM"),"CDU",IF($H11164="FLUID CAT CRACKING","FCC",IF(OR($H11164="HYDROCRACKING",$H11164="RESID_HYDROCRACKING"),"Hydrocracker",IF($H11164="REFORMING","Reformer",""))))</f>
        <v/>
      </c>
    </row>
    <row r="11165" spans="6:7">
      <c r="F11165" s="6">
        <f>IF($M11165="PADD I","PADD 1",IF($M11165="PADD II","PADD 2",IF($M11165="PADD III","PADD 3",IF($M11165="PADD IV","PADD 4",IF($M11165="PADD V","PADD 5","")))))</f>
        <v/>
      </c>
      <c r="G11165" s="6">
        <f>IF(AND($H11165="ATMOS DISTILLATION",ISNUMBER(SEARCH("VPS",$I11165))=FALSE,LEFT($I11165,6)&lt;&gt;"VACUUM"),"CDU",IF($H11165="FLUID CAT CRACKING","FCC",IF(OR($H11165="HYDROCRACKING",$H11165="RESID_HYDROCRACKING"),"Hydrocracker",IF($H11165="REFORMING","Reformer",""))))</f>
        <v/>
      </c>
    </row>
    <row r="11166" spans="6:7">
      <c r="F11166" s="6">
        <f>IF($M11166="PADD I","PADD 1",IF($M11166="PADD II","PADD 2",IF($M11166="PADD III","PADD 3",IF($M11166="PADD IV","PADD 4",IF($M11166="PADD V","PADD 5","")))))</f>
        <v/>
      </c>
      <c r="G11166" s="6">
        <f>IF(AND($H11166="ATMOS DISTILLATION",ISNUMBER(SEARCH("VPS",$I11166))=FALSE,LEFT($I11166,6)&lt;&gt;"VACUUM"),"CDU",IF($H11166="FLUID CAT CRACKING","FCC",IF(OR($H11166="HYDROCRACKING",$H11166="RESID_HYDROCRACKING"),"Hydrocracker",IF($H11166="REFORMING","Reformer",""))))</f>
        <v/>
      </c>
    </row>
    <row r="11167" spans="6:7">
      <c r="F11167" s="6">
        <f>IF($M11167="PADD I","PADD 1",IF($M11167="PADD II","PADD 2",IF($M11167="PADD III","PADD 3",IF($M11167="PADD IV","PADD 4",IF($M11167="PADD V","PADD 5","")))))</f>
        <v/>
      </c>
      <c r="G11167" s="6">
        <f>IF(AND($H11167="ATMOS DISTILLATION",ISNUMBER(SEARCH("VPS",$I11167))=FALSE,LEFT($I11167,6)&lt;&gt;"VACUUM"),"CDU",IF($H11167="FLUID CAT CRACKING","FCC",IF(OR($H11167="HYDROCRACKING",$H11167="RESID_HYDROCRACKING"),"Hydrocracker",IF($H11167="REFORMING","Reformer",""))))</f>
        <v/>
      </c>
    </row>
    <row r="11168" spans="6:7">
      <c r="F11168" s="6">
        <f>IF($M11168="PADD I","PADD 1",IF($M11168="PADD II","PADD 2",IF($M11168="PADD III","PADD 3",IF($M11168="PADD IV","PADD 4",IF($M11168="PADD V","PADD 5","")))))</f>
        <v/>
      </c>
      <c r="G11168" s="6">
        <f>IF(AND($H11168="ATMOS DISTILLATION",ISNUMBER(SEARCH("VPS",$I11168))=FALSE,LEFT($I11168,6)&lt;&gt;"VACUUM"),"CDU",IF($H11168="FLUID CAT CRACKING","FCC",IF(OR($H11168="HYDROCRACKING",$H11168="RESID_HYDROCRACKING"),"Hydrocracker",IF($H11168="REFORMING","Reformer",""))))</f>
        <v/>
      </c>
    </row>
    <row r="11169" spans="6:7">
      <c r="F11169" s="6">
        <f>IF($M11169="PADD I","PADD 1",IF($M11169="PADD II","PADD 2",IF($M11169="PADD III","PADD 3",IF($M11169="PADD IV","PADD 4",IF($M11169="PADD V","PADD 5","")))))</f>
        <v/>
      </c>
      <c r="G11169" s="6">
        <f>IF(AND($H11169="ATMOS DISTILLATION",ISNUMBER(SEARCH("VPS",$I11169))=FALSE,LEFT($I11169,6)&lt;&gt;"VACUUM"),"CDU",IF($H11169="FLUID CAT CRACKING","FCC",IF(OR($H11169="HYDROCRACKING",$H11169="RESID_HYDROCRACKING"),"Hydrocracker",IF($H11169="REFORMING","Reformer",""))))</f>
        <v/>
      </c>
    </row>
    <row r="11170" spans="6:7">
      <c r="F11170" s="6">
        <f>IF($M11170="PADD I","PADD 1",IF($M11170="PADD II","PADD 2",IF($M11170="PADD III","PADD 3",IF($M11170="PADD IV","PADD 4",IF($M11170="PADD V","PADD 5","")))))</f>
        <v/>
      </c>
      <c r="G11170" s="6">
        <f>IF(AND($H11170="ATMOS DISTILLATION",ISNUMBER(SEARCH("VPS",$I11170))=FALSE,LEFT($I11170,6)&lt;&gt;"VACUUM"),"CDU",IF($H11170="FLUID CAT CRACKING","FCC",IF(OR($H11170="HYDROCRACKING",$H11170="RESID_HYDROCRACKING"),"Hydrocracker",IF($H11170="REFORMING","Reformer",""))))</f>
        <v/>
      </c>
    </row>
    <row r="11171" spans="6:7">
      <c r="F11171" s="6">
        <f>IF($M11171="PADD I","PADD 1",IF($M11171="PADD II","PADD 2",IF($M11171="PADD III","PADD 3",IF($M11171="PADD IV","PADD 4",IF($M11171="PADD V","PADD 5","")))))</f>
        <v/>
      </c>
      <c r="G11171" s="6">
        <f>IF(AND($H11171="ATMOS DISTILLATION",ISNUMBER(SEARCH("VPS",$I11171))=FALSE,LEFT($I11171,6)&lt;&gt;"VACUUM"),"CDU",IF($H11171="FLUID CAT CRACKING","FCC",IF(OR($H11171="HYDROCRACKING",$H11171="RESID_HYDROCRACKING"),"Hydrocracker",IF($H11171="REFORMING","Reformer",""))))</f>
        <v/>
      </c>
    </row>
    <row r="11172" spans="6:7">
      <c r="F11172" s="6">
        <f>IF($M11172="PADD I","PADD 1",IF($M11172="PADD II","PADD 2",IF($M11172="PADD III","PADD 3",IF($M11172="PADD IV","PADD 4",IF($M11172="PADD V","PADD 5","")))))</f>
        <v/>
      </c>
      <c r="G11172" s="6">
        <f>IF(AND($H11172="ATMOS DISTILLATION",ISNUMBER(SEARCH("VPS",$I11172))=FALSE,LEFT($I11172,6)&lt;&gt;"VACUUM"),"CDU",IF($H11172="FLUID CAT CRACKING","FCC",IF(OR($H11172="HYDROCRACKING",$H11172="RESID_HYDROCRACKING"),"Hydrocracker",IF($H11172="REFORMING","Reformer",""))))</f>
        <v/>
      </c>
    </row>
    <row r="11173" spans="6:7">
      <c r="F11173" s="6">
        <f>IF($M11173="PADD I","PADD 1",IF($M11173="PADD II","PADD 2",IF($M11173="PADD III","PADD 3",IF($M11173="PADD IV","PADD 4",IF($M11173="PADD V","PADD 5","")))))</f>
        <v/>
      </c>
      <c r="G11173" s="6">
        <f>IF(AND($H11173="ATMOS DISTILLATION",ISNUMBER(SEARCH("VPS",$I11173))=FALSE,LEFT($I11173,6)&lt;&gt;"VACUUM"),"CDU",IF($H11173="FLUID CAT CRACKING","FCC",IF(OR($H11173="HYDROCRACKING",$H11173="RESID_HYDROCRACKING"),"Hydrocracker",IF($H11173="REFORMING","Reformer",""))))</f>
        <v/>
      </c>
    </row>
    <row r="11174" spans="6:7">
      <c r="F11174" s="6">
        <f>IF($M11174="PADD I","PADD 1",IF($M11174="PADD II","PADD 2",IF($M11174="PADD III","PADD 3",IF($M11174="PADD IV","PADD 4",IF($M11174="PADD V","PADD 5","")))))</f>
        <v/>
      </c>
      <c r="G11174" s="6">
        <f>IF(AND($H11174="ATMOS DISTILLATION",ISNUMBER(SEARCH("VPS",$I11174))=FALSE,LEFT($I11174,6)&lt;&gt;"VACUUM"),"CDU",IF($H11174="FLUID CAT CRACKING","FCC",IF(OR($H11174="HYDROCRACKING",$H11174="RESID_HYDROCRACKING"),"Hydrocracker",IF($H11174="REFORMING","Reformer",""))))</f>
        <v/>
      </c>
    </row>
    <row r="11175" spans="6:7">
      <c r="F11175" s="6">
        <f>IF($M11175="PADD I","PADD 1",IF($M11175="PADD II","PADD 2",IF($M11175="PADD III","PADD 3",IF($M11175="PADD IV","PADD 4",IF($M11175="PADD V","PADD 5","")))))</f>
        <v/>
      </c>
      <c r="G11175" s="6">
        <f>IF(AND($H11175="ATMOS DISTILLATION",ISNUMBER(SEARCH("VPS",$I11175))=FALSE,LEFT($I11175,6)&lt;&gt;"VACUUM"),"CDU",IF($H11175="FLUID CAT CRACKING","FCC",IF(OR($H11175="HYDROCRACKING",$H11175="RESID_HYDROCRACKING"),"Hydrocracker",IF($H11175="REFORMING","Reformer",""))))</f>
        <v/>
      </c>
    </row>
    <row r="11176" spans="6:7">
      <c r="F11176" s="6">
        <f>IF($M11176="PADD I","PADD 1",IF($M11176="PADD II","PADD 2",IF($M11176="PADD III","PADD 3",IF($M11176="PADD IV","PADD 4",IF($M11176="PADD V","PADD 5","")))))</f>
        <v/>
      </c>
      <c r="G11176" s="6">
        <f>IF(AND($H11176="ATMOS DISTILLATION",ISNUMBER(SEARCH("VPS",$I11176))=FALSE,LEFT($I11176,6)&lt;&gt;"VACUUM"),"CDU",IF($H11176="FLUID CAT CRACKING","FCC",IF(OR($H11176="HYDROCRACKING",$H11176="RESID_HYDROCRACKING"),"Hydrocracker",IF($H11176="REFORMING","Reformer",""))))</f>
        <v/>
      </c>
    </row>
    <row r="11177" spans="6:7">
      <c r="F11177" s="6">
        <f>IF($M11177="PADD I","PADD 1",IF($M11177="PADD II","PADD 2",IF($M11177="PADD III","PADD 3",IF($M11177="PADD IV","PADD 4",IF($M11177="PADD V","PADD 5","")))))</f>
        <v/>
      </c>
      <c r="G11177" s="6">
        <f>IF(AND($H11177="ATMOS DISTILLATION",ISNUMBER(SEARCH("VPS",$I11177))=FALSE,LEFT($I11177,6)&lt;&gt;"VACUUM"),"CDU",IF($H11177="FLUID CAT CRACKING","FCC",IF(OR($H11177="HYDROCRACKING",$H11177="RESID_HYDROCRACKING"),"Hydrocracker",IF($H11177="REFORMING","Reformer",""))))</f>
        <v/>
      </c>
    </row>
    <row r="11178" spans="6:7">
      <c r="F11178" s="6">
        <f>IF($M11178="PADD I","PADD 1",IF($M11178="PADD II","PADD 2",IF($M11178="PADD III","PADD 3",IF($M11178="PADD IV","PADD 4",IF($M11178="PADD V","PADD 5","")))))</f>
        <v/>
      </c>
      <c r="G11178" s="6">
        <f>IF(AND($H11178="ATMOS DISTILLATION",ISNUMBER(SEARCH("VPS",$I11178))=FALSE,LEFT($I11178,6)&lt;&gt;"VACUUM"),"CDU",IF($H11178="FLUID CAT CRACKING","FCC",IF(OR($H11178="HYDROCRACKING",$H11178="RESID_HYDROCRACKING"),"Hydrocracker",IF($H11178="REFORMING","Reformer",""))))</f>
        <v/>
      </c>
    </row>
    <row r="11179" spans="6:7">
      <c r="F11179" s="6">
        <f>IF($M11179="PADD I","PADD 1",IF($M11179="PADD II","PADD 2",IF($M11179="PADD III","PADD 3",IF($M11179="PADD IV","PADD 4",IF($M11179="PADD V","PADD 5","")))))</f>
        <v/>
      </c>
      <c r="G11179" s="6">
        <f>IF(AND($H11179="ATMOS DISTILLATION",ISNUMBER(SEARCH("VPS",$I11179))=FALSE,LEFT($I11179,6)&lt;&gt;"VACUUM"),"CDU",IF($H11179="FLUID CAT CRACKING","FCC",IF(OR($H11179="HYDROCRACKING",$H11179="RESID_HYDROCRACKING"),"Hydrocracker",IF($H11179="REFORMING","Reformer",""))))</f>
        <v/>
      </c>
    </row>
    <row r="11180" spans="6:7">
      <c r="F11180" s="6">
        <f>IF($M11180="PADD I","PADD 1",IF($M11180="PADD II","PADD 2",IF($M11180="PADD III","PADD 3",IF($M11180="PADD IV","PADD 4",IF($M11180="PADD V","PADD 5","")))))</f>
        <v/>
      </c>
      <c r="G11180" s="6">
        <f>IF(AND($H11180="ATMOS DISTILLATION",ISNUMBER(SEARCH("VPS",$I11180))=FALSE,LEFT($I11180,6)&lt;&gt;"VACUUM"),"CDU",IF($H11180="FLUID CAT CRACKING","FCC",IF(OR($H11180="HYDROCRACKING",$H11180="RESID_HYDROCRACKING"),"Hydrocracker",IF($H11180="REFORMING","Reformer",""))))</f>
        <v/>
      </c>
    </row>
    <row r="11181" spans="6:7">
      <c r="F11181" s="6">
        <f>IF($M11181="PADD I","PADD 1",IF($M11181="PADD II","PADD 2",IF($M11181="PADD III","PADD 3",IF($M11181="PADD IV","PADD 4",IF($M11181="PADD V","PADD 5","")))))</f>
        <v/>
      </c>
      <c r="G11181" s="6">
        <f>IF(AND($H11181="ATMOS DISTILLATION",ISNUMBER(SEARCH("VPS",$I11181))=FALSE,LEFT($I11181,6)&lt;&gt;"VACUUM"),"CDU",IF($H11181="FLUID CAT CRACKING","FCC",IF(OR($H11181="HYDROCRACKING",$H11181="RESID_HYDROCRACKING"),"Hydrocracker",IF($H11181="REFORMING","Reformer",""))))</f>
        <v/>
      </c>
    </row>
    <row r="11182" spans="6:7">
      <c r="F11182" s="6">
        <f>IF($M11182="PADD I","PADD 1",IF($M11182="PADD II","PADD 2",IF($M11182="PADD III","PADD 3",IF($M11182="PADD IV","PADD 4",IF($M11182="PADD V","PADD 5","")))))</f>
        <v/>
      </c>
      <c r="G11182" s="6">
        <f>IF(AND($H11182="ATMOS DISTILLATION",ISNUMBER(SEARCH("VPS",$I11182))=FALSE,LEFT($I11182,6)&lt;&gt;"VACUUM"),"CDU",IF($H11182="FLUID CAT CRACKING","FCC",IF(OR($H11182="HYDROCRACKING",$H11182="RESID_HYDROCRACKING"),"Hydrocracker",IF($H11182="REFORMING","Reformer",""))))</f>
        <v/>
      </c>
    </row>
    <row r="11183" spans="6:7">
      <c r="F11183" s="6">
        <f>IF($M11183="PADD I","PADD 1",IF($M11183="PADD II","PADD 2",IF($M11183="PADD III","PADD 3",IF($M11183="PADD IV","PADD 4",IF($M11183="PADD V","PADD 5","")))))</f>
        <v/>
      </c>
      <c r="G11183" s="6">
        <f>IF(AND($H11183="ATMOS DISTILLATION",ISNUMBER(SEARCH("VPS",$I11183))=FALSE,LEFT($I11183,6)&lt;&gt;"VACUUM"),"CDU",IF($H11183="FLUID CAT CRACKING","FCC",IF(OR($H11183="HYDROCRACKING",$H11183="RESID_HYDROCRACKING"),"Hydrocracker",IF($H11183="REFORMING","Reformer",""))))</f>
        <v/>
      </c>
    </row>
    <row r="11184" spans="6:7">
      <c r="F11184" s="6">
        <f>IF($M11184="PADD I","PADD 1",IF($M11184="PADD II","PADD 2",IF($M11184="PADD III","PADD 3",IF($M11184="PADD IV","PADD 4",IF($M11184="PADD V","PADD 5","")))))</f>
        <v/>
      </c>
      <c r="G11184" s="6">
        <f>IF(AND($H11184="ATMOS DISTILLATION",ISNUMBER(SEARCH("VPS",$I11184))=FALSE,LEFT($I11184,6)&lt;&gt;"VACUUM"),"CDU",IF($H11184="FLUID CAT CRACKING","FCC",IF(OR($H11184="HYDROCRACKING",$H11184="RESID_HYDROCRACKING"),"Hydrocracker",IF($H11184="REFORMING","Reformer",""))))</f>
        <v/>
      </c>
    </row>
    <row r="11185" spans="6:7">
      <c r="F11185" s="6">
        <f>IF($M11185="PADD I","PADD 1",IF($M11185="PADD II","PADD 2",IF($M11185="PADD III","PADD 3",IF($M11185="PADD IV","PADD 4",IF($M11185="PADD V","PADD 5","")))))</f>
        <v/>
      </c>
      <c r="G11185" s="6">
        <f>IF(AND($H11185="ATMOS DISTILLATION",ISNUMBER(SEARCH("VPS",$I11185))=FALSE,LEFT($I11185,6)&lt;&gt;"VACUUM"),"CDU",IF($H11185="FLUID CAT CRACKING","FCC",IF(OR($H11185="HYDROCRACKING",$H11185="RESID_HYDROCRACKING"),"Hydrocracker",IF($H11185="REFORMING","Reformer",""))))</f>
        <v/>
      </c>
    </row>
    <row r="11186" spans="6:7">
      <c r="F11186" s="6">
        <f>IF($M11186="PADD I","PADD 1",IF($M11186="PADD II","PADD 2",IF($M11186="PADD III","PADD 3",IF($M11186="PADD IV","PADD 4",IF($M11186="PADD V","PADD 5","")))))</f>
        <v/>
      </c>
      <c r="G11186" s="6">
        <f>IF(AND($H11186="ATMOS DISTILLATION",ISNUMBER(SEARCH("VPS",$I11186))=FALSE,LEFT($I11186,6)&lt;&gt;"VACUUM"),"CDU",IF($H11186="FLUID CAT CRACKING","FCC",IF(OR($H11186="HYDROCRACKING",$H11186="RESID_HYDROCRACKING"),"Hydrocracker",IF($H11186="REFORMING","Reformer",""))))</f>
        <v/>
      </c>
    </row>
    <row r="11187" spans="6:7">
      <c r="F11187" s="6">
        <f>IF($M11187="PADD I","PADD 1",IF($M11187="PADD II","PADD 2",IF($M11187="PADD III","PADD 3",IF($M11187="PADD IV","PADD 4",IF($M11187="PADD V","PADD 5","")))))</f>
        <v/>
      </c>
      <c r="G11187" s="6">
        <f>IF(AND($H11187="ATMOS DISTILLATION",ISNUMBER(SEARCH("VPS",$I11187))=FALSE,LEFT($I11187,6)&lt;&gt;"VACUUM"),"CDU",IF($H11187="FLUID CAT CRACKING","FCC",IF(OR($H11187="HYDROCRACKING",$H11187="RESID_HYDROCRACKING"),"Hydrocracker",IF($H11187="REFORMING","Reformer",""))))</f>
        <v/>
      </c>
    </row>
    <row r="11188" spans="6:7">
      <c r="F11188" s="6">
        <f>IF($M11188="PADD I","PADD 1",IF($M11188="PADD II","PADD 2",IF($M11188="PADD III","PADD 3",IF($M11188="PADD IV","PADD 4",IF($M11188="PADD V","PADD 5","")))))</f>
        <v/>
      </c>
      <c r="G11188" s="6">
        <f>IF(AND($H11188="ATMOS DISTILLATION",ISNUMBER(SEARCH("VPS",$I11188))=FALSE,LEFT($I11188,6)&lt;&gt;"VACUUM"),"CDU",IF($H11188="FLUID CAT CRACKING","FCC",IF(OR($H11188="HYDROCRACKING",$H11188="RESID_HYDROCRACKING"),"Hydrocracker",IF($H11188="REFORMING","Reformer",""))))</f>
        <v/>
      </c>
    </row>
    <row r="11189" spans="6:7">
      <c r="F11189" s="6">
        <f>IF($M11189="PADD I","PADD 1",IF($M11189="PADD II","PADD 2",IF($M11189="PADD III","PADD 3",IF($M11189="PADD IV","PADD 4",IF($M11189="PADD V","PADD 5","")))))</f>
        <v/>
      </c>
      <c r="G11189" s="6">
        <f>IF(AND($H11189="ATMOS DISTILLATION",ISNUMBER(SEARCH("VPS",$I11189))=FALSE,LEFT($I11189,6)&lt;&gt;"VACUUM"),"CDU",IF($H11189="FLUID CAT CRACKING","FCC",IF(OR($H11189="HYDROCRACKING",$H11189="RESID_HYDROCRACKING"),"Hydrocracker",IF($H11189="REFORMING","Reformer",""))))</f>
        <v/>
      </c>
    </row>
    <row r="11190" spans="6:7">
      <c r="F11190" s="6">
        <f>IF($M11190="PADD I","PADD 1",IF($M11190="PADD II","PADD 2",IF($M11190="PADD III","PADD 3",IF($M11190="PADD IV","PADD 4",IF($M11190="PADD V","PADD 5","")))))</f>
        <v/>
      </c>
      <c r="G11190" s="6">
        <f>IF(AND($H11190="ATMOS DISTILLATION",ISNUMBER(SEARCH("VPS",$I11190))=FALSE,LEFT($I11190,6)&lt;&gt;"VACUUM"),"CDU",IF($H11190="FLUID CAT CRACKING","FCC",IF(OR($H11190="HYDROCRACKING",$H11190="RESID_HYDROCRACKING"),"Hydrocracker",IF($H11190="REFORMING","Reformer",""))))</f>
        <v/>
      </c>
    </row>
    <row r="11191" spans="6:7">
      <c r="F11191" s="6">
        <f>IF($M11191="PADD I","PADD 1",IF($M11191="PADD II","PADD 2",IF($M11191="PADD III","PADD 3",IF($M11191="PADD IV","PADD 4",IF($M11191="PADD V","PADD 5","")))))</f>
        <v/>
      </c>
      <c r="G11191" s="6">
        <f>IF(AND($H11191="ATMOS DISTILLATION",ISNUMBER(SEARCH("VPS",$I11191))=FALSE,LEFT($I11191,6)&lt;&gt;"VACUUM"),"CDU",IF($H11191="FLUID CAT CRACKING","FCC",IF(OR($H11191="HYDROCRACKING",$H11191="RESID_HYDROCRACKING"),"Hydrocracker",IF($H11191="REFORMING","Reformer",""))))</f>
        <v/>
      </c>
    </row>
    <row r="11192" spans="6:7">
      <c r="F11192" s="6">
        <f>IF($M11192="PADD I","PADD 1",IF($M11192="PADD II","PADD 2",IF($M11192="PADD III","PADD 3",IF($M11192="PADD IV","PADD 4",IF($M11192="PADD V","PADD 5","")))))</f>
        <v/>
      </c>
      <c r="G11192" s="6">
        <f>IF(AND($H11192="ATMOS DISTILLATION",ISNUMBER(SEARCH("VPS",$I11192))=FALSE,LEFT($I11192,6)&lt;&gt;"VACUUM"),"CDU",IF($H11192="FLUID CAT CRACKING","FCC",IF(OR($H11192="HYDROCRACKING",$H11192="RESID_HYDROCRACKING"),"Hydrocracker",IF($H11192="REFORMING","Reformer",""))))</f>
        <v/>
      </c>
    </row>
    <row r="11193" spans="6:7">
      <c r="F11193" s="6">
        <f>IF($M11193="PADD I","PADD 1",IF($M11193="PADD II","PADD 2",IF($M11193="PADD III","PADD 3",IF($M11193="PADD IV","PADD 4",IF($M11193="PADD V","PADD 5","")))))</f>
        <v/>
      </c>
      <c r="G11193" s="6">
        <f>IF(AND($H11193="ATMOS DISTILLATION",ISNUMBER(SEARCH("VPS",$I11193))=FALSE,LEFT($I11193,6)&lt;&gt;"VACUUM"),"CDU",IF($H11193="FLUID CAT CRACKING","FCC",IF(OR($H11193="HYDROCRACKING",$H11193="RESID_HYDROCRACKING"),"Hydrocracker",IF($H11193="REFORMING","Reformer",""))))</f>
        <v/>
      </c>
    </row>
    <row r="11194" spans="6:7">
      <c r="F11194" s="6">
        <f>IF($M11194="PADD I","PADD 1",IF($M11194="PADD II","PADD 2",IF($M11194="PADD III","PADD 3",IF($M11194="PADD IV","PADD 4",IF($M11194="PADD V","PADD 5","")))))</f>
        <v/>
      </c>
      <c r="G11194" s="6">
        <f>IF(AND($H11194="ATMOS DISTILLATION",ISNUMBER(SEARCH("VPS",$I11194))=FALSE,LEFT($I11194,6)&lt;&gt;"VACUUM"),"CDU",IF($H11194="FLUID CAT CRACKING","FCC",IF(OR($H11194="HYDROCRACKING",$H11194="RESID_HYDROCRACKING"),"Hydrocracker",IF($H11194="REFORMING","Reformer",""))))</f>
        <v/>
      </c>
    </row>
    <row r="11195" spans="6:7">
      <c r="F11195" s="6">
        <f>IF($M11195="PADD I","PADD 1",IF($M11195="PADD II","PADD 2",IF($M11195="PADD III","PADD 3",IF($M11195="PADD IV","PADD 4",IF($M11195="PADD V","PADD 5","")))))</f>
        <v/>
      </c>
      <c r="G11195" s="6">
        <f>IF(AND($H11195="ATMOS DISTILLATION",ISNUMBER(SEARCH("VPS",$I11195))=FALSE,LEFT($I11195,6)&lt;&gt;"VACUUM"),"CDU",IF($H11195="FLUID CAT CRACKING","FCC",IF(OR($H11195="HYDROCRACKING",$H11195="RESID_HYDROCRACKING"),"Hydrocracker",IF($H11195="REFORMING","Reformer",""))))</f>
        <v/>
      </c>
    </row>
    <row r="11196" spans="6:7">
      <c r="F11196" s="6">
        <f>IF($M11196="PADD I","PADD 1",IF($M11196="PADD II","PADD 2",IF($M11196="PADD III","PADD 3",IF($M11196="PADD IV","PADD 4",IF($M11196="PADD V","PADD 5","")))))</f>
        <v/>
      </c>
      <c r="G11196" s="6">
        <f>IF(AND($H11196="ATMOS DISTILLATION",ISNUMBER(SEARCH("VPS",$I11196))=FALSE,LEFT($I11196,6)&lt;&gt;"VACUUM"),"CDU",IF($H11196="FLUID CAT CRACKING","FCC",IF(OR($H11196="HYDROCRACKING",$H11196="RESID_HYDROCRACKING"),"Hydrocracker",IF($H11196="REFORMING","Reformer",""))))</f>
        <v/>
      </c>
    </row>
    <row r="11197" spans="6:7">
      <c r="F11197" s="6">
        <f>IF($M11197="PADD I","PADD 1",IF($M11197="PADD II","PADD 2",IF($M11197="PADD III","PADD 3",IF($M11197="PADD IV","PADD 4",IF($M11197="PADD V","PADD 5","")))))</f>
        <v/>
      </c>
      <c r="G11197" s="6">
        <f>IF(AND($H11197="ATMOS DISTILLATION",ISNUMBER(SEARCH("VPS",$I11197))=FALSE,LEFT($I11197,6)&lt;&gt;"VACUUM"),"CDU",IF($H11197="FLUID CAT CRACKING","FCC",IF(OR($H11197="HYDROCRACKING",$H11197="RESID_HYDROCRACKING"),"Hydrocracker",IF($H11197="REFORMING","Reformer",""))))</f>
        <v/>
      </c>
    </row>
    <row r="11198" spans="6:7">
      <c r="F11198" s="6">
        <f>IF($M11198="PADD I","PADD 1",IF($M11198="PADD II","PADD 2",IF($M11198="PADD III","PADD 3",IF($M11198="PADD IV","PADD 4",IF($M11198="PADD V","PADD 5","")))))</f>
        <v/>
      </c>
      <c r="G11198" s="6">
        <f>IF(AND($H11198="ATMOS DISTILLATION",ISNUMBER(SEARCH("VPS",$I11198))=FALSE,LEFT($I11198,6)&lt;&gt;"VACUUM"),"CDU",IF($H11198="FLUID CAT CRACKING","FCC",IF(OR($H11198="HYDROCRACKING",$H11198="RESID_HYDROCRACKING"),"Hydrocracker",IF($H11198="REFORMING","Reformer",""))))</f>
        <v/>
      </c>
    </row>
    <row r="11199" spans="6:7">
      <c r="F11199" s="6">
        <f>IF($M11199="PADD I","PADD 1",IF($M11199="PADD II","PADD 2",IF($M11199="PADD III","PADD 3",IF($M11199="PADD IV","PADD 4",IF($M11199="PADD V","PADD 5","")))))</f>
        <v/>
      </c>
      <c r="G11199" s="6">
        <f>IF(AND($H11199="ATMOS DISTILLATION",ISNUMBER(SEARCH("VPS",$I11199))=FALSE,LEFT($I11199,6)&lt;&gt;"VACUUM"),"CDU",IF($H11199="FLUID CAT CRACKING","FCC",IF(OR($H11199="HYDROCRACKING",$H11199="RESID_HYDROCRACKING"),"Hydrocracker",IF($H11199="REFORMING","Reformer",""))))</f>
        <v/>
      </c>
    </row>
    <row r="11200" spans="6:7">
      <c r="F11200" s="6">
        <f>IF($M11200="PADD I","PADD 1",IF($M11200="PADD II","PADD 2",IF($M11200="PADD III","PADD 3",IF($M11200="PADD IV","PADD 4",IF($M11200="PADD V","PADD 5","")))))</f>
        <v/>
      </c>
      <c r="G11200" s="6">
        <f>IF(AND($H11200="ATMOS DISTILLATION",ISNUMBER(SEARCH("VPS",$I11200))=FALSE,LEFT($I11200,6)&lt;&gt;"VACUUM"),"CDU",IF($H11200="FLUID CAT CRACKING","FCC",IF(OR($H11200="HYDROCRACKING",$H11200="RESID_HYDROCRACKING"),"Hydrocracker",IF($H11200="REFORMING","Reformer",""))))</f>
        <v/>
      </c>
    </row>
    <row r="11201" spans="6:7">
      <c r="F11201" s="6">
        <f>IF($M11201="PADD I","PADD 1",IF($M11201="PADD II","PADD 2",IF($M11201="PADD III","PADD 3",IF($M11201="PADD IV","PADD 4",IF($M11201="PADD V","PADD 5","")))))</f>
        <v/>
      </c>
      <c r="G11201" s="6">
        <f>IF(AND($H11201="ATMOS DISTILLATION",ISNUMBER(SEARCH("VPS",$I11201))=FALSE,LEFT($I11201,6)&lt;&gt;"VACUUM"),"CDU",IF($H11201="FLUID CAT CRACKING","FCC",IF(OR($H11201="HYDROCRACKING",$H11201="RESID_HYDROCRACKING"),"Hydrocracker",IF($H11201="REFORMING","Reformer",""))))</f>
        <v/>
      </c>
    </row>
    <row r="11202" spans="6:7">
      <c r="F11202" s="6">
        <f>IF($M11202="PADD I","PADD 1",IF($M11202="PADD II","PADD 2",IF($M11202="PADD III","PADD 3",IF($M11202="PADD IV","PADD 4",IF($M11202="PADD V","PADD 5","")))))</f>
        <v/>
      </c>
      <c r="G11202" s="6">
        <f>IF(AND($H11202="ATMOS DISTILLATION",ISNUMBER(SEARCH("VPS",$I11202))=FALSE,LEFT($I11202,6)&lt;&gt;"VACUUM"),"CDU",IF($H11202="FLUID CAT CRACKING","FCC",IF(OR($H11202="HYDROCRACKING",$H11202="RESID_HYDROCRACKING"),"Hydrocracker",IF($H11202="REFORMING","Reformer",""))))</f>
        <v/>
      </c>
    </row>
    <row r="11203" spans="6:7">
      <c r="F11203" s="6">
        <f>IF($M11203="PADD I","PADD 1",IF($M11203="PADD II","PADD 2",IF($M11203="PADD III","PADD 3",IF($M11203="PADD IV","PADD 4",IF($M11203="PADD V","PADD 5","")))))</f>
        <v/>
      </c>
      <c r="G11203" s="6">
        <f>IF(AND($H11203="ATMOS DISTILLATION",ISNUMBER(SEARCH("VPS",$I11203))=FALSE,LEFT($I11203,6)&lt;&gt;"VACUUM"),"CDU",IF($H11203="FLUID CAT CRACKING","FCC",IF(OR($H11203="HYDROCRACKING",$H11203="RESID_HYDROCRACKING"),"Hydrocracker",IF($H11203="REFORMING","Reformer",""))))</f>
        <v/>
      </c>
    </row>
    <row r="11204" spans="6:7">
      <c r="F11204" s="6">
        <f>IF($M11204="PADD I","PADD 1",IF($M11204="PADD II","PADD 2",IF($M11204="PADD III","PADD 3",IF($M11204="PADD IV","PADD 4",IF($M11204="PADD V","PADD 5","")))))</f>
        <v/>
      </c>
      <c r="G11204" s="6">
        <f>IF(AND($H11204="ATMOS DISTILLATION",ISNUMBER(SEARCH("VPS",$I11204))=FALSE,LEFT($I11204,6)&lt;&gt;"VACUUM"),"CDU",IF($H11204="FLUID CAT CRACKING","FCC",IF(OR($H11204="HYDROCRACKING",$H11204="RESID_HYDROCRACKING"),"Hydrocracker",IF($H11204="REFORMING","Reformer",""))))</f>
        <v/>
      </c>
    </row>
    <row r="11205" spans="6:7">
      <c r="F11205" s="6">
        <f>IF($M11205="PADD I","PADD 1",IF($M11205="PADD II","PADD 2",IF($M11205="PADD III","PADD 3",IF($M11205="PADD IV","PADD 4",IF($M11205="PADD V","PADD 5","")))))</f>
        <v/>
      </c>
      <c r="G11205" s="6">
        <f>IF(AND($H11205="ATMOS DISTILLATION",ISNUMBER(SEARCH("VPS",$I11205))=FALSE,LEFT($I11205,6)&lt;&gt;"VACUUM"),"CDU",IF($H11205="FLUID CAT CRACKING","FCC",IF(OR($H11205="HYDROCRACKING",$H11205="RESID_HYDROCRACKING"),"Hydrocracker",IF($H11205="REFORMING","Reformer",""))))</f>
        <v/>
      </c>
    </row>
    <row r="11206" spans="6:7">
      <c r="F11206" s="6">
        <f>IF($M11206="PADD I","PADD 1",IF($M11206="PADD II","PADD 2",IF($M11206="PADD III","PADD 3",IF($M11206="PADD IV","PADD 4",IF($M11206="PADD V","PADD 5","")))))</f>
        <v/>
      </c>
      <c r="G11206" s="6">
        <f>IF(AND($H11206="ATMOS DISTILLATION",ISNUMBER(SEARCH("VPS",$I11206))=FALSE,LEFT($I11206,6)&lt;&gt;"VACUUM"),"CDU",IF($H11206="FLUID CAT CRACKING","FCC",IF(OR($H11206="HYDROCRACKING",$H11206="RESID_HYDROCRACKING"),"Hydrocracker",IF($H11206="REFORMING","Reformer",""))))</f>
        <v/>
      </c>
    </row>
    <row r="11207" spans="6:7">
      <c r="F11207" s="6">
        <f>IF($M11207="PADD I","PADD 1",IF($M11207="PADD II","PADD 2",IF($M11207="PADD III","PADD 3",IF($M11207="PADD IV","PADD 4",IF($M11207="PADD V","PADD 5","")))))</f>
        <v/>
      </c>
      <c r="G11207" s="6">
        <f>IF(AND($H11207="ATMOS DISTILLATION",ISNUMBER(SEARCH("VPS",$I11207))=FALSE,LEFT($I11207,6)&lt;&gt;"VACUUM"),"CDU",IF($H11207="FLUID CAT CRACKING","FCC",IF(OR($H11207="HYDROCRACKING",$H11207="RESID_HYDROCRACKING"),"Hydrocracker",IF($H11207="REFORMING","Reformer",""))))</f>
        <v/>
      </c>
    </row>
    <row r="11208" spans="6:7">
      <c r="F11208" s="6">
        <f>IF($M11208="PADD I","PADD 1",IF($M11208="PADD II","PADD 2",IF($M11208="PADD III","PADD 3",IF($M11208="PADD IV","PADD 4",IF($M11208="PADD V","PADD 5","")))))</f>
        <v/>
      </c>
      <c r="G11208" s="6">
        <f>IF(AND($H11208="ATMOS DISTILLATION",ISNUMBER(SEARCH("VPS",$I11208))=FALSE,LEFT($I11208,6)&lt;&gt;"VACUUM"),"CDU",IF($H11208="FLUID CAT CRACKING","FCC",IF(OR($H11208="HYDROCRACKING",$H11208="RESID_HYDROCRACKING"),"Hydrocracker",IF($H11208="REFORMING","Reformer",""))))</f>
        <v/>
      </c>
    </row>
    <row r="11209" spans="6:7">
      <c r="F11209" s="6">
        <f>IF($M11209="PADD I","PADD 1",IF($M11209="PADD II","PADD 2",IF($M11209="PADD III","PADD 3",IF($M11209="PADD IV","PADD 4",IF($M11209="PADD V","PADD 5","")))))</f>
        <v/>
      </c>
      <c r="G11209" s="6">
        <f>IF(AND($H11209="ATMOS DISTILLATION",ISNUMBER(SEARCH("VPS",$I11209))=FALSE,LEFT($I11209,6)&lt;&gt;"VACUUM"),"CDU",IF($H11209="FLUID CAT CRACKING","FCC",IF(OR($H11209="HYDROCRACKING",$H11209="RESID_HYDROCRACKING"),"Hydrocracker",IF($H11209="REFORMING","Reformer",""))))</f>
        <v/>
      </c>
    </row>
    <row r="11210" spans="6:7">
      <c r="F11210" s="6">
        <f>IF($M11210="PADD I","PADD 1",IF($M11210="PADD II","PADD 2",IF($M11210="PADD III","PADD 3",IF($M11210="PADD IV","PADD 4",IF($M11210="PADD V","PADD 5","")))))</f>
        <v/>
      </c>
      <c r="G11210" s="6">
        <f>IF(AND($H11210="ATMOS DISTILLATION",ISNUMBER(SEARCH("VPS",$I11210))=FALSE,LEFT($I11210,6)&lt;&gt;"VACUUM"),"CDU",IF($H11210="FLUID CAT CRACKING","FCC",IF(OR($H11210="HYDROCRACKING",$H11210="RESID_HYDROCRACKING"),"Hydrocracker",IF($H11210="REFORMING","Reformer",""))))</f>
        <v/>
      </c>
    </row>
    <row r="11211" spans="6:7">
      <c r="F11211" s="6">
        <f>IF($M11211="PADD I","PADD 1",IF($M11211="PADD II","PADD 2",IF($M11211="PADD III","PADD 3",IF($M11211="PADD IV","PADD 4",IF($M11211="PADD V","PADD 5","")))))</f>
        <v/>
      </c>
      <c r="G11211" s="6">
        <f>IF(AND($H11211="ATMOS DISTILLATION",ISNUMBER(SEARCH("VPS",$I11211))=FALSE,LEFT($I11211,6)&lt;&gt;"VACUUM"),"CDU",IF($H11211="FLUID CAT CRACKING","FCC",IF(OR($H11211="HYDROCRACKING",$H11211="RESID_HYDROCRACKING"),"Hydrocracker",IF($H11211="REFORMING","Reformer",""))))</f>
        <v/>
      </c>
    </row>
    <row r="11212" spans="6:7">
      <c r="F11212" s="6">
        <f>IF($M11212="PADD I","PADD 1",IF($M11212="PADD II","PADD 2",IF($M11212="PADD III","PADD 3",IF($M11212="PADD IV","PADD 4",IF($M11212="PADD V","PADD 5","")))))</f>
        <v/>
      </c>
      <c r="G11212" s="6">
        <f>IF(AND($H11212="ATMOS DISTILLATION",ISNUMBER(SEARCH("VPS",$I11212))=FALSE,LEFT($I11212,6)&lt;&gt;"VACUUM"),"CDU",IF($H11212="FLUID CAT CRACKING","FCC",IF(OR($H11212="HYDROCRACKING",$H11212="RESID_HYDROCRACKING"),"Hydrocracker",IF($H11212="REFORMING","Reformer",""))))</f>
        <v/>
      </c>
    </row>
    <row r="11213" spans="6:7">
      <c r="F11213" s="6">
        <f>IF($M11213="PADD I","PADD 1",IF($M11213="PADD II","PADD 2",IF($M11213="PADD III","PADD 3",IF($M11213="PADD IV","PADD 4",IF($M11213="PADD V","PADD 5","")))))</f>
        <v/>
      </c>
      <c r="G11213" s="6">
        <f>IF(AND($H11213="ATMOS DISTILLATION",ISNUMBER(SEARCH("VPS",$I11213))=FALSE,LEFT($I11213,6)&lt;&gt;"VACUUM"),"CDU",IF($H11213="FLUID CAT CRACKING","FCC",IF(OR($H11213="HYDROCRACKING",$H11213="RESID_HYDROCRACKING"),"Hydrocracker",IF($H11213="REFORMING","Reformer",""))))</f>
        <v/>
      </c>
    </row>
    <row r="11214" spans="6:7">
      <c r="F11214" s="6">
        <f>IF($M11214="PADD I","PADD 1",IF($M11214="PADD II","PADD 2",IF($M11214="PADD III","PADD 3",IF($M11214="PADD IV","PADD 4",IF($M11214="PADD V","PADD 5","")))))</f>
        <v/>
      </c>
      <c r="G11214" s="6">
        <f>IF(AND($H11214="ATMOS DISTILLATION",ISNUMBER(SEARCH("VPS",$I11214))=FALSE,LEFT($I11214,6)&lt;&gt;"VACUUM"),"CDU",IF($H11214="FLUID CAT CRACKING","FCC",IF(OR($H11214="HYDROCRACKING",$H11214="RESID_HYDROCRACKING"),"Hydrocracker",IF($H11214="REFORMING","Reformer",""))))</f>
        <v/>
      </c>
    </row>
    <row r="11215" spans="6:7">
      <c r="F11215" s="6">
        <f>IF($M11215="PADD I","PADD 1",IF($M11215="PADD II","PADD 2",IF($M11215="PADD III","PADD 3",IF($M11215="PADD IV","PADD 4",IF($M11215="PADD V","PADD 5","")))))</f>
        <v/>
      </c>
      <c r="G11215" s="6">
        <f>IF(AND($H11215="ATMOS DISTILLATION",ISNUMBER(SEARCH("VPS",$I11215))=FALSE,LEFT($I11215,6)&lt;&gt;"VACUUM"),"CDU",IF($H11215="FLUID CAT CRACKING","FCC",IF(OR($H11215="HYDROCRACKING",$H11215="RESID_HYDROCRACKING"),"Hydrocracker",IF($H11215="REFORMING","Reformer",""))))</f>
        <v/>
      </c>
    </row>
    <row r="11216" spans="6:7">
      <c r="F11216" s="6">
        <f>IF($M11216="PADD I","PADD 1",IF($M11216="PADD II","PADD 2",IF($M11216="PADD III","PADD 3",IF($M11216="PADD IV","PADD 4",IF($M11216="PADD V","PADD 5","")))))</f>
        <v/>
      </c>
      <c r="G11216" s="6">
        <f>IF(AND($H11216="ATMOS DISTILLATION",ISNUMBER(SEARCH("VPS",$I11216))=FALSE,LEFT($I11216,6)&lt;&gt;"VACUUM"),"CDU",IF($H11216="FLUID CAT CRACKING","FCC",IF(OR($H11216="HYDROCRACKING",$H11216="RESID_HYDROCRACKING"),"Hydrocracker",IF($H11216="REFORMING","Reformer",""))))</f>
        <v/>
      </c>
    </row>
    <row r="11217" spans="6:7">
      <c r="F11217" s="6">
        <f>IF($M11217="PADD I","PADD 1",IF($M11217="PADD II","PADD 2",IF($M11217="PADD III","PADD 3",IF($M11217="PADD IV","PADD 4",IF($M11217="PADD V","PADD 5","")))))</f>
        <v/>
      </c>
      <c r="G11217" s="6">
        <f>IF(AND($H11217="ATMOS DISTILLATION",ISNUMBER(SEARCH("VPS",$I11217))=FALSE,LEFT($I11217,6)&lt;&gt;"VACUUM"),"CDU",IF($H11217="FLUID CAT CRACKING","FCC",IF(OR($H11217="HYDROCRACKING",$H11217="RESID_HYDROCRACKING"),"Hydrocracker",IF($H11217="REFORMING","Reformer",""))))</f>
        <v/>
      </c>
    </row>
    <row r="11218" spans="6:7">
      <c r="F11218" s="6">
        <f>IF($M11218="PADD I","PADD 1",IF($M11218="PADD II","PADD 2",IF($M11218="PADD III","PADD 3",IF($M11218="PADD IV","PADD 4",IF($M11218="PADD V","PADD 5","")))))</f>
        <v/>
      </c>
      <c r="G11218" s="6">
        <f>IF(AND($H11218="ATMOS DISTILLATION",ISNUMBER(SEARCH("VPS",$I11218))=FALSE,LEFT($I11218,6)&lt;&gt;"VACUUM"),"CDU",IF($H11218="FLUID CAT CRACKING","FCC",IF(OR($H11218="HYDROCRACKING",$H11218="RESID_HYDROCRACKING"),"Hydrocracker",IF($H11218="REFORMING","Reformer",""))))</f>
        <v/>
      </c>
    </row>
    <row r="11219" spans="6:7">
      <c r="F11219" s="6">
        <f>IF($M11219="PADD I","PADD 1",IF($M11219="PADD II","PADD 2",IF($M11219="PADD III","PADD 3",IF($M11219="PADD IV","PADD 4",IF($M11219="PADD V","PADD 5","")))))</f>
        <v/>
      </c>
      <c r="G11219" s="6">
        <f>IF(AND($H11219="ATMOS DISTILLATION",ISNUMBER(SEARCH("VPS",$I11219))=FALSE,LEFT($I11219,6)&lt;&gt;"VACUUM"),"CDU",IF($H11219="FLUID CAT CRACKING","FCC",IF(OR($H11219="HYDROCRACKING",$H11219="RESID_HYDROCRACKING"),"Hydrocracker",IF($H11219="REFORMING","Reformer",""))))</f>
        <v/>
      </c>
    </row>
    <row r="11220" spans="6:7">
      <c r="F11220" s="6">
        <f>IF($M11220="PADD I","PADD 1",IF($M11220="PADD II","PADD 2",IF($M11220="PADD III","PADD 3",IF($M11220="PADD IV","PADD 4",IF($M11220="PADD V","PADD 5","")))))</f>
        <v/>
      </c>
      <c r="G11220" s="6">
        <f>IF(AND($H11220="ATMOS DISTILLATION",ISNUMBER(SEARCH("VPS",$I11220))=FALSE,LEFT($I11220,6)&lt;&gt;"VACUUM"),"CDU",IF($H11220="FLUID CAT CRACKING","FCC",IF(OR($H11220="HYDROCRACKING",$H11220="RESID_HYDROCRACKING"),"Hydrocracker",IF($H11220="REFORMING","Reformer",""))))</f>
        <v/>
      </c>
    </row>
    <row r="11221" spans="6:7">
      <c r="F11221" s="6">
        <f>IF($M11221="PADD I","PADD 1",IF($M11221="PADD II","PADD 2",IF($M11221="PADD III","PADD 3",IF($M11221="PADD IV","PADD 4",IF($M11221="PADD V","PADD 5","")))))</f>
        <v/>
      </c>
      <c r="G11221" s="6">
        <f>IF(AND($H11221="ATMOS DISTILLATION",ISNUMBER(SEARCH("VPS",$I11221))=FALSE,LEFT($I11221,6)&lt;&gt;"VACUUM"),"CDU",IF($H11221="FLUID CAT CRACKING","FCC",IF(OR($H11221="HYDROCRACKING",$H11221="RESID_HYDROCRACKING"),"Hydrocracker",IF($H11221="REFORMING","Reformer",""))))</f>
        <v/>
      </c>
    </row>
    <row r="11222" spans="6:7">
      <c r="F11222" s="6">
        <f>IF($M11222="PADD I","PADD 1",IF($M11222="PADD II","PADD 2",IF($M11222="PADD III","PADD 3",IF($M11222="PADD IV","PADD 4",IF($M11222="PADD V","PADD 5","")))))</f>
        <v/>
      </c>
      <c r="G11222" s="6">
        <f>IF(AND($H11222="ATMOS DISTILLATION",ISNUMBER(SEARCH("VPS",$I11222))=FALSE,LEFT($I11222,6)&lt;&gt;"VACUUM"),"CDU",IF($H11222="FLUID CAT CRACKING","FCC",IF(OR($H11222="HYDROCRACKING",$H11222="RESID_HYDROCRACKING"),"Hydrocracker",IF($H11222="REFORMING","Reformer",""))))</f>
        <v/>
      </c>
    </row>
    <row r="11223" spans="6:7">
      <c r="F11223" s="6">
        <f>IF($M11223="PADD I","PADD 1",IF($M11223="PADD II","PADD 2",IF($M11223="PADD III","PADD 3",IF($M11223="PADD IV","PADD 4",IF($M11223="PADD V","PADD 5","")))))</f>
        <v/>
      </c>
      <c r="G11223" s="6">
        <f>IF(AND($H11223="ATMOS DISTILLATION",ISNUMBER(SEARCH("VPS",$I11223))=FALSE,LEFT($I11223,6)&lt;&gt;"VACUUM"),"CDU",IF($H11223="FLUID CAT CRACKING","FCC",IF(OR($H11223="HYDROCRACKING",$H11223="RESID_HYDROCRACKING"),"Hydrocracker",IF($H11223="REFORMING","Reformer",""))))</f>
        <v/>
      </c>
    </row>
    <row r="11224" spans="6:7">
      <c r="F11224" s="6">
        <f>IF($M11224="PADD I","PADD 1",IF($M11224="PADD II","PADD 2",IF($M11224="PADD III","PADD 3",IF($M11224="PADD IV","PADD 4",IF($M11224="PADD V","PADD 5","")))))</f>
        <v/>
      </c>
      <c r="G11224" s="6">
        <f>IF(AND($H11224="ATMOS DISTILLATION",ISNUMBER(SEARCH("VPS",$I11224))=FALSE,LEFT($I11224,6)&lt;&gt;"VACUUM"),"CDU",IF($H11224="FLUID CAT CRACKING","FCC",IF(OR($H11224="HYDROCRACKING",$H11224="RESID_HYDROCRACKING"),"Hydrocracker",IF($H11224="REFORMING","Reformer",""))))</f>
        <v/>
      </c>
    </row>
    <row r="11225" spans="6:7">
      <c r="F11225" s="6">
        <f>IF($M11225="PADD I","PADD 1",IF($M11225="PADD II","PADD 2",IF($M11225="PADD III","PADD 3",IF($M11225="PADD IV","PADD 4",IF($M11225="PADD V","PADD 5","")))))</f>
        <v/>
      </c>
      <c r="G11225" s="6">
        <f>IF(AND($H11225="ATMOS DISTILLATION",ISNUMBER(SEARCH("VPS",$I11225))=FALSE,LEFT($I11225,6)&lt;&gt;"VACUUM"),"CDU",IF($H11225="FLUID CAT CRACKING","FCC",IF(OR($H11225="HYDROCRACKING",$H11225="RESID_HYDROCRACKING"),"Hydrocracker",IF($H11225="REFORMING","Reformer",""))))</f>
        <v/>
      </c>
    </row>
    <row r="11226" spans="6:7">
      <c r="F11226" s="6">
        <f>IF($M11226="PADD I","PADD 1",IF($M11226="PADD II","PADD 2",IF($M11226="PADD III","PADD 3",IF($M11226="PADD IV","PADD 4",IF($M11226="PADD V","PADD 5","")))))</f>
        <v/>
      </c>
      <c r="G11226" s="6">
        <f>IF(AND($H11226="ATMOS DISTILLATION",ISNUMBER(SEARCH("VPS",$I11226))=FALSE,LEFT($I11226,6)&lt;&gt;"VACUUM"),"CDU",IF($H11226="FLUID CAT CRACKING","FCC",IF(OR($H11226="HYDROCRACKING",$H11226="RESID_HYDROCRACKING"),"Hydrocracker",IF($H11226="REFORMING","Reformer",""))))</f>
        <v/>
      </c>
    </row>
    <row r="11227" spans="6:7">
      <c r="F11227" s="6">
        <f>IF($M11227="PADD I","PADD 1",IF($M11227="PADD II","PADD 2",IF($M11227="PADD III","PADD 3",IF($M11227="PADD IV","PADD 4",IF($M11227="PADD V","PADD 5","")))))</f>
        <v/>
      </c>
      <c r="G11227" s="6">
        <f>IF(AND($H11227="ATMOS DISTILLATION",ISNUMBER(SEARCH("VPS",$I11227))=FALSE,LEFT($I11227,6)&lt;&gt;"VACUUM"),"CDU",IF($H11227="FLUID CAT CRACKING","FCC",IF(OR($H11227="HYDROCRACKING",$H11227="RESID_HYDROCRACKING"),"Hydrocracker",IF($H11227="REFORMING","Reformer",""))))</f>
        <v/>
      </c>
    </row>
    <row r="11228" spans="6:7">
      <c r="F11228" s="6">
        <f>IF($M11228="PADD I","PADD 1",IF($M11228="PADD II","PADD 2",IF($M11228="PADD III","PADD 3",IF($M11228="PADD IV","PADD 4",IF($M11228="PADD V","PADD 5","")))))</f>
        <v/>
      </c>
      <c r="G11228" s="6">
        <f>IF(AND($H11228="ATMOS DISTILLATION",ISNUMBER(SEARCH("VPS",$I11228))=FALSE,LEFT($I11228,6)&lt;&gt;"VACUUM"),"CDU",IF($H11228="FLUID CAT CRACKING","FCC",IF(OR($H11228="HYDROCRACKING",$H11228="RESID_HYDROCRACKING"),"Hydrocracker",IF($H11228="REFORMING","Reformer",""))))</f>
        <v/>
      </c>
    </row>
    <row r="11229" spans="6:7">
      <c r="F11229" s="6">
        <f>IF($M11229="PADD I","PADD 1",IF($M11229="PADD II","PADD 2",IF($M11229="PADD III","PADD 3",IF($M11229="PADD IV","PADD 4",IF($M11229="PADD V","PADD 5","")))))</f>
        <v/>
      </c>
      <c r="G11229" s="6">
        <f>IF(AND($H11229="ATMOS DISTILLATION",ISNUMBER(SEARCH("VPS",$I11229))=FALSE,LEFT($I11229,6)&lt;&gt;"VACUUM"),"CDU",IF($H11229="FLUID CAT CRACKING","FCC",IF(OR($H11229="HYDROCRACKING",$H11229="RESID_HYDROCRACKING"),"Hydrocracker",IF($H11229="REFORMING","Reformer",""))))</f>
        <v/>
      </c>
    </row>
    <row r="11230" spans="6:7">
      <c r="F11230" s="6">
        <f>IF($M11230="PADD I","PADD 1",IF($M11230="PADD II","PADD 2",IF($M11230="PADD III","PADD 3",IF($M11230="PADD IV","PADD 4",IF($M11230="PADD V","PADD 5","")))))</f>
        <v/>
      </c>
      <c r="G11230" s="6">
        <f>IF(AND($H11230="ATMOS DISTILLATION",ISNUMBER(SEARCH("VPS",$I11230))=FALSE,LEFT($I11230,6)&lt;&gt;"VACUUM"),"CDU",IF($H11230="FLUID CAT CRACKING","FCC",IF(OR($H11230="HYDROCRACKING",$H11230="RESID_HYDROCRACKING"),"Hydrocracker",IF($H11230="REFORMING","Reformer",""))))</f>
        <v/>
      </c>
    </row>
    <row r="11231" spans="6:7">
      <c r="F11231" s="6">
        <f>IF($M11231="PADD I","PADD 1",IF($M11231="PADD II","PADD 2",IF($M11231="PADD III","PADD 3",IF($M11231="PADD IV","PADD 4",IF($M11231="PADD V","PADD 5","")))))</f>
        <v/>
      </c>
      <c r="G11231" s="6">
        <f>IF(AND($H11231="ATMOS DISTILLATION",ISNUMBER(SEARCH("VPS",$I11231))=FALSE,LEFT($I11231,6)&lt;&gt;"VACUUM"),"CDU",IF($H11231="FLUID CAT CRACKING","FCC",IF(OR($H11231="HYDROCRACKING",$H11231="RESID_HYDROCRACKING"),"Hydrocracker",IF($H11231="REFORMING","Reformer",""))))</f>
        <v/>
      </c>
    </row>
    <row r="11232" spans="6:7">
      <c r="F11232" s="6">
        <f>IF($M11232="PADD I","PADD 1",IF($M11232="PADD II","PADD 2",IF($M11232="PADD III","PADD 3",IF($M11232="PADD IV","PADD 4",IF($M11232="PADD V","PADD 5","")))))</f>
        <v/>
      </c>
      <c r="G11232" s="6">
        <f>IF(AND($H11232="ATMOS DISTILLATION",ISNUMBER(SEARCH("VPS",$I11232))=FALSE,LEFT($I11232,6)&lt;&gt;"VACUUM"),"CDU",IF($H11232="FLUID CAT CRACKING","FCC",IF(OR($H11232="HYDROCRACKING",$H11232="RESID_HYDROCRACKING"),"Hydrocracker",IF($H11232="REFORMING","Reformer",""))))</f>
        <v/>
      </c>
    </row>
    <row r="11233" spans="6:7">
      <c r="F11233" s="6">
        <f>IF($M11233="PADD I","PADD 1",IF($M11233="PADD II","PADD 2",IF($M11233="PADD III","PADD 3",IF($M11233="PADD IV","PADD 4",IF($M11233="PADD V","PADD 5","")))))</f>
        <v/>
      </c>
      <c r="G11233" s="6">
        <f>IF(AND($H11233="ATMOS DISTILLATION",ISNUMBER(SEARCH("VPS",$I11233))=FALSE,LEFT($I11233,6)&lt;&gt;"VACUUM"),"CDU",IF($H11233="FLUID CAT CRACKING","FCC",IF(OR($H11233="HYDROCRACKING",$H11233="RESID_HYDROCRACKING"),"Hydrocracker",IF($H11233="REFORMING","Reformer",""))))</f>
        <v/>
      </c>
    </row>
    <row r="11234" spans="6:7">
      <c r="F11234" s="6">
        <f>IF($M11234="PADD I","PADD 1",IF($M11234="PADD II","PADD 2",IF($M11234="PADD III","PADD 3",IF($M11234="PADD IV","PADD 4",IF($M11234="PADD V","PADD 5","")))))</f>
        <v/>
      </c>
      <c r="G11234" s="6">
        <f>IF(AND($H11234="ATMOS DISTILLATION",ISNUMBER(SEARCH("VPS",$I11234))=FALSE,LEFT($I11234,6)&lt;&gt;"VACUUM"),"CDU",IF($H11234="FLUID CAT CRACKING","FCC",IF(OR($H11234="HYDROCRACKING",$H11234="RESID_HYDROCRACKING"),"Hydrocracker",IF($H11234="REFORMING","Reformer",""))))</f>
        <v/>
      </c>
    </row>
    <row r="11235" spans="6:7">
      <c r="F11235" s="6">
        <f>IF($M11235="PADD I","PADD 1",IF($M11235="PADD II","PADD 2",IF($M11235="PADD III","PADD 3",IF($M11235="PADD IV","PADD 4",IF($M11235="PADD V","PADD 5","")))))</f>
        <v/>
      </c>
      <c r="G11235" s="6">
        <f>IF(AND($H11235="ATMOS DISTILLATION",ISNUMBER(SEARCH("VPS",$I11235))=FALSE,LEFT($I11235,6)&lt;&gt;"VACUUM"),"CDU",IF($H11235="FLUID CAT CRACKING","FCC",IF(OR($H11235="HYDROCRACKING",$H11235="RESID_HYDROCRACKING"),"Hydrocracker",IF($H11235="REFORMING","Reformer",""))))</f>
        <v/>
      </c>
    </row>
    <row r="11236" spans="6:7">
      <c r="F11236" s="6">
        <f>IF($M11236="PADD I","PADD 1",IF($M11236="PADD II","PADD 2",IF($M11236="PADD III","PADD 3",IF($M11236="PADD IV","PADD 4",IF($M11236="PADD V","PADD 5","")))))</f>
        <v/>
      </c>
      <c r="G11236" s="6">
        <f>IF(AND($H11236="ATMOS DISTILLATION",ISNUMBER(SEARCH("VPS",$I11236))=FALSE,LEFT($I11236,6)&lt;&gt;"VACUUM"),"CDU",IF($H11236="FLUID CAT CRACKING","FCC",IF(OR($H11236="HYDROCRACKING",$H11236="RESID_HYDROCRACKING"),"Hydrocracker",IF($H11236="REFORMING","Reformer",""))))</f>
        <v/>
      </c>
    </row>
    <row r="11237" spans="6:7">
      <c r="F11237" s="6">
        <f>IF($M11237="PADD I","PADD 1",IF($M11237="PADD II","PADD 2",IF($M11237="PADD III","PADD 3",IF($M11237="PADD IV","PADD 4",IF($M11237="PADD V","PADD 5","")))))</f>
        <v/>
      </c>
      <c r="G11237" s="6">
        <f>IF(AND($H11237="ATMOS DISTILLATION",ISNUMBER(SEARCH("VPS",$I11237))=FALSE,LEFT($I11237,6)&lt;&gt;"VACUUM"),"CDU",IF($H11237="FLUID CAT CRACKING","FCC",IF(OR($H11237="HYDROCRACKING",$H11237="RESID_HYDROCRACKING"),"Hydrocracker",IF($H11237="REFORMING","Reformer",""))))</f>
        <v/>
      </c>
    </row>
    <row r="11238" spans="6:7">
      <c r="F11238" s="6">
        <f>IF($M11238="PADD I","PADD 1",IF($M11238="PADD II","PADD 2",IF($M11238="PADD III","PADD 3",IF($M11238="PADD IV","PADD 4",IF($M11238="PADD V","PADD 5","")))))</f>
        <v/>
      </c>
      <c r="G11238" s="6">
        <f>IF(AND($H11238="ATMOS DISTILLATION",ISNUMBER(SEARCH("VPS",$I11238))=FALSE,LEFT($I11238,6)&lt;&gt;"VACUUM"),"CDU",IF($H11238="FLUID CAT CRACKING","FCC",IF(OR($H11238="HYDROCRACKING",$H11238="RESID_HYDROCRACKING"),"Hydrocracker",IF($H11238="REFORMING","Reformer",""))))</f>
        <v/>
      </c>
    </row>
    <row r="11239" spans="6:7">
      <c r="F11239" s="6">
        <f>IF($M11239="PADD I","PADD 1",IF($M11239="PADD II","PADD 2",IF($M11239="PADD III","PADD 3",IF($M11239="PADD IV","PADD 4",IF($M11239="PADD V","PADD 5","")))))</f>
        <v/>
      </c>
      <c r="G11239" s="6">
        <f>IF(AND($H11239="ATMOS DISTILLATION",ISNUMBER(SEARCH("VPS",$I11239))=FALSE,LEFT($I11239,6)&lt;&gt;"VACUUM"),"CDU",IF($H11239="FLUID CAT CRACKING","FCC",IF(OR($H11239="HYDROCRACKING",$H11239="RESID_HYDROCRACKING"),"Hydrocracker",IF($H11239="REFORMING","Reformer",""))))</f>
        <v/>
      </c>
    </row>
    <row r="11240" spans="6:7">
      <c r="F11240" s="6">
        <f>IF($M11240="PADD I","PADD 1",IF($M11240="PADD II","PADD 2",IF($M11240="PADD III","PADD 3",IF($M11240="PADD IV","PADD 4",IF($M11240="PADD V","PADD 5","")))))</f>
        <v/>
      </c>
      <c r="G11240" s="6">
        <f>IF(AND($H11240="ATMOS DISTILLATION",ISNUMBER(SEARCH("VPS",$I11240))=FALSE,LEFT($I11240,6)&lt;&gt;"VACUUM"),"CDU",IF($H11240="FLUID CAT CRACKING","FCC",IF(OR($H11240="HYDROCRACKING",$H11240="RESID_HYDROCRACKING"),"Hydrocracker",IF($H11240="REFORMING","Reformer",""))))</f>
        <v/>
      </c>
    </row>
    <row r="11241" spans="6:7">
      <c r="F11241" s="6">
        <f>IF($M11241="PADD I","PADD 1",IF($M11241="PADD II","PADD 2",IF($M11241="PADD III","PADD 3",IF($M11241="PADD IV","PADD 4",IF($M11241="PADD V","PADD 5","")))))</f>
        <v/>
      </c>
      <c r="G11241" s="6">
        <f>IF(AND($H11241="ATMOS DISTILLATION",ISNUMBER(SEARCH("VPS",$I11241))=FALSE,LEFT($I11241,6)&lt;&gt;"VACUUM"),"CDU",IF($H11241="FLUID CAT CRACKING","FCC",IF(OR($H11241="HYDROCRACKING",$H11241="RESID_HYDROCRACKING"),"Hydrocracker",IF($H11241="REFORMING","Reformer",""))))</f>
        <v/>
      </c>
    </row>
    <row r="11242" spans="6:7">
      <c r="F11242" s="6">
        <f>IF($M11242="PADD I","PADD 1",IF($M11242="PADD II","PADD 2",IF($M11242="PADD III","PADD 3",IF($M11242="PADD IV","PADD 4",IF($M11242="PADD V","PADD 5","")))))</f>
        <v/>
      </c>
      <c r="G11242" s="6">
        <f>IF(AND($H11242="ATMOS DISTILLATION",ISNUMBER(SEARCH("VPS",$I11242))=FALSE,LEFT($I11242,6)&lt;&gt;"VACUUM"),"CDU",IF($H11242="FLUID CAT CRACKING","FCC",IF(OR($H11242="HYDROCRACKING",$H11242="RESID_HYDROCRACKING"),"Hydrocracker",IF($H11242="REFORMING","Reformer",""))))</f>
        <v/>
      </c>
    </row>
    <row r="11243" spans="6:7">
      <c r="F11243" s="6">
        <f>IF($M11243="PADD I","PADD 1",IF($M11243="PADD II","PADD 2",IF($M11243="PADD III","PADD 3",IF($M11243="PADD IV","PADD 4",IF($M11243="PADD V","PADD 5","")))))</f>
        <v/>
      </c>
      <c r="G11243" s="6">
        <f>IF(AND($H11243="ATMOS DISTILLATION",ISNUMBER(SEARCH("VPS",$I11243))=FALSE,LEFT($I11243,6)&lt;&gt;"VACUUM"),"CDU",IF($H11243="FLUID CAT CRACKING","FCC",IF(OR($H11243="HYDROCRACKING",$H11243="RESID_HYDROCRACKING"),"Hydrocracker",IF($H11243="REFORMING","Reformer",""))))</f>
        <v/>
      </c>
    </row>
    <row r="11244" spans="6:7">
      <c r="F11244" s="6">
        <f>IF($M11244="PADD I","PADD 1",IF($M11244="PADD II","PADD 2",IF($M11244="PADD III","PADD 3",IF($M11244="PADD IV","PADD 4",IF($M11244="PADD V","PADD 5","")))))</f>
        <v/>
      </c>
      <c r="G11244" s="6">
        <f>IF(AND($H11244="ATMOS DISTILLATION",ISNUMBER(SEARCH("VPS",$I11244))=FALSE,LEFT($I11244,6)&lt;&gt;"VACUUM"),"CDU",IF($H11244="FLUID CAT CRACKING","FCC",IF(OR($H11244="HYDROCRACKING",$H11244="RESID_HYDROCRACKING"),"Hydrocracker",IF($H11244="REFORMING","Reformer",""))))</f>
        <v/>
      </c>
    </row>
    <row r="11245" spans="6:7">
      <c r="F11245" s="6">
        <f>IF($M11245="PADD I","PADD 1",IF($M11245="PADD II","PADD 2",IF($M11245="PADD III","PADD 3",IF($M11245="PADD IV","PADD 4",IF($M11245="PADD V","PADD 5","")))))</f>
        <v/>
      </c>
      <c r="G11245" s="6">
        <f>IF(AND($H11245="ATMOS DISTILLATION",ISNUMBER(SEARCH("VPS",$I11245))=FALSE,LEFT($I11245,6)&lt;&gt;"VACUUM"),"CDU",IF($H11245="FLUID CAT CRACKING","FCC",IF(OR($H11245="HYDROCRACKING",$H11245="RESID_HYDROCRACKING"),"Hydrocracker",IF($H11245="REFORMING","Reformer",""))))</f>
        <v/>
      </c>
    </row>
    <row r="11246" spans="6:7">
      <c r="F11246" s="6">
        <f>IF($M11246="PADD I","PADD 1",IF($M11246="PADD II","PADD 2",IF($M11246="PADD III","PADD 3",IF($M11246="PADD IV","PADD 4",IF($M11246="PADD V","PADD 5","")))))</f>
        <v/>
      </c>
      <c r="G11246" s="6">
        <f>IF(AND($H11246="ATMOS DISTILLATION",ISNUMBER(SEARCH("VPS",$I11246))=FALSE,LEFT($I11246,6)&lt;&gt;"VACUUM"),"CDU",IF($H11246="FLUID CAT CRACKING","FCC",IF(OR($H11246="HYDROCRACKING",$H11246="RESID_HYDROCRACKING"),"Hydrocracker",IF($H11246="REFORMING","Reformer",""))))</f>
        <v/>
      </c>
    </row>
    <row r="11247" spans="6:7">
      <c r="F11247" s="6">
        <f>IF($M11247="PADD I","PADD 1",IF($M11247="PADD II","PADD 2",IF($M11247="PADD III","PADD 3",IF($M11247="PADD IV","PADD 4",IF($M11247="PADD V","PADD 5","")))))</f>
        <v/>
      </c>
      <c r="G11247" s="6">
        <f>IF(AND($H11247="ATMOS DISTILLATION",ISNUMBER(SEARCH("VPS",$I11247))=FALSE,LEFT($I11247,6)&lt;&gt;"VACUUM"),"CDU",IF($H11247="FLUID CAT CRACKING","FCC",IF(OR($H11247="HYDROCRACKING",$H11247="RESID_HYDROCRACKING"),"Hydrocracker",IF($H11247="REFORMING","Reformer",""))))</f>
        <v/>
      </c>
    </row>
    <row r="11248" spans="6:7">
      <c r="F11248" s="6">
        <f>IF($M11248="PADD I","PADD 1",IF($M11248="PADD II","PADD 2",IF($M11248="PADD III","PADD 3",IF($M11248="PADD IV","PADD 4",IF($M11248="PADD V","PADD 5","")))))</f>
        <v/>
      </c>
      <c r="G11248" s="6">
        <f>IF(AND($H11248="ATMOS DISTILLATION",ISNUMBER(SEARCH("VPS",$I11248))=FALSE,LEFT($I11248,6)&lt;&gt;"VACUUM"),"CDU",IF($H11248="FLUID CAT CRACKING","FCC",IF(OR($H11248="HYDROCRACKING",$H11248="RESID_HYDROCRACKING"),"Hydrocracker",IF($H11248="REFORMING","Reformer",""))))</f>
        <v/>
      </c>
    </row>
    <row r="11249" spans="6:7">
      <c r="F11249" s="6">
        <f>IF($M11249="PADD I","PADD 1",IF($M11249="PADD II","PADD 2",IF($M11249="PADD III","PADD 3",IF($M11249="PADD IV","PADD 4",IF($M11249="PADD V","PADD 5","")))))</f>
        <v/>
      </c>
      <c r="G11249" s="6">
        <f>IF(AND($H11249="ATMOS DISTILLATION",ISNUMBER(SEARCH("VPS",$I11249))=FALSE,LEFT($I11249,6)&lt;&gt;"VACUUM"),"CDU",IF($H11249="FLUID CAT CRACKING","FCC",IF(OR($H11249="HYDROCRACKING",$H11249="RESID_HYDROCRACKING"),"Hydrocracker",IF($H11249="REFORMING","Reformer",""))))</f>
        <v/>
      </c>
    </row>
    <row r="11250" spans="6:7">
      <c r="F11250" s="6">
        <f>IF($M11250="PADD I","PADD 1",IF($M11250="PADD II","PADD 2",IF($M11250="PADD III","PADD 3",IF($M11250="PADD IV","PADD 4",IF($M11250="PADD V","PADD 5","")))))</f>
        <v/>
      </c>
      <c r="G11250" s="6">
        <f>IF(AND($H11250="ATMOS DISTILLATION",ISNUMBER(SEARCH("VPS",$I11250))=FALSE,LEFT($I11250,6)&lt;&gt;"VACUUM"),"CDU",IF($H11250="FLUID CAT CRACKING","FCC",IF(OR($H11250="HYDROCRACKING",$H11250="RESID_HYDROCRACKING"),"Hydrocracker",IF($H11250="REFORMING","Reformer",""))))</f>
        <v/>
      </c>
    </row>
    <row r="11251" spans="6:7">
      <c r="F11251" s="6">
        <f>IF($M11251="PADD I","PADD 1",IF($M11251="PADD II","PADD 2",IF($M11251="PADD III","PADD 3",IF($M11251="PADD IV","PADD 4",IF($M11251="PADD V","PADD 5","")))))</f>
        <v/>
      </c>
      <c r="G11251" s="6">
        <f>IF(AND($H11251="ATMOS DISTILLATION",ISNUMBER(SEARCH("VPS",$I11251))=FALSE,LEFT($I11251,6)&lt;&gt;"VACUUM"),"CDU",IF($H11251="FLUID CAT CRACKING","FCC",IF(OR($H11251="HYDROCRACKING",$H11251="RESID_HYDROCRACKING"),"Hydrocracker",IF($H11251="REFORMING","Reformer",""))))</f>
        <v/>
      </c>
    </row>
    <row r="11252" spans="6:7">
      <c r="F11252" s="6">
        <f>IF($M11252="PADD I","PADD 1",IF($M11252="PADD II","PADD 2",IF($M11252="PADD III","PADD 3",IF($M11252="PADD IV","PADD 4",IF($M11252="PADD V","PADD 5","")))))</f>
        <v/>
      </c>
      <c r="G11252" s="6">
        <f>IF(AND($H11252="ATMOS DISTILLATION",ISNUMBER(SEARCH("VPS",$I11252))=FALSE,LEFT($I11252,6)&lt;&gt;"VACUUM"),"CDU",IF($H11252="FLUID CAT CRACKING","FCC",IF(OR($H11252="HYDROCRACKING",$H11252="RESID_HYDROCRACKING"),"Hydrocracker",IF($H11252="REFORMING","Reformer",""))))</f>
        <v/>
      </c>
    </row>
    <row r="11253" spans="6:7">
      <c r="F11253" s="6">
        <f>IF($M11253="PADD I","PADD 1",IF($M11253="PADD II","PADD 2",IF($M11253="PADD III","PADD 3",IF($M11253="PADD IV","PADD 4",IF($M11253="PADD V","PADD 5","")))))</f>
        <v/>
      </c>
      <c r="G11253" s="6">
        <f>IF(AND($H11253="ATMOS DISTILLATION",ISNUMBER(SEARCH("VPS",$I11253))=FALSE,LEFT($I11253,6)&lt;&gt;"VACUUM"),"CDU",IF($H11253="FLUID CAT CRACKING","FCC",IF(OR($H11253="HYDROCRACKING",$H11253="RESID_HYDROCRACKING"),"Hydrocracker",IF($H11253="REFORMING","Reformer",""))))</f>
        <v/>
      </c>
    </row>
    <row r="11254" spans="6:7">
      <c r="F11254" s="6">
        <f>IF($M11254="PADD I","PADD 1",IF($M11254="PADD II","PADD 2",IF($M11254="PADD III","PADD 3",IF($M11254="PADD IV","PADD 4",IF($M11254="PADD V","PADD 5","")))))</f>
        <v/>
      </c>
      <c r="G11254" s="6">
        <f>IF(AND($H11254="ATMOS DISTILLATION",ISNUMBER(SEARCH("VPS",$I11254))=FALSE,LEFT($I11254,6)&lt;&gt;"VACUUM"),"CDU",IF($H11254="FLUID CAT CRACKING","FCC",IF(OR($H11254="HYDROCRACKING",$H11254="RESID_HYDROCRACKING"),"Hydrocracker",IF($H11254="REFORMING","Reformer",""))))</f>
        <v/>
      </c>
    </row>
    <row r="11255" spans="6:7">
      <c r="F11255" s="6">
        <f>IF($M11255="PADD I","PADD 1",IF($M11255="PADD II","PADD 2",IF($M11255="PADD III","PADD 3",IF($M11255="PADD IV","PADD 4",IF($M11255="PADD V","PADD 5","")))))</f>
        <v/>
      </c>
      <c r="G11255" s="6">
        <f>IF(AND($H11255="ATMOS DISTILLATION",ISNUMBER(SEARCH("VPS",$I11255))=FALSE,LEFT($I11255,6)&lt;&gt;"VACUUM"),"CDU",IF($H11255="FLUID CAT CRACKING","FCC",IF(OR($H11255="HYDROCRACKING",$H11255="RESID_HYDROCRACKING"),"Hydrocracker",IF($H11255="REFORMING","Reformer",""))))</f>
        <v/>
      </c>
    </row>
    <row r="11256" spans="6:7">
      <c r="F11256" s="6">
        <f>IF($M11256="PADD I","PADD 1",IF($M11256="PADD II","PADD 2",IF($M11256="PADD III","PADD 3",IF($M11256="PADD IV","PADD 4",IF($M11256="PADD V","PADD 5","")))))</f>
        <v/>
      </c>
      <c r="G11256" s="6">
        <f>IF(AND($H11256="ATMOS DISTILLATION",ISNUMBER(SEARCH("VPS",$I11256))=FALSE,LEFT($I11256,6)&lt;&gt;"VACUUM"),"CDU",IF($H11256="FLUID CAT CRACKING","FCC",IF(OR($H11256="HYDROCRACKING",$H11256="RESID_HYDROCRACKING"),"Hydrocracker",IF($H11256="REFORMING","Reformer",""))))</f>
        <v/>
      </c>
    </row>
    <row r="11257" spans="6:7">
      <c r="F11257" s="6">
        <f>IF($M11257="PADD I","PADD 1",IF($M11257="PADD II","PADD 2",IF($M11257="PADD III","PADD 3",IF($M11257="PADD IV","PADD 4",IF($M11257="PADD V","PADD 5","")))))</f>
        <v/>
      </c>
      <c r="G11257" s="6">
        <f>IF(AND($H11257="ATMOS DISTILLATION",ISNUMBER(SEARCH("VPS",$I11257))=FALSE,LEFT($I11257,6)&lt;&gt;"VACUUM"),"CDU",IF($H11257="FLUID CAT CRACKING","FCC",IF(OR($H11257="HYDROCRACKING",$H11257="RESID_HYDROCRACKING"),"Hydrocracker",IF($H11257="REFORMING","Reformer",""))))</f>
        <v/>
      </c>
    </row>
    <row r="11258" spans="6:7">
      <c r="F11258" s="6">
        <f>IF($M11258="PADD I","PADD 1",IF($M11258="PADD II","PADD 2",IF($M11258="PADD III","PADD 3",IF($M11258="PADD IV","PADD 4",IF($M11258="PADD V","PADD 5","")))))</f>
        <v/>
      </c>
      <c r="G11258" s="6">
        <f>IF(AND($H11258="ATMOS DISTILLATION",ISNUMBER(SEARCH("VPS",$I11258))=FALSE,LEFT($I11258,6)&lt;&gt;"VACUUM"),"CDU",IF($H11258="FLUID CAT CRACKING","FCC",IF(OR($H11258="HYDROCRACKING",$H11258="RESID_HYDROCRACKING"),"Hydrocracker",IF($H11258="REFORMING","Reformer",""))))</f>
        <v/>
      </c>
    </row>
    <row r="11259" spans="6:7">
      <c r="F11259" s="6">
        <f>IF($M11259="PADD I","PADD 1",IF($M11259="PADD II","PADD 2",IF($M11259="PADD III","PADD 3",IF($M11259="PADD IV","PADD 4",IF($M11259="PADD V","PADD 5","")))))</f>
        <v/>
      </c>
      <c r="G11259" s="6">
        <f>IF(AND($H11259="ATMOS DISTILLATION",ISNUMBER(SEARCH("VPS",$I11259))=FALSE,LEFT($I11259,6)&lt;&gt;"VACUUM"),"CDU",IF($H11259="FLUID CAT CRACKING","FCC",IF(OR($H11259="HYDROCRACKING",$H11259="RESID_HYDROCRACKING"),"Hydrocracker",IF($H11259="REFORMING","Reformer",""))))</f>
        <v/>
      </c>
    </row>
    <row r="11260" spans="6:7">
      <c r="F11260" s="6">
        <f>IF($M11260="PADD I","PADD 1",IF($M11260="PADD II","PADD 2",IF($M11260="PADD III","PADD 3",IF($M11260="PADD IV","PADD 4",IF($M11260="PADD V","PADD 5","")))))</f>
        <v/>
      </c>
      <c r="G11260" s="6">
        <f>IF(AND($H11260="ATMOS DISTILLATION",ISNUMBER(SEARCH("VPS",$I11260))=FALSE,LEFT($I11260,6)&lt;&gt;"VACUUM"),"CDU",IF($H11260="FLUID CAT CRACKING","FCC",IF(OR($H11260="HYDROCRACKING",$H11260="RESID_HYDROCRACKING"),"Hydrocracker",IF($H11260="REFORMING","Reformer",""))))</f>
        <v/>
      </c>
    </row>
    <row r="11261" spans="6:7">
      <c r="F11261" s="6">
        <f>IF($M11261="PADD I","PADD 1",IF($M11261="PADD II","PADD 2",IF($M11261="PADD III","PADD 3",IF($M11261="PADD IV","PADD 4",IF($M11261="PADD V","PADD 5","")))))</f>
        <v/>
      </c>
      <c r="G11261" s="6">
        <f>IF(AND($H11261="ATMOS DISTILLATION",ISNUMBER(SEARCH("VPS",$I11261))=FALSE,LEFT($I11261,6)&lt;&gt;"VACUUM"),"CDU",IF($H11261="FLUID CAT CRACKING","FCC",IF(OR($H11261="HYDROCRACKING",$H11261="RESID_HYDROCRACKING"),"Hydrocracker",IF($H11261="REFORMING","Reformer",""))))</f>
        <v/>
      </c>
    </row>
    <row r="11262" spans="6:7">
      <c r="F11262" s="6">
        <f>IF($M11262="PADD I","PADD 1",IF($M11262="PADD II","PADD 2",IF($M11262="PADD III","PADD 3",IF($M11262="PADD IV","PADD 4",IF($M11262="PADD V","PADD 5","")))))</f>
        <v/>
      </c>
      <c r="G11262" s="6">
        <f>IF(AND($H11262="ATMOS DISTILLATION",ISNUMBER(SEARCH("VPS",$I11262))=FALSE,LEFT($I11262,6)&lt;&gt;"VACUUM"),"CDU",IF($H11262="FLUID CAT CRACKING","FCC",IF(OR($H11262="HYDROCRACKING",$H11262="RESID_HYDROCRACKING"),"Hydrocracker",IF($H11262="REFORMING","Reformer",""))))</f>
        <v/>
      </c>
    </row>
    <row r="11263" spans="6:7">
      <c r="F11263" s="6">
        <f>IF($M11263="PADD I","PADD 1",IF($M11263="PADD II","PADD 2",IF($M11263="PADD III","PADD 3",IF($M11263="PADD IV","PADD 4",IF($M11263="PADD V","PADD 5","")))))</f>
        <v/>
      </c>
      <c r="G11263" s="6">
        <f>IF(AND($H11263="ATMOS DISTILLATION",ISNUMBER(SEARCH("VPS",$I11263))=FALSE,LEFT($I11263,6)&lt;&gt;"VACUUM"),"CDU",IF($H11263="FLUID CAT CRACKING","FCC",IF(OR($H11263="HYDROCRACKING",$H11263="RESID_HYDROCRACKING"),"Hydrocracker",IF($H11263="REFORMING","Reformer",""))))</f>
        <v/>
      </c>
    </row>
    <row r="11264" spans="6:7">
      <c r="F11264" s="6">
        <f>IF($M11264="PADD I","PADD 1",IF($M11264="PADD II","PADD 2",IF($M11264="PADD III","PADD 3",IF($M11264="PADD IV","PADD 4",IF($M11264="PADD V","PADD 5","")))))</f>
        <v/>
      </c>
      <c r="G11264" s="6">
        <f>IF(AND($H11264="ATMOS DISTILLATION",ISNUMBER(SEARCH("VPS",$I11264))=FALSE,LEFT($I11264,6)&lt;&gt;"VACUUM"),"CDU",IF($H11264="FLUID CAT CRACKING","FCC",IF(OR($H11264="HYDROCRACKING",$H11264="RESID_HYDROCRACKING"),"Hydrocracker",IF($H11264="REFORMING","Reformer",""))))</f>
        <v/>
      </c>
    </row>
    <row r="11265" spans="6:7">
      <c r="F11265" s="6">
        <f>IF($M11265="PADD I","PADD 1",IF($M11265="PADD II","PADD 2",IF($M11265="PADD III","PADD 3",IF($M11265="PADD IV","PADD 4",IF($M11265="PADD V","PADD 5","")))))</f>
        <v/>
      </c>
      <c r="G11265" s="6">
        <f>IF(AND($H11265="ATMOS DISTILLATION",ISNUMBER(SEARCH("VPS",$I11265))=FALSE,LEFT($I11265,6)&lt;&gt;"VACUUM"),"CDU",IF($H11265="FLUID CAT CRACKING","FCC",IF(OR($H11265="HYDROCRACKING",$H11265="RESID_HYDROCRACKING"),"Hydrocracker",IF($H11265="REFORMING","Reformer",""))))</f>
        <v/>
      </c>
    </row>
    <row r="11266" spans="6:7">
      <c r="F11266" s="6">
        <f>IF($M11266="PADD I","PADD 1",IF($M11266="PADD II","PADD 2",IF($M11266="PADD III","PADD 3",IF($M11266="PADD IV","PADD 4",IF($M11266="PADD V","PADD 5","")))))</f>
        <v/>
      </c>
      <c r="G11266" s="6">
        <f>IF(AND($H11266="ATMOS DISTILLATION",ISNUMBER(SEARCH("VPS",$I11266))=FALSE,LEFT($I11266,6)&lt;&gt;"VACUUM"),"CDU",IF($H11266="FLUID CAT CRACKING","FCC",IF(OR($H11266="HYDROCRACKING",$H11266="RESID_HYDROCRACKING"),"Hydrocracker",IF($H11266="REFORMING","Reformer",""))))</f>
        <v/>
      </c>
    </row>
    <row r="11267" spans="6:7">
      <c r="F11267" s="6">
        <f>IF($M11267="PADD I","PADD 1",IF($M11267="PADD II","PADD 2",IF($M11267="PADD III","PADD 3",IF($M11267="PADD IV","PADD 4",IF($M11267="PADD V","PADD 5","")))))</f>
        <v/>
      </c>
      <c r="G11267" s="6">
        <f>IF(AND($H11267="ATMOS DISTILLATION",ISNUMBER(SEARCH("VPS",$I11267))=FALSE,LEFT($I11267,6)&lt;&gt;"VACUUM"),"CDU",IF($H11267="FLUID CAT CRACKING","FCC",IF(OR($H11267="HYDROCRACKING",$H11267="RESID_HYDROCRACKING"),"Hydrocracker",IF($H11267="REFORMING","Reformer",""))))</f>
        <v/>
      </c>
    </row>
    <row r="11268" spans="6:7">
      <c r="F11268" s="6">
        <f>IF($M11268="PADD I","PADD 1",IF($M11268="PADD II","PADD 2",IF($M11268="PADD III","PADD 3",IF($M11268="PADD IV","PADD 4",IF($M11268="PADD V","PADD 5","")))))</f>
        <v/>
      </c>
      <c r="G11268" s="6">
        <f>IF(AND($H11268="ATMOS DISTILLATION",ISNUMBER(SEARCH("VPS",$I11268))=FALSE,LEFT($I11268,6)&lt;&gt;"VACUUM"),"CDU",IF($H11268="FLUID CAT CRACKING","FCC",IF(OR($H11268="HYDROCRACKING",$H11268="RESID_HYDROCRACKING"),"Hydrocracker",IF($H11268="REFORMING","Reformer",""))))</f>
        <v/>
      </c>
    </row>
    <row r="11269" spans="6:7">
      <c r="F11269" s="6">
        <f>IF($M11269="PADD I","PADD 1",IF($M11269="PADD II","PADD 2",IF($M11269="PADD III","PADD 3",IF($M11269="PADD IV","PADD 4",IF($M11269="PADD V","PADD 5","")))))</f>
        <v/>
      </c>
      <c r="G11269" s="6">
        <f>IF(AND($H11269="ATMOS DISTILLATION",ISNUMBER(SEARCH("VPS",$I11269))=FALSE,LEFT($I11269,6)&lt;&gt;"VACUUM"),"CDU",IF($H11269="FLUID CAT CRACKING","FCC",IF(OR($H11269="HYDROCRACKING",$H11269="RESID_HYDROCRACKING"),"Hydrocracker",IF($H11269="REFORMING","Reformer",""))))</f>
        <v/>
      </c>
    </row>
    <row r="11270" spans="6:7">
      <c r="F11270" s="6">
        <f>IF($M11270="PADD I","PADD 1",IF($M11270="PADD II","PADD 2",IF($M11270="PADD III","PADD 3",IF($M11270="PADD IV","PADD 4",IF($M11270="PADD V","PADD 5","")))))</f>
        <v/>
      </c>
      <c r="G11270" s="6">
        <f>IF(AND($H11270="ATMOS DISTILLATION",ISNUMBER(SEARCH("VPS",$I11270))=FALSE,LEFT($I11270,6)&lt;&gt;"VACUUM"),"CDU",IF($H11270="FLUID CAT CRACKING","FCC",IF(OR($H11270="HYDROCRACKING",$H11270="RESID_HYDROCRACKING"),"Hydrocracker",IF($H11270="REFORMING","Reformer",""))))</f>
        <v/>
      </c>
    </row>
    <row r="11271" spans="6:7">
      <c r="F11271" s="6">
        <f>IF($M11271="PADD I","PADD 1",IF($M11271="PADD II","PADD 2",IF($M11271="PADD III","PADD 3",IF($M11271="PADD IV","PADD 4",IF($M11271="PADD V","PADD 5","")))))</f>
        <v/>
      </c>
      <c r="G11271" s="6">
        <f>IF(AND($H11271="ATMOS DISTILLATION",ISNUMBER(SEARCH("VPS",$I11271))=FALSE,LEFT($I11271,6)&lt;&gt;"VACUUM"),"CDU",IF($H11271="FLUID CAT CRACKING","FCC",IF(OR($H11271="HYDROCRACKING",$H11271="RESID_HYDROCRACKING"),"Hydrocracker",IF($H11271="REFORMING","Reformer",""))))</f>
        <v/>
      </c>
    </row>
    <row r="11272" spans="6:7">
      <c r="F11272" s="6">
        <f>IF($M11272="PADD I","PADD 1",IF($M11272="PADD II","PADD 2",IF($M11272="PADD III","PADD 3",IF($M11272="PADD IV","PADD 4",IF($M11272="PADD V","PADD 5","")))))</f>
        <v/>
      </c>
      <c r="G11272" s="6">
        <f>IF(AND($H11272="ATMOS DISTILLATION",ISNUMBER(SEARCH("VPS",$I11272))=FALSE,LEFT($I11272,6)&lt;&gt;"VACUUM"),"CDU",IF($H11272="FLUID CAT CRACKING","FCC",IF(OR($H11272="HYDROCRACKING",$H11272="RESID_HYDROCRACKING"),"Hydrocracker",IF($H11272="REFORMING","Reformer",""))))</f>
        <v/>
      </c>
    </row>
    <row r="11273" spans="6:7">
      <c r="F11273" s="6">
        <f>IF($M11273="PADD I","PADD 1",IF($M11273="PADD II","PADD 2",IF($M11273="PADD III","PADD 3",IF($M11273="PADD IV","PADD 4",IF($M11273="PADD V","PADD 5","")))))</f>
        <v/>
      </c>
      <c r="G11273" s="6">
        <f>IF(AND($H11273="ATMOS DISTILLATION",ISNUMBER(SEARCH("VPS",$I11273))=FALSE,LEFT($I11273,6)&lt;&gt;"VACUUM"),"CDU",IF($H11273="FLUID CAT CRACKING","FCC",IF(OR($H11273="HYDROCRACKING",$H11273="RESID_HYDROCRACKING"),"Hydrocracker",IF($H11273="REFORMING","Reformer",""))))</f>
        <v/>
      </c>
    </row>
    <row r="11274" spans="6:7">
      <c r="F11274" s="6">
        <f>IF($M11274="PADD I","PADD 1",IF($M11274="PADD II","PADD 2",IF($M11274="PADD III","PADD 3",IF($M11274="PADD IV","PADD 4",IF($M11274="PADD V","PADD 5","")))))</f>
        <v/>
      </c>
      <c r="G11274" s="6">
        <f>IF(AND($H11274="ATMOS DISTILLATION",ISNUMBER(SEARCH("VPS",$I11274))=FALSE,LEFT($I11274,6)&lt;&gt;"VACUUM"),"CDU",IF($H11274="FLUID CAT CRACKING","FCC",IF(OR($H11274="HYDROCRACKING",$H11274="RESID_HYDROCRACKING"),"Hydrocracker",IF($H11274="REFORMING","Reformer",""))))</f>
        <v/>
      </c>
    </row>
    <row r="11275" spans="6:7">
      <c r="F11275" s="6">
        <f>IF($M11275="PADD I","PADD 1",IF($M11275="PADD II","PADD 2",IF($M11275="PADD III","PADD 3",IF($M11275="PADD IV","PADD 4",IF($M11275="PADD V","PADD 5","")))))</f>
        <v/>
      </c>
      <c r="G11275" s="6">
        <f>IF(AND($H11275="ATMOS DISTILLATION",ISNUMBER(SEARCH("VPS",$I11275))=FALSE,LEFT($I11275,6)&lt;&gt;"VACUUM"),"CDU",IF($H11275="FLUID CAT CRACKING","FCC",IF(OR($H11275="HYDROCRACKING",$H11275="RESID_HYDROCRACKING"),"Hydrocracker",IF($H11275="REFORMING","Reformer",""))))</f>
        <v/>
      </c>
    </row>
    <row r="11276" spans="6:7">
      <c r="F11276" s="6">
        <f>IF($M11276="PADD I","PADD 1",IF($M11276="PADD II","PADD 2",IF($M11276="PADD III","PADD 3",IF($M11276="PADD IV","PADD 4",IF($M11276="PADD V","PADD 5","")))))</f>
        <v/>
      </c>
      <c r="G11276" s="6">
        <f>IF(AND($H11276="ATMOS DISTILLATION",ISNUMBER(SEARCH("VPS",$I11276))=FALSE,LEFT($I11276,6)&lt;&gt;"VACUUM"),"CDU",IF($H11276="FLUID CAT CRACKING","FCC",IF(OR($H11276="HYDROCRACKING",$H11276="RESID_HYDROCRACKING"),"Hydrocracker",IF($H11276="REFORMING","Reformer",""))))</f>
        <v/>
      </c>
    </row>
    <row r="11277" spans="6:7">
      <c r="F11277" s="6">
        <f>IF($M11277="PADD I","PADD 1",IF($M11277="PADD II","PADD 2",IF($M11277="PADD III","PADD 3",IF($M11277="PADD IV","PADD 4",IF($M11277="PADD V","PADD 5","")))))</f>
        <v/>
      </c>
      <c r="G11277" s="6">
        <f>IF(AND($H11277="ATMOS DISTILLATION",ISNUMBER(SEARCH("VPS",$I11277))=FALSE,LEFT($I11277,6)&lt;&gt;"VACUUM"),"CDU",IF($H11277="FLUID CAT CRACKING","FCC",IF(OR($H11277="HYDROCRACKING",$H11277="RESID_HYDROCRACKING"),"Hydrocracker",IF($H11277="REFORMING","Reformer",""))))</f>
        <v/>
      </c>
    </row>
    <row r="11278" spans="6:7">
      <c r="F11278" s="6">
        <f>IF($M11278="PADD I","PADD 1",IF($M11278="PADD II","PADD 2",IF($M11278="PADD III","PADD 3",IF($M11278="PADD IV","PADD 4",IF($M11278="PADD V","PADD 5","")))))</f>
        <v/>
      </c>
      <c r="G11278" s="6">
        <f>IF(AND($H11278="ATMOS DISTILLATION",ISNUMBER(SEARCH("VPS",$I11278))=FALSE,LEFT($I11278,6)&lt;&gt;"VACUUM"),"CDU",IF($H11278="FLUID CAT CRACKING","FCC",IF(OR($H11278="HYDROCRACKING",$H11278="RESID_HYDROCRACKING"),"Hydrocracker",IF($H11278="REFORMING","Reformer",""))))</f>
        <v/>
      </c>
    </row>
    <row r="11279" spans="6:7">
      <c r="F11279" s="6">
        <f>IF($M11279="PADD I","PADD 1",IF($M11279="PADD II","PADD 2",IF($M11279="PADD III","PADD 3",IF($M11279="PADD IV","PADD 4",IF($M11279="PADD V","PADD 5","")))))</f>
        <v/>
      </c>
      <c r="G11279" s="6">
        <f>IF(AND($H11279="ATMOS DISTILLATION",ISNUMBER(SEARCH("VPS",$I11279))=FALSE,LEFT($I11279,6)&lt;&gt;"VACUUM"),"CDU",IF($H11279="FLUID CAT CRACKING","FCC",IF(OR($H11279="HYDROCRACKING",$H11279="RESID_HYDROCRACKING"),"Hydrocracker",IF($H11279="REFORMING","Reformer",""))))</f>
        <v/>
      </c>
    </row>
    <row r="11280" spans="6:7">
      <c r="F11280" s="6">
        <f>IF($M11280="PADD I","PADD 1",IF($M11280="PADD II","PADD 2",IF($M11280="PADD III","PADD 3",IF($M11280="PADD IV","PADD 4",IF($M11280="PADD V","PADD 5","")))))</f>
        <v/>
      </c>
      <c r="G11280" s="6">
        <f>IF(AND($H11280="ATMOS DISTILLATION",ISNUMBER(SEARCH("VPS",$I11280))=FALSE,LEFT($I11280,6)&lt;&gt;"VACUUM"),"CDU",IF($H11280="FLUID CAT CRACKING","FCC",IF(OR($H11280="HYDROCRACKING",$H11280="RESID_HYDROCRACKING"),"Hydrocracker",IF($H11280="REFORMING","Reformer",""))))</f>
        <v/>
      </c>
    </row>
    <row r="11281" spans="6:7">
      <c r="F11281" s="6">
        <f>IF($M11281="PADD I","PADD 1",IF($M11281="PADD II","PADD 2",IF($M11281="PADD III","PADD 3",IF($M11281="PADD IV","PADD 4",IF($M11281="PADD V","PADD 5","")))))</f>
        <v/>
      </c>
      <c r="G11281" s="6">
        <f>IF(AND($H11281="ATMOS DISTILLATION",ISNUMBER(SEARCH("VPS",$I11281))=FALSE,LEFT($I11281,6)&lt;&gt;"VACUUM"),"CDU",IF($H11281="FLUID CAT CRACKING","FCC",IF(OR($H11281="HYDROCRACKING",$H11281="RESID_HYDROCRACKING"),"Hydrocracker",IF($H11281="REFORMING","Reformer",""))))</f>
        <v/>
      </c>
    </row>
    <row r="11282" spans="6:7">
      <c r="F11282" s="6">
        <f>IF($M11282="PADD I","PADD 1",IF($M11282="PADD II","PADD 2",IF($M11282="PADD III","PADD 3",IF($M11282="PADD IV","PADD 4",IF($M11282="PADD V","PADD 5","")))))</f>
        <v/>
      </c>
      <c r="G11282" s="6">
        <f>IF(AND($H11282="ATMOS DISTILLATION",ISNUMBER(SEARCH("VPS",$I11282))=FALSE,LEFT($I11282,6)&lt;&gt;"VACUUM"),"CDU",IF($H11282="FLUID CAT CRACKING","FCC",IF(OR($H11282="HYDROCRACKING",$H11282="RESID_HYDROCRACKING"),"Hydrocracker",IF($H11282="REFORMING","Reformer",""))))</f>
        <v/>
      </c>
    </row>
    <row r="11283" spans="6:7">
      <c r="F11283" s="6">
        <f>IF($M11283="PADD I","PADD 1",IF($M11283="PADD II","PADD 2",IF($M11283="PADD III","PADD 3",IF($M11283="PADD IV","PADD 4",IF($M11283="PADD V","PADD 5","")))))</f>
        <v/>
      </c>
      <c r="G11283" s="6">
        <f>IF(AND($H11283="ATMOS DISTILLATION",ISNUMBER(SEARCH("VPS",$I11283))=FALSE,LEFT($I11283,6)&lt;&gt;"VACUUM"),"CDU",IF($H11283="FLUID CAT CRACKING","FCC",IF(OR($H11283="HYDROCRACKING",$H11283="RESID_HYDROCRACKING"),"Hydrocracker",IF($H11283="REFORMING","Reformer",""))))</f>
        <v/>
      </c>
    </row>
    <row r="11284" spans="6:7">
      <c r="F11284" s="6">
        <f>IF($M11284="PADD I","PADD 1",IF($M11284="PADD II","PADD 2",IF($M11284="PADD III","PADD 3",IF($M11284="PADD IV","PADD 4",IF($M11284="PADD V","PADD 5","")))))</f>
        <v/>
      </c>
      <c r="G11284" s="6">
        <f>IF(AND($H11284="ATMOS DISTILLATION",ISNUMBER(SEARCH("VPS",$I11284))=FALSE,LEFT($I11284,6)&lt;&gt;"VACUUM"),"CDU",IF($H11284="FLUID CAT CRACKING","FCC",IF(OR($H11284="HYDROCRACKING",$H11284="RESID_HYDROCRACKING"),"Hydrocracker",IF($H11284="REFORMING","Reformer",""))))</f>
        <v/>
      </c>
    </row>
    <row r="11285" spans="6:7">
      <c r="F11285" s="6">
        <f>IF($M11285="PADD I","PADD 1",IF($M11285="PADD II","PADD 2",IF($M11285="PADD III","PADD 3",IF($M11285="PADD IV","PADD 4",IF($M11285="PADD V","PADD 5","")))))</f>
        <v/>
      </c>
      <c r="G11285" s="6">
        <f>IF(AND($H11285="ATMOS DISTILLATION",ISNUMBER(SEARCH("VPS",$I11285))=FALSE,LEFT($I11285,6)&lt;&gt;"VACUUM"),"CDU",IF($H11285="FLUID CAT CRACKING","FCC",IF(OR($H11285="HYDROCRACKING",$H11285="RESID_HYDROCRACKING"),"Hydrocracker",IF($H11285="REFORMING","Reformer",""))))</f>
        <v/>
      </c>
    </row>
    <row r="11286" spans="6:7">
      <c r="F11286" s="6">
        <f>IF($M11286="PADD I","PADD 1",IF($M11286="PADD II","PADD 2",IF($M11286="PADD III","PADD 3",IF($M11286="PADD IV","PADD 4",IF($M11286="PADD V","PADD 5","")))))</f>
        <v/>
      </c>
      <c r="G11286" s="6">
        <f>IF(AND($H11286="ATMOS DISTILLATION",ISNUMBER(SEARCH("VPS",$I11286))=FALSE,LEFT($I11286,6)&lt;&gt;"VACUUM"),"CDU",IF($H11286="FLUID CAT CRACKING","FCC",IF(OR($H11286="HYDROCRACKING",$H11286="RESID_HYDROCRACKING"),"Hydrocracker",IF($H11286="REFORMING","Reformer",""))))</f>
        <v/>
      </c>
    </row>
    <row r="11287" spans="6:7">
      <c r="F11287" s="6">
        <f>IF($M11287="PADD I","PADD 1",IF($M11287="PADD II","PADD 2",IF($M11287="PADD III","PADD 3",IF($M11287="PADD IV","PADD 4",IF($M11287="PADD V","PADD 5","")))))</f>
        <v/>
      </c>
      <c r="G11287" s="6">
        <f>IF(AND($H11287="ATMOS DISTILLATION",ISNUMBER(SEARCH("VPS",$I11287))=FALSE,LEFT($I11287,6)&lt;&gt;"VACUUM"),"CDU",IF($H11287="FLUID CAT CRACKING","FCC",IF(OR($H11287="HYDROCRACKING",$H11287="RESID_HYDROCRACKING"),"Hydrocracker",IF($H11287="REFORMING","Reformer",""))))</f>
        <v/>
      </c>
    </row>
    <row r="11288" spans="6:7">
      <c r="F11288" s="6">
        <f>IF($M11288="PADD I","PADD 1",IF($M11288="PADD II","PADD 2",IF($M11288="PADD III","PADD 3",IF($M11288="PADD IV","PADD 4",IF($M11288="PADD V","PADD 5","")))))</f>
        <v/>
      </c>
      <c r="G11288" s="6">
        <f>IF(AND($H11288="ATMOS DISTILLATION",ISNUMBER(SEARCH("VPS",$I11288))=FALSE,LEFT($I11288,6)&lt;&gt;"VACUUM"),"CDU",IF($H11288="FLUID CAT CRACKING","FCC",IF(OR($H11288="HYDROCRACKING",$H11288="RESID_HYDROCRACKING"),"Hydrocracker",IF($H11288="REFORMING","Reformer",""))))</f>
        <v/>
      </c>
    </row>
    <row r="11289" spans="6:7">
      <c r="F11289" s="6">
        <f>IF($M11289="PADD I","PADD 1",IF($M11289="PADD II","PADD 2",IF($M11289="PADD III","PADD 3",IF($M11289="PADD IV","PADD 4",IF($M11289="PADD V","PADD 5","")))))</f>
        <v/>
      </c>
      <c r="G11289" s="6">
        <f>IF(AND($H11289="ATMOS DISTILLATION",ISNUMBER(SEARCH("VPS",$I11289))=FALSE,LEFT($I11289,6)&lt;&gt;"VACUUM"),"CDU",IF($H11289="FLUID CAT CRACKING","FCC",IF(OR($H11289="HYDROCRACKING",$H11289="RESID_HYDROCRACKING"),"Hydrocracker",IF($H11289="REFORMING","Reformer",""))))</f>
        <v/>
      </c>
    </row>
    <row r="11290" spans="6:7">
      <c r="F11290" s="6">
        <f>IF($M11290="PADD I","PADD 1",IF($M11290="PADD II","PADD 2",IF($M11290="PADD III","PADD 3",IF($M11290="PADD IV","PADD 4",IF($M11290="PADD V","PADD 5","")))))</f>
        <v/>
      </c>
      <c r="G11290" s="6">
        <f>IF(AND($H11290="ATMOS DISTILLATION",ISNUMBER(SEARCH("VPS",$I11290))=FALSE,LEFT($I11290,6)&lt;&gt;"VACUUM"),"CDU",IF($H11290="FLUID CAT CRACKING","FCC",IF(OR($H11290="HYDROCRACKING",$H11290="RESID_HYDROCRACKING"),"Hydrocracker",IF($H11290="REFORMING","Reformer",""))))</f>
        <v/>
      </c>
    </row>
    <row r="11291" spans="6:7">
      <c r="F11291" s="6">
        <f>IF($M11291="PADD I","PADD 1",IF($M11291="PADD II","PADD 2",IF($M11291="PADD III","PADD 3",IF($M11291="PADD IV","PADD 4",IF($M11291="PADD V","PADD 5","")))))</f>
        <v/>
      </c>
      <c r="G11291" s="6">
        <f>IF(AND($H11291="ATMOS DISTILLATION",ISNUMBER(SEARCH("VPS",$I11291))=FALSE,LEFT($I11291,6)&lt;&gt;"VACUUM"),"CDU",IF($H11291="FLUID CAT CRACKING","FCC",IF(OR($H11291="HYDROCRACKING",$H11291="RESID_HYDROCRACKING"),"Hydrocracker",IF($H11291="REFORMING","Reformer",""))))</f>
        <v/>
      </c>
    </row>
    <row r="11292" spans="6:7">
      <c r="F11292" s="6">
        <f>IF($M11292="PADD I","PADD 1",IF($M11292="PADD II","PADD 2",IF($M11292="PADD III","PADD 3",IF($M11292="PADD IV","PADD 4",IF($M11292="PADD V","PADD 5","")))))</f>
        <v/>
      </c>
      <c r="G11292" s="6">
        <f>IF(AND($H11292="ATMOS DISTILLATION",ISNUMBER(SEARCH("VPS",$I11292))=FALSE,LEFT($I11292,6)&lt;&gt;"VACUUM"),"CDU",IF($H11292="FLUID CAT CRACKING","FCC",IF(OR($H11292="HYDROCRACKING",$H11292="RESID_HYDROCRACKING"),"Hydrocracker",IF($H11292="REFORMING","Reformer",""))))</f>
        <v/>
      </c>
    </row>
    <row r="11293" spans="6:7">
      <c r="F11293" s="6">
        <f>IF($M11293="PADD I","PADD 1",IF($M11293="PADD II","PADD 2",IF($M11293="PADD III","PADD 3",IF($M11293="PADD IV","PADD 4",IF($M11293="PADD V","PADD 5","")))))</f>
        <v/>
      </c>
      <c r="G11293" s="6">
        <f>IF(AND($H11293="ATMOS DISTILLATION",ISNUMBER(SEARCH("VPS",$I11293))=FALSE,LEFT($I11293,6)&lt;&gt;"VACUUM"),"CDU",IF($H11293="FLUID CAT CRACKING","FCC",IF(OR($H11293="HYDROCRACKING",$H11293="RESID_HYDROCRACKING"),"Hydrocracker",IF($H11293="REFORMING","Reformer",""))))</f>
        <v/>
      </c>
    </row>
    <row r="11294" spans="6:7">
      <c r="F11294" s="6">
        <f>IF($M11294="PADD I","PADD 1",IF($M11294="PADD II","PADD 2",IF($M11294="PADD III","PADD 3",IF($M11294="PADD IV","PADD 4",IF($M11294="PADD V","PADD 5","")))))</f>
        <v/>
      </c>
      <c r="G11294" s="6">
        <f>IF(AND($H11294="ATMOS DISTILLATION",ISNUMBER(SEARCH("VPS",$I11294))=FALSE,LEFT($I11294,6)&lt;&gt;"VACUUM"),"CDU",IF($H11294="FLUID CAT CRACKING","FCC",IF(OR($H11294="HYDROCRACKING",$H11294="RESID_HYDROCRACKING"),"Hydrocracker",IF($H11294="REFORMING","Reformer",""))))</f>
        <v/>
      </c>
    </row>
    <row r="11295" spans="6:7">
      <c r="F11295" s="6">
        <f>IF($M11295="PADD I","PADD 1",IF($M11295="PADD II","PADD 2",IF($M11295="PADD III","PADD 3",IF($M11295="PADD IV","PADD 4",IF($M11295="PADD V","PADD 5","")))))</f>
        <v/>
      </c>
      <c r="G11295" s="6">
        <f>IF(AND($H11295="ATMOS DISTILLATION",ISNUMBER(SEARCH("VPS",$I11295))=FALSE,LEFT($I11295,6)&lt;&gt;"VACUUM"),"CDU",IF($H11295="FLUID CAT CRACKING","FCC",IF(OR($H11295="HYDROCRACKING",$H11295="RESID_HYDROCRACKING"),"Hydrocracker",IF($H11295="REFORMING","Reformer",""))))</f>
        <v/>
      </c>
    </row>
    <row r="11296" spans="6:7">
      <c r="F11296" s="6">
        <f>IF($M11296="PADD I","PADD 1",IF($M11296="PADD II","PADD 2",IF($M11296="PADD III","PADD 3",IF($M11296="PADD IV","PADD 4",IF($M11296="PADD V","PADD 5","")))))</f>
        <v/>
      </c>
      <c r="G11296" s="6">
        <f>IF(AND($H11296="ATMOS DISTILLATION",ISNUMBER(SEARCH("VPS",$I11296))=FALSE,LEFT($I11296,6)&lt;&gt;"VACUUM"),"CDU",IF($H11296="FLUID CAT CRACKING","FCC",IF(OR($H11296="HYDROCRACKING",$H11296="RESID_HYDROCRACKING"),"Hydrocracker",IF($H11296="REFORMING","Reformer",""))))</f>
        <v/>
      </c>
    </row>
    <row r="11297" spans="6:7">
      <c r="F11297" s="6">
        <f>IF($M11297="PADD I","PADD 1",IF($M11297="PADD II","PADD 2",IF($M11297="PADD III","PADD 3",IF($M11297="PADD IV","PADD 4",IF($M11297="PADD V","PADD 5","")))))</f>
        <v/>
      </c>
      <c r="G11297" s="6">
        <f>IF(AND($H11297="ATMOS DISTILLATION",ISNUMBER(SEARCH("VPS",$I11297))=FALSE,LEFT($I11297,6)&lt;&gt;"VACUUM"),"CDU",IF($H11297="FLUID CAT CRACKING","FCC",IF(OR($H11297="HYDROCRACKING",$H11297="RESID_HYDROCRACKING"),"Hydrocracker",IF($H11297="REFORMING","Reformer",""))))</f>
        <v/>
      </c>
    </row>
    <row r="11298" spans="6:7">
      <c r="F11298" s="6">
        <f>IF($M11298="PADD I","PADD 1",IF($M11298="PADD II","PADD 2",IF($M11298="PADD III","PADD 3",IF($M11298="PADD IV","PADD 4",IF($M11298="PADD V","PADD 5","")))))</f>
        <v/>
      </c>
      <c r="G11298" s="6">
        <f>IF(AND($H11298="ATMOS DISTILLATION",ISNUMBER(SEARCH("VPS",$I11298))=FALSE,LEFT($I11298,6)&lt;&gt;"VACUUM"),"CDU",IF($H11298="FLUID CAT CRACKING","FCC",IF(OR($H11298="HYDROCRACKING",$H11298="RESID_HYDROCRACKING"),"Hydrocracker",IF($H11298="REFORMING","Reformer",""))))</f>
        <v/>
      </c>
    </row>
    <row r="11299" spans="6:7">
      <c r="F11299" s="6">
        <f>IF($M11299="PADD I","PADD 1",IF($M11299="PADD II","PADD 2",IF($M11299="PADD III","PADD 3",IF($M11299="PADD IV","PADD 4",IF($M11299="PADD V","PADD 5","")))))</f>
        <v/>
      </c>
      <c r="G11299" s="6">
        <f>IF(AND($H11299="ATMOS DISTILLATION",ISNUMBER(SEARCH("VPS",$I11299))=FALSE,LEFT($I11299,6)&lt;&gt;"VACUUM"),"CDU",IF($H11299="FLUID CAT CRACKING","FCC",IF(OR($H11299="HYDROCRACKING",$H11299="RESID_HYDROCRACKING"),"Hydrocracker",IF($H11299="REFORMING","Reformer",""))))</f>
        <v/>
      </c>
    </row>
    <row r="11300" spans="6:7">
      <c r="F11300" s="6">
        <f>IF($M11300="PADD I","PADD 1",IF($M11300="PADD II","PADD 2",IF($M11300="PADD III","PADD 3",IF($M11300="PADD IV","PADD 4",IF($M11300="PADD V","PADD 5","")))))</f>
        <v/>
      </c>
      <c r="G11300" s="6">
        <f>IF(AND($H11300="ATMOS DISTILLATION",ISNUMBER(SEARCH("VPS",$I11300))=FALSE,LEFT($I11300,6)&lt;&gt;"VACUUM"),"CDU",IF($H11300="FLUID CAT CRACKING","FCC",IF(OR($H11300="HYDROCRACKING",$H11300="RESID_HYDROCRACKING"),"Hydrocracker",IF($H11300="REFORMING","Reformer",""))))</f>
        <v/>
      </c>
    </row>
    <row r="11301" spans="6:7">
      <c r="F11301" s="6">
        <f>IF($M11301="PADD I","PADD 1",IF($M11301="PADD II","PADD 2",IF($M11301="PADD III","PADD 3",IF($M11301="PADD IV","PADD 4",IF($M11301="PADD V","PADD 5","")))))</f>
        <v/>
      </c>
      <c r="G11301" s="6">
        <f>IF(AND($H11301="ATMOS DISTILLATION",ISNUMBER(SEARCH("VPS",$I11301))=FALSE,LEFT($I11301,6)&lt;&gt;"VACUUM"),"CDU",IF($H11301="FLUID CAT CRACKING","FCC",IF(OR($H11301="HYDROCRACKING",$H11301="RESID_HYDROCRACKING"),"Hydrocracker",IF($H11301="REFORMING","Reformer",""))))</f>
        <v/>
      </c>
    </row>
    <row r="11302" spans="6:7">
      <c r="F11302" s="6">
        <f>IF($M11302="PADD I","PADD 1",IF($M11302="PADD II","PADD 2",IF($M11302="PADD III","PADD 3",IF($M11302="PADD IV","PADD 4",IF($M11302="PADD V","PADD 5","")))))</f>
        <v/>
      </c>
      <c r="G11302" s="6">
        <f>IF(AND($H11302="ATMOS DISTILLATION",ISNUMBER(SEARCH("VPS",$I11302))=FALSE,LEFT($I11302,6)&lt;&gt;"VACUUM"),"CDU",IF($H11302="FLUID CAT CRACKING","FCC",IF(OR($H11302="HYDROCRACKING",$H11302="RESID_HYDROCRACKING"),"Hydrocracker",IF($H11302="REFORMING","Reformer",""))))</f>
        <v/>
      </c>
    </row>
    <row r="11303" spans="6:7">
      <c r="F11303" s="6">
        <f>IF($M11303="PADD I","PADD 1",IF($M11303="PADD II","PADD 2",IF($M11303="PADD III","PADD 3",IF($M11303="PADD IV","PADD 4",IF($M11303="PADD V","PADD 5","")))))</f>
        <v/>
      </c>
      <c r="G11303" s="6">
        <f>IF(AND($H11303="ATMOS DISTILLATION",ISNUMBER(SEARCH("VPS",$I11303))=FALSE,LEFT($I11303,6)&lt;&gt;"VACUUM"),"CDU",IF($H11303="FLUID CAT CRACKING","FCC",IF(OR($H11303="HYDROCRACKING",$H11303="RESID_HYDROCRACKING"),"Hydrocracker",IF($H11303="REFORMING","Reformer",""))))</f>
        <v/>
      </c>
    </row>
    <row r="11304" spans="6:7">
      <c r="F11304" s="6">
        <f>IF($M11304="PADD I","PADD 1",IF($M11304="PADD II","PADD 2",IF($M11304="PADD III","PADD 3",IF($M11304="PADD IV","PADD 4",IF($M11304="PADD V","PADD 5","")))))</f>
        <v/>
      </c>
      <c r="G11304" s="6">
        <f>IF(AND($H11304="ATMOS DISTILLATION",ISNUMBER(SEARCH("VPS",$I11304))=FALSE,LEFT($I11304,6)&lt;&gt;"VACUUM"),"CDU",IF($H11304="FLUID CAT CRACKING","FCC",IF(OR($H11304="HYDROCRACKING",$H11304="RESID_HYDROCRACKING"),"Hydrocracker",IF($H11304="REFORMING","Reformer",""))))</f>
        <v/>
      </c>
    </row>
    <row r="11305" spans="6:7">
      <c r="F11305" s="6">
        <f>IF($M11305="PADD I","PADD 1",IF($M11305="PADD II","PADD 2",IF($M11305="PADD III","PADD 3",IF($M11305="PADD IV","PADD 4",IF($M11305="PADD V","PADD 5","")))))</f>
        <v/>
      </c>
      <c r="G11305" s="6">
        <f>IF(AND($H11305="ATMOS DISTILLATION",ISNUMBER(SEARCH("VPS",$I11305))=FALSE,LEFT($I11305,6)&lt;&gt;"VACUUM"),"CDU",IF($H11305="FLUID CAT CRACKING","FCC",IF(OR($H11305="HYDROCRACKING",$H11305="RESID_HYDROCRACKING"),"Hydrocracker",IF($H11305="REFORMING","Reformer",""))))</f>
        <v/>
      </c>
    </row>
    <row r="11306" spans="6:7">
      <c r="F11306" s="6">
        <f>IF($M11306="PADD I","PADD 1",IF($M11306="PADD II","PADD 2",IF($M11306="PADD III","PADD 3",IF($M11306="PADD IV","PADD 4",IF($M11306="PADD V","PADD 5","")))))</f>
        <v/>
      </c>
      <c r="G11306" s="6">
        <f>IF(AND($H11306="ATMOS DISTILLATION",ISNUMBER(SEARCH("VPS",$I11306))=FALSE,LEFT($I11306,6)&lt;&gt;"VACUUM"),"CDU",IF($H11306="FLUID CAT CRACKING","FCC",IF(OR($H11306="HYDROCRACKING",$H11306="RESID_HYDROCRACKING"),"Hydrocracker",IF($H11306="REFORMING","Reformer",""))))</f>
        <v/>
      </c>
    </row>
    <row r="11307" spans="6:7">
      <c r="F11307" s="6">
        <f>IF($M11307="PADD I","PADD 1",IF($M11307="PADD II","PADD 2",IF($M11307="PADD III","PADD 3",IF($M11307="PADD IV","PADD 4",IF($M11307="PADD V","PADD 5","")))))</f>
        <v/>
      </c>
      <c r="G11307" s="6">
        <f>IF(AND($H11307="ATMOS DISTILLATION",ISNUMBER(SEARCH("VPS",$I11307))=FALSE,LEFT($I11307,6)&lt;&gt;"VACUUM"),"CDU",IF($H11307="FLUID CAT CRACKING","FCC",IF(OR($H11307="HYDROCRACKING",$H11307="RESID_HYDROCRACKING"),"Hydrocracker",IF($H11307="REFORMING","Reformer",""))))</f>
        <v/>
      </c>
    </row>
    <row r="11308" spans="6:7">
      <c r="F11308" s="6">
        <f>IF($M11308="PADD I","PADD 1",IF($M11308="PADD II","PADD 2",IF($M11308="PADD III","PADD 3",IF($M11308="PADD IV","PADD 4",IF($M11308="PADD V","PADD 5","")))))</f>
        <v/>
      </c>
      <c r="G11308" s="6">
        <f>IF(AND($H11308="ATMOS DISTILLATION",ISNUMBER(SEARCH("VPS",$I11308))=FALSE,LEFT($I11308,6)&lt;&gt;"VACUUM"),"CDU",IF($H11308="FLUID CAT CRACKING","FCC",IF(OR($H11308="HYDROCRACKING",$H11308="RESID_HYDROCRACKING"),"Hydrocracker",IF($H11308="REFORMING","Reformer",""))))</f>
        <v/>
      </c>
    </row>
    <row r="11309" spans="6:7">
      <c r="F11309" s="6">
        <f>IF($M11309="PADD I","PADD 1",IF($M11309="PADD II","PADD 2",IF($M11309="PADD III","PADD 3",IF($M11309="PADD IV","PADD 4",IF($M11309="PADD V","PADD 5","")))))</f>
        <v/>
      </c>
      <c r="G11309" s="6">
        <f>IF(AND($H11309="ATMOS DISTILLATION",ISNUMBER(SEARCH("VPS",$I11309))=FALSE,LEFT($I11309,6)&lt;&gt;"VACUUM"),"CDU",IF($H11309="FLUID CAT CRACKING","FCC",IF(OR($H11309="HYDROCRACKING",$H11309="RESID_HYDROCRACKING"),"Hydrocracker",IF($H11309="REFORMING","Reformer",""))))</f>
        <v/>
      </c>
    </row>
    <row r="11310" spans="6:7">
      <c r="F11310" s="6">
        <f>IF($M11310="PADD I","PADD 1",IF($M11310="PADD II","PADD 2",IF($M11310="PADD III","PADD 3",IF($M11310="PADD IV","PADD 4",IF($M11310="PADD V","PADD 5","")))))</f>
        <v/>
      </c>
      <c r="G11310" s="6">
        <f>IF(AND($H11310="ATMOS DISTILLATION",ISNUMBER(SEARCH("VPS",$I11310))=FALSE,LEFT($I11310,6)&lt;&gt;"VACUUM"),"CDU",IF($H11310="FLUID CAT CRACKING","FCC",IF(OR($H11310="HYDROCRACKING",$H11310="RESID_HYDROCRACKING"),"Hydrocracker",IF($H11310="REFORMING","Reformer",""))))</f>
        <v/>
      </c>
    </row>
    <row r="11311" spans="6:7">
      <c r="F11311" s="6">
        <f>IF($M11311="PADD I","PADD 1",IF($M11311="PADD II","PADD 2",IF($M11311="PADD III","PADD 3",IF($M11311="PADD IV","PADD 4",IF($M11311="PADD V","PADD 5","")))))</f>
        <v/>
      </c>
      <c r="G11311" s="6">
        <f>IF(AND($H11311="ATMOS DISTILLATION",ISNUMBER(SEARCH("VPS",$I11311))=FALSE,LEFT($I11311,6)&lt;&gt;"VACUUM"),"CDU",IF($H11311="FLUID CAT CRACKING","FCC",IF(OR($H11311="HYDROCRACKING",$H11311="RESID_HYDROCRACKING"),"Hydrocracker",IF($H11311="REFORMING","Reformer",""))))</f>
        <v/>
      </c>
    </row>
    <row r="11312" spans="6:7">
      <c r="F11312" s="6">
        <f>IF($M11312="PADD I","PADD 1",IF($M11312="PADD II","PADD 2",IF($M11312="PADD III","PADD 3",IF($M11312="PADD IV","PADD 4",IF($M11312="PADD V","PADD 5","")))))</f>
        <v/>
      </c>
      <c r="G11312" s="6">
        <f>IF(AND($H11312="ATMOS DISTILLATION",ISNUMBER(SEARCH("VPS",$I11312))=FALSE,LEFT($I11312,6)&lt;&gt;"VACUUM"),"CDU",IF($H11312="FLUID CAT CRACKING","FCC",IF(OR($H11312="HYDROCRACKING",$H11312="RESID_HYDROCRACKING"),"Hydrocracker",IF($H11312="REFORMING","Reformer",""))))</f>
        <v/>
      </c>
    </row>
    <row r="11313" spans="6:7">
      <c r="F11313" s="6">
        <f>IF($M11313="PADD I","PADD 1",IF($M11313="PADD II","PADD 2",IF($M11313="PADD III","PADD 3",IF($M11313="PADD IV","PADD 4",IF($M11313="PADD V","PADD 5","")))))</f>
        <v/>
      </c>
      <c r="G11313" s="6">
        <f>IF(AND($H11313="ATMOS DISTILLATION",ISNUMBER(SEARCH("VPS",$I11313))=FALSE,LEFT($I11313,6)&lt;&gt;"VACUUM"),"CDU",IF($H11313="FLUID CAT CRACKING","FCC",IF(OR($H11313="HYDROCRACKING",$H11313="RESID_HYDROCRACKING"),"Hydrocracker",IF($H11313="REFORMING","Reformer",""))))</f>
        <v/>
      </c>
    </row>
    <row r="11314" spans="6:7">
      <c r="F11314" s="6">
        <f>IF($M11314="PADD I","PADD 1",IF($M11314="PADD II","PADD 2",IF($M11314="PADD III","PADD 3",IF($M11314="PADD IV","PADD 4",IF($M11314="PADD V","PADD 5","")))))</f>
        <v/>
      </c>
      <c r="G11314" s="6">
        <f>IF(AND($H11314="ATMOS DISTILLATION",ISNUMBER(SEARCH("VPS",$I11314))=FALSE,LEFT($I11314,6)&lt;&gt;"VACUUM"),"CDU",IF($H11314="FLUID CAT CRACKING","FCC",IF(OR($H11314="HYDROCRACKING",$H11314="RESID_HYDROCRACKING"),"Hydrocracker",IF($H11314="REFORMING","Reformer",""))))</f>
        <v/>
      </c>
    </row>
    <row r="11315" spans="6:7">
      <c r="F11315" s="6">
        <f>IF($M11315="PADD I","PADD 1",IF($M11315="PADD II","PADD 2",IF($M11315="PADD III","PADD 3",IF($M11315="PADD IV","PADD 4",IF($M11315="PADD V","PADD 5","")))))</f>
        <v/>
      </c>
      <c r="G11315" s="6">
        <f>IF(AND($H11315="ATMOS DISTILLATION",ISNUMBER(SEARCH("VPS",$I11315))=FALSE,LEFT($I11315,6)&lt;&gt;"VACUUM"),"CDU",IF($H11315="FLUID CAT CRACKING","FCC",IF(OR($H11315="HYDROCRACKING",$H11315="RESID_HYDROCRACKING"),"Hydrocracker",IF($H11315="REFORMING","Reformer",""))))</f>
        <v/>
      </c>
    </row>
    <row r="11316" spans="6:7">
      <c r="F11316" s="6">
        <f>IF($M11316="PADD I","PADD 1",IF($M11316="PADD II","PADD 2",IF($M11316="PADD III","PADD 3",IF($M11316="PADD IV","PADD 4",IF($M11316="PADD V","PADD 5","")))))</f>
        <v/>
      </c>
      <c r="G11316" s="6">
        <f>IF(AND($H11316="ATMOS DISTILLATION",ISNUMBER(SEARCH("VPS",$I11316))=FALSE,LEFT($I11316,6)&lt;&gt;"VACUUM"),"CDU",IF($H11316="FLUID CAT CRACKING","FCC",IF(OR($H11316="HYDROCRACKING",$H11316="RESID_HYDROCRACKING"),"Hydrocracker",IF($H11316="REFORMING","Reformer",""))))</f>
        <v/>
      </c>
    </row>
    <row r="11317" spans="6:7">
      <c r="F11317" s="6">
        <f>IF($M11317="PADD I","PADD 1",IF($M11317="PADD II","PADD 2",IF($M11317="PADD III","PADD 3",IF($M11317="PADD IV","PADD 4",IF($M11317="PADD V","PADD 5","")))))</f>
        <v/>
      </c>
      <c r="G11317" s="6">
        <f>IF(AND($H11317="ATMOS DISTILLATION",ISNUMBER(SEARCH("VPS",$I11317))=FALSE,LEFT($I11317,6)&lt;&gt;"VACUUM"),"CDU",IF($H11317="FLUID CAT CRACKING","FCC",IF(OR($H11317="HYDROCRACKING",$H11317="RESID_HYDROCRACKING"),"Hydrocracker",IF($H11317="REFORMING","Reformer",""))))</f>
        <v/>
      </c>
    </row>
    <row r="11318" spans="6:7">
      <c r="F11318" s="6">
        <f>IF($M11318="PADD I","PADD 1",IF($M11318="PADD II","PADD 2",IF($M11318="PADD III","PADD 3",IF($M11318="PADD IV","PADD 4",IF($M11318="PADD V","PADD 5","")))))</f>
        <v/>
      </c>
      <c r="G11318" s="6">
        <f>IF(AND($H11318="ATMOS DISTILLATION",ISNUMBER(SEARCH("VPS",$I11318))=FALSE,LEFT($I11318,6)&lt;&gt;"VACUUM"),"CDU",IF($H11318="FLUID CAT CRACKING","FCC",IF(OR($H11318="HYDROCRACKING",$H11318="RESID_HYDROCRACKING"),"Hydrocracker",IF($H11318="REFORMING","Reformer",""))))</f>
        <v/>
      </c>
    </row>
    <row r="11319" spans="6:7">
      <c r="F11319" s="6">
        <f>IF($M11319="PADD I","PADD 1",IF($M11319="PADD II","PADD 2",IF($M11319="PADD III","PADD 3",IF($M11319="PADD IV","PADD 4",IF($M11319="PADD V","PADD 5","")))))</f>
        <v/>
      </c>
      <c r="G11319" s="6">
        <f>IF(AND($H11319="ATMOS DISTILLATION",ISNUMBER(SEARCH("VPS",$I11319))=FALSE,LEFT($I11319,6)&lt;&gt;"VACUUM"),"CDU",IF($H11319="FLUID CAT CRACKING","FCC",IF(OR($H11319="HYDROCRACKING",$H11319="RESID_HYDROCRACKING"),"Hydrocracker",IF($H11319="REFORMING","Reformer",""))))</f>
        <v/>
      </c>
    </row>
    <row r="11320" spans="6:7">
      <c r="F11320" s="6">
        <f>IF($M11320="PADD I","PADD 1",IF($M11320="PADD II","PADD 2",IF($M11320="PADD III","PADD 3",IF($M11320="PADD IV","PADD 4",IF($M11320="PADD V","PADD 5","")))))</f>
        <v/>
      </c>
      <c r="G11320" s="6">
        <f>IF(AND($H11320="ATMOS DISTILLATION",ISNUMBER(SEARCH("VPS",$I11320))=FALSE,LEFT($I11320,6)&lt;&gt;"VACUUM"),"CDU",IF($H11320="FLUID CAT CRACKING","FCC",IF(OR($H11320="HYDROCRACKING",$H11320="RESID_HYDROCRACKING"),"Hydrocracker",IF($H11320="REFORMING","Reformer",""))))</f>
        <v/>
      </c>
    </row>
    <row r="11321" spans="6:7">
      <c r="F11321" s="6">
        <f>IF($M11321="PADD I","PADD 1",IF($M11321="PADD II","PADD 2",IF($M11321="PADD III","PADD 3",IF($M11321="PADD IV","PADD 4",IF($M11321="PADD V","PADD 5","")))))</f>
        <v/>
      </c>
      <c r="G11321" s="6">
        <f>IF(AND($H11321="ATMOS DISTILLATION",ISNUMBER(SEARCH("VPS",$I11321))=FALSE,LEFT($I11321,6)&lt;&gt;"VACUUM"),"CDU",IF($H11321="FLUID CAT CRACKING","FCC",IF(OR($H11321="HYDROCRACKING",$H11321="RESID_HYDROCRACKING"),"Hydrocracker",IF($H11321="REFORMING","Reformer",""))))</f>
        <v/>
      </c>
    </row>
    <row r="11322" spans="6:7">
      <c r="F11322" s="6">
        <f>IF($M11322="PADD I","PADD 1",IF($M11322="PADD II","PADD 2",IF($M11322="PADD III","PADD 3",IF($M11322="PADD IV","PADD 4",IF($M11322="PADD V","PADD 5","")))))</f>
        <v/>
      </c>
      <c r="G11322" s="6">
        <f>IF(AND($H11322="ATMOS DISTILLATION",ISNUMBER(SEARCH("VPS",$I11322))=FALSE,LEFT($I11322,6)&lt;&gt;"VACUUM"),"CDU",IF($H11322="FLUID CAT CRACKING","FCC",IF(OR($H11322="HYDROCRACKING",$H11322="RESID_HYDROCRACKING"),"Hydrocracker",IF($H11322="REFORMING","Reformer",""))))</f>
        <v/>
      </c>
    </row>
    <row r="11323" spans="6:7">
      <c r="F11323" s="6">
        <f>IF($M11323="PADD I","PADD 1",IF($M11323="PADD II","PADD 2",IF($M11323="PADD III","PADD 3",IF($M11323="PADD IV","PADD 4",IF($M11323="PADD V","PADD 5","")))))</f>
        <v/>
      </c>
      <c r="G11323" s="6">
        <f>IF(AND($H11323="ATMOS DISTILLATION",ISNUMBER(SEARCH("VPS",$I11323))=FALSE,LEFT($I11323,6)&lt;&gt;"VACUUM"),"CDU",IF($H11323="FLUID CAT CRACKING","FCC",IF(OR($H11323="HYDROCRACKING",$H11323="RESID_HYDROCRACKING"),"Hydrocracker",IF($H11323="REFORMING","Reformer",""))))</f>
        <v/>
      </c>
    </row>
    <row r="11324" spans="6:7">
      <c r="F11324" s="6">
        <f>IF($M11324="PADD I","PADD 1",IF($M11324="PADD II","PADD 2",IF($M11324="PADD III","PADD 3",IF($M11324="PADD IV","PADD 4",IF($M11324="PADD V","PADD 5","")))))</f>
        <v/>
      </c>
      <c r="G11324" s="6">
        <f>IF(AND($H11324="ATMOS DISTILLATION",ISNUMBER(SEARCH("VPS",$I11324))=FALSE,LEFT($I11324,6)&lt;&gt;"VACUUM"),"CDU",IF($H11324="FLUID CAT CRACKING","FCC",IF(OR($H11324="HYDROCRACKING",$H11324="RESID_HYDROCRACKING"),"Hydrocracker",IF($H11324="REFORMING","Reformer",""))))</f>
        <v/>
      </c>
    </row>
    <row r="11325" spans="6:7">
      <c r="F11325" s="6">
        <f>IF($M11325="PADD I","PADD 1",IF($M11325="PADD II","PADD 2",IF($M11325="PADD III","PADD 3",IF($M11325="PADD IV","PADD 4",IF($M11325="PADD V","PADD 5","")))))</f>
        <v/>
      </c>
      <c r="G11325" s="6">
        <f>IF(AND($H11325="ATMOS DISTILLATION",ISNUMBER(SEARCH("VPS",$I11325))=FALSE,LEFT($I11325,6)&lt;&gt;"VACUUM"),"CDU",IF($H11325="FLUID CAT CRACKING","FCC",IF(OR($H11325="HYDROCRACKING",$H11325="RESID_HYDROCRACKING"),"Hydrocracker",IF($H11325="REFORMING","Reformer",""))))</f>
        <v/>
      </c>
    </row>
    <row r="11326" spans="6:7">
      <c r="F11326" s="6">
        <f>IF($M11326="PADD I","PADD 1",IF($M11326="PADD II","PADD 2",IF($M11326="PADD III","PADD 3",IF($M11326="PADD IV","PADD 4",IF($M11326="PADD V","PADD 5","")))))</f>
        <v/>
      </c>
      <c r="G11326" s="6">
        <f>IF(AND($H11326="ATMOS DISTILLATION",ISNUMBER(SEARCH("VPS",$I11326))=FALSE,LEFT($I11326,6)&lt;&gt;"VACUUM"),"CDU",IF($H11326="FLUID CAT CRACKING","FCC",IF(OR($H11326="HYDROCRACKING",$H11326="RESID_HYDROCRACKING"),"Hydrocracker",IF($H11326="REFORMING","Reformer",""))))</f>
        <v/>
      </c>
    </row>
    <row r="11327" spans="6:7">
      <c r="F11327" s="6">
        <f>IF($M11327="PADD I","PADD 1",IF($M11327="PADD II","PADD 2",IF($M11327="PADD III","PADD 3",IF($M11327="PADD IV","PADD 4",IF($M11327="PADD V","PADD 5","")))))</f>
        <v/>
      </c>
      <c r="G11327" s="6">
        <f>IF(AND($H11327="ATMOS DISTILLATION",ISNUMBER(SEARCH("VPS",$I11327))=FALSE,LEFT($I11327,6)&lt;&gt;"VACUUM"),"CDU",IF($H11327="FLUID CAT CRACKING","FCC",IF(OR($H11327="HYDROCRACKING",$H11327="RESID_HYDROCRACKING"),"Hydrocracker",IF($H11327="REFORMING","Reformer",""))))</f>
        <v/>
      </c>
    </row>
    <row r="11328" spans="6:7">
      <c r="F11328" s="6">
        <f>IF($M11328="PADD I","PADD 1",IF($M11328="PADD II","PADD 2",IF($M11328="PADD III","PADD 3",IF($M11328="PADD IV","PADD 4",IF($M11328="PADD V","PADD 5","")))))</f>
        <v/>
      </c>
      <c r="G11328" s="6">
        <f>IF(AND($H11328="ATMOS DISTILLATION",ISNUMBER(SEARCH("VPS",$I11328))=FALSE,LEFT($I11328,6)&lt;&gt;"VACUUM"),"CDU",IF($H11328="FLUID CAT CRACKING","FCC",IF(OR($H11328="HYDROCRACKING",$H11328="RESID_HYDROCRACKING"),"Hydrocracker",IF($H11328="REFORMING","Reformer",""))))</f>
        <v/>
      </c>
    </row>
    <row r="11329" spans="6:7">
      <c r="F11329" s="6">
        <f>IF($M11329="PADD I","PADD 1",IF($M11329="PADD II","PADD 2",IF($M11329="PADD III","PADD 3",IF($M11329="PADD IV","PADD 4",IF($M11329="PADD V","PADD 5","")))))</f>
        <v/>
      </c>
      <c r="G11329" s="6">
        <f>IF(AND($H11329="ATMOS DISTILLATION",ISNUMBER(SEARCH("VPS",$I11329))=FALSE,LEFT($I11329,6)&lt;&gt;"VACUUM"),"CDU",IF($H11329="FLUID CAT CRACKING","FCC",IF(OR($H11329="HYDROCRACKING",$H11329="RESID_HYDROCRACKING"),"Hydrocracker",IF($H11329="REFORMING","Reformer",""))))</f>
        <v/>
      </c>
    </row>
    <row r="11330" spans="6:7">
      <c r="F11330" s="6">
        <f>IF($M11330="PADD I","PADD 1",IF($M11330="PADD II","PADD 2",IF($M11330="PADD III","PADD 3",IF($M11330="PADD IV","PADD 4",IF($M11330="PADD V","PADD 5","")))))</f>
        <v/>
      </c>
      <c r="G11330" s="6">
        <f>IF(AND($H11330="ATMOS DISTILLATION",ISNUMBER(SEARCH("VPS",$I11330))=FALSE,LEFT($I11330,6)&lt;&gt;"VACUUM"),"CDU",IF($H11330="FLUID CAT CRACKING","FCC",IF(OR($H11330="HYDROCRACKING",$H11330="RESID_HYDROCRACKING"),"Hydrocracker",IF($H11330="REFORMING","Reformer",""))))</f>
        <v/>
      </c>
    </row>
    <row r="11331" spans="6:7">
      <c r="F11331" s="6">
        <f>IF($M11331="PADD I","PADD 1",IF($M11331="PADD II","PADD 2",IF($M11331="PADD III","PADD 3",IF($M11331="PADD IV","PADD 4",IF($M11331="PADD V","PADD 5","")))))</f>
        <v/>
      </c>
      <c r="G11331" s="6">
        <f>IF(AND($H11331="ATMOS DISTILLATION",ISNUMBER(SEARCH("VPS",$I11331))=FALSE,LEFT($I11331,6)&lt;&gt;"VACUUM"),"CDU",IF($H11331="FLUID CAT CRACKING","FCC",IF(OR($H11331="HYDROCRACKING",$H11331="RESID_HYDROCRACKING"),"Hydrocracker",IF($H11331="REFORMING","Reformer",""))))</f>
        <v/>
      </c>
    </row>
    <row r="11332" spans="6:7">
      <c r="F11332" s="6">
        <f>IF($M11332="PADD I","PADD 1",IF($M11332="PADD II","PADD 2",IF($M11332="PADD III","PADD 3",IF($M11332="PADD IV","PADD 4",IF($M11332="PADD V","PADD 5","")))))</f>
        <v/>
      </c>
      <c r="G11332" s="6">
        <f>IF(AND($H11332="ATMOS DISTILLATION",ISNUMBER(SEARCH("VPS",$I11332))=FALSE,LEFT($I11332,6)&lt;&gt;"VACUUM"),"CDU",IF($H11332="FLUID CAT CRACKING","FCC",IF(OR($H11332="HYDROCRACKING",$H11332="RESID_HYDROCRACKING"),"Hydrocracker",IF($H11332="REFORMING","Reformer",""))))</f>
        <v/>
      </c>
    </row>
    <row r="11333" spans="6:7">
      <c r="F11333" s="6">
        <f>IF($M11333="PADD I","PADD 1",IF($M11333="PADD II","PADD 2",IF($M11333="PADD III","PADD 3",IF($M11333="PADD IV","PADD 4",IF($M11333="PADD V","PADD 5","")))))</f>
        <v/>
      </c>
      <c r="G11333" s="6">
        <f>IF(AND($H11333="ATMOS DISTILLATION",ISNUMBER(SEARCH("VPS",$I11333))=FALSE,LEFT($I11333,6)&lt;&gt;"VACUUM"),"CDU",IF($H11333="FLUID CAT CRACKING","FCC",IF(OR($H11333="HYDROCRACKING",$H11333="RESID_HYDROCRACKING"),"Hydrocracker",IF($H11333="REFORMING","Reformer",""))))</f>
        <v/>
      </c>
    </row>
    <row r="11334" spans="6:7">
      <c r="F11334" s="6">
        <f>IF($M11334="PADD I","PADD 1",IF($M11334="PADD II","PADD 2",IF($M11334="PADD III","PADD 3",IF($M11334="PADD IV","PADD 4",IF($M11334="PADD V","PADD 5","")))))</f>
        <v/>
      </c>
      <c r="G11334" s="6">
        <f>IF(AND($H11334="ATMOS DISTILLATION",ISNUMBER(SEARCH("VPS",$I11334))=FALSE,LEFT($I11334,6)&lt;&gt;"VACUUM"),"CDU",IF($H11334="FLUID CAT CRACKING","FCC",IF(OR($H11334="HYDROCRACKING",$H11334="RESID_HYDROCRACKING"),"Hydrocracker",IF($H11334="REFORMING","Reformer",""))))</f>
        <v/>
      </c>
    </row>
    <row r="11335" spans="6:7">
      <c r="F11335" s="6">
        <f>IF($M11335="PADD I","PADD 1",IF($M11335="PADD II","PADD 2",IF($M11335="PADD III","PADD 3",IF($M11335="PADD IV","PADD 4",IF($M11335="PADD V","PADD 5","")))))</f>
        <v/>
      </c>
      <c r="G11335" s="6">
        <f>IF(AND($H11335="ATMOS DISTILLATION",ISNUMBER(SEARCH("VPS",$I11335))=FALSE,LEFT($I11335,6)&lt;&gt;"VACUUM"),"CDU",IF($H11335="FLUID CAT CRACKING","FCC",IF(OR($H11335="HYDROCRACKING",$H11335="RESID_HYDROCRACKING"),"Hydrocracker",IF($H11335="REFORMING","Reformer",""))))</f>
        <v/>
      </c>
    </row>
    <row r="11336" spans="6:7">
      <c r="F11336" s="6">
        <f>IF($M11336="PADD I","PADD 1",IF($M11336="PADD II","PADD 2",IF($M11336="PADD III","PADD 3",IF($M11336="PADD IV","PADD 4",IF($M11336="PADD V","PADD 5","")))))</f>
        <v/>
      </c>
      <c r="G11336" s="6">
        <f>IF(AND($H11336="ATMOS DISTILLATION",ISNUMBER(SEARCH("VPS",$I11336))=FALSE,LEFT($I11336,6)&lt;&gt;"VACUUM"),"CDU",IF($H11336="FLUID CAT CRACKING","FCC",IF(OR($H11336="HYDROCRACKING",$H11336="RESID_HYDROCRACKING"),"Hydrocracker",IF($H11336="REFORMING","Reformer",""))))</f>
        <v/>
      </c>
    </row>
    <row r="11337" spans="6:7">
      <c r="F11337" s="6">
        <f>IF($M11337="PADD I","PADD 1",IF($M11337="PADD II","PADD 2",IF($M11337="PADD III","PADD 3",IF($M11337="PADD IV","PADD 4",IF($M11337="PADD V","PADD 5","")))))</f>
        <v/>
      </c>
      <c r="G11337" s="6">
        <f>IF(AND($H11337="ATMOS DISTILLATION",ISNUMBER(SEARCH("VPS",$I11337))=FALSE,LEFT($I11337,6)&lt;&gt;"VACUUM"),"CDU",IF($H11337="FLUID CAT CRACKING","FCC",IF(OR($H11337="HYDROCRACKING",$H11337="RESID_HYDROCRACKING"),"Hydrocracker",IF($H11337="REFORMING","Reformer",""))))</f>
        <v/>
      </c>
    </row>
    <row r="11338" spans="6:7">
      <c r="F11338" s="6">
        <f>IF($M11338="PADD I","PADD 1",IF($M11338="PADD II","PADD 2",IF($M11338="PADD III","PADD 3",IF($M11338="PADD IV","PADD 4",IF($M11338="PADD V","PADD 5","")))))</f>
        <v/>
      </c>
      <c r="G11338" s="6">
        <f>IF(AND($H11338="ATMOS DISTILLATION",ISNUMBER(SEARCH("VPS",$I11338))=FALSE,LEFT($I11338,6)&lt;&gt;"VACUUM"),"CDU",IF($H11338="FLUID CAT CRACKING","FCC",IF(OR($H11338="HYDROCRACKING",$H11338="RESID_HYDROCRACKING"),"Hydrocracker",IF($H11338="REFORMING","Reformer",""))))</f>
        <v/>
      </c>
    </row>
    <row r="11339" spans="6:7">
      <c r="F11339" s="6">
        <f>IF($M11339="PADD I","PADD 1",IF($M11339="PADD II","PADD 2",IF($M11339="PADD III","PADD 3",IF($M11339="PADD IV","PADD 4",IF($M11339="PADD V","PADD 5","")))))</f>
        <v/>
      </c>
      <c r="G11339" s="6">
        <f>IF(AND($H11339="ATMOS DISTILLATION",ISNUMBER(SEARCH("VPS",$I11339))=FALSE,LEFT($I11339,6)&lt;&gt;"VACUUM"),"CDU",IF($H11339="FLUID CAT CRACKING","FCC",IF(OR($H11339="HYDROCRACKING",$H11339="RESID_HYDROCRACKING"),"Hydrocracker",IF($H11339="REFORMING","Reformer",""))))</f>
        <v/>
      </c>
    </row>
    <row r="11340" spans="6:7">
      <c r="F11340" s="6">
        <f>IF($M11340="PADD I","PADD 1",IF($M11340="PADD II","PADD 2",IF($M11340="PADD III","PADD 3",IF($M11340="PADD IV","PADD 4",IF($M11340="PADD V","PADD 5","")))))</f>
        <v/>
      </c>
      <c r="G11340" s="6">
        <f>IF(AND($H11340="ATMOS DISTILLATION",ISNUMBER(SEARCH("VPS",$I11340))=FALSE,LEFT($I11340,6)&lt;&gt;"VACUUM"),"CDU",IF($H11340="FLUID CAT CRACKING","FCC",IF(OR($H11340="HYDROCRACKING",$H11340="RESID_HYDROCRACKING"),"Hydrocracker",IF($H11340="REFORMING","Reformer",""))))</f>
        <v/>
      </c>
    </row>
    <row r="11341" spans="6:7">
      <c r="F11341" s="6">
        <f>IF($M11341="PADD I","PADD 1",IF($M11341="PADD II","PADD 2",IF($M11341="PADD III","PADD 3",IF($M11341="PADD IV","PADD 4",IF($M11341="PADD V","PADD 5","")))))</f>
        <v/>
      </c>
      <c r="G11341" s="6">
        <f>IF(AND($H11341="ATMOS DISTILLATION",ISNUMBER(SEARCH("VPS",$I11341))=FALSE,LEFT($I11341,6)&lt;&gt;"VACUUM"),"CDU",IF($H11341="FLUID CAT CRACKING","FCC",IF(OR($H11341="HYDROCRACKING",$H11341="RESID_HYDROCRACKING"),"Hydrocracker",IF($H11341="REFORMING","Reformer",""))))</f>
        <v/>
      </c>
    </row>
    <row r="11342" spans="6:7">
      <c r="F11342" s="6">
        <f>IF($M11342="PADD I","PADD 1",IF($M11342="PADD II","PADD 2",IF($M11342="PADD III","PADD 3",IF($M11342="PADD IV","PADD 4",IF($M11342="PADD V","PADD 5","")))))</f>
        <v/>
      </c>
      <c r="G11342" s="6">
        <f>IF(AND($H11342="ATMOS DISTILLATION",ISNUMBER(SEARCH("VPS",$I11342))=FALSE,LEFT($I11342,6)&lt;&gt;"VACUUM"),"CDU",IF($H11342="FLUID CAT CRACKING","FCC",IF(OR($H11342="HYDROCRACKING",$H11342="RESID_HYDROCRACKING"),"Hydrocracker",IF($H11342="REFORMING","Reformer",""))))</f>
        <v/>
      </c>
    </row>
    <row r="11343" spans="6:7">
      <c r="F11343" s="6">
        <f>IF($M11343="PADD I","PADD 1",IF($M11343="PADD II","PADD 2",IF($M11343="PADD III","PADD 3",IF($M11343="PADD IV","PADD 4",IF($M11343="PADD V","PADD 5","")))))</f>
        <v/>
      </c>
      <c r="G11343" s="6">
        <f>IF(AND($H11343="ATMOS DISTILLATION",ISNUMBER(SEARCH("VPS",$I11343))=FALSE,LEFT($I11343,6)&lt;&gt;"VACUUM"),"CDU",IF($H11343="FLUID CAT CRACKING","FCC",IF(OR($H11343="HYDROCRACKING",$H11343="RESID_HYDROCRACKING"),"Hydrocracker",IF($H11343="REFORMING","Reformer",""))))</f>
        <v/>
      </c>
    </row>
    <row r="11344" spans="6:7">
      <c r="F11344" s="6">
        <f>IF($M11344="PADD I","PADD 1",IF($M11344="PADD II","PADD 2",IF($M11344="PADD III","PADD 3",IF($M11344="PADD IV","PADD 4",IF($M11344="PADD V","PADD 5","")))))</f>
        <v/>
      </c>
      <c r="G11344" s="6">
        <f>IF(AND($H11344="ATMOS DISTILLATION",ISNUMBER(SEARCH("VPS",$I11344))=FALSE,LEFT($I11344,6)&lt;&gt;"VACUUM"),"CDU",IF($H11344="FLUID CAT CRACKING","FCC",IF(OR($H11344="HYDROCRACKING",$H11344="RESID_HYDROCRACKING"),"Hydrocracker",IF($H11344="REFORMING","Reformer",""))))</f>
        <v/>
      </c>
    </row>
    <row r="11345" spans="6:7">
      <c r="F11345" s="6">
        <f>IF($M11345="PADD I","PADD 1",IF($M11345="PADD II","PADD 2",IF($M11345="PADD III","PADD 3",IF($M11345="PADD IV","PADD 4",IF($M11345="PADD V","PADD 5","")))))</f>
        <v/>
      </c>
      <c r="G11345" s="6">
        <f>IF(AND($H11345="ATMOS DISTILLATION",ISNUMBER(SEARCH("VPS",$I11345))=FALSE,LEFT($I11345,6)&lt;&gt;"VACUUM"),"CDU",IF($H11345="FLUID CAT CRACKING","FCC",IF(OR($H11345="HYDROCRACKING",$H11345="RESID_HYDROCRACKING"),"Hydrocracker",IF($H11345="REFORMING","Reformer",""))))</f>
        <v/>
      </c>
    </row>
    <row r="11346" spans="6:7">
      <c r="F11346" s="6">
        <f>IF($M11346="PADD I","PADD 1",IF($M11346="PADD II","PADD 2",IF($M11346="PADD III","PADD 3",IF($M11346="PADD IV","PADD 4",IF($M11346="PADD V","PADD 5","")))))</f>
        <v/>
      </c>
      <c r="G11346" s="6">
        <f>IF(AND($H11346="ATMOS DISTILLATION",ISNUMBER(SEARCH("VPS",$I11346))=FALSE,LEFT($I11346,6)&lt;&gt;"VACUUM"),"CDU",IF($H11346="FLUID CAT CRACKING","FCC",IF(OR($H11346="HYDROCRACKING",$H11346="RESID_HYDROCRACKING"),"Hydrocracker",IF($H11346="REFORMING","Reformer",""))))</f>
        <v/>
      </c>
    </row>
    <row r="11347" spans="6:7">
      <c r="F11347" s="6">
        <f>IF($M11347="PADD I","PADD 1",IF($M11347="PADD II","PADD 2",IF($M11347="PADD III","PADD 3",IF($M11347="PADD IV","PADD 4",IF($M11347="PADD V","PADD 5","")))))</f>
        <v/>
      </c>
      <c r="G11347" s="6">
        <f>IF(AND($H11347="ATMOS DISTILLATION",ISNUMBER(SEARCH("VPS",$I11347))=FALSE,LEFT($I11347,6)&lt;&gt;"VACUUM"),"CDU",IF($H11347="FLUID CAT CRACKING","FCC",IF(OR($H11347="HYDROCRACKING",$H11347="RESID_HYDROCRACKING"),"Hydrocracker",IF($H11347="REFORMING","Reformer",""))))</f>
        <v/>
      </c>
    </row>
    <row r="11348" spans="6:7">
      <c r="F11348" s="6">
        <f>IF($M11348="PADD I","PADD 1",IF($M11348="PADD II","PADD 2",IF($M11348="PADD III","PADD 3",IF($M11348="PADD IV","PADD 4",IF($M11348="PADD V","PADD 5","")))))</f>
        <v/>
      </c>
      <c r="G11348" s="6">
        <f>IF(AND($H11348="ATMOS DISTILLATION",ISNUMBER(SEARCH("VPS",$I11348))=FALSE,LEFT($I11348,6)&lt;&gt;"VACUUM"),"CDU",IF($H11348="FLUID CAT CRACKING","FCC",IF(OR($H11348="HYDROCRACKING",$H11348="RESID_HYDROCRACKING"),"Hydrocracker",IF($H11348="REFORMING","Reformer",""))))</f>
        <v/>
      </c>
    </row>
    <row r="11349" spans="6:7">
      <c r="F11349" s="6">
        <f>IF($M11349="PADD I","PADD 1",IF($M11349="PADD II","PADD 2",IF($M11349="PADD III","PADD 3",IF($M11349="PADD IV","PADD 4",IF($M11349="PADD V","PADD 5","")))))</f>
        <v/>
      </c>
      <c r="G11349" s="6">
        <f>IF(AND($H11349="ATMOS DISTILLATION",ISNUMBER(SEARCH("VPS",$I11349))=FALSE,LEFT($I11349,6)&lt;&gt;"VACUUM"),"CDU",IF($H11349="FLUID CAT CRACKING","FCC",IF(OR($H11349="HYDROCRACKING",$H11349="RESID_HYDROCRACKING"),"Hydrocracker",IF($H11349="REFORMING","Reformer",""))))</f>
        <v/>
      </c>
    </row>
    <row r="11350" spans="6:7">
      <c r="F11350" s="6">
        <f>IF($M11350="PADD I","PADD 1",IF($M11350="PADD II","PADD 2",IF($M11350="PADD III","PADD 3",IF($M11350="PADD IV","PADD 4",IF($M11350="PADD V","PADD 5","")))))</f>
        <v/>
      </c>
      <c r="G11350" s="6">
        <f>IF(AND($H11350="ATMOS DISTILLATION",ISNUMBER(SEARCH("VPS",$I11350))=FALSE,LEFT($I11350,6)&lt;&gt;"VACUUM"),"CDU",IF($H11350="FLUID CAT CRACKING","FCC",IF(OR($H11350="HYDROCRACKING",$H11350="RESID_HYDROCRACKING"),"Hydrocracker",IF($H11350="REFORMING","Reformer",""))))</f>
        <v/>
      </c>
    </row>
    <row r="11351" spans="6:7">
      <c r="F11351" s="6">
        <f>IF($M11351="PADD I","PADD 1",IF($M11351="PADD II","PADD 2",IF($M11351="PADD III","PADD 3",IF($M11351="PADD IV","PADD 4",IF($M11351="PADD V","PADD 5","")))))</f>
        <v/>
      </c>
      <c r="G11351" s="6">
        <f>IF(AND($H11351="ATMOS DISTILLATION",ISNUMBER(SEARCH("VPS",$I11351))=FALSE,LEFT($I11351,6)&lt;&gt;"VACUUM"),"CDU",IF($H11351="FLUID CAT CRACKING","FCC",IF(OR($H11351="HYDROCRACKING",$H11351="RESID_HYDROCRACKING"),"Hydrocracker",IF($H11351="REFORMING","Reformer",""))))</f>
        <v/>
      </c>
    </row>
    <row r="11352" spans="6:7">
      <c r="F11352" s="6">
        <f>IF($M11352="PADD I","PADD 1",IF($M11352="PADD II","PADD 2",IF($M11352="PADD III","PADD 3",IF($M11352="PADD IV","PADD 4",IF($M11352="PADD V","PADD 5","")))))</f>
        <v/>
      </c>
      <c r="G11352" s="6">
        <f>IF(AND($H11352="ATMOS DISTILLATION",ISNUMBER(SEARCH("VPS",$I11352))=FALSE,LEFT($I11352,6)&lt;&gt;"VACUUM"),"CDU",IF($H11352="FLUID CAT CRACKING","FCC",IF(OR($H11352="HYDROCRACKING",$H11352="RESID_HYDROCRACKING"),"Hydrocracker",IF($H11352="REFORMING","Reformer",""))))</f>
        <v/>
      </c>
    </row>
    <row r="11353" spans="6:7">
      <c r="F11353" s="6">
        <f>IF($M11353="PADD I","PADD 1",IF($M11353="PADD II","PADD 2",IF($M11353="PADD III","PADD 3",IF($M11353="PADD IV","PADD 4",IF($M11353="PADD V","PADD 5","")))))</f>
        <v/>
      </c>
      <c r="G11353" s="6">
        <f>IF(AND($H11353="ATMOS DISTILLATION",ISNUMBER(SEARCH("VPS",$I11353))=FALSE,LEFT($I11353,6)&lt;&gt;"VACUUM"),"CDU",IF($H11353="FLUID CAT CRACKING","FCC",IF(OR($H11353="HYDROCRACKING",$H11353="RESID_HYDROCRACKING"),"Hydrocracker",IF($H11353="REFORMING","Reformer",""))))</f>
        <v/>
      </c>
    </row>
    <row r="11354" spans="6:7">
      <c r="F11354" s="6">
        <f>IF($M11354="PADD I","PADD 1",IF($M11354="PADD II","PADD 2",IF($M11354="PADD III","PADD 3",IF($M11354="PADD IV","PADD 4",IF($M11354="PADD V","PADD 5","")))))</f>
        <v/>
      </c>
      <c r="G11354" s="6">
        <f>IF(AND($H11354="ATMOS DISTILLATION",ISNUMBER(SEARCH("VPS",$I11354))=FALSE,LEFT($I11354,6)&lt;&gt;"VACUUM"),"CDU",IF($H11354="FLUID CAT CRACKING","FCC",IF(OR($H11354="HYDROCRACKING",$H11354="RESID_HYDROCRACKING"),"Hydrocracker",IF($H11354="REFORMING","Reformer",""))))</f>
        <v/>
      </c>
    </row>
    <row r="11355" spans="6:7">
      <c r="F11355" s="6">
        <f>IF($M11355="PADD I","PADD 1",IF($M11355="PADD II","PADD 2",IF($M11355="PADD III","PADD 3",IF($M11355="PADD IV","PADD 4",IF($M11355="PADD V","PADD 5","")))))</f>
        <v/>
      </c>
      <c r="G11355" s="6">
        <f>IF(AND($H11355="ATMOS DISTILLATION",ISNUMBER(SEARCH("VPS",$I11355))=FALSE,LEFT($I11355,6)&lt;&gt;"VACUUM"),"CDU",IF($H11355="FLUID CAT CRACKING","FCC",IF(OR($H11355="HYDROCRACKING",$H11355="RESID_HYDROCRACKING"),"Hydrocracker",IF($H11355="REFORMING","Reformer",""))))</f>
        <v/>
      </c>
    </row>
    <row r="11356" spans="6:7">
      <c r="F11356" s="6">
        <f>IF($M11356="PADD I","PADD 1",IF($M11356="PADD II","PADD 2",IF($M11356="PADD III","PADD 3",IF($M11356="PADD IV","PADD 4",IF($M11356="PADD V","PADD 5","")))))</f>
        <v/>
      </c>
      <c r="G11356" s="6">
        <f>IF(AND($H11356="ATMOS DISTILLATION",ISNUMBER(SEARCH("VPS",$I11356))=FALSE,LEFT($I11356,6)&lt;&gt;"VACUUM"),"CDU",IF($H11356="FLUID CAT CRACKING","FCC",IF(OR($H11356="HYDROCRACKING",$H11356="RESID_HYDROCRACKING"),"Hydrocracker",IF($H11356="REFORMING","Reformer",""))))</f>
        <v/>
      </c>
    </row>
    <row r="11357" spans="6:7">
      <c r="F11357" s="6">
        <f>IF($M11357="PADD I","PADD 1",IF($M11357="PADD II","PADD 2",IF($M11357="PADD III","PADD 3",IF($M11357="PADD IV","PADD 4",IF($M11357="PADD V","PADD 5","")))))</f>
        <v/>
      </c>
      <c r="G11357" s="6">
        <f>IF(AND($H11357="ATMOS DISTILLATION",ISNUMBER(SEARCH("VPS",$I11357))=FALSE,LEFT($I11357,6)&lt;&gt;"VACUUM"),"CDU",IF($H11357="FLUID CAT CRACKING","FCC",IF(OR($H11357="HYDROCRACKING",$H11357="RESID_HYDROCRACKING"),"Hydrocracker",IF($H11357="REFORMING","Reformer",""))))</f>
        <v/>
      </c>
    </row>
    <row r="11358" spans="6:7">
      <c r="F11358" s="6">
        <f>IF($M11358="PADD I","PADD 1",IF($M11358="PADD II","PADD 2",IF($M11358="PADD III","PADD 3",IF($M11358="PADD IV","PADD 4",IF($M11358="PADD V","PADD 5","")))))</f>
        <v/>
      </c>
      <c r="G11358" s="6">
        <f>IF(AND($H11358="ATMOS DISTILLATION",ISNUMBER(SEARCH("VPS",$I11358))=FALSE,LEFT($I11358,6)&lt;&gt;"VACUUM"),"CDU",IF($H11358="FLUID CAT CRACKING","FCC",IF(OR($H11358="HYDROCRACKING",$H11358="RESID_HYDROCRACKING"),"Hydrocracker",IF($H11358="REFORMING","Reformer",""))))</f>
        <v/>
      </c>
    </row>
    <row r="11359" spans="6:7">
      <c r="F11359" s="6">
        <f>IF($M11359="PADD I","PADD 1",IF($M11359="PADD II","PADD 2",IF($M11359="PADD III","PADD 3",IF($M11359="PADD IV","PADD 4",IF($M11359="PADD V","PADD 5","")))))</f>
        <v/>
      </c>
      <c r="G11359" s="6">
        <f>IF(AND($H11359="ATMOS DISTILLATION",ISNUMBER(SEARCH("VPS",$I11359))=FALSE,LEFT($I11359,6)&lt;&gt;"VACUUM"),"CDU",IF($H11359="FLUID CAT CRACKING","FCC",IF(OR($H11359="HYDROCRACKING",$H11359="RESID_HYDROCRACKING"),"Hydrocracker",IF($H11359="REFORMING","Reformer",""))))</f>
        <v/>
      </c>
    </row>
    <row r="11360" spans="6:7">
      <c r="F11360" s="6">
        <f>IF($M11360="PADD I","PADD 1",IF($M11360="PADD II","PADD 2",IF($M11360="PADD III","PADD 3",IF($M11360="PADD IV","PADD 4",IF($M11360="PADD V","PADD 5","")))))</f>
        <v/>
      </c>
      <c r="G11360" s="6">
        <f>IF(AND($H11360="ATMOS DISTILLATION",ISNUMBER(SEARCH("VPS",$I11360))=FALSE,LEFT($I11360,6)&lt;&gt;"VACUUM"),"CDU",IF($H11360="FLUID CAT CRACKING","FCC",IF(OR($H11360="HYDROCRACKING",$H11360="RESID_HYDROCRACKING"),"Hydrocracker",IF($H11360="REFORMING","Reformer",""))))</f>
        <v/>
      </c>
    </row>
    <row r="11361" spans="6:7">
      <c r="F11361" s="6">
        <f>IF($M11361="PADD I","PADD 1",IF($M11361="PADD II","PADD 2",IF($M11361="PADD III","PADD 3",IF($M11361="PADD IV","PADD 4",IF($M11361="PADD V","PADD 5","")))))</f>
        <v/>
      </c>
      <c r="G11361" s="6">
        <f>IF(AND($H11361="ATMOS DISTILLATION",ISNUMBER(SEARCH("VPS",$I11361))=FALSE,LEFT($I11361,6)&lt;&gt;"VACUUM"),"CDU",IF($H11361="FLUID CAT CRACKING","FCC",IF(OR($H11361="HYDROCRACKING",$H11361="RESID_HYDROCRACKING"),"Hydrocracker",IF($H11361="REFORMING","Reformer",""))))</f>
        <v/>
      </c>
    </row>
    <row r="11362" spans="6:7">
      <c r="F11362" s="6">
        <f>IF($M11362="PADD I","PADD 1",IF($M11362="PADD II","PADD 2",IF($M11362="PADD III","PADD 3",IF($M11362="PADD IV","PADD 4",IF($M11362="PADD V","PADD 5","")))))</f>
        <v/>
      </c>
      <c r="G11362" s="6">
        <f>IF(AND($H11362="ATMOS DISTILLATION",ISNUMBER(SEARCH("VPS",$I11362))=FALSE,LEFT($I11362,6)&lt;&gt;"VACUUM"),"CDU",IF($H11362="FLUID CAT CRACKING","FCC",IF(OR($H11362="HYDROCRACKING",$H11362="RESID_HYDROCRACKING"),"Hydrocracker",IF($H11362="REFORMING","Reformer",""))))</f>
        <v/>
      </c>
    </row>
    <row r="11363" spans="6:7">
      <c r="F11363" s="6">
        <f>IF($M11363="PADD I","PADD 1",IF($M11363="PADD II","PADD 2",IF($M11363="PADD III","PADD 3",IF($M11363="PADD IV","PADD 4",IF($M11363="PADD V","PADD 5","")))))</f>
        <v/>
      </c>
      <c r="G11363" s="6">
        <f>IF(AND($H11363="ATMOS DISTILLATION",ISNUMBER(SEARCH("VPS",$I11363))=FALSE,LEFT($I11363,6)&lt;&gt;"VACUUM"),"CDU",IF($H11363="FLUID CAT CRACKING","FCC",IF(OR($H11363="HYDROCRACKING",$H11363="RESID_HYDROCRACKING"),"Hydrocracker",IF($H11363="REFORMING","Reformer",""))))</f>
        <v/>
      </c>
    </row>
    <row r="11364" spans="6:7">
      <c r="F11364" s="6">
        <f>IF($M11364="PADD I","PADD 1",IF($M11364="PADD II","PADD 2",IF($M11364="PADD III","PADD 3",IF($M11364="PADD IV","PADD 4",IF($M11364="PADD V","PADD 5","")))))</f>
        <v/>
      </c>
      <c r="G11364" s="6">
        <f>IF(AND($H11364="ATMOS DISTILLATION",ISNUMBER(SEARCH("VPS",$I11364))=FALSE,LEFT($I11364,6)&lt;&gt;"VACUUM"),"CDU",IF($H11364="FLUID CAT CRACKING","FCC",IF(OR($H11364="HYDROCRACKING",$H11364="RESID_HYDROCRACKING"),"Hydrocracker",IF($H11364="REFORMING","Reformer",""))))</f>
        <v/>
      </c>
    </row>
    <row r="11365" spans="6:7">
      <c r="F11365" s="6">
        <f>IF($M11365="PADD I","PADD 1",IF($M11365="PADD II","PADD 2",IF($M11365="PADD III","PADD 3",IF($M11365="PADD IV","PADD 4",IF($M11365="PADD V","PADD 5","")))))</f>
        <v/>
      </c>
      <c r="G11365" s="6">
        <f>IF(AND($H11365="ATMOS DISTILLATION",ISNUMBER(SEARCH("VPS",$I11365))=FALSE,LEFT($I11365,6)&lt;&gt;"VACUUM"),"CDU",IF($H11365="FLUID CAT CRACKING","FCC",IF(OR($H11365="HYDROCRACKING",$H11365="RESID_HYDROCRACKING"),"Hydrocracker",IF($H11365="REFORMING","Reformer",""))))</f>
        <v/>
      </c>
    </row>
    <row r="11366" spans="6:7">
      <c r="F11366" s="6">
        <f>IF($M11366="PADD I","PADD 1",IF($M11366="PADD II","PADD 2",IF($M11366="PADD III","PADD 3",IF($M11366="PADD IV","PADD 4",IF($M11366="PADD V","PADD 5","")))))</f>
        <v/>
      </c>
      <c r="G11366" s="6">
        <f>IF(AND($H11366="ATMOS DISTILLATION",ISNUMBER(SEARCH("VPS",$I11366))=FALSE,LEFT($I11366,6)&lt;&gt;"VACUUM"),"CDU",IF($H11366="FLUID CAT CRACKING","FCC",IF(OR($H11366="HYDROCRACKING",$H11366="RESID_HYDROCRACKING"),"Hydrocracker",IF($H11366="REFORMING","Reformer",""))))</f>
        <v/>
      </c>
    </row>
    <row r="11367" spans="6:7">
      <c r="F11367" s="6">
        <f>IF($M11367="PADD I","PADD 1",IF($M11367="PADD II","PADD 2",IF($M11367="PADD III","PADD 3",IF($M11367="PADD IV","PADD 4",IF($M11367="PADD V","PADD 5","")))))</f>
        <v/>
      </c>
      <c r="G11367" s="6">
        <f>IF(AND($H11367="ATMOS DISTILLATION",ISNUMBER(SEARCH("VPS",$I11367))=FALSE,LEFT($I11367,6)&lt;&gt;"VACUUM"),"CDU",IF($H11367="FLUID CAT CRACKING","FCC",IF(OR($H11367="HYDROCRACKING",$H11367="RESID_HYDROCRACKING"),"Hydrocracker",IF($H11367="REFORMING","Reformer",""))))</f>
        <v/>
      </c>
    </row>
    <row r="11368" spans="6:7">
      <c r="F11368" s="6">
        <f>IF($M11368="PADD I","PADD 1",IF($M11368="PADD II","PADD 2",IF($M11368="PADD III","PADD 3",IF($M11368="PADD IV","PADD 4",IF($M11368="PADD V","PADD 5","")))))</f>
        <v/>
      </c>
      <c r="G11368" s="6">
        <f>IF(AND($H11368="ATMOS DISTILLATION",ISNUMBER(SEARCH("VPS",$I11368))=FALSE,LEFT($I11368,6)&lt;&gt;"VACUUM"),"CDU",IF($H11368="FLUID CAT CRACKING","FCC",IF(OR($H11368="HYDROCRACKING",$H11368="RESID_HYDROCRACKING"),"Hydrocracker",IF($H11368="REFORMING","Reformer",""))))</f>
        <v/>
      </c>
    </row>
    <row r="11369" spans="6:7">
      <c r="F11369" s="6">
        <f>IF($M11369="PADD I","PADD 1",IF($M11369="PADD II","PADD 2",IF($M11369="PADD III","PADD 3",IF($M11369="PADD IV","PADD 4",IF($M11369="PADD V","PADD 5","")))))</f>
        <v/>
      </c>
      <c r="G11369" s="6">
        <f>IF(AND($H11369="ATMOS DISTILLATION",ISNUMBER(SEARCH("VPS",$I11369))=FALSE,LEFT($I11369,6)&lt;&gt;"VACUUM"),"CDU",IF($H11369="FLUID CAT CRACKING","FCC",IF(OR($H11369="HYDROCRACKING",$H11369="RESID_HYDROCRACKING"),"Hydrocracker",IF($H11369="REFORMING","Reformer",""))))</f>
        <v/>
      </c>
    </row>
    <row r="11370" spans="6:7">
      <c r="F11370" s="6">
        <f>IF($M11370="PADD I","PADD 1",IF($M11370="PADD II","PADD 2",IF($M11370="PADD III","PADD 3",IF($M11370="PADD IV","PADD 4",IF($M11370="PADD V","PADD 5","")))))</f>
        <v/>
      </c>
      <c r="G11370" s="6">
        <f>IF(AND($H11370="ATMOS DISTILLATION",ISNUMBER(SEARCH("VPS",$I11370))=FALSE,LEFT($I11370,6)&lt;&gt;"VACUUM"),"CDU",IF($H11370="FLUID CAT CRACKING","FCC",IF(OR($H11370="HYDROCRACKING",$H11370="RESID_HYDROCRACKING"),"Hydrocracker",IF($H11370="REFORMING","Reformer",""))))</f>
        <v/>
      </c>
    </row>
    <row r="11371" spans="6:7">
      <c r="F11371" s="6">
        <f>IF($M11371="PADD I","PADD 1",IF($M11371="PADD II","PADD 2",IF($M11371="PADD III","PADD 3",IF($M11371="PADD IV","PADD 4",IF($M11371="PADD V","PADD 5","")))))</f>
        <v/>
      </c>
      <c r="G11371" s="6">
        <f>IF(AND($H11371="ATMOS DISTILLATION",ISNUMBER(SEARCH("VPS",$I11371))=FALSE,LEFT($I11371,6)&lt;&gt;"VACUUM"),"CDU",IF($H11371="FLUID CAT CRACKING","FCC",IF(OR($H11371="HYDROCRACKING",$H11371="RESID_HYDROCRACKING"),"Hydrocracker",IF($H11371="REFORMING","Reformer",""))))</f>
        <v/>
      </c>
    </row>
    <row r="11372" spans="6:7">
      <c r="F11372" s="6">
        <f>IF($M11372="PADD I","PADD 1",IF($M11372="PADD II","PADD 2",IF($M11372="PADD III","PADD 3",IF($M11372="PADD IV","PADD 4",IF($M11372="PADD V","PADD 5","")))))</f>
        <v/>
      </c>
      <c r="G11372" s="6">
        <f>IF(AND($H11372="ATMOS DISTILLATION",ISNUMBER(SEARCH("VPS",$I11372))=FALSE,LEFT($I11372,6)&lt;&gt;"VACUUM"),"CDU",IF($H11372="FLUID CAT CRACKING","FCC",IF(OR($H11372="HYDROCRACKING",$H11372="RESID_HYDROCRACKING"),"Hydrocracker",IF($H11372="REFORMING","Reformer",""))))</f>
        <v/>
      </c>
    </row>
    <row r="11373" spans="6:7">
      <c r="F11373" s="6">
        <f>IF($M11373="PADD I","PADD 1",IF($M11373="PADD II","PADD 2",IF($M11373="PADD III","PADD 3",IF($M11373="PADD IV","PADD 4",IF($M11373="PADD V","PADD 5","")))))</f>
        <v/>
      </c>
      <c r="G11373" s="6">
        <f>IF(AND($H11373="ATMOS DISTILLATION",ISNUMBER(SEARCH("VPS",$I11373))=FALSE,LEFT($I11373,6)&lt;&gt;"VACUUM"),"CDU",IF($H11373="FLUID CAT CRACKING","FCC",IF(OR($H11373="HYDROCRACKING",$H11373="RESID_HYDROCRACKING"),"Hydrocracker",IF($H11373="REFORMING","Reformer",""))))</f>
        <v/>
      </c>
    </row>
    <row r="11374" spans="6:7">
      <c r="F11374" s="6">
        <f>IF($M11374="PADD I","PADD 1",IF($M11374="PADD II","PADD 2",IF($M11374="PADD III","PADD 3",IF($M11374="PADD IV","PADD 4",IF($M11374="PADD V","PADD 5","")))))</f>
        <v/>
      </c>
      <c r="G11374" s="6">
        <f>IF(AND($H11374="ATMOS DISTILLATION",ISNUMBER(SEARCH("VPS",$I11374))=FALSE,LEFT($I11374,6)&lt;&gt;"VACUUM"),"CDU",IF($H11374="FLUID CAT CRACKING","FCC",IF(OR($H11374="HYDROCRACKING",$H11374="RESID_HYDROCRACKING"),"Hydrocracker",IF($H11374="REFORMING","Reformer",""))))</f>
        <v/>
      </c>
    </row>
    <row r="11375" spans="6:7">
      <c r="F11375" s="6">
        <f>IF($M11375="PADD I","PADD 1",IF($M11375="PADD II","PADD 2",IF($M11375="PADD III","PADD 3",IF($M11375="PADD IV","PADD 4",IF($M11375="PADD V","PADD 5","")))))</f>
        <v/>
      </c>
      <c r="G11375" s="6">
        <f>IF(AND($H11375="ATMOS DISTILLATION",ISNUMBER(SEARCH("VPS",$I11375))=FALSE,LEFT($I11375,6)&lt;&gt;"VACUUM"),"CDU",IF($H11375="FLUID CAT CRACKING","FCC",IF(OR($H11375="HYDROCRACKING",$H11375="RESID_HYDROCRACKING"),"Hydrocracker",IF($H11375="REFORMING","Reformer",""))))</f>
        <v/>
      </c>
    </row>
    <row r="11376" spans="6:7">
      <c r="F11376" s="6">
        <f>IF($M11376="PADD I","PADD 1",IF($M11376="PADD II","PADD 2",IF($M11376="PADD III","PADD 3",IF($M11376="PADD IV","PADD 4",IF($M11376="PADD V","PADD 5","")))))</f>
        <v/>
      </c>
      <c r="G11376" s="6">
        <f>IF(AND($H11376="ATMOS DISTILLATION",ISNUMBER(SEARCH("VPS",$I11376))=FALSE,LEFT($I11376,6)&lt;&gt;"VACUUM"),"CDU",IF($H11376="FLUID CAT CRACKING","FCC",IF(OR($H11376="HYDROCRACKING",$H11376="RESID_HYDROCRACKING"),"Hydrocracker",IF($H11376="REFORMING","Reformer",""))))</f>
        <v/>
      </c>
    </row>
    <row r="11377" spans="6:7">
      <c r="F11377" s="6">
        <f>IF($M11377="PADD I","PADD 1",IF($M11377="PADD II","PADD 2",IF($M11377="PADD III","PADD 3",IF($M11377="PADD IV","PADD 4",IF($M11377="PADD V","PADD 5","")))))</f>
        <v/>
      </c>
      <c r="G11377" s="6">
        <f>IF(AND($H11377="ATMOS DISTILLATION",ISNUMBER(SEARCH("VPS",$I11377))=FALSE,LEFT($I11377,6)&lt;&gt;"VACUUM"),"CDU",IF($H11377="FLUID CAT CRACKING","FCC",IF(OR($H11377="HYDROCRACKING",$H11377="RESID_HYDROCRACKING"),"Hydrocracker",IF($H11377="REFORMING","Reformer",""))))</f>
        <v/>
      </c>
    </row>
    <row r="11378" spans="6:7">
      <c r="F11378" s="6">
        <f>IF($M11378="PADD I","PADD 1",IF($M11378="PADD II","PADD 2",IF($M11378="PADD III","PADD 3",IF($M11378="PADD IV","PADD 4",IF($M11378="PADD V","PADD 5","")))))</f>
        <v/>
      </c>
      <c r="G11378" s="6">
        <f>IF(AND($H11378="ATMOS DISTILLATION",ISNUMBER(SEARCH("VPS",$I11378))=FALSE,LEFT($I11378,6)&lt;&gt;"VACUUM"),"CDU",IF($H11378="FLUID CAT CRACKING","FCC",IF(OR($H11378="HYDROCRACKING",$H11378="RESID_HYDROCRACKING"),"Hydrocracker",IF($H11378="REFORMING","Reformer",""))))</f>
        <v/>
      </c>
    </row>
    <row r="11379" spans="6:7">
      <c r="F11379" s="6">
        <f>IF($M11379="PADD I","PADD 1",IF($M11379="PADD II","PADD 2",IF($M11379="PADD III","PADD 3",IF($M11379="PADD IV","PADD 4",IF($M11379="PADD V","PADD 5","")))))</f>
        <v/>
      </c>
      <c r="G11379" s="6">
        <f>IF(AND($H11379="ATMOS DISTILLATION",ISNUMBER(SEARCH("VPS",$I11379))=FALSE,LEFT($I11379,6)&lt;&gt;"VACUUM"),"CDU",IF($H11379="FLUID CAT CRACKING","FCC",IF(OR($H11379="HYDROCRACKING",$H11379="RESID_HYDROCRACKING"),"Hydrocracker",IF($H11379="REFORMING","Reformer",""))))</f>
        <v/>
      </c>
    </row>
    <row r="11380" spans="6:7">
      <c r="F11380" s="6">
        <f>IF($M11380="PADD I","PADD 1",IF($M11380="PADD II","PADD 2",IF($M11380="PADD III","PADD 3",IF($M11380="PADD IV","PADD 4",IF($M11380="PADD V","PADD 5","")))))</f>
        <v/>
      </c>
      <c r="G11380" s="6">
        <f>IF(AND($H11380="ATMOS DISTILLATION",ISNUMBER(SEARCH("VPS",$I11380))=FALSE,LEFT($I11380,6)&lt;&gt;"VACUUM"),"CDU",IF($H11380="FLUID CAT CRACKING","FCC",IF(OR($H11380="HYDROCRACKING",$H11380="RESID_HYDROCRACKING"),"Hydrocracker",IF($H11380="REFORMING","Reformer",""))))</f>
        <v/>
      </c>
    </row>
    <row r="11381" spans="6:7">
      <c r="F11381" s="6">
        <f>IF($M11381="PADD I","PADD 1",IF($M11381="PADD II","PADD 2",IF($M11381="PADD III","PADD 3",IF($M11381="PADD IV","PADD 4",IF($M11381="PADD V","PADD 5","")))))</f>
        <v/>
      </c>
      <c r="G11381" s="6">
        <f>IF(AND($H11381="ATMOS DISTILLATION",ISNUMBER(SEARCH("VPS",$I11381))=FALSE,LEFT($I11381,6)&lt;&gt;"VACUUM"),"CDU",IF($H11381="FLUID CAT CRACKING","FCC",IF(OR($H11381="HYDROCRACKING",$H11381="RESID_HYDROCRACKING"),"Hydrocracker",IF($H11381="REFORMING","Reformer",""))))</f>
        <v/>
      </c>
    </row>
    <row r="11382" spans="6:7">
      <c r="F11382" s="6">
        <f>IF($M11382="PADD I","PADD 1",IF($M11382="PADD II","PADD 2",IF($M11382="PADD III","PADD 3",IF($M11382="PADD IV","PADD 4",IF($M11382="PADD V","PADD 5","")))))</f>
        <v/>
      </c>
      <c r="G11382" s="6">
        <f>IF(AND($H11382="ATMOS DISTILLATION",ISNUMBER(SEARCH("VPS",$I11382))=FALSE,LEFT($I11382,6)&lt;&gt;"VACUUM"),"CDU",IF($H11382="FLUID CAT CRACKING","FCC",IF(OR($H11382="HYDROCRACKING",$H11382="RESID_HYDROCRACKING"),"Hydrocracker",IF($H11382="REFORMING","Reformer",""))))</f>
        <v/>
      </c>
    </row>
    <row r="11383" spans="6:7">
      <c r="F11383" s="6">
        <f>IF($M11383="PADD I","PADD 1",IF($M11383="PADD II","PADD 2",IF($M11383="PADD III","PADD 3",IF($M11383="PADD IV","PADD 4",IF($M11383="PADD V","PADD 5","")))))</f>
        <v/>
      </c>
      <c r="G11383" s="6">
        <f>IF(AND($H11383="ATMOS DISTILLATION",ISNUMBER(SEARCH("VPS",$I11383))=FALSE,LEFT($I11383,6)&lt;&gt;"VACUUM"),"CDU",IF($H11383="FLUID CAT CRACKING","FCC",IF(OR($H11383="HYDROCRACKING",$H11383="RESID_HYDROCRACKING"),"Hydrocracker",IF($H11383="REFORMING","Reformer",""))))</f>
        <v/>
      </c>
    </row>
    <row r="11384" spans="6:7">
      <c r="F11384" s="6">
        <f>IF($M11384="PADD I","PADD 1",IF($M11384="PADD II","PADD 2",IF($M11384="PADD III","PADD 3",IF($M11384="PADD IV","PADD 4",IF($M11384="PADD V","PADD 5","")))))</f>
        <v/>
      </c>
      <c r="G11384" s="6">
        <f>IF(AND($H11384="ATMOS DISTILLATION",ISNUMBER(SEARCH("VPS",$I11384))=FALSE,LEFT($I11384,6)&lt;&gt;"VACUUM"),"CDU",IF($H11384="FLUID CAT CRACKING","FCC",IF(OR($H11384="HYDROCRACKING",$H11384="RESID_HYDROCRACKING"),"Hydrocracker",IF($H11384="REFORMING","Reformer",""))))</f>
        <v/>
      </c>
    </row>
    <row r="11385" spans="6:7">
      <c r="F11385" s="6">
        <f>IF($M11385="PADD I","PADD 1",IF($M11385="PADD II","PADD 2",IF($M11385="PADD III","PADD 3",IF($M11385="PADD IV","PADD 4",IF($M11385="PADD V","PADD 5","")))))</f>
        <v/>
      </c>
      <c r="G11385" s="6">
        <f>IF(AND($H11385="ATMOS DISTILLATION",ISNUMBER(SEARCH("VPS",$I11385))=FALSE,LEFT($I11385,6)&lt;&gt;"VACUUM"),"CDU",IF($H11385="FLUID CAT CRACKING","FCC",IF(OR($H11385="HYDROCRACKING",$H11385="RESID_HYDROCRACKING"),"Hydrocracker",IF($H11385="REFORMING","Reformer",""))))</f>
        <v/>
      </c>
    </row>
    <row r="11386" spans="6:7">
      <c r="F11386" s="6">
        <f>IF($M11386="PADD I","PADD 1",IF($M11386="PADD II","PADD 2",IF($M11386="PADD III","PADD 3",IF($M11386="PADD IV","PADD 4",IF($M11386="PADD V","PADD 5","")))))</f>
        <v/>
      </c>
      <c r="G11386" s="6">
        <f>IF(AND($H11386="ATMOS DISTILLATION",ISNUMBER(SEARCH("VPS",$I11386))=FALSE,LEFT($I11386,6)&lt;&gt;"VACUUM"),"CDU",IF($H11386="FLUID CAT CRACKING","FCC",IF(OR($H11386="HYDROCRACKING",$H11386="RESID_HYDROCRACKING"),"Hydrocracker",IF($H11386="REFORMING","Reformer",""))))</f>
        <v/>
      </c>
    </row>
    <row r="11387" spans="6:7">
      <c r="F11387" s="6">
        <f>IF($M11387="PADD I","PADD 1",IF($M11387="PADD II","PADD 2",IF($M11387="PADD III","PADD 3",IF($M11387="PADD IV","PADD 4",IF($M11387="PADD V","PADD 5","")))))</f>
        <v/>
      </c>
      <c r="G11387" s="6">
        <f>IF(AND($H11387="ATMOS DISTILLATION",ISNUMBER(SEARCH("VPS",$I11387))=FALSE,LEFT($I11387,6)&lt;&gt;"VACUUM"),"CDU",IF($H11387="FLUID CAT CRACKING","FCC",IF(OR($H11387="HYDROCRACKING",$H11387="RESID_HYDROCRACKING"),"Hydrocracker",IF($H11387="REFORMING","Reformer",""))))</f>
        <v/>
      </c>
    </row>
    <row r="11388" spans="6:7">
      <c r="F11388" s="6">
        <f>IF($M11388="PADD I","PADD 1",IF($M11388="PADD II","PADD 2",IF($M11388="PADD III","PADD 3",IF($M11388="PADD IV","PADD 4",IF($M11388="PADD V","PADD 5","")))))</f>
        <v/>
      </c>
      <c r="G11388" s="6">
        <f>IF(AND($H11388="ATMOS DISTILLATION",ISNUMBER(SEARCH("VPS",$I11388))=FALSE,LEFT($I11388,6)&lt;&gt;"VACUUM"),"CDU",IF($H11388="FLUID CAT CRACKING","FCC",IF(OR($H11388="HYDROCRACKING",$H11388="RESID_HYDROCRACKING"),"Hydrocracker",IF($H11388="REFORMING","Reformer",""))))</f>
        <v/>
      </c>
    </row>
    <row r="11389" spans="6:7">
      <c r="F11389" s="6">
        <f>IF($M11389="PADD I","PADD 1",IF($M11389="PADD II","PADD 2",IF($M11389="PADD III","PADD 3",IF($M11389="PADD IV","PADD 4",IF($M11389="PADD V","PADD 5","")))))</f>
        <v/>
      </c>
      <c r="G11389" s="6">
        <f>IF(AND($H11389="ATMOS DISTILLATION",ISNUMBER(SEARCH("VPS",$I11389))=FALSE,LEFT($I11389,6)&lt;&gt;"VACUUM"),"CDU",IF($H11389="FLUID CAT CRACKING","FCC",IF(OR($H11389="HYDROCRACKING",$H11389="RESID_HYDROCRACKING"),"Hydrocracker",IF($H11389="REFORMING","Reformer",""))))</f>
        <v/>
      </c>
    </row>
    <row r="11390" spans="6:7">
      <c r="F11390" s="6">
        <f>IF($M11390="PADD I","PADD 1",IF($M11390="PADD II","PADD 2",IF($M11390="PADD III","PADD 3",IF($M11390="PADD IV","PADD 4",IF($M11390="PADD V","PADD 5","")))))</f>
        <v/>
      </c>
      <c r="G11390" s="6">
        <f>IF(AND($H11390="ATMOS DISTILLATION",ISNUMBER(SEARCH("VPS",$I11390))=FALSE,LEFT($I11390,6)&lt;&gt;"VACUUM"),"CDU",IF($H11390="FLUID CAT CRACKING","FCC",IF(OR($H11390="HYDROCRACKING",$H11390="RESID_HYDROCRACKING"),"Hydrocracker",IF($H11390="REFORMING","Reformer",""))))</f>
        <v/>
      </c>
    </row>
    <row r="11391" spans="6:7">
      <c r="F11391" s="6">
        <f>IF($M11391="PADD I","PADD 1",IF($M11391="PADD II","PADD 2",IF($M11391="PADD III","PADD 3",IF($M11391="PADD IV","PADD 4",IF($M11391="PADD V","PADD 5","")))))</f>
        <v/>
      </c>
      <c r="G11391" s="6">
        <f>IF(AND($H11391="ATMOS DISTILLATION",ISNUMBER(SEARCH("VPS",$I11391))=FALSE,LEFT($I11391,6)&lt;&gt;"VACUUM"),"CDU",IF($H11391="FLUID CAT CRACKING","FCC",IF(OR($H11391="HYDROCRACKING",$H11391="RESID_HYDROCRACKING"),"Hydrocracker",IF($H11391="REFORMING","Reformer",""))))</f>
        <v/>
      </c>
    </row>
    <row r="11392" spans="6:7">
      <c r="F11392" s="6">
        <f>IF($M11392="PADD I","PADD 1",IF($M11392="PADD II","PADD 2",IF($M11392="PADD III","PADD 3",IF($M11392="PADD IV","PADD 4",IF($M11392="PADD V","PADD 5","")))))</f>
        <v/>
      </c>
      <c r="G11392" s="6">
        <f>IF(AND($H11392="ATMOS DISTILLATION",ISNUMBER(SEARCH("VPS",$I11392))=FALSE,LEFT($I11392,6)&lt;&gt;"VACUUM"),"CDU",IF($H11392="FLUID CAT CRACKING","FCC",IF(OR($H11392="HYDROCRACKING",$H11392="RESID_HYDROCRACKING"),"Hydrocracker",IF($H11392="REFORMING","Reformer",""))))</f>
        <v/>
      </c>
    </row>
    <row r="11393" spans="6:7">
      <c r="F11393" s="6">
        <f>IF($M11393="PADD I","PADD 1",IF($M11393="PADD II","PADD 2",IF($M11393="PADD III","PADD 3",IF($M11393="PADD IV","PADD 4",IF($M11393="PADD V","PADD 5","")))))</f>
        <v/>
      </c>
      <c r="G11393" s="6">
        <f>IF(AND($H11393="ATMOS DISTILLATION",ISNUMBER(SEARCH("VPS",$I11393))=FALSE,LEFT($I11393,6)&lt;&gt;"VACUUM"),"CDU",IF($H11393="FLUID CAT CRACKING","FCC",IF(OR($H11393="HYDROCRACKING",$H11393="RESID_HYDROCRACKING"),"Hydrocracker",IF($H11393="REFORMING","Reformer",""))))</f>
        <v/>
      </c>
    </row>
    <row r="11394" spans="6:7">
      <c r="F11394" s="6">
        <f>IF($M11394="PADD I","PADD 1",IF($M11394="PADD II","PADD 2",IF($M11394="PADD III","PADD 3",IF($M11394="PADD IV","PADD 4",IF($M11394="PADD V","PADD 5","")))))</f>
        <v/>
      </c>
      <c r="G11394" s="6">
        <f>IF(AND($H11394="ATMOS DISTILLATION",ISNUMBER(SEARCH("VPS",$I11394))=FALSE,LEFT($I11394,6)&lt;&gt;"VACUUM"),"CDU",IF($H11394="FLUID CAT CRACKING","FCC",IF(OR($H11394="HYDROCRACKING",$H11394="RESID_HYDROCRACKING"),"Hydrocracker",IF($H11394="REFORMING","Reformer",""))))</f>
        <v/>
      </c>
    </row>
    <row r="11395" spans="6:7">
      <c r="F11395" s="6">
        <f>IF($M11395="PADD I","PADD 1",IF($M11395="PADD II","PADD 2",IF($M11395="PADD III","PADD 3",IF($M11395="PADD IV","PADD 4",IF($M11395="PADD V","PADD 5","")))))</f>
        <v/>
      </c>
      <c r="G11395" s="6">
        <f>IF(AND($H11395="ATMOS DISTILLATION",ISNUMBER(SEARCH("VPS",$I11395))=FALSE,LEFT($I11395,6)&lt;&gt;"VACUUM"),"CDU",IF($H11395="FLUID CAT CRACKING","FCC",IF(OR($H11395="HYDROCRACKING",$H11395="RESID_HYDROCRACKING"),"Hydrocracker",IF($H11395="REFORMING","Reformer",""))))</f>
        <v/>
      </c>
    </row>
    <row r="11396" spans="6:7">
      <c r="F11396" s="6">
        <f>IF($M11396="PADD I","PADD 1",IF($M11396="PADD II","PADD 2",IF($M11396="PADD III","PADD 3",IF($M11396="PADD IV","PADD 4",IF($M11396="PADD V","PADD 5","")))))</f>
        <v/>
      </c>
      <c r="G11396" s="6">
        <f>IF(AND($H11396="ATMOS DISTILLATION",ISNUMBER(SEARCH("VPS",$I11396))=FALSE,LEFT($I11396,6)&lt;&gt;"VACUUM"),"CDU",IF($H11396="FLUID CAT CRACKING","FCC",IF(OR($H11396="HYDROCRACKING",$H11396="RESID_HYDROCRACKING"),"Hydrocracker",IF($H11396="REFORMING","Reformer",""))))</f>
        <v/>
      </c>
    </row>
    <row r="11397" spans="6:7">
      <c r="F11397" s="6">
        <f>IF($M11397="PADD I","PADD 1",IF($M11397="PADD II","PADD 2",IF($M11397="PADD III","PADD 3",IF($M11397="PADD IV","PADD 4",IF($M11397="PADD V","PADD 5","")))))</f>
        <v/>
      </c>
      <c r="G11397" s="6">
        <f>IF(AND($H11397="ATMOS DISTILLATION",ISNUMBER(SEARCH("VPS",$I11397))=FALSE,LEFT($I11397,6)&lt;&gt;"VACUUM"),"CDU",IF($H11397="FLUID CAT CRACKING","FCC",IF(OR($H11397="HYDROCRACKING",$H11397="RESID_HYDROCRACKING"),"Hydrocracker",IF($H11397="REFORMING","Reformer",""))))</f>
        <v/>
      </c>
    </row>
    <row r="11398" spans="6:7">
      <c r="F11398" s="6">
        <f>IF($M11398="PADD I","PADD 1",IF($M11398="PADD II","PADD 2",IF($M11398="PADD III","PADD 3",IF($M11398="PADD IV","PADD 4",IF($M11398="PADD V","PADD 5","")))))</f>
        <v/>
      </c>
      <c r="G11398" s="6">
        <f>IF(AND($H11398="ATMOS DISTILLATION",ISNUMBER(SEARCH("VPS",$I11398))=FALSE,LEFT($I11398,6)&lt;&gt;"VACUUM"),"CDU",IF($H11398="FLUID CAT CRACKING","FCC",IF(OR($H11398="HYDROCRACKING",$H11398="RESID_HYDROCRACKING"),"Hydrocracker",IF($H11398="REFORMING","Reformer",""))))</f>
        <v/>
      </c>
    </row>
    <row r="11399" spans="6:7">
      <c r="F11399" s="6">
        <f>IF($M11399="PADD I","PADD 1",IF($M11399="PADD II","PADD 2",IF($M11399="PADD III","PADD 3",IF($M11399="PADD IV","PADD 4",IF($M11399="PADD V","PADD 5","")))))</f>
        <v/>
      </c>
      <c r="G11399" s="6">
        <f>IF(AND($H11399="ATMOS DISTILLATION",ISNUMBER(SEARCH("VPS",$I11399))=FALSE,LEFT($I11399,6)&lt;&gt;"VACUUM"),"CDU",IF($H11399="FLUID CAT CRACKING","FCC",IF(OR($H11399="HYDROCRACKING",$H11399="RESID_HYDROCRACKING"),"Hydrocracker",IF($H11399="REFORMING","Reformer",""))))</f>
        <v/>
      </c>
    </row>
    <row r="11400" spans="6:7">
      <c r="F11400" s="6">
        <f>IF($M11400="PADD I","PADD 1",IF($M11400="PADD II","PADD 2",IF($M11400="PADD III","PADD 3",IF($M11400="PADD IV","PADD 4",IF($M11400="PADD V","PADD 5","")))))</f>
        <v/>
      </c>
      <c r="G11400" s="6">
        <f>IF(AND($H11400="ATMOS DISTILLATION",ISNUMBER(SEARCH("VPS",$I11400))=FALSE,LEFT($I11400,6)&lt;&gt;"VACUUM"),"CDU",IF($H11400="FLUID CAT CRACKING","FCC",IF(OR($H11400="HYDROCRACKING",$H11400="RESID_HYDROCRACKING"),"Hydrocracker",IF($H11400="REFORMING","Reformer",""))))</f>
        <v/>
      </c>
    </row>
    <row r="11401" spans="6:7">
      <c r="F11401" s="6">
        <f>IF($M11401="PADD I","PADD 1",IF($M11401="PADD II","PADD 2",IF($M11401="PADD III","PADD 3",IF($M11401="PADD IV","PADD 4",IF($M11401="PADD V","PADD 5","")))))</f>
        <v/>
      </c>
      <c r="G11401" s="6">
        <f>IF(AND($H11401="ATMOS DISTILLATION",ISNUMBER(SEARCH("VPS",$I11401))=FALSE,LEFT($I11401,6)&lt;&gt;"VACUUM"),"CDU",IF($H11401="FLUID CAT CRACKING","FCC",IF(OR($H11401="HYDROCRACKING",$H11401="RESID_HYDROCRACKING"),"Hydrocracker",IF($H11401="REFORMING","Reformer",""))))</f>
        <v/>
      </c>
    </row>
    <row r="11402" spans="6:7">
      <c r="F11402" s="6">
        <f>IF($M11402="PADD I","PADD 1",IF($M11402="PADD II","PADD 2",IF($M11402="PADD III","PADD 3",IF($M11402="PADD IV","PADD 4",IF($M11402="PADD V","PADD 5","")))))</f>
        <v/>
      </c>
      <c r="G11402" s="6">
        <f>IF(AND($H11402="ATMOS DISTILLATION",ISNUMBER(SEARCH("VPS",$I11402))=FALSE,LEFT($I11402,6)&lt;&gt;"VACUUM"),"CDU",IF($H11402="FLUID CAT CRACKING","FCC",IF(OR($H11402="HYDROCRACKING",$H11402="RESID_HYDROCRACKING"),"Hydrocracker",IF($H11402="REFORMING","Reformer",""))))</f>
        <v/>
      </c>
    </row>
    <row r="11403" spans="6:7">
      <c r="F11403" s="6">
        <f>IF($M11403="PADD I","PADD 1",IF($M11403="PADD II","PADD 2",IF($M11403="PADD III","PADD 3",IF($M11403="PADD IV","PADD 4",IF($M11403="PADD V","PADD 5","")))))</f>
        <v/>
      </c>
      <c r="G11403" s="6">
        <f>IF(AND($H11403="ATMOS DISTILLATION",ISNUMBER(SEARCH("VPS",$I11403))=FALSE,LEFT($I11403,6)&lt;&gt;"VACUUM"),"CDU",IF($H11403="FLUID CAT CRACKING","FCC",IF(OR($H11403="HYDROCRACKING",$H11403="RESID_HYDROCRACKING"),"Hydrocracker",IF($H11403="REFORMING","Reformer",""))))</f>
        <v/>
      </c>
    </row>
    <row r="11404" spans="6:7">
      <c r="F11404" s="6">
        <f>IF($M11404="PADD I","PADD 1",IF($M11404="PADD II","PADD 2",IF($M11404="PADD III","PADD 3",IF($M11404="PADD IV","PADD 4",IF($M11404="PADD V","PADD 5","")))))</f>
        <v/>
      </c>
      <c r="G11404" s="6">
        <f>IF(AND($H11404="ATMOS DISTILLATION",ISNUMBER(SEARCH("VPS",$I11404))=FALSE,LEFT($I11404,6)&lt;&gt;"VACUUM"),"CDU",IF($H11404="FLUID CAT CRACKING","FCC",IF(OR($H11404="HYDROCRACKING",$H11404="RESID_HYDROCRACKING"),"Hydrocracker",IF($H11404="REFORMING","Reformer",""))))</f>
        <v/>
      </c>
    </row>
    <row r="11405" spans="6:7">
      <c r="F11405" s="6">
        <f>IF($M11405="PADD I","PADD 1",IF($M11405="PADD II","PADD 2",IF($M11405="PADD III","PADD 3",IF($M11405="PADD IV","PADD 4",IF($M11405="PADD V","PADD 5","")))))</f>
        <v/>
      </c>
      <c r="G11405" s="6">
        <f>IF(AND($H11405="ATMOS DISTILLATION",ISNUMBER(SEARCH("VPS",$I11405))=FALSE,LEFT($I11405,6)&lt;&gt;"VACUUM"),"CDU",IF($H11405="FLUID CAT CRACKING","FCC",IF(OR($H11405="HYDROCRACKING",$H11405="RESID_HYDROCRACKING"),"Hydrocracker",IF($H11405="REFORMING","Reformer",""))))</f>
        <v/>
      </c>
    </row>
    <row r="11406" spans="6:7">
      <c r="F11406" s="6">
        <f>IF($M11406="PADD I","PADD 1",IF($M11406="PADD II","PADD 2",IF($M11406="PADD III","PADD 3",IF($M11406="PADD IV","PADD 4",IF($M11406="PADD V","PADD 5","")))))</f>
        <v/>
      </c>
      <c r="G11406" s="6">
        <f>IF(AND($H11406="ATMOS DISTILLATION",ISNUMBER(SEARCH("VPS",$I11406))=FALSE,LEFT($I11406,6)&lt;&gt;"VACUUM"),"CDU",IF($H11406="FLUID CAT CRACKING","FCC",IF(OR($H11406="HYDROCRACKING",$H11406="RESID_HYDROCRACKING"),"Hydrocracker",IF($H11406="REFORMING","Reformer",""))))</f>
        <v/>
      </c>
    </row>
    <row r="11407" spans="6:7">
      <c r="F11407" s="6">
        <f>IF($M11407="PADD I","PADD 1",IF($M11407="PADD II","PADD 2",IF($M11407="PADD III","PADD 3",IF($M11407="PADD IV","PADD 4",IF($M11407="PADD V","PADD 5","")))))</f>
        <v/>
      </c>
      <c r="G11407" s="6">
        <f>IF(AND($H11407="ATMOS DISTILLATION",ISNUMBER(SEARCH("VPS",$I11407))=FALSE,LEFT($I11407,6)&lt;&gt;"VACUUM"),"CDU",IF($H11407="FLUID CAT CRACKING","FCC",IF(OR($H11407="HYDROCRACKING",$H11407="RESID_HYDROCRACKING"),"Hydrocracker",IF($H11407="REFORMING","Reformer",""))))</f>
        <v/>
      </c>
    </row>
    <row r="11408" spans="6:7">
      <c r="F11408" s="6">
        <f>IF($M11408="PADD I","PADD 1",IF($M11408="PADD II","PADD 2",IF($M11408="PADD III","PADD 3",IF($M11408="PADD IV","PADD 4",IF($M11408="PADD V","PADD 5","")))))</f>
        <v/>
      </c>
      <c r="G11408" s="6">
        <f>IF(AND($H11408="ATMOS DISTILLATION",ISNUMBER(SEARCH("VPS",$I11408))=FALSE,LEFT($I11408,6)&lt;&gt;"VACUUM"),"CDU",IF($H11408="FLUID CAT CRACKING","FCC",IF(OR($H11408="HYDROCRACKING",$H11408="RESID_HYDROCRACKING"),"Hydrocracker",IF($H11408="REFORMING","Reformer",""))))</f>
        <v/>
      </c>
    </row>
    <row r="11409" spans="6:7">
      <c r="F11409" s="6">
        <f>IF($M11409="PADD I","PADD 1",IF($M11409="PADD II","PADD 2",IF($M11409="PADD III","PADD 3",IF($M11409="PADD IV","PADD 4",IF($M11409="PADD V","PADD 5","")))))</f>
        <v/>
      </c>
      <c r="G11409" s="6">
        <f>IF(AND($H11409="ATMOS DISTILLATION",ISNUMBER(SEARCH("VPS",$I11409))=FALSE,LEFT($I11409,6)&lt;&gt;"VACUUM"),"CDU",IF($H11409="FLUID CAT CRACKING","FCC",IF(OR($H11409="HYDROCRACKING",$H11409="RESID_HYDROCRACKING"),"Hydrocracker",IF($H11409="REFORMING","Reformer",""))))</f>
        <v/>
      </c>
    </row>
    <row r="11410" spans="6:7">
      <c r="F11410" s="6">
        <f>IF($M11410="PADD I","PADD 1",IF($M11410="PADD II","PADD 2",IF($M11410="PADD III","PADD 3",IF($M11410="PADD IV","PADD 4",IF($M11410="PADD V","PADD 5","")))))</f>
        <v/>
      </c>
      <c r="G11410" s="6">
        <f>IF(AND($H11410="ATMOS DISTILLATION",ISNUMBER(SEARCH("VPS",$I11410))=FALSE,LEFT($I11410,6)&lt;&gt;"VACUUM"),"CDU",IF($H11410="FLUID CAT CRACKING","FCC",IF(OR($H11410="HYDROCRACKING",$H11410="RESID_HYDROCRACKING"),"Hydrocracker",IF($H11410="REFORMING","Reformer",""))))</f>
        <v/>
      </c>
    </row>
    <row r="11411" spans="6:7">
      <c r="F11411" s="6">
        <f>IF($M11411="PADD I","PADD 1",IF($M11411="PADD II","PADD 2",IF($M11411="PADD III","PADD 3",IF($M11411="PADD IV","PADD 4",IF($M11411="PADD V","PADD 5","")))))</f>
        <v/>
      </c>
      <c r="G11411" s="6">
        <f>IF(AND($H11411="ATMOS DISTILLATION",ISNUMBER(SEARCH("VPS",$I11411))=FALSE,LEFT($I11411,6)&lt;&gt;"VACUUM"),"CDU",IF($H11411="FLUID CAT CRACKING","FCC",IF(OR($H11411="HYDROCRACKING",$H11411="RESID_HYDROCRACKING"),"Hydrocracker",IF($H11411="REFORMING","Reformer",""))))</f>
        <v/>
      </c>
    </row>
    <row r="11412" spans="6:7">
      <c r="F11412" s="6">
        <f>IF($M11412="PADD I","PADD 1",IF($M11412="PADD II","PADD 2",IF($M11412="PADD III","PADD 3",IF($M11412="PADD IV","PADD 4",IF($M11412="PADD V","PADD 5","")))))</f>
        <v/>
      </c>
      <c r="G11412" s="6">
        <f>IF(AND($H11412="ATMOS DISTILLATION",ISNUMBER(SEARCH("VPS",$I11412))=FALSE,LEFT($I11412,6)&lt;&gt;"VACUUM"),"CDU",IF($H11412="FLUID CAT CRACKING","FCC",IF(OR($H11412="HYDROCRACKING",$H11412="RESID_HYDROCRACKING"),"Hydrocracker",IF($H11412="REFORMING","Reformer",""))))</f>
        <v/>
      </c>
    </row>
    <row r="11413" spans="6:7">
      <c r="F11413" s="6">
        <f>IF($M11413="PADD I","PADD 1",IF($M11413="PADD II","PADD 2",IF($M11413="PADD III","PADD 3",IF($M11413="PADD IV","PADD 4",IF($M11413="PADD V","PADD 5","")))))</f>
        <v/>
      </c>
      <c r="G11413" s="6">
        <f>IF(AND($H11413="ATMOS DISTILLATION",ISNUMBER(SEARCH("VPS",$I11413))=FALSE,LEFT($I11413,6)&lt;&gt;"VACUUM"),"CDU",IF($H11413="FLUID CAT CRACKING","FCC",IF(OR($H11413="HYDROCRACKING",$H11413="RESID_HYDROCRACKING"),"Hydrocracker",IF($H11413="REFORMING","Reformer",""))))</f>
        <v/>
      </c>
    </row>
    <row r="11414" spans="6:7">
      <c r="F11414" s="6">
        <f>IF($M11414="PADD I","PADD 1",IF($M11414="PADD II","PADD 2",IF($M11414="PADD III","PADD 3",IF($M11414="PADD IV","PADD 4",IF($M11414="PADD V","PADD 5","")))))</f>
        <v/>
      </c>
      <c r="G11414" s="6">
        <f>IF(AND($H11414="ATMOS DISTILLATION",ISNUMBER(SEARCH("VPS",$I11414))=FALSE,LEFT($I11414,6)&lt;&gt;"VACUUM"),"CDU",IF($H11414="FLUID CAT CRACKING","FCC",IF(OR($H11414="HYDROCRACKING",$H11414="RESID_HYDROCRACKING"),"Hydrocracker",IF($H11414="REFORMING","Reformer",""))))</f>
        <v/>
      </c>
    </row>
    <row r="11415" spans="6:7">
      <c r="F11415" s="6">
        <f>IF($M11415="PADD I","PADD 1",IF($M11415="PADD II","PADD 2",IF($M11415="PADD III","PADD 3",IF($M11415="PADD IV","PADD 4",IF($M11415="PADD V","PADD 5","")))))</f>
        <v/>
      </c>
      <c r="G11415" s="6">
        <f>IF(AND($H11415="ATMOS DISTILLATION",ISNUMBER(SEARCH("VPS",$I11415))=FALSE,LEFT($I11415,6)&lt;&gt;"VACUUM"),"CDU",IF($H11415="FLUID CAT CRACKING","FCC",IF(OR($H11415="HYDROCRACKING",$H11415="RESID_HYDROCRACKING"),"Hydrocracker",IF($H11415="REFORMING","Reformer",""))))</f>
        <v/>
      </c>
    </row>
    <row r="11416" spans="6:7">
      <c r="F11416" s="6">
        <f>IF($M11416="PADD I","PADD 1",IF($M11416="PADD II","PADD 2",IF($M11416="PADD III","PADD 3",IF($M11416="PADD IV","PADD 4",IF($M11416="PADD V","PADD 5","")))))</f>
        <v/>
      </c>
      <c r="G11416" s="6">
        <f>IF(AND($H11416="ATMOS DISTILLATION",ISNUMBER(SEARCH("VPS",$I11416))=FALSE,LEFT($I11416,6)&lt;&gt;"VACUUM"),"CDU",IF($H11416="FLUID CAT CRACKING","FCC",IF(OR($H11416="HYDROCRACKING",$H11416="RESID_HYDROCRACKING"),"Hydrocracker",IF($H11416="REFORMING","Reformer",""))))</f>
        <v/>
      </c>
    </row>
    <row r="11417" spans="6:7">
      <c r="F11417" s="6">
        <f>IF($M11417="PADD I","PADD 1",IF($M11417="PADD II","PADD 2",IF($M11417="PADD III","PADD 3",IF($M11417="PADD IV","PADD 4",IF($M11417="PADD V","PADD 5","")))))</f>
        <v/>
      </c>
      <c r="G11417" s="6">
        <f>IF(AND($H11417="ATMOS DISTILLATION",ISNUMBER(SEARCH("VPS",$I11417))=FALSE,LEFT($I11417,6)&lt;&gt;"VACUUM"),"CDU",IF($H11417="FLUID CAT CRACKING","FCC",IF(OR($H11417="HYDROCRACKING",$H11417="RESID_HYDROCRACKING"),"Hydrocracker",IF($H11417="REFORMING","Reformer",""))))</f>
        <v/>
      </c>
    </row>
    <row r="11418" spans="6:7">
      <c r="F11418" s="6">
        <f>IF($M11418="PADD I","PADD 1",IF($M11418="PADD II","PADD 2",IF($M11418="PADD III","PADD 3",IF($M11418="PADD IV","PADD 4",IF($M11418="PADD V","PADD 5","")))))</f>
        <v/>
      </c>
      <c r="G11418" s="6">
        <f>IF(AND($H11418="ATMOS DISTILLATION",ISNUMBER(SEARCH("VPS",$I11418))=FALSE,LEFT($I11418,6)&lt;&gt;"VACUUM"),"CDU",IF($H11418="FLUID CAT CRACKING","FCC",IF(OR($H11418="HYDROCRACKING",$H11418="RESID_HYDROCRACKING"),"Hydrocracker",IF($H11418="REFORMING","Reformer",""))))</f>
        <v/>
      </c>
    </row>
    <row r="11419" spans="6:7">
      <c r="F11419" s="6">
        <f>IF($M11419="PADD I","PADD 1",IF($M11419="PADD II","PADD 2",IF($M11419="PADD III","PADD 3",IF($M11419="PADD IV","PADD 4",IF($M11419="PADD V","PADD 5","")))))</f>
        <v/>
      </c>
      <c r="G11419" s="6">
        <f>IF(AND($H11419="ATMOS DISTILLATION",ISNUMBER(SEARCH("VPS",$I11419))=FALSE,LEFT($I11419,6)&lt;&gt;"VACUUM"),"CDU",IF($H11419="FLUID CAT CRACKING","FCC",IF(OR($H11419="HYDROCRACKING",$H11419="RESID_HYDROCRACKING"),"Hydrocracker",IF($H11419="REFORMING","Reformer",""))))</f>
        <v/>
      </c>
    </row>
    <row r="11420" spans="6:7">
      <c r="F11420" s="6">
        <f>IF($M11420="PADD I","PADD 1",IF($M11420="PADD II","PADD 2",IF($M11420="PADD III","PADD 3",IF($M11420="PADD IV","PADD 4",IF($M11420="PADD V","PADD 5","")))))</f>
        <v/>
      </c>
      <c r="G11420" s="6">
        <f>IF(AND($H11420="ATMOS DISTILLATION",ISNUMBER(SEARCH("VPS",$I11420))=FALSE,LEFT($I11420,6)&lt;&gt;"VACUUM"),"CDU",IF($H11420="FLUID CAT CRACKING","FCC",IF(OR($H11420="HYDROCRACKING",$H11420="RESID_HYDROCRACKING"),"Hydrocracker",IF($H11420="REFORMING","Reformer",""))))</f>
        <v/>
      </c>
    </row>
    <row r="11421" spans="6:7">
      <c r="F11421" s="6">
        <f>IF($M11421="PADD I","PADD 1",IF($M11421="PADD II","PADD 2",IF($M11421="PADD III","PADD 3",IF($M11421="PADD IV","PADD 4",IF($M11421="PADD V","PADD 5","")))))</f>
        <v/>
      </c>
      <c r="G11421" s="6">
        <f>IF(AND($H11421="ATMOS DISTILLATION",ISNUMBER(SEARCH("VPS",$I11421))=FALSE,LEFT($I11421,6)&lt;&gt;"VACUUM"),"CDU",IF($H11421="FLUID CAT CRACKING","FCC",IF(OR($H11421="HYDROCRACKING",$H11421="RESID_HYDROCRACKING"),"Hydrocracker",IF($H11421="REFORMING","Reformer",""))))</f>
        <v/>
      </c>
    </row>
    <row r="11422" spans="6:7">
      <c r="F11422" s="6">
        <f>IF($M11422="PADD I","PADD 1",IF($M11422="PADD II","PADD 2",IF($M11422="PADD III","PADD 3",IF($M11422="PADD IV","PADD 4",IF($M11422="PADD V","PADD 5","")))))</f>
        <v/>
      </c>
      <c r="G11422" s="6">
        <f>IF(AND($H11422="ATMOS DISTILLATION",ISNUMBER(SEARCH("VPS",$I11422))=FALSE,LEFT($I11422,6)&lt;&gt;"VACUUM"),"CDU",IF($H11422="FLUID CAT CRACKING","FCC",IF(OR($H11422="HYDROCRACKING",$H11422="RESID_HYDROCRACKING"),"Hydrocracker",IF($H11422="REFORMING","Reformer",""))))</f>
        <v/>
      </c>
    </row>
    <row r="11423" spans="6:7">
      <c r="F11423" s="6">
        <f>IF($M11423="PADD I","PADD 1",IF($M11423="PADD II","PADD 2",IF($M11423="PADD III","PADD 3",IF($M11423="PADD IV","PADD 4",IF($M11423="PADD V","PADD 5","")))))</f>
        <v/>
      </c>
      <c r="G11423" s="6">
        <f>IF(AND($H11423="ATMOS DISTILLATION",ISNUMBER(SEARCH("VPS",$I11423))=FALSE,LEFT($I11423,6)&lt;&gt;"VACUUM"),"CDU",IF($H11423="FLUID CAT CRACKING","FCC",IF(OR($H11423="HYDROCRACKING",$H11423="RESID_HYDROCRACKING"),"Hydrocracker",IF($H11423="REFORMING","Reformer",""))))</f>
        <v/>
      </c>
    </row>
    <row r="11424" spans="6:7">
      <c r="F11424" s="6">
        <f>IF($M11424="PADD I","PADD 1",IF($M11424="PADD II","PADD 2",IF($M11424="PADD III","PADD 3",IF($M11424="PADD IV","PADD 4",IF($M11424="PADD V","PADD 5","")))))</f>
        <v/>
      </c>
      <c r="G11424" s="6">
        <f>IF(AND($H11424="ATMOS DISTILLATION",ISNUMBER(SEARCH("VPS",$I11424))=FALSE,LEFT($I11424,6)&lt;&gt;"VACUUM"),"CDU",IF($H11424="FLUID CAT CRACKING","FCC",IF(OR($H11424="HYDROCRACKING",$H11424="RESID_HYDROCRACKING"),"Hydrocracker",IF($H11424="REFORMING","Reformer",""))))</f>
        <v/>
      </c>
    </row>
    <row r="11425" spans="6:7">
      <c r="F11425" s="6">
        <f>IF($M11425="PADD I","PADD 1",IF($M11425="PADD II","PADD 2",IF($M11425="PADD III","PADD 3",IF($M11425="PADD IV","PADD 4",IF($M11425="PADD V","PADD 5","")))))</f>
        <v/>
      </c>
      <c r="G11425" s="6">
        <f>IF(AND($H11425="ATMOS DISTILLATION",ISNUMBER(SEARCH("VPS",$I11425))=FALSE,LEFT($I11425,6)&lt;&gt;"VACUUM"),"CDU",IF($H11425="FLUID CAT CRACKING","FCC",IF(OR($H11425="HYDROCRACKING",$H11425="RESID_HYDROCRACKING"),"Hydrocracker",IF($H11425="REFORMING","Reformer",""))))</f>
        <v/>
      </c>
    </row>
    <row r="11426" spans="6:7">
      <c r="F11426" s="6">
        <f>IF($M11426="PADD I","PADD 1",IF($M11426="PADD II","PADD 2",IF($M11426="PADD III","PADD 3",IF($M11426="PADD IV","PADD 4",IF($M11426="PADD V","PADD 5","")))))</f>
        <v/>
      </c>
      <c r="G11426" s="6">
        <f>IF(AND($H11426="ATMOS DISTILLATION",ISNUMBER(SEARCH("VPS",$I11426))=FALSE,LEFT($I11426,6)&lt;&gt;"VACUUM"),"CDU",IF($H11426="FLUID CAT CRACKING","FCC",IF(OR($H11426="HYDROCRACKING",$H11426="RESID_HYDROCRACKING"),"Hydrocracker",IF($H11426="REFORMING","Reformer",""))))</f>
        <v/>
      </c>
    </row>
    <row r="11427" spans="6:7">
      <c r="F11427" s="6">
        <f>IF($M11427="PADD I","PADD 1",IF($M11427="PADD II","PADD 2",IF($M11427="PADD III","PADD 3",IF($M11427="PADD IV","PADD 4",IF($M11427="PADD V","PADD 5","")))))</f>
        <v/>
      </c>
      <c r="G11427" s="6">
        <f>IF(AND($H11427="ATMOS DISTILLATION",ISNUMBER(SEARCH("VPS",$I11427))=FALSE,LEFT($I11427,6)&lt;&gt;"VACUUM"),"CDU",IF($H11427="FLUID CAT CRACKING","FCC",IF(OR($H11427="HYDROCRACKING",$H11427="RESID_HYDROCRACKING"),"Hydrocracker",IF($H11427="REFORMING","Reformer",""))))</f>
        <v/>
      </c>
    </row>
    <row r="11428" spans="6:7">
      <c r="F11428" s="6">
        <f>IF($M11428="PADD I","PADD 1",IF($M11428="PADD II","PADD 2",IF($M11428="PADD III","PADD 3",IF($M11428="PADD IV","PADD 4",IF($M11428="PADD V","PADD 5","")))))</f>
        <v/>
      </c>
      <c r="G11428" s="6">
        <f>IF(AND($H11428="ATMOS DISTILLATION",ISNUMBER(SEARCH("VPS",$I11428))=FALSE,LEFT($I11428,6)&lt;&gt;"VACUUM"),"CDU",IF($H11428="FLUID CAT CRACKING","FCC",IF(OR($H11428="HYDROCRACKING",$H11428="RESID_HYDROCRACKING"),"Hydrocracker",IF($H11428="REFORMING","Reformer",""))))</f>
        <v/>
      </c>
    </row>
    <row r="11429" spans="6:7">
      <c r="F11429" s="6">
        <f>IF($M11429="PADD I","PADD 1",IF($M11429="PADD II","PADD 2",IF($M11429="PADD III","PADD 3",IF($M11429="PADD IV","PADD 4",IF($M11429="PADD V","PADD 5","")))))</f>
        <v/>
      </c>
      <c r="G11429" s="6">
        <f>IF(AND($H11429="ATMOS DISTILLATION",ISNUMBER(SEARCH("VPS",$I11429))=FALSE,LEFT($I11429,6)&lt;&gt;"VACUUM"),"CDU",IF($H11429="FLUID CAT CRACKING","FCC",IF(OR($H11429="HYDROCRACKING",$H11429="RESID_HYDROCRACKING"),"Hydrocracker",IF($H11429="REFORMING","Reformer",""))))</f>
        <v/>
      </c>
    </row>
    <row r="11430" spans="6:7">
      <c r="F11430" s="6">
        <f>IF($M11430="PADD I","PADD 1",IF($M11430="PADD II","PADD 2",IF($M11430="PADD III","PADD 3",IF($M11430="PADD IV","PADD 4",IF($M11430="PADD V","PADD 5","")))))</f>
        <v/>
      </c>
      <c r="G11430" s="6">
        <f>IF(AND($H11430="ATMOS DISTILLATION",ISNUMBER(SEARCH("VPS",$I11430))=FALSE,LEFT($I11430,6)&lt;&gt;"VACUUM"),"CDU",IF($H11430="FLUID CAT CRACKING","FCC",IF(OR($H11430="HYDROCRACKING",$H11430="RESID_HYDROCRACKING"),"Hydrocracker",IF($H11430="REFORMING","Reformer",""))))</f>
        <v/>
      </c>
    </row>
    <row r="11431" spans="6:7">
      <c r="F11431" s="6">
        <f>IF($M11431="PADD I","PADD 1",IF($M11431="PADD II","PADD 2",IF($M11431="PADD III","PADD 3",IF($M11431="PADD IV","PADD 4",IF($M11431="PADD V","PADD 5","")))))</f>
        <v/>
      </c>
      <c r="G11431" s="6">
        <f>IF(AND($H11431="ATMOS DISTILLATION",ISNUMBER(SEARCH("VPS",$I11431))=FALSE,LEFT($I11431,6)&lt;&gt;"VACUUM"),"CDU",IF($H11431="FLUID CAT CRACKING","FCC",IF(OR($H11431="HYDROCRACKING",$H11431="RESID_HYDROCRACKING"),"Hydrocracker",IF($H11431="REFORMING","Reformer",""))))</f>
        <v/>
      </c>
    </row>
    <row r="11432" spans="6:7">
      <c r="F11432" s="6">
        <f>IF($M11432="PADD I","PADD 1",IF($M11432="PADD II","PADD 2",IF($M11432="PADD III","PADD 3",IF($M11432="PADD IV","PADD 4",IF($M11432="PADD V","PADD 5","")))))</f>
        <v/>
      </c>
      <c r="G11432" s="6">
        <f>IF(AND($H11432="ATMOS DISTILLATION",ISNUMBER(SEARCH("VPS",$I11432))=FALSE,LEFT($I11432,6)&lt;&gt;"VACUUM"),"CDU",IF($H11432="FLUID CAT CRACKING","FCC",IF(OR($H11432="HYDROCRACKING",$H11432="RESID_HYDROCRACKING"),"Hydrocracker",IF($H11432="REFORMING","Reformer",""))))</f>
        <v/>
      </c>
    </row>
    <row r="11433" spans="6:7">
      <c r="F11433" s="6">
        <f>IF($M11433="PADD I","PADD 1",IF($M11433="PADD II","PADD 2",IF($M11433="PADD III","PADD 3",IF($M11433="PADD IV","PADD 4",IF($M11433="PADD V","PADD 5","")))))</f>
        <v/>
      </c>
      <c r="G11433" s="6">
        <f>IF(AND($H11433="ATMOS DISTILLATION",ISNUMBER(SEARCH("VPS",$I11433))=FALSE,LEFT($I11433,6)&lt;&gt;"VACUUM"),"CDU",IF($H11433="FLUID CAT CRACKING","FCC",IF(OR($H11433="HYDROCRACKING",$H11433="RESID_HYDROCRACKING"),"Hydrocracker",IF($H11433="REFORMING","Reformer",""))))</f>
        <v/>
      </c>
    </row>
    <row r="11434" spans="6:7">
      <c r="F11434" s="6">
        <f>IF($M11434="PADD I","PADD 1",IF($M11434="PADD II","PADD 2",IF($M11434="PADD III","PADD 3",IF($M11434="PADD IV","PADD 4",IF($M11434="PADD V","PADD 5","")))))</f>
        <v/>
      </c>
      <c r="G11434" s="6">
        <f>IF(AND($H11434="ATMOS DISTILLATION",ISNUMBER(SEARCH("VPS",$I11434))=FALSE,LEFT($I11434,6)&lt;&gt;"VACUUM"),"CDU",IF($H11434="FLUID CAT CRACKING","FCC",IF(OR($H11434="HYDROCRACKING",$H11434="RESID_HYDROCRACKING"),"Hydrocracker",IF($H11434="REFORMING","Reformer",""))))</f>
        <v/>
      </c>
    </row>
    <row r="11435" spans="6:7">
      <c r="F11435" s="6">
        <f>IF($M11435="PADD I","PADD 1",IF($M11435="PADD II","PADD 2",IF($M11435="PADD III","PADD 3",IF($M11435="PADD IV","PADD 4",IF($M11435="PADD V","PADD 5","")))))</f>
        <v/>
      </c>
      <c r="G11435" s="6">
        <f>IF(AND($H11435="ATMOS DISTILLATION",ISNUMBER(SEARCH("VPS",$I11435))=FALSE,LEFT($I11435,6)&lt;&gt;"VACUUM"),"CDU",IF($H11435="FLUID CAT CRACKING","FCC",IF(OR($H11435="HYDROCRACKING",$H11435="RESID_HYDROCRACKING"),"Hydrocracker",IF($H11435="REFORMING","Reformer",""))))</f>
        <v/>
      </c>
    </row>
    <row r="11436" spans="6:7">
      <c r="F11436" s="6">
        <f>IF($M11436="PADD I","PADD 1",IF($M11436="PADD II","PADD 2",IF($M11436="PADD III","PADD 3",IF($M11436="PADD IV","PADD 4",IF($M11436="PADD V","PADD 5","")))))</f>
        <v/>
      </c>
      <c r="G11436" s="6">
        <f>IF(AND($H11436="ATMOS DISTILLATION",ISNUMBER(SEARCH("VPS",$I11436))=FALSE,LEFT($I11436,6)&lt;&gt;"VACUUM"),"CDU",IF($H11436="FLUID CAT CRACKING","FCC",IF(OR($H11436="HYDROCRACKING",$H11436="RESID_HYDROCRACKING"),"Hydrocracker",IF($H11436="REFORMING","Reformer",""))))</f>
        <v/>
      </c>
    </row>
    <row r="11437" spans="6:7">
      <c r="F11437" s="6">
        <f>IF($M11437="PADD I","PADD 1",IF($M11437="PADD II","PADD 2",IF($M11437="PADD III","PADD 3",IF($M11437="PADD IV","PADD 4",IF($M11437="PADD V","PADD 5","")))))</f>
        <v/>
      </c>
      <c r="G11437" s="6">
        <f>IF(AND($H11437="ATMOS DISTILLATION",ISNUMBER(SEARCH("VPS",$I11437))=FALSE,LEFT($I11437,6)&lt;&gt;"VACUUM"),"CDU",IF($H11437="FLUID CAT CRACKING","FCC",IF(OR($H11437="HYDROCRACKING",$H11437="RESID_HYDROCRACKING"),"Hydrocracker",IF($H11437="REFORMING","Reformer",""))))</f>
        <v/>
      </c>
    </row>
    <row r="11438" spans="6:7">
      <c r="F11438" s="6">
        <f>IF($M11438="PADD I","PADD 1",IF($M11438="PADD II","PADD 2",IF($M11438="PADD III","PADD 3",IF($M11438="PADD IV","PADD 4",IF($M11438="PADD V","PADD 5","")))))</f>
        <v/>
      </c>
      <c r="G11438" s="6">
        <f>IF(AND($H11438="ATMOS DISTILLATION",ISNUMBER(SEARCH("VPS",$I11438))=FALSE,LEFT($I11438,6)&lt;&gt;"VACUUM"),"CDU",IF($H11438="FLUID CAT CRACKING","FCC",IF(OR($H11438="HYDROCRACKING",$H11438="RESID_HYDROCRACKING"),"Hydrocracker",IF($H11438="REFORMING","Reformer",""))))</f>
        <v/>
      </c>
    </row>
    <row r="11439" spans="6:7">
      <c r="F11439" s="6">
        <f>IF($M11439="PADD I","PADD 1",IF($M11439="PADD II","PADD 2",IF($M11439="PADD III","PADD 3",IF($M11439="PADD IV","PADD 4",IF($M11439="PADD V","PADD 5","")))))</f>
        <v/>
      </c>
      <c r="G11439" s="6">
        <f>IF(AND($H11439="ATMOS DISTILLATION",ISNUMBER(SEARCH("VPS",$I11439))=FALSE,LEFT($I11439,6)&lt;&gt;"VACUUM"),"CDU",IF($H11439="FLUID CAT CRACKING","FCC",IF(OR($H11439="HYDROCRACKING",$H11439="RESID_HYDROCRACKING"),"Hydrocracker",IF($H11439="REFORMING","Reformer",""))))</f>
        <v/>
      </c>
    </row>
    <row r="11440" spans="6:7">
      <c r="F11440" s="6">
        <f>IF($M11440="PADD I","PADD 1",IF($M11440="PADD II","PADD 2",IF($M11440="PADD III","PADD 3",IF($M11440="PADD IV","PADD 4",IF($M11440="PADD V","PADD 5","")))))</f>
        <v/>
      </c>
      <c r="G11440" s="6">
        <f>IF(AND($H11440="ATMOS DISTILLATION",ISNUMBER(SEARCH("VPS",$I11440))=FALSE,LEFT($I11440,6)&lt;&gt;"VACUUM"),"CDU",IF($H11440="FLUID CAT CRACKING","FCC",IF(OR($H11440="HYDROCRACKING",$H11440="RESID_HYDROCRACKING"),"Hydrocracker",IF($H11440="REFORMING","Reformer",""))))</f>
        <v/>
      </c>
    </row>
    <row r="11441" spans="6:7">
      <c r="F11441" s="6">
        <f>IF($M11441="PADD I","PADD 1",IF($M11441="PADD II","PADD 2",IF($M11441="PADD III","PADD 3",IF($M11441="PADD IV","PADD 4",IF($M11441="PADD V","PADD 5","")))))</f>
        <v/>
      </c>
      <c r="G11441" s="6">
        <f>IF(AND($H11441="ATMOS DISTILLATION",ISNUMBER(SEARCH("VPS",$I11441))=FALSE,LEFT($I11441,6)&lt;&gt;"VACUUM"),"CDU",IF($H11441="FLUID CAT CRACKING","FCC",IF(OR($H11441="HYDROCRACKING",$H11441="RESID_HYDROCRACKING"),"Hydrocracker",IF($H11441="REFORMING","Reformer",""))))</f>
        <v/>
      </c>
    </row>
    <row r="11442" spans="6:7">
      <c r="F11442" s="6">
        <f>IF($M11442="PADD I","PADD 1",IF($M11442="PADD II","PADD 2",IF($M11442="PADD III","PADD 3",IF($M11442="PADD IV","PADD 4",IF($M11442="PADD V","PADD 5","")))))</f>
        <v/>
      </c>
      <c r="G11442" s="6">
        <f>IF(AND($H11442="ATMOS DISTILLATION",ISNUMBER(SEARCH("VPS",$I11442))=FALSE,LEFT($I11442,6)&lt;&gt;"VACUUM"),"CDU",IF($H11442="FLUID CAT CRACKING","FCC",IF(OR($H11442="HYDROCRACKING",$H11442="RESID_HYDROCRACKING"),"Hydrocracker",IF($H11442="REFORMING","Reformer",""))))</f>
        <v/>
      </c>
    </row>
    <row r="11443" spans="6:7">
      <c r="F11443" s="6">
        <f>IF($M11443="PADD I","PADD 1",IF($M11443="PADD II","PADD 2",IF($M11443="PADD III","PADD 3",IF($M11443="PADD IV","PADD 4",IF($M11443="PADD V","PADD 5","")))))</f>
        <v/>
      </c>
      <c r="G11443" s="6">
        <f>IF(AND($H11443="ATMOS DISTILLATION",ISNUMBER(SEARCH("VPS",$I11443))=FALSE,LEFT($I11443,6)&lt;&gt;"VACUUM"),"CDU",IF($H11443="FLUID CAT CRACKING","FCC",IF(OR($H11443="HYDROCRACKING",$H11443="RESID_HYDROCRACKING"),"Hydrocracker",IF($H11443="REFORMING","Reformer",""))))</f>
        <v/>
      </c>
    </row>
    <row r="11444" spans="6:7">
      <c r="F11444" s="6">
        <f>IF($M11444="PADD I","PADD 1",IF($M11444="PADD II","PADD 2",IF($M11444="PADD III","PADD 3",IF($M11444="PADD IV","PADD 4",IF($M11444="PADD V","PADD 5","")))))</f>
        <v/>
      </c>
      <c r="G11444" s="6">
        <f>IF(AND($H11444="ATMOS DISTILLATION",ISNUMBER(SEARCH("VPS",$I11444))=FALSE,LEFT($I11444,6)&lt;&gt;"VACUUM"),"CDU",IF($H11444="FLUID CAT CRACKING","FCC",IF(OR($H11444="HYDROCRACKING",$H11444="RESID_HYDROCRACKING"),"Hydrocracker",IF($H11444="REFORMING","Reformer",""))))</f>
        <v/>
      </c>
    </row>
    <row r="11445" spans="6:7">
      <c r="F11445" s="6">
        <f>IF($M11445="PADD I","PADD 1",IF($M11445="PADD II","PADD 2",IF($M11445="PADD III","PADD 3",IF($M11445="PADD IV","PADD 4",IF($M11445="PADD V","PADD 5","")))))</f>
        <v/>
      </c>
      <c r="G11445" s="6">
        <f>IF(AND($H11445="ATMOS DISTILLATION",ISNUMBER(SEARCH("VPS",$I11445))=FALSE,LEFT($I11445,6)&lt;&gt;"VACUUM"),"CDU",IF($H11445="FLUID CAT CRACKING","FCC",IF(OR($H11445="HYDROCRACKING",$H11445="RESID_HYDROCRACKING"),"Hydrocracker",IF($H11445="REFORMING","Reformer",""))))</f>
        <v/>
      </c>
    </row>
    <row r="11446" spans="6:7">
      <c r="F11446" s="6">
        <f>IF($M11446="PADD I","PADD 1",IF($M11446="PADD II","PADD 2",IF($M11446="PADD III","PADD 3",IF($M11446="PADD IV","PADD 4",IF($M11446="PADD V","PADD 5","")))))</f>
        <v/>
      </c>
      <c r="G11446" s="6">
        <f>IF(AND($H11446="ATMOS DISTILLATION",ISNUMBER(SEARCH("VPS",$I11446))=FALSE,LEFT($I11446,6)&lt;&gt;"VACUUM"),"CDU",IF($H11446="FLUID CAT CRACKING","FCC",IF(OR($H11446="HYDROCRACKING",$H11446="RESID_HYDROCRACKING"),"Hydrocracker",IF($H11446="REFORMING","Reformer",""))))</f>
        <v/>
      </c>
    </row>
    <row r="11447" spans="6:7">
      <c r="F11447" s="6">
        <f>IF($M11447="PADD I","PADD 1",IF($M11447="PADD II","PADD 2",IF($M11447="PADD III","PADD 3",IF($M11447="PADD IV","PADD 4",IF($M11447="PADD V","PADD 5","")))))</f>
        <v/>
      </c>
      <c r="G11447" s="6">
        <f>IF(AND($H11447="ATMOS DISTILLATION",ISNUMBER(SEARCH("VPS",$I11447))=FALSE,LEFT($I11447,6)&lt;&gt;"VACUUM"),"CDU",IF($H11447="FLUID CAT CRACKING","FCC",IF(OR($H11447="HYDROCRACKING",$H11447="RESID_HYDROCRACKING"),"Hydrocracker",IF($H11447="REFORMING","Reformer",""))))</f>
        <v/>
      </c>
    </row>
    <row r="11448" spans="6:7">
      <c r="F11448" s="6">
        <f>IF($M11448="PADD I","PADD 1",IF($M11448="PADD II","PADD 2",IF($M11448="PADD III","PADD 3",IF($M11448="PADD IV","PADD 4",IF($M11448="PADD V","PADD 5","")))))</f>
        <v/>
      </c>
      <c r="G11448" s="6">
        <f>IF(AND($H11448="ATMOS DISTILLATION",ISNUMBER(SEARCH("VPS",$I11448))=FALSE,LEFT($I11448,6)&lt;&gt;"VACUUM"),"CDU",IF($H11448="FLUID CAT CRACKING","FCC",IF(OR($H11448="HYDROCRACKING",$H11448="RESID_HYDROCRACKING"),"Hydrocracker",IF($H11448="REFORMING","Reformer",""))))</f>
        <v/>
      </c>
    </row>
    <row r="11449" spans="6:7">
      <c r="F11449" s="6">
        <f>IF($M11449="PADD I","PADD 1",IF($M11449="PADD II","PADD 2",IF($M11449="PADD III","PADD 3",IF($M11449="PADD IV","PADD 4",IF($M11449="PADD V","PADD 5","")))))</f>
        <v/>
      </c>
      <c r="G11449" s="6">
        <f>IF(AND($H11449="ATMOS DISTILLATION",ISNUMBER(SEARCH("VPS",$I11449))=FALSE,LEFT($I11449,6)&lt;&gt;"VACUUM"),"CDU",IF($H11449="FLUID CAT CRACKING","FCC",IF(OR($H11449="HYDROCRACKING",$H11449="RESID_HYDROCRACKING"),"Hydrocracker",IF($H11449="REFORMING","Reformer",""))))</f>
        <v/>
      </c>
    </row>
    <row r="11450" spans="6:7">
      <c r="F11450" s="6">
        <f>IF($M11450="PADD I","PADD 1",IF($M11450="PADD II","PADD 2",IF($M11450="PADD III","PADD 3",IF($M11450="PADD IV","PADD 4",IF($M11450="PADD V","PADD 5","")))))</f>
        <v/>
      </c>
      <c r="G11450" s="6">
        <f>IF(AND($H11450="ATMOS DISTILLATION",ISNUMBER(SEARCH("VPS",$I11450))=FALSE,LEFT($I11450,6)&lt;&gt;"VACUUM"),"CDU",IF($H11450="FLUID CAT CRACKING","FCC",IF(OR($H11450="HYDROCRACKING",$H11450="RESID_HYDROCRACKING"),"Hydrocracker",IF($H11450="REFORMING","Reformer",""))))</f>
        <v/>
      </c>
    </row>
    <row r="11451" spans="6:7">
      <c r="F11451" s="6">
        <f>IF($M11451="PADD I","PADD 1",IF($M11451="PADD II","PADD 2",IF($M11451="PADD III","PADD 3",IF($M11451="PADD IV","PADD 4",IF($M11451="PADD V","PADD 5","")))))</f>
        <v/>
      </c>
      <c r="G11451" s="6">
        <f>IF(AND($H11451="ATMOS DISTILLATION",ISNUMBER(SEARCH("VPS",$I11451))=FALSE,LEFT($I11451,6)&lt;&gt;"VACUUM"),"CDU",IF($H11451="FLUID CAT CRACKING","FCC",IF(OR($H11451="HYDROCRACKING",$H11451="RESID_HYDROCRACKING"),"Hydrocracker",IF($H11451="REFORMING","Reformer",""))))</f>
        <v/>
      </c>
    </row>
    <row r="11452" spans="6:7">
      <c r="F11452" s="6">
        <f>IF($M11452="PADD I","PADD 1",IF($M11452="PADD II","PADD 2",IF($M11452="PADD III","PADD 3",IF($M11452="PADD IV","PADD 4",IF($M11452="PADD V","PADD 5","")))))</f>
        <v/>
      </c>
      <c r="G11452" s="6">
        <f>IF(AND($H11452="ATMOS DISTILLATION",ISNUMBER(SEARCH("VPS",$I11452))=FALSE,LEFT($I11452,6)&lt;&gt;"VACUUM"),"CDU",IF($H11452="FLUID CAT CRACKING","FCC",IF(OR($H11452="HYDROCRACKING",$H11452="RESID_HYDROCRACKING"),"Hydrocracker",IF($H11452="REFORMING","Reformer",""))))</f>
        <v/>
      </c>
    </row>
    <row r="11453" spans="6:7">
      <c r="F11453" s="6">
        <f>IF($M11453="PADD I","PADD 1",IF($M11453="PADD II","PADD 2",IF($M11453="PADD III","PADD 3",IF($M11453="PADD IV","PADD 4",IF($M11453="PADD V","PADD 5","")))))</f>
        <v/>
      </c>
      <c r="G11453" s="6">
        <f>IF(AND($H11453="ATMOS DISTILLATION",ISNUMBER(SEARCH("VPS",$I11453))=FALSE,LEFT($I11453,6)&lt;&gt;"VACUUM"),"CDU",IF($H11453="FLUID CAT CRACKING","FCC",IF(OR($H11453="HYDROCRACKING",$H11453="RESID_HYDROCRACKING"),"Hydrocracker",IF($H11453="REFORMING","Reformer",""))))</f>
        <v/>
      </c>
    </row>
    <row r="11454" spans="6:7">
      <c r="F11454" s="6">
        <f>IF($M11454="PADD I","PADD 1",IF($M11454="PADD II","PADD 2",IF($M11454="PADD III","PADD 3",IF($M11454="PADD IV","PADD 4",IF($M11454="PADD V","PADD 5","")))))</f>
        <v/>
      </c>
      <c r="G11454" s="6">
        <f>IF(AND($H11454="ATMOS DISTILLATION",ISNUMBER(SEARCH("VPS",$I11454))=FALSE,LEFT($I11454,6)&lt;&gt;"VACUUM"),"CDU",IF($H11454="FLUID CAT CRACKING","FCC",IF(OR($H11454="HYDROCRACKING",$H11454="RESID_HYDROCRACKING"),"Hydrocracker",IF($H11454="REFORMING","Reformer",""))))</f>
        <v/>
      </c>
    </row>
    <row r="11455" spans="6:7">
      <c r="F11455" s="6">
        <f>IF($M11455="PADD I","PADD 1",IF($M11455="PADD II","PADD 2",IF($M11455="PADD III","PADD 3",IF($M11455="PADD IV","PADD 4",IF($M11455="PADD V","PADD 5","")))))</f>
        <v/>
      </c>
      <c r="G11455" s="6">
        <f>IF(AND($H11455="ATMOS DISTILLATION",ISNUMBER(SEARCH("VPS",$I11455))=FALSE,LEFT($I11455,6)&lt;&gt;"VACUUM"),"CDU",IF($H11455="FLUID CAT CRACKING","FCC",IF(OR($H11455="HYDROCRACKING",$H11455="RESID_HYDROCRACKING"),"Hydrocracker",IF($H11455="REFORMING","Reformer",""))))</f>
        <v/>
      </c>
    </row>
    <row r="11456" spans="6:7">
      <c r="F11456" s="6">
        <f>IF($M11456="PADD I","PADD 1",IF($M11456="PADD II","PADD 2",IF($M11456="PADD III","PADD 3",IF($M11456="PADD IV","PADD 4",IF($M11456="PADD V","PADD 5","")))))</f>
        <v/>
      </c>
      <c r="G11456" s="6">
        <f>IF(AND($H11456="ATMOS DISTILLATION",ISNUMBER(SEARCH("VPS",$I11456))=FALSE,LEFT($I11456,6)&lt;&gt;"VACUUM"),"CDU",IF($H11456="FLUID CAT CRACKING","FCC",IF(OR($H11456="HYDROCRACKING",$H11456="RESID_HYDROCRACKING"),"Hydrocracker",IF($H11456="REFORMING","Reformer",""))))</f>
        <v/>
      </c>
    </row>
    <row r="11457" spans="6:7">
      <c r="F11457" s="6">
        <f>IF($M11457="PADD I","PADD 1",IF($M11457="PADD II","PADD 2",IF($M11457="PADD III","PADD 3",IF($M11457="PADD IV","PADD 4",IF($M11457="PADD V","PADD 5","")))))</f>
        <v/>
      </c>
      <c r="G11457" s="6">
        <f>IF(AND($H11457="ATMOS DISTILLATION",ISNUMBER(SEARCH("VPS",$I11457))=FALSE,LEFT($I11457,6)&lt;&gt;"VACUUM"),"CDU",IF($H11457="FLUID CAT CRACKING","FCC",IF(OR($H11457="HYDROCRACKING",$H11457="RESID_HYDROCRACKING"),"Hydrocracker",IF($H11457="REFORMING","Reformer",""))))</f>
        <v/>
      </c>
    </row>
    <row r="11458" spans="6:7">
      <c r="F11458" s="6">
        <f>IF($M11458="PADD I","PADD 1",IF($M11458="PADD II","PADD 2",IF($M11458="PADD III","PADD 3",IF($M11458="PADD IV","PADD 4",IF($M11458="PADD V","PADD 5","")))))</f>
        <v/>
      </c>
      <c r="G11458" s="6">
        <f>IF(AND($H11458="ATMOS DISTILLATION",ISNUMBER(SEARCH("VPS",$I11458))=FALSE,LEFT($I11458,6)&lt;&gt;"VACUUM"),"CDU",IF($H11458="FLUID CAT CRACKING","FCC",IF(OR($H11458="HYDROCRACKING",$H11458="RESID_HYDROCRACKING"),"Hydrocracker",IF($H11458="REFORMING","Reformer",""))))</f>
        <v/>
      </c>
    </row>
    <row r="11459" spans="6:7">
      <c r="F11459" s="6">
        <f>IF($M11459="PADD I","PADD 1",IF($M11459="PADD II","PADD 2",IF($M11459="PADD III","PADD 3",IF($M11459="PADD IV","PADD 4",IF($M11459="PADD V","PADD 5","")))))</f>
        <v/>
      </c>
      <c r="G11459" s="6">
        <f>IF(AND($H11459="ATMOS DISTILLATION",ISNUMBER(SEARCH("VPS",$I11459))=FALSE,LEFT($I11459,6)&lt;&gt;"VACUUM"),"CDU",IF($H11459="FLUID CAT CRACKING","FCC",IF(OR($H11459="HYDROCRACKING",$H11459="RESID_HYDROCRACKING"),"Hydrocracker",IF($H11459="REFORMING","Reformer",""))))</f>
        <v/>
      </c>
    </row>
    <row r="11460" spans="6:7">
      <c r="F11460" s="6">
        <f>IF($M11460="PADD I","PADD 1",IF($M11460="PADD II","PADD 2",IF($M11460="PADD III","PADD 3",IF($M11460="PADD IV","PADD 4",IF($M11460="PADD V","PADD 5","")))))</f>
        <v/>
      </c>
      <c r="G11460" s="6">
        <f>IF(AND($H11460="ATMOS DISTILLATION",ISNUMBER(SEARCH("VPS",$I11460))=FALSE,LEFT($I11460,6)&lt;&gt;"VACUUM"),"CDU",IF($H11460="FLUID CAT CRACKING","FCC",IF(OR($H11460="HYDROCRACKING",$H11460="RESID_HYDROCRACKING"),"Hydrocracker",IF($H11460="REFORMING","Reformer",""))))</f>
        <v/>
      </c>
    </row>
    <row r="11461" spans="6:7">
      <c r="F11461" s="6">
        <f>IF($M11461="PADD I","PADD 1",IF($M11461="PADD II","PADD 2",IF($M11461="PADD III","PADD 3",IF($M11461="PADD IV","PADD 4",IF($M11461="PADD V","PADD 5","")))))</f>
        <v/>
      </c>
      <c r="G11461" s="6">
        <f>IF(AND($H11461="ATMOS DISTILLATION",ISNUMBER(SEARCH("VPS",$I11461))=FALSE,LEFT($I11461,6)&lt;&gt;"VACUUM"),"CDU",IF($H11461="FLUID CAT CRACKING","FCC",IF(OR($H11461="HYDROCRACKING",$H11461="RESID_HYDROCRACKING"),"Hydrocracker",IF($H11461="REFORMING","Reformer",""))))</f>
        <v/>
      </c>
    </row>
    <row r="11462" spans="6:7">
      <c r="F11462" s="6">
        <f>IF($M11462="PADD I","PADD 1",IF($M11462="PADD II","PADD 2",IF($M11462="PADD III","PADD 3",IF($M11462="PADD IV","PADD 4",IF($M11462="PADD V","PADD 5","")))))</f>
        <v/>
      </c>
      <c r="G11462" s="6">
        <f>IF(AND($H11462="ATMOS DISTILLATION",ISNUMBER(SEARCH("VPS",$I11462))=FALSE,LEFT($I11462,6)&lt;&gt;"VACUUM"),"CDU",IF($H11462="FLUID CAT CRACKING","FCC",IF(OR($H11462="HYDROCRACKING",$H11462="RESID_HYDROCRACKING"),"Hydrocracker",IF($H11462="REFORMING","Reformer",""))))</f>
        <v/>
      </c>
    </row>
    <row r="11463" spans="6:7">
      <c r="F11463" s="6">
        <f>IF($M11463="PADD I","PADD 1",IF($M11463="PADD II","PADD 2",IF($M11463="PADD III","PADD 3",IF($M11463="PADD IV","PADD 4",IF($M11463="PADD V","PADD 5","")))))</f>
        <v/>
      </c>
      <c r="G11463" s="6">
        <f>IF(AND($H11463="ATMOS DISTILLATION",ISNUMBER(SEARCH("VPS",$I11463))=FALSE,LEFT($I11463,6)&lt;&gt;"VACUUM"),"CDU",IF($H11463="FLUID CAT CRACKING","FCC",IF(OR($H11463="HYDROCRACKING",$H11463="RESID_HYDROCRACKING"),"Hydrocracker",IF($H11463="REFORMING","Reformer",""))))</f>
        <v/>
      </c>
    </row>
    <row r="11464" spans="6:7">
      <c r="F11464" s="6">
        <f>IF($M11464="PADD I","PADD 1",IF($M11464="PADD II","PADD 2",IF($M11464="PADD III","PADD 3",IF($M11464="PADD IV","PADD 4",IF($M11464="PADD V","PADD 5","")))))</f>
        <v/>
      </c>
      <c r="G11464" s="6">
        <f>IF(AND($H11464="ATMOS DISTILLATION",ISNUMBER(SEARCH("VPS",$I11464))=FALSE,LEFT($I11464,6)&lt;&gt;"VACUUM"),"CDU",IF($H11464="FLUID CAT CRACKING","FCC",IF(OR($H11464="HYDROCRACKING",$H11464="RESID_HYDROCRACKING"),"Hydrocracker",IF($H11464="REFORMING","Reformer",""))))</f>
        <v/>
      </c>
    </row>
    <row r="11465" spans="6:7">
      <c r="F11465" s="6">
        <f>IF($M11465="PADD I","PADD 1",IF($M11465="PADD II","PADD 2",IF($M11465="PADD III","PADD 3",IF($M11465="PADD IV","PADD 4",IF($M11465="PADD V","PADD 5","")))))</f>
        <v/>
      </c>
      <c r="G11465" s="6">
        <f>IF(AND($H11465="ATMOS DISTILLATION",ISNUMBER(SEARCH("VPS",$I11465))=FALSE,LEFT($I11465,6)&lt;&gt;"VACUUM"),"CDU",IF($H11465="FLUID CAT CRACKING","FCC",IF(OR($H11465="HYDROCRACKING",$H11465="RESID_HYDROCRACKING"),"Hydrocracker",IF($H11465="REFORMING","Reformer",""))))</f>
        <v/>
      </c>
    </row>
    <row r="11466" spans="6:7">
      <c r="F11466" s="6">
        <f>IF($M11466="PADD I","PADD 1",IF($M11466="PADD II","PADD 2",IF($M11466="PADD III","PADD 3",IF($M11466="PADD IV","PADD 4",IF($M11466="PADD V","PADD 5","")))))</f>
        <v/>
      </c>
      <c r="G11466" s="6">
        <f>IF(AND($H11466="ATMOS DISTILLATION",ISNUMBER(SEARCH("VPS",$I11466))=FALSE,LEFT($I11466,6)&lt;&gt;"VACUUM"),"CDU",IF($H11466="FLUID CAT CRACKING","FCC",IF(OR($H11466="HYDROCRACKING",$H11466="RESID_HYDROCRACKING"),"Hydrocracker",IF($H11466="REFORMING","Reformer",""))))</f>
        <v/>
      </c>
    </row>
    <row r="11467" spans="6:7">
      <c r="F11467" s="6">
        <f>IF($M11467="PADD I","PADD 1",IF($M11467="PADD II","PADD 2",IF($M11467="PADD III","PADD 3",IF($M11467="PADD IV","PADD 4",IF($M11467="PADD V","PADD 5","")))))</f>
        <v/>
      </c>
      <c r="G11467" s="6">
        <f>IF(AND($H11467="ATMOS DISTILLATION",ISNUMBER(SEARCH("VPS",$I11467))=FALSE,LEFT($I11467,6)&lt;&gt;"VACUUM"),"CDU",IF($H11467="FLUID CAT CRACKING","FCC",IF(OR($H11467="HYDROCRACKING",$H11467="RESID_HYDROCRACKING"),"Hydrocracker",IF($H11467="REFORMING","Reformer",""))))</f>
        <v/>
      </c>
    </row>
    <row r="11468" spans="6:7">
      <c r="F11468" s="6">
        <f>IF($M11468="PADD I","PADD 1",IF($M11468="PADD II","PADD 2",IF($M11468="PADD III","PADD 3",IF($M11468="PADD IV","PADD 4",IF($M11468="PADD V","PADD 5","")))))</f>
        <v/>
      </c>
      <c r="G11468" s="6">
        <f>IF(AND($H11468="ATMOS DISTILLATION",ISNUMBER(SEARCH("VPS",$I11468))=FALSE,LEFT($I11468,6)&lt;&gt;"VACUUM"),"CDU",IF($H11468="FLUID CAT CRACKING","FCC",IF(OR($H11468="HYDROCRACKING",$H11468="RESID_HYDROCRACKING"),"Hydrocracker",IF($H11468="REFORMING","Reformer",""))))</f>
        <v/>
      </c>
    </row>
    <row r="11469" spans="6:7">
      <c r="F11469" s="6">
        <f>IF($M11469="PADD I","PADD 1",IF($M11469="PADD II","PADD 2",IF($M11469="PADD III","PADD 3",IF($M11469="PADD IV","PADD 4",IF($M11469="PADD V","PADD 5","")))))</f>
        <v/>
      </c>
      <c r="G11469" s="6">
        <f>IF(AND($H11469="ATMOS DISTILLATION",ISNUMBER(SEARCH("VPS",$I11469))=FALSE,LEFT($I11469,6)&lt;&gt;"VACUUM"),"CDU",IF($H11469="FLUID CAT CRACKING","FCC",IF(OR($H11469="HYDROCRACKING",$H11469="RESID_HYDROCRACKING"),"Hydrocracker",IF($H11469="REFORMING","Reformer",""))))</f>
        <v/>
      </c>
    </row>
    <row r="11470" spans="6:7">
      <c r="F11470" s="6">
        <f>IF($M11470="PADD I","PADD 1",IF($M11470="PADD II","PADD 2",IF($M11470="PADD III","PADD 3",IF($M11470="PADD IV","PADD 4",IF($M11470="PADD V","PADD 5","")))))</f>
        <v/>
      </c>
      <c r="G11470" s="6">
        <f>IF(AND($H11470="ATMOS DISTILLATION",ISNUMBER(SEARCH("VPS",$I11470))=FALSE,LEFT($I11470,6)&lt;&gt;"VACUUM"),"CDU",IF($H11470="FLUID CAT CRACKING","FCC",IF(OR($H11470="HYDROCRACKING",$H11470="RESID_HYDROCRACKING"),"Hydrocracker",IF($H11470="REFORMING","Reformer",""))))</f>
        <v/>
      </c>
    </row>
    <row r="11471" spans="6:7">
      <c r="F11471" s="6">
        <f>IF($M11471="PADD I","PADD 1",IF($M11471="PADD II","PADD 2",IF($M11471="PADD III","PADD 3",IF($M11471="PADD IV","PADD 4",IF($M11471="PADD V","PADD 5","")))))</f>
        <v/>
      </c>
      <c r="G11471" s="6">
        <f>IF(AND($H11471="ATMOS DISTILLATION",ISNUMBER(SEARCH("VPS",$I11471))=FALSE,LEFT($I11471,6)&lt;&gt;"VACUUM"),"CDU",IF($H11471="FLUID CAT CRACKING","FCC",IF(OR($H11471="HYDROCRACKING",$H11471="RESID_HYDROCRACKING"),"Hydrocracker",IF($H11471="REFORMING","Reformer",""))))</f>
        <v/>
      </c>
    </row>
    <row r="11472" spans="6:7">
      <c r="F11472" s="6">
        <f>IF($M11472="PADD I","PADD 1",IF($M11472="PADD II","PADD 2",IF($M11472="PADD III","PADD 3",IF($M11472="PADD IV","PADD 4",IF($M11472="PADD V","PADD 5","")))))</f>
        <v/>
      </c>
      <c r="G11472" s="6">
        <f>IF(AND($H11472="ATMOS DISTILLATION",ISNUMBER(SEARCH("VPS",$I11472))=FALSE,LEFT($I11472,6)&lt;&gt;"VACUUM"),"CDU",IF($H11472="FLUID CAT CRACKING","FCC",IF(OR($H11472="HYDROCRACKING",$H11472="RESID_HYDROCRACKING"),"Hydrocracker",IF($H11472="REFORMING","Reformer",""))))</f>
        <v/>
      </c>
    </row>
    <row r="11473" spans="6:7">
      <c r="F11473" s="6">
        <f>IF($M11473="PADD I","PADD 1",IF($M11473="PADD II","PADD 2",IF($M11473="PADD III","PADD 3",IF($M11473="PADD IV","PADD 4",IF($M11473="PADD V","PADD 5","")))))</f>
        <v/>
      </c>
      <c r="G11473" s="6">
        <f>IF(AND($H11473="ATMOS DISTILLATION",ISNUMBER(SEARCH("VPS",$I11473))=FALSE,LEFT($I11473,6)&lt;&gt;"VACUUM"),"CDU",IF($H11473="FLUID CAT CRACKING","FCC",IF(OR($H11473="HYDROCRACKING",$H11473="RESID_HYDROCRACKING"),"Hydrocracker",IF($H11473="REFORMING","Reformer",""))))</f>
        <v/>
      </c>
    </row>
    <row r="11474" spans="6:7">
      <c r="F11474" s="6">
        <f>IF($M11474="PADD I","PADD 1",IF($M11474="PADD II","PADD 2",IF($M11474="PADD III","PADD 3",IF($M11474="PADD IV","PADD 4",IF($M11474="PADD V","PADD 5","")))))</f>
        <v/>
      </c>
      <c r="G11474" s="6">
        <f>IF(AND($H11474="ATMOS DISTILLATION",ISNUMBER(SEARCH("VPS",$I11474))=FALSE,LEFT($I11474,6)&lt;&gt;"VACUUM"),"CDU",IF($H11474="FLUID CAT CRACKING","FCC",IF(OR($H11474="HYDROCRACKING",$H11474="RESID_HYDROCRACKING"),"Hydrocracker",IF($H11474="REFORMING","Reformer",""))))</f>
        <v/>
      </c>
    </row>
    <row r="11475" spans="6:7">
      <c r="F11475" s="6">
        <f>IF($M11475="PADD I","PADD 1",IF($M11475="PADD II","PADD 2",IF($M11475="PADD III","PADD 3",IF($M11475="PADD IV","PADD 4",IF($M11475="PADD V","PADD 5","")))))</f>
        <v/>
      </c>
      <c r="G11475" s="6">
        <f>IF(AND($H11475="ATMOS DISTILLATION",ISNUMBER(SEARCH("VPS",$I11475))=FALSE,LEFT($I11475,6)&lt;&gt;"VACUUM"),"CDU",IF($H11475="FLUID CAT CRACKING","FCC",IF(OR($H11475="HYDROCRACKING",$H11475="RESID_HYDROCRACKING"),"Hydrocracker",IF($H11475="REFORMING","Reformer",""))))</f>
        <v/>
      </c>
    </row>
    <row r="11476" spans="6:7">
      <c r="F11476" s="6">
        <f>IF($M11476="PADD I","PADD 1",IF($M11476="PADD II","PADD 2",IF($M11476="PADD III","PADD 3",IF($M11476="PADD IV","PADD 4",IF($M11476="PADD V","PADD 5","")))))</f>
        <v/>
      </c>
      <c r="G11476" s="6">
        <f>IF(AND($H11476="ATMOS DISTILLATION",ISNUMBER(SEARCH("VPS",$I11476))=FALSE,LEFT($I11476,6)&lt;&gt;"VACUUM"),"CDU",IF($H11476="FLUID CAT CRACKING","FCC",IF(OR($H11476="HYDROCRACKING",$H11476="RESID_HYDROCRACKING"),"Hydrocracker",IF($H11476="REFORMING","Reformer",""))))</f>
        <v/>
      </c>
    </row>
    <row r="11477" spans="6:7">
      <c r="F11477" s="6">
        <f>IF($M11477="PADD I","PADD 1",IF($M11477="PADD II","PADD 2",IF($M11477="PADD III","PADD 3",IF($M11477="PADD IV","PADD 4",IF($M11477="PADD V","PADD 5","")))))</f>
        <v/>
      </c>
      <c r="G11477" s="6">
        <f>IF(AND($H11477="ATMOS DISTILLATION",ISNUMBER(SEARCH("VPS",$I11477))=FALSE,LEFT($I11477,6)&lt;&gt;"VACUUM"),"CDU",IF($H11477="FLUID CAT CRACKING","FCC",IF(OR($H11477="HYDROCRACKING",$H11477="RESID_HYDROCRACKING"),"Hydrocracker",IF($H11477="REFORMING","Reformer",""))))</f>
        <v/>
      </c>
    </row>
    <row r="11478" spans="6:7">
      <c r="F11478" s="6">
        <f>IF($M11478="PADD I","PADD 1",IF($M11478="PADD II","PADD 2",IF($M11478="PADD III","PADD 3",IF($M11478="PADD IV","PADD 4",IF($M11478="PADD V","PADD 5","")))))</f>
        <v/>
      </c>
      <c r="G11478" s="6">
        <f>IF(AND($H11478="ATMOS DISTILLATION",ISNUMBER(SEARCH("VPS",$I11478))=FALSE,LEFT($I11478,6)&lt;&gt;"VACUUM"),"CDU",IF($H11478="FLUID CAT CRACKING","FCC",IF(OR($H11478="HYDROCRACKING",$H11478="RESID_HYDROCRACKING"),"Hydrocracker",IF($H11478="REFORMING","Reformer",""))))</f>
        <v/>
      </c>
    </row>
    <row r="11479" spans="6:7">
      <c r="F11479" s="6">
        <f>IF($M11479="PADD I","PADD 1",IF($M11479="PADD II","PADD 2",IF($M11479="PADD III","PADD 3",IF($M11479="PADD IV","PADD 4",IF($M11479="PADD V","PADD 5","")))))</f>
        <v/>
      </c>
      <c r="G11479" s="6">
        <f>IF(AND($H11479="ATMOS DISTILLATION",ISNUMBER(SEARCH("VPS",$I11479))=FALSE,LEFT($I11479,6)&lt;&gt;"VACUUM"),"CDU",IF($H11479="FLUID CAT CRACKING","FCC",IF(OR($H11479="HYDROCRACKING",$H11479="RESID_HYDROCRACKING"),"Hydrocracker",IF($H11479="REFORMING","Reformer",""))))</f>
        <v/>
      </c>
    </row>
    <row r="11480" spans="6:7">
      <c r="F11480" s="6">
        <f>IF($M11480="PADD I","PADD 1",IF($M11480="PADD II","PADD 2",IF($M11480="PADD III","PADD 3",IF($M11480="PADD IV","PADD 4",IF($M11480="PADD V","PADD 5","")))))</f>
        <v/>
      </c>
      <c r="G11480" s="6">
        <f>IF(AND($H11480="ATMOS DISTILLATION",ISNUMBER(SEARCH("VPS",$I11480))=FALSE,LEFT($I11480,6)&lt;&gt;"VACUUM"),"CDU",IF($H11480="FLUID CAT CRACKING","FCC",IF(OR($H11480="HYDROCRACKING",$H11480="RESID_HYDROCRACKING"),"Hydrocracker",IF($H11480="REFORMING","Reformer",""))))</f>
        <v/>
      </c>
    </row>
    <row r="11481" spans="6:7">
      <c r="F11481" s="6">
        <f>IF($M11481="PADD I","PADD 1",IF($M11481="PADD II","PADD 2",IF($M11481="PADD III","PADD 3",IF($M11481="PADD IV","PADD 4",IF($M11481="PADD V","PADD 5","")))))</f>
        <v/>
      </c>
      <c r="G11481" s="6">
        <f>IF(AND($H11481="ATMOS DISTILLATION",ISNUMBER(SEARCH("VPS",$I11481))=FALSE,LEFT($I11481,6)&lt;&gt;"VACUUM"),"CDU",IF($H11481="FLUID CAT CRACKING","FCC",IF(OR($H11481="HYDROCRACKING",$H11481="RESID_HYDROCRACKING"),"Hydrocracker",IF($H11481="REFORMING","Reformer",""))))</f>
        <v/>
      </c>
    </row>
    <row r="11482" spans="6:7">
      <c r="F11482" s="6">
        <f>IF($M11482="PADD I","PADD 1",IF($M11482="PADD II","PADD 2",IF($M11482="PADD III","PADD 3",IF($M11482="PADD IV","PADD 4",IF($M11482="PADD V","PADD 5","")))))</f>
        <v/>
      </c>
      <c r="G11482" s="6">
        <f>IF(AND($H11482="ATMOS DISTILLATION",ISNUMBER(SEARCH("VPS",$I11482))=FALSE,LEFT($I11482,6)&lt;&gt;"VACUUM"),"CDU",IF($H11482="FLUID CAT CRACKING","FCC",IF(OR($H11482="HYDROCRACKING",$H11482="RESID_HYDROCRACKING"),"Hydrocracker",IF($H11482="REFORMING","Reformer",""))))</f>
        <v/>
      </c>
    </row>
    <row r="11483" spans="6:7">
      <c r="F11483" s="6">
        <f>IF($M11483="PADD I","PADD 1",IF($M11483="PADD II","PADD 2",IF($M11483="PADD III","PADD 3",IF($M11483="PADD IV","PADD 4",IF($M11483="PADD V","PADD 5","")))))</f>
        <v/>
      </c>
      <c r="G11483" s="6">
        <f>IF(AND($H11483="ATMOS DISTILLATION",ISNUMBER(SEARCH("VPS",$I11483))=FALSE,LEFT($I11483,6)&lt;&gt;"VACUUM"),"CDU",IF($H11483="FLUID CAT CRACKING","FCC",IF(OR($H11483="HYDROCRACKING",$H11483="RESID_HYDROCRACKING"),"Hydrocracker",IF($H11483="REFORMING","Reformer",""))))</f>
        <v/>
      </c>
    </row>
    <row r="11484" spans="6:7">
      <c r="F11484" s="6">
        <f>IF($M11484="PADD I","PADD 1",IF($M11484="PADD II","PADD 2",IF($M11484="PADD III","PADD 3",IF($M11484="PADD IV","PADD 4",IF($M11484="PADD V","PADD 5","")))))</f>
        <v/>
      </c>
      <c r="G11484" s="6">
        <f>IF(AND($H11484="ATMOS DISTILLATION",ISNUMBER(SEARCH("VPS",$I11484))=FALSE,LEFT($I11484,6)&lt;&gt;"VACUUM"),"CDU",IF($H11484="FLUID CAT CRACKING","FCC",IF(OR($H11484="HYDROCRACKING",$H11484="RESID_HYDROCRACKING"),"Hydrocracker",IF($H11484="REFORMING","Reformer",""))))</f>
        <v/>
      </c>
    </row>
    <row r="11485" spans="6:7">
      <c r="F11485" s="6">
        <f>IF($M11485="PADD I","PADD 1",IF($M11485="PADD II","PADD 2",IF($M11485="PADD III","PADD 3",IF($M11485="PADD IV","PADD 4",IF($M11485="PADD V","PADD 5","")))))</f>
        <v/>
      </c>
      <c r="G11485" s="6">
        <f>IF(AND($H11485="ATMOS DISTILLATION",ISNUMBER(SEARCH("VPS",$I11485))=FALSE,LEFT($I11485,6)&lt;&gt;"VACUUM"),"CDU",IF($H11485="FLUID CAT CRACKING","FCC",IF(OR($H11485="HYDROCRACKING",$H11485="RESID_HYDROCRACKING"),"Hydrocracker",IF($H11485="REFORMING","Reformer",""))))</f>
        <v/>
      </c>
    </row>
    <row r="11486" spans="6:7">
      <c r="F11486" s="6">
        <f>IF($M11486="PADD I","PADD 1",IF($M11486="PADD II","PADD 2",IF($M11486="PADD III","PADD 3",IF($M11486="PADD IV","PADD 4",IF($M11486="PADD V","PADD 5","")))))</f>
        <v/>
      </c>
      <c r="G11486" s="6">
        <f>IF(AND($H11486="ATMOS DISTILLATION",ISNUMBER(SEARCH("VPS",$I11486))=FALSE,LEFT($I11486,6)&lt;&gt;"VACUUM"),"CDU",IF($H11486="FLUID CAT CRACKING","FCC",IF(OR($H11486="HYDROCRACKING",$H11486="RESID_HYDROCRACKING"),"Hydrocracker",IF($H11486="REFORMING","Reformer",""))))</f>
        <v/>
      </c>
    </row>
    <row r="11487" spans="6:7">
      <c r="F11487" s="6">
        <f>IF($M11487="PADD I","PADD 1",IF($M11487="PADD II","PADD 2",IF($M11487="PADD III","PADD 3",IF($M11487="PADD IV","PADD 4",IF($M11487="PADD V","PADD 5","")))))</f>
        <v/>
      </c>
      <c r="G11487" s="6">
        <f>IF(AND($H11487="ATMOS DISTILLATION",ISNUMBER(SEARCH("VPS",$I11487))=FALSE,LEFT($I11487,6)&lt;&gt;"VACUUM"),"CDU",IF($H11487="FLUID CAT CRACKING","FCC",IF(OR($H11487="HYDROCRACKING",$H11487="RESID_HYDROCRACKING"),"Hydrocracker",IF($H11487="REFORMING","Reformer",""))))</f>
        <v/>
      </c>
    </row>
    <row r="11488" spans="6:7">
      <c r="F11488" s="6">
        <f>IF($M11488="PADD I","PADD 1",IF($M11488="PADD II","PADD 2",IF($M11488="PADD III","PADD 3",IF($M11488="PADD IV","PADD 4",IF($M11488="PADD V","PADD 5","")))))</f>
        <v/>
      </c>
      <c r="G11488" s="6">
        <f>IF(AND($H11488="ATMOS DISTILLATION",ISNUMBER(SEARCH("VPS",$I11488))=FALSE,LEFT($I11488,6)&lt;&gt;"VACUUM"),"CDU",IF($H11488="FLUID CAT CRACKING","FCC",IF(OR($H11488="HYDROCRACKING",$H11488="RESID_HYDROCRACKING"),"Hydrocracker",IF($H11488="REFORMING","Reformer",""))))</f>
        <v/>
      </c>
    </row>
    <row r="11489" spans="6:7">
      <c r="F11489" s="6">
        <f>IF($M11489="PADD I","PADD 1",IF($M11489="PADD II","PADD 2",IF($M11489="PADD III","PADD 3",IF($M11489="PADD IV","PADD 4",IF($M11489="PADD V","PADD 5","")))))</f>
        <v/>
      </c>
      <c r="G11489" s="6">
        <f>IF(AND($H11489="ATMOS DISTILLATION",ISNUMBER(SEARCH("VPS",$I11489))=FALSE,LEFT($I11489,6)&lt;&gt;"VACUUM"),"CDU",IF($H11489="FLUID CAT CRACKING","FCC",IF(OR($H11489="HYDROCRACKING",$H11489="RESID_HYDROCRACKING"),"Hydrocracker",IF($H11489="REFORMING","Reformer",""))))</f>
        <v/>
      </c>
    </row>
    <row r="11490" spans="6:7">
      <c r="F11490" s="6">
        <f>IF($M11490="PADD I","PADD 1",IF($M11490="PADD II","PADD 2",IF($M11490="PADD III","PADD 3",IF($M11490="PADD IV","PADD 4",IF($M11490="PADD V","PADD 5","")))))</f>
        <v/>
      </c>
      <c r="G11490" s="6">
        <f>IF(AND($H11490="ATMOS DISTILLATION",ISNUMBER(SEARCH("VPS",$I11490))=FALSE,LEFT($I11490,6)&lt;&gt;"VACUUM"),"CDU",IF($H11490="FLUID CAT CRACKING","FCC",IF(OR($H11490="HYDROCRACKING",$H11490="RESID_HYDROCRACKING"),"Hydrocracker",IF($H11490="REFORMING","Reformer",""))))</f>
        <v/>
      </c>
    </row>
    <row r="11491" spans="6:7">
      <c r="F11491" s="6">
        <f>IF($M11491="PADD I","PADD 1",IF($M11491="PADD II","PADD 2",IF($M11491="PADD III","PADD 3",IF($M11491="PADD IV","PADD 4",IF($M11491="PADD V","PADD 5","")))))</f>
        <v/>
      </c>
      <c r="G11491" s="6">
        <f>IF(AND($H11491="ATMOS DISTILLATION",ISNUMBER(SEARCH("VPS",$I11491))=FALSE,LEFT($I11491,6)&lt;&gt;"VACUUM"),"CDU",IF($H11491="FLUID CAT CRACKING","FCC",IF(OR($H11491="HYDROCRACKING",$H11491="RESID_HYDROCRACKING"),"Hydrocracker",IF($H11491="REFORMING","Reformer",""))))</f>
        <v/>
      </c>
    </row>
    <row r="11492" spans="6:7">
      <c r="F11492" s="6">
        <f>IF($M11492="PADD I","PADD 1",IF($M11492="PADD II","PADD 2",IF($M11492="PADD III","PADD 3",IF($M11492="PADD IV","PADD 4",IF($M11492="PADD V","PADD 5","")))))</f>
        <v/>
      </c>
      <c r="G11492" s="6">
        <f>IF(AND($H11492="ATMOS DISTILLATION",ISNUMBER(SEARCH("VPS",$I11492))=FALSE,LEFT($I11492,6)&lt;&gt;"VACUUM"),"CDU",IF($H11492="FLUID CAT CRACKING","FCC",IF(OR($H11492="HYDROCRACKING",$H11492="RESID_HYDROCRACKING"),"Hydrocracker",IF($H11492="REFORMING","Reformer",""))))</f>
        <v/>
      </c>
    </row>
    <row r="11493" spans="6:7">
      <c r="F11493" s="6">
        <f>IF($M11493="PADD I","PADD 1",IF($M11493="PADD II","PADD 2",IF($M11493="PADD III","PADD 3",IF($M11493="PADD IV","PADD 4",IF($M11493="PADD V","PADD 5","")))))</f>
        <v/>
      </c>
      <c r="G11493" s="6">
        <f>IF(AND($H11493="ATMOS DISTILLATION",ISNUMBER(SEARCH("VPS",$I11493))=FALSE,LEFT($I11493,6)&lt;&gt;"VACUUM"),"CDU",IF($H11493="FLUID CAT CRACKING","FCC",IF(OR($H11493="HYDROCRACKING",$H11493="RESID_HYDROCRACKING"),"Hydrocracker",IF($H11493="REFORMING","Reformer",""))))</f>
        <v/>
      </c>
    </row>
    <row r="11494" spans="6:7">
      <c r="F11494" s="6">
        <f>IF($M11494="PADD I","PADD 1",IF($M11494="PADD II","PADD 2",IF($M11494="PADD III","PADD 3",IF($M11494="PADD IV","PADD 4",IF($M11494="PADD V","PADD 5","")))))</f>
        <v/>
      </c>
      <c r="G11494" s="6">
        <f>IF(AND($H11494="ATMOS DISTILLATION",ISNUMBER(SEARCH("VPS",$I11494))=FALSE,LEFT($I11494,6)&lt;&gt;"VACUUM"),"CDU",IF($H11494="FLUID CAT CRACKING","FCC",IF(OR($H11494="HYDROCRACKING",$H11494="RESID_HYDROCRACKING"),"Hydrocracker",IF($H11494="REFORMING","Reformer",""))))</f>
        <v/>
      </c>
    </row>
    <row r="11495" spans="6:7">
      <c r="F11495" s="6">
        <f>IF($M11495="PADD I","PADD 1",IF($M11495="PADD II","PADD 2",IF($M11495="PADD III","PADD 3",IF($M11495="PADD IV","PADD 4",IF($M11495="PADD V","PADD 5","")))))</f>
        <v/>
      </c>
      <c r="G11495" s="6">
        <f>IF(AND($H11495="ATMOS DISTILLATION",ISNUMBER(SEARCH("VPS",$I11495))=FALSE,LEFT($I11495,6)&lt;&gt;"VACUUM"),"CDU",IF($H11495="FLUID CAT CRACKING","FCC",IF(OR($H11495="HYDROCRACKING",$H11495="RESID_HYDROCRACKING"),"Hydrocracker",IF($H11495="REFORMING","Reformer",""))))</f>
        <v/>
      </c>
    </row>
    <row r="11496" spans="6:7">
      <c r="F11496" s="6">
        <f>IF($M11496="PADD I","PADD 1",IF($M11496="PADD II","PADD 2",IF($M11496="PADD III","PADD 3",IF($M11496="PADD IV","PADD 4",IF($M11496="PADD V","PADD 5","")))))</f>
        <v/>
      </c>
      <c r="G11496" s="6">
        <f>IF(AND($H11496="ATMOS DISTILLATION",ISNUMBER(SEARCH("VPS",$I11496))=FALSE,LEFT($I11496,6)&lt;&gt;"VACUUM"),"CDU",IF($H11496="FLUID CAT CRACKING","FCC",IF(OR($H11496="HYDROCRACKING",$H11496="RESID_HYDROCRACKING"),"Hydrocracker",IF($H11496="REFORMING","Reformer",""))))</f>
        <v/>
      </c>
    </row>
    <row r="11497" spans="6:7">
      <c r="F11497" s="6">
        <f>IF($M11497="PADD I","PADD 1",IF($M11497="PADD II","PADD 2",IF($M11497="PADD III","PADD 3",IF($M11497="PADD IV","PADD 4",IF($M11497="PADD V","PADD 5","")))))</f>
        <v/>
      </c>
      <c r="G11497" s="6">
        <f>IF(AND($H11497="ATMOS DISTILLATION",ISNUMBER(SEARCH("VPS",$I11497))=FALSE,LEFT($I11497,6)&lt;&gt;"VACUUM"),"CDU",IF($H11497="FLUID CAT CRACKING","FCC",IF(OR($H11497="HYDROCRACKING",$H11497="RESID_HYDROCRACKING"),"Hydrocracker",IF($H11497="REFORMING","Reformer",""))))</f>
        <v/>
      </c>
    </row>
    <row r="11498" spans="6:7">
      <c r="F11498" s="6">
        <f>IF($M11498="PADD I","PADD 1",IF($M11498="PADD II","PADD 2",IF($M11498="PADD III","PADD 3",IF($M11498="PADD IV","PADD 4",IF($M11498="PADD V","PADD 5","")))))</f>
        <v/>
      </c>
      <c r="G11498" s="6">
        <f>IF(AND($H11498="ATMOS DISTILLATION",ISNUMBER(SEARCH("VPS",$I11498))=FALSE,LEFT($I11498,6)&lt;&gt;"VACUUM"),"CDU",IF($H11498="FLUID CAT CRACKING","FCC",IF(OR($H11498="HYDROCRACKING",$H11498="RESID_HYDROCRACKING"),"Hydrocracker",IF($H11498="REFORMING","Reformer",""))))</f>
        <v/>
      </c>
    </row>
    <row r="11499" spans="6:7">
      <c r="F11499" s="6">
        <f>IF($M11499="PADD I","PADD 1",IF($M11499="PADD II","PADD 2",IF($M11499="PADD III","PADD 3",IF($M11499="PADD IV","PADD 4",IF($M11499="PADD V","PADD 5","")))))</f>
        <v/>
      </c>
      <c r="G11499" s="6">
        <f>IF(AND($H11499="ATMOS DISTILLATION",ISNUMBER(SEARCH("VPS",$I11499))=FALSE,LEFT($I11499,6)&lt;&gt;"VACUUM"),"CDU",IF($H11499="FLUID CAT CRACKING","FCC",IF(OR($H11499="HYDROCRACKING",$H11499="RESID_HYDROCRACKING"),"Hydrocracker",IF($H11499="REFORMING","Reformer",""))))</f>
        <v/>
      </c>
    </row>
    <row r="11500" spans="6:7">
      <c r="F11500" s="6">
        <f>IF($M11500="PADD I","PADD 1",IF($M11500="PADD II","PADD 2",IF($M11500="PADD III","PADD 3",IF($M11500="PADD IV","PADD 4",IF($M11500="PADD V","PADD 5","")))))</f>
        <v/>
      </c>
      <c r="G11500" s="6">
        <f>IF(AND($H11500="ATMOS DISTILLATION",ISNUMBER(SEARCH("VPS",$I11500))=FALSE,LEFT($I11500,6)&lt;&gt;"VACUUM"),"CDU",IF($H11500="FLUID CAT CRACKING","FCC",IF(OR($H11500="HYDROCRACKING",$H11500="RESID_HYDROCRACKING"),"Hydrocracker",IF($H11500="REFORMING","Reformer",""))))</f>
        <v/>
      </c>
    </row>
    <row r="11501" spans="6:7">
      <c r="F11501" s="6">
        <f>IF($M11501="PADD I","PADD 1",IF($M11501="PADD II","PADD 2",IF($M11501="PADD III","PADD 3",IF($M11501="PADD IV","PADD 4",IF($M11501="PADD V","PADD 5","")))))</f>
        <v/>
      </c>
      <c r="G11501" s="6">
        <f>IF(AND($H11501="ATMOS DISTILLATION",ISNUMBER(SEARCH("VPS",$I11501))=FALSE,LEFT($I11501,6)&lt;&gt;"VACUUM"),"CDU",IF($H11501="FLUID CAT CRACKING","FCC",IF(OR($H11501="HYDROCRACKING",$H11501="RESID_HYDROCRACKING"),"Hydrocracker",IF($H11501="REFORMING","Reformer",""))))</f>
        <v/>
      </c>
    </row>
    <row r="11502" spans="6:7">
      <c r="F11502" s="6">
        <f>IF($M11502="PADD I","PADD 1",IF($M11502="PADD II","PADD 2",IF($M11502="PADD III","PADD 3",IF($M11502="PADD IV","PADD 4",IF($M11502="PADD V","PADD 5","")))))</f>
        <v/>
      </c>
      <c r="G11502" s="6">
        <f>IF(AND($H11502="ATMOS DISTILLATION",ISNUMBER(SEARCH("VPS",$I11502))=FALSE,LEFT($I11502,6)&lt;&gt;"VACUUM"),"CDU",IF($H11502="FLUID CAT CRACKING","FCC",IF(OR($H11502="HYDROCRACKING",$H11502="RESID_HYDROCRACKING"),"Hydrocracker",IF($H11502="REFORMING","Reformer",""))))</f>
        <v/>
      </c>
    </row>
    <row r="11503" spans="6:7">
      <c r="F11503" s="6">
        <f>IF($M11503="PADD I","PADD 1",IF($M11503="PADD II","PADD 2",IF($M11503="PADD III","PADD 3",IF($M11503="PADD IV","PADD 4",IF($M11503="PADD V","PADD 5","")))))</f>
        <v/>
      </c>
      <c r="G11503" s="6">
        <f>IF(AND($H11503="ATMOS DISTILLATION",ISNUMBER(SEARCH("VPS",$I11503))=FALSE,LEFT($I11503,6)&lt;&gt;"VACUUM"),"CDU",IF($H11503="FLUID CAT CRACKING","FCC",IF(OR($H11503="HYDROCRACKING",$H11503="RESID_HYDROCRACKING"),"Hydrocracker",IF($H11503="REFORMING","Reformer",""))))</f>
        <v/>
      </c>
    </row>
    <row r="11504" spans="6:7">
      <c r="F11504" s="6">
        <f>IF($M11504="PADD I","PADD 1",IF($M11504="PADD II","PADD 2",IF($M11504="PADD III","PADD 3",IF($M11504="PADD IV","PADD 4",IF($M11504="PADD V","PADD 5","")))))</f>
        <v/>
      </c>
      <c r="G11504" s="6">
        <f>IF(AND($H11504="ATMOS DISTILLATION",ISNUMBER(SEARCH("VPS",$I11504))=FALSE,LEFT($I11504,6)&lt;&gt;"VACUUM"),"CDU",IF($H11504="FLUID CAT CRACKING","FCC",IF(OR($H11504="HYDROCRACKING",$H11504="RESID_HYDROCRACKING"),"Hydrocracker",IF($H11504="REFORMING","Reformer",""))))</f>
        <v/>
      </c>
    </row>
    <row r="11505" spans="6:7">
      <c r="F11505" s="6">
        <f>IF($M11505="PADD I","PADD 1",IF($M11505="PADD II","PADD 2",IF($M11505="PADD III","PADD 3",IF($M11505="PADD IV","PADD 4",IF($M11505="PADD V","PADD 5","")))))</f>
        <v/>
      </c>
      <c r="G11505" s="6">
        <f>IF(AND($H11505="ATMOS DISTILLATION",ISNUMBER(SEARCH("VPS",$I11505))=FALSE,LEFT($I11505,6)&lt;&gt;"VACUUM"),"CDU",IF($H11505="FLUID CAT CRACKING","FCC",IF(OR($H11505="HYDROCRACKING",$H11505="RESID_HYDROCRACKING"),"Hydrocracker",IF($H11505="REFORMING","Reformer",""))))</f>
        <v/>
      </c>
    </row>
    <row r="11506" spans="6:7">
      <c r="F11506" s="6">
        <f>IF($M11506="PADD I","PADD 1",IF($M11506="PADD II","PADD 2",IF($M11506="PADD III","PADD 3",IF($M11506="PADD IV","PADD 4",IF($M11506="PADD V","PADD 5","")))))</f>
        <v/>
      </c>
      <c r="G11506" s="6">
        <f>IF(AND($H11506="ATMOS DISTILLATION",ISNUMBER(SEARCH("VPS",$I11506))=FALSE,LEFT($I11506,6)&lt;&gt;"VACUUM"),"CDU",IF($H11506="FLUID CAT CRACKING","FCC",IF(OR($H11506="HYDROCRACKING",$H11506="RESID_HYDROCRACKING"),"Hydrocracker",IF($H11506="REFORMING","Reformer",""))))</f>
        <v/>
      </c>
    </row>
    <row r="11507" spans="6:7">
      <c r="F11507" s="6">
        <f>IF($M11507="PADD I","PADD 1",IF($M11507="PADD II","PADD 2",IF($M11507="PADD III","PADD 3",IF($M11507="PADD IV","PADD 4",IF($M11507="PADD V","PADD 5","")))))</f>
        <v/>
      </c>
      <c r="G11507" s="6">
        <f>IF(AND($H11507="ATMOS DISTILLATION",ISNUMBER(SEARCH("VPS",$I11507))=FALSE,LEFT($I11507,6)&lt;&gt;"VACUUM"),"CDU",IF($H11507="FLUID CAT CRACKING","FCC",IF(OR($H11507="HYDROCRACKING",$H11507="RESID_HYDROCRACKING"),"Hydrocracker",IF($H11507="REFORMING","Reformer",""))))</f>
        <v/>
      </c>
    </row>
    <row r="11508" spans="6:7">
      <c r="F11508" s="6">
        <f>IF($M11508="PADD I","PADD 1",IF($M11508="PADD II","PADD 2",IF($M11508="PADD III","PADD 3",IF($M11508="PADD IV","PADD 4",IF($M11508="PADD V","PADD 5","")))))</f>
        <v/>
      </c>
      <c r="G11508" s="6">
        <f>IF(AND($H11508="ATMOS DISTILLATION",ISNUMBER(SEARCH("VPS",$I11508))=FALSE,LEFT($I11508,6)&lt;&gt;"VACUUM"),"CDU",IF($H11508="FLUID CAT CRACKING","FCC",IF(OR($H11508="HYDROCRACKING",$H11508="RESID_HYDROCRACKING"),"Hydrocracker",IF($H11508="REFORMING","Reformer",""))))</f>
        <v/>
      </c>
    </row>
    <row r="11509" spans="6:7">
      <c r="F11509" s="6">
        <f>IF($M11509="PADD I","PADD 1",IF($M11509="PADD II","PADD 2",IF($M11509="PADD III","PADD 3",IF($M11509="PADD IV","PADD 4",IF($M11509="PADD V","PADD 5","")))))</f>
        <v/>
      </c>
      <c r="G11509" s="6">
        <f>IF(AND($H11509="ATMOS DISTILLATION",ISNUMBER(SEARCH("VPS",$I11509))=FALSE,LEFT($I11509,6)&lt;&gt;"VACUUM"),"CDU",IF($H11509="FLUID CAT CRACKING","FCC",IF(OR($H11509="HYDROCRACKING",$H11509="RESID_HYDROCRACKING"),"Hydrocracker",IF($H11509="REFORMING","Reformer",""))))</f>
        <v/>
      </c>
    </row>
    <row r="11510" spans="6:7">
      <c r="F11510" s="6">
        <f>IF($M11510="PADD I","PADD 1",IF($M11510="PADD II","PADD 2",IF($M11510="PADD III","PADD 3",IF($M11510="PADD IV","PADD 4",IF($M11510="PADD V","PADD 5","")))))</f>
        <v/>
      </c>
      <c r="G11510" s="6">
        <f>IF(AND($H11510="ATMOS DISTILLATION",ISNUMBER(SEARCH("VPS",$I11510))=FALSE,LEFT($I11510,6)&lt;&gt;"VACUUM"),"CDU",IF($H11510="FLUID CAT CRACKING","FCC",IF(OR($H11510="HYDROCRACKING",$H11510="RESID_HYDROCRACKING"),"Hydrocracker",IF($H11510="REFORMING","Reformer",""))))</f>
        <v/>
      </c>
    </row>
    <row r="11511" spans="6:7">
      <c r="F11511" s="6">
        <f>IF($M11511="PADD I","PADD 1",IF($M11511="PADD II","PADD 2",IF($M11511="PADD III","PADD 3",IF($M11511="PADD IV","PADD 4",IF($M11511="PADD V","PADD 5","")))))</f>
        <v/>
      </c>
      <c r="G11511" s="6">
        <f>IF(AND($H11511="ATMOS DISTILLATION",ISNUMBER(SEARCH("VPS",$I11511))=FALSE,LEFT($I11511,6)&lt;&gt;"VACUUM"),"CDU",IF($H11511="FLUID CAT CRACKING","FCC",IF(OR($H11511="HYDROCRACKING",$H11511="RESID_HYDROCRACKING"),"Hydrocracker",IF($H11511="REFORMING","Reformer",""))))</f>
        <v/>
      </c>
    </row>
    <row r="11512" spans="6:7">
      <c r="F11512" s="6">
        <f>IF($M11512="PADD I","PADD 1",IF($M11512="PADD II","PADD 2",IF($M11512="PADD III","PADD 3",IF($M11512="PADD IV","PADD 4",IF($M11512="PADD V","PADD 5","")))))</f>
        <v/>
      </c>
      <c r="G11512" s="6">
        <f>IF(AND($H11512="ATMOS DISTILLATION",ISNUMBER(SEARCH("VPS",$I11512))=FALSE,LEFT($I11512,6)&lt;&gt;"VACUUM"),"CDU",IF($H11512="FLUID CAT CRACKING","FCC",IF(OR($H11512="HYDROCRACKING",$H11512="RESID_HYDROCRACKING"),"Hydrocracker",IF($H11512="REFORMING","Reformer",""))))</f>
        <v/>
      </c>
    </row>
    <row r="11513" spans="6:7">
      <c r="F11513" s="6">
        <f>IF($M11513="PADD I","PADD 1",IF($M11513="PADD II","PADD 2",IF($M11513="PADD III","PADD 3",IF($M11513="PADD IV","PADD 4",IF($M11513="PADD V","PADD 5","")))))</f>
        <v/>
      </c>
      <c r="G11513" s="6">
        <f>IF(AND($H11513="ATMOS DISTILLATION",ISNUMBER(SEARCH("VPS",$I11513))=FALSE,LEFT($I11513,6)&lt;&gt;"VACUUM"),"CDU",IF($H11513="FLUID CAT CRACKING","FCC",IF(OR($H11513="HYDROCRACKING",$H11513="RESID_HYDROCRACKING"),"Hydrocracker",IF($H11513="REFORMING","Reformer",""))))</f>
        <v/>
      </c>
    </row>
    <row r="11514" spans="6:7">
      <c r="F11514" s="6">
        <f>IF($M11514="PADD I","PADD 1",IF($M11514="PADD II","PADD 2",IF($M11514="PADD III","PADD 3",IF($M11514="PADD IV","PADD 4",IF($M11514="PADD V","PADD 5","")))))</f>
        <v/>
      </c>
      <c r="G11514" s="6">
        <f>IF(AND($H11514="ATMOS DISTILLATION",ISNUMBER(SEARCH("VPS",$I11514))=FALSE,LEFT($I11514,6)&lt;&gt;"VACUUM"),"CDU",IF($H11514="FLUID CAT CRACKING","FCC",IF(OR($H11514="HYDROCRACKING",$H11514="RESID_HYDROCRACKING"),"Hydrocracker",IF($H11514="REFORMING","Reformer",""))))</f>
        <v/>
      </c>
    </row>
    <row r="11515" spans="6:7">
      <c r="F11515" s="6">
        <f>IF($M11515="PADD I","PADD 1",IF($M11515="PADD II","PADD 2",IF($M11515="PADD III","PADD 3",IF($M11515="PADD IV","PADD 4",IF($M11515="PADD V","PADD 5","")))))</f>
        <v/>
      </c>
      <c r="G11515" s="6">
        <f>IF(AND($H11515="ATMOS DISTILLATION",ISNUMBER(SEARCH("VPS",$I11515))=FALSE,LEFT($I11515,6)&lt;&gt;"VACUUM"),"CDU",IF($H11515="FLUID CAT CRACKING","FCC",IF(OR($H11515="HYDROCRACKING",$H11515="RESID_HYDROCRACKING"),"Hydrocracker",IF($H11515="REFORMING","Reformer",""))))</f>
        <v/>
      </c>
    </row>
    <row r="11516" spans="6:7">
      <c r="F11516" s="6">
        <f>IF($M11516="PADD I","PADD 1",IF($M11516="PADD II","PADD 2",IF($M11516="PADD III","PADD 3",IF($M11516="PADD IV","PADD 4",IF($M11516="PADD V","PADD 5","")))))</f>
        <v/>
      </c>
      <c r="G11516" s="6">
        <f>IF(AND($H11516="ATMOS DISTILLATION",ISNUMBER(SEARCH("VPS",$I11516))=FALSE,LEFT($I11516,6)&lt;&gt;"VACUUM"),"CDU",IF($H11516="FLUID CAT CRACKING","FCC",IF(OR($H11516="HYDROCRACKING",$H11516="RESID_HYDROCRACKING"),"Hydrocracker",IF($H11516="REFORMING","Reformer",""))))</f>
        <v/>
      </c>
    </row>
    <row r="11517" spans="6:7">
      <c r="F11517" s="6">
        <f>IF($M11517="PADD I","PADD 1",IF($M11517="PADD II","PADD 2",IF($M11517="PADD III","PADD 3",IF($M11517="PADD IV","PADD 4",IF($M11517="PADD V","PADD 5","")))))</f>
        <v/>
      </c>
      <c r="G11517" s="6">
        <f>IF(AND($H11517="ATMOS DISTILLATION",ISNUMBER(SEARCH("VPS",$I11517))=FALSE,LEFT($I11517,6)&lt;&gt;"VACUUM"),"CDU",IF($H11517="FLUID CAT CRACKING","FCC",IF(OR($H11517="HYDROCRACKING",$H11517="RESID_HYDROCRACKING"),"Hydrocracker",IF($H11517="REFORMING","Reformer",""))))</f>
        <v/>
      </c>
    </row>
    <row r="11518" spans="6:7">
      <c r="F11518" s="6">
        <f>IF($M11518="PADD I","PADD 1",IF($M11518="PADD II","PADD 2",IF($M11518="PADD III","PADD 3",IF($M11518="PADD IV","PADD 4",IF($M11518="PADD V","PADD 5","")))))</f>
        <v/>
      </c>
      <c r="G11518" s="6">
        <f>IF(AND($H11518="ATMOS DISTILLATION",ISNUMBER(SEARCH("VPS",$I11518))=FALSE,LEFT($I11518,6)&lt;&gt;"VACUUM"),"CDU",IF($H11518="FLUID CAT CRACKING","FCC",IF(OR($H11518="HYDROCRACKING",$H11518="RESID_HYDROCRACKING"),"Hydrocracker",IF($H11518="REFORMING","Reformer",""))))</f>
        <v/>
      </c>
    </row>
    <row r="11519" spans="6:7">
      <c r="F11519" s="6">
        <f>IF($M11519="PADD I","PADD 1",IF($M11519="PADD II","PADD 2",IF($M11519="PADD III","PADD 3",IF($M11519="PADD IV","PADD 4",IF($M11519="PADD V","PADD 5","")))))</f>
        <v/>
      </c>
      <c r="G11519" s="6">
        <f>IF(AND($H11519="ATMOS DISTILLATION",ISNUMBER(SEARCH("VPS",$I11519))=FALSE,LEFT($I11519,6)&lt;&gt;"VACUUM"),"CDU",IF($H11519="FLUID CAT CRACKING","FCC",IF(OR($H11519="HYDROCRACKING",$H11519="RESID_HYDROCRACKING"),"Hydrocracker",IF($H11519="REFORMING","Reformer",""))))</f>
        <v/>
      </c>
    </row>
    <row r="11520" spans="6:7">
      <c r="F11520" s="6">
        <f>IF($M11520="PADD I","PADD 1",IF($M11520="PADD II","PADD 2",IF($M11520="PADD III","PADD 3",IF($M11520="PADD IV","PADD 4",IF($M11520="PADD V","PADD 5","")))))</f>
        <v/>
      </c>
      <c r="G11520" s="6">
        <f>IF(AND($H11520="ATMOS DISTILLATION",ISNUMBER(SEARCH("VPS",$I11520))=FALSE,LEFT($I11520,6)&lt;&gt;"VACUUM"),"CDU",IF($H11520="FLUID CAT CRACKING","FCC",IF(OR($H11520="HYDROCRACKING",$H11520="RESID_HYDROCRACKING"),"Hydrocracker",IF($H11520="REFORMING","Reformer",""))))</f>
        <v/>
      </c>
    </row>
    <row r="11521" spans="6:7">
      <c r="F11521" s="6">
        <f>IF($M11521="PADD I","PADD 1",IF($M11521="PADD II","PADD 2",IF($M11521="PADD III","PADD 3",IF($M11521="PADD IV","PADD 4",IF($M11521="PADD V","PADD 5","")))))</f>
        <v/>
      </c>
      <c r="G11521" s="6">
        <f>IF(AND($H11521="ATMOS DISTILLATION",ISNUMBER(SEARCH("VPS",$I11521))=FALSE,LEFT($I11521,6)&lt;&gt;"VACUUM"),"CDU",IF($H11521="FLUID CAT CRACKING","FCC",IF(OR($H11521="HYDROCRACKING",$H11521="RESID_HYDROCRACKING"),"Hydrocracker",IF($H11521="REFORMING","Reformer",""))))</f>
        <v/>
      </c>
    </row>
    <row r="11522" spans="6:7">
      <c r="F11522" s="6">
        <f>IF($M11522="PADD I","PADD 1",IF($M11522="PADD II","PADD 2",IF($M11522="PADD III","PADD 3",IF($M11522="PADD IV","PADD 4",IF($M11522="PADD V","PADD 5","")))))</f>
        <v/>
      </c>
      <c r="G11522" s="6">
        <f>IF(AND($H11522="ATMOS DISTILLATION",ISNUMBER(SEARCH("VPS",$I11522))=FALSE,LEFT($I11522,6)&lt;&gt;"VACUUM"),"CDU",IF($H11522="FLUID CAT CRACKING","FCC",IF(OR($H11522="HYDROCRACKING",$H11522="RESID_HYDROCRACKING"),"Hydrocracker",IF($H11522="REFORMING","Reformer",""))))</f>
        <v/>
      </c>
    </row>
    <row r="11523" spans="6:7">
      <c r="F11523" s="6">
        <f>IF($M11523="PADD I","PADD 1",IF($M11523="PADD II","PADD 2",IF($M11523="PADD III","PADD 3",IF($M11523="PADD IV","PADD 4",IF($M11523="PADD V","PADD 5","")))))</f>
        <v/>
      </c>
      <c r="G11523" s="6">
        <f>IF(AND($H11523="ATMOS DISTILLATION",ISNUMBER(SEARCH("VPS",$I11523))=FALSE,LEFT($I11523,6)&lt;&gt;"VACUUM"),"CDU",IF($H11523="FLUID CAT CRACKING","FCC",IF(OR($H11523="HYDROCRACKING",$H11523="RESID_HYDROCRACKING"),"Hydrocracker",IF($H11523="REFORMING","Reformer",""))))</f>
        <v/>
      </c>
    </row>
    <row r="11524" spans="6:7">
      <c r="F11524" s="6">
        <f>IF($M11524="PADD I","PADD 1",IF($M11524="PADD II","PADD 2",IF($M11524="PADD III","PADD 3",IF($M11524="PADD IV","PADD 4",IF($M11524="PADD V","PADD 5","")))))</f>
        <v/>
      </c>
      <c r="G11524" s="6">
        <f>IF(AND($H11524="ATMOS DISTILLATION",ISNUMBER(SEARCH("VPS",$I11524))=FALSE,LEFT($I11524,6)&lt;&gt;"VACUUM"),"CDU",IF($H11524="FLUID CAT CRACKING","FCC",IF(OR($H11524="HYDROCRACKING",$H11524="RESID_HYDROCRACKING"),"Hydrocracker",IF($H11524="REFORMING","Reformer",""))))</f>
        <v/>
      </c>
    </row>
    <row r="11525" spans="6:7">
      <c r="F11525" s="6">
        <f>IF($M11525="PADD I","PADD 1",IF($M11525="PADD II","PADD 2",IF($M11525="PADD III","PADD 3",IF($M11525="PADD IV","PADD 4",IF($M11525="PADD V","PADD 5","")))))</f>
        <v/>
      </c>
      <c r="G11525" s="6">
        <f>IF(AND($H11525="ATMOS DISTILLATION",ISNUMBER(SEARCH("VPS",$I11525))=FALSE,LEFT($I11525,6)&lt;&gt;"VACUUM"),"CDU",IF($H11525="FLUID CAT CRACKING","FCC",IF(OR($H11525="HYDROCRACKING",$H11525="RESID_HYDROCRACKING"),"Hydrocracker",IF($H11525="REFORMING","Reformer",""))))</f>
        <v/>
      </c>
    </row>
    <row r="11526" spans="6:7">
      <c r="F11526" s="6">
        <f>IF($M11526="PADD I","PADD 1",IF($M11526="PADD II","PADD 2",IF($M11526="PADD III","PADD 3",IF($M11526="PADD IV","PADD 4",IF($M11526="PADD V","PADD 5","")))))</f>
        <v/>
      </c>
      <c r="G11526" s="6">
        <f>IF(AND($H11526="ATMOS DISTILLATION",ISNUMBER(SEARCH("VPS",$I11526))=FALSE,LEFT($I11526,6)&lt;&gt;"VACUUM"),"CDU",IF($H11526="FLUID CAT CRACKING","FCC",IF(OR($H11526="HYDROCRACKING",$H11526="RESID_HYDROCRACKING"),"Hydrocracker",IF($H11526="REFORMING","Reformer",""))))</f>
        <v/>
      </c>
    </row>
    <row r="11527" spans="6:7">
      <c r="F11527" s="6">
        <f>IF($M11527="PADD I","PADD 1",IF($M11527="PADD II","PADD 2",IF($M11527="PADD III","PADD 3",IF($M11527="PADD IV","PADD 4",IF($M11527="PADD V","PADD 5","")))))</f>
        <v/>
      </c>
      <c r="G11527" s="6">
        <f>IF(AND($H11527="ATMOS DISTILLATION",ISNUMBER(SEARCH("VPS",$I11527))=FALSE,LEFT($I11527,6)&lt;&gt;"VACUUM"),"CDU",IF($H11527="FLUID CAT CRACKING","FCC",IF(OR($H11527="HYDROCRACKING",$H11527="RESID_HYDROCRACKING"),"Hydrocracker",IF($H11527="REFORMING","Reformer",""))))</f>
        <v/>
      </c>
    </row>
    <row r="11528" spans="6:7">
      <c r="F11528" s="6">
        <f>IF($M11528="PADD I","PADD 1",IF($M11528="PADD II","PADD 2",IF($M11528="PADD III","PADD 3",IF($M11528="PADD IV","PADD 4",IF($M11528="PADD V","PADD 5","")))))</f>
        <v/>
      </c>
      <c r="G11528" s="6">
        <f>IF(AND($H11528="ATMOS DISTILLATION",ISNUMBER(SEARCH("VPS",$I11528))=FALSE,LEFT($I11528,6)&lt;&gt;"VACUUM"),"CDU",IF($H11528="FLUID CAT CRACKING","FCC",IF(OR($H11528="HYDROCRACKING",$H11528="RESID_HYDROCRACKING"),"Hydrocracker",IF($H11528="REFORMING","Reformer",""))))</f>
        <v/>
      </c>
    </row>
    <row r="11529" spans="6:7">
      <c r="F11529" s="6">
        <f>IF($M11529="PADD I","PADD 1",IF($M11529="PADD II","PADD 2",IF($M11529="PADD III","PADD 3",IF($M11529="PADD IV","PADD 4",IF($M11529="PADD V","PADD 5","")))))</f>
        <v/>
      </c>
      <c r="G11529" s="6">
        <f>IF(AND($H11529="ATMOS DISTILLATION",ISNUMBER(SEARCH("VPS",$I11529))=FALSE,LEFT($I11529,6)&lt;&gt;"VACUUM"),"CDU",IF($H11529="FLUID CAT CRACKING","FCC",IF(OR($H11529="HYDROCRACKING",$H11529="RESID_HYDROCRACKING"),"Hydrocracker",IF($H11529="REFORMING","Reformer",""))))</f>
        <v/>
      </c>
    </row>
    <row r="11530" spans="6:7">
      <c r="F11530" s="6">
        <f>IF($M11530="PADD I","PADD 1",IF($M11530="PADD II","PADD 2",IF($M11530="PADD III","PADD 3",IF($M11530="PADD IV","PADD 4",IF($M11530="PADD V","PADD 5","")))))</f>
        <v/>
      </c>
      <c r="G11530" s="6">
        <f>IF(AND($H11530="ATMOS DISTILLATION",ISNUMBER(SEARCH("VPS",$I11530))=FALSE,LEFT($I11530,6)&lt;&gt;"VACUUM"),"CDU",IF($H11530="FLUID CAT CRACKING","FCC",IF(OR($H11530="HYDROCRACKING",$H11530="RESID_HYDROCRACKING"),"Hydrocracker",IF($H11530="REFORMING","Reformer",""))))</f>
        <v/>
      </c>
    </row>
    <row r="11531" spans="6:7">
      <c r="F11531" s="6">
        <f>IF($M11531="PADD I","PADD 1",IF($M11531="PADD II","PADD 2",IF($M11531="PADD III","PADD 3",IF($M11531="PADD IV","PADD 4",IF($M11531="PADD V","PADD 5","")))))</f>
        <v/>
      </c>
      <c r="G11531" s="6">
        <f>IF(AND($H11531="ATMOS DISTILLATION",ISNUMBER(SEARCH("VPS",$I11531))=FALSE,LEFT($I11531,6)&lt;&gt;"VACUUM"),"CDU",IF($H11531="FLUID CAT CRACKING","FCC",IF(OR($H11531="HYDROCRACKING",$H11531="RESID_HYDROCRACKING"),"Hydrocracker",IF($H11531="REFORMING","Reformer",""))))</f>
        <v/>
      </c>
    </row>
    <row r="11532" spans="6:7">
      <c r="F11532" s="6">
        <f>IF($M11532="PADD I","PADD 1",IF($M11532="PADD II","PADD 2",IF($M11532="PADD III","PADD 3",IF($M11532="PADD IV","PADD 4",IF($M11532="PADD V","PADD 5","")))))</f>
        <v/>
      </c>
      <c r="G11532" s="6">
        <f>IF(AND($H11532="ATMOS DISTILLATION",ISNUMBER(SEARCH("VPS",$I11532))=FALSE,LEFT($I11532,6)&lt;&gt;"VACUUM"),"CDU",IF($H11532="FLUID CAT CRACKING","FCC",IF(OR($H11532="HYDROCRACKING",$H11532="RESID_HYDROCRACKING"),"Hydrocracker",IF($H11532="REFORMING","Reformer",""))))</f>
        <v/>
      </c>
    </row>
    <row r="11533" spans="6:7">
      <c r="F11533" s="6">
        <f>IF($M11533="PADD I","PADD 1",IF($M11533="PADD II","PADD 2",IF($M11533="PADD III","PADD 3",IF($M11533="PADD IV","PADD 4",IF($M11533="PADD V","PADD 5","")))))</f>
        <v/>
      </c>
      <c r="G11533" s="6">
        <f>IF(AND($H11533="ATMOS DISTILLATION",ISNUMBER(SEARCH("VPS",$I11533))=FALSE,LEFT($I11533,6)&lt;&gt;"VACUUM"),"CDU",IF($H11533="FLUID CAT CRACKING","FCC",IF(OR($H11533="HYDROCRACKING",$H11533="RESID_HYDROCRACKING"),"Hydrocracker",IF($H11533="REFORMING","Reformer",""))))</f>
        <v/>
      </c>
    </row>
    <row r="11534" spans="6:7">
      <c r="F11534" s="6">
        <f>IF($M11534="PADD I","PADD 1",IF($M11534="PADD II","PADD 2",IF($M11534="PADD III","PADD 3",IF($M11534="PADD IV","PADD 4",IF($M11534="PADD V","PADD 5","")))))</f>
        <v/>
      </c>
      <c r="G11534" s="6">
        <f>IF(AND($H11534="ATMOS DISTILLATION",ISNUMBER(SEARCH("VPS",$I11534))=FALSE,LEFT($I11534,6)&lt;&gt;"VACUUM"),"CDU",IF($H11534="FLUID CAT CRACKING","FCC",IF(OR($H11534="HYDROCRACKING",$H11534="RESID_HYDROCRACKING"),"Hydrocracker",IF($H11534="REFORMING","Reformer",""))))</f>
        <v/>
      </c>
    </row>
    <row r="11535" spans="6:7">
      <c r="F11535" s="6">
        <f>IF($M11535="PADD I","PADD 1",IF($M11535="PADD II","PADD 2",IF($M11535="PADD III","PADD 3",IF($M11535="PADD IV","PADD 4",IF($M11535="PADD V","PADD 5","")))))</f>
        <v/>
      </c>
      <c r="G11535" s="6">
        <f>IF(AND($H11535="ATMOS DISTILLATION",ISNUMBER(SEARCH("VPS",$I11535))=FALSE,LEFT($I11535,6)&lt;&gt;"VACUUM"),"CDU",IF($H11535="FLUID CAT CRACKING","FCC",IF(OR($H11535="HYDROCRACKING",$H11535="RESID_HYDROCRACKING"),"Hydrocracker",IF($H11535="REFORMING","Reformer",""))))</f>
        <v/>
      </c>
    </row>
    <row r="11536" spans="6:7">
      <c r="F11536" s="6">
        <f>IF($M11536="PADD I","PADD 1",IF($M11536="PADD II","PADD 2",IF($M11536="PADD III","PADD 3",IF($M11536="PADD IV","PADD 4",IF($M11536="PADD V","PADD 5","")))))</f>
        <v/>
      </c>
      <c r="G11536" s="6">
        <f>IF(AND($H11536="ATMOS DISTILLATION",ISNUMBER(SEARCH("VPS",$I11536))=FALSE,LEFT($I11536,6)&lt;&gt;"VACUUM"),"CDU",IF($H11536="FLUID CAT CRACKING","FCC",IF(OR($H11536="HYDROCRACKING",$H11536="RESID_HYDROCRACKING"),"Hydrocracker",IF($H11536="REFORMING","Reformer",""))))</f>
        <v/>
      </c>
    </row>
    <row r="11537" spans="6:7">
      <c r="F11537" s="6">
        <f>IF($M11537="PADD I","PADD 1",IF($M11537="PADD II","PADD 2",IF($M11537="PADD III","PADD 3",IF($M11537="PADD IV","PADD 4",IF($M11537="PADD V","PADD 5","")))))</f>
        <v/>
      </c>
      <c r="G11537" s="6">
        <f>IF(AND($H11537="ATMOS DISTILLATION",ISNUMBER(SEARCH("VPS",$I11537))=FALSE,LEFT($I11537,6)&lt;&gt;"VACUUM"),"CDU",IF($H11537="FLUID CAT CRACKING","FCC",IF(OR($H11537="HYDROCRACKING",$H11537="RESID_HYDROCRACKING"),"Hydrocracker",IF($H11537="REFORMING","Reformer",""))))</f>
        <v/>
      </c>
    </row>
    <row r="11538" spans="6:7">
      <c r="F11538" s="6">
        <f>IF($M11538="PADD I","PADD 1",IF($M11538="PADD II","PADD 2",IF($M11538="PADD III","PADD 3",IF($M11538="PADD IV","PADD 4",IF($M11538="PADD V","PADD 5","")))))</f>
        <v/>
      </c>
      <c r="G11538" s="6">
        <f>IF(AND($H11538="ATMOS DISTILLATION",ISNUMBER(SEARCH("VPS",$I11538))=FALSE,LEFT($I11538,6)&lt;&gt;"VACUUM"),"CDU",IF($H11538="FLUID CAT CRACKING","FCC",IF(OR($H11538="HYDROCRACKING",$H11538="RESID_HYDROCRACKING"),"Hydrocracker",IF($H11538="REFORMING","Reformer",""))))</f>
        <v/>
      </c>
    </row>
    <row r="11539" spans="6:7">
      <c r="F11539" s="6">
        <f>IF($M11539="PADD I","PADD 1",IF($M11539="PADD II","PADD 2",IF($M11539="PADD III","PADD 3",IF($M11539="PADD IV","PADD 4",IF($M11539="PADD V","PADD 5","")))))</f>
        <v/>
      </c>
      <c r="G11539" s="6">
        <f>IF(AND($H11539="ATMOS DISTILLATION",ISNUMBER(SEARCH("VPS",$I11539))=FALSE,LEFT($I11539,6)&lt;&gt;"VACUUM"),"CDU",IF($H11539="FLUID CAT CRACKING","FCC",IF(OR($H11539="HYDROCRACKING",$H11539="RESID_HYDROCRACKING"),"Hydrocracker",IF($H11539="REFORMING","Reformer",""))))</f>
        <v/>
      </c>
    </row>
    <row r="11540" spans="6:7">
      <c r="F11540" s="6">
        <f>IF($M11540="PADD I","PADD 1",IF($M11540="PADD II","PADD 2",IF($M11540="PADD III","PADD 3",IF($M11540="PADD IV","PADD 4",IF($M11540="PADD V","PADD 5","")))))</f>
        <v/>
      </c>
      <c r="G11540" s="6">
        <f>IF(AND($H11540="ATMOS DISTILLATION",ISNUMBER(SEARCH("VPS",$I11540))=FALSE,LEFT($I11540,6)&lt;&gt;"VACUUM"),"CDU",IF($H11540="FLUID CAT CRACKING","FCC",IF(OR($H11540="HYDROCRACKING",$H11540="RESID_HYDROCRACKING"),"Hydrocracker",IF($H11540="REFORMING","Reformer",""))))</f>
        <v/>
      </c>
    </row>
    <row r="11541" spans="6:7">
      <c r="F11541" s="6">
        <f>IF($M11541="PADD I","PADD 1",IF($M11541="PADD II","PADD 2",IF($M11541="PADD III","PADD 3",IF($M11541="PADD IV","PADD 4",IF($M11541="PADD V","PADD 5","")))))</f>
        <v/>
      </c>
      <c r="G11541" s="6">
        <f>IF(AND($H11541="ATMOS DISTILLATION",ISNUMBER(SEARCH("VPS",$I11541))=FALSE,LEFT($I11541,6)&lt;&gt;"VACUUM"),"CDU",IF($H11541="FLUID CAT CRACKING","FCC",IF(OR($H11541="HYDROCRACKING",$H11541="RESID_HYDROCRACKING"),"Hydrocracker",IF($H11541="REFORMING","Reformer",""))))</f>
        <v/>
      </c>
    </row>
    <row r="11542" spans="6:7">
      <c r="F11542" s="6">
        <f>IF($M11542="PADD I","PADD 1",IF($M11542="PADD II","PADD 2",IF($M11542="PADD III","PADD 3",IF($M11542="PADD IV","PADD 4",IF($M11542="PADD V","PADD 5","")))))</f>
        <v/>
      </c>
      <c r="G11542" s="6">
        <f>IF(AND($H11542="ATMOS DISTILLATION",ISNUMBER(SEARCH("VPS",$I11542))=FALSE,LEFT($I11542,6)&lt;&gt;"VACUUM"),"CDU",IF($H11542="FLUID CAT CRACKING","FCC",IF(OR($H11542="HYDROCRACKING",$H11542="RESID_HYDROCRACKING"),"Hydrocracker",IF($H11542="REFORMING","Reformer",""))))</f>
        <v/>
      </c>
    </row>
    <row r="11543" spans="6:7">
      <c r="F11543" s="6">
        <f>IF($M11543="PADD I","PADD 1",IF($M11543="PADD II","PADD 2",IF($M11543="PADD III","PADD 3",IF($M11543="PADD IV","PADD 4",IF($M11543="PADD V","PADD 5","")))))</f>
        <v/>
      </c>
      <c r="G11543" s="6">
        <f>IF(AND($H11543="ATMOS DISTILLATION",ISNUMBER(SEARCH("VPS",$I11543))=FALSE,LEFT($I11543,6)&lt;&gt;"VACUUM"),"CDU",IF($H11543="FLUID CAT CRACKING","FCC",IF(OR($H11543="HYDROCRACKING",$H11543="RESID_HYDROCRACKING"),"Hydrocracker",IF($H11543="REFORMING","Reformer",""))))</f>
        <v/>
      </c>
    </row>
    <row r="11544" spans="6:7">
      <c r="F11544" s="6">
        <f>IF($M11544="PADD I","PADD 1",IF($M11544="PADD II","PADD 2",IF($M11544="PADD III","PADD 3",IF($M11544="PADD IV","PADD 4",IF($M11544="PADD V","PADD 5","")))))</f>
        <v/>
      </c>
      <c r="G11544" s="6">
        <f>IF(AND($H11544="ATMOS DISTILLATION",ISNUMBER(SEARCH("VPS",$I11544))=FALSE,LEFT($I11544,6)&lt;&gt;"VACUUM"),"CDU",IF($H11544="FLUID CAT CRACKING","FCC",IF(OR($H11544="HYDROCRACKING",$H11544="RESID_HYDROCRACKING"),"Hydrocracker",IF($H11544="REFORMING","Reformer",""))))</f>
        <v/>
      </c>
    </row>
    <row r="11545" spans="6:7">
      <c r="F11545" s="6">
        <f>IF($M11545="PADD I","PADD 1",IF($M11545="PADD II","PADD 2",IF($M11545="PADD III","PADD 3",IF($M11545="PADD IV","PADD 4",IF($M11545="PADD V","PADD 5","")))))</f>
        <v/>
      </c>
      <c r="G11545" s="6">
        <f>IF(AND($H11545="ATMOS DISTILLATION",ISNUMBER(SEARCH("VPS",$I11545))=FALSE,LEFT($I11545,6)&lt;&gt;"VACUUM"),"CDU",IF($H11545="FLUID CAT CRACKING","FCC",IF(OR($H11545="HYDROCRACKING",$H11545="RESID_HYDROCRACKING"),"Hydrocracker",IF($H11545="REFORMING","Reformer",""))))</f>
        <v/>
      </c>
    </row>
    <row r="11546" spans="6:7">
      <c r="F11546" s="6">
        <f>IF($M11546="PADD I","PADD 1",IF($M11546="PADD II","PADD 2",IF($M11546="PADD III","PADD 3",IF($M11546="PADD IV","PADD 4",IF($M11546="PADD V","PADD 5","")))))</f>
        <v/>
      </c>
      <c r="G11546" s="6">
        <f>IF(AND($H11546="ATMOS DISTILLATION",ISNUMBER(SEARCH("VPS",$I11546))=FALSE,LEFT($I11546,6)&lt;&gt;"VACUUM"),"CDU",IF($H11546="FLUID CAT CRACKING","FCC",IF(OR($H11546="HYDROCRACKING",$H11546="RESID_HYDROCRACKING"),"Hydrocracker",IF($H11546="REFORMING","Reformer",""))))</f>
        <v/>
      </c>
    </row>
    <row r="11547" spans="6:7">
      <c r="F11547" s="6">
        <f>IF($M11547="PADD I","PADD 1",IF($M11547="PADD II","PADD 2",IF($M11547="PADD III","PADD 3",IF($M11547="PADD IV","PADD 4",IF($M11547="PADD V","PADD 5","")))))</f>
        <v/>
      </c>
      <c r="G11547" s="6">
        <f>IF(AND($H11547="ATMOS DISTILLATION",ISNUMBER(SEARCH("VPS",$I11547))=FALSE,LEFT($I11547,6)&lt;&gt;"VACUUM"),"CDU",IF($H11547="FLUID CAT CRACKING","FCC",IF(OR($H11547="HYDROCRACKING",$H11547="RESID_HYDROCRACKING"),"Hydrocracker",IF($H11547="REFORMING","Reformer",""))))</f>
        <v/>
      </c>
    </row>
    <row r="11548" spans="6:7">
      <c r="F11548" s="6">
        <f>IF($M11548="PADD I","PADD 1",IF($M11548="PADD II","PADD 2",IF($M11548="PADD III","PADD 3",IF($M11548="PADD IV","PADD 4",IF($M11548="PADD V","PADD 5","")))))</f>
        <v/>
      </c>
      <c r="G11548" s="6">
        <f>IF(AND($H11548="ATMOS DISTILLATION",ISNUMBER(SEARCH("VPS",$I11548))=FALSE,LEFT($I11548,6)&lt;&gt;"VACUUM"),"CDU",IF($H11548="FLUID CAT CRACKING","FCC",IF(OR($H11548="HYDROCRACKING",$H11548="RESID_HYDROCRACKING"),"Hydrocracker",IF($H11548="REFORMING","Reformer",""))))</f>
        <v/>
      </c>
    </row>
    <row r="11549" spans="6:7">
      <c r="F11549" s="6">
        <f>IF($M11549="PADD I","PADD 1",IF($M11549="PADD II","PADD 2",IF($M11549="PADD III","PADD 3",IF($M11549="PADD IV","PADD 4",IF($M11549="PADD V","PADD 5","")))))</f>
        <v/>
      </c>
      <c r="G11549" s="6">
        <f>IF(AND($H11549="ATMOS DISTILLATION",ISNUMBER(SEARCH("VPS",$I11549))=FALSE,LEFT($I11549,6)&lt;&gt;"VACUUM"),"CDU",IF($H11549="FLUID CAT CRACKING","FCC",IF(OR($H11549="HYDROCRACKING",$H11549="RESID_HYDROCRACKING"),"Hydrocracker",IF($H11549="REFORMING","Reformer",""))))</f>
        <v/>
      </c>
    </row>
    <row r="11550" spans="6:7">
      <c r="F11550" s="6">
        <f>IF($M11550="PADD I","PADD 1",IF($M11550="PADD II","PADD 2",IF($M11550="PADD III","PADD 3",IF($M11550="PADD IV","PADD 4",IF($M11550="PADD V","PADD 5","")))))</f>
        <v/>
      </c>
      <c r="G11550" s="6">
        <f>IF(AND($H11550="ATMOS DISTILLATION",ISNUMBER(SEARCH("VPS",$I11550))=FALSE,LEFT($I11550,6)&lt;&gt;"VACUUM"),"CDU",IF($H11550="FLUID CAT CRACKING","FCC",IF(OR($H11550="HYDROCRACKING",$H11550="RESID_HYDROCRACKING"),"Hydrocracker",IF($H11550="REFORMING","Reformer",""))))</f>
        <v/>
      </c>
    </row>
    <row r="11551" spans="6:7">
      <c r="F11551" s="6">
        <f>IF($M11551="PADD I","PADD 1",IF($M11551="PADD II","PADD 2",IF($M11551="PADD III","PADD 3",IF($M11551="PADD IV","PADD 4",IF($M11551="PADD V","PADD 5","")))))</f>
        <v/>
      </c>
      <c r="G11551" s="6">
        <f>IF(AND($H11551="ATMOS DISTILLATION",ISNUMBER(SEARCH("VPS",$I11551))=FALSE,LEFT($I11551,6)&lt;&gt;"VACUUM"),"CDU",IF($H11551="FLUID CAT CRACKING","FCC",IF(OR($H11551="HYDROCRACKING",$H11551="RESID_HYDROCRACKING"),"Hydrocracker",IF($H11551="REFORMING","Reformer",""))))</f>
        <v/>
      </c>
    </row>
    <row r="11552" spans="6:7">
      <c r="F11552" s="6">
        <f>IF($M11552="PADD I","PADD 1",IF($M11552="PADD II","PADD 2",IF($M11552="PADD III","PADD 3",IF($M11552="PADD IV","PADD 4",IF($M11552="PADD V","PADD 5","")))))</f>
        <v/>
      </c>
      <c r="G11552" s="6">
        <f>IF(AND($H11552="ATMOS DISTILLATION",ISNUMBER(SEARCH("VPS",$I11552))=FALSE,LEFT($I11552,6)&lt;&gt;"VACUUM"),"CDU",IF($H11552="FLUID CAT CRACKING","FCC",IF(OR($H11552="HYDROCRACKING",$H11552="RESID_HYDROCRACKING"),"Hydrocracker",IF($H11552="REFORMING","Reformer",""))))</f>
        <v/>
      </c>
    </row>
    <row r="11553" spans="6:7">
      <c r="F11553" s="6">
        <f>IF($M11553="PADD I","PADD 1",IF($M11553="PADD II","PADD 2",IF($M11553="PADD III","PADD 3",IF($M11553="PADD IV","PADD 4",IF($M11553="PADD V","PADD 5","")))))</f>
        <v/>
      </c>
      <c r="G11553" s="6">
        <f>IF(AND($H11553="ATMOS DISTILLATION",ISNUMBER(SEARCH("VPS",$I11553))=FALSE,LEFT($I11553,6)&lt;&gt;"VACUUM"),"CDU",IF($H11553="FLUID CAT CRACKING","FCC",IF(OR($H11553="HYDROCRACKING",$H11553="RESID_HYDROCRACKING"),"Hydrocracker",IF($H11553="REFORMING","Reformer",""))))</f>
        <v/>
      </c>
    </row>
    <row r="11554" spans="6:7">
      <c r="F11554" s="6">
        <f>IF($M11554="PADD I","PADD 1",IF($M11554="PADD II","PADD 2",IF($M11554="PADD III","PADD 3",IF($M11554="PADD IV","PADD 4",IF($M11554="PADD V","PADD 5","")))))</f>
        <v/>
      </c>
      <c r="G11554" s="6">
        <f>IF(AND($H11554="ATMOS DISTILLATION",ISNUMBER(SEARCH("VPS",$I11554))=FALSE,LEFT($I11554,6)&lt;&gt;"VACUUM"),"CDU",IF($H11554="FLUID CAT CRACKING","FCC",IF(OR($H11554="HYDROCRACKING",$H11554="RESID_HYDROCRACKING"),"Hydrocracker",IF($H11554="REFORMING","Reformer",""))))</f>
        <v/>
      </c>
    </row>
    <row r="11555" spans="6:7">
      <c r="F11555" s="6">
        <f>IF($M11555="PADD I","PADD 1",IF($M11555="PADD II","PADD 2",IF($M11555="PADD III","PADD 3",IF($M11555="PADD IV","PADD 4",IF($M11555="PADD V","PADD 5","")))))</f>
        <v/>
      </c>
      <c r="G11555" s="6">
        <f>IF(AND($H11555="ATMOS DISTILLATION",ISNUMBER(SEARCH("VPS",$I11555))=FALSE,LEFT($I11555,6)&lt;&gt;"VACUUM"),"CDU",IF($H11555="FLUID CAT CRACKING","FCC",IF(OR($H11555="HYDROCRACKING",$H11555="RESID_HYDROCRACKING"),"Hydrocracker",IF($H11555="REFORMING","Reformer",""))))</f>
        <v/>
      </c>
    </row>
    <row r="11556" spans="6:7">
      <c r="F11556" s="6">
        <f>IF($M11556="PADD I","PADD 1",IF($M11556="PADD II","PADD 2",IF($M11556="PADD III","PADD 3",IF($M11556="PADD IV","PADD 4",IF($M11556="PADD V","PADD 5","")))))</f>
        <v/>
      </c>
      <c r="G11556" s="6">
        <f>IF(AND($H11556="ATMOS DISTILLATION",ISNUMBER(SEARCH("VPS",$I11556))=FALSE,LEFT($I11556,6)&lt;&gt;"VACUUM"),"CDU",IF($H11556="FLUID CAT CRACKING","FCC",IF(OR($H11556="HYDROCRACKING",$H11556="RESID_HYDROCRACKING"),"Hydrocracker",IF($H11556="REFORMING","Reformer",""))))</f>
        <v/>
      </c>
    </row>
    <row r="11557" spans="6:7">
      <c r="F11557" s="6">
        <f>IF($M11557="PADD I","PADD 1",IF($M11557="PADD II","PADD 2",IF($M11557="PADD III","PADD 3",IF($M11557="PADD IV","PADD 4",IF($M11557="PADD V","PADD 5","")))))</f>
        <v/>
      </c>
      <c r="G11557" s="6">
        <f>IF(AND($H11557="ATMOS DISTILLATION",ISNUMBER(SEARCH("VPS",$I11557))=FALSE,LEFT($I11557,6)&lt;&gt;"VACUUM"),"CDU",IF($H11557="FLUID CAT CRACKING","FCC",IF(OR($H11557="HYDROCRACKING",$H11557="RESID_HYDROCRACKING"),"Hydrocracker",IF($H11557="REFORMING","Reformer",""))))</f>
        <v/>
      </c>
    </row>
    <row r="11558" spans="6:7">
      <c r="F11558" s="6">
        <f>IF($M11558="PADD I","PADD 1",IF($M11558="PADD II","PADD 2",IF($M11558="PADD III","PADD 3",IF($M11558="PADD IV","PADD 4",IF($M11558="PADD V","PADD 5","")))))</f>
        <v/>
      </c>
      <c r="G11558" s="6">
        <f>IF(AND($H11558="ATMOS DISTILLATION",ISNUMBER(SEARCH("VPS",$I11558))=FALSE,LEFT($I11558,6)&lt;&gt;"VACUUM"),"CDU",IF($H11558="FLUID CAT CRACKING","FCC",IF(OR($H11558="HYDROCRACKING",$H11558="RESID_HYDROCRACKING"),"Hydrocracker",IF($H11558="REFORMING","Reformer",""))))</f>
        <v/>
      </c>
    </row>
    <row r="11559" spans="6:7">
      <c r="F11559" s="6">
        <f>IF($M11559="PADD I","PADD 1",IF($M11559="PADD II","PADD 2",IF($M11559="PADD III","PADD 3",IF($M11559="PADD IV","PADD 4",IF($M11559="PADD V","PADD 5","")))))</f>
        <v/>
      </c>
      <c r="G11559" s="6">
        <f>IF(AND($H11559="ATMOS DISTILLATION",ISNUMBER(SEARCH("VPS",$I11559))=FALSE,LEFT($I11559,6)&lt;&gt;"VACUUM"),"CDU",IF($H11559="FLUID CAT CRACKING","FCC",IF(OR($H11559="HYDROCRACKING",$H11559="RESID_HYDROCRACKING"),"Hydrocracker",IF($H11559="REFORMING","Reformer",""))))</f>
        <v/>
      </c>
    </row>
    <row r="11560" spans="6:7">
      <c r="F11560" s="6">
        <f>IF($M11560="PADD I","PADD 1",IF($M11560="PADD II","PADD 2",IF($M11560="PADD III","PADD 3",IF($M11560="PADD IV","PADD 4",IF($M11560="PADD V","PADD 5","")))))</f>
        <v/>
      </c>
      <c r="G11560" s="6">
        <f>IF(AND($H11560="ATMOS DISTILLATION",ISNUMBER(SEARCH("VPS",$I11560))=FALSE,LEFT($I11560,6)&lt;&gt;"VACUUM"),"CDU",IF($H11560="FLUID CAT CRACKING","FCC",IF(OR($H11560="HYDROCRACKING",$H11560="RESID_HYDROCRACKING"),"Hydrocracker",IF($H11560="REFORMING","Reformer",""))))</f>
        <v/>
      </c>
    </row>
    <row r="11561" spans="6:7">
      <c r="F11561" s="6">
        <f>IF($M11561="PADD I","PADD 1",IF($M11561="PADD II","PADD 2",IF($M11561="PADD III","PADD 3",IF($M11561="PADD IV","PADD 4",IF($M11561="PADD V","PADD 5","")))))</f>
        <v/>
      </c>
      <c r="G11561" s="6">
        <f>IF(AND($H11561="ATMOS DISTILLATION",ISNUMBER(SEARCH("VPS",$I11561))=FALSE,LEFT($I11561,6)&lt;&gt;"VACUUM"),"CDU",IF($H11561="FLUID CAT CRACKING","FCC",IF(OR($H11561="HYDROCRACKING",$H11561="RESID_HYDROCRACKING"),"Hydrocracker",IF($H11561="REFORMING","Reformer",""))))</f>
        <v/>
      </c>
    </row>
    <row r="11562" spans="6:7">
      <c r="F11562" s="6">
        <f>IF($M11562="PADD I","PADD 1",IF($M11562="PADD II","PADD 2",IF($M11562="PADD III","PADD 3",IF($M11562="PADD IV","PADD 4",IF($M11562="PADD V","PADD 5","")))))</f>
        <v/>
      </c>
      <c r="G11562" s="6">
        <f>IF(AND($H11562="ATMOS DISTILLATION",ISNUMBER(SEARCH("VPS",$I11562))=FALSE,LEFT($I11562,6)&lt;&gt;"VACUUM"),"CDU",IF($H11562="FLUID CAT CRACKING","FCC",IF(OR($H11562="HYDROCRACKING",$H11562="RESID_HYDROCRACKING"),"Hydrocracker",IF($H11562="REFORMING","Reformer",""))))</f>
        <v/>
      </c>
    </row>
    <row r="11563" spans="6:7">
      <c r="F11563" s="6">
        <f>IF($M11563="PADD I","PADD 1",IF($M11563="PADD II","PADD 2",IF($M11563="PADD III","PADD 3",IF($M11563="PADD IV","PADD 4",IF($M11563="PADD V","PADD 5","")))))</f>
        <v/>
      </c>
      <c r="G11563" s="6">
        <f>IF(AND($H11563="ATMOS DISTILLATION",ISNUMBER(SEARCH("VPS",$I11563))=FALSE,LEFT($I11563,6)&lt;&gt;"VACUUM"),"CDU",IF($H11563="FLUID CAT CRACKING","FCC",IF(OR($H11563="HYDROCRACKING",$H11563="RESID_HYDROCRACKING"),"Hydrocracker",IF($H11563="REFORMING","Reformer",""))))</f>
        <v/>
      </c>
    </row>
    <row r="11564" spans="6:7">
      <c r="F11564" s="6">
        <f>IF($M11564="PADD I","PADD 1",IF($M11564="PADD II","PADD 2",IF($M11564="PADD III","PADD 3",IF($M11564="PADD IV","PADD 4",IF($M11564="PADD V","PADD 5","")))))</f>
        <v/>
      </c>
      <c r="G11564" s="6">
        <f>IF(AND($H11564="ATMOS DISTILLATION",ISNUMBER(SEARCH("VPS",$I11564))=FALSE,LEFT($I11564,6)&lt;&gt;"VACUUM"),"CDU",IF($H11564="FLUID CAT CRACKING","FCC",IF(OR($H11564="HYDROCRACKING",$H11564="RESID_HYDROCRACKING"),"Hydrocracker",IF($H11564="REFORMING","Reformer",""))))</f>
        <v/>
      </c>
    </row>
    <row r="11565" spans="6:7">
      <c r="F11565" s="6">
        <f>IF($M11565="PADD I","PADD 1",IF($M11565="PADD II","PADD 2",IF($M11565="PADD III","PADD 3",IF($M11565="PADD IV","PADD 4",IF($M11565="PADD V","PADD 5","")))))</f>
        <v/>
      </c>
      <c r="G11565" s="6">
        <f>IF(AND($H11565="ATMOS DISTILLATION",ISNUMBER(SEARCH("VPS",$I11565))=FALSE,LEFT($I11565,6)&lt;&gt;"VACUUM"),"CDU",IF($H11565="FLUID CAT CRACKING","FCC",IF(OR($H11565="HYDROCRACKING",$H11565="RESID_HYDROCRACKING"),"Hydrocracker",IF($H11565="REFORMING","Reformer",""))))</f>
        <v/>
      </c>
    </row>
    <row r="11566" spans="6:7">
      <c r="F11566" s="6">
        <f>IF($M11566="PADD I","PADD 1",IF($M11566="PADD II","PADD 2",IF($M11566="PADD III","PADD 3",IF($M11566="PADD IV","PADD 4",IF($M11566="PADD V","PADD 5","")))))</f>
        <v/>
      </c>
      <c r="G11566" s="6">
        <f>IF(AND($H11566="ATMOS DISTILLATION",ISNUMBER(SEARCH("VPS",$I11566))=FALSE,LEFT($I11566,6)&lt;&gt;"VACUUM"),"CDU",IF($H11566="FLUID CAT CRACKING","FCC",IF(OR($H11566="HYDROCRACKING",$H11566="RESID_HYDROCRACKING"),"Hydrocracker",IF($H11566="REFORMING","Reformer",""))))</f>
        <v/>
      </c>
    </row>
    <row r="11567" spans="6:7">
      <c r="F11567" s="6">
        <f>IF($M11567="PADD I","PADD 1",IF($M11567="PADD II","PADD 2",IF($M11567="PADD III","PADD 3",IF($M11567="PADD IV","PADD 4",IF($M11567="PADD V","PADD 5","")))))</f>
        <v/>
      </c>
      <c r="G11567" s="6">
        <f>IF(AND($H11567="ATMOS DISTILLATION",ISNUMBER(SEARCH("VPS",$I11567))=FALSE,LEFT($I11567,6)&lt;&gt;"VACUUM"),"CDU",IF($H11567="FLUID CAT CRACKING","FCC",IF(OR($H11567="HYDROCRACKING",$H11567="RESID_HYDROCRACKING"),"Hydrocracker",IF($H11567="REFORMING","Reformer",""))))</f>
        <v/>
      </c>
    </row>
    <row r="11568" spans="6:7">
      <c r="F11568" s="6">
        <f>IF($M11568="PADD I","PADD 1",IF($M11568="PADD II","PADD 2",IF($M11568="PADD III","PADD 3",IF($M11568="PADD IV","PADD 4",IF($M11568="PADD V","PADD 5","")))))</f>
        <v/>
      </c>
      <c r="G11568" s="6">
        <f>IF(AND($H11568="ATMOS DISTILLATION",ISNUMBER(SEARCH("VPS",$I11568))=FALSE,LEFT($I11568,6)&lt;&gt;"VACUUM"),"CDU",IF($H11568="FLUID CAT CRACKING","FCC",IF(OR($H11568="HYDROCRACKING",$H11568="RESID_HYDROCRACKING"),"Hydrocracker",IF($H11568="REFORMING","Reformer",""))))</f>
        <v/>
      </c>
    </row>
    <row r="11569" spans="6:7">
      <c r="F11569" s="6">
        <f>IF($M11569="PADD I","PADD 1",IF($M11569="PADD II","PADD 2",IF($M11569="PADD III","PADD 3",IF($M11569="PADD IV","PADD 4",IF($M11569="PADD V","PADD 5","")))))</f>
        <v/>
      </c>
      <c r="G11569" s="6">
        <f>IF(AND($H11569="ATMOS DISTILLATION",ISNUMBER(SEARCH("VPS",$I11569))=FALSE,LEFT($I11569,6)&lt;&gt;"VACUUM"),"CDU",IF($H11569="FLUID CAT CRACKING","FCC",IF(OR($H11569="HYDROCRACKING",$H11569="RESID_HYDROCRACKING"),"Hydrocracker",IF($H11569="REFORMING","Reformer",""))))</f>
        <v/>
      </c>
    </row>
    <row r="11570" spans="6:7">
      <c r="F11570" s="6">
        <f>IF($M11570="PADD I","PADD 1",IF($M11570="PADD II","PADD 2",IF($M11570="PADD III","PADD 3",IF($M11570="PADD IV","PADD 4",IF($M11570="PADD V","PADD 5","")))))</f>
        <v/>
      </c>
      <c r="G11570" s="6">
        <f>IF(AND($H11570="ATMOS DISTILLATION",ISNUMBER(SEARCH("VPS",$I11570))=FALSE,LEFT($I11570,6)&lt;&gt;"VACUUM"),"CDU",IF($H11570="FLUID CAT CRACKING","FCC",IF(OR($H11570="HYDROCRACKING",$H11570="RESID_HYDROCRACKING"),"Hydrocracker",IF($H11570="REFORMING","Reformer",""))))</f>
        <v/>
      </c>
    </row>
    <row r="11571" spans="6:7">
      <c r="F11571" s="6">
        <f>IF($M11571="PADD I","PADD 1",IF($M11571="PADD II","PADD 2",IF($M11571="PADD III","PADD 3",IF($M11571="PADD IV","PADD 4",IF($M11571="PADD V","PADD 5","")))))</f>
        <v/>
      </c>
      <c r="G11571" s="6">
        <f>IF(AND($H11571="ATMOS DISTILLATION",ISNUMBER(SEARCH("VPS",$I11571))=FALSE,LEFT($I11571,6)&lt;&gt;"VACUUM"),"CDU",IF($H11571="FLUID CAT CRACKING","FCC",IF(OR($H11571="HYDROCRACKING",$H11571="RESID_HYDROCRACKING"),"Hydrocracker",IF($H11571="REFORMING","Reformer",""))))</f>
        <v/>
      </c>
    </row>
    <row r="11572" spans="6:7">
      <c r="F11572" s="6">
        <f>IF($M11572="PADD I","PADD 1",IF($M11572="PADD II","PADD 2",IF($M11572="PADD III","PADD 3",IF($M11572="PADD IV","PADD 4",IF($M11572="PADD V","PADD 5","")))))</f>
        <v/>
      </c>
      <c r="G11572" s="6">
        <f>IF(AND($H11572="ATMOS DISTILLATION",ISNUMBER(SEARCH("VPS",$I11572))=FALSE,LEFT($I11572,6)&lt;&gt;"VACUUM"),"CDU",IF($H11572="FLUID CAT CRACKING","FCC",IF(OR($H11572="HYDROCRACKING",$H11572="RESID_HYDROCRACKING"),"Hydrocracker",IF($H11572="REFORMING","Reformer",""))))</f>
        <v/>
      </c>
    </row>
    <row r="11573" spans="6:7">
      <c r="F11573" s="6">
        <f>IF($M11573="PADD I","PADD 1",IF($M11573="PADD II","PADD 2",IF($M11573="PADD III","PADD 3",IF($M11573="PADD IV","PADD 4",IF($M11573="PADD V","PADD 5","")))))</f>
        <v/>
      </c>
      <c r="G11573" s="6">
        <f>IF(AND($H11573="ATMOS DISTILLATION",ISNUMBER(SEARCH("VPS",$I11573))=FALSE,LEFT($I11573,6)&lt;&gt;"VACUUM"),"CDU",IF($H11573="FLUID CAT CRACKING","FCC",IF(OR($H11573="HYDROCRACKING",$H11573="RESID_HYDROCRACKING"),"Hydrocracker",IF($H11573="REFORMING","Reformer",""))))</f>
        <v/>
      </c>
    </row>
    <row r="11574" spans="6:7">
      <c r="F11574" s="6">
        <f>IF($M11574="PADD I","PADD 1",IF($M11574="PADD II","PADD 2",IF($M11574="PADD III","PADD 3",IF($M11574="PADD IV","PADD 4",IF($M11574="PADD V","PADD 5","")))))</f>
        <v/>
      </c>
      <c r="G11574" s="6">
        <f>IF(AND($H11574="ATMOS DISTILLATION",ISNUMBER(SEARCH("VPS",$I11574))=FALSE,LEFT($I11574,6)&lt;&gt;"VACUUM"),"CDU",IF($H11574="FLUID CAT CRACKING","FCC",IF(OR($H11574="HYDROCRACKING",$H11574="RESID_HYDROCRACKING"),"Hydrocracker",IF($H11574="REFORMING","Reformer",""))))</f>
        <v/>
      </c>
    </row>
    <row r="11575" spans="6:7">
      <c r="F11575" s="6">
        <f>IF($M11575="PADD I","PADD 1",IF($M11575="PADD II","PADD 2",IF($M11575="PADD III","PADD 3",IF($M11575="PADD IV","PADD 4",IF($M11575="PADD V","PADD 5","")))))</f>
        <v/>
      </c>
      <c r="G11575" s="6">
        <f>IF(AND($H11575="ATMOS DISTILLATION",ISNUMBER(SEARCH("VPS",$I11575))=FALSE,LEFT($I11575,6)&lt;&gt;"VACUUM"),"CDU",IF($H11575="FLUID CAT CRACKING","FCC",IF(OR($H11575="HYDROCRACKING",$H11575="RESID_HYDROCRACKING"),"Hydrocracker",IF($H11575="REFORMING","Reformer",""))))</f>
        <v/>
      </c>
    </row>
    <row r="11576" spans="6:7">
      <c r="F11576" s="6">
        <f>IF($M11576="PADD I","PADD 1",IF($M11576="PADD II","PADD 2",IF($M11576="PADD III","PADD 3",IF($M11576="PADD IV","PADD 4",IF($M11576="PADD V","PADD 5","")))))</f>
        <v/>
      </c>
      <c r="G11576" s="6">
        <f>IF(AND($H11576="ATMOS DISTILLATION",ISNUMBER(SEARCH("VPS",$I11576))=FALSE,LEFT($I11576,6)&lt;&gt;"VACUUM"),"CDU",IF($H11576="FLUID CAT CRACKING","FCC",IF(OR($H11576="HYDROCRACKING",$H11576="RESID_HYDROCRACKING"),"Hydrocracker",IF($H11576="REFORMING","Reformer",""))))</f>
        <v/>
      </c>
    </row>
    <row r="11577" spans="6:7">
      <c r="F11577" s="6">
        <f>IF($M11577="PADD I","PADD 1",IF($M11577="PADD II","PADD 2",IF($M11577="PADD III","PADD 3",IF($M11577="PADD IV","PADD 4",IF($M11577="PADD V","PADD 5","")))))</f>
        <v/>
      </c>
      <c r="G11577" s="6">
        <f>IF(AND($H11577="ATMOS DISTILLATION",ISNUMBER(SEARCH("VPS",$I11577))=FALSE,LEFT($I11577,6)&lt;&gt;"VACUUM"),"CDU",IF($H11577="FLUID CAT CRACKING","FCC",IF(OR($H11577="HYDROCRACKING",$H11577="RESID_HYDROCRACKING"),"Hydrocracker",IF($H11577="REFORMING","Reformer",""))))</f>
        <v/>
      </c>
    </row>
    <row r="11578" spans="6:7">
      <c r="F11578" s="6">
        <f>IF($M11578="PADD I","PADD 1",IF($M11578="PADD II","PADD 2",IF($M11578="PADD III","PADD 3",IF($M11578="PADD IV","PADD 4",IF($M11578="PADD V","PADD 5","")))))</f>
        <v/>
      </c>
      <c r="G11578" s="6">
        <f>IF(AND($H11578="ATMOS DISTILLATION",ISNUMBER(SEARCH("VPS",$I11578))=FALSE,LEFT($I11578,6)&lt;&gt;"VACUUM"),"CDU",IF($H11578="FLUID CAT CRACKING","FCC",IF(OR($H11578="HYDROCRACKING",$H11578="RESID_HYDROCRACKING"),"Hydrocracker",IF($H11578="REFORMING","Reformer",""))))</f>
        <v/>
      </c>
    </row>
    <row r="11579" spans="6:7">
      <c r="F11579" s="6">
        <f>IF($M11579="PADD I","PADD 1",IF($M11579="PADD II","PADD 2",IF($M11579="PADD III","PADD 3",IF($M11579="PADD IV","PADD 4",IF($M11579="PADD V","PADD 5","")))))</f>
        <v/>
      </c>
      <c r="G11579" s="6">
        <f>IF(AND($H11579="ATMOS DISTILLATION",ISNUMBER(SEARCH("VPS",$I11579))=FALSE,LEFT($I11579,6)&lt;&gt;"VACUUM"),"CDU",IF($H11579="FLUID CAT CRACKING","FCC",IF(OR($H11579="HYDROCRACKING",$H11579="RESID_HYDROCRACKING"),"Hydrocracker",IF($H11579="REFORMING","Reformer",""))))</f>
        <v/>
      </c>
    </row>
    <row r="11580" spans="6:7">
      <c r="F11580" s="6">
        <f>IF($M11580="PADD I","PADD 1",IF($M11580="PADD II","PADD 2",IF($M11580="PADD III","PADD 3",IF($M11580="PADD IV","PADD 4",IF($M11580="PADD V","PADD 5","")))))</f>
        <v/>
      </c>
      <c r="G11580" s="6">
        <f>IF(AND($H11580="ATMOS DISTILLATION",ISNUMBER(SEARCH("VPS",$I11580))=FALSE,LEFT($I11580,6)&lt;&gt;"VACUUM"),"CDU",IF($H11580="FLUID CAT CRACKING","FCC",IF(OR($H11580="HYDROCRACKING",$H11580="RESID_HYDROCRACKING"),"Hydrocracker",IF($H11580="REFORMING","Reformer",""))))</f>
        <v/>
      </c>
    </row>
    <row r="11581" spans="6:7">
      <c r="F11581" s="6">
        <f>IF($M11581="PADD I","PADD 1",IF($M11581="PADD II","PADD 2",IF($M11581="PADD III","PADD 3",IF($M11581="PADD IV","PADD 4",IF($M11581="PADD V","PADD 5","")))))</f>
        <v/>
      </c>
      <c r="G11581" s="6">
        <f>IF(AND($H11581="ATMOS DISTILLATION",ISNUMBER(SEARCH("VPS",$I11581))=FALSE,LEFT($I11581,6)&lt;&gt;"VACUUM"),"CDU",IF($H11581="FLUID CAT CRACKING","FCC",IF(OR($H11581="HYDROCRACKING",$H11581="RESID_HYDROCRACKING"),"Hydrocracker",IF($H11581="REFORMING","Reformer",""))))</f>
        <v/>
      </c>
    </row>
    <row r="11582" spans="6:7">
      <c r="F11582" s="6">
        <f>IF($M11582="PADD I","PADD 1",IF($M11582="PADD II","PADD 2",IF($M11582="PADD III","PADD 3",IF($M11582="PADD IV","PADD 4",IF($M11582="PADD V","PADD 5","")))))</f>
        <v/>
      </c>
      <c r="G11582" s="6">
        <f>IF(AND($H11582="ATMOS DISTILLATION",ISNUMBER(SEARCH("VPS",$I11582))=FALSE,LEFT($I11582,6)&lt;&gt;"VACUUM"),"CDU",IF($H11582="FLUID CAT CRACKING","FCC",IF(OR($H11582="HYDROCRACKING",$H11582="RESID_HYDROCRACKING"),"Hydrocracker",IF($H11582="REFORMING","Reformer",""))))</f>
        <v/>
      </c>
    </row>
    <row r="11583" spans="6:7">
      <c r="F11583" s="6">
        <f>IF($M11583="PADD I","PADD 1",IF($M11583="PADD II","PADD 2",IF($M11583="PADD III","PADD 3",IF($M11583="PADD IV","PADD 4",IF($M11583="PADD V","PADD 5","")))))</f>
        <v/>
      </c>
      <c r="G11583" s="6">
        <f>IF(AND($H11583="ATMOS DISTILLATION",ISNUMBER(SEARCH("VPS",$I11583))=FALSE,LEFT($I11583,6)&lt;&gt;"VACUUM"),"CDU",IF($H11583="FLUID CAT CRACKING","FCC",IF(OR($H11583="HYDROCRACKING",$H11583="RESID_HYDROCRACKING"),"Hydrocracker",IF($H11583="REFORMING","Reformer",""))))</f>
        <v/>
      </c>
    </row>
    <row r="11584" spans="6:7">
      <c r="F11584" s="6">
        <f>IF($M11584="PADD I","PADD 1",IF($M11584="PADD II","PADD 2",IF($M11584="PADD III","PADD 3",IF($M11584="PADD IV","PADD 4",IF($M11584="PADD V","PADD 5","")))))</f>
        <v/>
      </c>
      <c r="G11584" s="6">
        <f>IF(AND($H11584="ATMOS DISTILLATION",ISNUMBER(SEARCH("VPS",$I11584))=FALSE,LEFT($I11584,6)&lt;&gt;"VACUUM"),"CDU",IF($H11584="FLUID CAT CRACKING","FCC",IF(OR($H11584="HYDROCRACKING",$H11584="RESID_HYDROCRACKING"),"Hydrocracker",IF($H11584="REFORMING","Reformer",""))))</f>
        <v/>
      </c>
    </row>
    <row r="11585" spans="6:7">
      <c r="F11585" s="6">
        <f>IF($M11585="PADD I","PADD 1",IF($M11585="PADD II","PADD 2",IF($M11585="PADD III","PADD 3",IF($M11585="PADD IV","PADD 4",IF($M11585="PADD V","PADD 5","")))))</f>
        <v/>
      </c>
      <c r="G11585" s="6">
        <f>IF(AND($H11585="ATMOS DISTILLATION",ISNUMBER(SEARCH("VPS",$I11585))=FALSE,LEFT($I11585,6)&lt;&gt;"VACUUM"),"CDU",IF($H11585="FLUID CAT CRACKING","FCC",IF(OR($H11585="HYDROCRACKING",$H11585="RESID_HYDROCRACKING"),"Hydrocracker",IF($H11585="REFORMING","Reformer",""))))</f>
        <v/>
      </c>
    </row>
    <row r="11586" spans="6:7">
      <c r="F11586" s="6">
        <f>IF($M11586="PADD I","PADD 1",IF($M11586="PADD II","PADD 2",IF($M11586="PADD III","PADD 3",IF($M11586="PADD IV","PADD 4",IF($M11586="PADD V","PADD 5","")))))</f>
        <v/>
      </c>
      <c r="G11586" s="6">
        <f>IF(AND($H11586="ATMOS DISTILLATION",ISNUMBER(SEARCH("VPS",$I11586))=FALSE,LEFT($I11586,6)&lt;&gt;"VACUUM"),"CDU",IF($H11586="FLUID CAT CRACKING","FCC",IF(OR($H11586="HYDROCRACKING",$H11586="RESID_HYDROCRACKING"),"Hydrocracker",IF($H11586="REFORMING","Reformer",""))))</f>
        <v/>
      </c>
    </row>
    <row r="11587" spans="6:7">
      <c r="F11587" s="6">
        <f>IF($M11587="PADD I","PADD 1",IF($M11587="PADD II","PADD 2",IF($M11587="PADD III","PADD 3",IF($M11587="PADD IV","PADD 4",IF($M11587="PADD V","PADD 5","")))))</f>
        <v/>
      </c>
      <c r="G11587" s="6">
        <f>IF(AND($H11587="ATMOS DISTILLATION",ISNUMBER(SEARCH("VPS",$I11587))=FALSE,LEFT($I11587,6)&lt;&gt;"VACUUM"),"CDU",IF($H11587="FLUID CAT CRACKING","FCC",IF(OR($H11587="HYDROCRACKING",$H11587="RESID_HYDROCRACKING"),"Hydrocracker",IF($H11587="REFORMING","Reformer",""))))</f>
        <v/>
      </c>
    </row>
    <row r="11588" spans="6:7">
      <c r="F11588" s="6">
        <f>IF($M11588="PADD I","PADD 1",IF($M11588="PADD II","PADD 2",IF($M11588="PADD III","PADD 3",IF($M11588="PADD IV","PADD 4",IF($M11588="PADD V","PADD 5","")))))</f>
        <v/>
      </c>
      <c r="G11588" s="6">
        <f>IF(AND($H11588="ATMOS DISTILLATION",ISNUMBER(SEARCH("VPS",$I11588))=FALSE,LEFT($I11588,6)&lt;&gt;"VACUUM"),"CDU",IF($H11588="FLUID CAT CRACKING","FCC",IF(OR($H11588="HYDROCRACKING",$H11588="RESID_HYDROCRACKING"),"Hydrocracker",IF($H11588="REFORMING","Reformer",""))))</f>
        <v/>
      </c>
    </row>
    <row r="11589" spans="6:7">
      <c r="F11589" s="6">
        <f>IF($M11589="PADD I","PADD 1",IF($M11589="PADD II","PADD 2",IF($M11589="PADD III","PADD 3",IF($M11589="PADD IV","PADD 4",IF($M11589="PADD V","PADD 5","")))))</f>
        <v/>
      </c>
      <c r="G11589" s="6">
        <f>IF(AND($H11589="ATMOS DISTILLATION",ISNUMBER(SEARCH("VPS",$I11589))=FALSE,LEFT($I11589,6)&lt;&gt;"VACUUM"),"CDU",IF($H11589="FLUID CAT CRACKING","FCC",IF(OR($H11589="HYDROCRACKING",$H11589="RESID_HYDROCRACKING"),"Hydrocracker",IF($H11589="REFORMING","Reformer",""))))</f>
        <v/>
      </c>
    </row>
    <row r="11590" spans="6:7">
      <c r="F11590" s="6">
        <f>IF($M11590="PADD I","PADD 1",IF($M11590="PADD II","PADD 2",IF($M11590="PADD III","PADD 3",IF($M11590="PADD IV","PADD 4",IF($M11590="PADD V","PADD 5","")))))</f>
        <v/>
      </c>
      <c r="G11590" s="6">
        <f>IF(AND($H11590="ATMOS DISTILLATION",ISNUMBER(SEARCH("VPS",$I11590))=FALSE,LEFT($I11590,6)&lt;&gt;"VACUUM"),"CDU",IF($H11590="FLUID CAT CRACKING","FCC",IF(OR($H11590="HYDROCRACKING",$H11590="RESID_HYDROCRACKING"),"Hydrocracker",IF($H11590="REFORMING","Reformer",""))))</f>
        <v/>
      </c>
    </row>
    <row r="11591" spans="6:7">
      <c r="F11591" s="6">
        <f>IF($M11591="PADD I","PADD 1",IF($M11591="PADD II","PADD 2",IF($M11591="PADD III","PADD 3",IF($M11591="PADD IV","PADD 4",IF($M11591="PADD V","PADD 5","")))))</f>
        <v/>
      </c>
      <c r="G11591" s="6">
        <f>IF(AND($H11591="ATMOS DISTILLATION",ISNUMBER(SEARCH("VPS",$I11591))=FALSE,LEFT($I11591,6)&lt;&gt;"VACUUM"),"CDU",IF($H11591="FLUID CAT CRACKING","FCC",IF(OR($H11591="HYDROCRACKING",$H11591="RESID_HYDROCRACKING"),"Hydrocracker",IF($H11591="REFORMING","Reformer",""))))</f>
        <v/>
      </c>
    </row>
    <row r="11592" spans="6:7">
      <c r="F11592" s="6">
        <f>IF($M11592="PADD I","PADD 1",IF($M11592="PADD II","PADD 2",IF($M11592="PADD III","PADD 3",IF($M11592="PADD IV","PADD 4",IF($M11592="PADD V","PADD 5","")))))</f>
        <v/>
      </c>
      <c r="G11592" s="6">
        <f>IF(AND($H11592="ATMOS DISTILLATION",ISNUMBER(SEARCH("VPS",$I11592))=FALSE,LEFT($I11592,6)&lt;&gt;"VACUUM"),"CDU",IF($H11592="FLUID CAT CRACKING","FCC",IF(OR($H11592="HYDROCRACKING",$H11592="RESID_HYDROCRACKING"),"Hydrocracker",IF($H11592="REFORMING","Reformer",""))))</f>
        <v/>
      </c>
    </row>
    <row r="11593" spans="6:7">
      <c r="F11593" s="6">
        <f>IF($M11593="PADD I","PADD 1",IF($M11593="PADD II","PADD 2",IF($M11593="PADD III","PADD 3",IF($M11593="PADD IV","PADD 4",IF($M11593="PADD V","PADD 5","")))))</f>
        <v/>
      </c>
      <c r="G11593" s="6">
        <f>IF(AND($H11593="ATMOS DISTILLATION",ISNUMBER(SEARCH("VPS",$I11593))=FALSE,LEFT($I11593,6)&lt;&gt;"VACUUM"),"CDU",IF($H11593="FLUID CAT CRACKING","FCC",IF(OR($H11593="HYDROCRACKING",$H11593="RESID_HYDROCRACKING"),"Hydrocracker",IF($H11593="REFORMING","Reformer",""))))</f>
        <v/>
      </c>
    </row>
    <row r="11594" spans="6:7">
      <c r="F11594" s="6">
        <f>IF($M11594="PADD I","PADD 1",IF($M11594="PADD II","PADD 2",IF($M11594="PADD III","PADD 3",IF($M11594="PADD IV","PADD 4",IF($M11594="PADD V","PADD 5","")))))</f>
        <v/>
      </c>
      <c r="G11594" s="6">
        <f>IF(AND($H11594="ATMOS DISTILLATION",ISNUMBER(SEARCH("VPS",$I11594))=FALSE,LEFT($I11594,6)&lt;&gt;"VACUUM"),"CDU",IF($H11594="FLUID CAT CRACKING","FCC",IF(OR($H11594="HYDROCRACKING",$H11594="RESID_HYDROCRACKING"),"Hydrocracker",IF($H11594="REFORMING","Reformer",""))))</f>
        <v/>
      </c>
    </row>
    <row r="11595" spans="6:7">
      <c r="F11595" s="6">
        <f>IF($M11595="PADD I","PADD 1",IF($M11595="PADD II","PADD 2",IF($M11595="PADD III","PADD 3",IF($M11595="PADD IV","PADD 4",IF($M11595="PADD V","PADD 5","")))))</f>
        <v/>
      </c>
      <c r="G11595" s="6">
        <f>IF(AND($H11595="ATMOS DISTILLATION",ISNUMBER(SEARCH("VPS",$I11595))=FALSE,LEFT($I11595,6)&lt;&gt;"VACUUM"),"CDU",IF($H11595="FLUID CAT CRACKING","FCC",IF(OR($H11595="HYDROCRACKING",$H11595="RESID_HYDROCRACKING"),"Hydrocracker",IF($H11595="REFORMING","Reformer",""))))</f>
        <v/>
      </c>
    </row>
    <row r="11596" spans="6:7">
      <c r="F11596" s="6">
        <f>IF($M11596="PADD I","PADD 1",IF($M11596="PADD II","PADD 2",IF($M11596="PADD III","PADD 3",IF($M11596="PADD IV","PADD 4",IF($M11596="PADD V","PADD 5","")))))</f>
        <v/>
      </c>
      <c r="G11596" s="6">
        <f>IF(AND($H11596="ATMOS DISTILLATION",ISNUMBER(SEARCH("VPS",$I11596))=FALSE,LEFT($I11596,6)&lt;&gt;"VACUUM"),"CDU",IF($H11596="FLUID CAT CRACKING","FCC",IF(OR($H11596="HYDROCRACKING",$H11596="RESID_HYDROCRACKING"),"Hydrocracker",IF($H11596="REFORMING","Reformer",""))))</f>
        <v/>
      </c>
    </row>
    <row r="11597" spans="6:7">
      <c r="F11597" s="6">
        <f>IF($M11597="PADD I","PADD 1",IF($M11597="PADD II","PADD 2",IF($M11597="PADD III","PADD 3",IF($M11597="PADD IV","PADD 4",IF($M11597="PADD V","PADD 5","")))))</f>
        <v/>
      </c>
      <c r="G11597" s="6">
        <f>IF(AND($H11597="ATMOS DISTILLATION",ISNUMBER(SEARCH("VPS",$I11597))=FALSE,LEFT($I11597,6)&lt;&gt;"VACUUM"),"CDU",IF($H11597="FLUID CAT CRACKING","FCC",IF(OR($H11597="HYDROCRACKING",$H11597="RESID_HYDROCRACKING"),"Hydrocracker",IF($H11597="REFORMING","Reformer",""))))</f>
        <v/>
      </c>
    </row>
    <row r="11598" spans="6:7">
      <c r="F11598" s="6">
        <f>IF($M11598="PADD I","PADD 1",IF($M11598="PADD II","PADD 2",IF($M11598="PADD III","PADD 3",IF($M11598="PADD IV","PADD 4",IF($M11598="PADD V","PADD 5","")))))</f>
        <v/>
      </c>
      <c r="G11598" s="6">
        <f>IF(AND($H11598="ATMOS DISTILLATION",ISNUMBER(SEARCH("VPS",$I11598))=FALSE,LEFT($I11598,6)&lt;&gt;"VACUUM"),"CDU",IF($H11598="FLUID CAT CRACKING","FCC",IF(OR($H11598="HYDROCRACKING",$H11598="RESID_HYDROCRACKING"),"Hydrocracker",IF($H11598="REFORMING","Reformer",""))))</f>
        <v/>
      </c>
    </row>
    <row r="11599" spans="6:7">
      <c r="F11599" s="6">
        <f>IF($M11599="PADD I","PADD 1",IF($M11599="PADD II","PADD 2",IF($M11599="PADD III","PADD 3",IF($M11599="PADD IV","PADD 4",IF($M11599="PADD V","PADD 5","")))))</f>
        <v/>
      </c>
      <c r="G11599" s="6">
        <f>IF(AND($H11599="ATMOS DISTILLATION",ISNUMBER(SEARCH("VPS",$I11599))=FALSE,LEFT($I11599,6)&lt;&gt;"VACUUM"),"CDU",IF($H11599="FLUID CAT CRACKING","FCC",IF(OR($H11599="HYDROCRACKING",$H11599="RESID_HYDROCRACKING"),"Hydrocracker",IF($H11599="REFORMING","Reformer",""))))</f>
        <v/>
      </c>
    </row>
    <row r="11600" spans="6:7">
      <c r="F11600" s="6">
        <f>IF($M11600="PADD I","PADD 1",IF($M11600="PADD II","PADD 2",IF($M11600="PADD III","PADD 3",IF($M11600="PADD IV","PADD 4",IF($M11600="PADD V","PADD 5","")))))</f>
        <v/>
      </c>
      <c r="G11600" s="6">
        <f>IF(AND($H11600="ATMOS DISTILLATION",ISNUMBER(SEARCH("VPS",$I11600))=FALSE,LEFT($I11600,6)&lt;&gt;"VACUUM"),"CDU",IF($H11600="FLUID CAT CRACKING","FCC",IF(OR($H11600="HYDROCRACKING",$H11600="RESID_HYDROCRACKING"),"Hydrocracker",IF($H11600="REFORMING","Reformer",""))))</f>
        <v/>
      </c>
    </row>
    <row r="11601" spans="6:7">
      <c r="F11601" s="6">
        <f>IF($M11601="PADD I","PADD 1",IF($M11601="PADD II","PADD 2",IF($M11601="PADD III","PADD 3",IF($M11601="PADD IV","PADD 4",IF($M11601="PADD V","PADD 5","")))))</f>
        <v/>
      </c>
      <c r="G11601" s="6">
        <f>IF(AND($H11601="ATMOS DISTILLATION",ISNUMBER(SEARCH("VPS",$I11601))=FALSE,LEFT($I11601,6)&lt;&gt;"VACUUM"),"CDU",IF($H11601="FLUID CAT CRACKING","FCC",IF(OR($H11601="HYDROCRACKING",$H11601="RESID_HYDROCRACKING"),"Hydrocracker",IF($H11601="REFORMING","Reformer",""))))</f>
        <v/>
      </c>
    </row>
    <row r="11602" spans="6:7">
      <c r="F11602" s="6">
        <f>IF($M11602="PADD I","PADD 1",IF($M11602="PADD II","PADD 2",IF($M11602="PADD III","PADD 3",IF($M11602="PADD IV","PADD 4",IF($M11602="PADD V","PADD 5","")))))</f>
        <v/>
      </c>
      <c r="G11602" s="6">
        <f>IF(AND($H11602="ATMOS DISTILLATION",ISNUMBER(SEARCH("VPS",$I11602))=FALSE,LEFT($I11602,6)&lt;&gt;"VACUUM"),"CDU",IF($H11602="FLUID CAT CRACKING","FCC",IF(OR($H11602="HYDROCRACKING",$H11602="RESID_HYDROCRACKING"),"Hydrocracker",IF($H11602="REFORMING","Reformer",""))))</f>
        <v/>
      </c>
    </row>
    <row r="11603" spans="6:7">
      <c r="F11603" s="6">
        <f>IF($M11603="PADD I","PADD 1",IF($M11603="PADD II","PADD 2",IF($M11603="PADD III","PADD 3",IF($M11603="PADD IV","PADD 4",IF($M11603="PADD V","PADD 5","")))))</f>
        <v/>
      </c>
      <c r="G11603" s="6">
        <f>IF(AND($H11603="ATMOS DISTILLATION",ISNUMBER(SEARCH("VPS",$I11603))=FALSE,LEFT($I11603,6)&lt;&gt;"VACUUM"),"CDU",IF($H11603="FLUID CAT CRACKING","FCC",IF(OR($H11603="HYDROCRACKING",$H11603="RESID_HYDROCRACKING"),"Hydrocracker",IF($H11603="REFORMING","Reformer",""))))</f>
        <v/>
      </c>
    </row>
    <row r="11604" spans="6:7">
      <c r="F11604" s="6">
        <f>IF($M11604="PADD I","PADD 1",IF($M11604="PADD II","PADD 2",IF($M11604="PADD III","PADD 3",IF($M11604="PADD IV","PADD 4",IF($M11604="PADD V","PADD 5","")))))</f>
        <v/>
      </c>
      <c r="G11604" s="6">
        <f>IF(AND($H11604="ATMOS DISTILLATION",ISNUMBER(SEARCH("VPS",$I11604))=FALSE,LEFT($I11604,6)&lt;&gt;"VACUUM"),"CDU",IF($H11604="FLUID CAT CRACKING","FCC",IF(OR($H11604="HYDROCRACKING",$H11604="RESID_HYDROCRACKING"),"Hydrocracker",IF($H11604="REFORMING","Reformer",""))))</f>
        <v/>
      </c>
    </row>
    <row r="11605" spans="6:7">
      <c r="F11605" s="6">
        <f>IF($M11605="PADD I","PADD 1",IF($M11605="PADD II","PADD 2",IF($M11605="PADD III","PADD 3",IF($M11605="PADD IV","PADD 4",IF($M11605="PADD V","PADD 5","")))))</f>
        <v/>
      </c>
      <c r="G11605" s="6">
        <f>IF(AND($H11605="ATMOS DISTILLATION",ISNUMBER(SEARCH("VPS",$I11605))=FALSE,LEFT($I11605,6)&lt;&gt;"VACUUM"),"CDU",IF($H11605="FLUID CAT CRACKING","FCC",IF(OR($H11605="HYDROCRACKING",$H11605="RESID_HYDROCRACKING"),"Hydrocracker",IF($H11605="REFORMING","Reformer",""))))</f>
        <v/>
      </c>
    </row>
    <row r="11606" spans="6:7">
      <c r="F11606" s="6">
        <f>IF($M11606="PADD I","PADD 1",IF($M11606="PADD II","PADD 2",IF($M11606="PADD III","PADD 3",IF($M11606="PADD IV","PADD 4",IF($M11606="PADD V","PADD 5","")))))</f>
        <v/>
      </c>
      <c r="G11606" s="6">
        <f>IF(AND($H11606="ATMOS DISTILLATION",ISNUMBER(SEARCH("VPS",$I11606))=FALSE,LEFT($I11606,6)&lt;&gt;"VACUUM"),"CDU",IF($H11606="FLUID CAT CRACKING","FCC",IF(OR($H11606="HYDROCRACKING",$H11606="RESID_HYDROCRACKING"),"Hydrocracker",IF($H11606="REFORMING","Reformer",""))))</f>
        <v/>
      </c>
    </row>
    <row r="11607" spans="6:7">
      <c r="F11607" s="6">
        <f>IF($M11607="PADD I","PADD 1",IF($M11607="PADD II","PADD 2",IF($M11607="PADD III","PADD 3",IF($M11607="PADD IV","PADD 4",IF($M11607="PADD V","PADD 5","")))))</f>
        <v/>
      </c>
      <c r="G11607" s="6">
        <f>IF(AND($H11607="ATMOS DISTILLATION",ISNUMBER(SEARCH("VPS",$I11607))=FALSE,LEFT($I11607,6)&lt;&gt;"VACUUM"),"CDU",IF($H11607="FLUID CAT CRACKING","FCC",IF(OR($H11607="HYDROCRACKING",$H11607="RESID_HYDROCRACKING"),"Hydrocracker",IF($H11607="REFORMING","Reformer",""))))</f>
        <v/>
      </c>
    </row>
    <row r="11608" spans="6:7">
      <c r="F11608" s="6">
        <f>IF($M11608="PADD I","PADD 1",IF($M11608="PADD II","PADD 2",IF($M11608="PADD III","PADD 3",IF($M11608="PADD IV","PADD 4",IF($M11608="PADD V","PADD 5","")))))</f>
        <v/>
      </c>
      <c r="G11608" s="6">
        <f>IF(AND($H11608="ATMOS DISTILLATION",ISNUMBER(SEARCH("VPS",$I11608))=FALSE,LEFT($I11608,6)&lt;&gt;"VACUUM"),"CDU",IF($H11608="FLUID CAT CRACKING","FCC",IF(OR($H11608="HYDROCRACKING",$H11608="RESID_HYDROCRACKING"),"Hydrocracker",IF($H11608="REFORMING","Reformer",""))))</f>
        <v/>
      </c>
    </row>
    <row r="11609" spans="6:7">
      <c r="F11609" s="6">
        <f>IF($M11609="PADD I","PADD 1",IF($M11609="PADD II","PADD 2",IF($M11609="PADD III","PADD 3",IF($M11609="PADD IV","PADD 4",IF($M11609="PADD V","PADD 5","")))))</f>
        <v/>
      </c>
      <c r="G11609" s="6">
        <f>IF(AND($H11609="ATMOS DISTILLATION",ISNUMBER(SEARCH("VPS",$I11609))=FALSE,LEFT($I11609,6)&lt;&gt;"VACUUM"),"CDU",IF($H11609="FLUID CAT CRACKING","FCC",IF(OR($H11609="HYDROCRACKING",$H11609="RESID_HYDROCRACKING"),"Hydrocracker",IF($H11609="REFORMING","Reformer",""))))</f>
        <v/>
      </c>
    </row>
    <row r="11610" spans="6:7">
      <c r="F11610" s="6">
        <f>IF($M11610="PADD I","PADD 1",IF($M11610="PADD II","PADD 2",IF($M11610="PADD III","PADD 3",IF($M11610="PADD IV","PADD 4",IF($M11610="PADD V","PADD 5","")))))</f>
        <v/>
      </c>
      <c r="G11610" s="6">
        <f>IF(AND($H11610="ATMOS DISTILLATION",ISNUMBER(SEARCH("VPS",$I11610))=FALSE,LEFT($I11610,6)&lt;&gt;"VACUUM"),"CDU",IF($H11610="FLUID CAT CRACKING","FCC",IF(OR($H11610="HYDROCRACKING",$H11610="RESID_HYDROCRACKING"),"Hydrocracker",IF($H11610="REFORMING","Reformer",""))))</f>
        <v/>
      </c>
    </row>
    <row r="11611" spans="6:7">
      <c r="F11611" s="6">
        <f>IF($M11611="PADD I","PADD 1",IF($M11611="PADD II","PADD 2",IF($M11611="PADD III","PADD 3",IF($M11611="PADD IV","PADD 4",IF($M11611="PADD V","PADD 5","")))))</f>
        <v/>
      </c>
      <c r="G11611" s="6">
        <f>IF(AND($H11611="ATMOS DISTILLATION",ISNUMBER(SEARCH("VPS",$I11611))=FALSE,LEFT($I11611,6)&lt;&gt;"VACUUM"),"CDU",IF($H11611="FLUID CAT CRACKING","FCC",IF(OR($H11611="HYDROCRACKING",$H11611="RESID_HYDROCRACKING"),"Hydrocracker",IF($H11611="REFORMING","Reformer",""))))</f>
        <v/>
      </c>
    </row>
    <row r="11612" spans="6:7">
      <c r="F11612" s="6">
        <f>IF($M11612="PADD I","PADD 1",IF($M11612="PADD II","PADD 2",IF($M11612="PADD III","PADD 3",IF($M11612="PADD IV","PADD 4",IF($M11612="PADD V","PADD 5","")))))</f>
        <v/>
      </c>
      <c r="G11612" s="6">
        <f>IF(AND($H11612="ATMOS DISTILLATION",ISNUMBER(SEARCH("VPS",$I11612))=FALSE,LEFT($I11612,6)&lt;&gt;"VACUUM"),"CDU",IF($H11612="FLUID CAT CRACKING","FCC",IF(OR($H11612="HYDROCRACKING",$H11612="RESID_HYDROCRACKING"),"Hydrocracker",IF($H11612="REFORMING","Reformer",""))))</f>
        <v/>
      </c>
    </row>
    <row r="11613" spans="6:7">
      <c r="F11613" s="6">
        <f>IF($M11613="PADD I","PADD 1",IF($M11613="PADD II","PADD 2",IF($M11613="PADD III","PADD 3",IF($M11613="PADD IV","PADD 4",IF($M11613="PADD V","PADD 5","")))))</f>
        <v/>
      </c>
      <c r="G11613" s="6">
        <f>IF(AND($H11613="ATMOS DISTILLATION",ISNUMBER(SEARCH("VPS",$I11613))=FALSE,LEFT($I11613,6)&lt;&gt;"VACUUM"),"CDU",IF($H11613="FLUID CAT CRACKING","FCC",IF(OR($H11613="HYDROCRACKING",$H11613="RESID_HYDROCRACKING"),"Hydrocracker",IF($H11613="REFORMING","Reformer",""))))</f>
        <v/>
      </c>
    </row>
    <row r="11614" spans="6:7">
      <c r="F11614" s="6">
        <f>IF($M11614="PADD I","PADD 1",IF($M11614="PADD II","PADD 2",IF($M11614="PADD III","PADD 3",IF($M11614="PADD IV","PADD 4",IF($M11614="PADD V","PADD 5","")))))</f>
        <v/>
      </c>
      <c r="G11614" s="6">
        <f>IF(AND($H11614="ATMOS DISTILLATION",ISNUMBER(SEARCH("VPS",$I11614))=FALSE,LEFT($I11614,6)&lt;&gt;"VACUUM"),"CDU",IF($H11614="FLUID CAT CRACKING","FCC",IF(OR($H11614="HYDROCRACKING",$H11614="RESID_HYDROCRACKING"),"Hydrocracker",IF($H11614="REFORMING","Reformer",""))))</f>
        <v/>
      </c>
    </row>
    <row r="11615" spans="6:7">
      <c r="F11615" s="6">
        <f>IF($M11615="PADD I","PADD 1",IF($M11615="PADD II","PADD 2",IF($M11615="PADD III","PADD 3",IF($M11615="PADD IV","PADD 4",IF($M11615="PADD V","PADD 5","")))))</f>
        <v/>
      </c>
      <c r="G11615" s="6">
        <f>IF(AND($H11615="ATMOS DISTILLATION",ISNUMBER(SEARCH("VPS",$I11615))=FALSE,LEFT($I11615,6)&lt;&gt;"VACUUM"),"CDU",IF($H11615="FLUID CAT CRACKING","FCC",IF(OR($H11615="HYDROCRACKING",$H11615="RESID_HYDROCRACKING"),"Hydrocracker",IF($H11615="REFORMING","Reformer",""))))</f>
        <v/>
      </c>
    </row>
    <row r="11616" spans="6:7">
      <c r="F11616" s="6">
        <f>IF($M11616="PADD I","PADD 1",IF($M11616="PADD II","PADD 2",IF($M11616="PADD III","PADD 3",IF($M11616="PADD IV","PADD 4",IF($M11616="PADD V","PADD 5","")))))</f>
        <v/>
      </c>
      <c r="G11616" s="6">
        <f>IF(AND($H11616="ATMOS DISTILLATION",ISNUMBER(SEARCH("VPS",$I11616))=FALSE,LEFT($I11616,6)&lt;&gt;"VACUUM"),"CDU",IF($H11616="FLUID CAT CRACKING","FCC",IF(OR($H11616="HYDROCRACKING",$H11616="RESID_HYDROCRACKING"),"Hydrocracker",IF($H11616="REFORMING","Reformer",""))))</f>
        <v/>
      </c>
    </row>
    <row r="11617" spans="6:7">
      <c r="F11617" s="6">
        <f>IF($M11617="PADD I","PADD 1",IF($M11617="PADD II","PADD 2",IF($M11617="PADD III","PADD 3",IF($M11617="PADD IV","PADD 4",IF($M11617="PADD V","PADD 5","")))))</f>
        <v/>
      </c>
      <c r="G11617" s="6">
        <f>IF(AND($H11617="ATMOS DISTILLATION",ISNUMBER(SEARCH("VPS",$I11617))=FALSE,LEFT($I11617,6)&lt;&gt;"VACUUM"),"CDU",IF($H11617="FLUID CAT CRACKING","FCC",IF(OR($H11617="HYDROCRACKING",$H11617="RESID_HYDROCRACKING"),"Hydrocracker",IF($H11617="REFORMING","Reformer",""))))</f>
        <v/>
      </c>
    </row>
    <row r="11618" spans="6:7">
      <c r="F11618" s="6">
        <f>IF($M11618="PADD I","PADD 1",IF($M11618="PADD II","PADD 2",IF($M11618="PADD III","PADD 3",IF($M11618="PADD IV","PADD 4",IF($M11618="PADD V","PADD 5","")))))</f>
        <v/>
      </c>
      <c r="G11618" s="6">
        <f>IF(AND($H11618="ATMOS DISTILLATION",ISNUMBER(SEARCH("VPS",$I11618))=FALSE,LEFT($I11618,6)&lt;&gt;"VACUUM"),"CDU",IF($H11618="FLUID CAT CRACKING","FCC",IF(OR($H11618="HYDROCRACKING",$H11618="RESID_HYDROCRACKING"),"Hydrocracker",IF($H11618="REFORMING","Reformer",""))))</f>
        <v/>
      </c>
    </row>
    <row r="11619" spans="6:7">
      <c r="F11619" s="6">
        <f>IF($M11619="PADD I","PADD 1",IF($M11619="PADD II","PADD 2",IF($M11619="PADD III","PADD 3",IF($M11619="PADD IV","PADD 4",IF($M11619="PADD V","PADD 5","")))))</f>
        <v/>
      </c>
      <c r="G11619" s="6">
        <f>IF(AND($H11619="ATMOS DISTILLATION",ISNUMBER(SEARCH("VPS",$I11619))=FALSE,LEFT($I11619,6)&lt;&gt;"VACUUM"),"CDU",IF($H11619="FLUID CAT CRACKING","FCC",IF(OR($H11619="HYDROCRACKING",$H11619="RESID_HYDROCRACKING"),"Hydrocracker",IF($H11619="REFORMING","Reformer",""))))</f>
        <v/>
      </c>
    </row>
    <row r="11620" spans="6:7">
      <c r="F11620" s="6">
        <f>IF($M11620="PADD I","PADD 1",IF($M11620="PADD II","PADD 2",IF($M11620="PADD III","PADD 3",IF($M11620="PADD IV","PADD 4",IF($M11620="PADD V","PADD 5","")))))</f>
        <v/>
      </c>
      <c r="G11620" s="6">
        <f>IF(AND($H11620="ATMOS DISTILLATION",ISNUMBER(SEARCH("VPS",$I11620))=FALSE,LEFT($I11620,6)&lt;&gt;"VACUUM"),"CDU",IF($H11620="FLUID CAT CRACKING","FCC",IF(OR($H11620="HYDROCRACKING",$H11620="RESID_HYDROCRACKING"),"Hydrocracker",IF($H11620="REFORMING","Reformer",""))))</f>
        <v/>
      </c>
    </row>
    <row r="11621" spans="6:7">
      <c r="F11621" s="6">
        <f>IF($M11621="PADD I","PADD 1",IF($M11621="PADD II","PADD 2",IF($M11621="PADD III","PADD 3",IF($M11621="PADD IV","PADD 4",IF($M11621="PADD V","PADD 5","")))))</f>
        <v/>
      </c>
      <c r="G11621" s="6">
        <f>IF(AND($H11621="ATMOS DISTILLATION",ISNUMBER(SEARCH("VPS",$I11621))=FALSE,LEFT($I11621,6)&lt;&gt;"VACUUM"),"CDU",IF($H11621="FLUID CAT CRACKING","FCC",IF(OR($H11621="HYDROCRACKING",$H11621="RESID_HYDROCRACKING"),"Hydrocracker",IF($H11621="REFORMING","Reformer",""))))</f>
        <v/>
      </c>
    </row>
    <row r="11622" spans="6:7">
      <c r="F11622" s="6">
        <f>IF($M11622="PADD I","PADD 1",IF($M11622="PADD II","PADD 2",IF($M11622="PADD III","PADD 3",IF($M11622="PADD IV","PADD 4",IF($M11622="PADD V","PADD 5","")))))</f>
        <v/>
      </c>
      <c r="G11622" s="6">
        <f>IF(AND($H11622="ATMOS DISTILLATION",ISNUMBER(SEARCH("VPS",$I11622))=FALSE,LEFT($I11622,6)&lt;&gt;"VACUUM"),"CDU",IF($H11622="FLUID CAT CRACKING","FCC",IF(OR($H11622="HYDROCRACKING",$H11622="RESID_HYDROCRACKING"),"Hydrocracker",IF($H11622="REFORMING","Reformer",""))))</f>
        <v/>
      </c>
    </row>
    <row r="11623" spans="6:7">
      <c r="F11623" s="6">
        <f>IF($M11623="PADD I","PADD 1",IF($M11623="PADD II","PADD 2",IF($M11623="PADD III","PADD 3",IF($M11623="PADD IV","PADD 4",IF($M11623="PADD V","PADD 5","")))))</f>
        <v/>
      </c>
      <c r="G11623" s="6">
        <f>IF(AND($H11623="ATMOS DISTILLATION",ISNUMBER(SEARCH("VPS",$I11623))=FALSE,LEFT($I11623,6)&lt;&gt;"VACUUM"),"CDU",IF($H11623="FLUID CAT CRACKING","FCC",IF(OR($H11623="HYDROCRACKING",$H11623="RESID_HYDROCRACKING"),"Hydrocracker",IF($H11623="REFORMING","Reformer",""))))</f>
        <v/>
      </c>
    </row>
    <row r="11624" spans="6:7">
      <c r="F11624" s="6">
        <f>IF($M11624="PADD I","PADD 1",IF($M11624="PADD II","PADD 2",IF($M11624="PADD III","PADD 3",IF($M11624="PADD IV","PADD 4",IF($M11624="PADD V","PADD 5","")))))</f>
        <v/>
      </c>
      <c r="G11624" s="6">
        <f>IF(AND($H11624="ATMOS DISTILLATION",ISNUMBER(SEARCH("VPS",$I11624))=FALSE,LEFT($I11624,6)&lt;&gt;"VACUUM"),"CDU",IF($H11624="FLUID CAT CRACKING","FCC",IF(OR($H11624="HYDROCRACKING",$H11624="RESID_HYDROCRACKING"),"Hydrocracker",IF($H11624="REFORMING","Reformer",""))))</f>
        <v/>
      </c>
    </row>
    <row r="11625" spans="6:7">
      <c r="F11625" s="6">
        <f>IF($M11625="PADD I","PADD 1",IF($M11625="PADD II","PADD 2",IF($M11625="PADD III","PADD 3",IF($M11625="PADD IV","PADD 4",IF($M11625="PADD V","PADD 5","")))))</f>
        <v/>
      </c>
      <c r="G11625" s="6">
        <f>IF(AND($H11625="ATMOS DISTILLATION",ISNUMBER(SEARCH("VPS",$I11625))=FALSE,LEFT($I11625,6)&lt;&gt;"VACUUM"),"CDU",IF($H11625="FLUID CAT CRACKING","FCC",IF(OR($H11625="HYDROCRACKING",$H11625="RESID_HYDROCRACKING"),"Hydrocracker",IF($H11625="REFORMING","Reformer",""))))</f>
        <v/>
      </c>
    </row>
    <row r="11626" spans="6:7">
      <c r="F11626" s="6">
        <f>IF($M11626="PADD I","PADD 1",IF($M11626="PADD II","PADD 2",IF($M11626="PADD III","PADD 3",IF($M11626="PADD IV","PADD 4",IF($M11626="PADD V","PADD 5","")))))</f>
        <v/>
      </c>
      <c r="G11626" s="6">
        <f>IF(AND($H11626="ATMOS DISTILLATION",ISNUMBER(SEARCH("VPS",$I11626))=FALSE,LEFT($I11626,6)&lt;&gt;"VACUUM"),"CDU",IF($H11626="FLUID CAT CRACKING","FCC",IF(OR($H11626="HYDROCRACKING",$H11626="RESID_HYDROCRACKING"),"Hydrocracker",IF($H11626="REFORMING","Reformer",""))))</f>
        <v/>
      </c>
    </row>
    <row r="11627" spans="6:7">
      <c r="F11627" s="6">
        <f>IF($M11627="PADD I","PADD 1",IF($M11627="PADD II","PADD 2",IF($M11627="PADD III","PADD 3",IF($M11627="PADD IV","PADD 4",IF($M11627="PADD V","PADD 5","")))))</f>
        <v/>
      </c>
      <c r="G11627" s="6">
        <f>IF(AND($H11627="ATMOS DISTILLATION",ISNUMBER(SEARCH("VPS",$I11627))=FALSE,LEFT($I11627,6)&lt;&gt;"VACUUM"),"CDU",IF($H11627="FLUID CAT CRACKING","FCC",IF(OR($H11627="HYDROCRACKING",$H11627="RESID_HYDROCRACKING"),"Hydrocracker",IF($H11627="REFORMING","Reformer",""))))</f>
        <v/>
      </c>
    </row>
    <row r="11628" spans="6:7">
      <c r="F11628" s="6">
        <f>IF($M11628="PADD I","PADD 1",IF($M11628="PADD II","PADD 2",IF($M11628="PADD III","PADD 3",IF($M11628="PADD IV","PADD 4",IF($M11628="PADD V","PADD 5","")))))</f>
        <v/>
      </c>
      <c r="G11628" s="6">
        <f>IF(AND($H11628="ATMOS DISTILLATION",ISNUMBER(SEARCH("VPS",$I11628))=FALSE,LEFT($I11628,6)&lt;&gt;"VACUUM"),"CDU",IF($H11628="FLUID CAT CRACKING","FCC",IF(OR($H11628="HYDROCRACKING",$H11628="RESID_HYDROCRACKING"),"Hydrocracker",IF($H11628="REFORMING","Reformer",""))))</f>
        <v/>
      </c>
    </row>
    <row r="11629" spans="6:7">
      <c r="F11629" s="6">
        <f>IF($M11629="PADD I","PADD 1",IF($M11629="PADD II","PADD 2",IF($M11629="PADD III","PADD 3",IF($M11629="PADD IV","PADD 4",IF($M11629="PADD V","PADD 5","")))))</f>
        <v/>
      </c>
      <c r="G11629" s="6">
        <f>IF(AND($H11629="ATMOS DISTILLATION",ISNUMBER(SEARCH("VPS",$I11629))=FALSE,LEFT($I11629,6)&lt;&gt;"VACUUM"),"CDU",IF($H11629="FLUID CAT CRACKING","FCC",IF(OR($H11629="HYDROCRACKING",$H11629="RESID_HYDROCRACKING"),"Hydrocracker",IF($H11629="REFORMING","Reformer",""))))</f>
        <v/>
      </c>
    </row>
    <row r="11630" spans="6:7">
      <c r="F11630" s="6">
        <f>IF($M11630="PADD I","PADD 1",IF($M11630="PADD II","PADD 2",IF($M11630="PADD III","PADD 3",IF($M11630="PADD IV","PADD 4",IF($M11630="PADD V","PADD 5","")))))</f>
        <v/>
      </c>
      <c r="G11630" s="6">
        <f>IF(AND($H11630="ATMOS DISTILLATION",ISNUMBER(SEARCH("VPS",$I11630))=FALSE,LEFT($I11630,6)&lt;&gt;"VACUUM"),"CDU",IF($H11630="FLUID CAT CRACKING","FCC",IF(OR($H11630="HYDROCRACKING",$H11630="RESID_HYDROCRACKING"),"Hydrocracker",IF($H11630="REFORMING","Reformer",""))))</f>
        <v/>
      </c>
    </row>
    <row r="11631" spans="6:7">
      <c r="F11631" s="6">
        <f>IF($M11631="PADD I","PADD 1",IF($M11631="PADD II","PADD 2",IF($M11631="PADD III","PADD 3",IF($M11631="PADD IV","PADD 4",IF($M11631="PADD V","PADD 5","")))))</f>
        <v/>
      </c>
      <c r="G11631" s="6">
        <f>IF(AND($H11631="ATMOS DISTILLATION",ISNUMBER(SEARCH("VPS",$I11631))=FALSE,LEFT($I11631,6)&lt;&gt;"VACUUM"),"CDU",IF($H11631="FLUID CAT CRACKING","FCC",IF(OR($H11631="HYDROCRACKING",$H11631="RESID_HYDROCRACKING"),"Hydrocracker",IF($H11631="REFORMING","Reformer",""))))</f>
        <v/>
      </c>
    </row>
    <row r="11632" spans="6:7">
      <c r="F11632" s="6">
        <f>IF($M11632="PADD I","PADD 1",IF($M11632="PADD II","PADD 2",IF($M11632="PADD III","PADD 3",IF($M11632="PADD IV","PADD 4",IF($M11632="PADD V","PADD 5","")))))</f>
        <v/>
      </c>
      <c r="G11632" s="6">
        <f>IF(AND($H11632="ATMOS DISTILLATION",ISNUMBER(SEARCH("VPS",$I11632))=FALSE,LEFT($I11632,6)&lt;&gt;"VACUUM"),"CDU",IF($H11632="FLUID CAT CRACKING","FCC",IF(OR($H11632="HYDROCRACKING",$H11632="RESID_HYDROCRACKING"),"Hydrocracker",IF($H11632="REFORMING","Reformer",""))))</f>
        <v/>
      </c>
    </row>
    <row r="11633" spans="6:7">
      <c r="F11633" s="6">
        <f>IF($M11633="PADD I","PADD 1",IF($M11633="PADD II","PADD 2",IF($M11633="PADD III","PADD 3",IF($M11633="PADD IV","PADD 4",IF($M11633="PADD V","PADD 5","")))))</f>
        <v/>
      </c>
      <c r="G11633" s="6">
        <f>IF(AND($H11633="ATMOS DISTILLATION",ISNUMBER(SEARCH("VPS",$I11633))=FALSE,LEFT($I11633,6)&lt;&gt;"VACUUM"),"CDU",IF($H11633="FLUID CAT CRACKING","FCC",IF(OR($H11633="HYDROCRACKING",$H11633="RESID_HYDROCRACKING"),"Hydrocracker",IF($H11633="REFORMING","Reformer",""))))</f>
        <v/>
      </c>
    </row>
    <row r="11634" spans="6:7">
      <c r="F11634" s="6">
        <f>IF($M11634="PADD I","PADD 1",IF($M11634="PADD II","PADD 2",IF($M11634="PADD III","PADD 3",IF($M11634="PADD IV","PADD 4",IF($M11634="PADD V","PADD 5","")))))</f>
        <v/>
      </c>
      <c r="G11634" s="6">
        <f>IF(AND($H11634="ATMOS DISTILLATION",ISNUMBER(SEARCH("VPS",$I11634))=FALSE,LEFT($I11634,6)&lt;&gt;"VACUUM"),"CDU",IF($H11634="FLUID CAT CRACKING","FCC",IF(OR($H11634="HYDROCRACKING",$H11634="RESID_HYDROCRACKING"),"Hydrocracker",IF($H11634="REFORMING","Reformer",""))))</f>
        <v/>
      </c>
    </row>
    <row r="11635" spans="6:7">
      <c r="F11635" s="6">
        <f>IF($M11635="PADD I","PADD 1",IF($M11635="PADD II","PADD 2",IF($M11635="PADD III","PADD 3",IF($M11635="PADD IV","PADD 4",IF($M11635="PADD V","PADD 5","")))))</f>
        <v/>
      </c>
      <c r="G11635" s="6">
        <f>IF(AND($H11635="ATMOS DISTILLATION",ISNUMBER(SEARCH("VPS",$I11635))=FALSE,LEFT($I11635,6)&lt;&gt;"VACUUM"),"CDU",IF($H11635="FLUID CAT CRACKING","FCC",IF(OR($H11635="HYDROCRACKING",$H11635="RESID_HYDROCRACKING"),"Hydrocracker",IF($H11635="REFORMING","Reformer",""))))</f>
        <v/>
      </c>
    </row>
    <row r="11636" spans="6:7">
      <c r="F11636" s="6">
        <f>IF($M11636="PADD I","PADD 1",IF($M11636="PADD II","PADD 2",IF($M11636="PADD III","PADD 3",IF($M11636="PADD IV","PADD 4",IF($M11636="PADD V","PADD 5","")))))</f>
        <v/>
      </c>
      <c r="G11636" s="6">
        <f>IF(AND($H11636="ATMOS DISTILLATION",ISNUMBER(SEARCH("VPS",$I11636))=FALSE,LEFT($I11636,6)&lt;&gt;"VACUUM"),"CDU",IF($H11636="FLUID CAT CRACKING","FCC",IF(OR($H11636="HYDROCRACKING",$H11636="RESID_HYDROCRACKING"),"Hydrocracker",IF($H11636="REFORMING","Reformer",""))))</f>
        <v/>
      </c>
    </row>
    <row r="11637" spans="6:7">
      <c r="F11637" s="6">
        <f>IF($M11637="PADD I","PADD 1",IF($M11637="PADD II","PADD 2",IF($M11637="PADD III","PADD 3",IF($M11637="PADD IV","PADD 4",IF($M11637="PADD V","PADD 5","")))))</f>
        <v/>
      </c>
      <c r="G11637" s="6">
        <f>IF(AND($H11637="ATMOS DISTILLATION",ISNUMBER(SEARCH("VPS",$I11637))=FALSE,LEFT($I11637,6)&lt;&gt;"VACUUM"),"CDU",IF($H11637="FLUID CAT CRACKING","FCC",IF(OR($H11637="HYDROCRACKING",$H11637="RESID_HYDROCRACKING"),"Hydrocracker",IF($H11637="REFORMING","Reformer",""))))</f>
        <v/>
      </c>
    </row>
    <row r="11638" spans="6:7">
      <c r="F11638" s="6">
        <f>IF($M11638="PADD I","PADD 1",IF($M11638="PADD II","PADD 2",IF($M11638="PADD III","PADD 3",IF($M11638="PADD IV","PADD 4",IF($M11638="PADD V","PADD 5","")))))</f>
        <v/>
      </c>
      <c r="G11638" s="6">
        <f>IF(AND($H11638="ATMOS DISTILLATION",ISNUMBER(SEARCH("VPS",$I11638))=FALSE,LEFT($I11638,6)&lt;&gt;"VACUUM"),"CDU",IF($H11638="FLUID CAT CRACKING","FCC",IF(OR($H11638="HYDROCRACKING",$H11638="RESID_HYDROCRACKING"),"Hydrocracker",IF($H11638="REFORMING","Reformer",""))))</f>
        <v/>
      </c>
    </row>
    <row r="11639" spans="6:7">
      <c r="F11639" s="6">
        <f>IF($M11639="PADD I","PADD 1",IF($M11639="PADD II","PADD 2",IF($M11639="PADD III","PADD 3",IF($M11639="PADD IV","PADD 4",IF($M11639="PADD V","PADD 5","")))))</f>
        <v/>
      </c>
      <c r="G11639" s="6">
        <f>IF(AND($H11639="ATMOS DISTILLATION",ISNUMBER(SEARCH("VPS",$I11639))=FALSE,LEFT($I11639,6)&lt;&gt;"VACUUM"),"CDU",IF($H11639="FLUID CAT CRACKING","FCC",IF(OR($H11639="HYDROCRACKING",$H11639="RESID_HYDROCRACKING"),"Hydrocracker",IF($H11639="REFORMING","Reformer",""))))</f>
        <v/>
      </c>
    </row>
    <row r="11640" spans="6:7">
      <c r="F11640" s="6">
        <f>IF($M11640="PADD I","PADD 1",IF($M11640="PADD II","PADD 2",IF($M11640="PADD III","PADD 3",IF($M11640="PADD IV","PADD 4",IF($M11640="PADD V","PADD 5","")))))</f>
        <v/>
      </c>
      <c r="G11640" s="6">
        <f>IF(AND($H11640="ATMOS DISTILLATION",ISNUMBER(SEARCH("VPS",$I11640))=FALSE,LEFT($I11640,6)&lt;&gt;"VACUUM"),"CDU",IF($H11640="FLUID CAT CRACKING","FCC",IF(OR($H11640="HYDROCRACKING",$H11640="RESID_HYDROCRACKING"),"Hydrocracker",IF($H11640="REFORMING","Reformer",""))))</f>
        <v/>
      </c>
    </row>
    <row r="11641" spans="6:7">
      <c r="F11641" s="6">
        <f>IF($M11641="PADD I","PADD 1",IF($M11641="PADD II","PADD 2",IF($M11641="PADD III","PADD 3",IF($M11641="PADD IV","PADD 4",IF($M11641="PADD V","PADD 5","")))))</f>
        <v/>
      </c>
      <c r="G11641" s="6">
        <f>IF(AND($H11641="ATMOS DISTILLATION",ISNUMBER(SEARCH("VPS",$I11641))=FALSE,LEFT($I11641,6)&lt;&gt;"VACUUM"),"CDU",IF($H11641="FLUID CAT CRACKING","FCC",IF(OR($H11641="HYDROCRACKING",$H11641="RESID_HYDROCRACKING"),"Hydrocracker",IF($H11641="REFORMING","Reformer",""))))</f>
        <v/>
      </c>
    </row>
    <row r="11642" spans="6:7">
      <c r="F11642" s="6">
        <f>IF($M11642="PADD I","PADD 1",IF($M11642="PADD II","PADD 2",IF($M11642="PADD III","PADD 3",IF($M11642="PADD IV","PADD 4",IF($M11642="PADD V","PADD 5","")))))</f>
        <v/>
      </c>
      <c r="G11642" s="6">
        <f>IF(AND($H11642="ATMOS DISTILLATION",ISNUMBER(SEARCH("VPS",$I11642))=FALSE,LEFT($I11642,6)&lt;&gt;"VACUUM"),"CDU",IF($H11642="FLUID CAT CRACKING","FCC",IF(OR($H11642="HYDROCRACKING",$H11642="RESID_HYDROCRACKING"),"Hydrocracker",IF($H11642="REFORMING","Reformer",""))))</f>
        <v/>
      </c>
    </row>
    <row r="11643" spans="6:7">
      <c r="F11643" s="6">
        <f>IF($M11643="PADD I","PADD 1",IF($M11643="PADD II","PADD 2",IF($M11643="PADD III","PADD 3",IF($M11643="PADD IV","PADD 4",IF($M11643="PADD V","PADD 5","")))))</f>
        <v/>
      </c>
      <c r="G11643" s="6">
        <f>IF(AND($H11643="ATMOS DISTILLATION",ISNUMBER(SEARCH("VPS",$I11643))=FALSE,LEFT($I11643,6)&lt;&gt;"VACUUM"),"CDU",IF($H11643="FLUID CAT CRACKING","FCC",IF(OR($H11643="HYDROCRACKING",$H11643="RESID_HYDROCRACKING"),"Hydrocracker",IF($H11643="REFORMING","Reformer",""))))</f>
        <v/>
      </c>
    </row>
    <row r="11644" spans="6:7">
      <c r="F11644" s="6">
        <f>IF($M11644="PADD I","PADD 1",IF($M11644="PADD II","PADD 2",IF($M11644="PADD III","PADD 3",IF($M11644="PADD IV","PADD 4",IF($M11644="PADD V","PADD 5","")))))</f>
        <v/>
      </c>
      <c r="G11644" s="6">
        <f>IF(AND($H11644="ATMOS DISTILLATION",ISNUMBER(SEARCH("VPS",$I11644))=FALSE,LEFT($I11644,6)&lt;&gt;"VACUUM"),"CDU",IF($H11644="FLUID CAT CRACKING","FCC",IF(OR($H11644="HYDROCRACKING",$H11644="RESID_HYDROCRACKING"),"Hydrocracker",IF($H11644="REFORMING","Reformer",""))))</f>
        <v/>
      </c>
    </row>
    <row r="11645" spans="6:7">
      <c r="F11645" s="6">
        <f>IF($M11645="PADD I","PADD 1",IF($M11645="PADD II","PADD 2",IF($M11645="PADD III","PADD 3",IF($M11645="PADD IV","PADD 4",IF($M11645="PADD V","PADD 5","")))))</f>
        <v/>
      </c>
      <c r="G11645" s="6">
        <f>IF(AND($H11645="ATMOS DISTILLATION",ISNUMBER(SEARCH("VPS",$I11645))=FALSE,LEFT($I11645,6)&lt;&gt;"VACUUM"),"CDU",IF($H11645="FLUID CAT CRACKING","FCC",IF(OR($H11645="HYDROCRACKING",$H11645="RESID_HYDROCRACKING"),"Hydrocracker",IF($H11645="REFORMING","Reformer",""))))</f>
        <v/>
      </c>
    </row>
    <row r="11646" spans="6:7">
      <c r="F11646" s="6">
        <f>IF($M11646="PADD I","PADD 1",IF($M11646="PADD II","PADD 2",IF($M11646="PADD III","PADD 3",IF($M11646="PADD IV","PADD 4",IF($M11646="PADD V","PADD 5","")))))</f>
        <v/>
      </c>
      <c r="G11646" s="6">
        <f>IF(AND($H11646="ATMOS DISTILLATION",ISNUMBER(SEARCH("VPS",$I11646))=FALSE,LEFT($I11646,6)&lt;&gt;"VACUUM"),"CDU",IF($H11646="FLUID CAT CRACKING","FCC",IF(OR($H11646="HYDROCRACKING",$H11646="RESID_HYDROCRACKING"),"Hydrocracker",IF($H11646="REFORMING","Reformer",""))))</f>
        <v/>
      </c>
    </row>
    <row r="11647" spans="6:7">
      <c r="F11647" s="6">
        <f>IF($M11647="PADD I","PADD 1",IF($M11647="PADD II","PADD 2",IF($M11647="PADD III","PADD 3",IF($M11647="PADD IV","PADD 4",IF($M11647="PADD V","PADD 5","")))))</f>
        <v/>
      </c>
      <c r="G11647" s="6">
        <f>IF(AND($H11647="ATMOS DISTILLATION",ISNUMBER(SEARCH("VPS",$I11647))=FALSE,LEFT($I11647,6)&lt;&gt;"VACUUM"),"CDU",IF($H11647="FLUID CAT CRACKING","FCC",IF(OR($H11647="HYDROCRACKING",$H11647="RESID_HYDROCRACKING"),"Hydrocracker",IF($H11647="REFORMING","Reformer",""))))</f>
        <v/>
      </c>
    </row>
    <row r="11648" spans="6:7">
      <c r="F11648" s="6">
        <f>IF($M11648="PADD I","PADD 1",IF($M11648="PADD II","PADD 2",IF($M11648="PADD III","PADD 3",IF($M11648="PADD IV","PADD 4",IF($M11648="PADD V","PADD 5","")))))</f>
        <v/>
      </c>
      <c r="G11648" s="6">
        <f>IF(AND($H11648="ATMOS DISTILLATION",ISNUMBER(SEARCH("VPS",$I11648))=FALSE,LEFT($I11648,6)&lt;&gt;"VACUUM"),"CDU",IF($H11648="FLUID CAT CRACKING","FCC",IF(OR($H11648="HYDROCRACKING",$H11648="RESID_HYDROCRACKING"),"Hydrocracker",IF($H11648="REFORMING","Reformer",""))))</f>
        <v/>
      </c>
    </row>
    <row r="11649" spans="6:7">
      <c r="F11649" s="6">
        <f>IF($M11649="PADD I","PADD 1",IF($M11649="PADD II","PADD 2",IF($M11649="PADD III","PADD 3",IF($M11649="PADD IV","PADD 4",IF($M11649="PADD V","PADD 5","")))))</f>
        <v/>
      </c>
      <c r="G11649" s="6">
        <f>IF(AND($H11649="ATMOS DISTILLATION",ISNUMBER(SEARCH("VPS",$I11649))=FALSE,LEFT($I11649,6)&lt;&gt;"VACUUM"),"CDU",IF($H11649="FLUID CAT CRACKING","FCC",IF(OR($H11649="HYDROCRACKING",$H11649="RESID_HYDROCRACKING"),"Hydrocracker",IF($H11649="REFORMING","Reformer",""))))</f>
        <v/>
      </c>
    </row>
    <row r="11650" spans="6:7">
      <c r="F11650" s="6">
        <f>IF($M11650="PADD I","PADD 1",IF($M11650="PADD II","PADD 2",IF($M11650="PADD III","PADD 3",IF($M11650="PADD IV","PADD 4",IF($M11650="PADD V","PADD 5","")))))</f>
        <v/>
      </c>
      <c r="G11650" s="6">
        <f>IF(AND($H11650="ATMOS DISTILLATION",ISNUMBER(SEARCH("VPS",$I11650))=FALSE,LEFT($I11650,6)&lt;&gt;"VACUUM"),"CDU",IF($H11650="FLUID CAT CRACKING","FCC",IF(OR($H11650="HYDROCRACKING",$H11650="RESID_HYDROCRACKING"),"Hydrocracker",IF($H11650="REFORMING","Reformer",""))))</f>
        <v/>
      </c>
    </row>
    <row r="11651" spans="6:7">
      <c r="F11651" s="6">
        <f>IF($M11651="PADD I","PADD 1",IF($M11651="PADD II","PADD 2",IF($M11651="PADD III","PADD 3",IF($M11651="PADD IV","PADD 4",IF($M11651="PADD V","PADD 5","")))))</f>
        <v/>
      </c>
      <c r="G11651" s="6">
        <f>IF(AND($H11651="ATMOS DISTILLATION",ISNUMBER(SEARCH("VPS",$I11651))=FALSE,LEFT($I11651,6)&lt;&gt;"VACUUM"),"CDU",IF($H11651="FLUID CAT CRACKING","FCC",IF(OR($H11651="HYDROCRACKING",$H11651="RESID_HYDROCRACKING"),"Hydrocracker",IF($H11651="REFORMING","Reformer",""))))</f>
        <v/>
      </c>
    </row>
    <row r="11652" spans="6:7">
      <c r="F11652" s="6">
        <f>IF($M11652="PADD I","PADD 1",IF($M11652="PADD II","PADD 2",IF($M11652="PADD III","PADD 3",IF($M11652="PADD IV","PADD 4",IF($M11652="PADD V","PADD 5","")))))</f>
        <v/>
      </c>
      <c r="G11652" s="6">
        <f>IF(AND($H11652="ATMOS DISTILLATION",ISNUMBER(SEARCH("VPS",$I11652))=FALSE,LEFT($I11652,6)&lt;&gt;"VACUUM"),"CDU",IF($H11652="FLUID CAT CRACKING","FCC",IF(OR($H11652="HYDROCRACKING",$H11652="RESID_HYDROCRACKING"),"Hydrocracker",IF($H11652="REFORMING","Reformer",""))))</f>
        <v/>
      </c>
    </row>
    <row r="11653" spans="6:7">
      <c r="F11653" s="6">
        <f>IF($M11653="PADD I","PADD 1",IF($M11653="PADD II","PADD 2",IF($M11653="PADD III","PADD 3",IF($M11653="PADD IV","PADD 4",IF($M11653="PADD V","PADD 5","")))))</f>
        <v/>
      </c>
      <c r="G11653" s="6">
        <f>IF(AND($H11653="ATMOS DISTILLATION",ISNUMBER(SEARCH("VPS",$I11653))=FALSE,LEFT($I11653,6)&lt;&gt;"VACUUM"),"CDU",IF($H11653="FLUID CAT CRACKING","FCC",IF(OR($H11653="HYDROCRACKING",$H11653="RESID_HYDROCRACKING"),"Hydrocracker",IF($H11653="REFORMING","Reformer",""))))</f>
        <v/>
      </c>
    </row>
    <row r="11654" spans="6:7">
      <c r="F11654" s="6">
        <f>IF($M11654="PADD I","PADD 1",IF($M11654="PADD II","PADD 2",IF($M11654="PADD III","PADD 3",IF($M11654="PADD IV","PADD 4",IF($M11654="PADD V","PADD 5","")))))</f>
        <v/>
      </c>
      <c r="G11654" s="6">
        <f>IF(AND($H11654="ATMOS DISTILLATION",ISNUMBER(SEARCH("VPS",$I11654))=FALSE,LEFT($I11654,6)&lt;&gt;"VACUUM"),"CDU",IF($H11654="FLUID CAT CRACKING","FCC",IF(OR($H11654="HYDROCRACKING",$H11654="RESID_HYDROCRACKING"),"Hydrocracker",IF($H11654="REFORMING","Reformer",""))))</f>
        <v/>
      </c>
    </row>
    <row r="11655" spans="6:7">
      <c r="F11655" s="6">
        <f>IF($M11655="PADD I","PADD 1",IF($M11655="PADD II","PADD 2",IF($M11655="PADD III","PADD 3",IF($M11655="PADD IV","PADD 4",IF($M11655="PADD V","PADD 5","")))))</f>
        <v/>
      </c>
      <c r="G11655" s="6">
        <f>IF(AND($H11655="ATMOS DISTILLATION",ISNUMBER(SEARCH("VPS",$I11655))=FALSE,LEFT($I11655,6)&lt;&gt;"VACUUM"),"CDU",IF($H11655="FLUID CAT CRACKING","FCC",IF(OR($H11655="HYDROCRACKING",$H11655="RESID_HYDROCRACKING"),"Hydrocracker",IF($H11655="REFORMING","Reformer",""))))</f>
        <v/>
      </c>
    </row>
    <row r="11656" spans="6:7">
      <c r="F11656" s="6">
        <f>IF($M11656="PADD I","PADD 1",IF($M11656="PADD II","PADD 2",IF($M11656="PADD III","PADD 3",IF($M11656="PADD IV","PADD 4",IF($M11656="PADD V","PADD 5","")))))</f>
        <v/>
      </c>
      <c r="G11656" s="6">
        <f>IF(AND($H11656="ATMOS DISTILLATION",ISNUMBER(SEARCH("VPS",$I11656))=FALSE,LEFT($I11656,6)&lt;&gt;"VACUUM"),"CDU",IF($H11656="FLUID CAT CRACKING","FCC",IF(OR($H11656="HYDROCRACKING",$H11656="RESID_HYDROCRACKING"),"Hydrocracker",IF($H11656="REFORMING","Reformer",""))))</f>
        <v/>
      </c>
    </row>
    <row r="11657" spans="6:7">
      <c r="F11657" s="6">
        <f>IF($M11657="PADD I","PADD 1",IF($M11657="PADD II","PADD 2",IF($M11657="PADD III","PADD 3",IF($M11657="PADD IV","PADD 4",IF($M11657="PADD V","PADD 5","")))))</f>
        <v/>
      </c>
      <c r="G11657" s="6">
        <f>IF(AND($H11657="ATMOS DISTILLATION",ISNUMBER(SEARCH("VPS",$I11657))=FALSE,LEFT($I11657,6)&lt;&gt;"VACUUM"),"CDU",IF($H11657="FLUID CAT CRACKING","FCC",IF(OR($H11657="HYDROCRACKING",$H11657="RESID_HYDROCRACKING"),"Hydrocracker",IF($H11657="REFORMING","Reformer",""))))</f>
        <v/>
      </c>
    </row>
    <row r="11658" spans="6:7">
      <c r="F11658" s="6">
        <f>IF($M11658="PADD I","PADD 1",IF($M11658="PADD II","PADD 2",IF($M11658="PADD III","PADD 3",IF($M11658="PADD IV","PADD 4",IF($M11658="PADD V","PADD 5","")))))</f>
        <v/>
      </c>
      <c r="G11658" s="6">
        <f>IF(AND($H11658="ATMOS DISTILLATION",ISNUMBER(SEARCH("VPS",$I11658))=FALSE,LEFT($I11658,6)&lt;&gt;"VACUUM"),"CDU",IF($H11658="FLUID CAT CRACKING","FCC",IF(OR($H11658="HYDROCRACKING",$H11658="RESID_HYDROCRACKING"),"Hydrocracker",IF($H11658="REFORMING","Reformer",""))))</f>
        <v/>
      </c>
    </row>
    <row r="11659" spans="6:7">
      <c r="F11659" s="6">
        <f>IF($M11659="PADD I","PADD 1",IF($M11659="PADD II","PADD 2",IF($M11659="PADD III","PADD 3",IF($M11659="PADD IV","PADD 4",IF($M11659="PADD V","PADD 5","")))))</f>
        <v/>
      </c>
      <c r="G11659" s="6">
        <f>IF(AND($H11659="ATMOS DISTILLATION",ISNUMBER(SEARCH("VPS",$I11659))=FALSE,LEFT($I11659,6)&lt;&gt;"VACUUM"),"CDU",IF($H11659="FLUID CAT CRACKING","FCC",IF(OR($H11659="HYDROCRACKING",$H11659="RESID_HYDROCRACKING"),"Hydrocracker",IF($H11659="REFORMING","Reformer",""))))</f>
        <v/>
      </c>
    </row>
    <row r="11660" spans="6:7">
      <c r="F11660" s="6">
        <f>IF($M11660="PADD I","PADD 1",IF($M11660="PADD II","PADD 2",IF($M11660="PADD III","PADD 3",IF($M11660="PADD IV","PADD 4",IF($M11660="PADD V","PADD 5","")))))</f>
        <v/>
      </c>
      <c r="G11660" s="6">
        <f>IF(AND($H11660="ATMOS DISTILLATION",ISNUMBER(SEARCH("VPS",$I11660))=FALSE,LEFT($I11660,6)&lt;&gt;"VACUUM"),"CDU",IF($H11660="FLUID CAT CRACKING","FCC",IF(OR($H11660="HYDROCRACKING",$H11660="RESID_HYDROCRACKING"),"Hydrocracker",IF($H11660="REFORMING","Reformer",""))))</f>
        <v/>
      </c>
    </row>
    <row r="11661" spans="6:7">
      <c r="F11661" s="6">
        <f>IF($M11661="PADD I","PADD 1",IF($M11661="PADD II","PADD 2",IF($M11661="PADD III","PADD 3",IF($M11661="PADD IV","PADD 4",IF($M11661="PADD V","PADD 5","")))))</f>
        <v/>
      </c>
      <c r="G11661" s="6">
        <f>IF(AND($H11661="ATMOS DISTILLATION",ISNUMBER(SEARCH("VPS",$I11661))=FALSE,LEFT($I11661,6)&lt;&gt;"VACUUM"),"CDU",IF($H11661="FLUID CAT CRACKING","FCC",IF(OR($H11661="HYDROCRACKING",$H11661="RESID_HYDROCRACKING"),"Hydrocracker",IF($H11661="REFORMING","Reformer",""))))</f>
        <v/>
      </c>
    </row>
    <row r="11662" spans="6:7">
      <c r="F11662" s="6">
        <f>IF($M11662="PADD I","PADD 1",IF($M11662="PADD II","PADD 2",IF($M11662="PADD III","PADD 3",IF($M11662="PADD IV","PADD 4",IF($M11662="PADD V","PADD 5","")))))</f>
        <v/>
      </c>
      <c r="G11662" s="6">
        <f>IF(AND($H11662="ATMOS DISTILLATION",ISNUMBER(SEARCH("VPS",$I11662))=FALSE,LEFT($I11662,6)&lt;&gt;"VACUUM"),"CDU",IF($H11662="FLUID CAT CRACKING","FCC",IF(OR($H11662="HYDROCRACKING",$H11662="RESID_HYDROCRACKING"),"Hydrocracker",IF($H11662="REFORMING","Reformer",""))))</f>
        <v/>
      </c>
    </row>
    <row r="11663" spans="6:7">
      <c r="F11663" s="6">
        <f>IF($M11663="PADD I","PADD 1",IF($M11663="PADD II","PADD 2",IF($M11663="PADD III","PADD 3",IF($M11663="PADD IV","PADD 4",IF($M11663="PADD V","PADD 5","")))))</f>
        <v/>
      </c>
      <c r="G11663" s="6">
        <f>IF(AND($H11663="ATMOS DISTILLATION",ISNUMBER(SEARCH("VPS",$I11663))=FALSE,LEFT($I11663,6)&lt;&gt;"VACUUM"),"CDU",IF($H11663="FLUID CAT CRACKING","FCC",IF(OR($H11663="HYDROCRACKING",$H11663="RESID_HYDROCRACKING"),"Hydrocracker",IF($H11663="REFORMING","Reformer",""))))</f>
        <v/>
      </c>
    </row>
    <row r="11664" spans="6:7">
      <c r="F11664" s="6">
        <f>IF($M11664="PADD I","PADD 1",IF($M11664="PADD II","PADD 2",IF($M11664="PADD III","PADD 3",IF($M11664="PADD IV","PADD 4",IF($M11664="PADD V","PADD 5","")))))</f>
        <v/>
      </c>
      <c r="G11664" s="6">
        <f>IF(AND($H11664="ATMOS DISTILLATION",ISNUMBER(SEARCH("VPS",$I11664))=FALSE,LEFT($I11664,6)&lt;&gt;"VACUUM"),"CDU",IF($H11664="FLUID CAT CRACKING","FCC",IF(OR($H11664="HYDROCRACKING",$H11664="RESID_HYDROCRACKING"),"Hydrocracker",IF($H11664="REFORMING","Reformer",""))))</f>
        <v/>
      </c>
    </row>
    <row r="11665" spans="6:7">
      <c r="F11665" s="6">
        <f>IF($M11665="PADD I","PADD 1",IF($M11665="PADD II","PADD 2",IF($M11665="PADD III","PADD 3",IF($M11665="PADD IV","PADD 4",IF($M11665="PADD V","PADD 5","")))))</f>
        <v/>
      </c>
      <c r="G11665" s="6">
        <f>IF(AND($H11665="ATMOS DISTILLATION",ISNUMBER(SEARCH("VPS",$I11665))=FALSE,LEFT($I11665,6)&lt;&gt;"VACUUM"),"CDU",IF($H11665="FLUID CAT CRACKING","FCC",IF(OR($H11665="HYDROCRACKING",$H11665="RESID_HYDROCRACKING"),"Hydrocracker",IF($H11665="REFORMING","Reformer",""))))</f>
        <v/>
      </c>
    </row>
    <row r="11666" spans="6:7">
      <c r="F11666" s="6">
        <f>IF($M11666="PADD I","PADD 1",IF($M11666="PADD II","PADD 2",IF($M11666="PADD III","PADD 3",IF($M11666="PADD IV","PADD 4",IF($M11666="PADD V","PADD 5","")))))</f>
        <v/>
      </c>
      <c r="G11666" s="6">
        <f>IF(AND($H11666="ATMOS DISTILLATION",ISNUMBER(SEARCH("VPS",$I11666))=FALSE,LEFT($I11666,6)&lt;&gt;"VACUUM"),"CDU",IF($H11666="FLUID CAT CRACKING","FCC",IF(OR($H11666="HYDROCRACKING",$H11666="RESID_HYDROCRACKING"),"Hydrocracker",IF($H11666="REFORMING","Reformer",""))))</f>
        <v/>
      </c>
    </row>
    <row r="11667" spans="6:7">
      <c r="F11667" s="6">
        <f>IF($M11667="PADD I","PADD 1",IF($M11667="PADD II","PADD 2",IF($M11667="PADD III","PADD 3",IF($M11667="PADD IV","PADD 4",IF($M11667="PADD V","PADD 5","")))))</f>
        <v/>
      </c>
      <c r="G11667" s="6">
        <f>IF(AND($H11667="ATMOS DISTILLATION",ISNUMBER(SEARCH("VPS",$I11667))=FALSE,LEFT($I11667,6)&lt;&gt;"VACUUM"),"CDU",IF($H11667="FLUID CAT CRACKING","FCC",IF(OR($H11667="HYDROCRACKING",$H11667="RESID_HYDROCRACKING"),"Hydrocracker",IF($H11667="REFORMING","Reformer",""))))</f>
        <v/>
      </c>
    </row>
    <row r="11668" spans="6:7">
      <c r="F11668" s="6">
        <f>IF($M11668="PADD I","PADD 1",IF($M11668="PADD II","PADD 2",IF($M11668="PADD III","PADD 3",IF($M11668="PADD IV","PADD 4",IF($M11668="PADD V","PADD 5","")))))</f>
        <v/>
      </c>
      <c r="G11668" s="6">
        <f>IF(AND($H11668="ATMOS DISTILLATION",ISNUMBER(SEARCH("VPS",$I11668))=FALSE,LEFT($I11668,6)&lt;&gt;"VACUUM"),"CDU",IF($H11668="FLUID CAT CRACKING","FCC",IF(OR($H11668="HYDROCRACKING",$H11668="RESID_HYDROCRACKING"),"Hydrocracker",IF($H11668="REFORMING","Reformer",""))))</f>
        <v/>
      </c>
    </row>
    <row r="11669" spans="6:7">
      <c r="F11669" s="6">
        <f>IF($M11669="PADD I","PADD 1",IF($M11669="PADD II","PADD 2",IF($M11669="PADD III","PADD 3",IF($M11669="PADD IV","PADD 4",IF($M11669="PADD V","PADD 5","")))))</f>
        <v/>
      </c>
      <c r="G11669" s="6">
        <f>IF(AND($H11669="ATMOS DISTILLATION",ISNUMBER(SEARCH("VPS",$I11669))=FALSE,LEFT($I11669,6)&lt;&gt;"VACUUM"),"CDU",IF($H11669="FLUID CAT CRACKING","FCC",IF(OR($H11669="HYDROCRACKING",$H11669="RESID_HYDROCRACKING"),"Hydrocracker",IF($H11669="REFORMING","Reformer",""))))</f>
        <v/>
      </c>
    </row>
    <row r="11670" spans="6:7">
      <c r="F11670" s="6">
        <f>IF($M11670="PADD I","PADD 1",IF($M11670="PADD II","PADD 2",IF($M11670="PADD III","PADD 3",IF($M11670="PADD IV","PADD 4",IF($M11670="PADD V","PADD 5","")))))</f>
        <v/>
      </c>
      <c r="G11670" s="6">
        <f>IF(AND($H11670="ATMOS DISTILLATION",ISNUMBER(SEARCH("VPS",$I11670))=FALSE,LEFT($I11670,6)&lt;&gt;"VACUUM"),"CDU",IF($H11670="FLUID CAT CRACKING","FCC",IF(OR($H11670="HYDROCRACKING",$H11670="RESID_HYDROCRACKING"),"Hydrocracker",IF($H11670="REFORMING","Reformer",""))))</f>
        <v/>
      </c>
    </row>
    <row r="11671" spans="6:7">
      <c r="F11671" s="6">
        <f>IF($M11671="PADD I","PADD 1",IF($M11671="PADD II","PADD 2",IF($M11671="PADD III","PADD 3",IF($M11671="PADD IV","PADD 4",IF($M11671="PADD V","PADD 5","")))))</f>
        <v/>
      </c>
      <c r="G11671" s="6">
        <f>IF(AND($H11671="ATMOS DISTILLATION",ISNUMBER(SEARCH("VPS",$I11671))=FALSE,LEFT($I11671,6)&lt;&gt;"VACUUM"),"CDU",IF($H11671="FLUID CAT CRACKING","FCC",IF(OR($H11671="HYDROCRACKING",$H11671="RESID_HYDROCRACKING"),"Hydrocracker",IF($H11671="REFORMING","Reformer",""))))</f>
        <v/>
      </c>
    </row>
    <row r="11672" spans="6:7">
      <c r="F11672" s="6">
        <f>IF($M11672="PADD I","PADD 1",IF($M11672="PADD II","PADD 2",IF($M11672="PADD III","PADD 3",IF($M11672="PADD IV","PADD 4",IF($M11672="PADD V","PADD 5","")))))</f>
        <v/>
      </c>
      <c r="G11672" s="6">
        <f>IF(AND($H11672="ATMOS DISTILLATION",ISNUMBER(SEARCH("VPS",$I11672))=FALSE,LEFT($I11672,6)&lt;&gt;"VACUUM"),"CDU",IF($H11672="FLUID CAT CRACKING","FCC",IF(OR($H11672="HYDROCRACKING",$H11672="RESID_HYDROCRACKING"),"Hydrocracker",IF($H11672="REFORMING","Reformer",""))))</f>
        <v/>
      </c>
    </row>
    <row r="11673" spans="6:7">
      <c r="F11673" s="6">
        <f>IF($M11673="PADD I","PADD 1",IF($M11673="PADD II","PADD 2",IF($M11673="PADD III","PADD 3",IF($M11673="PADD IV","PADD 4",IF($M11673="PADD V","PADD 5","")))))</f>
        <v/>
      </c>
      <c r="G11673" s="6">
        <f>IF(AND($H11673="ATMOS DISTILLATION",ISNUMBER(SEARCH("VPS",$I11673))=FALSE,LEFT($I11673,6)&lt;&gt;"VACUUM"),"CDU",IF($H11673="FLUID CAT CRACKING","FCC",IF(OR($H11673="HYDROCRACKING",$H11673="RESID_HYDROCRACKING"),"Hydrocracker",IF($H11673="REFORMING","Reformer",""))))</f>
        <v/>
      </c>
    </row>
    <row r="11674" spans="6:7">
      <c r="F11674" s="6">
        <f>IF($M11674="PADD I","PADD 1",IF($M11674="PADD II","PADD 2",IF($M11674="PADD III","PADD 3",IF($M11674="PADD IV","PADD 4",IF($M11674="PADD V","PADD 5","")))))</f>
        <v/>
      </c>
      <c r="G11674" s="6">
        <f>IF(AND($H11674="ATMOS DISTILLATION",ISNUMBER(SEARCH("VPS",$I11674))=FALSE,LEFT($I11674,6)&lt;&gt;"VACUUM"),"CDU",IF($H11674="FLUID CAT CRACKING","FCC",IF(OR($H11674="HYDROCRACKING",$H11674="RESID_HYDROCRACKING"),"Hydrocracker",IF($H11674="REFORMING","Reformer",""))))</f>
        <v/>
      </c>
    </row>
    <row r="11675" spans="6:7">
      <c r="F11675" s="6">
        <f>IF($M11675="PADD I","PADD 1",IF($M11675="PADD II","PADD 2",IF($M11675="PADD III","PADD 3",IF($M11675="PADD IV","PADD 4",IF($M11675="PADD V","PADD 5","")))))</f>
        <v/>
      </c>
      <c r="G11675" s="6">
        <f>IF(AND($H11675="ATMOS DISTILLATION",ISNUMBER(SEARCH("VPS",$I11675))=FALSE,LEFT($I11675,6)&lt;&gt;"VACUUM"),"CDU",IF($H11675="FLUID CAT CRACKING","FCC",IF(OR($H11675="HYDROCRACKING",$H11675="RESID_HYDROCRACKING"),"Hydrocracker",IF($H11675="REFORMING","Reformer",""))))</f>
        <v/>
      </c>
    </row>
    <row r="11676" spans="6:7">
      <c r="F11676" s="6">
        <f>IF($M11676="PADD I","PADD 1",IF($M11676="PADD II","PADD 2",IF($M11676="PADD III","PADD 3",IF($M11676="PADD IV","PADD 4",IF($M11676="PADD V","PADD 5","")))))</f>
        <v/>
      </c>
      <c r="G11676" s="6">
        <f>IF(AND($H11676="ATMOS DISTILLATION",ISNUMBER(SEARCH("VPS",$I11676))=FALSE,LEFT($I11676,6)&lt;&gt;"VACUUM"),"CDU",IF($H11676="FLUID CAT CRACKING","FCC",IF(OR($H11676="HYDROCRACKING",$H11676="RESID_HYDROCRACKING"),"Hydrocracker",IF($H11676="REFORMING","Reformer",""))))</f>
        <v/>
      </c>
    </row>
    <row r="11677" spans="6:7">
      <c r="F11677" s="6">
        <f>IF($M11677="PADD I","PADD 1",IF($M11677="PADD II","PADD 2",IF($M11677="PADD III","PADD 3",IF($M11677="PADD IV","PADD 4",IF($M11677="PADD V","PADD 5","")))))</f>
        <v/>
      </c>
      <c r="G11677" s="6">
        <f>IF(AND($H11677="ATMOS DISTILLATION",ISNUMBER(SEARCH("VPS",$I11677))=FALSE,LEFT($I11677,6)&lt;&gt;"VACUUM"),"CDU",IF($H11677="FLUID CAT CRACKING","FCC",IF(OR($H11677="HYDROCRACKING",$H11677="RESID_HYDROCRACKING"),"Hydrocracker",IF($H11677="REFORMING","Reformer",""))))</f>
        <v/>
      </c>
    </row>
    <row r="11678" spans="6:7">
      <c r="F11678" s="6">
        <f>IF($M11678="PADD I","PADD 1",IF($M11678="PADD II","PADD 2",IF($M11678="PADD III","PADD 3",IF($M11678="PADD IV","PADD 4",IF($M11678="PADD V","PADD 5","")))))</f>
        <v/>
      </c>
      <c r="G11678" s="6">
        <f>IF(AND($H11678="ATMOS DISTILLATION",ISNUMBER(SEARCH("VPS",$I11678))=FALSE,LEFT($I11678,6)&lt;&gt;"VACUUM"),"CDU",IF($H11678="FLUID CAT CRACKING","FCC",IF(OR($H11678="HYDROCRACKING",$H11678="RESID_HYDROCRACKING"),"Hydrocracker",IF($H11678="REFORMING","Reformer",""))))</f>
        <v/>
      </c>
    </row>
    <row r="11679" spans="6:7">
      <c r="F11679" s="6">
        <f>IF($M11679="PADD I","PADD 1",IF($M11679="PADD II","PADD 2",IF($M11679="PADD III","PADD 3",IF($M11679="PADD IV","PADD 4",IF($M11679="PADD V","PADD 5","")))))</f>
        <v/>
      </c>
      <c r="G11679" s="6">
        <f>IF(AND($H11679="ATMOS DISTILLATION",ISNUMBER(SEARCH("VPS",$I11679))=FALSE,LEFT($I11679,6)&lt;&gt;"VACUUM"),"CDU",IF($H11679="FLUID CAT CRACKING","FCC",IF(OR($H11679="HYDROCRACKING",$H11679="RESID_HYDROCRACKING"),"Hydrocracker",IF($H11679="REFORMING","Reformer",""))))</f>
        <v/>
      </c>
    </row>
    <row r="11680" spans="6:7">
      <c r="F11680" s="6">
        <f>IF($M11680="PADD I","PADD 1",IF($M11680="PADD II","PADD 2",IF($M11680="PADD III","PADD 3",IF($M11680="PADD IV","PADD 4",IF($M11680="PADD V","PADD 5","")))))</f>
        <v/>
      </c>
      <c r="G11680" s="6">
        <f>IF(AND($H11680="ATMOS DISTILLATION",ISNUMBER(SEARCH("VPS",$I11680))=FALSE,LEFT($I11680,6)&lt;&gt;"VACUUM"),"CDU",IF($H11680="FLUID CAT CRACKING","FCC",IF(OR($H11680="HYDROCRACKING",$H11680="RESID_HYDROCRACKING"),"Hydrocracker",IF($H11680="REFORMING","Reformer",""))))</f>
        <v/>
      </c>
    </row>
    <row r="11681" spans="6:7">
      <c r="F11681" s="6">
        <f>IF($M11681="PADD I","PADD 1",IF($M11681="PADD II","PADD 2",IF($M11681="PADD III","PADD 3",IF($M11681="PADD IV","PADD 4",IF($M11681="PADD V","PADD 5","")))))</f>
        <v/>
      </c>
      <c r="G11681" s="6">
        <f>IF(AND($H11681="ATMOS DISTILLATION",ISNUMBER(SEARCH("VPS",$I11681))=FALSE,LEFT($I11681,6)&lt;&gt;"VACUUM"),"CDU",IF($H11681="FLUID CAT CRACKING","FCC",IF(OR($H11681="HYDROCRACKING",$H11681="RESID_HYDROCRACKING"),"Hydrocracker",IF($H11681="REFORMING","Reformer",""))))</f>
        <v/>
      </c>
    </row>
    <row r="11682" spans="6:7">
      <c r="F11682" s="6">
        <f>IF($M11682="PADD I","PADD 1",IF($M11682="PADD II","PADD 2",IF($M11682="PADD III","PADD 3",IF($M11682="PADD IV","PADD 4",IF($M11682="PADD V","PADD 5","")))))</f>
        <v/>
      </c>
      <c r="G11682" s="6">
        <f>IF(AND($H11682="ATMOS DISTILLATION",ISNUMBER(SEARCH("VPS",$I11682))=FALSE,LEFT($I11682,6)&lt;&gt;"VACUUM"),"CDU",IF($H11682="FLUID CAT CRACKING","FCC",IF(OR($H11682="HYDROCRACKING",$H11682="RESID_HYDROCRACKING"),"Hydrocracker",IF($H11682="REFORMING","Reformer",""))))</f>
        <v/>
      </c>
    </row>
    <row r="11683" spans="6:7">
      <c r="F11683" s="6">
        <f>IF($M11683="PADD I","PADD 1",IF($M11683="PADD II","PADD 2",IF($M11683="PADD III","PADD 3",IF($M11683="PADD IV","PADD 4",IF($M11683="PADD V","PADD 5","")))))</f>
        <v/>
      </c>
      <c r="G11683" s="6">
        <f>IF(AND($H11683="ATMOS DISTILLATION",ISNUMBER(SEARCH("VPS",$I11683))=FALSE,LEFT($I11683,6)&lt;&gt;"VACUUM"),"CDU",IF($H11683="FLUID CAT CRACKING","FCC",IF(OR($H11683="HYDROCRACKING",$H11683="RESID_HYDROCRACKING"),"Hydrocracker",IF($H11683="REFORMING","Reformer",""))))</f>
        <v/>
      </c>
    </row>
    <row r="11684" spans="6:7">
      <c r="F11684" s="6">
        <f>IF($M11684="PADD I","PADD 1",IF($M11684="PADD II","PADD 2",IF($M11684="PADD III","PADD 3",IF($M11684="PADD IV","PADD 4",IF($M11684="PADD V","PADD 5","")))))</f>
        <v/>
      </c>
      <c r="G11684" s="6">
        <f>IF(AND($H11684="ATMOS DISTILLATION",ISNUMBER(SEARCH("VPS",$I11684))=FALSE,LEFT($I11684,6)&lt;&gt;"VACUUM"),"CDU",IF($H11684="FLUID CAT CRACKING","FCC",IF(OR($H11684="HYDROCRACKING",$H11684="RESID_HYDROCRACKING"),"Hydrocracker",IF($H11684="REFORMING","Reformer",""))))</f>
        <v/>
      </c>
    </row>
    <row r="11685" spans="6:7">
      <c r="F11685" s="6">
        <f>IF($M11685="PADD I","PADD 1",IF($M11685="PADD II","PADD 2",IF($M11685="PADD III","PADD 3",IF($M11685="PADD IV","PADD 4",IF($M11685="PADD V","PADD 5","")))))</f>
        <v/>
      </c>
      <c r="G11685" s="6">
        <f>IF(AND($H11685="ATMOS DISTILLATION",ISNUMBER(SEARCH("VPS",$I11685))=FALSE,LEFT($I11685,6)&lt;&gt;"VACUUM"),"CDU",IF($H11685="FLUID CAT CRACKING","FCC",IF(OR($H11685="HYDROCRACKING",$H11685="RESID_HYDROCRACKING"),"Hydrocracker",IF($H11685="REFORMING","Reformer",""))))</f>
        <v/>
      </c>
    </row>
    <row r="11686" spans="6:7">
      <c r="F11686" s="6">
        <f>IF($M11686="PADD I","PADD 1",IF($M11686="PADD II","PADD 2",IF($M11686="PADD III","PADD 3",IF($M11686="PADD IV","PADD 4",IF($M11686="PADD V","PADD 5","")))))</f>
        <v/>
      </c>
      <c r="G11686" s="6">
        <f>IF(AND($H11686="ATMOS DISTILLATION",ISNUMBER(SEARCH("VPS",$I11686))=FALSE,LEFT($I11686,6)&lt;&gt;"VACUUM"),"CDU",IF($H11686="FLUID CAT CRACKING","FCC",IF(OR($H11686="HYDROCRACKING",$H11686="RESID_HYDROCRACKING"),"Hydrocracker",IF($H11686="REFORMING","Reformer",""))))</f>
        <v/>
      </c>
    </row>
    <row r="11687" spans="6:7">
      <c r="F11687" s="6">
        <f>IF($M11687="PADD I","PADD 1",IF($M11687="PADD II","PADD 2",IF($M11687="PADD III","PADD 3",IF($M11687="PADD IV","PADD 4",IF($M11687="PADD V","PADD 5","")))))</f>
        <v/>
      </c>
      <c r="G11687" s="6">
        <f>IF(AND($H11687="ATMOS DISTILLATION",ISNUMBER(SEARCH("VPS",$I11687))=FALSE,LEFT($I11687,6)&lt;&gt;"VACUUM"),"CDU",IF($H11687="FLUID CAT CRACKING","FCC",IF(OR($H11687="HYDROCRACKING",$H11687="RESID_HYDROCRACKING"),"Hydrocracker",IF($H11687="REFORMING","Reformer",""))))</f>
        <v/>
      </c>
    </row>
    <row r="11688" spans="6:7">
      <c r="F11688" s="6">
        <f>IF($M11688="PADD I","PADD 1",IF($M11688="PADD II","PADD 2",IF($M11688="PADD III","PADD 3",IF($M11688="PADD IV","PADD 4",IF($M11688="PADD V","PADD 5","")))))</f>
        <v/>
      </c>
      <c r="G11688" s="6">
        <f>IF(AND($H11688="ATMOS DISTILLATION",ISNUMBER(SEARCH("VPS",$I11688))=FALSE,LEFT($I11688,6)&lt;&gt;"VACUUM"),"CDU",IF($H11688="FLUID CAT CRACKING","FCC",IF(OR($H11688="HYDROCRACKING",$H11688="RESID_HYDROCRACKING"),"Hydrocracker",IF($H11688="REFORMING","Reformer",""))))</f>
        <v/>
      </c>
    </row>
    <row r="11689" spans="6:7">
      <c r="F11689" s="6">
        <f>IF($M11689="PADD I","PADD 1",IF($M11689="PADD II","PADD 2",IF($M11689="PADD III","PADD 3",IF($M11689="PADD IV","PADD 4",IF($M11689="PADD V","PADD 5","")))))</f>
        <v/>
      </c>
      <c r="G11689" s="6">
        <f>IF(AND($H11689="ATMOS DISTILLATION",ISNUMBER(SEARCH("VPS",$I11689))=FALSE,LEFT($I11689,6)&lt;&gt;"VACUUM"),"CDU",IF($H11689="FLUID CAT CRACKING","FCC",IF(OR($H11689="HYDROCRACKING",$H11689="RESID_HYDROCRACKING"),"Hydrocracker",IF($H11689="REFORMING","Reformer",""))))</f>
        <v/>
      </c>
    </row>
    <row r="11690" spans="6:7">
      <c r="F11690" s="6">
        <f>IF($M11690="PADD I","PADD 1",IF($M11690="PADD II","PADD 2",IF($M11690="PADD III","PADD 3",IF($M11690="PADD IV","PADD 4",IF($M11690="PADD V","PADD 5","")))))</f>
        <v/>
      </c>
      <c r="G11690" s="6">
        <f>IF(AND($H11690="ATMOS DISTILLATION",ISNUMBER(SEARCH("VPS",$I11690))=FALSE,LEFT($I11690,6)&lt;&gt;"VACUUM"),"CDU",IF($H11690="FLUID CAT CRACKING","FCC",IF(OR($H11690="HYDROCRACKING",$H11690="RESID_HYDROCRACKING"),"Hydrocracker",IF($H11690="REFORMING","Reformer",""))))</f>
        <v/>
      </c>
    </row>
    <row r="11691" spans="6:7">
      <c r="F11691" s="6">
        <f>IF($M11691="PADD I","PADD 1",IF($M11691="PADD II","PADD 2",IF($M11691="PADD III","PADD 3",IF($M11691="PADD IV","PADD 4",IF($M11691="PADD V","PADD 5","")))))</f>
        <v/>
      </c>
      <c r="G11691" s="6">
        <f>IF(AND($H11691="ATMOS DISTILLATION",ISNUMBER(SEARCH("VPS",$I11691))=FALSE,LEFT($I11691,6)&lt;&gt;"VACUUM"),"CDU",IF($H11691="FLUID CAT CRACKING","FCC",IF(OR($H11691="HYDROCRACKING",$H11691="RESID_HYDROCRACKING"),"Hydrocracker",IF($H11691="REFORMING","Reformer",""))))</f>
        <v/>
      </c>
    </row>
    <row r="11692" spans="6:7">
      <c r="F11692" s="6">
        <f>IF($M11692="PADD I","PADD 1",IF($M11692="PADD II","PADD 2",IF($M11692="PADD III","PADD 3",IF($M11692="PADD IV","PADD 4",IF($M11692="PADD V","PADD 5","")))))</f>
        <v/>
      </c>
      <c r="G11692" s="6">
        <f>IF(AND($H11692="ATMOS DISTILLATION",ISNUMBER(SEARCH("VPS",$I11692))=FALSE,LEFT($I11692,6)&lt;&gt;"VACUUM"),"CDU",IF($H11692="FLUID CAT CRACKING","FCC",IF(OR($H11692="HYDROCRACKING",$H11692="RESID_HYDROCRACKING"),"Hydrocracker",IF($H11692="REFORMING","Reformer",""))))</f>
        <v/>
      </c>
    </row>
    <row r="11693" spans="6:7">
      <c r="F11693" s="6">
        <f>IF($M11693="PADD I","PADD 1",IF($M11693="PADD II","PADD 2",IF($M11693="PADD III","PADD 3",IF($M11693="PADD IV","PADD 4",IF($M11693="PADD V","PADD 5","")))))</f>
        <v/>
      </c>
      <c r="G11693" s="6">
        <f>IF(AND($H11693="ATMOS DISTILLATION",ISNUMBER(SEARCH("VPS",$I11693))=FALSE,LEFT($I11693,6)&lt;&gt;"VACUUM"),"CDU",IF($H11693="FLUID CAT CRACKING","FCC",IF(OR($H11693="HYDROCRACKING",$H11693="RESID_HYDROCRACKING"),"Hydrocracker",IF($H11693="REFORMING","Reformer",""))))</f>
        <v/>
      </c>
    </row>
    <row r="11694" spans="6:7">
      <c r="F11694" s="6">
        <f>IF($M11694="PADD I","PADD 1",IF($M11694="PADD II","PADD 2",IF($M11694="PADD III","PADD 3",IF($M11694="PADD IV","PADD 4",IF($M11694="PADD V","PADD 5","")))))</f>
        <v/>
      </c>
      <c r="G11694" s="6">
        <f>IF(AND($H11694="ATMOS DISTILLATION",ISNUMBER(SEARCH("VPS",$I11694))=FALSE,LEFT($I11694,6)&lt;&gt;"VACUUM"),"CDU",IF($H11694="FLUID CAT CRACKING","FCC",IF(OR($H11694="HYDROCRACKING",$H11694="RESID_HYDROCRACKING"),"Hydrocracker",IF($H11694="REFORMING","Reformer",""))))</f>
        <v/>
      </c>
    </row>
    <row r="11695" spans="6:7">
      <c r="F11695" s="6">
        <f>IF($M11695="PADD I","PADD 1",IF($M11695="PADD II","PADD 2",IF($M11695="PADD III","PADD 3",IF($M11695="PADD IV","PADD 4",IF($M11695="PADD V","PADD 5","")))))</f>
        <v/>
      </c>
      <c r="G11695" s="6">
        <f>IF(AND($H11695="ATMOS DISTILLATION",ISNUMBER(SEARCH("VPS",$I11695))=FALSE,LEFT($I11695,6)&lt;&gt;"VACUUM"),"CDU",IF($H11695="FLUID CAT CRACKING","FCC",IF(OR($H11695="HYDROCRACKING",$H11695="RESID_HYDROCRACKING"),"Hydrocracker",IF($H11695="REFORMING","Reformer",""))))</f>
        <v/>
      </c>
    </row>
    <row r="11696" spans="6:7">
      <c r="F11696" s="6">
        <f>IF($M11696="PADD I","PADD 1",IF($M11696="PADD II","PADD 2",IF($M11696="PADD III","PADD 3",IF($M11696="PADD IV","PADD 4",IF($M11696="PADD V","PADD 5","")))))</f>
        <v/>
      </c>
      <c r="G11696" s="6">
        <f>IF(AND($H11696="ATMOS DISTILLATION",ISNUMBER(SEARCH("VPS",$I11696))=FALSE,LEFT($I11696,6)&lt;&gt;"VACUUM"),"CDU",IF($H11696="FLUID CAT CRACKING","FCC",IF(OR($H11696="HYDROCRACKING",$H11696="RESID_HYDROCRACKING"),"Hydrocracker",IF($H11696="REFORMING","Reformer",""))))</f>
        <v/>
      </c>
    </row>
    <row r="11697" spans="6:7">
      <c r="F11697" s="6">
        <f>IF($M11697="PADD I","PADD 1",IF($M11697="PADD II","PADD 2",IF($M11697="PADD III","PADD 3",IF($M11697="PADD IV","PADD 4",IF($M11697="PADD V","PADD 5","")))))</f>
        <v/>
      </c>
      <c r="G11697" s="6">
        <f>IF(AND($H11697="ATMOS DISTILLATION",ISNUMBER(SEARCH("VPS",$I11697))=FALSE,LEFT($I11697,6)&lt;&gt;"VACUUM"),"CDU",IF($H11697="FLUID CAT CRACKING","FCC",IF(OR($H11697="HYDROCRACKING",$H11697="RESID_HYDROCRACKING"),"Hydrocracker",IF($H11697="REFORMING","Reformer",""))))</f>
        <v/>
      </c>
    </row>
    <row r="11698" spans="6:7">
      <c r="F11698" s="6">
        <f>IF($M11698="PADD I","PADD 1",IF($M11698="PADD II","PADD 2",IF($M11698="PADD III","PADD 3",IF($M11698="PADD IV","PADD 4",IF($M11698="PADD V","PADD 5","")))))</f>
        <v/>
      </c>
      <c r="G11698" s="6">
        <f>IF(AND($H11698="ATMOS DISTILLATION",ISNUMBER(SEARCH("VPS",$I11698))=FALSE,LEFT($I11698,6)&lt;&gt;"VACUUM"),"CDU",IF($H11698="FLUID CAT CRACKING","FCC",IF(OR($H11698="HYDROCRACKING",$H11698="RESID_HYDROCRACKING"),"Hydrocracker",IF($H11698="REFORMING","Reformer",""))))</f>
        <v/>
      </c>
    </row>
    <row r="11699" spans="6:7">
      <c r="F11699" s="6">
        <f>IF($M11699="PADD I","PADD 1",IF($M11699="PADD II","PADD 2",IF($M11699="PADD III","PADD 3",IF($M11699="PADD IV","PADD 4",IF($M11699="PADD V","PADD 5","")))))</f>
        <v/>
      </c>
      <c r="G11699" s="6">
        <f>IF(AND($H11699="ATMOS DISTILLATION",ISNUMBER(SEARCH("VPS",$I11699))=FALSE,LEFT($I11699,6)&lt;&gt;"VACUUM"),"CDU",IF($H11699="FLUID CAT CRACKING","FCC",IF(OR($H11699="HYDROCRACKING",$H11699="RESID_HYDROCRACKING"),"Hydrocracker",IF($H11699="REFORMING","Reformer",""))))</f>
        <v/>
      </c>
    </row>
    <row r="11700" spans="6:7">
      <c r="F11700" s="6">
        <f>IF($M11700="PADD I","PADD 1",IF($M11700="PADD II","PADD 2",IF($M11700="PADD III","PADD 3",IF($M11700="PADD IV","PADD 4",IF($M11700="PADD V","PADD 5","")))))</f>
        <v/>
      </c>
      <c r="G11700" s="6">
        <f>IF(AND($H11700="ATMOS DISTILLATION",ISNUMBER(SEARCH("VPS",$I11700))=FALSE,LEFT($I11700,6)&lt;&gt;"VACUUM"),"CDU",IF($H11700="FLUID CAT CRACKING","FCC",IF(OR($H11700="HYDROCRACKING",$H11700="RESID_HYDROCRACKING"),"Hydrocracker",IF($H11700="REFORMING","Reformer",""))))</f>
        <v/>
      </c>
    </row>
    <row r="11701" spans="6:7">
      <c r="F11701" s="6">
        <f>IF($M11701="PADD I","PADD 1",IF($M11701="PADD II","PADD 2",IF($M11701="PADD III","PADD 3",IF($M11701="PADD IV","PADD 4",IF($M11701="PADD V","PADD 5","")))))</f>
        <v/>
      </c>
      <c r="G11701" s="6">
        <f>IF(AND($H11701="ATMOS DISTILLATION",ISNUMBER(SEARCH("VPS",$I11701))=FALSE,LEFT($I11701,6)&lt;&gt;"VACUUM"),"CDU",IF($H11701="FLUID CAT CRACKING","FCC",IF(OR($H11701="HYDROCRACKING",$H11701="RESID_HYDROCRACKING"),"Hydrocracker",IF($H11701="REFORMING","Reformer",""))))</f>
        <v/>
      </c>
    </row>
    <row r="11702" spans="6:7">
      <c r="F11702" s="6">
        <f>IF($M11702="PADD I","PADD 1",IF($M11702="PADD II","PADD 2",IF($M11702="PADD III","PADD 3",IF($M11702="PADD IV","PADD 4",IF($M11702="PADD V","PADD 5","")))))</f>
        <v/>
      </c>
      <c r="G11702" s="6">
        <f>IF(AND($H11702="ATMOS DISTILLATION",ISNUMBER(SEARCH("VPS",$I11702))=FALSE,LEFT($I11702,6)&lt;&gt;"VACUUM"),"CDU",IF($H11702="FLUID CAT CRACKING","FCC",IF(OR($H11702="HYDROCRACKING",$H11702="RESID_HYDROCRACKING"),"Hydrocracker",IF($H11702="REFORMING","Reformer",""))))</f>
        <v/>
      </c>
    </row>
    <row r="11703" spans="6:7">
      <c r="F11703" s="6">
        <f>IF($M11703="PADD I","PADD 1",IF($M11703="PADD II","PADD 2",IF($M11703="PADD III","PADD 3",IF($M11703="PADD IV","PADD 4",IF($M11703="PADD V","PADD 5","")))))</f>
        <v/>
      </c>
      <c r="G11703" s="6">
        <f>IF(AND($H11703="ATMOS DISTILLATION",ISNUMBER(SEARCH("VPS",$I11703))=FALSE,LEFT($I11703,6)&lt;&gt;"VACUUM"),"CDU",IF($H11703="FLUID CAT CRACKING","FCC",IF(OR($H11703="HYDROCRACKING",$H11703="RESID_HYDROCRACKING"),"Hydrocracker",IF($H11703="REFORMING","Reformer",""))))</f>
        <v/>
      </c>
    </row>
    <row r="11704" spans="6:7">
      <c r="F11704" s="6">
        <f>IF($M11704="PADD I","PADD 1",IF($M11704="PADD II","PADD 2",IF($M11704="PADD III","PADD 3",IF($M11704="PADD IV","PADD 4",IF($M11704="PADD V","PADD 5","")))))</f>
        <v/>
      </c>
      <c r="G11704" s="6">
        <f>IF(AND($H11704="ATMOS DISTILLATION",ISNUMBER(SEARCH("VPS",$I11704))=FALSE,LEFT($I11704,6)&lt;&gt;"VACUUM"),"CDU",IF($H11704="FLUID CAT CRACKING","FCC",IF(OR($H11704="HYDROCRACKING",$H11704="RESID_HYDROCRACKING"),"Hydrocracker",IF($H11704="REFORMING","Reformer",""))))</f>
        <v/>
      </c>
    </row>
    <row r="11705" spans="6:7">
      <c r="F11705" s="6">
        <f>IF($M11705="PADD I","PADD 1",IF($M11705="PADD II","PADD 2",IF($M11705="PADD III","PADD 3",IF($M11705="PADD IV","PADD 4",IF($M11705="PADD V","PADD 5","")))))</f>
        <v/>
      </c>
      <c r="G11705" s="6">
        <f>IF(AND($H11705="ATMOS DISTILLATION",ISNUMBER(SEARCH("VPS",$I11705))=FALSE,LEFT($I11705,6)&lt;&gt;"VACUUM"),"CDU",IF($H11705="FLUID CAT CRACKING","FCC",IF(OR($H11705="HYDROCRACKING",$H11705="RESID_HYDROCRACKING"),"Hydrocracker",IF($H11705="REFORMING","Reformer",""))))</f>
        <v/>
      </c>
    </row>
    <row r="11706" spans="6:7">
      <c r="F11706" s="6">
        <f>IF($M11706="PADD I","PADD 1",IF($M11706="PADD II","PADD 2",IF($M11706="PADD III","PADD 3",IF($M11706="PADD IV","PADD 4",IF($M11706="PADD V","PADD 5","")))))</f>
        <v/>
      </c>
      <c r="G11706" s="6">
        <f>IF(AND($H11706="ATMOS DISTILLATION",ISNUMBER(SEARCH("VPS",$I11706))=FALSE,LEFT($I11706,6)&lt;&gt;"VACUUM"),"CDU",IF($H11706="FLUID CAT CRACKING","FCC",IF(OR($H11706="HYDROCRACKING",$H11706="RESID_HYDROCRACKING"),"Hydrocracker",IF($H11706="REFORMING","Reformer",""))))</f>
        <v/>
      </c>
    </row>
    <row r="11707" spans="6:7">
      <c r="F11707" s="6">
        <f>IF($M11707="PADD I","PADD 1",IF($M11707="PADD II","PADD 2",IF($M11707="PADD III","PADD 3",IF($M11707="PADD IV","PADD 4",IF($M11707="PADD V","PADD 5","")))))</f>
        <v/>
      </c>
      <c r="G11707" s="6">
        <f>IF(AND($H11707="ATMOS DISTILLATION",ISNUMBER(SEARCH("VPS",$I11707))=FALSE,LEFT($I11707,6)&lt;&gt;"VACUUM"),"CDU",IF($H11707="FLUID CAT CRACKING","FCC",IF(OR($H11707="HYDROCRACKING",$H11707="RESID_HYDROCRACKING"),"Hydrocracker",IF($H11707="REFORMING","Reformer",""))))</f>
        <v/>
      </c>
    </row>
    <row r="11708" spans="6:7">
      <c r="F11708" s="6">
        <f>IF($M11708="PADD I","PADD 1",IF($M11708="PADD II","PADD 2",IF($M11708="PADD III","PADD 3",IF($M11708="PADD IV","PADD 4",IF($M11708="PADD V","PADD 5","")))))</f>
        <v/>
      </c>
      <c r="G11708" s="6">
        <f>IF(AND($H11708="ATMOS DISTILLATION",ISNUMBER(SEARCH("VPS",$I11708))=FALSE,LEFT($I11708,6)&lt;&gt;"VACUUM"),"CDU",IF($H11708="FLUID CAT CRACKING","FCC",IF(OR($H11708="HYDROCRACKING",$H11708="RESID_HYDROCRACKING"),"Hydrocracker",IF($H11708="REFORMING","Reformer",""))))</f>
        <v/>
      </c>
    </row>
    <row r="11709" spans="6:7">
      <c r="F11709" s="6">
        <f>IF($M11709="PADD I","PADD 1",IF($M11709="PADD II","PADD 2",IF($M11709="PADD III","PADD 3",IF($M11709="PADD IV","PADD 4",IF($M11709="PADD V","PADD 5","")))))</f>
        <v/>
      </c>
      <c r="G11709" s="6">
        <f>IF(AND($H11709="ATMOS DISTILLATION",ISNUMBER(SEARCH("VPS",$I11709))=FALSE,LEFT($I11709,6)&lt;&gt;"VACUUM"),"CDU",IF($H11709="FLUID CAT CRACKING","FCC",IF(OR($H11709="HYDROCRACKING",$H11709="RESID_HYDROCRACKING"),"Hydrocracker",IF($H11709="REFORMING","Reformer",""))))</f>
        <v/>
      </c>
    </row>
    <row r="11710" spans="6:7">
      <c r="F11710" s="6">
        <f>IF($M11710="PADD I","PADD 1",IF($M11710="PADD II","PADD 2",IF($M11710="PADD III","PADD 3",IF($M11710="PADD IV","PADD 4",IF($M11710="PADD V","PADD 5","")))))</f>
        <v/>
      </c>
      <c r="G11710" s="6">
        <f>IF(AND($H11710="ATMOS DISTILLATION",ISNUMBER(SEARCH("VPS",$I11710))=FALSE,LEFT($I11710,6)&lt;&gt;"VACUUM"),"CDU",IF($H11710="FLUID CAT CRACKING","FCC",IF(OR($H11710="HYDROCRACKING",$H11710="RESID_HYDROCRACKING"),"Hydrocracker",IF($H11710="REFORMING","Reformer",""))))</f>
        <v/>
      </c>
    </row>
    <row r="11711" spans="6:7">
      <c r="F11711" s="6">
        <f>IF($M11711="PADD I","PADD 1",IF($M11711="PADD II","PADD 2",IF($M11711="PADD III","PADD 3",IF($M11711="PADD IV","PADD 4",IF($M11711="PADD V","PADD 5","")))))</f>
        <v/>
      </c>
      <c r="G11711" s="6">
        <f>IF(AND($H11711="ATMOS DISTILLATION",ISNUMBER(SEARCH("VPS",$I11711))=FALSE,LEFT($I11711,6)&lt;&gt;"VACUUM"),"CDU",IF($H11711="FLUID CAT CRACKING","FCC",IF(OR($H11711="HYDROCRACKING",$H11711="RESID_HYDROCRACKING"),"Hydrocracker",IF($H11711="REFORMING","Reformer",""))))</f>
        <v/>
      </c>
    </row>
    <row r="11712" spans="6:7">
      <c r="F11712" s="6">
        <f>IF($M11712="PADD I","PADD 1",IF($M11712="PADD II","PADD 2",IF($M11712="PADD III","PADD 3",IF($M11712="PADD IV","PADD 4",IF($M11712="PADD V","PADD 5","")))))</f>
        <v/>
      </c>
      <c r="G11712" s="6">
        <f>IF(AND($H11712="ATMOS DISTILLATION",ISNUMBER(SEARCH("VPS",$I11712))=FALSE,LEFT($I11712,6)&lt;&gt;"VACUUM"),"CDU",IF($H11712="FLUID CAT CRACKING","FCC",IF(OR($H11712="HYDROCRACKING",$H11712="RESID_HYDROCRACKING"),"Hydrocracker",IF($H11712="REFORMING","Reformer",""))))</f>
        <v/>
      </c>
    </row>
    <row r="11713" spans="6:7">
      <c r="F11713" s="6">
        <f>IF($M11713="PADD I","PADD 1",IF($M11713="PADD II","PADD 2",IF($M11713="PADD III","PADD 3",IF($M11713="PADD IV","PADD 4",IF($M11713="PADD V","PADD 5","")))))</f>
        <v/>
      </c>
      <c r="G11713" s="6">
        <f>IF(AND($H11713="ATMOS DISTILLATION",ISNUMBER(SEARCH("VPS",$I11713))=FALSE,LEFT($I11713,6)&lt;&gt;"VACUUM"),"CDU",IF($H11713="FLUID CAT CRACKING","FCC",IF(OR($H11713="HYDROCRACKING",$H11713="RESID_HYDROCRACKING"),"Hydrocracker",IF($H11713="REFORMING","Reformer",""))))</f>
        <v/>
      </c>
    </row>
    <row r="11714" spans="6:7">
      <c r="F11714" s="6">
        <f>IF($M11714="PADD I","PADD 1",IF($M11714="PADD II","PADD 2",IF($M11714="PADD III","PADD 3",IF($M11714="PADD IV","PADD 4",IF($M11714="PADD V","PADD 5","")))))</f>
        <v/>
      </c>
      <c r="G11714" s="6">
        <f>IF(AND($H11714="ATMOS DISTILLATION",ISNUMBER(SEARCH("VPS",$I11714))=FALSE,LEFT($I11714,6)&lt;&gt;"VACUUM"),"CDU",IF($H11714="FLUID CAT CRACKING","FCC",IF(OR($H11714="HYDROCRACKING",$H11714="RESID_HYDROCRACKING"),"Hydrocracker",IF($H11714="REFORMING","Reformer",""))))</f>
        <v/>
      </c>
    </row>
    <row r="11715" spans="6:7">
      <c r="F11715" s="6">
        <f>IF($M11715="PADD I","PADD 1",IF($M11715="PADD II","PADD 2",IF($M11715="PADD III","PADD 3",IF($M11715="PADD IV","PADD 4",IF($M11715="PADD V","PADD 5","")))))</f>
        <v/>
      </c>
      <c r="G11715" s="6">
        <f>IF(AND($H11715="ATMOS DISTILLATION",ISNUMBER(SEARCH("VPS",$I11715))=FALSE,LEFT($I11715,6)&lt;&gt;"VACUUM"),"CDU",IF($H11715="FLUID CAT CRACKING","FCC",IF(OR($H11715="HYDROCRACKING",$H11715="RESID_HYDROCRACKING"),"Hydrocracker",IF($H11715="REFORMING","Reformer",""))))</f>
        <v/>
      </c>
    </row>
    <row r="11716" spans="6:7">
      <c r="F11716" s="6">
        <f>IF($M11716="PADD I","PADD 1",IF($M11716="PADD II","PADD 2",IF($M11716="PADD III","PADD 3",IF($M11716="PADD IV","PADD 4",IF($M11716="PADD V","PADD 5","")))))</f>
        <v/>
      </c>
      <c r="G11716" s="6">
        <f>IF(AND($H11716="ATMOS DISTILLATION",ISNUMBER(SEARCH("VPS",$I11716))=FALSE,LEFT($I11716,6)&lt;&gt;"VACUUM"),"CDU",IF($H11716="FLUID CAT CRACKING","FCC",IF(OR($H11716="HYDROCRACKING",$H11716="RESID_HYDROCRACKING"),"Hydrocracker",IF($H11716="REFORMING","Reformer",""))))</f>
        <v/>
      </c>
    </row>
    <row r="11717" spans="6:7">
      <c r="F11717" s="6">
        <f>IF($M11717="PADD I","PADD 1",IF($M11717="PADD II","PADD 2",IF($M11717="PADD III","PADD 3",IF($M11717="PADD IV","PADD 4",IF($M11717="PADD V","PADD 5","")))))</f>
        <v/>
      </c>
      <c r="G11717" s="6">
        <f>IF(AND($H11717="ATMOS DISTILLATION",ISNUMBER(SEARCH("VPS",$I11717))=FALSE,LEFT($I11717,6)&lt;&gt;"VACUUM"),"CDU",IF($H11717="FLUID CAT CRACKING","FCC",IF(OR($H11717="HYDROCRACKING",$H11717="RESID_HYDROCRACKING"),"Hydrocracker",IF($H11717="REFORMING","Reformer",""))))</f>
        <v/>
      </c>
    </row>
    <row r="11718" spans="6:7">
      <c r="F11718" s="6">
        <f>IF($M11718="PADD I","PADD 1",IF($M11718="PADD II","PADD 2",IF($M11718="PADD III","PADD 3",IF($M11718="PADD IV","PADD 4",IF($M11718="PADD V","PADD 5","")))))</f>
        <v/>
      </c>
      <c r="G11718" s="6">
        <f>IF(AND($H11718="ATMOS DISTILLATION",ISNUMBER(SEARCH("VPS",$I11718))=FALSE,LEFT($I11718,6)&lt;&gt;"VACUUM"),"CDU",IF($H11718="FLUID CAT CRACKING","FCC",IF(OR($H11718="HYDROCRACKING",$H11718="RESID_HYDROCRACKING"),"Hydrocracker",IF($H11718="REFORMING","Reformer",""))))</f>
        <v/>
      </c>
    </row>
    <row r="11719" spans="6:7">
      <c r="F11719" s="6">
        <f>IF($M11719="PADD I","PADD 1",IF($M11719="PADD II","PADD 2",IF($M11719="PADD III","PADD 3",IF($M11719="PADD IV","PADD 4",IF($M11719="PADD V","PADD 5","")))))</f>
        <v/>
      </c>
      <c r="G11719" s="6">
        <f>IF(AND($H11719="ATMOS DISTILLATION",ISNUMBER(SEARCH("VPS",$I11719))=FALSE,LEFT($I11719,6)&lt;&gt;"VACUUM"),"CDU",IF($H11719="FLUID CAT CRACKING","FCC",IF(OR($H11719="HYDROCRACKING",$H11719="RESID_HYDROCRACKING"),"Hydrocracker",IF($H11719="REFORMING","Reformer",""))))</f>
        <v/>
      </c>
    </row>
    <row r="11720" spans="6:7">
      <c r="F11720" s="6">
        <f>IF($M11720="PADD I","PADD 1",IF($M11720="PADD II","PADD 2",IF($M11720="PADD III","PADD 3",IF($M11720="PADD IV","PADD 4",IF($M11720="PADD V","PADD 5","")))))</f>
        <v/>
      </c>
      <c r="G11720" s="6">
        <f>IF(AND($H11720="ATMOS DISTILLATION",ISNUMBER(SEARCH("VPS",$I11720))=FALSE,LEFT($I11720,6)&lt;&gt;"VACUUM"),"CDU",IF($H11720="FLUID CAT CRACKING","FCC",IF(OR($H11720="HYDROCRACKING",$H11720="RESID_HYDROCRACKING"),"Hydrocracker",IF($H11720="REFORMING","Reformer",""))))</f>
        <v/>
      </c>
    </row>
    <row r="11721" spans="6:7">
      <c r="F11721" s="6">
        <f>IF($M11721="PADD I","PADD 1",IF($M11721="PADD II","PADD 2",IF($M11721="PADD III","PADD 3",IF($M11721="PADD IV","PADD 4",IF($M11721="PADD V","PADD 5","")))))</f>
        <v/>
      </c>
      <c r="G11721" s="6">
        <f>IF(AND($H11721="ATMOS DISTILLATION",ISNUMBER(SEARCH("VPS",$I11721))=FALSE,LEFT($I11721,6)&lt;&gt;"VACUUM"),"CDU",IF($H11721="FLUID CAT CRACKING","FCC",IF(OR($H11721="HYDROCRACKING",$H11721="RESID_HYDROCRACKING"),"Hydrocracker",IF($H11721="REFORMING","Reformer",""))))</f>
        <v/>
      </c>
    </row>
    <row r="11722" spans="6:7">
      <c r="F11722" s="6">
        <f>IF($M11722="PADD I","PADD 1",IF($M11722="PADD II","PADD 2",IF($M11722="PADD III","PADD 3",IF($M11722="PADD IV","PADD 4",IF($M11722="PADD V","PADD 5","")))))</f>
        <v/>
      </c>
      <c r="G11722" s="6">
        <f>IF(AND($H11722="ATMOS DISTILLATION",ISNUMBER(SEARCH("VPS",$I11722))=FALSE,LEFT($I11722,6)&lt;&gt;"VACUUM"),"CDU",IF($H11722="FLUID CAT CRACKING","FCC",IF(OR($H11722="HYDROCRACKING",$H11722="RESID_HYDROCRACKING"),"Hydrocracker",IF($H11722="REFORMING","Reformer",""))))</f>
        <v/>
      </c>
    </row>
    <row r="11723" spans="6:7">
      <c r="F11723" s="6">
        <f>IF($M11723="PADD I","PADD 1",IF($M11723="PADD II","PADD 2",IF($M11723="PADD III","PADD 3",IF($M11723="PADD IV","PADD 4",IF($M11723="PADD V","PADD 5","")))))</f>
        <v/>
      </c>
      <c r="G11723" s="6">
        <f>IF(AND($H11723="ATMOS DISTILLATION",ISNUMBER(SEARCH("VPS",$I11723))=FALSE,LEFT($I11723,6)&lt;&gt;"VACUUM"),"CDU",IF($H11723="FLUID CAT CRACKING","FCC",IF(OR($H11723="HYDROCRACKING",$H11723="RESID_HYDROCRACKING"),"Hydrocracker",IF($H11723="REFORMING","Reformer",""))))</f>
        <v/>
      </c>
    </row>
    <row r="11724" spans="6:7">
      <c r="F11724" s="6">
        <f>IF($M11724="PADD I","PADD 1",IF($M11724="PADD II","PADD 2",IF($M11724="PADD III","PADD 3",IF($M11724="PADD IV","PADD 4",IF($M11724="PADD V","PADD 5","")))))</f>
        <v/>
      </c>
      <c r="G11724" s="6">
        <f>IF(AND($H11724="ATMOS DISTILLATION",ISNUMBER(SEARCH("VPS",$I11724))=FALSE,LEFT($I11724,6)&lt;&gt;"VACUUM"),"CDU",IF($H11724="FLUID CAT CRACKING","FCC",IF(OR($H11724="HYDROCRACKING",$H11724="RESID_HYDROCRACKING"),"Hydrocracker",IF($H11724="REFORMING","Reformer",""))))</f>
        <v/>
      </c>
    </row>
    <row r="11725" spans="6:7">
      <c r="F11725" s="6">
        <f>IF($M11725="PADD I","PADD 1",IF($M11725="PADD II","PADD 2",IF($M11725="PADD III","PADD 3",IF($M11725="PADD IV","PADD 4",IF($M11725="PADD V","PADD 5","")))))</f>
        <v/>
      </c>
      <c r="G11725" s="6">
        <f>IF(AND($H11725="ATMOS DISTILLATION",ISNUMBER(SEARCH("VPS",$I11725))=FALSE,LEFT($I11725,6)&lt;&gt;"VACUUM"),"CDU",IF($H11725="FLUID CAT CRACKING","FCC",IF(OR($H11725="HYDROCRACKING",$H11725="RESID_HYDROCRACKING"),"Hydrocracker",IF($H11725="REFORMING","Reformer",""))))</f>
        <v/>
      </c>
    </row>
    <row r="11726" spans="6:7">
      <c r="F11726" s="6">
        <f>IF($M11726="PADD I","PADD 1",IF($M11726="PADD II","PADD 2",IF($M11726="PADD III","PADD 3",IF($M11726="PADD IV","PADD 4",IF($M11726="PADD V","PADD 5","")))))</f>
        <v/>
      </c>
      <c r="G11726" s="6">
        <f>IF(AND($H11726="ATMOS DISTILLATION",ISNUMBER(SEARCH("VPS",$I11726))=FALSE,LEFT($I11726,6)&lt;&gt;"VACUUM"),"CDU",IF($H11726="FLUID CAT CRACKING","FCC",IF(OR($H11726="HYDROCRACKING",$H11726="RESID_HYDROCRACKING"),"Hydrocracker",IF($H11726="REFORMING","Reformer",""))))</f>
        <v/>
      </c>
    </row>
    <row r="11727" spans="6:7">
      <c r="F11727" s="6">
        <f>IF($M11727="PADD I","PADD 1",IF($M11727="PADD II","PADD 2",IF($M11727="PADD III","PADD 3",IF($M11727="PADD IV","PADD 4",IF($M11727="PADD V","PADD 5","")))))</f>
        <v/>
      </c>
      <c r="G11727" s="6">
        <f>IF(AND($H11727="ATMOS DISTILLATION",ISNUMBER(SEARCH("VPS",$I11727))=FALSE,LEFT($I11727,6)&lt;&gt;"VACUUM"),"CDU",IF($H11727="FLUID CAT CRACKING","FCC",IF(OR($H11727="HYDROCRACKING",$H11727="RESID_HYDROCRACKING"),"Hydrocracker",IF($H11727="REFORMING","Reformer",""))))</f>
        <v/>
      </c>
    </row>
    <row r="11728" spans="6:7">
      <c r="F11728" s="6">
        <f>IF($M11728="PADD I","PADD 1",IF($M11728="PADD II","PADD 2",IF($M11728="PADD III","PADD 3",IF($M11728="PADD IV","PADD 4",IF($M11728="PADD V","PADD 5","")))))</f>
        <v/>
      </c>
      <c r="G11728" s="6">
        <f>IF(AND($H11728="ATMOS DISTILLATION",ISNUMBER(SEARCH("VPS",$I11728))=FALSE,LEFT($I11728,6)&lt;&gt;"VACUUM"),"CDU",IF($H11728="FLUID CAT CRACKING","FCC",IF(OR($H11728="HYDROCRACKING",$H11728="RESID_HYDROCRACKING"),"Hydrocracker",IF($H11728="REFORMING","Reformer",""))))</f>
        <v/>
      </c>
    </row>
    <row r="11729" spans="6:7">
      <c r="F11729" s="6">
        <f>IF($M11729="PADD I","PADD 1",IF($M11729="PADD II","PADD 2",IF($M11729="PADD III","PADD 3",IF($M11729="PADD IV","PADD 4",IF($M11729="PADD V","PADD 5","")))))</f>
        <v/>
      </c>
      <c r="G11729" s="6">
        <f>IF(AND($H11729="ATMOS DISTILLATION",ISNUMBER(SEARCH("VPS",$I11729))=FALSE,LEFT($I11729,6)&lt;&gt;"VACUUM"),"CDU",IF($H11729="FLUID CAT CRACKING","FCC",IF(OR($H11729="HYDROCRACKING",$H11729="RESID_HYDROCRACKING"),"Hydrocracker",IF($H11729="REFORMING","Reformer",""))))</f>
        <v/>
      </c>
    </row>
    <row r="11730" spans="6:7">
      <c r="F11730" s="6">
        <f>IF($M11730="PADD I","PADD 1",IF($M11730="PADD II","PADD 2",IF($M11730="PADD III","PADD 3",IF($M11730="PADD IV","PADD 4",IF($M11730="PADD V","PADD 5","")))))</f>
        <v/>
      </c>
      <c r="G11730" s="6">
        <f>IF(AND($H11730="ATMOS DISTILLATION",ISNUMBER(SEARCH("VPS",$I11730))=FALSE,LEFT($I11730,6)&lt;&gt;"VACUUM"),"CDU",IF($H11730="FLUID CAT CRACKING","FCC",IF(OR($H11730="HYDROCRACKING",$H11730="RESID_HYDROCRACKING"),"Hydrocracker",IF($H11730="REFORMING","Reformer",""))))</f>
        <v/>
      </c>
    </row>
    <row r="11731" spans="6:7">
      <c r="F11731" s="6">
        <f>IF($M11731="PADD I","PADD 1",IF($M11731="PADD II","PADD 2",IF($M11731="PADD III","PADD 3",IF($M11731="PADD IV","PADD 4",IF($M11731="PADD V","PADD 5","")))))</f>
        <v/>
      </c>
      <c r="G11731" s="6">
        <f>IF(AND($H11731="ATMOS DISTILLATION",ISNUMBER(SEARCH("VPS",$I11731))=FALSE,LEFT($I11731,6)&lt;&gt;"VACUUM"),"CDU",IF($H11731="FLUID CAT CRACKING","FCC",IF(OR($H11731="HYDROCRACKING",$H11731="RESID_HYDROCRACKING"),"Hydrocracker",IF($H11731="REFORMING","Reformer",""))))</f>
        <v/>
      </c>
    </row>
    <row r="11732" spans="6:7">
      <c r="F11732" s="6">
        <f>IF($M11732="PADD I","PADD 1",IF($M11732="PADD II","PADD 2",IF($M11732="PADD III","PADD 3",IF($M11732="PADD IV","PADD 4",IF($M11732="PADD V","PADD 5","")))))</f>
        <v/>
      </c>
      <c r="G11732" s="6">
        <f>IF(AND($H11732="ATMOS DISTILLATION",ISNUMBER(SEARCH("VPS",$I11732))=FALSE,LEFT($I11732,6)&lt;&gt;"VACUUM"),"CDU",IF($H11732="FLUID CAT CRACKING","FCC",IF(OR($H11732="HYDROCRACKING",$H11732="RESID_HYDROCRACKING"),"Hydrocracker",IF($H11732="REFORMING","Reformer",""))))</f>
        <v/>
      </c>
    </row>
    <row r="11733" spans="6:7">
      <c r="F11733" s="6">
        <f>IF($M11733="PADD I","PADD 1",IF($M11733="PADD II","PADD 2",IF($M11733="PADD III","PADD 3",IF($M11733="PADD IV","PADD 4",IF($M11733="PADD V","PADD 5","")))))</f>
        <v/>
      </c>
      <c r="G11733" s="6">
        <f>IF(AND($H11733="ATMOS DISTILLATION",ISNUMBER(SEARCH("VPS",$I11733))=FALSE,LEFT($I11733,6)&lt;&gt;"VACUUM"),"CDU",IF($H11733="FLUID CAT CRACKING","FCC",IF(OR($H11733="HYDROCRACKING",$H11733="RESID_HYDROCRACKING"),"Hydrocracker",IF($H11733="REFORMING","Reformer",""))))</f>
        <v/>
      </c>
    </row>
    <row r="11734" spans="6:7">
      <c r="F11734" s="6">
        <f>IF($M11734="PADD I","PADD 1",IF($M11734="PADD II","PADD 2",IF($M11734="PADD III","PADD 3",IF($M11734="PADD IV","PADD 4",IF($M11734="PADD V","PADD 5","")))))</f>
        <v/>
      </c>
      <c r="G11734" s="6">
        <f>IF(AND($H11734="ATMOS DISTILLATION",ISNUMBER(SEARCH("VPS",$I11734))=FALSE,LEFT($I11734,6)&lt;&gt;"VACUUM"),"CDU",IF($H11734="FLUID CAT CRACKING","FCC",IF(OR($H11734="HYDROCRACKING",$H11734="RESID_HYDROCRACKING"),"Hydrocracker",IF($H11734="REFORMING","Reformer",""))))</f>
        <v/>
      </c>
    </row>
    <row r="11735" spans="6:7">
      <c r="F11735" s="6">
        <f>IF($M11735="PADD I","PADD 1",IF($M11735="PADD II","PADD 2",IF($M11735="PADD III","PADD 3",IF($M11735="PADD IV","PADD 4",IF($M11735="PADD V","PADD 5","")))))</f>
        <v/>
      </c>
      <c r="G11735" s="6">
        <f>IF(AND($H11735="ATMOS DISTILLATION",ISNUMBER(SEARCH("VPS",$I11735))=FALSE,LEFT($I11735,6)&lt;&gt;"VACUUM"),"CDU",IF($H11735="FLUID CAT CRACKING","FCC",IF(OR($H11735="HYDROCRACKING",$H11735="RESID_HYDROCRACKING"),"Hydrocracker",IF($H11735="REFORMING","Reformer",""))))</f>
        <v/>
      </c>
    </row>
    <row r="11736" spans="6:7">
      <c r="F11736" s="6">
        <f>IF($M11736="PADD I","PADD 1",IF($M11736="PADD II","PADD 2",IF($M11736="PADD III","PADD 3",IF($M11736="PADD IV","PADD 4",IF($M11736="PADD V","PADD 5","")))))</f>
        <v/>
      </c>
      <c r="G11736" s="6">
        <f>IF(AND($H11736="ATMOS DISTILLATION",ISNUMBER(SEARCH("VPS",$I11736))=FALSE,LEFT($I11736,6)&lt;&gt;"VACUUM"),"CDU",IF($H11736="FLUID CAT CRACKING","FCC",IF(OR($H11736="HYDROCRACKING",$H11736="RESID_HYDROCRACKING"),"Hydrocracker",IF($H11736="REFORMING","Reformer",""))))</f>
        <v/>
      </c>
    </row>
    <row r="11737" spans="6:7">
      <c r="F11737" s="6">
        <f>IF($M11737="PADD I","PADD 1",IF($M11737="PADD II","PADD 2",IF($M11737="PADD III","PADD 3",IF($M11737="PADD IV","PADD 4",IF($M11737="PADD V","PADD 5","")))))</f>
        <v/>
      </c>
      <c r="G11737" s="6">
        <f>IF(AND($H11737="ATMOS DISTILLATION",ISNUMBER(SEARCH("VPS",$I11737))=FALSE,LEFT($I11737,6)&lt;&gt;"VACUUM"),"CDU",IF($H11737="FLUID CAT CRACKING","FCC",IF(OR($H11737="HYDROCRACKING",$H11737="RESID_HYDROCRACKING"),"Hydrocracker",IF($H11737="REFORMING","Reformer",""))))</f>
        <v/>
      </c>
    </row>
    <row r="11738" spans="6:7">
      <c r="F11738" s="6">
        <f>IF($M11738="PADD I","PADD 1",IF($M11738="PADD II","PADD 2",IF($M11738="PADD III","PADD 3",IF($M11738="PADD IV","PADD 4",IF($M11738="PADD V","PADD 5","")))))</f>
        <v/>
      </c>
      <c r="G11738" s="6">
        <f>IF(AND($H11738="ATMOS DISTILLATION",ISNUMBER(SEARCH("VPS",$I11738))=FALSE,LEFT($I11738,6)&lt;&gt;"VACUUM"),"CDU",IF($H11738="FLUID CAT CRACKING","FCC",IF(OR($H11738="HYDROCRACKING",$H11738="RESID_HYDROCRACKING"),"Hydrocracker",IF($H11738="REFORMING","Reformer",""))))</f>
        <v/>
      </c>
    </row>
    <row r="11739" spans="6:7">
      <c r="F11739" s="6">
        <f>IF($M11739="PADD I","PADD 1",IF($M11739="PADD II","PADD 2",IF($M11739="PADD III","PADD 3",IF($M11739="PADD IV","PADD 4",IF($M11739="PADD V","PADD 5","")))))</f>
        <v/>
      </c>
      <c r="G11739" s="6">
        <f>IF(AND($H11739="ATMOS DISTILLATION",ISNUMBER(SEARCH("VPS",$I11739))=FALSE,LEFT($I11739,6)&lt;&gt;"VACUUM"),"CDU",IF($H11739="FLUID CAT CRACKING","FCC",IF(OR($H11739="HYDROCRACKING",$H11739="RESID_HYDROCRACKING"),"Hydrocracker",IF($H11739="REFORMING","Reformer",""))))</f>
        <v/>
      </c>
    </row>
    <row r="11740" spans="6:7">
      <c r="F11740" s="6">
        <f>IF($M11740="PADD I","PADD 1",IF($M11740="PADD II","PADD 2",IF($M11740="PADD III","PADD 3",IF($M11740="PADD IV","PADD 4",IF($M11740="PADD V","PADD 5","")))))</f>
        <v/>
      </c>
      <c r="G11740" s="6">
        <f>IF(AND($H11740="ATMOS DISTILLATION",ISNUMBER(SEARCH("VPS",$I11740))=FALSE,LEFT($I11740,6)&lt;&gt;"VACUUM"),"CDU",IF($H11740="FLUID CAT CRACKING","FCC",IF(OR($H11740="HYDROCRACKING",$H11740="RESID_HYDROCRACKING"),"Hydrocracker",IF($H11740="REFORMING","Reformer",""))))</f>
        <v/>
      </c>
    </row>
    <row r="11741" spans="6:7">
      <c r="F11741" s="6">
        <f>IF($M11741="PADD I","PADD 1",IF($M11741="PADD II","PADD 2",IF($M11741="PADD III","PADD 3",IF($M11741="PADD IV","PADD 4",IF($M11741="PADD V","PADD 5","")))))</f>
        <v/>
      </c>
      <c r="G11741" s="6">
        <f>IF(AND($H11741="ATMOS DISTILLATION",ISNUMBER(SEARCH("VPS",$I11741))=FALSE,LEFT($I11741,6)&lt;&gt;"VACUUM"),"CDU",IF($H11741="FLUID CAT CRACKING","FCC",IF(OR($H11741="HYDROCRACKING",$H11741="RESID_HYDROCRACKING"),"Hydrocracker",IF($H11741="REFORMING","Reformer",""))))</f>
        <v/>
      </c>
    </row>
    <row r="11742" spans="6:7">
      <c r="F11742" s="6">
        <f>IF($M11742="PADD I","PADD 1",IF($M11742="PADD II","PADD 2",IF($M11742="PADD III","PADD 3",IF($M11742="PADD IV","PADD 4",IF($M11742="PADD V","PADD 5","")))))</f>
        <v/>
      </c>
      <c r="G11742" s="6">
        <f>IF(AND($H11742="ATMOS DISTILLATION",ISNUMBER(SEARCH("VPS",$I11742))=FALSE,LEFT($I11742,6)&lt;&gt;"VACUUM"),"CDU",IF($H11742="FLUID CAT CRACKING","FCC",IF(OR($H11742="HYDROCRACKING",$H11742="RESID_HYDROCRACKING"),"Hydrocracker",IF($H11742="REFORMING","Reformer",""))))</f>
        <v/>
      </c>
    </row>
    <row r="11743" spans="6:7">
      <c r="F11743" s="6">
        <f>IF($M11743="PADD I","PADD 1",IF($M11743="PADD II","PADD 2",IF($M11743="PADD III","PADD 3",IF($M11743="PADD IV","PADD 4",IF($M11743="PADD V","PADD 5","")))))</f>
        <v/>
      </c>
      <c r="G11743" s="6">
        <f>IF(AND($H11743="ATMOS DISTILLATION",ISNUMBER(SEARCH("VPS",$I11743))=FALSE,LEFT($I11743,6)&lt;&gt;"VACUUM"),"CDU",IF($H11743="FLUID CAT CRACKING","FCC",IF(OR($H11743="HYDROCRACKING",$H11743="RESID_HYDROCRACKING"),"Hydrocracker",IF($H11743="REFORMING","Reformer",""))))</f>
        <v/>
      </c>
    </row>
    <row r="11744" spans="6:7">
      <c r="F11744" s="6">
        <f>IF($M11744="PADD I","PADD 1",IF($M11744="PADD II","PADD 2",IF($M11744="PADD III","PADD 3",IF($M11744="PADD IV","PADD 4",IF($M11744="PADD V","PADD 5","")))))</f>
        <v/>
      </c>
      <c r="G11744" s="6">
        <f>IF(AND($H11744="ATMOS DISTILLATION",ISNUMBER(SEARCH("VPS",$I11744))=FALSE,LEFT($I11744,6)&lt;&gt;"VACUUM"),"CDU",IF($H11744="FLUID CAT CRACKING","FCC",IF(OR($H11744="HYDROCRACKING",$H11744="RESID_HYDROCRACKING"),"Hydrocracker",IF($H11744="REFORMING","Reformer",""))))</f>
        <v/>
      </c>
    </row>
    <row r="11745" spans="6:7">
      <c r="F11745" s="6">
        <f>IF($M11745="PADD I","PADD 1",IF($M11745="PADD II","PADD 2",IF($M11745="PADD III","PADD 3",IF($M11745="PADD IV","PADD 4",IF($M11745="PADD V","PADD 5","")))))</f>
        <v/>
      </c>
      <c r="G11745" s="6">
        <f>IF(AND($H11745="ATMOS DISTILLATION",ISNUMBER(SEARCH("VPS",$I11745))=FALSE,LEFT($I11745,6)&lt;&gt;"VACUUM"),"CDU",IF($H11745="FLUID CAT CRACKING","FCC",IF(OR($H11745="HYDROCRACKING",$H11745="RESID_HYDROCRACKING"),"Hydrocracker",IF($H11745="REFORMING","Reformer",""))))</f>
        <v/>
      </c>
    </row>
    <row r="11746" spans="6:7">
      <c r="F11746" s="6">
        <f>IF($M11746="PADD I","PADD 1",IF($M11746="PADD II","PADD 2",IF($M11746="PADD III","PADD 3",IF($M11746="PADD IV","PADD 4",IF($M11746="PADD V","PADD 5","")))))</f>
        <v/>
      </c>
      <c r="G11746" s="6">
        <f>IF(AND($H11746="ATMOS DISTILLATION",ISNUMBER(SEARCH("VPS",$I11746))=FALSE,LEFT($I11746,6)&lt;&gt;"VACUUM"),"CDU",IF($H11746="FLUID CAT CRACKING","FCC",IF(OR($H11746="HYDROCRACKING",$H11746="RESID_HYDROCRACKING"),"Hydrocracker",IF($H11746="REFORMING","Reformer",""))))</f>
        <v/>
      </c>
    </row>
    <row r="11747" spans="6:7">
      <c r="F11747" s="6">
        <f>IF($M11747="PADD I","PADD 1",IF($M11747="PADD II","PADD 2",IF($M11747="PADD III","PADD 3",IF($M11747="PADD IV","PADD 4",IF($M11747="PADD V","PADD 5","")))))</f>
        <v/>
      </c>
      <c r="G11747" s="6">
        <f>IF(AND($H11747="ATMOS DISTILLATION",ISNUMBER(SEARCH("VPS",$I11747))=FALSE,LEFT($I11747,6)&lt;&gt;"VACUUM"),"CDU",IF($H11747="FLUID CAT CRACKING","FCC",IF(OR($H11747="HYDROCRACKING",$H11747="RESID_HYDROCRACKING"),"Hydrocracker",IF($H11747="REFORMING","Reformer",""))))</f>
        <v/>
      </c>
    </row>
    <row r="11748" spans="6:7">
      <c r="F11748" s="6">
        <f>IF($M11748="PADD I","PADD 1",IF($M11748="PADD II","PADD 2",IF($M11748="PADD III","PADD 3",IF($M11748="PADD IV","PADD 4",IF($M11748="PADD V","PADD 5","")))))</f>
        <v/>
      </c>
      <c r="G11748" s="6">
        <f>IF(AND($H11748="ATMOS DISTILLATION",ISNUMBER(SEARCH("VPS",$I11748))=FALSE,LEFT($I11748,6)&lt;&gt;"VACUUM"),"CDU",IF($H11748="FLUID CAT CRACKING","FCC",IF(OR($H11748="HYDROCRACKING",$H11748="RESID_HYDROCRACKING"),"Hydrocracker",IF($H11748="REFORMING","Reformer",""))))</f>
        <v/>
      </c>
    </row>
    <row r="11749" spans="6:7">
      <c r="F11749" s="6">
        <f>IF($M11749="PADD I","PADD 1",IF($M11749="PADD II","PADD 2",IF($M11749="PADD III","PADD 3",IF($M11749="PADD IV","PADD 4",IF($M11749="PADD V","PADD 5","")))))</f>
        <v/>
      </c>
      <c r="G11749" s="6">
        <f>IF(AND($H11749="ATMOS DISTILLATION",ISNUMBER(SEARCH("VPS",$I11749))=FALSE,LEFT($I11749,6)&lt;&gt;"VACUUM"),"CDU",IF($H11749="FLUID CAT CRACKING","FCC",IF(OR($H11749="HYDROCRACKING",$H11749="RESID_HYDROCRACKING"),"Hydrocracker",IF($H11749="REFORMING","Reformer",""))))</f>
        <v/>
      </c>
    </row>
    <row r="11750" spans="6:7">
      <c r="F11750" s="6">
        <f>IF($M11750="PADD I","PADD 1",IF($M11750="PADD II","PADD 2",IF($M11750="PADD III","PADD 3",IF($M11750="PADD IV","PADD 4",IF($M11750="PADD V","PADD 5","")))))</f>
        <v/>
      </c>
      <c r="G11750" s="6">
        <f>IF(AND($H11750="ATMOS DISTILLATION",ISNUMBER(SEARCH("VPS",$I11750))=FALSE,LEFT($I11750,6)&lt;&gt;"VACUUM"),"CDU",IF($H11750="FLUID CAT CRACKING","FCC",IF(OR($H11750="HYDROCRACKING",$H11750="RESID_HYDROCRACKING"),"Hydrocracker",IF($H11750="REFORMING","Reformer",""))))</f>
        <v/>
      </c>
    </row>
    <row r="11751" spans="6:7">
      <c r="F11751" s="6">
        <f>IF($M11751="PADD I","PADD 1",IF($M11751="PADD II","PADD 2",IF($M11751="PADD III","PADD 3",IF($M11751="PADD IV","PADD 4",IF($M11751="PADD V","PADD 5","")))))</f>
        <v/>
      </c>
      <c r="G11751" s="6">
        <f>IF(AND($H11751="ATMOS DISTILLATION",ISNUMBER(SEARCH("VPS",$I11751))=FALSE,LEFT($I11751,6)&lt;&gt;"VACUUM"),"CDU",IF($H11751="FLUID CAT CRACKING","FCC",IF(OR($H11751="HYDROCRACKING",$H11751="RESID_HYDROCRACKING"),"Hydrocracker",IF($H11751="REFORMING","Reformer",""))))</f>
        <v/>
      </c>
    </row>
    <row r="11752" spans="6:7">
      <c r="F11752" s="6">
        <f>IF($M11752="PADD I","PADD 1",IF($M11752="PADD II","PADD 2",IF($M11752="PADD III","PADD 3",IF($M11752="PADD IV","PADD 4",IF($M11752="PADD V","PADD 5","")))))</f>
        <v/>
      </c>
      <c r="G11752" s="6">
        <f>IF(AND($H11752="ATMOS DISTILLATION",ISNUMBER(SEARCH("VPS",$I11752))=FALSE,LEFT($I11752,6)&lt;&gt;"VACUUM"),"CDU",IF($H11752="FLUID CAT CRACKING","FCC",IF(OR($H11752="HYDROCRACKING",$H11752="RESID_HYDROCRACKING"),"Hydrocracker",IF($H11752="REFORMING","Reformer",""))))</f>
        <v/>
      </c>
    </row>
    <row r="11753" spans="6:7">
      <c r="F11753" s="6">
        <f>IF($M11753="PADD I","PADD 1",IF($M11753="PADD II","PADD 2",IF($M11753="PADD III","PADD 3",IF($M11753="PADD IV","PADD 4",IF($M11753="PADD V","PADD 5","")))))</f>
        <v/>
      </c>
      <c r="G11753" s="6">
        <f>IF(AND($H11753="ATMOS DISTILLATION",ISNUMBER(SEARCH("VPS",$I11753))=FALSE,LEFT($I11753,6)&lt;&gt;"VACUUM"),"CDU",IF($H11753="FLUID CAT CRACKING","FCC",IF(OR($H11753="HYDROCRACKING",$H11753="RESID_HYDROCRACKING"),"Hydrocracker",IF($H11753="REFORMING","Reformer",""))))</f>
        <v/>
      </c>
    </row>
    <row r="11754" spans="6:7">
      <c r="F11754" s="6">
        <f>IF($M11754="PADD I","PADD 1",IF($M11754="PADD II","PADD 2",IF($M11754="PADD III","PADD 3",IF($M11754="PADD IV","PADD 4",IF($M11754="PADD V","PADD 5","")))))</f>
        <v/>
      </c>
      <c r="G11754" s="6">
        <f>IF(AND($H11754="ATMOS DISTILLATION",ISNUMBER(SEARCH("VPS",$I11754))=FALSE,LEFT($I11754,6)&lt;&gt;"VACUUM"),"CDU",IF($H11754="FLUID CAT CRACKING","FCC",IF(OR($H11754="HYDROCRACKING",$H11754="RESID_HYDROCRACKING"),"Hydrocracker",IF($H11754="REFORMING","Reformer",""))))</f>
        <v/>
      </c>
    </row>
    <row r="11755" spans="6:7">
      <c r="F11755" s="6">
        <f>IF($M11755="PADD I","PADD 1",IF($M11755="PADD II","PADD 2",IF($M11755="PADD III","PADD 3",IF($M11755="PADD IV","PADD 4",IF($M11755="PADD V","PADD 5","")))))</f>
        <v/>
      </c>
      <c r="G11755" s="6">
        <f>IF(AND($H11755="ATMOS DISTILLATION",ISNUMBER(SEARCH("VPS",$I11755))=FALSE,LEFT($I11755,6)&lt;&gt;"VACUUM"),"CDU",IF($H11755="FLUID CAT CRACKING","FCC",IF(OR($H11755="HYDROCRACKING",$H11755="RESID_HYDROCRACKING"),"Hydrocracker",IF($H11755="REFORMING","Reformer",""))))</f>
        <v/>
      </c>
    </row>
    <row r="11756" spans="6:7">
      <c r="F11756" s="6">
        <f>IF($M11756="PADD I","PADD 1",IF($M11756="PADD II","PADD 2",IF($M11756="PADD III","PADD 3",IF($M11756="PADD IV","PADD 4",IF($M11756="PADD V","PADD 5","")))))</f>
        <v/>
      </c>
      <c r="G11756" s="6">
        <f>IF(AND($H11756="ATMOS DISTILLATION",ISNUMBER(SEARCH("VPS",$I11756))=FALSE,LEFT($I11756,6)&lt;&gt;"VACUUM"),"CDU",IF($H11756="FLUID CAT CRACKING","FCC",IF(OR($H11756="HYDROCRACKING",$H11756="RESID_HYDROCRACKING"),"Hydrocracker",IF($H11756="REFORMING","Reformer",""))))</f>
        <v/>
      </c>
    </row>
    <row r="11757" spans="6:7">
      <c r="F11757" s="6">
        <f>IF($M11757="PADD I","PADD 1",IF($M11757="PADD II","PADD 2",IF($M11757="PADD III","PADD 3",IF($M11757="PADD IV","PADD 4",IF($M11757="PADD V","PADD 5","")))))</f>
        <v/>
      </c>
      <c r="G11757" s="6">
        <f>IF(AND($H11757="ATMOS DISTILLATION",ISNUMBER(SEARCH("VPS",$I11757))=FALSE,LEFT($I11757,6)&lt;&gt;"VACUUM"),"CDU",IF($H11757="FLUID CAT CRACKING","FCC",IF(OR($H11757="HYDROCRACKING",$H11757="RESID_HYDROCRACKING"),"Hydrocracker",IF($H11757="REFORMING","Reformer",""))))</f>
        <v/>
      </c>
    </row>
    <row r="11758" spans="6:7">
      <c r="F11758" s="6">
        <f>IF($M11758="PADD I","PADD 1",IF($M11758="PADD II","PADD 2",IF($M11758="PADD III","PADD 3",IF($M11758="PADD IV","PADD 4",IF($M11758="PADD V","PADD 5","")))))</f>
        <v/>
      </c>
      <c r="G11758" s="6">
        <f>IF(AND($H11758="ATMOS DISTILLATION",ISNUMBER(SEARCH("VPS",$I11758))=FALSE,LEFT($I11758,6)&lt;&gt;"VACUUM"),"CDU",IF($H11758="FLUID CAT CRACKING","FCC",IF(OR($H11758="HYDROCRACKING",$H11758="RESID_HYDROCRACKING"),"Hydrocracker",IF($H11758="REFORMING","Reformer",""))))</f>
        <v/>
      </c>
    </row>
    <row r="11759" spans="6:7">
      <c r="F11759" s="6">
        <f>IF($M11759="PADD I","PADD 1",IF($M11759="PADD II","PADD 2",IF($M11759="PADD III","PADD 3",IF($M11759="PADD IV","PADD 4",IF($M11759="PADD V","PADD 5","")))))</f>
        <v/>
      </c>
      <c r="G11759" s="6">
        <f>IF(AND($H11759="ATMOS DISTILLATION",ISNUMBER(SEARCH("VPS",$I11759))=FALSE,LEFT($I11759,6)&lt;&gt;"VACUUM"),"CDU",IF($H11759="FLUID CAT CRACKING","FCC",IF(OR($H11759="HYDROCRACKING",$H11759="RESID_HYDROCRACKING"),"Hydrocracker",IF($H11759="REFORMING","Reformer",""))))</f>
        <v/>
      </c>
    </row>
    <row r="11760" spans="6:7">
      <c r="F11760" s="6">
        <f>IF($M11760="PADD I","PADD 1",IF($M11760="PADD II","PADD 2",IF($M11760="PADD III","PADD 3",IF($M11760="PADD IV","PADD 4",IF($M11760="PADD V","PADD 5","")))))</f>
        <v/>
      </c>
      <c r="G11760" s="6">
        <f>IF(AND($H11760="ATMOS DISTILLATION",ISNUMBER(SEARCH("VPS",$I11760))=FALSE,LEFT($I11760,6)&lt;&gt;"VACUUM"),"CDU",IF($H11760="FLUID CAT CRACKING","FCC",IF(OR($H11760="HYDROCRACKING",$H11760="RESID_HYDROCRACKING"),"Hydrocracker",IF($H11760="REFORMING","Reformer",""))))</f>
        <v/>
      </c>
    </row>
    <row r="11761" spans="6:7">
      <c r="F11761" s="6">
        <f>IF($M11761="PADD I","PADD 1",IF($M11761="PADD II","PADD 2",IF($M11761="PADD III","PADD 3",IF($M11761="PADD IV","PADD 4",IF($M11761="PADD V","PADD 5","")))))</f>
        <v/>
      </c>
      <c r="G11761" s="6">
        <f>IF(AND($H11761="ATMOS DISTILLATION",ISNUMBER(SEARCH("VPS",$I11761))=FALSE,LEFT($I11761,6)&lt;&gt;"VACUUM"),"CDU",IF($H11761="FLUID CAT CRACKING","FCC",IF(OR($H11761="HYDROCRACKING",$H11761="RESID_HYDROCRACKING"),"Hydrocracker",IF($H11761="REFORMING","Reformer",""))))</f>
        <v/>
      </c>
    </row>
    <row r="11762" spans="6:7">
      <c r="F11762" s="6">
        <f>IF($M11762="PADD I","PADD 1",IF($M11762="PADD II","PADD 2",IF($M11762="PADD III","PADD 3",IF($M11762="PADD IV","PADD 4",IF($M11762="PADD V","PADD 5","")))))</f>
        <v/>
      </c>
      <c r="G11762" s="6">
        <f>IF(AND($H11762="ATMOS DISTILLATION",ISNUMBER(SEARCH("VPS",$I11762))=FALSE,LEFT($I11762,6)&lt;&gt;"VACUUM"),"CDU",IF($H11762="FLUID CAT CRACKING","FCC",IF(OR($H11762="HYDROCRACKING",$H11762="RESID_HYDROCRACKING"),"Hydrocracker",IF($H11762="REFORMING","Reformer",""))))</f>
        <v/>
      </c>
    </row>
    <row r="11763" spans="6:7">
      <c r="F11763" s="6">
        <f>IF($M11763="PADD I","PADD 1",IF($M11763="PADD II","PADD 2",IF($M11763="PADD III","PADD 3",IF($M11763="PADD IV","PADD 4",IF($M11763="PADD V","PADD 5","")))))</f>
        <v/>
      </c>
      <c r="G11763" s="6">
        <f>IF(AND($H11763="ATMOS DISTILLATION",ISNUMBER(SEARCH("VPS",$I11763))=FALSE,LEFT($I11763,6)&lt;&gt;"VACUUM"),"CDU",IF($H11763="FLUID CAT CRACKING","FCC",IF(OR($H11763="HYDROCRACKING",$H11763="RESID_HYDROCRACKING"),"Hydrocracker",IF($H11763="REFORMING","Reformer",""))))</f>
        <v/>
      </c>
    </row>
    <row r="11764" spans="6:7">
      <c r="F11764" s="6">
        <f>IF($M11764="PADD I","PADD 1",IF($M11764="PADD II","PADD 2",IF($M11764="PADD III","PADD 3",IF($M11764="PADD IV","PADD 4",IF($M11764="PADD V","PADD 5","")))))</f>
        <v/>
      </c>
      <c r="G11764" s="6">
        <f>IF(AND($H11764="ATMOS DISTILLATION",ISNUMBER(SEARCH("VPS",$I11764))=FALSE,LEFT($I11764,6)&lt;&gt;"VACUUM"),"CDU",IF($H11764="FLUID CAT CRACKING","FCC",IF(OR($H11764="HYDROCRACKING",$H11764="RESID_HYDROCRACKING"),"Hydrocracker",IF($H11764="REFORMING","Reformer",""))))</f>
        <v/>
      </c>
    </row>
    <row r="11765" spans="6:7">
      <c r="F11765" s="6">
        <f>IF($M11765="PADD I","PADD 1",IF($M11765="PADD II","PADD 2",IF($M11765="PADD III","PADD 3",IF($M11765="PADD IV","PADD 4",IF($M11765="PADD V","PADD 5","")))))</f>
        <v/>
      </c>
      <c r="G11765" s="6">
        <f>IF(AND($H11765="ATMOS DISTILLATION",ISNUMBER(SEARCH("VPS",$I11765))=FALSE,LEFT($I11765,6)&lt;&gt;"VACUUM"),"CDU",IF($H11765="FLUID CAT CRACKING","FCC",IF(OR($H11765="HYDROCRACKING",$H11765="RESID_HYDROCRACKING"),"Hydrocracker",IF($H11765="REFORMING","Reformer",""))))</f>
        <v/>
      </c>
    </row>
    <row r="11766" spans="6:7">
      <c r="F11766" s="6">
        <f>IF($M11766="PADD I","PADD 1",IF($M11766="PADD II","PADD 2",IF($M11766="PADD III","PADD 3",IF($M11766="PADD IV","PADD 4",IF($M11766="PADD V","PADD 5","")))))</f>
        <v/>
      </c>
      <c r="G11766" s="6">
        <f>IF(AND($H11766="ATMOS DISTILLATION",ISNUMBER(SEARCH("VPS",$I11766))=FALSE,LEFT($I11766,6)&lt;&gt;"VACUUM"),"CDU",IF($H11766="FLUID CAT CRACKING","FCC",IF(OR($H11766="HYDROCRACKING",$H11766="RESID_HYDROCRACKING"),"Hydrocracker",IF($H11766="REFORMING","Reformer",""))))</f>
        <v/>
      </c>
    </row>
    <row r="11767" spans="6:7">
      <c r="F11767" s="6">
        <f>IF($M11767="PADD I","PADD 1",IF($M11767="PADD II","PADD 2",IF($M11767="PADD III","PADD 3",IF($M11767="PADD IV","PADD 4",IF($M11767="PADD V","PADD 5","")))))</f>
        <v/>
      </c>
      <c r="G11767" s="6">
        <f>IF(AND($H11767="ATMOS DISTILLATION",ISNUMBER(SEARCH("VPS",$I11767))=FALSE,LEFT($I11767,6)&lt;&gt;"VACUUM"),"CDU",IF($H11767="FLUID CAT CRACKING","FCC",IF(OR($H11767="HYDROCRACKING",$H11767="RESID_HYDROCRACKING"),"Hydrocracker",IF($H11767="REFORMING","Reformer",""))))</f>
        <v/>
      </c>
    </row>
    <row r="11768" spans="6:7">
      <c r="F11768" s="6">
        <f>IF($M11768="PADD I","PADD 1",IF($M11768="PADD II","PADD 2",IF($M11768="PADD III","PADD 3",IF($M11768="PADD IV","PADD 4",IF($M11768="PADD V","PADD 5","")))))</f>
        <v/>
      </c>
      <c r="G11768" s="6">
        <f>IF(AND($H11768="ATMOS DISTILLATION",ISNUMBER(SEARCH("VPS",$I11768))=FALSE,LEFT($I11768,6)&lt;&gt;"VACUUM"),"CDU",IF($H11768="FLUID CAT CRACKING","FCC",IF(OR($H11768="HYDROCRACKING",$H11768="RESID_HYDROCRACKING"),"Hydrocracker",IF($H11768="REFORMING","Reformer",""))))</f>
        <v/>
      </c>
    </row>
    <row r="11769" spans="6:7">
      <c r="F11769" s="6">
        <f>IF($M11769="PADD I","PADD 1",IF($M11769="PADD II","PADD 2",IF($M11769="PADD III","PADD 3",IF($M11769="PADD IV","PADD 4",IF($M11769="PADD V","PADD 5","")))))</f>
        <v/>
      </c>
      <c r="G11769" s="6">
        <f>IF(AND($H11769="ATMOS DISTILLATION",ISNUMBER(SEARCH("VPS",$I11769))=FALSE,LEFT($I11769,6)&lt;&gt;"VACUUM"),"CDU",IF($H11769="FLUID CAT CRACKING","FCC",IF(OR($H11769="HYDROCRACKING",$H11769="RESID_HYDROCRACKING"),"Hydrocracker",IF($H11769="REFORMING","Reformer",""))))</f>
        <v/>
      </c>
    </row>
    <row r="11770" spans="6:7">
      <c r="F11770" s="6">
        <f>IF($M11770="PADD I","PADD 1",IF($M11770="PADD II","PADD 2",IF($M11770="PADD III","PADD 3",IF($M11770="PADD IV","PADD 4",IF($M11770="PADD V","PADD 5","")))))</f>
        <v/>
      </c>
      <c r="G11770" s="6">
        <f>IF(AND($H11770="ATMOS DISTILLATION",ISNUMBER(SEARCH("VPS",$I11770))=FALSE,LEFT($I11770,6)&lt;&gt;"VACUUM"),"CDU",IF($H11770="FLUID CAT CRACKING","FCC",IF(OR($H11770="HYDROCRACKING",$H11770="RESID_HYDROCRACKING"),"Hydrocracker",IF($H11770="REFORMING","Reformer",""))))</f>
        <v/>
      </c>
    </row>
    <row r="11771" spans="6:7">
      <c r="F11771" s="6">
        <f>IF($M11771="PADD I","PADD 1",IF($M11771="PADD II","PADD 2",IF($M11771="PADD III","PADD 3",IF($M11771="PADD IV","PADD 4",IF($M11771="PADD V","PADD 5","")))))</f>
        <v/>
      </c>
      <c r="G11771" s="6">
        <f>IF(AND($H11771="ATMOS DISTILLATION",ISNUMBER(SEARCH("VPS",$I11771))=FALSE,LEFT($I11771,6)&lt;&gt;"VACUUM"),"CDU",IF($H11771="FLUID CAT CRACKING","FCC",IF(OR($H11771="HYDROCRACKING",$H11771="RESID_HYDROCRACKING"),"Hydrocracker",IF($H11771="REFORMING","Reformer",""))))</f>
        <v/>
      </c>
    </row>
    <row r="11772" spans="6:7">
      <c r="F11772" s="6">
        <f>IF($M11772="PADD I","PADD 1",IF($M11772="PADD II","PADD 2",IF($M11772="PADD III","PADD 3",IF($M11772="PADD IV","PADD 4",IF($M11772="PADD V","PADD 5","")))))</f>
        <v/>
      </c>
      <c r="G11772" s="6">
        <f>IF(AND($H11772="ATMOS DISTILLATION",ISNUMBER(SEARCH("VPS",$I11772))=FALSE,LEFT($I11772,6)&lt;&gt;"VACUUM"),"CDU",IF($H11772="FLUID CAT CRACKING","FCC",IF(OR($H11772="HYDROCRACKING",$H11772="RESID_HYDROCRACKING"),"Hydrocracker",IF($H11772="REFORMING","Reformer",""))))</f>
        <v/>
      </c>
    </row>
    <row r="11773" spans="6:7">
      <c r="F11773" s="6">
        <f>IF($M11773="PADD I","PADD 1",IF($M11773="PADD II","PADD 2",IF($M11773="PADD III","PADD 3",IF($M11773="PADD IV","PADD 4",IF($M11773="PADD V","PADD 5","")))))</f>
        <v/>
      </c>
      <c r="G11773" s="6">
        <f>IF(AND($H11773="ATMOS DISTILLATION",ISNUMBER(SEARCH("VPS",$I11773))=FALSE,LEFT($I11773,6)&lt;&gt;"VACUUM"),"CDU",IF($H11773="FLUID CAT CRACKING","FCC",IF(OR($H11773="HYDROCRACKING",$H11773="RESID_HYDROCRACKING"),"Hydrocracker",IF($H11773="REFORMING","Reformer",""))))</f>
        <v/>
      </c>
    </row>
    <row r="11774" spans="6:7">
      <c r="F11774" s="6">
        <f>IF($M11774="PADD I","PADD 1",IF($M11774="PADD II","PADD 2",IF($M11774="PADD III","PADD 3",IF($M11774="PADD IV","PADD 4",IF($M11774="PADD V","PADD 5","")))))</f>
        <v/>
      </c>
      <c r="G11774" s="6">
        <f>IF(AND($H11774="ATMOS DISTILLATION",ISNUMBER(SEARCH("VPS",$I11774))=FALSE,LEFT($I11774,6)&lt;&gt;"VACUUM"),"CDU",IF($H11774="FLUID CAT CRACKING","FCC",IF(OR($H11774="HYDROCRACKING",$H11774="RESID_HYDROCRACKING"),"Hydrocracker",IF($H11774="REFORMING","Reformer",""))))</f>
        <v/>
      </c>
    </row>
    <row r="11775" spans="6:7">
      <c r="F11775" s="6">
        <f>IF($M11775="PADD I","PADD 1",IF($M11775="PADD II","PADD 2",IF($M11775="PADD III","PADD 3",IF($M11775="PADD IV","PADD 4",IF($M11775="PADD V","PADD 5","")))))</f>
        <v/>
      </c>
      <c r="G11775" s="6">
        <f>IF(AND($H11775="ATMOS DISTILLATION",ISNUMBER(SEARCH("VPS",$I11775))=FALSE,LEFT($I11775,6)&lt;&gt;"VACUUM"),"CDU",IF($H11775="FLUID CAT CRACKING","FCC",IF(OR($H11775="HYDROCRACKING",$H11775="RESID_HYDROCRACKING"),"Hydrocracker",IF($H11775="REFORMING","Reformer",""))))</f>
        <v/>
      </c>
    </row>
    <row r="11776" spans="6:7">
      <c r="F11776" s="6">
        <f>IF($M11776="PADD I","PADD 1",IF($M11776="PADD II","PADD 2",IF($M11776="PADD III","PADD 3",IF($M11776="PADD IV","PADD 4",IF($M11776="PADD V","PADD 5","")))))</f>
        <v/>
      </c>
      <c r="G11776" s="6">
        <f>IF(AND($H11776="ATMOS DISTILLATION",ISNUMBER(SEARCH("VPS",$I11776))=FALSE,LEFT($I11776,6)&lt;&gt;"VACUUM"),"CDU",IF($H11776="FLUID CAT CRACKING","FCC",IF(OR($H11776="HYDROCRACKING",$H11776="RESID_HYDROCRACKING"),"Hydrocracker",IF($H11776="REFORMING","Reformer",""))))</f>
        <v/>
      </c>
    </row>
    <row r="11777" spans="6:7">
      <c r="F11777" s="6">
        <f>IF($M11777="PADD I","PADD 1",IF($M11777="PADD II","PADD 2",IF($M11777="PADD III","PADD 3",IF($M11777="PADD IV","PADD 4",IF($M11777="PADD V","PADD 5","")))))</f>
        <v/>
      </c>
      <c r="G11777" s="6">
        <f>IF(AND($H11777="ATMOS DISTILLATION",ISNUMBER(SEARCH("VPS",$I11777))=FALSE,LEFT($I11777,6)&lt;&gt;"VACUUM"),"CDU",IF($H11777="FLUID CAT CRACKING","FCC",IF(OR($H11777="HYDROCRACKING",$H11777="RESID_HYDROCRACKING"),"Hydrocracker",IF($H11777="REFORMING","Reformer",""))))</f>
        <v/>
      </c>
    </row>
    <row r="11778" spans="6:7">
      <c r="F11778" s="6">
        <f>IF($M11778="PADD I","PADD 1",IF($M11778="PADD II","PADD 2",IF($M11778="PADD III","PADD 3",IF($M11778="PADD IV","PADD 4",IF($M11778="PADD V","PADD 5","")))))</f>
        <v/>
      </c>
      <c r="G11778" s="6">
        <f>IF(AND($H11778="ATMOS DISTILLATION",ISNUMBER(SEARCH("VPS",$I11778))=FALSE,LEFT($I11778,6)&lt;&gt;"VACUUM"),"CDU",IF($H11778="FLUID CAT CRACKING","FCC",IF(OR($H11778="HYDROCRACKING",$H11778="RESID_HYDROCRACKING"),"Hydrocracker",IF($H11778="REFORMING","Reformer",""))))</f>
        <v/>
      </c>
    </row>
    <row r="11779" spans="6:7">
      <c r="F11779" s="6">
        <f>IF($M11779="PADD I","PADD 1",IF($M11779="PADD II","PADD 2",IF($M11779="PADD III","PADD 3",IF($M11779="PADD IV","PADD 4",IF($M11779="PADD V","PADD 5","")))))</f>
        <v/>
      </c>
      <c r="G11779" s="6">
        <f>IF(AND($H11779="ATMOS DISTILLATION",ISNUMBER(SEARCH("VPS",$I11779))=FALSE,LEFT($I11779,6)&lt;&gt;"VACUUM"),"CDU",IF($H11779="FLUID CAT CRACKING","FCC",IF(OR($H11779="HYDROCRACKING",$H11779="RESID_HYDROCRACKING"),"Hydrocracker",IF($H11779="REFORMING","Reformer",""))))</f>
        <v/>
      </c>
    </row>
    <row r="11780" spans="6:7">
      <c r="F11780" s="6">
        <f>IF($M11780="PADD I","PADD 1",IF($M11780="PADD II","PADD 2",IF($M11780="PADD III","PADD 3",IF($M11780="PADD IV","PADD 4",IF($M11780="PADD V","PADD 5","")))))</f>
        <v/>
      </c>
      <c r="G11780" s="6">
        <f>IF(AND($H11780="ATMOS DISTILLATION",ISNUMBER(SEARCH("VPS",$I11780))=FALSE,LEFT($I11780,6)&lt;&gt;"VACUUM"),"CDU",IF($H11780="FLUID CAT CRACKING","FCC",IF(OR($H11780="HYDROCRACKING",$H11780="RESID_HYDROCRACKING"),"Hydrocracker",IF($H11780="REFORMING","Reformer",""))))</f>
        <v/>
      </c>
    </row>
    <row r="11781" spans="6:7">
      <c r="F11781" s="6">
        <f>IF($M11781="PADD I","PADD 1",IF($M11781="PADD II","PADD 2",IF($M11781="PADD III","PADD 3",IF($M11781="PADD IV","PADD 4",IF($M11781="PADD V","PADD 5","")))))</f>
        <v/>
      </c>
      <c r="G11781" s="6">
        <f>IF(AND($H11781="ATMOS DISTILLATION",ISNUMBER(SEARCH("VPS",$I11781))=FALSE,LEFT($I11781,6)&lt;&gt;"VACUUM"),"CDU",IF($H11781="FLUID CAT CRACKING","FCC",IF(OR($H11781="HYDROCRACKING",$H11781="RESID_HYDROCRACKING"),"Hydrocracker",IF($H11781="REFORMING","Reformer",""))))</f>
        <v/>
      </c>
    </row>
    <row r="11782" spans="6:7">
      <c r="F11782" s="6">
        <f>IF($M11782="PADD I","PADD 1",IF($M11782="PADD II","PADD 2",IF($M11782="PADD III","PADD 3",IF($M11782="PADD IV","PADD 4",IF($M11782="PADD V","PADD 5","")))))</f>
        <v/>
      </c>
      <c r="G11782" s="6">
        <f>IF(AND($H11782="ATMOS DISTILLATION",ISNUMBER(SEARCH("VPS",$I11782))=FALSE,LEFT($I11782,6)&lt;&gt;"VACUUM"),"CDU",IF($H11782="FLUID CAT CRACKING","FCC",IF(OR($H11782="HYDROCRACKING",$H11782="RESID_HYDROCRACKING"),"Hydrocracker",IF($H11782="REFORMING","Reformer",""))))</f>
        <v/>
      </c>
    </row>
    <row r="11783" spans="6:7">
      <c r="F11783" s="6">
        <f>IF($M11783="PADD I","PADD 1",IF($M11783="PADD II","PADD 2",IF($M11783="PADD III","PADD 3",IF($M11783="PADD IV","PADD 4",IF($M11783="PADD V","PADD 5","")))))</f>
        <v/>
      </c>
      <c r="G11783" s="6">
        <f>IF(AND($H11783="ATMOS DISTILLATION",ISNUMBER(SEARCH("VPS",$I11783))=FALSE,LEFT($I11783,6)&lt;&gt;"VACUUM"),"CDU",IF($H11783="FLUID CAT CRACKING","FCC",IF(OR($H11783="HYDROCRACKING",$H11783="RESID_HYDROCRACKING"),"Hydrocracker",IF($H11783="REFORMING","Reformer",""))))</f>
        <v/>
      </c>
    </row>
    <row r="11784" spans="6:7">
      <c r="F11784" s="6">
        <f>IF($M11784="PADD I","PADD 1",IF($M11784="PADD II","PADD 2",IF($M11784="PADD III","PADD 3",IF($M11784="PADD IV","PADD 4",IF($M11784="PADD V","PADD 5","")))))</f>
        <v/>
      </c>
      <c r="G11784" s="6">
        <f>IF(AND($H11784="ATMOS DISTILLATION",ISNUMBER(SEARCH("VPS",$I11784))=FALSE,LEFT($I11784,6)&lt;&gt;"VACUUM"),"CDU",IF($H11784="FLUID CAT CRACKING","FCC",IF(OR($H11784="HYDROCRACKING",$H11784="RESID_HYDROCRACKING"),"Hydrocracker",IF($H11784="REFORMING","Reformer",""))))</f>
        <v/>
      </c>
    </row>
    <row r="11785" spans="6:7">
      <c r="F11785" s="6">
        <f>IF($M11785="PADD I","PADD 1",IF($M11785="PADD II","PADD 2",IF($M11785="PADD III","PADD 3",IF($M11785="PADD IV","PADD 4",IF($M11785="PADD V","PADD 5","")))))</f>
        <v/>
      </c>
      <c r="G11785" s="6">
        <f>IF(AND($H11785="ATMOS DISTILLATION",ISNUMBER(SEARCH("VPS",$I11785))=FALSE,LEFT($I11785,6)&lt;&gt;"VACUUM"),"CDU",IF($H11785="FLUID CAT CRACKING","FCC",IF(OR($H11785="HYDROCRACKING",$H11785="RESID_HYDROCRACKING"),"Hydrocracker",IF($H11785="REFORMING","Reformer",""))))</f>
        <v/>
      </c>
    </row>
    <row r="11786" spans="6:7">
      <c r="F11786" s="6">
        <f>IF($M11786="PADD I","PADD 1",IF($M11786="PADD II","PADD 2",IF($M11786="PADD III","PADD 3",IF($M11786="PADD IV","PADD 4",IF($M11786="PADD V","PADD 5","")))))</f>
        <v/>
      </c>
      <c r="G11786" s="6">
        <f>IF(AND($H11786="ATMOS DISTILLATION",ISNUMBER(SEARCH("VPS",$I11786))=FALSE,LEFT($I11786,6)&lt;&gt;"VACUUM"),"CDU",IF($H11786="FLUID CAT CRACKING","FCC",IF(OR($H11786="HYDROCRACKING",$H11786="RESID_HYDROCRACKING"),"Hydrocracker",IF($H11786="REFORMING","Reformer",""))))</f>
        <v/>
      </c>
    </row>
    <row r="11787" spans="6:7">
      <c r="F11787" s="6">
        <f>IF($M11787="PADD I","PADD 1",IF($M11787="PADD II","PADD 2",IF($M11787="PADD III","PADD 3",IF($M11787="PADD IV","PADD 4",IF($M11787="PADD V","PADD 5","")))))</f>
        <v/>
      </c>
      <c r="G11787" s="6">
        <f>IF(AND($H11787="ATMOS DISTILLATION",ISNUMBER(SEARCH("VPS",$I11787))=FALSE,LEFT($I11787,6)&lt;&gt;"VACUUM"),"CDU",IF($H11787="FLUID CAT CRACKING","FCC",IF(OR($H11787="HYDROCRACKING",$H11787="RESID_HYDROCRACKING"),"Hydrocracker",IF($H11787="REFORMING","Reformer",""))))</f>
        <v/>
      </c>
    </row>
    <row r="11788" spans="6:7">
      <c r="F11788" s="6">
        <f>IF($M11788="PADD I","PADD 1",IF($M11788="PADD II","PADD 2",IF($M11788="PADD III","PADD 3",IF($M11788="PADD IV","PADD 4",IF($M11788="PADD V","PADD 5","")))))</f>
        <v/>
      </c>
      <c r="G11788" s="6">
        <f>IF(AND($H11788="ATMOS DISTILLATION",ISNUMBER(SEARCH("VPS",$I11788))=FALSE,LEFT($I11788,6)&lt;&gt;"VACUUM"),"CDU",IF($H11788="FLUID CAT CRACKING","FCC",IF(OR($H11788="HYDROCRACKING",$H11788="RESID_HYDROCRACKING"),"Hydrocracker",IF($H11788="REFORMING","Reformer",""))))</f>
        <v/>
      </c>
    </row>
    <row r="11789" spans="6:7">
      <c r="F11789" s="6">
        <f>IF($M11789="PADD I","PADD 1",IF($M11789="PADD II","PADD 2",IF($M11789="PADD III","PADD 3",IF($M11789="PADD IV","PADD 4",IF($M11789="PADD V","PADD 5","")))))</f>
        <v/>
      </c>
      <c r="G11789" s="6">
        <f>IF(AND($H11789="ATMOS DISTILLATION",ISNUMBER(SEARCH("VPS",$I11789))=FALSE,LEFT($I11789,6)&lt;&gt;"VACUUM"),"CDU",IF($H11789="FLUID CAT CRACKING","FCC",IF(OR($H11789="HYDROCRACKING",$H11789="RESID_HYDROCRACKING"),"Hydrocracker",IF($H11789="REFORMING","Reformer",""))))</f>
        <v/>
      </c>
    </row>
    <row r="11790" spans="6:7">
      <c r="F11790" s="6">
        <f>IF($M11790="PADD I","PADD 1",IF($M11790="PADD II","PADD 2",IF($M11790="PADD III","PADD 3",IF($M11790="PADD IV","PADD 4",IF($M11790="PADD V","PADD 5","")))))</f>
        <v/>
      </c>
      <c r="G11790" s="6">
        <f>IF(AND($H11790="ATMOS DISTILLATION",ISNUMBER(SEARCH("VPS",$I11790))=FALSE,LEFT($I11790,6)&lt;&gt;"VACUUM"),"CDU",IF($H11790="FLUID CAT CRACKING","FCC",IF(OR($H11790="HYDROCRACKING",$H11790="RESID_HYDROCRACKING"),"Hydrocracker",IF($H11790="REFORMING","Reformer",""))))</f>
        <v/>
      </c>
    </row>
    <row r="11791" spans="6:7">
      <c r="F11791" s="6">
        <f>IF($M11791="PADD I","PADD 1",IF($M11791="PADD II","PADD 2",IF($M11791="PADD III","PADD 3",IF($M11791="PADD IV","PADD 4",IF($M11791="PADD V","PADD 5","")))))</f>
        <v/>
      </c>
      <c r="G11791" s="6">
        <f>IF(AND($H11791="ATMOS DISTILLATION",ISNUMBER(SEARCH("VPS",$I11791))=FALSE,LEFT($I11791,6)&lt;&gt;"VACUUM"),"CDU",IF($H11791="FLUID CAT CRACKING","FCC",IF(OR($H11791="HYDROCRACKING",$H11791="RESID_HYDROCRACKING"),"Hydrocracker",IF($H11791="REFORMING","Reformer",""))))</f>
        <v/>
      </c>
    </row>
    <row r="11792" spans="6:7">
      <c r="F11792" s="6">
        <f>IF($M11792="PADD I","PADD 1",IF($M11792="PADD II","PADD 2",IF($M11792="PADD III","PADD 3",IF($M11792="PADD IV","PADD 4",IF($M11792="PADD V","PADD 5","")))))</f>
        <v/>
      </c>
      <c r="G11792" s="6">
        <f>IF(AND($H11792="ATMOS DISTILLATION",ISNUMBER(SEARCH("VPS",$I11792))=FALSE,LEFT($I11792,6)&lt;&gt;"VACUUM"),"CDU",IF($H11792="FLUID CAT CRACKING","FCC",IF(OR($H11792="HYDROCRACKING",$H11792="RESID_HYDROCRACKING"),"Hydrocracker",IF($H11792="REFORMING","Reformer",""))))</f>
        <v/>
      </c>
    </row>
    <row r="11793" spans="6:7">
      <c r="F11793" s="6">
        <f>IF($M11793="PADD I","PADD 1",IF($M11793="PADD II","PADD 2",IF($M11793="PADD III","PADD 3",IF($M11793="PADD IV","PADD 4",IF($M11793="PADD V","PADD 5","")))))</f>
        <v/>
      </c>
      <c r="G11793" s="6">
        <f>IF(AND($H11793="ATMOS DISTILLATION",ISNUMBER(SEARCH("VPS",$I11793))=FALSE,LEFT($I11793,6)&lt;&gt;"VACUUM"),"CDU",IF($H11793="FLUID CAT CRACKING","FCC",IF(OR($H11793="HYDROCRACKING",$H11793="RESID_HYDROCRACKING"),"Hydrocracker",IF($H11793="REFORMING","Reformer",""))))</f>
        <v/>
      </c>
    </row>
    <row r="11794" spans="6:7">
      <c r="F11794" s="6">
        <f>IF($M11794="PADD I","PADD 1",IF($M11794="PADD II","PADD 2",IF($M11794="PADD III","PADD 3",IF($M11794="PADD IV","PADD 4",IF($M11794="PADD V","PADD 5","")))))</f>
        <v/>
      </c>
      <c r="G11794" s="6">
        <f>IF(AND($H11794="ATMOS DISTILLATION",ISNUMBER(SEARCH("VPS",$I11794))=FALSE,LEFT($I11794,6)&lt;&gt;"VACUUM"),"CDU",IF($H11794="FLUID CAT CRACKING","FCC",IF(OR($H11794="HYDROCRACKING",$H11794="RESID_HYDROCRACKING"),"Hydrocracker",IF($H11794="REFORMING","Reformer",""))))</f>
        <v/>
      </c>
    </row>
    <row r="11795" spans="6:7">
      <c r="F11795" s="6">
        <f>IF($M11795="PADD I","PADD 1",IF($M11795="PADD II","PADD 2",IF($M11795="PADD III","PADD 3",IF($M11795="PADD IV","PADD 4",IF($M11795="PADD V","PADD 5","")))))</f>
        <v/>
      </c>
      <c r="G11795" s="6">
        <f>IF(AND($H11795="ATMOS DISTILLATION",ISNUMBER(SEARCH("VPS",$I11795))=FALSE,LEFT($I11795,6)&lt;&gt;"VACUUM"),"CDU",IF($H11795="FLUID CAT CRACKING","FCC",IF(OR($H11795="HYDROCRACKING",$H11795="RESID_HYDROCRACKING"),"Hydrocracker",IF($H11795="REFORMING","Reformer",""))))</f>
        <v/>
      </c>
    </row>
    <row r="11796" spans="6:7">
      <c r="F11796" s="6">
        <f>IF($M11796="PADD I","PADD 1",IF($M11796="PADD II","PADD 2",IF($M11796="PADD III","PADD 3",IF($M11796="PADD IV","PADD 4",IF($M11796="PADD V","PADD 5","")))))</f>
        <v/>
      </c>
      <c r="G11796" s="6">
        <f>IF(AND($H11796="ATMOS DISTILLATION",ISNUMBER(SEARCH("VPS",$I11796))=FALSE,LEFT($I11796,6)&lt;&gt;"VACUUM"),"CDU",IF($H11796="FLUID CAT CRACKING","FCC",IF(OR($H11796="HYDROCRACKING",$H11796="RESID_HYDROCRACKING"),"Hydrocracker",IF($H11796="REFORMING","Reformer",""))))</f>
        <v/>
      </c>
    </row>
    <row r="11797" spans="6:7">
      <c r="F11797" s="6">
        <f>IF($M11797="PADD I","PADD 1",IF($M11797="PADD II","PADD 2",IF($M11797="PADD III","PADD 3",IF($M11797="PADD IV","PADD 4",IF($M11797="PADD V","PADD 5","")))))</f>
        <v/>
      </c>
      <c r="G11797" s="6">
        <f>IF(AND($H11797="ATMOS DISTILLATION",ISNUMBER(SEARCH("VPS",$I11797))=FALSE,LEFT($I11797,6)&lt;&gt;"VACUUM"),"CDU",IF($H11797="FLUID CAT CRACKING","FCC",IF(OR($H11797="HYDROCRACKING",$H11797="RESID_HYDROCRACKING"),"Hydrocracker",IF($H11797="REFORMING","Reformer",""))))</f>
        <v/>
      </c>
    </row>
    <row r="11798" spans="6:7">
      <c r="F11798" s="6">
        <f>IF($M11798="PADD I","PADD 1",IF($M11798="PADD II","PADD 2",IF($M11798="PADD III","PADD 3",IF($M11798="PADD IV","PADD 4",IF($M11798="PADD V","PADD 5","")))))</f>
        <v/>
      </c>
      <c r="G11798" s="6">
        <f>IF(AND($H11798="ATMOS DISTILLATION",ISNUMBER(SEARCH("VPS",$I11798))=FALSE,LEFT($I11798,6)&lt;&gt;"VACUUM"),"CDU",IF($H11798="FLUID CAT CRACKING","FCC",IF(OR($H11798="HYDROCRACKING",$H11798="RESID_HYDROCRACKING"),"Hydrocracker",IF($H11798="REFORMING","Reformer",""))))</f>
        <v/>
      </c>
    </row>
    <row r="11799" spans="6:7">
      <c r="F11799" s="6">
        <f>IF($M11799="PADD I","PADD 1",IF($M11799="PADD II","PADD 2",IF($M11799="PADD III","PADD 3",IF($M11799="PADD IV","PADD 4",IF($M11799="PADD V","PADD 5","")))))</f>
        <v/>
      </c>
      <c r="G11799" s="6">
        <f>IF(AND($H11799="ATMOS DISTILLATION",ISNUMBER(SEARCH("VPS",$I11799))=FALSE,LEFT($I11799,6)&lt;&gt;"VACUUM"),"CDU",IF($H11799="FLUID CAT CRACKING","FCC",IF(OR($H11799="HYDROCRACKING",$H11799="RESID_HYDROCRACKING"),"Hydrocracker",IF($H11799="REFORMING","Reformer",""))))</f>
        <v/>
      </c>
    </row>
    <row r="11800" spans="6:7">
      <c r="F11800" s="6">
        <f>IF($M11800="PADD I","PADD 1",IF($M11800="PADD II","PADD 2",IF($M11800="PADD III","PADD 3",IF($M11800="PADD IV","PADD 4",IF($M11800="PADD V","PADD 5","")))))</f>
        <v/>
      </c>
      <c r="G11800" s="6">
        <f>IF(AND($H11800="ATMOS DISTILLATION",ISNUMBER(SEARCH("VPS",$I11800))=FALSE,LEFT($I11800,6)&lt;&gt;"VACUUM"),"CDU",IF($H11800="FLUID CAT CRACKING","FCC",IF(OR($H11800="HYDROCRACKING",$H11800="RESID_HYDROCRACKING"),"Hydrocracker",IF($H11800="REFORMING","Reformer",""))))</f>
        <v/>
      </c>
    </row>
    <row r="11801" spans="6:7">
      <c r="F11801" s="6">
        <f>IF($M11801="PADD I","PADD 1",IF($M11801="PADD II","PADD 2",IF($M11801="PADD III","PADD 3",IF($M11801="PADD IV","PADD 4",IF($M11801="PADD V","PADD 5","")))))</f>
        <v/>
      </c>
      <c r="G11801" s="6">
        <f>IF(AND($H11801="ATMOS DISTILLATION",ISNUMBER(SEARCH("VPS",$I11801))=FALSE,LEFT($I11801,6)&lt;&gt;"VACUUM"),"CDU",IF($H11801="FLUID CAT CRACKING","FCC",IF(OR($H11801="HYDROCRACKING",$H11801="RESID_HYDROCRACKING"),"Hydrocracker",IF($H11801="REFORMING","Reformer",""))))</f>
        <v/>
      </c>
    </row>
    <row r="11802" spans="6:7">
      <c r="F11802" s="6">
        <f>IF($M11802="PADD I","PADD 1",IF($M11802="PADD II","PADD 2",IF($M11802="PADD III","PADD 3",IF($M11802="PADD IV","PADD 4",IF($M11802="PADD V","PADD 5","")))))</f>
        <v/>
      </c>
      <c r="G11802" s="6">
        <f>IF(AND($H11802="ATMOS DISTILLATION",ISNUMBER(SEARCH("VPS",$I11802))=FALSE,LEFT($I11802,6)&lt;&gt;"VACUUM"),"CDU",IF($H11802="FLUID CAT CRACKING","FCC",IF(OR($H11802="HYDROCRACKING",$H11802="RESID_HYDROCRACKING"),"Hydrocracker",IF($H11802="REFORMING","Reformer",""))))</f>
        <v/>
      </c>
    </row>
    <row r="11803" spans="6:7">
      <c r="F11803" s="6">
        <f>IF($M11803="PADD I","PADD 1",IF($M11803="PADD II","PADD 2",IF($M11803="PADD III","PADD 3",IF($M11803="PADD IV","PADD 4",IF($M11803="PADD V","PADD 5","")))))</f>
        <v/>
      </c>
      <c r="G11803" s="6">
        <f>IF(AND($H11803="ATMOS DISTILLATION",ISNUMBER(SEARCH("VPS",$I11803))=FALSE,LEFT($I11803,6)&lt;&gt;"VACUUM"),"CDU",IF($H11803="FLUID CAT CRACKING","FCC",IF(OR($H11803="HYDROCRACKING",$H11803="RESID_HYDROCRACKING"),"Hydrocracker",IF($H11803="REFORMING","Reformer",""))))</f>
        <v/>
      </c>
    </row>
    <row r="11804" spans="6:7">
      <c r="F11804" s="6">
        <f>IF($M11804="PADD I","PADD 1",IF($M11804="PADD II","PADD 2",IF($M11804="PADD III","PADD 3",IF($M11804="PADD IV","PADD 4",IF($M11804="PADD V","PADD 5","")))))</f>
        <v/>
      </c>
      <c r="G11804" s="6">
        <f>IF(AND($H11804="ATMOS DISTILLATION",ISNUMBER(SEARCH("VPS",$I11804))=FALSE,LEFT($I11804,6)&lt;&gt;"VACUUM"),"CDU",IF($H11804="FLUID CAT CRACKING","FCC",IF(OR($H11804="HYDROCRACKING",$H11804="RESID_HYDROCRACKING"),"Hydrocracker",IF($H11804="REFORMING","Reformer",""))))</f>
        <v/>
      </c>
    </row>
    <row r="11805" spans="6:7">
      <c r="F11805" s="6">
        <f>IF($M11805="PADD I","PADD 1",IF($M11805="PADD II","PADD 2",IF($M11805="PADD III","PADD 3",IF($M11805="PADD IV","PADD 4",IF($M11805="PADD V","PADD 5","")))))</f>
        <v/>
      </c>
      <c r="G11805" s="6">
        <f>IF(AND($H11805="ATMOS DISTILLATION",ISNUMBER(SEARCH("VPS",$I11805))=FALSE,LEFT($I11805,6)&lt;&gt;"VACUUM"),"CDU",IF($H11805="FLUID CAT CRACKING","FCC",IF(OR($H11805="HYDROCRACKING",$H11805="RESID_HYDROCRACKING"),"Hydrocracker",IF($H11805="REFORMING","Reformer",""))))</f>
        <v/>
      </c>
    </row>
    <row r="11806" spans="6:7">
      <c r="F11806" s="6">
        <f>IF($M11806="PADD I","PADD 1",IF($M11806="PADD II","PADD 2",IF($M11806="PADD III","PADD 3",IF($M11806="PADD IV","PADD 4",IF($M11806="PADD V","PADD 5","")))))</f>
        <v/>
      </c>
      <c r="G11806" s="6">
        <f>IF(AND($H11806="ATMOS DISTILLATION",ISNUMBER(SEARCH("VPS",$I11806))=FALSE,LEFT($I11806,6)&lt;&gt;"VACUUM"),"CDU",IF($H11806="FLUID CAT CRACKING","FCC",IF(OR($H11806="HYDROCRACKING",$H11806="RESID_HYDROCRACKING"),"Hydrocracker",IF($H11806="REFORMING","Reformer",""))))</f>
        <v/>
      </c>
    </row>
    <row r="11807" spans="6:7">
      <c r="F11807" s="6">
        <f>IF($M11807="PADD I","PADD 1",IF($M11807="PADD II","PADD 2",IF($M11807="PADD III","PADD 3",IF($M11807="PADD IV","PADD 4",IF($M11807="PADD V","PADD 5","")))))</f>
        <v/>
      </c>
      <c r="G11807" s="6">
        <f>IF(AND($H11807="ATMOS DISTILLATION",ISNUMBER(SEARCH("VPS",$I11807))=FALSE,LEFT($I11807,6)&lt;&gt;"VACUUM"),"CDU",IF($H11807="FLUID CAT CRACKING","FCC",IF(OR($H11807="HYDROCRACKING",$H11807="RESID_HYDROCRACKING"),"Hydrocracker",IF($H11807="REFORMING","Reformer",""))))</f>
        <v/>
      </c>
    </row>
    <row r="11808" spans="6:7">
      <c r="F11808" s="6">
        <f>IF($M11808="PADD I","PADD 1",IF($M11808="PADD II","PADD 2",IF($M11808="PADD III","PADD 3",IF($M11808="PADD IV","PADD 4",IF($M11808="PADD V","PADD 5","")))))</f>
        <v/>
      </c>
      <c r="G11808" s="6">
        <f>IF(AND($H11808="ATMOS DISTILLATION",ISNUMBER(SEARCH("VPS",$I11808))=FALSE,LEFT($I11808,6)&lt;&gt;"VACUUM"),"CDU",IF($H11808="FLUID CAT CRACKING","FCC",IF(OR($H11808="HYDROCRACKING",$H11808="RESID_HYDROCRACKING"),"Hydrocracker",IF($H11808="REFORMING","Reformer",""))))</f>
        <v/>
      </c>
    </row>
    <row r="11809" spans="6:7">
      <c r="F11809" s="6">
        <f>IF($M11809="PADD I","PADD 1",IF($M11809="PADD II","PADD 2",IF($M11809="PADD III","PADD 3",IF($M11809="PADD IV","PADD 4",IF($M11809="PADD V","PADD 5","")))))</f>
        <v/>
      </c>
      <c r="G11809" s="6">
        <f>IF(AND($H11809="ATMOS DISTILLATION",ISNUMBER(SEARCH("VPS",$I11809))=FALSE,LEFT($I11809,6)&lt;&gt;"VACUUM"),"CDU",IF($H11809="FLUID CAT CRACKING","FCC",IF(OR($H11809="HYDROCRACKING",$H11809="RESID_HYDROCRACKING"),"Hydrocracker",IF($H11809="REFORMING","Reformer",""))))</f>
        <v/>
      </c>
    </row>
    <row r="11810" spans="6:7">
      <c r="F11810" s="6">
        <f>IF($M11810="PADD I","PADD 1",IF($M11810="PADD II","PADD 2",IF($M11810="PADD III","PADD 3",IF($M11810="PADD IV","PADD 4",IF($M11810="PADD V","PADD 5","")))))</f>
        <v/>
      </c>
      <c r="G11810" s="6">
        <f>IF(AND($H11810="ATMOS DISTILLATION",ISNUMBER(SEARCH("VPS",$I11810))=FALSE,LEFT($I11810,6)&lt;&gt;"VACUUM"),"CDU",IF($H11810="FLUID CAT CRACKING","FCC",IF(OR($H11810="HYDROCRACKING",$H11810="RESID_HYDROCRACKING"),"Hydrocracker",IF($H11810="REFORMING","Reformer",""))))</f>
        <v/>
      </c>
    </row>
    <row r="11811" spans="6:7">
      <c r="F11811" s="6">
        <f>IF($M11811="PADD I","PADD 1",IF($M11811="PADD II","PADD 2",IF($M11811="PADD III","PADD 3",IF($M11811="PADD IV","PADD 4",IF($M11811="PADD V","PADD 5","")))))</f>
        <v/>
      </c>
      <c r="G11811" s="6">
        <f>IF(AND($H11811="ATMOS DISTILLATION",ISNUMBER(SEARCH("VPS",$I11811))=FALSE,LEFT($I11811,6)&lt;&gt;"VACUUM"),"CDU",IF($H11811="FLUID CAT CRACKING","FCC",IF(OR($H11811="HYDROCRACKING",$H11811="RESID_HYDROCRACKING"),"Hydrocracker",IF($H11811="REFORMING","Reformer",""))))</f>
        <v/>
      </c>
    </row>
    <row r="11812" spans="6:7">
      <c r="F11812" s="6">
        <f>IF($M11812="PADD I","PADD 1",IF($M11812="PADD II","PADD 2",IF($M11812="PADD III","PADD 3",IF($M11812="PADD IV","PADD 4",IF($M11812="PADD V","PADD 5","")))))</f>
        <v/>
      </c>
      <c r="G11812" s="6">
        <f>IF(AND($H11812="ATMOS DISTILLATION",ISNUMBER(SEARCH("VPS",$I11812))=FALSE,LEFT($I11812,6)&lt;&gt;"VACUUM"),"CDU",IF($H11812="FLUID CAT CRACKING","FCC",IF(OR($H11812="HYDROCRACKING",$H11812="RESID_HYDROCRACKING"),"Hydrocracker",IF($H11812="REFORMING","Reformer",""))))</f>
        <v/>
      </c>
    </row>
    <row r="11813" spans="6:7">
      <c r="F11813" s="6">
        <f>IF($M11813="PADD I","PADD 1",IF($M11813="PADD II","PADD 2",IF($M11813="PADD III","PADD 3",IF($M11813="PADD IV","PADD 4",IF($M11813="PADD V","PADD 5","")))))</f>
        <v/>
      </c>
      <c r="G11813" s="6">
        <f>IF(AND($H11813="ATMOS DISTILLATION",ISNUMBER(SEARCH("VPS",$I11813))=FALSE,LEFT($I11813,6)&lt;&gt;"VACUUM"),"CDU",IF($H11813="FLUID CAT CRACKING","FCC",IF(OR($H11813="HYDROCRACKING",$H11813="RESID_HYDROCRACKING"),"Hydrocracker",IF($H11813="REFORMING","Reformer",""))))</f>
        <v/>
      </c>
    </row>
    <row r="11814" spans="6:7">
      <c r="F11814" s="6">
        <f>IF($M11814="PADD I","PADD 1",IF($M11814="PADD II","PADD 2",IF($M11814="PADD III","PADD 3",IF($M11814="PADD IV","PADD 4",IF($M11814="PADD V","PADD 5","")))))</f>
        <v/>
      </c>
      <c r="G11814" s="6">
        <f>IF(AND($H11814="ATMOS DISTILLATION",ISNUMBER(SEARCH("VPS",$I11814))=FALSE,LEFT($I11814,6)&lt;&gt;"VACUUM"),"CDU",IF($H11814="FLUID CAT CRACKING","FCC",IF(OR($H11814="HYDROCRACKING",$H11814="RESID_HYDROCRACKING"),"Hydrocracker",IF($H11814="REFORMING","Reformer",""))))</f>
        <v/>
      </c>
    </row>
    <row r="11815" spans="6:7">
      <c r="F11815" s="6">
        <f>IF($M11815="PADD I","PADD 1",IF($M11815="PADD II","PADD 2",IF($M11815="PADD III","PADD 3",IF($M11815="PADD IV","PADD 4",IF($M11815="PADD V","PADD 5","")))))</f>
        <v/>
      </c>
      <c r="G11815" s="6">
        <f>IF(AND($H11815="ATMOS DISTILLATION",ISNUMBER(SEARCH("VPS",$I11815))=FALSE,LEFT($I11815,6)&lt;&gt;"VACUUM"),"CDU",IF($H11815="FLUID CAT CRACKING","FCC",IF(OR($H11815="HYDROCRACKING",$H11815="RESID_HYDROCRACKING"),"Hydrocracker",IF($H11815="REFORMING","Reformer",""))))</f>
        <v/>
      </c>
    </row>
    <row r="11816" spans="6:7">
      <c r="F11816" s="6">
        <f>IF($M11816="PADD I","PADD 1",IF($M11816="PADD II","PADD 2",IF($M11816="PADD III","PADD 3",IF($M11816="PADD IV","PADD 4",IF($M11816="PADD V","PADD 5","")))))</f>
        <v/>
      </c>
      <c r="G11816" s="6">
        <f>IF(AND($H11816="ATMOS DISTILLATION",ISNUMBER(SEARCH("VPS",$I11816))=FALSE,LEFT($I11816,6)&lt;&gt;"VACUUM"),"CDU",IF($H11816="FLUID CAT CRACKING","FCC",IF(OR($H11816="HYDROCRACKING",$H11816="RESID_HYDROCRACKING"),"Hydrocracker",IF($H11816="REFORMING","Reformer",""))))</f>
        <v/>
      </c>
    </row>
    <row r="11817" spans="6:7">
      <c r="F11817" s="6">
        <f>IF($M11817="PADD I","PADD 1",IF($M11817="PADD II","PADD 2",IF($M11817="PADD III","PADD 3",IF($M11817="PADD IV","PADD 4",IF($M11817="PADD V","PADD 5","")))))</f>
        <v/>
      </c>
      <c r="G11817" s="6">
        <f>IF(AND($H11817="ATMOS DISTILLATION",ISNUMBER(SEARCH("VPS",$I11817))=FALSE,LEFT($I11817,6)&lt;&gt;"VACUUM"),"CDU",IF($H11817="FLUID CAT CRACKING","FCC",IF(OR($H11817="HYDROCRACKING",$H11817="RESID_HYDROCRACKING"),"Hydrocracker",IF($H11817="REFORMING","Reformer",""))))</f>
        <v/>
      </c>
    </row>
    <row r="11818" spans="6:7">
      <c r="F11818" s="6">
        <f>IF($M11818="PADD I","PADD 1",IF($M11818="PADD II","PADD 2",IF($M11818="PADD III","PADD 3",IF($M11818="PADD IV","PADD 4",IF($M11818="PADD V","PADD 5","")))))</f>
        <v/>
      </c>
      <c r="G11818" s="6">
        <f>IF(AND($H11818="ATMOS DISTILLATION",ISNUMBER(SEARCH("VPS",$I11818))=FALSE,LEFT($I11818,6)&lt;&gt;"VACUUM"),"CDU",IF($H11818="FLUID CAT CRACKING","FCC",IF(OR($H11818="HYDROCRACKING",$H11818="RESID_HYDROCRACKING"),"Hydrocracker",IF($H11818="REFORMING","Reformer",""))))</f>
        <v/>
      </c>
    </row>
    <row r="11819" spans="6:7">
      <c r="F11819" s="6">
        <f>IF($M11819="PADD I","PADD 1",IF($M11819="PADD II","PADD 2",IF($M11819="PADD III","PADD 3",IF($M11819="PADD IV","PADD 4",IF($M11819="PADD V","PADD 5","")))))</f>
        <v/>
      </c>
      <c r="G11819" s="6">
        <f>IF(AND($H11819="ATMOS DISTILLATION",ISNUMBER(SEARCH("VPS",$I11819))=FALSE,LEFT($I11819,6)&lt;&gt;"VACUUM"),"CDU",IF($H11819="FLUID CAT CRACKING","FCC",IF(OR($H11819="HYDROCRACKING",$H11819="RESID_HYDROCRACKING"),"Hydrocracker",IF($H11819="REFORMING","Reformer",""))))</f>
        <v/>
      </c>
    </row>
    <row r="11820" spans="6:7">
      <c r="F11820" s="6">
        <f>IF($M11820="PADD I","PADD 1",IF($M11820="PADD II","PADD 2",IF($M11820="PADD III","PADD 3",IF($M11820="PADD IV","PADD 4",IF($M11820="PADD V","PADD 5","")))))</f>
        <v/>
      </c>
      <c r="G11820" s="6">
        <f>IF(AND($H11820="ATMOS DISTILLATION",ISNUMBER(SEARCH("VPS",$I11820))=FALSE,LEFT($I11820,6)&lt;&gt;"VACUUM"),"CDU",IF($H11820="FLUID CAT CRACKING","FCC",IF(OR($H11820="HYDROCRACKING",$H11820="RESID_HYDROCRACKING"),"Hydrocracker",IF($H11820="REFORMING","Reformer",""))))</f>
        <v/>
      </c>
    </row>
    <row r="11821" spans="6:7">
      <c r="F11821" s="6">
        <f>IF($M11821="PADD I","PADD 1",IF($M11821="PADD II","PADD 2",IF($M11821="PADD III","PADD 3",IF($M11821="PADD IV","PADD 4",IF($M11821="PADD V","PADD 5","")))))</f>
        <v/>
      </c>
      <c r="G11821" s="6">
        <f>IF(AND($H11821="ATMOS DISTILLATION",ISNUMBER(SEARCH("VPS",$I11821))=FALSE,LEFT($I11821,6)&lt;&gt;"VACUUM"),"CDU",IF($H11821="FLUID CAT CRACKING","FCC",IF(OR($H11821="HYDROCRACKING",$H11821="RESID_HYDROCRACKING"),"Hydrocracker",IF($H11821="REFORMING","Reformer",""))))</f>
        <v/>
      </c>
    </row>
    <row r="11822" spans="6:7">
      <c r="F11822" s="6">
        <f>IF($M11822="PADD I","PADD 1",IF($M11822="PADD II","PADD 2",IF($M11822="PADD III","PADD 3",IF($M11822="PADD IV","PADD 4",IF($M11822="PADD V","PADD 5","")))))</f>
        <v/>
      </c>
      <c r="G11822" s="6">
        <f>IF(AND($H11822="ATMOS DISTILLATION",ISNUMBER(SEARCH("VPS",$I11822))=FALSE,LEFT($I11822,6)&lt;&gt;"VACUUM"),"CDU",IF($H11822="FLUID CAT CRACKING","FCC",IF(OR($H11822="HYDROCRACKING",$H11822="RESID_HYDROCRACKING"),"Hydrocracker",IF($H11822="REFORMING","Reformer",""))))</f>
        <v/>
      </c>
    </row>
    <row r="11823" spans="6:7">
      <c r="F11823" s="6">
        <f>IF($M11823="PADD I","PADD 1",IF($M11823="PADD II","PADD 2",IF($M11823="PADD III","PADD 3",IF($M11823="PADD IV","PADD 4",IF($M11823="PADD V","PADD 5","")))))</f>
        <v/>
      </c>
      <c r="G11823" s="6">
        <f>IF(AND($H11823="ATMOS DISTILLATION",ISNUMBER(SEARCH("VPS",$I11823))=FALSE,LEFT($I11823,6)&lt;&gt;"VACUUM"),"CDU",IF($H11823="FLUID CAT CRACKING","FCC",IF(OR($H11823="HYDROCRACKING",$H11823="RESID_HYDROCRACKING"),"Hydrocracker",IF($H11823="REFORMING","Reformer",""))))</f>
        <v/>
      </c>
    </row>
    <row r="11824" spans="6:7">
      <c r="F11824" s="6">
        <f>IF($M11824="PADD I","PADD 1",IF($M11824="PADD II","PADD 2",IF($M11824="PADD III","PADD 3",IF($M11824="PADD IV","PADD 4",IF($M11824="PADD V","PADD 5","")))))</f>
        <v/>
      </c>
      <c r="G11824" s="6">
        <f>IF(AND($H11824="ATMOS DISTILLATION",ISNUMBER(SEARCH("VPS",$I11824))=FALSE,LEFT($I11824,6)&lt;&gt;"VACUUM"),"CDU",IF($H11824="FLUID CAT CRACKING","FCC",IF(OR($H11824="HYDROCRACKING",$H11824="RESID_HYDROCRACKING"),"Hydrocracker",IF($H11824="REFORMING","Reformer",""))))</f>
        <v/>
      </c>
    </row>
    <row r="11825" spans="6:7">
      <c r="F11825" s="6">
        <f>IF($M11825="PADD I","PADD 1",IF($M11825="PADD II","PADD 2",IF($M11825="PADD III","PADD 3",IF($M11825="PADD IV","PADD 4",IF($M11825="PADD V","PADD 5","")))))</f>
        <v/>
      </c>
      <c r="G11825" s="6">
        <f>IF(AND($H11825="ATMOS DISTILLATION",ISNUMBER(SEARCH("VPS",$I11825))=FALSE,LEFT($I11825,6)&lt;&gt;"VACUUM"),"CDU",IF($H11825="FLUID CAT CRACKING","FCC",IF(OR($H11825="HYDROCRACKING",$H11825="RESID_HYDROCRACKING"),"Hydrocracker",IF($H11825="REFORMING","Reformer",""))))</f>
        <v/>
      </c>
    </row>
    <row r="11826" spans="6:7">
      <c r="F11826" s="6">
        <f>IF($M11826="PADD I","PADD 1",IF($M11826="PADD II","PADD 2",IF($M11826="PADD III","PADD 3",IF($M11826="PADD IV","PADD 4",IF($M11826="PADD V","PADD 5","")))))</f>
        <v/>
      </c>
      <c r="G11826" s="6">
        <f>IF(AND($H11826="ATMOS DISTILLATION",ISNUMBER(SEARCH("VPS",$I11826))=FALSE,LEFT($I11826,6)&lt;&gt;"VACUUM"),"CDU",IF($H11826="FLUID CAT CRACKING","FCC",IF(OR($H11826="HYDROCRACKING",$H11826="RESID_HYDROCRACKING"),"Hydrocracker",IF($H11826="REFORMING","Reformer",""))))</f>
        <v/>
      </c>
    </row>
    <row r="11827" spans="6:7">
      <c r="F11827" s="6">
        <f>IF($M11827="PADD I","PADD 1",IF($M11827="PADD II","PADD 2",IF($M11827="PADD III","PADD 3",IF($M11827="PADD IV","PADD 4",IF($M11827="PADD V","PADD 5","")))))</f>
        <v/>
      </c>
      <c r="G11827" s="6">
        <f>IF(AND($H11827="ATMOS DISTILLATION",ISNUMBER(SEARCH("VPS",$I11827))=FALSE,LEFT($I11827,6)&lt;&gt;"VACUUM"),"CDU",IF($H11827="FLUID CAT CRACKING","FCC",IF(OR($H11827="HYDROCRACKING",$H11827="RESID_HYDROCRACKING"),"Hydrocracker",IF($H11827="REFORMING","Reformer",""))))</f>
        <v/>
      </c>
    </row>
    <row r="11828" spans="6:7">
      <c r="F11828" s="6">
        <f>IF($M11828="PADD I","PADD 1",IF($M11828="PADD II","PADD 2",IF($M11828="PADD III","PADD 3",IF($M11828="PADD IV","PADD 4",IF($M11828="PADD V","PADD 5","")))))</f>
        <v/>
      </c>
      <c r="G11828" s="6">
        <f>IF(AND($H11828="ATMOS DISTILLATION",ISNUMBER(SEARCH("VPS",$I11828))=FALSE,LEFT($I11828,6)&lt;&gt;"VACUUM"),"CDU",IF($H11828="FLUID CAT CRACKING","FCC",IF(OR($H11828="HYDROCRACKING",$H11828="RESID_HYDROCRACKING"),"Hydrocracker",IF($H11828="REFORMING","Reformer",""))))</f>
        <v/>
      </c>
    </row>
    <row r="11829" spans="6:7">
      <c r="F11829" s="6">
        <f>IF($M11829="PADD I","PADD 1",IF($M11829="PADD II","PADD 2",IF($M11829="PADD III","PADD 3",IF($M11829="PADD IV","PADD 4",IF($M11829="PADD V","PADD 5","")))))</f>
        <v/>
      </c>
      <c r="G11829" s="6">
        <f>IF(AND($H11829="ATMOS DISTILLATION",ISNUMBER(SEARCH("VPS",$I11829))=FALSE,LEFT($I11829,6)&lt;&gt;"VACUUM"),"CDU",IF($H11829="FLUID CAT CRACKING","FCC",IF(OR($H11829="HYDROCRACKING",$H11829="RESID_HYDROCRACKING"),"Hydrocracker",IF($H11829="REFORMING","Reformer",""))))</f>
        <v/>
      </c>
    </row>
    <row r="11830" spans="6:7">
      <c r="F11830" s="6">
        <f>IF($M11830="PADD I","PADD 1",IF($M11830="PADD II","PADD 2",IF($M11830="PADD III","PADD 3",IF($M11830="PADD IV","PADD 4",IF($M11830="PADD V","PADD 5","")))))</f>
        <v/>
      </c>
      <c r="G11830" s="6">
        <f>IF(AND($H11830="ATMOS DISTILLATION",ISNUMBER(SEARCH("VPS",$I11830))=FALSE,LEFT($I11830,6)&lt;&gt;"VACUUM"),"CDU",IF($H11830="FLUID CAT CRACKING","FCC",IF(OR($H11830="HYDROCRACKING",$H11830="RESID_HYDROCRACKING"),"Hydrocracker",IF($H11830="REFORMING","Reformer",""))))</f>
        <v/>
      </c>
    </row>
    <row r="11831" spans="6:7">
      <c r="F11831" s="6">
        <f>IF($M11831="PADD I","PADD 1",IF($M11831="PADD II","PADD 2",IF($M11831="PADD III","PADD 3",IF($M11831="PADD IV","PADD 4",IF($M11831="PADD V","PADD 5","")))))</f>
        <v/>
      </c>
      <c r="G11831" s="6">
        <f>IF(AND($H11831="ATMOS DISTILLATION",ISNUMBER(SEARCH("VPS",$I11831))=FALSE,LEFT($I11831,6)&lt;&gt;"VACUUM"),"CDU",IF($H11831="FLUID CAT CRACKING","FCC",IF(OR($H11831="HYDROCRACKING",$H11831="RESID_HYDROCRACKING"),"Hydrocracker",IF($H11831="REFORMING","Reformer",""))))</f>
        <v/>
      </c>
    </row>
    <row r="11832" spans="6:7">
      <c r="F11832" s="6">
        <f>IF($M11832="PADD I","PADD 1",IF($M11832="PADD II","PADD 2",IF($M11832="PADD III","PADD 3",IF($M11832="PADD IV","PADD 4",IF($M11832="PADD V","PADD 5","")))))</f>
        <v/>
      </c>
      <c r="G11832" s="6">
        <f>IF(AND($H11832="ATMOS DISTILLATION",ISNUMBER(SEARCH("VPS",$I11832))=FALSE,LEFT($I11832,6)&lt;&gt;"VACUUM"),"CDU",IF($H11832="FLUID CAT CRACKING","FCC",IF(OR($H11832="HYDROCRACKING",$H11832="RESID_HYDROCRACKING"),"Hydrocracker",IF($H11832="REFORMING","Reformer",""))))</f>
        <v/>
      </c>
    </row>
    <row r="11833" spans="6:7">
      <c r="F11833" s="6">
        <f>IF($M11833="PADD I","PADD 1",IF($M11833="PADD II","PADD 2",IF($M11833="PADD III","PADD 3",IF($M11833="PADD IV","PADD 4",IF($M11833="PADD V","PADD 5","")))))</f>
        <v/>
      </c>
      <c r="G11833" s="6">
        <f>IF(AND($H11833="ATMOS DISTILLATION",ISNUMBER(SEARCH("VPS",$I11833))=FALSE,LEFT($I11833,6)&lt;&gt;"VACUUM"),"CDU",IF($H11833="FLUID CAT CRACKING","FCC",IF(OR($H11833="HYDROCRACKING",$H11833="RESID_HYDROCRACKING"),"Hydrocracker",IF($H11833="REFORMING","Reformer",""))))</f>
        <v/>
      </c>
    </row>
    <row r="11834" spans="6:7">
      <c r="F11834" s="6">
        <f>IF($M11834="PADD I","PADD 1",IF($M11834="PADD II","PADD 2",IF($M11834="PADD III","PADD 3",IF($M11834="PADD IV","PADD 4",IF($M11834="PADD V","PADD 5","")))))</f>
        <v/>
      </c>
      <c r="G11834" s="6">
        <f>IF(AND($H11834="ATMOS DISTILLATION",ISNUMBER(SEARCH("VPS",$I11834))=FALSE,LEFT($I11834,6)&lt;&gt;"VACUUM"),"CDU",IF($H11834="FLUID CAT CRACKING","FCC",IF(OR($H11834="HYDROCRACKING",$H11834="RESID_HYDROCRACKING"),"Hydrocracker",IF($H11834="REFORMING","Reformer",""))))</f>
        <v/>
      </c>
    </row>
    <row r="11835" spans="6:7">
      <c r="F11835" s="6">
        <f>IF($M11835="PADD I","PADD 1",IF($M11835="PADD II","PADD 2",IF($M11835="PADD III","PADD 3",IF($M11835="PADD IV","PADD 4",IF($M11835="PADD V","PADD 5","")))))</f>
        <v/>
      </c>
      <c r="G11835" s="6">
        <f>IF(AND($H11835="ATMOS DISTILLATION",ISNUMBER(SEARCH("VPS",$I11835))=FALSE,LEFT($I11835,6)&lt;&gt;"VACUUM"),"CDU",IF($H11835="FLUID CAT CRACKING","FCC",IF(OR($H11835="HYDROCRACKING",$H11835="RESID_HYDROCRACKING"),"Hydrocracker",IF($H11835="REFORMING","Reformer",""))))</f>
        <v/>
      </c>
    </row>
    <row r="11836" spans="6:7">
      <c r="F11836" s="6">
        <f>IF($M11836="PADD I","PADD 1",IF($M11836="PADD II","PADD 2",IF($M11836="PADD III","PADD 3",IF($M11836="PADD IV","PADD 4",IF($M11836="PADD V","PADD 5","")))))</f>
        <v/>
      </c>
      <c r="G11836" s="6">
        <f>IF(AND($H11836="ATMOS DISTILLATION",ISNUMBER(SEARCH("VPS",$I11836))=FALSE,LEFT($I11836,6)&lt;&gt;"VACUUM"),"CDU",IF($H11836="FLUID CAT CRACKING","FCC",IF(OR($H11836="HYDROCRACKING",$H11836="RESID_HYDROCRACKING"),"Hydrocracker",IF($H11836="REFORMING","Reformer",""))))</f>
        <v/>
      </c>
    </row>
    <row r="11837" spans="6:7">
      <c r="F11837" s="6">
        <f>IF($M11837="PADD I","PADD 1",IF($M11837="PADD II","PADD 2",IF($M11837="PADD III","PADD 3",IF($M11837="PADD IV","PADD 4",IF($M11837="PADD V","PADD 5","")))))</f>
        <v/>
      </c>
      <c r="G11837" s="6">
        <f>IF(AND($H11837="ATMOS DISTILLATION",ISNUMBER(SEARCH("VPS",$I11837))=FALSE,LEFT($I11837,6)&lt;&gt;"VACUUM"),"CDU",IF($H11837="FLUID CAT CRACKING","FCC",IF(OR($H11837="HYDROCRACKING",$H11837="RESID_HYDROCRACKING"),"Hydrocracker",IF($H11837="REFORMING","Reformer",""))))</f>
        <v/>
      </c>
    </row>
    <row r="11838" spans="6:7">
      <c r="F11838" s="6">
        <f>IF($M11838="PADD I","PADD 1",IF($M11838="PADD II","PADD 2",IF($M11838="PADD III","PADD 3",IF($M11838="PADD IV","PADD 4",IF($M11838="PADD V","PADD 5","")))))</f>
        <v/>
      </c>
      <c r="G11838" s="6">
        <f>IF(AND($H11838="ATMOS DISTILLATION",ISNUMBER(SEARCH("VPS",$I11838))=FALSE,LEFT($I11838,6)&lt;&gt;"VACUUM"),"CDU",IF($H11838="FLUID CAT CRACKING","FCC",IF(OR($H11838="HYDROCRACKING",$H11838="RESID_HYDROCRACKING"),"Hydrocracker",IF($H11838="REFORMING","Reformer",""))))</f>
        <v/>
      </c>
    </row>
    <row r="11839" spans="6:7">
      <c r="F11839" s="6">
        <f>IF($M11839="PADD I","PADD 1",IF($M11839="PADD II","PADD 2",IF($M11839="PADD III","PADD 3",IF($M11839="PADD IV","PADD 4",IF($M11839="PADD V","PADD 5","")))))</f>
        <v/>
      </c>
      <c r="G11839" s="6">
        <f>IF(AND($H11839="ATMOS DISTILLATION",ISNUMBER(SEARCH("VPS",$I11839))=FALSE,LEFT($I11839,6)&lt;&gt;"VACUUM"),"CDU",IF($H11839="FLUID CAT CRACKING","FCC",IF(OR($H11839="HYDROCRACKING",$H11839="RESID_HYDROCRACKING"),"Hydrocracker",IF($H11839="REFORMING","Reformer",""))))</f>
        <v/>
      </c>
    </row>
    <row r="11840" spans="6:7">
      <c r="F11840" s="6">
        <f>IF($M11840="PADD I","PADD 1",IF($M11840="PADD II","PADD 2",IF($M11840="PADD III","PADD 3",IF($M11840="PADD IV","PADD 4",IF($M11840="PADD V","PADD 5","")))))</f>
        <v/>
      </c>
      <c r="G11840" s="6">
        <f>IF(AND($H11840="ATMOS DISTILLATION",ISNUMBER(SEARCH("VPS",$I11840))=FALSE,LEFT($I11840,6)&lt;&gt;"VACUUM"),"CDU",IF($H11840="FLUID CAT CRACKING","FCC",IF(OR($H11840="HYDROCRACKING",$H11840="RESID_HYDROCRACKING"),"Hydrocracker",IF($H11840="REFORMING","Reformer",""))))</f>
        <v/>
      </c>
    </row>
    <row r="11841" spans="6:7">
      <c r="F11841" s="6">
        <f>IF($M11841="PADD I","PADD 1",IF($M11841="PADD II","PADD 2",IF($M11841="PADD III","PADD 3",IF($M11841="PADD IV","PADD 4",IF($M11841="PADD V","PADD 5","")))))</f>
        <v/>
      </c>
      <c r="G11841" s="6">
        <f>IF(AND($H11841="ATMOS DISTILLATION",ISNUMBER(SEARCH("VPS",$I11841))=FALSE,LEFT($I11841,6)&lt;&gt;"VACUUM"),"CDU",IF($H11841="FLUID CAT CRACKING","FCC",IF(OR($H11841="HYDROCRACKING",$H11841="RESID_HYDROCRACKING"),"Hydrocracker",IF($H11841="REFORMING","Reformer",""))))</f>
        <v/>
      </c>
    </row>
    <row r="11842" spans="6:7">
      <c r="F11842" s="6">
        <f>IF($M11842="PADD I","PADD 1",IF($M11842="PADD II","PADD 2",IF($M11842="PADD III","PADD 3",IF($M11842="PADD IV","PADD 4",IF($M11842="PADD V","PADD 5","")))))</f>
        <v/>
      </c>
      <c r="G11842" s="6">
        <f>IF(AND($H11842="ATMOS DISTILLATION",ISNUMBER(SEARCH("VPS",$I11842))=FALSE,LEFT($I11842,6)&lt;&gt;"VACUUM"),"CDU",IF($H11842="FLUID CAT CRACKING","FCC",IF(OR($H11842="HYDROCRACKING",$H11842="RESID_HYDROCRACKING"),"Hydrocracker",IF($H11842="REFORMING","Reformer",""))))</f>
        <v/>
      </c>
    </row>
    <row r="11843" spans="6:7">
      <c r="F11843" s="6">
        <f>IF($M11843="PADD I","PADD 1",IF($M11843="PADD II","PADD 2",IF($M11843="PADD III","PADD 3",IF($M11843="PADD IV","PADD 4",IF($M11843="PADD V","PADD 5","")))))</f>
        <v/>
      </c>
      <c r="G11843" s="6">
        <f>IF(AND($H11843="ATMOS DISTILLATION",ISNUMBER(SEARCH("VPS",$I11843))=FALSE,LEFT($I11843,6)&lt;&gt;"VACUUM"),"CDU",IF($H11843="FLUID CAT CRACKING","FCC",IF(OR($H11843="HYDROCRACKING",$H11843="RESID_HYDROCRACKING"),"Hydrocracker",IF($H11843="REFORMING","Reformer",""))))</f>
        <v/>
      </c>
    </row>
    <row r="11844" spans="6:7">
      <c r="F11844" s="6">
        <f>IF($M11844="PADD I","PADD 1",IF($M11844="PADD II","PADD 2",IF($M11844="PADD III","PADD 3",IF($M11844="PADD IV","PADD 4",IF($M11844="PADD V","PADD 5","")))))</f>
        <v/>
      </c>
      <c r="G11844" s="6">
        <f>IF(AND($H11844="ATMOS DISTILLATION",ISNUMBER(SEARCH("VPS",$I11844))=FALSE,LEFT($I11844,6)&lt;&gt;"VACUUM"),"CDU",IF($H11844="FLUID CAT CRACKING","FCC",IF(OR($H11844="HYDROCRACKING",$H11844="RESID_HYDROCRACKING"),"Hydrocracker",IF($H11844="REFORMING","Reformer",""))))</f>
        <v/>
      </c>
    </row>
    <row r="11845" spans="6:7">
      <c r="F11845" s="6">
        <f>IF($M11845="PADD I","PADD 1",IF($M11845="PADD II","PADD 2",IF($M11845="PADD III","PADD 3",IF($M11845="PADD IV","PADD 4",IF($M11845="PADD V","PADD 5","")))))</f>
        <v/>
      </c>
      <c r="G11845" s="6">
        <f>IF(AND($H11845="ATMOS DISTILLATION",ISNUMBER(SEARCH("VPS",$I11845))=FALSE,LEFT($I11845,6)&lt;&gt;"VACUUM"),"CDU",IF($H11845="FLUID CAT CRACKING","FCC",IF(OR($H11845="HYDROCRACKING",$H11845="RESID_HYDROCRACKING"),"Hydrocracker",IF($H11845="REFORMING","Reformer",""))))</f>
        <v/>
      </c>
    </row>
    <row r="11846" spans="6:7">
      <c r="F11846" s="6">
        <f>IF($M11846="PADD I","PADD 1",IF($M11846="PADD II","PADD 2",IF($M11846="PADD III","PADD 3",IF($M11846="PADD IV","PADD 4",IF($M11846="PADD V","PADD 5","")))))</f>
        <v/>
      </c>
      <c r="G11846" s="6">
        <f>IF(AND($H11846="ATMOS DISTILLATION",ISNUMBER(SEARCH("VPS",$I11846))=FALSE,LEFT($I11846,6)&lt;&gt;"VACUUM"),"CDU",IF($H11846="FLUID CAT CRACKING","FCC",IF(OR($H11846="HYDROCRACKING",$H11846="RESID_HYDROCRACKING"),"Hydrocracker",IF($H11846="REFORMING","Reformer",""))))</f>
        <v/>
      </c>
    </row>
    <row r="11847" spans="6:7">
      <c r="F11847" s="6">
        <f>IF($M11847="PADD I","PADD 1",IF($M11847="PADD II","PADD 2",IF($M11847="PADD III","PADD 3",IF($M11847="PADD IV","PADD 4",IF($M11847="PADD V","PADD 5","")))))</f>
        <v/>
      </c>
      <c r="G11847" s="6">
        <f>IF(AND($H11847="ATMOS DISTILLATION",ISNUMBER(SEARCH("VPS",$I11847))=FALSE,LEFT($I11847,6)&lt;&gt;"VACUUM"),"CDU",IF($H11847="FLUID CAT CRACKING","FCC",IF(OR($H11847="HYDROCRACKING",$H11847="RESID_HYDROCRACKING"),"Hydrocracker",IF($H11847="REFORMING","Reformer",""))))</f>
        <v/>
      </c>
    </row>
    <row r="11848" spans="6:7">
      <c r="F11848" s="6">
        <f>IF($M11848="PADD I","PADD 1",IF($M11848="PADD II","PADD 2",IF($M11848="PADD III","PADD 3",IF($M11848="PADD IV","PADD 4",IF($M11848="PADD V","PADD 5","")))))</f>
        <v/>
      </c>
      <c r="G11848" s="6">
        <f>IF(AND($H11848="ATMOS DISTILLATION",ISNUMBER(SEARCH("VPS",$I11848))=FALSE,LEFT($I11848,6)&lt;&gt;"VACUUM"),"CDU",IF($H11848="FLUID CAT CRACKING","FCC",IF(OR($H11848="HYDROCRACKING",$H11848="RESID_HYDROCRACKING"),"Hydrocracker",IF($H11848="REFORMING","Reformer",""))))</f>
        <v/>
      </c>
    </row>
    <row r="11849" spans="6:7">
      <c r="F11849" s="6">
        <f>IF($M11849="PADD I","PADD 1",IF($M11849="PADD II","PADD 2",IF($M11849="PADD III","PADD 3",IF($M11849="PADD IV","PADD 4",IF($M11849="PADD V","PADD 5","")))))</f>
        <v/>
      </c>
      <c r="G11849" s="6">
        <f>IF(AND($H11849="ATMOS DISTILLATION",ISNUMBER(SEARCH("VPS",$I11849))=FALSE,LEFT($I11849,6)&lt;&gt;"VACUUM"),"CDU",IF($H11849="FLUID CAT CRACKING","FCC",IF(OR($H11849="HYDROCRACKING",$H11849="RESID_HYDROCRACKING"),"Hydrocracker",IF($H11849="REFORMING","Reformer",""))))</f>
        <v/>
      </c>
    </row>
    <row r="11850" spans="6:7">
      <c r="F11850" s="6">
        <f>IF($M11850="PADD I","PADD 1",IF($M11850="PADD II","PADD 2",IF($M11850="PADD III","PADD 3",IF($M11850="PADD IV","PADD 4",IF($M11850="PADD V","PADD 5","")))))</f>
        <v/>
      </c>
      <c r="G11850" s="6">
        <f>IF(AND($H11850="ATMOS DISTILLATION",ISNUMBER(SEARCH("VPS",$I11850))=FALSE,LEFT($I11850,6)&lt;&gt;"VACUUM"),"CDU",IF($H11850="FLUID CAT CRACKING","FCC",IF(OR($H11850="HYDROCRACKING",$H11850="RESID_HYDROCRACKING"),"Hydrocracker",IF($H11850="REFORMING","Reformer",""))))</f>
        <v/>
      </c>
    </row>
    <row r="11851" spans="6:7">
      <c r="F11851" s="6">
        <f>IF($M11851="PADD I","PADD 1",IF($M11851="PADD II","PADD 2",IF($M11851="PADD III","PADD 3",IF($M11851="PADD IV","PADD 4",IF($M11851="PADD V","PADD 5","")))))</f>
        <v/>
      </c>
      <c r="G11851" s="6">
        <f>IF(AND($H11851="ATMOS DISTILLATION",ISNUMBER(SEARCH("VPS",$I11851))=FALSE,LEFT($I11851,6)&lt;&gt;"VACUUM"),"CDU",IF($H11851="FLUID CAT CRACKING","FCC",IF(OR($H11851="HYDROCRACKING",$H11851="RESID_HYDROCRACKING"),"Hydrocracker",IF($H11851="REFORMING","Reformer",""))))</f>
        <v/>
      </c>
    </row>
    <row r="11852" spans="6:7">
      <c r="F11852" s="6">
        <f>IF($M11852="PADD I","PADD 1",IF($M11852="PADD II","PADD 2",IF($M11852="PADD III","PADD 3",IF($M11852="PADD IV","PADD 4",IF($M11852="PADD V","PADD 5","")))))</f>
        <v/>
      </c>
      <c r="G11852" s="6">
        <f>IF(AND($H11852="ATMOS DISTILLATION",ISNUMBER(SEARCH("VPS",$I11852))=FALSE,LEFT($I11852,6)&lt;&gt;"VACUUM"),"CDU",IF($H11852="FLUID CAT CRACKING","FCC",IF(OR($H11852="HYDROCRACKING",$H11852="RESID_HYDROCRACKING"),"Hydrocracker",IF($H11852="REFORMING","Reformer",""))))</f>
        <v/>
      </c>
    </row>
    <row r="11853" spans="6:7">
      <c r="F11853" s="6">
        <f>IF($M11853="PADD I","PADD 1",IF($M11853="PADD II","PADD 2",IF($M11853="PADD III","PADD 3",IF($M11853="PADD IV","PADD 4",IF($M11853="PADD V","PADD 5","")))))</f>
        <v/>
      </c>
      <c r="G11853" s="6">
        <f>IF(AND($H11853="ATMOS DISTILLATION",ISNUMBER(SEARCH("VPS",$I11853))=FALSE,LEFT($I11853,6)&lt;&gt;"VACUUM"),"CDU",IF($H11853="FLUID CAT CRACKING","FCC",IF(OR($H11853="HYDROCRACKING",$H11853="RESID_HYDROCRACKING"),"Hydrocracker",IF($H11853="REFORMING","Reformer",""))))</f>
        <v/>
      </c>
    </row>
    <row r="11854" spans="6:7">
      <c r="F11854" s="6">
        <f>IF($M11854="PADD I","PADD 1",IF($M11854="PADD II","PADD 2",IF($M11854="PADD III","PADD 3",IF($M11854="PADD IV","PADD 4",IF($M11854="PADD V","PADD 5","")))))</f>
        <v/>
      </c>
      <c r="G11854" s="6">
        <f>IF(AND($H11854="ATMOS DISTILLATION",ISNUMBER(SEARCH("VPS",$I11854))=FALSE,LEFT($I11854,6)&lt;&gt;"VACUUM"),"CDU",IF($H11854="FLUID CAT CRACKING","FCC",IF(OR($H11854="HYDROCRACKING",$H11854="RESID_HYDROCRACKING"),"Hydrocracker",IF($H11854="REFORMING","Reformer",""))))</f>
        <v/>
      </c>
    </row>
    <row r="11855" spans="6:7">
      <c r="F11855" s="6">
        <f>IF($M11855="PADD I","PADD 1",IF($M11855="PADD II","PADD 2",IF($M11855="PADD III","PADD 3",IF($M11855="PADD IV","PADD 4",IF($M11855="PADD V","PADD 5","")))))</f>
        <v/>
      </c>
      <c r="G11855" s="6">
        <f>IF(AND($H11855="ATMOS DISTILLATION",ISNUMBER(SEARCH("VPS",$I11855))=FALSE,LEFT($I11855,6)&lt;&gt;"VACUUM"),"CDU",IF($H11855="FLUID CAT CRACKING","FCC",IF(OR($H11855="HYDROCRACKING",$H11855="RESID_HYDROCRACKING"),"Hydrocracker",IF($H11855="REFORMING","Reformer",""))))</f>
        <v/>
      </c>
    </row>
    <row r="11856" spans="6:7">
      <c r="F11856" s="6">
        <f>IF($M11856="PADD I","PADD 1",IF($M11856="PADD II","PADD 2",IF($M11856="PADD III","PADD 3",IF($M11856="PADD IV","PADD 4",IF($M11856="PADD V","PADD 5","")))))</f>
        <v/>
      </c>
      <c r="G11856" s="6">
        <f>IF(AND($H11856="ATMOS DISTILLATION",ISNUMBER(SEARCH("VPS",$I11856))=FALSE,LEFT($I11856,6)&lt;&gt;"VACUUM"),"CDU",IF($H11856="FLUID CAT CRACKING","FCC",IF(OR($H11856="HYDROCRACKING",$H11856="RESID_HYDROCRACKING"),"Hydrocracker",IF($H11856="REFORMING","Reformer",""))))</f>
        <v/>
      </c>
    </row>
    <row r="11857" spans="6:7">
      <c r="F11857" s="6">
        <f>IF($M11857="PADD I","PADD 1",IF($M11857="PADD II","PADD 2",IF($M11857="PADD III","PADD 3",IF($M11857="PADD IV","PADD 4",IF($M11857="PADD V","PADD 5","")))))</f>
        <v/>
      </c>
      <c r="G11857" s="6">
        <f>IF(AND($H11857="ATMOS DISTILLATION",ISNUMBER(SEARCH("VPS",$I11857))=FALSE,LEFT($I11857,6)&lt;&gt;"VACUUM"),"CDU",IF($H11857="FLUID CAT CRACKING","FCC",IF(OR($H11857="HYDROCRACKING",$H11857="RESID_HYDROCRACKING"),"Hydrocracker",IF($H11857="REFORMING","Reformer",""))))</f>
        <v/>
      </c>
    </row>
    <row r="11858" spans="6:7">
      <c r="F11858" s="6">
        <f>IF($M11858="PADD I","PADD 1",IF($M11858="PADD II","PADD 2",IF($M11858="PADD III","PADD 3",IF($M11858="PADD IV","PADD 4",IF($M11858="PADD V","PADD 5","")))))</f>
        <v/>
      </c>
      <c r="G11858" s="6">
        <f>IF(AND($H11858="ATMOS DISTILLATION",ISNUMBER(SEARCH("VPS",$I11858))=FALSE,LEFT($I11858,6)&lt;&gt;"VACUUM"),"CDU",IF($H11858="FLUID CAT CRACKING","FCC",IF(OR($H11858="HYDROCRACKING",$H11858="RESID_HYDROCRACKING"),"Hydrocracker",IF($H11858="REFORMING","Reformer",""))))</f>
        <v/>
      </c>
    </row>
    <row r="11859" spans="6:7">
      <c r="F11859" s="6">
        <f>IF($M11859="PADD I","PADD 1",IF($M11859="PADD II","PADD 2",IF($M11859="PADD III","PADD 3",IF($M11859="PADD IV","PADD 4",IF($M11859="PADD V","PADD 5","")))))</f>
        <v/>
      </c>
      <c r="G11859" s="6">
        <f>IF(AND($H11859="ATMOS DISTILLATION",ISNUMBER(SEARCH("VPS",$I11859))=FALSE,LEFT($I11859,6)&lt;&gt;"VACUUM"),"CDU",IF($H11859="FLUID CAT CRACKING","FCC",IF(OR($H11859="HYDROCRACKING",$H11859="RESID_HYDROCRACKING"),"Hydrocracker",IF($H11859="REFORMING","Reformer",""))))</f>
        <v/>
      </c>
    </row>
    <row r="11860" spans="6:7">
      <c r="F11860" s="6">
        <f>IF($M11860="PADD I","PADD 1",IF($M11860="PADD II","PADD 2",IF($M11860="PADD III","PADD 3",IF($M11860="PADD IV","PADD 4",IF($M11860="PADD V","PADD 5","")))))</f>
        <v/>
      </c>
      <c r="G11860" s="6">
        <f>IF(AND($H11860="ATMOS DISTILLATION",ISNUMBER(SEARCH("VPS",$I11860))=FALSE,LEFT($I11860,6)&lt;&gt;"VACUUM"),"CDU",IF($H11860="FLUID CAT CRACKING","FCC",IF(OR($H11860="HYDROCRACKING",$H11860="RESID_HYDROCRACKING"),"Hydrocracker",IF($H11860="REFORMING","Reformer",""))))</f>
        <v/>
      </c>
    </row>
    <row r="11861" spans="6:7">
      <c r="F11861" s="6">
        <f>IF($M11861="PADD I","PADD 1",IF($M11861="PADD II","PADD 2",IF($M11861="PADD III","PADD 3",IF($M11861="PADD IV","PADD 4",IF($M11861="PADD V","PADD 5","")))))</f>
        <v/>
      </c>
      <c r="G11861" s="6">
        <f>IF(AND($H11861="ATMOS DISTILLATION",ISNUMBER(SEARCH("VPS",$I11861))=FALSE,LEFT($I11861,6)&lt;&gt;"VACUUM"),"CDU",IF($H11861="FLUID CAT CRACKING","FCC",IF(OR($H11861="HYDROCRACKING",$H11861="RESID_HYDROCRACKING"),"Hydrocracker",IF($H11861="REFORMING","Reformer",""))))</f>
        <v/>
      </c>
    </row>
    <row r="11862" spans="6:7">
      <c r="F11862" s="6">
        <f>IF($M11862="PADD I","PADD 1",IF($M11862="PADD II","PADD 2",IF($M11862="PADD III","PADD 3",IF($M11862="PADD IV","PADD 4",IF($M11862="PADD V","PADD 5","")))))</f>
        <v/>
      </c>
      <c r="G11862" s="6">
        <f>IF(AND($H11862="ATMOS DISTILLATION",ISNUMBER(SEARCH("VPS",$I11862))=FALSE,LEFT($I11862,6)&lt;&gt;"VACUUM"),"CDU",IF($H11862="FLUID CAT CRACKING","FCC",IF(OR($H11862="HYDROCRACKING",$H11862="RESID_HYDROCRACKING"),"Hydrocracker",IF($H11862="REFORMING","Reformer",""))))</f>
        <v/>
      </c>
    </row>
    <row r="11863" spans="6:7">
      <c r="F11863" s="6">
        <f>IF($M11863="PADD I","PADD 1",IF($M11863="PADD II","PADD 2",IF($M11863="PADD III","PADD 3",IF($M11863="PADD IV","PADD 4",IF($M11863="PADD V","PADD 5","")))))</f>
        <v/>
      </c>
      <c r="G11863" s="6">
        <f>IF(AND($H11863="ATMOS DISTILLATION",ISNUMBER(SEARCH("VPS",$I11863))=FALSE,LEFT($I11863,6)&lt;&gt;"VACUUM"),"CDU",IF($H11863="FLUID CAT CRACKING","FCC",IF(OR($H11863="HYDROCRACKING",$H11863="RESID_HYDROCRACKING"),"Hydrocracker",IF($H11863="REFORMING","Reformer",""))))</f>
        <v/>
      </c>
    </row>
    <row r="11864" spans="6:7">
      <c r="F11864" s="6">
        <f>IF($M11864="PADD I","PADD 1",IF($M11864="PADD II","PADD 2",IF($M11864="PADD III","PADD 3",IF($M11864="PADD IV","PADD 4",IF($M11864="PADD V","PADD 5","")))))</f>
        <v/>
      </c>
      <c r="G11864" s="6">
        <f>IF(AND($H11864="ATMOS DISTILLATION",ISNUMBER(SEARCH("VPS",$I11864))=FALSE,LEFT($I11864,6)&lt;&gt;"VACUUM"),"CDU",IF($H11864="FLUID CAT CRACKING","FCC",IF(OR($H11864="HYDROCRACKING",$H11864="RESID_HYDROCRACKING"),"Hydrocracker",IF($H11864="REFORMING","Reformer",""))))</f>
        <v/>
      </c>
    </row>
    <row r="11865" spans="6:7">
      <c r="F11865" s="6">
        <f>IF($M11865="PADD I","PADD 1",IF($M11865="PADD II","PADD 2",IF($M11865="PADD III","PADD 3",IF($M11865="PADD IV","PADD 4",IF($M11865="PADD V","PADD 5","")))))</f>
        <v/>
      </c>
      <c r="G11865" s="6">
        <f>IF(AND($H11865="ATMOS DISTILLATION",ISNUMBER(SEARCH("VPS",$I11865))=FALSE,LEFT($I11865,6)&lt;&gt;"VACUUM"),"CDU",IF($H11865="FLUID CAT CRACKING","FCC",IF(OR($H11865="HYDROCRACKING",$H11865="RESID_HYDROCRACKING"),"Hydrocracker",IF($H11865="REFORMING","Reformer",""))))</f>
        <v/>
      </c>
    </row>
    <row r="11866" spans="6:7">
      <c r="F11866" s="6">
        <f>IF($M11866="PADD I","PADD 1",IF($M11866="PADD II","PADD 2",IF($M11866="PADD III","PADD 3",IF($M11866="PADD IV","PADD 4",IF($M11866="PADD V","PADD 5","")))))</f>
        <v/>
      </c>
      <c r="G11866" s="6">
        <f>IF(AND($H11866="ATMOS DISTILLATION",ISNUMBER(SEARCH("VPS",$I11866))=FALSE,LEFT($I11866,6)&lt;&gt;"VACUUM"),"CDU",IF($H11866="FLUID CAT CRACKING","FCC",IF(OR($H11866="HYDROCRACKING",$H11866="RESID_HYDROCRACKING"),"Hydrocracker",IF($H11866="REFORMING","Reformer",""))))</f>
        <v/>
      </c>
    </row>
    <row r="11867" spans="6:7">
      <c r="F11867" s="6">
        <f>IF($M11867="PADD I","PADD 1",IF($M11867="PADD II","PADD 2",IF($M11867="PADD III","PADD 3",IF($M11867="PADD IV","PADD 4",IF($M11867="PADD V","PADD 5","")))))</f>
        <v/>
      </c>
      <c r="G11867" s="6">
        <f>IF(AND($H11867="ATMOS DISTILLATION",ISNUMBER(SEARCH("VPS",$I11867))=FALSE,LEFT($I11867,6)&lt;&gt;"VACUUM"),"CDU",IF($H11867="FLUID CAT CRACKING","FCC",IF(OR($H11867="HYDROCRACKING",$H11867="RESID_HYDROCRACKING"),"Hydrocracker",IF($H11867="REFORMING","Reformer",""))))</f>
        <v/>
      </c>
    </row>
    <row r="11868" spans="6:7">
      <c r="F11868" s="6">
        <f>IF($M11868="PADD I","PADD 1",IF($M11868="PADD II","PADD 2",IF($M11868="PADD III","PADD 3",IF($M11868="PADD IV","PADD 4",IF($M11868="PADD V","PADD 5","")))))</f>
        <v/>
      </c>
      <c r="G11868" s="6">
        <f>IF(AND($H11868="ATMOS DISTILLATION",ISNUMBER(SEARCH("VPS",$I11868))=FALSE,LEFT($I11868,6)&lt;&gt;"VACUUM"),"CDU",IF($H11868="FLUID CAT CRACKING","FCC",IF(OR($H11868="HYDROCRACKING",$H11868="RESID_HYDROCRACKING"),"Hydrocracker",IF($H11868="REFORMING","Reformer",""))))</f>
        <v/>
      </c>
    </row>
    <row r="11869" spans="6:7">
      <c r="F11869" s="6">
        <f>IF($M11869="PADD I","PADD 1",IF($M11869="PADD II","PADD 2",IF($M11869="PADD III","PADD 3",IF($M11869="PADD IV","PADD 4",IF($M11869="PADD V","PADD 5","")))))</f>
        <v/>
      </c>
      <c r="G11869" s="6">
        <f>IF(AND($H11869="ATMOS DISTILLATION",ISNUMBER(SEARCH("VPS",$I11869))=FALSE,LEFT($I11869,6)&lt;&gt;"VACUUM"),"CDU",IF($H11869="FLUID CAT CRACKING","FCC",IF(OR($H11869="HYDROCRACKING",$H11869="RESID_HYDROCRACKING"),"Hydrocracker",IF($H11869="REFORMING","Reformer",""))))</f>
        <v/>
      </c>
    </row>
    <row r="11870" spans="6:7">
      <c r="F11870" s="6">
        <f>IF($M11870="PADD I","PADD 1",IF($M11870="PADD II","PADD 2",IF($M11870="PADD III","PADD 3",IF($M11870="PADD IV","PADD 4",IF($M11870="PADD V","PADD 5","")))))</f>
        <v/>
      </c>
      <c r="G11870" s="6">
        <f>IF(AND($H11870="ATMOS DISTILLATION",ISNUMBER(SEARCH("VPS",$I11870))=FALSE,LEFT($I11870,6)&lt;&gt;"VACUUM"),"CDU",IF($H11870="FLUID CAT CRACKING","FCC",IF(OR($H11870="HYDROCRACKING",$H11870="RESID_HYDROCRACKING"),"Hydrocracker",IF($H11870="REFORMING","Reformer",""))))</f>
        <v/>
      </c>
    </row>
    <row r="11871" spans="6:7">
      <c r="F11871" s="6">
        <f>IF($M11871="PADD I","PADD 1",IF($M11871="PADD II","PADD 2",IF($M11871="PADD III","PADD 3",IF($M11871="PADD IV","PADD 4",IF($M11871="PADD V","PADD 5","")))))</f>
        <v/>
      </c>
      <c r="G11871" s="6">
        <f>IF(AND($H11871="ATMOS DISTILLATION",ISNUMBER(SEARCH("VPS",$I11871))=FALSE,LEFT($I11871,6)&lt;&gt;"VACUUM"),"CDU",IF($H11871="FLUID CAT CRACKING","FCC",IF(OR($H11871="HYDROCRACKING",$H11871="RESID_HYDROCRACKING"),"Hydrocracker",IF($H11871="REFORMING","Reformer",""))))</f>
        <v/>
      </c>
    </row>
    <row r="11872" spans="6:7">
      <c r="F11872" s="6">
        <f>IF($M11872="PADD I","PADD 1",IF($M11872="PADD II","PADD 2",IF($M11872="PADD III","PADD 3",IF($M11872="PADD IV","PADD 4",IF($M11872="PADD V","PADD 5","")))))</f>
        <v/>
      </c>
      <c r="G11872" s="6">
        <f>IF(AND($H11872="ATMOS DISTILLATION",ISNUMBER(SEARCH("VPS",$I11872))=FALSE,LEFT($I11872,6)&lt;&gt;"VACUUM"),"CDU",IF($H11872="FLUID CAT CRACKING","FCC",IF(OR($H11872="HYDROCRACKING",$H11872="RESID_HYDROCRACKING"),"Hydrocracker",IF($H11872="REFORMING","Reformer",""))))</f>
        <v/>
      </c>
    </row>
    <row r="11873" spans="6:7">
      <c r="F11873" s="6">
        <f>IF($M11873="PADD I","PADD 1",IF($M11873="PADD II","PADD 2",IF($M11873="PADD III","PADD 3",IF($M11873="PADD IV","PADD 4",IF($M11873="PADD V","PADD 5","")))))</f>
        <v/>
      </c>
      <c r="G11873" s="6">
        <f>IF(AND($H11873="ATMOS DISTILLATION",ISNUMBER(SEARCH("VPS",$I11873))=FALSE,LEFT($I11873,6)&lt;&gt;"VACUUM"),"CDU",IF($H11873="FLUID CAT CRACKING","FCC",IF(OR($H11873="HYDROCRACKING",$H11873="RESID_HYDROCRACKING"),"Hydrocracker",IF($H11873="REFORMING","Reformer",""))))</f>
        <v/>
      </c>
    </row>
    <row r="11874" spans="6:7">
      <c r="F11874" s="6">
        <f>IF($M11874="PADD I","PADD 1",IF($M11874="PADD II","PADD 2",IF($M11874="PADD III","PADD 3",IF($M11874="PADD IV","PADD 4",IF($M11874="PADD V","PADD 5","")))))</f>
        <v/>
      </c>
      <c r="G11874" s="6">
        <f>IF(AND($H11874="ATMOS DISTILLATION",ISNUMBER(SEARCH("VPS",$I11874))=FALSE,LEFT($I11874,6)&lt;&gt;"VACUUM"),"CDU",IF($H11874="FLUID CAT CRACKING","FCC",IF(OR($H11874="HYDROCRACKING",$H11874="RESID_HYDROCRACKING"),"Hydrocracker",IF($H11874="REFORMING","Reformer",""))))</f>
        <v/>
      </c>
    </row>
    <row r="11875" spans="6:7">
      <c r="F11875" s="6">
        <f>IF($M11875="PADD I","PADD 1",IF($M11875="PADD II","PADD 2",IF($M11875="PADD III","PADD 3",IF($M11875="PADD IV","PADD 4",IF($M11875="PADD V","PADD 5","")))))</f>
        <v/>
      </c>
      <c r="G11875" s="6">
        <f>IF(AND($H11875="ATMOS DISTILLATION",ISNUMBER(SEARCH("VPS",$I11875))=FALSE,LEFT($I11875,6)&lt;&gt;"VACUUM"),"CDU",IF($H11875="FLUID CAT CRACKING","FCC",IF(OR($H11875="HYDROCRACKING",$H11875="RESID_HYDROCRACKING"),"Hydrocracker",IF($H11875="REFORMING","Reformer",""))))</f>
        <v/>
      </c>
    </row>
    <row r="11876" spans="6:7">
      <c r="F11876" s="6">
        <f>IF($M11876="PADD I","PADD 1",IF($M11876="PADD II","PADD 2",IF($M11876="PADD III","PADD 3",IF($M11876="PADD IV","PADD 4",IF($M11876="PADD V","PADD 5","")))))</f>
        <v/>
      </c>
      <c r="G11876" s="6">
        <f>IF(AND($H11876="ATMOS DISTILLATION",ISNUMBER(SEARCH("VPS",$I11876))=FALSE,LEFT($I11876,6)&lt;&gt;"VACUUM"),"CDU",IF($H11876="FLUID CAT CRACKING","FCC",IF(OR($H11876="HYDROCRACKING",$H11876="RESID_HYDROCRACKING"),"Hydrocracker",IF($H11876="REFORMING","Reformer",""))))</f>
        <v/>
      </c>
    </row>
    <row r="11877" spans="6:7">
      <c r="F11877" s="6">
        <f>IF($M11877="PADD I","PADD 1",IF($M11877="PADD II","PADD 2",IF($M11877="PADD III","PADD 3",IF($M11877="PADD IV","PADD 4",IF($M11877="PADD V","PADD 5","")))))</f>
        <v/>
      </c>
      <c r="G11877" s="6">
        <f>IF(AND($H11877="ATMOS DISTILLATION",ISNUMBER(SEARCH("VPS",$I11877))=FALSE,LEFT($I11877,6)&lt;&gt;"VACUUM"),"CDU",IF($H11877="FLUID CAT CRACKING","FCC",IF(OR($H11877="HYDROCRACKING",$H11877="RESID_HYDROCRACKING"),"Hydrocracker",IF($H11877="REFORMING","Reformer",""))))</f>
        <v/>
      </c>
    </row>
    <row r="11878" spans="6:7">
      <c r="F11878" s="6">
        <f>IF($M11878="PADD I","PADD 1",IF($M11878="PADD II","PADD 2",IF($M11878="PADD III","PADD 3",IF($M11878="PADD IV","PADD 4",IF($M11878="PADD V","PADD 5","")))))</f>
        <v/>
      </c>
      <c r="G11878" s="6">
        <f>IF(AND($H11878="ATMOS DISTILLATION",ISNUMBER(SEARCH("VPS",$I11878))=FALSE,LEFT($I11878,6)&lt;&gt;"VACUUM"),"CDU",IF($H11878="FLUID CAT CRACKING","FCC",IF(OR($H11878="HYDROCRACKING",$H11878="RESID_HYDROCRACKING"),"Hydrocracker",IF($H11878="REFORMING","Reformer",""))))</f>
        <v/>
      </c>
    </row>
    <row r="11879" spans="6:7">
      <c r="F11879" s="6">
        <f>IF($M11879="PADD I","PADD 1",IF($M11879="PADD II","PADD 2",IF($M11879="PADD III","PADD 3",IF($M11879="PADD IV","PADD 4",IF($M11879="PADD V","PADD 5","")))))</f>
        <v/>
      </c>
      <c r="G11879" s="6">
        <f>IF(AND($H11879="ATMOS DISTILLATION",ISNUMBER(SEARCH("VPS",$I11879))=FALSE,LEFT($I11879,6)&lt;&gt;"VACUUM"),"CDU",IF($H11879="FLUID CAT CRACKING","FCC",IF(OR($H11879="HYDROCRACKING",$H11879="RESID_HYDROCRACKING"),"Hydrocracker",IF($H11879="REFORMING","Reformer",""))))</f>
        <v/>
      </c>
    </row>
    <row r="11880" spans="6:7">
      <c r="F11880" s="6">
        <f>IF($M11880="PADD I","PADD 1",IF($M11880="PADD II","PADD 2",IF($M11880="PADD III","PADD 3",IF($M11880="PADD IV","PADD 4",IF($M11880="PADD V","PADD 5","")))))</f>
        <v/>
      </c>
      <c r="G11880" s="6">
        <f>IF(AND($H11880="ATMOS DISTILLATION",ISNUMBER(SEARCH("VPS",$I11880))=FALSE,LEFT($I11880,6)&lt;&gt;"VACUUM"),"CDU",IF($H11880="FLUID CAT CRACKING","FCC",IF(OR($H11880="HYDROCRACKING",$H11880="RESID_HYDROCRACKING"),"Hydrocracker",IF($H11880="REFORMING","Reformer",""))))</f>
        <v/>
      </c>
    </row>
    <row r="11881" spans="6:7">
      <c r="F11881" s="6">
        <f>IF($M11881="PADD I","PADD 1",IF($M11881="PADD II","PADD 2",IF($M11881="PADD III","PADD 3",IF($M11881="PADD IV","PADD 4",IF($M11881="PADD V","PADD 5","")))))</f>
        <v/>
      </c>
      <c r="G11881" s="6">
        <f>IF(AND($H11881="ATMOS DISTILLATION",ISNUMBER(SEARCH("VPS",$I11881))=FALSE,LEFT($I11881,6)&lt;&gt;"VACUUM"),"CDU",IF($H11881="FLUID CAT CRACKING","FCC",IF(OR($H11881="HYDROCRACKING",$H11881="RESID_HYDROCRACKING"),"Hydrocracker",IF($H11881="REFORMING","Reformer",""))))</f>
        <v/>
      </c>
    </row>
    <row r="11882" spans="6:7">
      <c r="F11882" s="6">
        <f>IF($M11882="PADD I","PADD 1",IF($M11882="PADD II","PADD 2",IF($M11882="PADD III","PADD 3",IF($M11882="PADD IV","PADD 4",IF($M11882="PADD V","PADD 5","")))))</f>
        <v/>
      </c>
      <c r="G11882" s="6">
        <f>IF(AND($H11882="ATMOS DISTILLATION",ISNUMBER(SEARCH("VPS",$I11882))=FALSE,LEFT($I11882,6)&lt;&gt;"VACUUM"),"CDU",IF($H11882="FLUID CAT CRACKING","FCC",IF(OR($H11882="HYDROCRACKING",$H11882="RESID_HYDROCRACKING"),"Hydrocracker",IF($H11882="REFORMING","Reformer",""))))</f>
        <v/>
      </c>
    </row>
    <row r="11883" spans="6:7">
      <c r="F11883" s="6">
        <f>IF($M11883="PADD I","PADD 1",IF($M11883="PADD II","PADD 2",IF($M11883="PADD III","PADD 3",IF($M11883="PADD IV","PADD 4",IF($M11883="PADD V","PADD 5","")))))</f>
        <v/>
      </c>
      <c r="G11883" s="6">
        <f>IF(AND($H11883="ATMOS DISTILLATION",ISNUMBER(SEARCH("VPS",$I11883))=FALSE,LEFT($I11883,6)&lt;&gt;"VACUUM"),"CDU",IF($H11883="FLUID CAT CRACKING","FCC",IF(OR($H11883="HYDROCRACKING",$H11883="RESID_HYDROCRACKING"),"Hydrocracker",IF($H11883="REFORMING","Reformer",""))))</f>
        <v/>
      </c>
    </row>
    <row r="11884" spans="6:7">
      <c r="F11884" s="6">
        <f>IF($M11884="PADD I","PADD 1",IF($M11884="PADD II","PADD 2",IF($M11884="PADD III","PADD 3",IF($M11884="PADD IV","PADD 4",IF($M11884="PADD V","PADD 5","")))))</f>
        <v/>
      </c>
      <c r="G11884" s="6">
        <f>IF(AND($H11884="ATMOS DISTILLATION",ISNUMBER(SEARCH("VPS",$I11884))=FALSE,LEFT($I11884,6)&lt;&gt;"VACUUM"),"CDU",IF($H11884="FLUID CAT CRACKING","FCC",IF(OR($H11884="HYDROCRACKING",$H11884="RESID_HYDROCRACKING"),"Hydrocracker",IF($H11884="REFORMING","Reformer",""))))</f>
        <v/>
      </c>
    </row>
    <row r="11885" spans="6:7">
      <c r="F11885" s="6">
        <f>IF($M11885="PADD I","PADD 1",IF($M11885="PADD II","PADD 2",IF($M11885="PADD III","PADD 3",IF($M11885="PADD IV","PADD 4",IF($M11885="PADD V","PADD 5","")))))</f>
        <v/>
      </c>
      <c r="G11885" s="6">
        <f>IF(AND($H11885="ATMOS DISTILLATION",ISNUMBER(SEARCH("VPS",$I11885))=FALSE,LEFT($I11885,6)&lt;&gt;"VACUUM"),"CDU",IF($H11885="FLUID CAT CRACKING","FCC",IF(OR($H11885="HYDROCRACKING",$H11885="RESID_HYDROCRACKING"),"Hydrocracker",IF($H11885="REFORMING","Reformer",""))))</f>
        <v/>
      </c>
    </row>
    <row r="11886" spans="6:7">
      <c r="F11886" s="6">
        <f>IF($M11886="PADD I","PADD 1",IF($M11886="PADD II","PADD 2",IF($M11886="PADD III","PADD 3",IF($M11886="PADD IV","PADD 4",IF($M11886="PADD V","PADD 5","")))))</f>
        <v/>
      </c>
      <c r="G11886" s="6">
        <f>IF(AND($H11886="ATMOS DISTILLATION",ISNUMBER(SEARCH("VPS",$I11886))=FALSE,LEFT($I11886,6)&lt;&gt;"VACUUM"),"CDU",IF($H11886="FLUID CAT CRACKING","FCC",IF(OR($H11886="HYDROCRACKING",$H11886="RESID_HYDROCRACKING"),"Hydrocracker",IF($H11886="REFORMING","Reformer",""))))</f>
        <v/>
      </c>
    </row>
    <row r="11887" spans="6:7">
      <c r="F11887" s="6">
        <f>IF($M11887="PADD I","PADD 1",IF($M11887="PADD II","PADD 2",IF($M11887="PADD III","PADD 3",IF($M11887="PADD IV","PADD 4",IF($M11887="PADD V","PADD 5","")))))</f>
        <v/>
      </c>
      <c r="G11887" s="6">
        <f>IF(AND($H11887="ATMOS DISTILLATION",ISNUMBER(SEARCH("VPS",$I11887))=FALSE,LEFT($I11887,6)&lt;&gt;"VACUUM"),"CDU",IF($H11887="FLUID CAT CRACKING","FCC",IF(OR($H11887="HYDROCRACKING",$H11887="RESID_HYDROCRACKING"),"Hydrocracker",IF($H11887="REFORMING","Reformer",""))))</f>
        <v/>
      </c>
    </row>
    <row r="11888" spans="6:7">
      <c r="F11888" s="6">
        <f>IF($M11888="PADD I","PADD 1",IF($M11888="PADD II","PADD 2",IF($M11888="PADD III","PADD 3",IF($M11888="PADD IV","PADD 4",IF($M11888="PADD V","PADD 5","")))))</f>
        <v/>
      </c>
      <c r="G11888" s="6">
        <f>IF(AND($H11888="ATMOS DISTILLATION",ISNUMBER(SEARCH("VPS",$I11888))=FALSE,LEFT($I11888,6)&lt;&gt;"VACUUM"),"CDU",IF($H11888="FLUID CAT CRACKING","FCC",IF(OR($H11888="HYDROCRACKING",$H11888="RESID_HYDROCRACKING"),"Hydrocracker",IF($H11888="REFORMING","Reformer",""))))</f>
        <v/>
      </c>
    </row>
    <row r="11889" spans="6:7">
      <c r="F11889" s="6">
        <f>IF($M11889="PADD I","PADD 1",IF($M11889="PADD II","PADD 2",IF($M11889="PADD III","PADD 3",IF($M11889="PADD IV","PADD 4",IF($M11889="PADD V","PADD 5","")))))</f>
        <v/>
      </c>
      <c r="G11889" s="6">
        <f>IF(AND($H11889="ATMOS DISTILLATION",ISNUMBER(SEARCH("VPS",$I11889))=FALSE,LEFT($I11889,6)&lt;&gt;"VACUUM"),"CDU",IF($H11889="FLUID CAT CRACKING","FCC",IF(OR($H11889="HYDROCRACKING",$H11889="RESID_HYDROCRACKING"),"Hydrocracker",IF($H11889="REFORMING","Reformer",""))))</f>
        <v/>
      </c>
    </row>
    <row r="11890" spans="6:7">
      <c r="F11890" s="6">
        <f>IF($M11890="PADD I","PADD 1",IF($M11890="PADD II","PADD 2",IF($M11890="PADD III","PADD 3",IF($M11890="PADD IV","PADD 4",IF($M11890="PADD V","PADD 5","")))))</f>
        <v/>
      </c>
      <c r="G11890" s="6">
        <f>IF(AND($H11890="ATMOS DISTILLATION",ISNUMBER(SEARCH("VPS",$I11890))=FALSE,LEFT($I11890,6)&lt;&gt;"VACUUM"),"CDU",IF($H11890="FLUID CAT CRACKING","FCC",IF(OR($H11890="HYDROCRACKING",$H11890="RESID_HYDROCRACKING"),"Hydrocracker",IF($H11890="REFORMING","Reformer",""))))</f>
        <v/>
      </c>
    </row>
    <row r="11891" spans="6:7">
      <c r="F11891" s="6">
        <f>IF($M11891="PADD I","PADD 1",IF($M11891="PADD II","PADD 2",IF($M11891="PADD III","PADD 3",IF($M11891="PADD IV","PADD 4",IF($M11891="PADD V","PADD 5","")))))</f>
        <v/>
      </c>
      <c r="G11891" s="6">
        <f>IF(AND($H11891="ATMOS DISTILLATION",ISNUMBER(SEARCH("VPS",$I11891))=FALSE,LEFT($I11891,6)&lt;&gt;"VACUUM"),"CDU",IF($H11891="FLUID CAT CRACKING","FCC",IF(OR($H11891="HYDROCRACKING",$H11891="RESID_HYDROCRACKING"),"Hydrocracker",IF($H11891="REFORMING","Reformer",""))))</f>
        <v/>
      </c>
    </row>
    <row r="11892" spans="6:7">
      <c r="F11892" s="6">
        <f>IF($M11892="PADD I","PADD 1",IF($M11892="PADD II","PADD 2",IF($M11892="PADD III","PADD 3",IF($M11892="PADD IV","PADD 4",IF($M11892="PADD V","PADD 5","")))))</f>
        <v/>
      </c>
      <c r="G11892" s="6">
        <f>IF(AND($H11892="ATMOS DISTILLATION",ISNUMBER(SEARCH("VPS",$I11892))=FALSE,LEFT($I11892,6)&lt;&gt;"VACUUM"),"CDU",IF($H11892="FLUID CAT CRACKING","FCC",IF(OR($H11892="HYDROCRACKING",$H11892="RESID_HYDROCRACKING"),"Hydrocracker",IF($H11892="REFORMING","Reformer",""))))</f>
        <v/>
      </c>
    </row>
    <row r="11893" spans="6:7">
      <c r="F11893" s="6">
        <f>IF($M11893="PADD I","PADD 1",IF($M11893="PADD II","PADD 2",IF($M11893="PADD III","PADD 3",IF($M11893="PADD IV","PADD 4",IF($M11893="PADD V","PADD 5","")))))</f>
        <v/>
      </c>
      <c r="G11893" s="6">
        <f>IF(AND($H11893="ATMOS DISTILLATION",ISNUMBER(SEARCH("VPS",$I11893))=FALSE,LEFT($I11893,6)&lt;&gt;"VACUUM"),"CDU",IF($H11893="FLUID CAT CRACKING","FCC",IF(OR($H11893="HYDROCRACKING",$H11893="RESID_HYDROCRACKING"),"Hydrocracker",IF($H11893="REFORMING","Reformer",""))))</f>
        <v/>
      </c>
    </row>
    <row r="11894" spans="6:7">
      <c r="F11894" s="6">
        <f>IF($M11894="PADD I","PADD 1",IF($M11894="PADD II","PADD 2",IF($M11894="PADD III","PADD 3",IF($M11894="PADD IV","PADD 4",IF($M11894="PADD V","PADD 5","")))))</f>
        <v/>
      </c>
      <c r="G11894" s="6">
        <f>IF(AND($H11894="ATMOS DISTILLATION",ISNUMBER(SEARCH("VPS",$I11894))=FALSE,LEFT($I11894,6)&lt;&gt;"VACUUM"),"CDU",IF($H11894="FLUID CAT CRACKING","FCC",IF(OR($H11894="HYDROCRACKING",$H11894="RESID_HYDROCRACKING"),"Hydrocracker",IF($H11894="REFORMING","Reformer",""))))</f>
        <v/>
      </c>
    </row>
    <row r="11895" spans="6:7">
      <c r="F11895" s="6">
        <f>IF($M11895="PADD I","PADD 1",IF($M11895="PADD II","PADD 2",IF($M11895="PADD III","PADD 3",IF($M11895="PADD IV","PADD 4",IF($M11895="PADD V","PADD 5","")))))</f>
        <v/>
      </c>
      <c r="G11895" s="6">
        <f>IF(AND($H11895="ATMOS DISTILLATION",ISNUMBER(SEARCH("VPS",$I11895))=FALSE,LEFT($I11895,6)&lt;&gt;"VACUUM"),"CDU",IF($H11895="FLUID CAT CRACKING","FCC",IF(OR($H11895="HYDROCRACKING",$H11895="RESID_HYDROCRACKING"),"Hydrocracker",IF($H11895="REFORMING","Reformer",""))))</f>
        <v/>
      </c>
    </row>
    <row r="11896" spans="6:7">
      <c r="F11896" s="6">
        <f>IF($M11896="PADD I","PADD 1",IF($M11896="PADD II","PADD 2",IF($M11896="PADD III","PADD 3",IF($M11896="PADD IV","PADD 4",IF($M11896="PADD V","PADD 5","")))))</f>
        <v/>
      </c>
      <c r="G11896" s="6">
        <f>IF(AND($H11896="ATMOS DISTILLATION",ISNUMBER(SEARCH("VPS",$I11896))=FALSE,LEFT($I11896,6)&lt;&gt;"VACUUM"),"CDU",IF($H11896="FLUID CAT CRACKING","FCC",IF(OR($H11896="HYDROCRACKING",$H11896="RESID_HYDROCRACKING"),"Hydrocracker",IF($H11896="REFORMING","Reformer",""))))</f>
        <v/>
      </c>
    </row>
    <row r="11897" spans="6:7">
      <c r="F11897" s="6">
        <f>IF($M11897="PADD I","PADD 1",IF($M11897="PADD II","PADD 2",IF($M11897="PADD III","PADD 3",IF($M11897="PADD IV","PADD 4",IF($M11897="PADD V","PADD 5","")))))</f>
        <v/>
      </c>
      <c r="G11897" s="6">
        <f>IF(AND($H11897="ATMOS DISTILLATION",ISNUMBER(SEARCH("VPS",$I11897))=FALSE,LEFT($I11897,6)&lt;&gt;"VACUUM"),"CDU",IF($H11897="FLUID CAT CRACKING","FCC",IF(OR($H11897="HYDROCRACKING",$H11897="RESID_HYDROCRACKING"),"Hydrocracker",IF($H11897="REFORMING","Reformer",""))))</f>
        <v/>
      </c>
    </row>
    <row r="11898" spans="6:7">
      <c r="F11898" s="6">
        <f>IF($M11898="PADD I","PADD 1",IF($M11898="PADD II","PADD 2",IF($M11898="PADD III","PADD 3",IF($M11898="PADD IV","PADD 4",IF($M11898="PADD V","PADD 5","")))))</f>
        <v/>
      </c>
      <c r="G11898" s="6">
        <f>IF(AND($H11898="ATMOS DISTILLATION",ISNUMBER(SEARCH("VPS",$I11898))=FALSE,LEFT($I11898,6)&lt;&gt;"VACUUM"),"CDU",IF($H11898="FLUID CAT CRACKING","FCC",IF(OR($H11898="HYDROCRACKING",$H11898="RESID_HYDROCRACKING"),"Hydrocracker",IF($H11898="REFORMING","Reformer",""))))</f>
        <v/>
      </c>
    </row>
    <row r="11899" spans="6:7">
      <c r="F11899" s="6">
        <f>IF($M11899="PADD I","PADD 1",IF($M11899="PADD II","PADD 2",IF($M11899="PADD III","PADD 3",IF($M11899="PADD IV","PADD 4",IF($M11899="PADD V","PADD 5","")))))</f>
        <v/>
      </c>
      <c r="G11899" s="6">
        <f>IF(AND($H11899="ATMOS DISTILLATION",ISNUMBER(SEARCH("VPS",$I11899))=FALSE,LEFT($I11899,6)&lt;&gt;"VACUUM"),"CDU",IF($H11899="FLUID CAT CRACKING","FCC",IF(OR($H11899="HYDROCRACKING",$H11899="RESID_HYDROCRACKING"),"Hydrocracker",IF($H11899="REFORMING","Reformer",""))))</f>
        <v/>
      </c>
    </row>
    <row r="11900" spans="6:7">
      <c r="F11900" s="6">
        <f>IF($M11900="PADD I","PADD 1",IF($M11900="PADD II","PADD 2",IF($M11900="PADD III","PADD 3",IF($M11900="PADD IV","PADD 4",IF($M11900="PADD V","PADD 5","")))))</f>
        <v/>
      </c>
      <c r="G11900" s="6">
        <f>IF(AND($H11900="ATMOS DISTILLATION",ISNUMBER(SEARCH("VPS",$I11900))=FALSE,LEFT($I11900,6)&lt;&gt;"VACUUM"),"CDU",IF($H11900="FLUID CAT CRACKING","FCC",IF(OR($H11900="HYDROCRACKING",$H11900="RESID_HYDROCRACKING"),"Hydrocracker",IF($H11900="REFORMING","Reformer",""))))</f>
        <v/>
      </c>
    </row>
    <row r="11901" spans="6:7">
      <c r="F11901" s="6">
        <f>IF($M11901="PADD I","PADD 1",IF($M11901="PADD II","PADD 2",IF($M11901="PADD III","PADD 3",IF($M11901="PADD IV","PADD 4",IF($M11901="PADD V","PADD 5","")))))</f>
        <v/>
      </c>
      <c r="G11901" s="6">
        <f>IF(AND($H11901="ATMOS DISTILLATION",ISNUMBER(SEARCH("VPS",$I11901))=FALSE,LEFT($I11901,6)&lt;&gt;"VACUUM"),"CDU",IF($H11901="FLUID CAT CRACKING","FCC",IF(OR($H11901="HYDROCRACKING",$H11901="RESID_HYDROCRACKING"),"Hydrocracker",IF($H11901="REFORMING","Reformer",""))))</f>
        <v/>
      </c>
    </row>
    <row r="11902" spans="6:7">
      <c r="F11902" s="6">
        <f>IF($M11902="PADD I","PADD 1",IF($M11902="PADD II","PADD 2",IF($M11902="PADD III","PADD 3",IF($M11902="PADD IV","PADD 4",IF($M11902="PADD V","PADD 5","")))))</f>
        <v/>
      </c>
      <c r="G11902" s="6">
        <f>IF(AND($H11902="ATMOS DISTILLATION",ISNUMBER(SEARCH("VPS",$I11902))=FALSE,LEFT($I11902,6)&lt;&gt;"VACUUM"),"CDU",IF($H11902="FLUID CAT CRACKING","FCC",IF(OR($H11902="HYDROCRACKING",$H11902="RESID_HYDROCRACKING"),"Hydrocracker",IF($H11902="REFORMING","Reformer",""))))</f>
        <v/>
      </c>
    </row>
    <row r="11903" spans="6:7">
      <c r="F11903" s="6">
        <f>IF($M11903="PADD I","PADD 1",IF($M11903="PADD II","PADD 2",IF($M11903="PADD III","PADD 3",IF($M11903="PADD IV","PADD 4",IF($M11903="PADD V","PADD 5","")))))</f>
        <v/>
      </c>
      <c r="G11903" s="6">
        <f>IF(AND($H11903="ATMOS DISTILLATION",ISNUMBER(SEARCH("VPS",$I11903))=FALSE,LEFT($I11903,6)&lt;&gt;"VACUUM"),"CDU",IF($H11903="FLUID CAT CRACKING","FCC",IF(OR($H11903="HYDROCRACKING",$H11903="RESID_HYDROCRACKING"),"Hydrocracker",IF($H11903="REFORMING","Reformer",""))))</f>
        <v/>
      </c>
    </row>
    <row r="11904" spans="6:7">
      <c r="F11904" s="6">
        <f>IF($M11904="PADD I","PADD 1",IF($M11904="PADD II","PADD 2",IF($M11904="PADD III","PADD 3",IF($M11904="PADD IV","PADD 4",IF($M11904="PADD V","PADD 5","")))))</f>
        <v/>
      </c>
      <c r="G11904" s="6">
        <f>IF(AND($H11904="ATMOS DISTILLATION",ISNUMBER(SEARCH("VPS",$I11904))=FALSE,LEFT($I11904,6)&lt;&gt;"VACUUM"),"CDU",IF($H11904="FLUID CAT CRACKING","FCC",IF(OR($H11904="HYDROCRACKING",$H11904="RESID_HYDROCRACKING"),"Hydrocracker",IF($H11904="REFORMING","Reformer",""))))</f>
        <v/>
      </c>
    </row>
    <row r="11905" spans="6:7">
      <c r="F11905" s="6">
        <f>IF($M11905="PADD I","PADD 1",IF($M11905="PADD II","PADD 2",IF($M11905="PADD III","PADD 3",IF($M11905="PADD IV","PADD 4",IF($M11905="PADD V","PADD 5","")))))</f>
        <v/>
      </c>
      <c r="G11905" s="6">
        <f>IF(AND($H11905="ATMOS DISTILLATION",ISNUMBER(SEARCH("VPS",$I11905))=FALSE,LEFT($I11905,6)&lt;&gt;"VACUUM"),"CDU",IF($H11905="FLUID CAT CRACKING","FCC",IF(OR($H11905="HYDROCRACKING",$H11905="RESID_HYDROCRACKING"),"Hydrocracker",IF($H11905="REFORMING","Reformer",""))))</f>
        <v/>
      </c>
    </row>
    <row r="11906" spans="6:7">
      <c r="F11906" s="6">
        <f>IF($M11906="PADD I","PADD 1",IF($M11906="PADD II","PADD 2",IF($M11906="PADD III","PADD 3",IF($M11906="PADD IV","PADD 4",IF($M11906="PADD V","PADD 5","")))))</f>
        <v/>
      </c>
      <c r="G11906" s="6">
        <f>IF(AND($H11906="ATMOS DISTILLATION",ISNUMBER(SEARCH("VPS",$I11906))=FALSE,LEFT($I11906,6)&lt;&gt;"VACUUM"),"CDU",IF($H11906="FLUID CAT CRACKING","FCC",IF(OR($H11906="HYDROCRACKING",$H11906="RESID_HYDROCRACKING"),"Hydrocracker",IF($H11906="REFORMING","Reformer",""))))</f>
        <v/>
      </c>
    </row>
    <row r="11907" spans="6:7">
      <c r="F11907" s="6">
        <f>IF($M11907="PADD I","PADD 1",IF($M11907="PADD II","PADD 2",IF($M11907="PADD III","PADD 3",IF($M11907="PADD IV","PADD 4",IF($M11907="PADD V","PADD 5","")))))</f>
        <v/>
      </c>
      <c r="G11907" s="6">
        <f>IF(AND($H11907="ATMOS DISTILLATION",ISNUMBER(SEARCH("VPS",$I11907))=FALSE,LEFT($I11907,6)&lt;&gt;"VACUUM"),"CDU",IF($H11907="FLUID CAT CRACKING","FCC",IF(OR($H11907="HYDROCRACKING",$H11907="RESID_HYDROCRACKING"),"Hydrocracker",IF($H11907="REFORMING","Reformer",""))))</f>
        <v/>
      </c>
    </row>
    <row r="11908" spans="6:7">
      <c r="F11908" s="6">
        <f>IF($M11908="PADD I","PADD 1",IF($M11908="PADD II","PADD 2",IF($M11908="PADD III","PADD 3",IF($M11908="PADD IV","PADD 4",IF($M11908="PADD V","PADD 5","")))))</f>
        <v/>
      </c>
      <c r="G11908" s="6">
        <f>IF(AND($H11908="ATMOS DISTILLATION",ISNUMBER(SEARCH("VPS",$I11908))=FALSE,LEFT($I11908,6)&lt;&gt;"VACUUM"),"CDU",IF($H11908="FLUID CAT CRACKING","FCC",IF(OR($H11908="HYDROCRACKING",$H11908="RESID_HYDROCRACKING"),"Hydrocracker",IF($H11908="REFORMING","Reformer",""))))</f>
        <v/>
      </c>
    </row>
    <row r="11909" spans="6:7">
      <c r="F11909" s="6">
        <f>IF($M11909="PADD I","PADD 1",IF($M11909="PADD II","PADD 2",IF($M11909="PADD III","PADD 3",IF($M11909="PADD IV","PADD 4",IF($M11909="PADD V","PADD 5","")))))</f>
        <v/>
      </c>
      <c r="G11909" s="6">
        <f>IF(AND($H11909="ATMOS DISTILLATION",ISNUMBER(SEARCH("VPS",$I11909))=FALSE,LEFT($I11909,6)&lt;&gt;"VACUUM"),"CDU",IF($H11909="FLUID CAT CRACKING","FCC",IF(OR($H11909="HYDROCRACKING",$H11909="RESID_HYDROCRACKING"),"Hydrocracker",IF($H11909="REFORMING","Reformer",""))))</f>
        <v/>
      </c>
    </row>
    <row r="11910" spans="6:7">
      <c r="F11910" s="6">
        <f>IF($M11910="PADD I","PADD 1",IF($M11910="PADD II","PADD 2",IF($M11910="PADD III","PADD 3",IF($M11910="PADD IV","PADD 4",IF($M11910="PADD V","PADD 5","")))))</f>
        <v/>
      </c>
      <c r="G11910" s="6">
        <f>IF(AND($H11910="ATMOS DISTILLATION",ISNUMBER(SEARCH("VPS",$I11910))=FALSE,LEFT($I11910,6)&lt;&gt;"VACUUM"),"CDU",IF($H11910="FLUID CAT CRACKING","FCC",IF(OR($H11910="HYDROCRACKING",$H11910="RESID_HYDROCRACKING"),"Hydrocracker",IF($H11910="REFORMING","Reformer",""))))</f>
        <v/>
      </c>
    </row>
    <row r="11911" spans="6:7">
      <c r="F11911" s="6">
        <f>IF($M11911="PADD I","PADD 1",IF($M11911="PADD II","PADD 2",IF($M11911="PADD III","PADD 3",IF($M11911="PADD IV","PADD 4",IF($M11911="PADD V","PADD 5","")))))</f>
        <v/>
      </c>
      <c r="G11911" s="6">
        <f>IF(AND($H11911="ATMOS DISTILLATION",ISNUMBER(SEARCH("VPS",$I11911))=FALSE,LEFT($I11911,6)&lt;&gt;"VACUUM"),"CDU",IF($H11911="FLUID CAT CRACKING","FCC",IF(OR($H11911="HYDROCRACKING",$H11911="RESID_HYDROCRACKING"),"Hydrocracker",IF($H11911="REFORMING","Reformer",""))))</f>
        <v/>
      </c>
    </row>
    <row r="11912" spans="6:7">
      <c r="F11912" s="6">
        <f>IF($M11912="PADD I","PADD 1",IF($M11912="PADD II","PADD 2",IF($M11912="PADD III","PADD 3",IF($M11912="PADD IV","PADD 4",IF($M11912="PADD V","PADD 5","")))))</f>
        <v/>
      </c>
      <c r="G11912" s="6">
        <f>IF(AND($H11912="ATMOS DISTILLATION",ISNUMBER(SEARCH("VPS",$I11912))=FALSE,LEFT($I11912,6)&lt;&gt;"VACUUM"),"CDU",IF($H11912="FLUID CAT CRACKING","FCC",IF(OR($H11912="HYDROCRACKING",$H11912="RESID_HYDROCRACKING"),"Hydrocracker",IF($H11912="REFORMING","Reformer",""))))</f>
        <v/>
      </c>
    </row>
    <row r="11913" spans="6:7">
      <c r="F11913" s="6">
        <f>IF($M11913="PADD I","PADD 1",IF($M11913="PADD II","PADD 2",IF($M11913="PADD III","PADD 3",IF($M11913="PADD IV","PADD 4",IF($M11913="PADD V","PADD 5","")))))</f>
        <v/>
      </c>
      <c r="G11913" s="6">
        <f>IF(AND($H11913="ATMOS DISTILLATION",ISNUMBER(SEARCH("VPS",$I11913))=FALSE,LEFT($I11913,6)&lt;&gt;"VACUUM"),"CDU",IF($H11913="FLUID CAT CRACKING","FCC",IF(OR($H11913="HYDROCRACKING",$H11913="RESID_HYDROCRACKING"),"Hydrocracker",IF($H11913="REFORMING","Reformer",""))))</f>
        <v/>
      </c>
    </row>
    <row r="11914" spans="6:7">
      <c r="F11914" s="6">
        <f>IF($M11914="PADD I","PADD 1",IF($M11914="PADD II","PADD 2",IF($M11914="PADD III","PADD 3",IF($M11914="PADD IV","PADD 4",IF($M11914="PADD V","PADD 5","")))))</f>
        <v/>
      </c>
      <c r="G11914" s="6">
        <f>IF(AND($H11914="ATMOS DISTILLATION",ISNUMBER(SEARCH("VPS",$I11914))=FALSE,LEFT($I11914,6)&lt;&gt;"VACUUM"),"CDU",IF($H11914="FLUID CAT CRACKING","FCC",IF(OR($H11914="HYDROCRACKING",$H11914="RESID_HYDROCRACKING"),"Hydrocracker",IF($H11914="REFORMING","Reformer",""))))</f>
        <v/>
      </c>
    </row>
    <row r="11915" spans="6:7">
      <c r="F11915" s="6">
        <f>IF($M11915="PADD I","PADD 1",IF($M11915="PADD II","PADD 2",IF($M11915="PADD III","PADD 3",IF($M11915="PADD IV","PADD 4",IF($M11915="PADD V","PADD 5","")))))</f>
        <v/>
      </c>
      <c r="G11915" s="6">
        <f>IF(AND($H11915="ATMOS DISTILLATION",ISNUMBER(SEARCH("VPS",$I11915))=FALSE,LEFT($I11915,6)&lt;&gt;"VACUUM"),"CDU",IF($H11915="FLUID CAT CRACKING","FCC",IF(OR($H11915="HYDROCRACKING",$H11915="RESID_HYDROCRACKING"),"Hydrocracker",IF($H11915="REFORMING","Reformer",""))))</f>
        <v/>
      </c>
    </row>
    <row r="11916" spans="6:7">
      <c r="F11916" s="6">
        <f>IF($M11916="PADD I","PADD 1",IF($M11916="PADD II","PADD 2",IF($M11916="PADD III","PADD 3",IF($M11916="PADD IV","PADD 4",IF($M11916="PADD V","PADD 5","")))))</f>
        <v/>
      </c>
      <c r="G11916" s="6">
        <f>IF(AND($H11916="ATMOS DISTILLATION",ISNUMBER(SEARCH("VPS",$I11916))=FALSE,LEFT($I11916,6)&lt;&gt;"VACUUM"),"CDU",IF($H11916="FLUID CAT CRACKING","FCC",IF(OR($H11916="HYDROCRACKING",$H11916="RESID_HYDROCRACKING"),"Hydrocracker",IF($H11916="REFORMING","Reformer",""))))</f>
        <v/>
      </c>
    </row>
    <row r="11917" spans="6:7">
      <c r="F11917" s="6">
        <f>IF($M11917="PADD I","PADD 1",IF($M11917="PADD II","PADD 2",IF($M11917="PADD III","PADD 3",IF($M11917="PADD IV","PADD 4",IF($M11917="PADD V","PADD 5","")))))</f>
        <v/>
      </c>
      <c r="G11917" s="6">
        <f>IF(AND($H11917="ATMOS DISTILLATION",ISNUMBER(SEARCH("VPS",$I11917))=FALSE,LEFT($I11917,6)&lt;&gt;"VACUUM"),"CDU",IF($H11917="FLUID CAT CRACKING","FCC",IF(OR($H11917="HYDROCRACKING",$H11917="RESID_HYDROCRACKING"),"Hydrocracker",IF($H11917="REFORMING","Reformer",""))))</f>
        <v/>
      </c>
    </row>
    <row r="11918" spans="6:7">
      <c r="F11918" s="6">
        <f>IF($M11918="PADD I","PADD 1",IF($M11918="PADD II","PADD 2",IF($M11918="PADD III","PADD 3",IF($M11918="PADD IV","PADD 4",IF($M11918="PADD V","PADD 5","")))))</f>
        <v/>
      </c>
      <c r="G11918" s="6">
        <f>IF(AND($H11918="ATMOS DISTILLATION",ISNUMBER(SEARCH("VPS",$I11918))=FALSE,LEFT($I11918,6)&lt;&gt;"VACUUM"),"CDU",IF($H11918="FLUID CAT CRACKING","FCC",IF(OR($H11918="HYDROCRACKING",$H11918="RESID_HYDROCRACKING"),"Hydrocracker",IF($H11918="REFORMING","Reformer",""))))</f>
        <v/>
      </c>
    </row>
    <row r="11919" spans="6:7">
      <c r="F11919" s="6">
        <f>IF($M11919="PADD I","PADD 1",IF($M11919="PADD II","PADD 2",IF($M11919="PADD III","PADD 3",IF($M11919="PADD IV","PADD 4",IF($M11919="PADD V","PADD 5","")))))</f>
        <v/>
      </c>
      <c r="G11919" s="6">
        <f>IF(AND($H11919="ATMOS DISTILLATION",ISNUMBER(SEARCH("VPS",$I11919))=FALSE,LEFT($I11919,6)&lt;&gt;"VACUUM"),"CDU",IF($H11919="FLUID CAT CRACKING","FCC",IF(OR($H11919="HYDROCRACKING",$H11919="RESID_HYDROCRACKING"),"Hydrocracker",IF($H11919="REFORMING","Reformer",""))))</f>
        <v/>
      </c>
    </row>
    <row r="11920" spans="6:7">
      <c r="F11920" s="6">
        <f>IF($M11920="PADD I","PADD 1",IF($M11920="PADD II","PADD 2",IF($M11920="PADD III","PADD 3",IF($M11920="PADD IV","PADD 4",IF($M11920="PADD V","PADD 5","")))))</f>
        <v/>
      </c>
      <c r="G11920" s="6">
        <f>IF(AND($H11920="ATMOS DISTILLATION",ISNUMBER(SEARCH("VPS",$I11920))=FALSE,LEFT($I11920,6)&lt;&gt;"VACUUM"),"CDU",IF($H11920="FLUID CAT CRACKING","FCC",IF(OR($H11920="HYDROCRACKING",$H11920="RESID_HYDROCRACKING"),"Hydrocracker",IF($H11920="REFORMING","Reformer",""))))</f>
        <v/>
      </c>
    </row>
    <row r="11921" spans="6:7">
      <c r="F11921" s="6">
        <f>IF($M11921="PADD I","PADD 1",IF($M11921="PADD II","PADD 2",IF($M11921="PADD III","PADD 3",IF($M11921="PADD IV","PADD 4",IF($M11921="PADD V","PADD 5","")))))</f>
        <v/>
      </c>
      <c r="G11921" s="6">
        <f>IF(AND($H11921="ATMOS DISTILLATION",ISNUMBER(SEARCH("VPS",$I11921))=FALSE,LEFT($I11921,6)&lt;&gt;"VACUUM"),"CDU",IF($H11921="FLUID CAT CRACKING","FCC",IF(OR($H11921="HYDROCRACKING",$H11921="RESID_HYDROCRACKING"),"Hydrocracker",IF($H11921="REFORMING","Reformer",""))))</f>
        <v/>
      </c>
    </row>
    <row r="11922" spans="6:7">
      <c r="F11922" s="6">
        <f>IF($M11922="PADD I","PADD 1",IF($M11922="PADD II","PADD 2",IF($M11922="PADD III","PADD 3",IF($M11922="PADD IV","PADD 4",IF($M11922="PADD V","PADD 5","")))))</f>
        <v/>
      </c>
      <c r="G11922" s="6">
        <f>IF(AND($H11922="ATMOS DISTILLATION",ISNUMBER(SEARCH("VPS",$I11922))=FALSE,LEFT($I11922,6)&lt;&gt;"VACUUM"),"CDU",IF($H11922="FLUID CAT CRACKING","FCC",IF(OR($H11922="HYDROCRACKING",$H11922="RESID_HYDROCRACKING"),"Hydrocracker",IF($H11922="REFORMING","Reformer",""))))</f>
        <v/>
      </c>
    </row>
    <row r="11923" spans="6:7">
      <c r="F11923" s="6">
        <f>IF($M11923="PADD I","PADD 1",IF($M11923="PADD II","PADD 2",IF($M11923="PADD III","PADD 3",IF($M11923="PADD IV","PADD 4",IF($M11923="PADD V","PADD 5","")))))</f>
        <v/>
      </c>
      <c r="G11923" s="6">
        <f>IF(AND($H11923="ATMOS DISTILLATION",ISNUMBER(SEARCH("VPS",$I11923))=FALSE,LEFT($I11923,6)&lt;&gt;"VACUUM"),"CDU",IF($H11923="FLUID CAT CRACKING","FCC",IF(OR($H11923="HYDROCRACKING",$H11923="RESID_HYDROCRACKING"),"Hydrocracker",IF($H11923="REFORMING","Reformer",""))))</f>
        <v/>
      </c>
    </row>
    <row r="11924" spans="6:7">
      <c r="F11924" s="6">
        <f>IF($M11924="PADD I","PADD 1",IF($M11924="PADD II","PADD 2",IF($M11924="PADD III","PADD 3",IF($M11924="PADD IV","PADD 4",IF($M11924="PADD V","PADD 5","")))))</f>
        <v/>
      </c>
      <c r="G11924" s="6">
        <f>IF(AND($H11924="ATMOS DISTILLATION",ISNUMBER(SEARCH("VPS",$I11924))=FALSE,LEFT($I11924,6)&lt;&gt;"VACUUM"),"CDU",IF($H11924="FLUID CAT CRACKING","FCC",IF(OR($H11924="HYDROCRACKING",$H11924="RESID_HYDROCRACKING"),"Hydrocracker",IF($H11924="REFORMING","Reformer",""))))</f>
        <v/>
      </c>
    </row>
    <row r="11925" spans="6:7">
      <c r="F11925" s="6">
        <f>IF($M11925="PADD I","PADD 1",IF($M11925="PADD II","PADD 2",IF($M11925="PADD III","PADD 3",IF($M11925="PADD IV","PADD 4",IF($M11925="PADD V","PADD 5","")))))</f>
        <v/>
      </c>
      <c r="G11925" s="6">
        <f>IF(AND($H11925="ATMOS DISTILLATION",ISNUMBER(SEARCH("VPS",$I11925))=FALSE,LEFT($I11925,6)&lt;&gt;"VACUUM"),"CDU",IF($H11925="FLUID CAT CRACKING","FCC",IF(OR($H11925="HYDROCRACKING",$H11925="RESID_HYDROCRACKING"),"Hydrocracker",IF($H11925="REFORMING","Reformer",""))))</f>
        <v/>
      </c>
    </row>
    <row r="11926" spans="6:7">
      <c r="F11926" s="6">
        <f>IF($M11926="PADD I","PADD 1",IF($M11926="PADD II","PADD 2",IF($M11926="PADD III","PADD 3",IF($M11926="PADD IV","PADD 4",IF($M11926="PADD V","PADD 5","")))))</f>
        <v/>
      </c>
      <c r="G11926" s="6">
        <f>IF(AND($H11926="ATMOS DISTILLATION",ISNUMBER(SEARCH("VPS",$I11926))=FALSE,LEFT($I11926,6)&lt;&gt;"VACUUM"),"CDU",IF($H11926="FLUID CAT CRACKING","FCC",IF(OR($H11926="HYDROCRACKING",$H11926="RESID_HYDROCRACKING"),"Hydrocracker",IF($H11926="REFORMING","Reformer",""))))</f>
        <v/>
      </c>
    </row>
    <row r="11927" spans="6:7">
      <c r="F11927" s="6">
        <f>IF($M11927="PADD I","PADD 1",IF($M11927="PADD II","PADD 2",IF($M11927="PADD III","PADD 3",IF($M11927="PADD IV","PADD 4",IF($M11927="PADD V","PADD 5","")))))</f>
        <v/>
      </c>
      <c r="G11927" s="6">
        <f>IF(AND($H11927="ATMOS DISTILLATION",ISNUMBER(SEARCH("VPS",$I11927))=FALSE,LEFT($I11927,6)&lt;&gt;"VACUUM"),"CDU",IF($H11927="FLUID CAT CRACKING","FCC",IF(OR($H11927="HYDROCRACKING",$H11927="RESID_HYDROCRACKING"),"Hydrocracker",IF($H11927="REFORMING","Reformer",""))))</f>
        <v/>
      </c>
    </row>
    <row r="11928" spans="6:7">
      <c r="F11928" s="6">
        <f>IF($M11928="PADD I","PADD 1",IF($M11928="PADD II","PADD 2",IF($M11928="PADD III","PADD 3",IF($M11928="PADD IV","PADD 4",IF($M11928="PADD V","PADD 5","")))))</f>
        <v/>
      </c>
      <c r="G11928" s="6">
        <f>IF(AND($H11928="ATMOS DISTILLATION",ISNUMBER(SEARCH("VPS",$I11928))=FALSE,LEFT($I11928,6)&lt;&gt;"VACUUM"),"CDU",IF($H11928="FLUID CAT CRACKING","FCC",IF(OR($H11928="HYDROCRACKING",$H11928="RESID_HYDROCRACKING"),"Hydrocracker",IF($H11928="REFORMING","Reformer",""))))</f>
        <v/>
      </c>
    </row>
    <row r="11929" spans="6:7">
      <c r="F11929" s="6">
        <f>IF($M11929="PADD I","PADD 1",IF($M11929="PADD II","PADD 2",IF($M11929="PADD III","PADD 3",IF($M11929="PADD IV","PADD 4",IF($M11929="PADD V","PADD 5","")))))</f>
        <v/>
      </c>
      <c r="G11929" s="6">
        <f>IF(AND($H11929="ATMOS DISTILLATION",ISNUMBER(SEARCH("VPS",$I11929))=FALSE,LEFT($I11929,6)&lt;&gt;"VACUUM"),"CDU",IF($H11929="FLUID CAT CRACKING","FCC",IF(OR($H11929="HYDROCRACKING",$H11929="RESID_HYDROCRACKING"),"Hydrocracker",IF($H11929="REFORMING","Reformer",""))))</f>
        <v/>
      </c>
    </row>
    <row r="11930" spans="6:7">
      <c r="F11930" s="6">
        <f>IF($M11930="PADD I","PADD 1",IF($M11930="PADD II","PADD 2",IF($M11930="PADD III","PADD 3",IF($M11930="PADD IV","PADD 4",IF($M11930="PADD V","PADD 5","")))))</f>
        <v/>
      </c>
      <c r="G11930" s="6">
        <f>IF(AND($H11930="ATMOS DISTILLATION",ISNUMBER(SEARCH("VPS",$I11930))=FALSE,LEFT($I11930,6)&lt;&gt;"VACUUM"),"CDU",IF($H11930="FLUID CAT CRACKING","FCC",IF(OR($H11930="HYDROCRACKING",$H11930="RESID_HYDROCRACKING"),"Hydrocracker",IF($H11930="REFORMING","Reformer",""))))</f>
        <v/>
      </c>
    </row>
    <row r="11931" spans="6:7">
      <c r="F11931" s="6">
        <f>IF($M11931="PADD I","PADD 1",IF($M11931="PADD II","PADD 2",IF($M11931="PADD III","PADD 3",IF($M11931="PADD IV","PADD 4",IF($M11931="PADD V","PADD 5","")))))</f>
        <v/>
      </c>
      <c r="G11931" s="6">
        <f>IF(AND($H11931="ATMOS DISTILLATION",ISNUMBER(SEARCH("VPS",$I11931))=FALSE,LEFT($I11931,6)&lt;&gt;"VACUUM"),"CDU",IF($H11931="FLUID CAT CRACKING","FCC",IF(OR($H11931="HYDROCRACKING",$H11931="RESID_HYDROCRACKING"),"Hydrocracker",IF($H11931="REFORMING","Reformer",""))))</f>
        <v/>
      </c>
    </row>
    <row r="11932" spans="6:7">
      <c r="F11932" s="6">
        <f>IF($M11932="PADD I","PADD 1",IF($M11932="PADD II","PADD 2",IF($M11932="PADD III","PADD 3",IF($M11932="PADD IV","PADD 4",IF($M11932="PADD V","PADD 5","")))))</f>
        <v/>
      </c>
      <c r="G11932" s="6">
        <f>IF(AND($H11932="ATMOS DISTILLATION",ISNUMBER(SEARCH("VPS",$I11932))=FALSE,LEFT($I11932,6)&lt;&gt;"VACUUM"),"CDU",IF($H11932="FLUID CAT CRACKING","FCC",IF(OR($H11932="HYDROCRACKING",$H11932="RESID_HYDROCRACKING"),"Hydrocracker",IF($H11932="REFORMING","Reformer",""))))</f>
        <v/>
      </c>
    </row>
    <row r="11933" spans="6:7">
      <c r="F11933" s="6">
        <f>IF($M11933="PADD I","PADD 1",IF($M11933="PADD II","PADD 2",IF($M11933="PADD III","PADD 3",IF($M11933="PADD IV","PADD 4",IF($M11933="PADD V","PADD 5","")))))</f>
        <v/>
      </c>
      <c r="G11933" s="6">
        <f>IF(AND($H11933="ATMOS DISTILLATION",ISNUMBER(SEARCH("VPS",$I11933))=FALSE,LEFT($I11933,6)&lt;&gt;"VACUUM"),"CDU",IF($H11933="FLUID CAT CRACKING","FCC",IF(OR($H11933="HYDROCRACKING",$H11933="RESID_HYDROCRACKING"),"Hydrocracker",IF($H11933="REFORMING","Reformer",""))))</f>
        <v/>
      </c>
    </row>
    <row r="11934" spans="6:7">
      <c r="F11934" s="6">
        <f>IF($M11934="PADD I","PADD 1",IF($M11934="PADD II","PADD 2",IF($M11934="PADD III","PADD 3",IF($M11934="PADD IV","PADD 4",IF($M11934="PADD V","PADD 5","")))))</f>
        <v/>
      </c>
      <c r="G11934" s="6">
        <f>IF(AND($H11934="ATMOS DISTILLATION",ISNUMBER(SEARCH("VPS",$I11934))=FALSE,LEFT($I11934,6)&lt;&gt;"VACUUM"),"CDU",IF($H11934="FLUID CAT CRACKING","FCC",IF(OR($H11934="HYDROCRACKING",$H11934="RESID_HYDROCRACKING"),"Hydrocracker",IF($H11934="REFORMING","Reformer",""))))</f>
        <v/>
      </c>
    </row>
    <row r="11935" spans="6:7">
      <c r="F11935" s="6">
        <f>IF($M11935="PADD I","PADD 1",IF($M11935="PADD II","PADD 2",IF($M11935="PADD III","PADD 3",IF($M11935="PADD IV","PADD 4",IF($M11935="PADD V","PADD 5","")))))</f>
        <v/>
      </c>
      <c r="G11935" s="6">
        <f>IF(AND($H11935="ATMOS DISTILLATION",ISNUMBER(SEARCH("VPS",$I11935))=FALSE,LEFT($I11935,6)&lt;&gt;"VACUUM"),"CDU",IF($H11935="FLUID CAT CRACKING","FCC",IF(OR($H11935="HYDROCRACKING",$H11935="RESID_HYDROCRACKING"),"Hydrocracker",IF($H11935="REFORMING","Reformer",""))))</f>
        <v/>
      </c>
    </row>
    <row r="11936" spans="6:7">
      <c r="F11936" s="6">
        <f>IF($M11936="PADD I","PADD 1",IF($M11936="PADD II","PADD 2",IF($M11936="PADD III","PADD 3",IF($M11936="PADD IV","PADD 4",IF($M11936="PADD V","PADD 5","")))))</f>
        <v/>
      </c>
      <c r="G11936" s="6">
        <f>IF(AND($H11936="ATMOS DISTILLATION",ISNUMBER(SEARCH("VPS",$I11936))=FALSE,LEFT($I11936,6)&lt;&gt;"VACUUM"),"CDU",IF($H11936="FLUID CAT CRACKING","FCC",IF(OR($H11936="HYDROCRACKING",$H11936="RESID_HYDROCRACKING"),"Hydrocracker",IF($H11936="REFORMING","Reformer",""))))</f>
        <v/>
      </c>
    </row>
    <row r="11937" spans="6:7">
      <c r="F11937" s="6">
        <f>IF($M11937="PADD I","PADD 1",IF($M11937="PADD II","PADD 2",IF($M11937="PADD III","PADD 3",IF($M11937="PADD IV","PADD 4",IF($M11937="PADD V","PADD 5","")))))</f>
        <v/>
      </c>
      <c r="G11937" s="6">
        <f>IF(AND($H11937="ATMOS DISTILLATION",ISNUMBER(SEARCH("VPS",$I11937))=FALSE,LEFT($I11937,6)&lt;&gt;"VACUUM"),"CDU",IF($H11937="FLUID CAT CRACKING","FCC",IF(OR($H11937="HYDROCRACKING",$H11937="RESID_HYDROCRACKING"),"Hydrocracker",IF($H11937="REFORMING","Reformer",""))))</f>
        <v/>
      </c>
    </row>
    <row r="11938" spans="6:7">
      <c r="F11938" s="6">
        <f>IF($M11938="PADD I","PADD 1",IF($M11938="PADD II","PADD 2",IF($M11938="PADD III","PADD 3",IF($M11938="PADD IV","PADD 4",IF($M11938="PADD V","PADD 5","")))))</f>
        <v/>
      </c>
      <c r="G11938" s="6">
        <f>IF(AND($H11938="ATMOS DISTILLATION",ISNUMBER(SEARCH("VPS",$I11938))=FALSE,LEFT($I11938,6)&lt;&gt;"VACUUM"),"CDU",IF($H11938="FLUID CAT CRACKING","FCC",IF(OR($H11938="HYDROCRACKING",$H11938="RESID_HYDROCRACKING"),"Hydrocracker",IF($H11938="REFORMING","Reformer",""))))</f>
        <v/>
      </c>
    </row>
    <row r="11939" spans="6:7">
      <c r="F11939" s="6">
        <f>IF($M11939="PADD I","PADD 1",IF($M11939="PADD II","PADD 2",IF($M11939="PADD III","PADD 3",IF($M11939="PADD IV","PADD 4",IF($M11939="PADD V","PADD 5","")))))</f>
        <v/>
      </c>
      <c r="G11939" s="6">
        <f>IF(AND($H11939="ATMOS DISTILLATION",ISNUMBER(SEARCH("VPS",$I11939))=FALSE,LEFT($I11939,6)&lt;&gt;"VACUUM"),"CDU",IF($H11939="FLUID CAT CRACKING","FCC",IF(OR($H11939="HYDROCRACKING",$H11939="RESID_HYDROCRACKING"),"Hydrocracker",IF($H11939="REFORMING","Reformer",""))))</f>
        <v/>
      </c>
    </row>
    <row r="11940" spans="6:7">
      <c r="F11940" s="6">
        <f>IF($M11940="PADD I","PADD 1",IF($M11940="PADD II","PADD 2",IF($M11940="PADD III","PADD 3",IF($M11940="PADD IV","PADD 4",IF($M11940="PADD V","PADD 5","")))))</f>
        <v/>
      </c>
      <c r="G11940" s="6">
        <f>IF(AND($H11940="ATMOS DISTILLATION",ISNUMBER(SEARCH("VPS",$I11940))=FALSE,LEFT($I11940,6)&lt;&gt;"VACUUM"),"CDU",IF($H11940="FLUID CAT CRACKING","FCC",IF(OR($H11940="HYDROCRACKING",$H11940="RESID_HYDROCRACKING"),"Hydrocracker",IF($H11940="REFORMING","Reformer",""))))</f>
        <v/>
      </c>
    </row>
    <row r="11941" spans="6:7">
      <c r="F11941" s="6">
        <f>IF($M11941="PADD I","PADD 1",IF($M11941="PADD II","PADD 2",IF($M11941="PADD III","PADD 3",IF($M11941="PADD IV","PADD 4",IF($M11941="PADD V","PADD 5","")))))</f>
        <v/>
      </c>
      <c r="G11941" s="6">
        <f>IF(AND($H11941="ATMOS DISTILLATION",ISNUMBER(SEARCH("VPS",$I11941))=FALSE,LEFT($I11941,6)&lt;&gt;"VACUUM"),"CDU",IF($H11941="FLUID CAT CRACKING","FCC",IF(OR($H11941="HYDROCRACKING",$H11941="RESID_HYDROCRACKING"),"Hydrocracker",IF($H11941="REFORMING","Reformer",""))))</f>
        <v/>
      </c>
    </row>
    <row r="11942" spans="6:7">
      <c r="F11942" s="6">
        <f>IF($M11942="PADD I","PADD 1",IF($M11942="PADD II","PADD 2",IF($M11942="PADD III","PADD 3",IF($M11942="PADD IV","PADD 4",IF($M11942="PADD V","PADD 5","")))))</f>
        <v/>
      </c>
      <c r="G11942" s="6">
        <f>IF(AND($H11942="ATMOS DISTILLATION",ISNUMBER(SEARCH("VPS",$I11942))=FALSE,LEFT($I11942,6)&lt;&gt;"VACUUM"),"CDU",IF($H11942="FLUID CAT CRACKING","FCC",IF(OR($H11942="HYDROCRACKING",$H11942="RESID_HYDROCRACKING"),"Hydrocracker",IF($H11942="REFORMING","Reformer",""))))</f>
        <v/>
      </c>
    </row>
    <row r="11943" spans="6:7">
      <c r="F11943" s="6">
        <f>IF($M11943="PADD I","PADD 1",IF($M11943="PADD II","PADD 2",IF($M11943="PADD III","PADD 3",IF($M11943="PADD IV","PADD 4",IF($M11943="PADD V","PADD 5","")))))</f>
        <v/>
      </c>
      <c r="G11943" s="6">
        <f>IF(AND($H11943="ATMOS DISTILLATION",ISNUMBER(SEARCH("VPS",$I11943))=FALSE,LEFT($I11943,6)&lt;&gt;"VACUUM"),"CDU",IF($H11943="FLUID CAT CRACKING","FCC",IF(OR($H11943="HYDROCRACKING",$H11943="RESID_HYDROCRACKING"),"Hydrocracker",IF($H11943="REFORMING","Reformer",""))))</f>
        <v/>
      </c>
    </row>
    <row r="11944" spans="6:7">
      <c r="F11944" s="6">
        <f>IF($M11944="PADD I","PADD 1",IF($M11944="PADD II","PADD 2",IF($M11944="PADD III","PADD 3",IF($M11944="PADD IV","PADD 4",IF($M11944="PADD V","PADD 5","")))))</f>
        <v/>
      </c>
      <c r="G11944" s="6">
        <f>IF(AND($H11944="ATMOS DISTILLATION",ISNUMBER(SEARCH("VPS",$I11944))=FALSE,LEFT($I11944,6)&lt;&gt;"VACUUM"),"CDU",IF($H11944="FLUID CAT CRACKING","FCC",IF(OR($H11944="HYDROCRACKING",$H11944="RESID_HYDROCRACKING"),"Hydrocracker",IF($H11944="REFORMING","Reformer",""))))</f>
        <v/>
      </c>
    </row>
    <row r="11945" spans="6:7">
      <c r="F11945" s="6">
        <f>IF($M11945="PADD I","PADD 1",IF($M11945="PADD II","PADD 2",IF($M11945="PADD III","PADD 3",IF($M11945="PADD IV","PADD 4",IF($M11945="PADD V","PADD 5","")))))</f>
        <v/>
      </c>
      <c r="G11945" s="6">
        <f>IF(AND($H11945="ATMOS DISTILLATION",ISNUMBER(SEARCH("VPS",$I11945))=FALSE,LEFT($I11945,6)&lt;&gt;"VACUUM"),"CDU",IF($H11945="FLUID CAT CRACKING","FCC",IF(OR($H11945="HYDROCRACKING",$H11945="RESID_HYDROCRACKING"),"Hydrocracker",IF($H11945="REFORMING","Reformer",""))))</f>
        <v/>
      </c>
    </row>
    <row r="11946" spans="6:7">
      <c r="F11946" s="6">
        <f>IF($M11946="PADD I","PADD 1",IF($M11946="PADD II","PADD 2",IF($M11946="PADD III","PADD 3",IF($M11946="PADD IV","PADD 4",IF($M11946="PADD V","PADD 5","")))))</f>
        <v/>
      </c>
      <c r="G11946" s="6">
        <f>IF(AND($H11946="ATMOS DISTILLATION",ISNUMBER(SEARCH("VPS",$I11946))=FALSE,LEFT($I11946,6)&lt;&gt;"VACUUM"),"CDU",IF($H11946="FLUID CAT CRACKING","FCC",IF(OR($H11946="HYDROCRACKING",$H11946="RESID_HYDROCRACKING"),"Hydrocracker",IF($H11946="REFORMING","Reformer",""))))</f>
        <v/>
      </c>
    </row>
    <row r="11947" spans="6:7">
      <c r="F11947" s="6">
        <f>IF($M11947="PADD I","PADD 1",IF($M11947="PADD II","PADD 2",IF($M11947="PADD III","PADD 3",IF($M11947="PADD IV","PADD 4",IF($M11947="PADD V","PADD 5","")))))</f>
        <v/>
      </c>
      <c r="G11947" s="6">
        <f>IF(AND($H11947="ATMOS DISTILLATION",ISNUMBER(SEARCH("VPS",$I11947))=FALSE,LEFT($I11947,6)&lt;&gt;"VACUUM"),"CDU",IF($H11947="FLUID CAT CRACKING","FCC",IF(OR($H11947="HYDROCRACKING",$H11947="RESID_HYDROCRACKING"),"Hydrocracker",IF($H11947="REFORMING","Reformer",""))))</f>
        <v/>
      </c>
    </row>
    <row r="11948" spans="6:7">
      <c r="F11948" s="6">
        <f>IF($M11948="PADD I","PADD 1",IF($M11948="PADD II","PADD 2",IF($M11948="PADD III","PADD 3",IF($M11948="PADD IV","PADD 4",IF($M11948="PADD V","PADD 5","")))))</f>
        <v/>
      </c>
      <c r="G11948" s="6">
        <f>IF(AND($H11948="ATMOS DISTILLATION",ISNUMBER(SEARCH("VPS",$I11948))=FALSE,LEFT($I11948,6)&lt;&gt;"VACUUM"),"CDU",IF($H11948="FLUID CAT CRACKING","FCC",IF(OR($H11948="HYDROCRACKING",$H11948="RESID_HYDROCRACKING"),"Hydrocracker",IF($H11948="REFORMING","Reformer",""))))</f>
        <v/>
      </c>
    </row>
    <row r="11949" spans="6:7">
      <c r="F11949" s="6">
        <f>IF($M11949="PADD I","PADD 1",IF($M11949="PADD II","PADD 2",IF($M11949="PADD III","PADD 3",IF($M11949="PADD IV","PADD 4",IF($M11949="PADD V","PADD 5","")))))</f>
        <v/>
      </c>
      <c r="G11949" s="6">
        <f>IF(AND($H11949="ATMOS DISTILLATION",ISNUMBER(SEARCH("VPS",$I11949))=FALSE,LEFT($I11949,6)&lt;&gt;"VACUUM"),"CDU",IF($H11949="FLUID CAT CRACKING","FCC",IF(OR($H11949="HYDROCRACKING",$H11949="RESID_HYDROCRACKING"),"Hydrocracker",IF($H11949="REFORMING","Reformer",""))))</f>
        <v/>
      </c>
    </row>
    <row r="11950" spans="6:7">
      <c r="F11950" s="6">
        <f>IF($M11950="PADD I","PADD 1",IF($M11950="PADD II","PADD 2",IF($M11950="PADD III","PADD 3",IF($M11950="PADD IV","PADD 4",IF($M11950="PADD V","PADD 5","")))))</f>
        <v/>
      </c>
      <c r="G11950" s="6">
        <f>IF(AND($H11950="ATMOS DISTILLATION",ISNUMBER(SEARCH("VPS",$I11950))=FALSE,LEFT($I11950,6)&lt;&gt;"VACUUM"),"CDU",IF($H11950="FLUID CAT CRACKING","FCC",IF(OR($H11950="HYDROCRACKING",$H11950="RESID_HYDROCRACKING"),"Hydrocracker",IF($H11950="REFORMING","Reformer",""))))</f>
        <v/>
      </c>
    </row>
    <row r="11951" spans="6:7">
      <c r="F11951" s="6">
        <f>IF($M11951="PADD I","PADD 1",IF($M11951="PADD II","PADD 2",IF($M11951="PADD III","PADD 3",IF($M11951="PADD IV","PADD 4",IF($M11951="PADD V","PADD 5","")))))</f>
        <v/>
      </c>
      <c r="G11951" s="6">
        <f>IF(AND($H11951="ATMOS DISTILLATION",ISNUMBER(SEARCH("VPS",$I11951))=FALSE,LEFT($I11951,6)&lt;&gt;"VACUUM"),"CDU",IF($H11951="FLUID CAT CRACKING","FCC",IF(OR($H11951="HYDROCRACKING",$H11951="RESID_HYDROCRACKING"),"Hydrocracker",IF($H11951="REFORMING","Reformer",""))))</f>
        <v/>
      </c>
    </row>
    <row r="11952" spans="6:7">
      <c r="F11952" s="6">
        <f>IF($M11952="PADD I","PADD 1",IF($M11952="PADD II","PADD 2",IF($M11952="PADD III","PADD 3",IF($M11952="PADD IV","PADD 4",IF($M11952="PADD V","PADD 5","")))))</f>
        <v/>
      </c>
      <c r="G11952" s="6">
        <f>IF(AND($H11952="ATMOS DISTILLATION",ISNUMBER(SEARCH("VPS",$I11952))=FALSE,LEFT($I11952,6)&lt;&gt;"VACUUM"),"CDU",IF($H11952="FLUID CAT CRACKING","FCC",IF(OR($H11952="HYDROCRACKING",$H11952="RESID_HYDROCRACKING"),"Hydrocracker",IF($H11952="REFORMING","Reformer",""))))</f>
        <v/>
      </c>
    </row>
    <row r="11953" spans="6:7">
      <c r="F11953" s="6">
        <f>IF($M11953="PADD I","PADD 1",IF($M11953="PADD II","PADD 2",IF($M11953="PADD III","PADD 3",IF($M11953="PADD IV","PADD 4",IF($M11953="PADD V","PADD 5","")))))</f>
        <v/>
      </c>
      <c r="G11953" s="6">
        <f>IF(AND($H11953="ATMOS DISTILLATION",ISNUMBER(SEARCH("VPS",$I11953))=FALSE,LEFT($I11953,6)&lt;&gt;"VACUUM"),"CDU",IF($H11953="FLUID CAT CRACKING","FCC",IF(OR($H11953="HYDROCRACKING",$H11953="RESID_HYDROCRACKING"),"Hydrocracker",IF($H11953="REFORMING","Reformer",""))))</f>
        <v/>
      </c>
    </row>
    <row r="11954" spans="6:7">
      <c r="F11954" s="6">
        <f>IF($M11954="PADD I","PADD 1",IF($M11954="PADD II","PADD 2",IF($M11954="PADD III","PADD 3",IF($M11954="PADD IV","PADD 4",IF($M11954="PADD V","PADD 5","")))))</f>
        <v/>
      </c>
      <c r="G11954" s="6">
        <f>IF(AND($H11954="ATMOS DISTILLATION",ISNUMBER(SEARCH("VPS",$I11954))=FALSE,LEFT($I11954,6)&lt;&gt;"VACUUM"),"CDU",IF($H11954="FLUID CAT CRACKING","FCC",IF(OR($H11954="HYDROCRACKING",$H11954="RESID_HYDROCRACKING"),"Hydrocracker",IF($H11954="REFORMING","Reformer",""))))</f>
        <v/>
      </c>
    </row>
    <row r="11955" spans="6:7">
      <c r="F11955" s="6">
        <f>IF($M11955="PADD I","PADD 1",IF($M11955="PADD II","PADD 2",IF($M11955="PADD III","PADD 3",IF($M11955="PADD IV","PADD 4",IF($M11955="PADD V","PADD 5","")))))</f>
        <v/>
      </c>
      <c r="G11955" s="6">
        <f>IF(AND($H11955="ATMOS DISTILLATION",ISNUMBER(SEARCH("VPS",$I11955))=FALSE,LEFT($I11955,6)&lt;&gt;"VACUUM"),"CDU",IF($H11955="FLUID CAT CRACKING","FCC",IF(OR($H11955="HYDROCRACKING",$H11955="RESID_HYDROCRACKING"),"Hydrocracker",IF($H11955="REFORMING","Reformer",""))))</f>
        <v/>
      </c>
    </row>
    <row r="11956" spans="6:7">
      <c r="F11956" s="6">
        <f>IF($M11956="PADD I","PADD 1",IF($M11956="PADD II","PADD 2",IF($M11956="PADD III","PADD 3",IF($M11956="PADD IV","PADD 4",IF($M11956="PADD V","PADD 5","")))))</f>
        <v/>
      </c>
      <c r="G11956" s="6">
        <f>IF(AND($H11956="ATMOS DISTILLATION",ISNUMBER(SEARCH("VPS",$I11956))=FALSE,LEFT($I11956,6)&lt;&gt;"VACUUM"),"CDU",IF($H11956="FLUID CAT CRACKING","FCC",IF(OR($H11956="HYDROCRACKING",$H11956="RESID_HYDROCRACKING"),"Hydrocracker",IF($H11956="REFORMING","Reformer",""))))</f>
        <v/>
      </c>
    </row>
    <row r="11957" spans="6:7">
      <c r="F11957" s="6">
        <f>IF($M11957="PADD I","PADD 1",IF($M11957="PADD II","PADD 2",IF($M11957="PADD III","PADD 3",IF($M11957="PADD IV","PADD 4",IF($M11957="PADD V","PADD 5","")))))</f>
        <v/>
      </c>
      <c r="G11957" s="6">
        <f>IF(AND($H11957="ATMOS DISTILLATION",ISNUMBER(SEARCH("VPS",$I11957))=FALSE,LEFT($I11957,6)&lt;&gt;"VACUUM"),"CDU",IF($H11957="FLUID CAT CRACKING","FCC",IF(OR($H11957="HYDROCRACKING",$H11957="RESID_HYDROCRACKING"),"Hydrocracker",IF($H11957="REFORMING","Reformer",""))))</f>
        <v/>
      </c>
    </row>
    <row r="11958" spans="6:7">
      <c r="F11958" s="6">
        <f>IF($M11958="PADD I","PADD 1",IF($M11958="PADD II","PADD 2",IF($M11958="PADD III","PADD 3",IF($M11958="PADD IV","PADD 4",IF($M11958="PADD V","PADD 5","")))))</f>
        <v/>
      </c>
      <c r="G11958" s="6">
        <f>IF(AND($H11958="ATMOS DISTILLATION",ISNUMBER(SEARCH("VPS",$I11958))=FALSE,LEFT($I11958,6)&lt;&gt;"VACUUM"),"CDU",IF($H11958="FLUID CAT CRACKING","FCC",IF(OR($H11958="HYDROCRACKING",$H11958="RESID_HYDROCRACKING"),"Hydrocracker",IF($H11958="REFORMING","Reformer",""))))</f>
        <v/>
      </c>
    </row>
    <row r="11959" spans="6:7">
      <c r="F11959" s="6">
        <f>IF($M11959="PADD I","PADD 1",IF($M11959="PADD II","PADD 2",IF($M11959="PADD III","PADD 3",IF($M11959="PADD IV","PADD 4",IF($M11959="PADD V","PADD 5","")))))</f>
        <v/>
      </c>
      <c r="G11959" s="6">
        <f>IF(AND($H11959="ATMOS DISTILLATION",ISNUMBER(SEARCH("VPS",$I11959))=FALSE,LEFT($I11959,6)&lt;&gt;"VACUUM"),"CDU",IF($H11959="FLUID CAT CRACKING","FCC",IF(OR($H11959="HYDROCRACKING",$H11959="RESID_HYDROCRACKING"),"Hydrocracker",IF($H11959="REFORMING","Reformer",""))))</f>
        <v/>
      </c>
    </row>
    <row r="11960" spans="6:7">
      <c r="F11960" s="6">
        <f>IF($M11960="PADD I","PADD 1",IF($M11960="PADD II","PADD 2",IF($M11960="PADD III","PADD 3",IF($M11960="PADD IV","PADD 4",IF($M11960="PADD V","PADD 5","")))))</f>
        <v/>
      </c>
      <c r="G11960" s="6">
        <f>IF(AND($H11960="ATMOS DISTILLATION",ISNUMBER(SEARCH("VPS",$I11960))=FALSE,LEFT($I11960,6)&lt;&gt;"VACUUM"),"CDU",IF($H11960="FLUID CAT CRACKING","FCC",IF(OR($H11960="HYDROCRACKING",$H11960="RESID_HYDROCRACKING"),"Hydrocracker",IF($H11960="REFORMING","Reformer",""))))</f>
        <v/>
      </c>
    </row>
    <row r="11961" spans="6:7">
      <c r="F11961" s="6">
        <f>IF($M11961="PADD I","PADD 1",IF($M11961="PADD II","PADD 2",IF($M11961="PADD III","PADD 3",IF($M11961="PADD IV","PADD 4",IF($M11961="PADD V","PADD 5","")))))</f>
        <v/>
      </c>
      <c r="G11961" s="6">
        <f>IF(AND($H11961="ATMOS DISTILLATION",ISNUMBER(SEARCH("VPS",$I11961))=FALSE,LEFT($I11961,6)&lt;&gt;"VACUUM"),"CDU",IF($H11961="FLUID CAT CRACKING","FCC",IF(OR($H11961="HYDROCRACKING",$H11961="RESID_HYDROCRACKING"),"Hydrocracker",IF($H11961="REFORMING","Reformer",""))))</f>
        <v/>
      </c>
    </row>
    <row r="11962" spans="6:7">
      <c r="F11962" s="6">
        <f>IF($M11962="PADD I","PADD 1",IF($M11962="PADD II","PADD 2",IF($M11962="PADD III","PADD 3",IF($M11962="PADD IV","PADD 4",IF($M11962="PADD V","PADD 5","")))))</f>
        <v/>
      </c>
      <c r="G11962" s="6">
        <f>IF(AND($H11962="ATMOS DISTILLATION",ISNUMBER(SEARCH("VPS",$I11962))=FALSE,LEFT($I11962,6)&lt;&gt;"VACUUM"),"CDU",IF($H11962="FLUID CAT CRACKING","FCC",IF(OR($H11962="HYDROCRACKING",$H11962="RESID_HYDROCRACKING"),"Hydrocracker",IF($H11962="REFORMING","Reformer",""))))</f>
        <v/>
      </c>
    </row>
    <row r="11963" spans="6:7">
      <c r="F11963" s="6">
        <f>IF($M11963="PADD I","PADD 1",IF($M11963="PADD II","PADD 2",IF($M11963="PADD III","PADD 3",IF($M11963="PADD IV","PADD 4",IF($M11963="PADD V","PADD 5","")))))</f>
        <v/>
      </c>
      <c r="G11963" s="6">
        <f>IF(AND($H11963="ATMOS DISTILLATION",ISNUMBER(SEARCH("VPS",$I11963))=FALSE,LEFT($I11963,6)&lt;&gt;"VACUUM"),"CDU",IF($H11963="FLUID CAT CRACKING","FCC",IF(OR($H11963="HYDROCRACKING",$H11963="RESID_HYDROCRACKING"),"Hydrocracker",IF($H11963="REFORMING","Reformer",""))))</f>
        <v/>
      </c>
    </row>
    <row r="11964" spans="6:7">
      <c r="F11964" s="6">
        <f>IF($M11964="PADD I","PADD 1",IF($M11964="PADD II","PADD 2",IF($M11964="PADD III","PADD 3",IF($M11964="PADD IV","PADD 4",IF($M11964="PADD V","PADD 5","")))))</f>
        <v/>
      </c>
      <c r="G11964" s="6">
        <f>IF(AND($H11964="ATMOS DISTILLATION",ISNUMBER(SEARCH("VPS",$I11964))=FALSE,LEFT($I11964,6)&lt;&gt;"VACUUM"),"CDU",IF($H11964="FLUID CAT CRACKING","FCC",IF(OR($H11964="HYDROCRACKING",$H11964="RESID_HYDROCRACKING"),"Hydrocracker",IF($H11964="REFORMING","Reformer",""))))</f>
        <v/>
      </c>
    </row>
    <row r="11965" spans="6:7">
      <c r="F11965" s="6">
        <f>IF($M11965="PADD I","PADD 1",IF($M11965="PADD II","PADD 2",IF($M11965="PADD III","PADD 3",IF($M11965="PADD IV","PADD 4",IF($M11965="PADD V","PADD 5","")))))</f>
        <v/>
      </c>
      <c r="G11965" s="6">
        <f>IF(AND($H11965="ATMOS DISTILLATION",ISNUMBER(SEARCH("VPS",$I11965))=FALSE,LEFT($I11965,6)&lt;&gt;"VACUUM"),"CDU",IF($H11965="FLUID CAT CRACKING","FCC",IF(OR($H11965="HYDROCRACKING",$H11965="RESID_HYDROCRACKING"),"Hydrocracker",IF($H11965="REFORMING","Reformer",""))))</f>
        <v/>
      </c>
    </row>
    <row r="11966" spans="6:7">
      <c r="F11966" s="6">
        <f>IF($M11966="PADD I","PADD 1",IF($M11966="PADD II","PADD 2",IF($M11966="PADD III","PADD 3",IF($M11966="PADD IV","PADD 4",IF($M11966="PADD V","PADD 5","")))))</f>
        <v/>
      </c>
      <c r="G11966" s="6">
        <f>IF(AND($H11966="ATMOS DISTILLATION",ISNUMBER(SEARCH("VPS",$I11966))=FALSE,LEFT($I11966,6)&lt;&gt;"VACUUM"),"CDU",IF($H11966="FLUID CAT CRACKING","FCC",IF(OR($H11966="HYDROCRACKING",$H11966="RESID_HYDROCRACKING"),"Hydrocracker",IF($H11966="REFORMING","Reformer",""))))</f>
        <v/>
      </c>
    </row>
    <row r="11967" spans="6:7">
      <c r="F11967" s="6">
        <f>IF($M11967="PADD I","PADD 1",IF($M11967="PADD II","PADD 2",IF($M11967="PADD III","PADD 3",IF($M11967="PADD IV","PADD 4",IF($M11967="PADD V","PADD 5","")))))</f>
        <v/>
      </c>
      <c r="G11967" s="6">
        <f>IF(AND($H11967="ATMOS DISTILLATION",ISNUMBER(SEARCH("VPS",$I11967))=FALSE,LEFT($I11967,6)&lt;&gt;"VACUUM"),"CDU",IF($H11967="FLUID CAT CRACKING","FCC",IF(OR($H11967="HYDROCRACKING",$H11967="RESID_HYDROCRACKING"),"Hydrocracker",IF($H11967="REFORMING","Reformer",""))))</f>
        <v/>
      </c>
    </row>
    <row r="11968" spans="6:7">
      <c r="F11968" s="6">
        <f>IF($M11968="PADD I","PADD 1",IF($M11968="PADD II","PADD 2",IF($M11968="PADD III","PADD 3",IF($M11968="PADD IV","PADD 4",IF($M11968="PADD V","PADD 5","")))))</f>
        <v/>
      </c>
      <c r="G11968" s="6">
        <f>IF(AND($H11968="ATMOS DISTILLATION",ISNUMBER(SEARCH("VPS",$I11968))=FALSE,LEFT($I11968,6)&lt;&gt;"VACUUM"),"CDU",IF($H11968="FLUID CAT CRACKING","FCC",IF(OR($H11968="HYDROCRACKING",$H11968="RESID_HYDROCRACKING"),"Hydrocracker",IF($H11968="REFORMING","Reformer",""))))</f>
        <v/>
      </c>
    </row>
    <row r="11969" spans="6:7">
      <c r="F11969" s="6">
        <f>IF($M11969="PADD I","PADD 1",IF($M11969="PADD II","PADD 2",IF($M11969="PADD III","PADD 3",IF($M11969="PADD IV","PADD 4",IF($M11969="PADD V","PADD 5","")))))</f>
        <v/>
      </c>
      <c r="G11969" s="6">
        <f>IF(AND($H11969="ATMOS DISTILLATION",ISNUMBER(SEARCH("VPS",$I11969))=FALSE,LEFT($I11969,6)&lt;&gt;"VACUUM"),"CDU",IF($H11969="FLUID CAT CRACKING","FCC",IF(OR($H11969="HYDROCRACKING",$H11969="RESID_HYDROCRACKING"),"Hydrocracker",IF($H11969="REFORMING","Reformer",""))))</f>
        <v/>
      </c>
    </row>
    <row r="11970" spans="6:7">
      <c r="F11970" s="6">
        <f>IF($M11970="PADD I","PADD 1",IF($M11970="PADD II","PADD 2",IF($M11970="PADD III","PADD 3",IF($M11970="PADD IV","PADD 4",IF($M11970="PADD V","PADD 5","")))))</f>
        <v/>
      </c>
      <c r="G11970" s="6">
        <f>IF(AND($H11970="ATMOS DISTILLATION",ISNUMBER(SEARCH("VPS",$I11970))=FALSE,LEFT($I11970,6)&lt;&gt;"VACUUM"),"CDU",IF($H11970="FLUID CAT CRACKING","FCC",IF(OR($H11970="HYDROCRACKING",$H11970="RESID_HYDROCRACKING"),"Hydrocracker",IF($H11970="REFORMING","Reformer",""))))</f>
        <v/>
      </c>
    </row>
    <row r="11971" spans="6:7">
      <c r="F11971" s="6">
        <f>IF($M11971="PADD I","PADD 1",IF($M11971="PADD II","PADD 2",IF($M11971="PADD III","PADD 3",IF($M11971="PADD IV","PADD 4",IF($M11971="PADD V","PADD 5","")))))</f>
        <v/>
      </c>
      <c r="G11971" s="6">
        <f>IF(AND($H11971="ATMOS DISTILLATION",ISNUMBER(SEARCH("VPS",$I11971))=FALSE,LEFT($I11971,6)&lt;&gt;"VACUUM"),"CDU",IF($H11971="FLUID CAT CRACKING","FCC",IF(OR($H11971="HYDROCRACKING",$H11971="RESID_HYDROCRACKING"),"Hydrocracker",IF($H11971="REFORMING","Reformer",""))))</f>
        <v/>
      </c>
    </row>
    <row r="11972" spans="6:7">
      <c r="F11972" s="6">
        <f>IF($M11972="PADD I","PADD 1",IF($M11972="PADD II","PADD 2",IF($M11972="PADD III","PADD 3",IF($M11972="PADD IV","PADD 4",IF($M11972="PADD V","PADD 5","")))))</f>
        <v/>
      </c>
      <c r="G11972" s="6">
        <f>IF(AND($H11972="ATMOS DISTILLATION",ISNUMBER(SEARCH("VPS",$I11972))=FALSE,LEFT($I11972,6)&lt;&gt;"VACUUM"),"CDU",IF($H11972="FLUID CAT CRACKING","FCC",IF(OR($H11972="HYDROCRACKING",$H11972="RESID_HYDROCRACKING"),"Hydrocracker",IF($H11972="REFORMING","Reformer",""))))</f>
        <v/>
      </c>
    </row>
    <row r="11973" spans="6:7">
      <c r="F11973" s="6">
        <f>IF($M11973="PADD I","PADD 1",IF($M11973="PADD II","PADD 2",IF($M11973="PADD III","PADD 3",IF($M11973="PADD IV","PADD 4",IF($M11973="PADD V","PADD 5","")))))</f>
        <v/>
      </c>
      <c r="G11973" s="6">
        <f>IF(AND($H11973="ATMOS DISTILLATION",ISNUMBER(SEARCH("VPS",$I11973))=FALSE,LEFT($I11973,6)&lt;&gt;"VACUUM"),"CDU",IF($H11973="FLUID CAT CRACKING","FCC",IF(OR($H11973="HYDROCRACKING",$H11973="RESID_HYDROCRACKING"),"Hydrocracker",IF($H11973="REFORMING","Reformer",""))))</f>
        <v/>
      </c>
    </row>
    <row r="11974" spans="6:7">
      <c r="F11974" s="6">
        <f>IF($M11974="PADD I","PADD 1",IF($M11974="PADD II","PADD 2",IF($M11974="PADD III","PADD 3",IF($M11974="PADD IV","PADD 4",IF($M11974="PADD V","PADD 5","")))))</f>
        <v/>
      </c>
      <c r="G11974" s="6">
        <f>IF(AND($H11974="ATMOS DISTILLATION",ISNUMBER(SEARCH("VPS",$I11974))=FALSE,LEFT($I11974,6)&lt;&gt;"VACUUM"),"CDU",IF($H11974="FLUID CAT CRACKING","FCC",IF(OR($H11974="HYDROCRACKING",$H11974="RESID_HYDROCRACKING"),"Hydrocracker",IF($H11974="REFORMING","Reformer",""))))</f>
        <v/>
      </c>
    </row>
    <row r="11975" spans="6:7">
      <c r="F11975" s="6">
        <f>IF($M11975="PADD I","PADD 1",IF($M11975="PADD II","PADD 2",IF($M11975="PADD III","PADD 3",IF($M11975="PADD IV","PADD 4",IF($M11975="PADD V","PADD 5","")))))</f>
        <v/>
      </c>
      <c r="G11975" s="6">
        <f>IF(AND($H11975="ATMOS DISTILLATION",ISNUMBER(SEARCH("VPS",$I11975))=FALSE,LEFT($I11975,6)&lt;&gt;"VACUUM"),"CDU",IF($H11975="FLUID CAT CRACKING","FCC",IF(OR($H11975="HYDROCRACKING",$H11975="RESID_HYDROCRACKING"),"Hydrocracker",IF($H11975="REFORMING","Reformer",""))))</f>
        <v/>
      </c>
    </row>
    <row r="11976" spans="6:7">
      <c r="F11976" s="6">
        <f>IF($M11976="PADD I","PADD 1",IF($M11976="PADD II","PADD 2",IF($M11976="PADD III","PADD 3",IF($M11976="PADD IV","PADD 4",IF($M11976="PADD V","PADD 5","")))))</f>
        <v/>
      </c>
      <c r="G11976" s="6">
        <f>IF(AND($H11976="ATMOS DISTILLATION",ISNUMBER(SEARCH("VPS",$I11976))=FALSE,LEFT($I11976,6)&lt;&gt;"VACUUM"),"CDU",IF($H11976="FLUID CAT CRACKING","FCC",IF(OR($H11976="HYDROCRACKING",$H11976="RESID_HYDROCRACKING"),"Hydrocracker",IF($H11976="REFORMING","Reformer",""))))</f>
        <v/>
      </c>
    </row>
    <row r="11977" spans="6:7">
      <c r="F11977" s="6">
        <f>IF($M11977="PADD I","PADD 1",IF($M11977="PADD II","PADD 2",IF($M11977="PADD III","PADD 3",IF($M11977="PADD IV","PADD 4",IF($M11977="PADD V","PADD 5","")))))</f>
        <v/>
      </c>
      <c r="G11977" s="6">
        <f>IF(AND($H11977="ATMOS DISTILLATION",ISNUMBER(SEARCH("VPS",$I11977))=FALSE,LEFT($I11977,6)&lt;&gt;"VACUUM"),"CDU",IF($H11977="FLUID CAT CRACKING","FCC",IF(OR($H11977="HYDROCRACKING",$H11977="RESID_HYDROCRACKING"),"Hydrocracker",IF($H11977="REFORMING","Reformer",""))))</f>
        <v/>
      </c>
    </row>
    <row r="11978" spans="6:7">
      <c r="F11978" s="6">
        <f>IF($M11978="PADD I","PADD 1",IF($M11978="PADD II","PADD 2",IF($M11978="PADD III","PADD 3",IF($M11978="PADD IV","PADD 4",IF($M11978="PADD V","PADD 5","")))))</f>
        <v/>
      </c>
      <c r="G11978" s="6">
        <f>IF(AND($H11978="ATMOS DISTILLATION",ISNUMBER(SEARCH("VPS",$I11978))=FALSE,LEFT($I11978,6)&lt;&gt;"VACUUM"),"CDU",IF($H11978="FLUID CAT CRACKING","FCC",IF(OR($H11978="HYDROCRACKING",$H11978="RESID_HYDROCRACKING"),"Hydrocracker",IF($H11978="REFORMING","Reformer",""))))</f>
        <v/>
      </c>
    </row>
    <row r="11979" spans="6:7">
      <c r="F11979" s="6">
        <f>IF($M11979="PADD I","PADD 1",IF($M11979="PADD II","PADD 2",IF($M11979="PADD III","PADD 3",IF($M11979="PADD IV","PADD 4",IF($M11979="PADD V","PADD 5","")))))</f>
        <v/>
      </c>
      <c r="G11979" s="6">
        <f>IF(AND($H11979="ATMOS DISTILLATION",ISNUMBER(SEARCH("VPS",$I11979))=FALSE,LEFT($I11979,6)&lt;&gt;"VACUUM"),"CDU",IF($H11979="FLUID CAT CRACKING","FCC",IF(OR($H11979="HYDROCRACKING",$H11979="RESID_HYDROCRACKING"),"Hydrocracker",IF($H11979="REFORMING","Reformer",""))))</f>
        <v/>
      </c>
    </row>
    <row r="11980" spans="6:7">
      <c r="F11980" s="6">
        <f>IF($M11980="PADD I","PADD 1",IF($M11980="PADD II","PADD 2",IF($M11980="PADD III","PADD 3",IF($M11980="PADD IV","PADD 4",IF($M11980="PADD V","PADD 5","")))))</f>
        <v/>
      </c>
      <c r="G11980" s="6">
        <f>IF(AND($H11980="ATMOS DISTILLATION",ISNUMBER(SEARCH("VPS",$I11980))=FALSE,LEFT($I11980,6)&lt;&gt;"VACUUM"),"CDU",IF($H11980="FLUID CAT CRACKING","FCC",IF(OR($H11980="HYDROCRACKING",$H11980="RESID_HYDROCRACKING"),"Hydrocracker",IF($H11980="REFORMING","Reformer",""))))</f>
        <v/>
      </c>
    </row>
    <row r="11981" spans="6:7">
      <c r="F11981" s="6">
        <f>IF($M11981="PADD I","PADD 1",IF($M11981="PADD II","PADD 2",IF($M11981="PADD III","PADD 3",IF($M11981="PADD IV","PADD 4",IF($M11981="PADD V","PADD 5","")))))</f>
        <v/>
      </c>
      <c r="G11981" s="6">
        <f>IF(AND($H11981="ATMOS DISTILLATION",ISNUMBER(SEARCH("VPS",$I11981))=FALSE,LEFT($I11981,6)&lt;&gt;"VACUUM"),"CDU",IF($H11981="FLUID CAT CRACKING","FCC",IF(OR($H11981="HYDROCRACKING",$H11981="RESID_HYDROCRACKING"),"Hydrocracker",IF($H11981="REFORMING","Reformer",""))))</f>
        <v/>
      </c>
    </row>
    <row r="11982" spans="6:7">
      <c r="F11982" s="6">
        <f>IF($M11982="PADD I","PADD 1",IF($M11982="PADD II","PADD 2",IF($M11982="PADD III","PADD 3",IF($M11982="PADD IV","PADD 4",IF($M11982="PADD V","PADD 5","")))))</f>
        <v/>
      </c>
      <c r="G11982" s="6">
        <f>IF(AND($H11982="ATMOS DISTILLATION",ISNUMBER(SEARCH("VPS",$I11982))=FALSE,LEFT($I11982,6)&lt;&gt;"VACUUM"),"CDU",IF($H11982="FLUID CAT CRACKING","FCC",IF(OR($H11982="HYDROCRACKING",$H11982="RESID_HYDROCRACKING"),"Hydrocracker",IF($H11982="REFORMING","Reformer",""))))</f>
        <v/>
      </c>
    </row>
    <row r="11983" spans="6:7">
      <c r="F11983" s="6">
        <f>IF($M11983="PADD I","PADD 1",IF($M11983="PADD II","PADD 2",IF($M11983="PADD III","PADD 3",IF($M11983="PADD IV","PADD 4",IF($M11983="PADD V","PADD 5","")))))</f>
        <v/>
      </c>
      <c r="G11983" s="6">
        <f>IF(AND($H11983="ATMOS DISTILLATION",ISNUMBER(SEARCH("VPS",$I11983))=FALSE,LEFT($I11983,6)&lt;&gt;"VACUUM"),"CDU",IF($H11983="FLUID CAT CRACKING","FCC",IF(OR($H11983="HYDROCRACKING",$H11983="RESID_HYDROCRACKING"),"Hydrocracker",IF($H11983="REFORMING","Reformer",""))))</f>
        <v/>
      </c>
    </row>
    <row r="11984" spans="6:7">
      <c r="F11984" s="6">
        <f>IF($M11984="PADD I","PADD 1",IF($M11984="PADD II","PADD 2",IF($M11984="PADD III","PADD 3",IF($M11984="PADD IV","PADD 4",IF($M11984="PADD V","PADD 5","")))))</f>
        <v/>
      </c>
      <c r="G11984" s="6">
        <f>IF(AND($H11984="ATMOS DISTILLATION",ISNUMBER(SEARCH("VPS",$I11984))=FALSE,LEFT($I11984,6)&lt;&gt;"VACUUM"),"CDU",IF($H11984="FLUID CAT CRACKING","FCC",IF(OR($H11984="HYDROCRACKING",$H11984="RESID_HYDROCRACKING"),"Hydrocracker",IF($H11984="REFORMING","Reformer",""))))</f>
        <v/>
      </c>
    </row>
    <row r="11985" spans="6:7">
      <c r="F11985" s="6">
        <f>IF($M11985="PADD I","PADD 1",IF($M11985="PADD II","PADD 2",IF($M11985="PADD III","PADD 3",IF($M11985="PADD IV","PADD 4",IF($M11985="PADD V","PADD 5","")))))</f>
        <v/>
      </c>
      <c r="G11985" s="6">
        <f>IF(AND($H11985="ATMOS DISTILLATION",ISNUMBER(SEARCH("VPS",$I11985))=FALSE,LEFT($I11985,6)&lt;&gt;"VACUUM"),"CDU",IF($H11985="FLUID CAT CRACKING","FCC",IF(OR($H11985="HYDROCRACKING",$H11985="RESID_HYDROCRACKING"),"Hydrocracker",IF($H11985="REFORMING","Reformer",""))))</f>
        <v/>
      </c>
    </row>
    <row r="11986" spans="6:7">
      <c r="F11986" s="6">
        <f>IF($M11986="PADD I","PADD 1",IF($M11986="PADD II","PADD 2",IF($M11986="PADD III","PADD 3",IF($M11986="PADD IV","PADD 4",IF($M11986="PADD V","PADD 5","")))))</f>
        <v/>
      </c>
      <c r="G11986" s="6">
        <f>IF(AND($H11986="ATMOS DISTILLATION",ISNUMBER(SEARCH("VPS",$I11986))=FALSE,LEFT($I11986,6)&lt;&gt;"VACUUM"),"CDU",IF($H11986="FLUID CAT CRACKING","FCC",IF(OR($H11986="HYDROCRACKING",$H11986="RESID_HYDROCRACKING"),"Hydrocracker",IF($H11986="REFORMING","Reformer",""))))</f>
        <v/>
      </c>
    </row>
    <row r="11987" spans="6:7">
      <c r="F11987" s="6">
        <f>IF($M11987="PADD I","PADD 1",IF($M11987="PADD II","PADD 2",IF($M11987="PADD III","PADD 3",IF($M11987="PADD IV","PADD 4",IF($M11987="PADD V","PADD 5","")))))</f>
        <v/>
      </c>
      <c r="G11987" s="6">
        <f>IF(AND($H11987="ATMOS DISTILLATION",ISNUMBER(SEARCH("VPS",$I11987))=FALSE,LEFT($I11987,6)&lt;&gt;"VACUUM"),"CDU",IF($H11987="FLUID CAT CRACKING","FCC",IF(OR($H11987="HYDROCRACKING",$H11987="RESID_HYDROCRACKING"),"Hydrocracker",IF($H11987="REFORMING","Reformer",""))))</f>
        <v/>
      </c>
    </row>
    <row r="11988" spans="6:7">
      <c r="F11988" s="6">
        <f>IF($M11988="PADD I","PADD 1",IF($M11988="PADD II","PADD 2",IF($M11988="PADD III","PADD 3",IF($M11988="PADD IV","PADD 4",IF($M11988="PADD V","PADD 5","")))))</f>
        <v/>
      </c>
      <c r="G11988" s="6">
        <f>IF(AND($H11988="ATMOS DISTILLATION",ISNUMBER(SEARCH("VPS",$I11988))=FALSE,LEFT($I11988,6)&lt;&gt;"VACUUM"),"CDU",IF($H11988="FLUID CAT CRACKING","FCC",IF(OR($H11988="HYDROCRACKING",$H11988="RESID_HYDROCRACKING"),"Hydrocracker",IF($H11988="REFORMING","Reformer",""))))</f>
        <v/>
      </c>
    </row>
    <row r="11989" spans="6:7">
      <c r="F11989" s="6">
        <f>IF($M11989="PADD I","PADD 1",IF($M11989="PADD II","PADD 2",IF($M11989="PADD III","PADD 3",IF($M11989="PADD IV","PADD 4",IF($M11989="PADD V","PADD 5","")))))</f>
        <v/>
      </c>
      <c r="G11989" s="6">
        <f>IF(AND($H11989="ATMOS DISTILLATION",ISNUMBER(SEARCH("VPS",$I11989))=FALSE,LEFT($I11989,6)&lt;&gt;"VACUUM"),"CDU",IF($H11989="FLUID CAT CRACKING","FCC",IF(OR($H11989="HYDROCRACKING",$H11989="RESID_HYDROCRACKING"),"Hydrocracker",IF($H11989="REFORMING","Reformer",""))))</f>
        <v/>
      </c>
    </row>
    <row r="11990" spans="6:7">
      <c r="F11990" s="6">
        <f>IF($M11990="PADD I","PADD 1",IF($M11990="PADD II","PADD 2",IF($M11990="PADD III","PADD 3",IF($M11990="PADD IV","PADD 4",IF($M11990="PADD V","PADD 5","")))))</f>
        <v/>
      </c>
      <c r="G11990" s="6">
        <f>IF(AND($H11990="ATMOS DISTILLATION",ISNUMBER(SEARCH("VPS",$I11990))=FALSE,LEFT($I11990,6)&lt;&gt;"VACUUM"),"CDU",IF($H11990="FLUID CAT CRACKING","FCC",IF(OR($H11990="HYDROCRACKING",$H11990="RESID_HYDROCRACKING"),"Hydrocracker",IF($H11990="REFORMING","Reformer",""))))</f>
        <v/>
      </c>
    </row>
    <row r="11991" spans="6:7">
      <c r="F11991" s="6">
        <f>IF($M11991="PADD I","PADD 1",IF($M11991="PADD II","PADD 2",IF($M11991="PADD III","PADD 3",IF($M11991="PADD IV","PADD 4",IF($M11991="PADD V","PADD 5","")))))</f>
        <v/>
      </c>
      <c r="G11991" s="6">
        <f>IF(AND($H11991="ATMOS DISTILLATION",ISNUMBER(SEARCH("VPS",$I11991))=FALSE,LEFT($I11991,6)&lt;&gt;"VACUUM"),"CDU",IF($H11991="FLUID CAT CRACKING","FCC",IF(OR($H11991="HYDROCRACKING",$H11991="RESID_HYDROCRACKING"),"Hydrocracker",IF($H11991="REFORMING","Reformer",""))))</f>
        <v/>
      </c>
    </row>
    <row r="11992" spans="6:7">
      <c r="F11992" s="6">
        <f>IF($M11992="PADD I","PADD 1",IF($M11992="PADD II","PADD 2",IF($M11992="PADD III","PADD 3",IF($M11992="PADD IV","PADD 4",IF($M11992="PADD V","PADD 5","")))))</f>
        <v/>
      </c>
      <c r="G11992" s="6">
        <f>IF(AND($H11992="ATMOS DISTILLATION",ISNUMBER(SEARCH("VPS",$I11992))=FALSE,LEFT($I11992,6)&lt;&gt;"VACUUM"),"CDU",IF($H11992="FLUID CAT CRACKING","FCC",IF(OR($H11992="HYDROCRACKING",$H11992="RESID_HYDROCRACKING"),"Hydrocracker",IF($H11992="REFORMING","Reformer",""))))</f>
        <v/>
      </c>
    </row>
    <row r="11993" spans="6:7">
      <c r="F11993" s="6">
        <f>IF($M11993="PADD I","PADD 1",IF($M11993="PADD II","PADD 2",IF($M11993="PADD III","PADD 3",IF($M11993="PADD IV","PADD 4",IF($M11993="PADD V","PADD 5","")))))</f>
        <v/>
      </c>
      <c r="G11993" s="6">
        <f>IF(AND($H11993="ATMOS DISTILLATION",ISNUMBER(SEARCH("VPS",$I11993))=FALSE,LEFT($I11993,6)&lt;&gt;"VACUUM"),"CDU",IF($H11993="FLUID CAT CRACKING","FCC",IF(OR($H11993="HYDROCRACKING",$H11993="RESID_HYDROCRACKING"),"Hydrocracker",IF($H11993="REFORMING","Reformer",""))))</f>
        <v/>
      </c>
    </row>
    <row r="11994" spans="6:7">
      <c r="F11994" s="6">
        <f>IF($M11994="PADD I","PADD 1",IF($M11994="PADD II","PADD 2",IF($M11994="PADD III","PADD 3",IF($M11994="PADD IV","PADD 4",IF($M11994="PADD V","PADD 5","")))))</f>
        <v/>
      </c>
      <c r="G11994" s="6">
        <f>IF(AND($H11994="ATMOS DISTILLATION",ISNUMBER(SEARCH("VPS",$I11994))=FALSE,LEFT($I11994,6)&lt;&gt;"VACUUM"),"CDU",IF($H11994="FLUID CAT CRACKING","FCC",IF(OR($H11994="HYDROCRACKING",$H11994="RESID_HYDROCRACKING"),"Hydrocracker",IF($H11994="REFORMING","Reformer",""))))</f>
        <v/>
      </c>
    </row>
    <row r="11995" spans="6:7">
      <c r="F11995" s="6">
        <f>IF($M11995="PADD I","PADD 1",IF($M11995="PADD II","PADD 2",IF($M11995="PADD III","PADD 3",IF($M11995="PADD IV","PADD 4",IF($M11995="PADD V","PADD 5","")))))</f>
        <v/>
      </c>
      <c r="G11995" s="6">
        <f>IF(AND($H11995="ATMOS DISTILLATION",ISNUMBER(SEARCH("VPS",$I11995))=FALSE,LEFT($I11995,6)&lt;&gt;"VACUUM"),"CDU",IF($H11995="FLUID CAT CRACKING","FCC",IF(OR($H11995="HYDROCRACKING",$H11995="RESID_HYDROCRACKING"),"Hydrocracker",IF($H11995="REFORMING","Reformer",""))))</f>
        <v/>
      </c>
    </row>
    <row r="11996" spans="6:7">
      <c r="F11996" s="6">
        <f>IF($M11996="PADD I","PADD 1",IF($M11996="PADD II","PADD 2",IF($M11996="PADD III","PADD 3",IF($M11996="PADD IV","PADD 4",IF($M11996="PADD V","PADD 5","")))))</f>
        <v/>
      </c>
      <c r="G11996" s="6">
        <f>IF(AND($H11996="ATMOS DISTILLATION",ISNUMBER(SEARCH("VPS",$I11996))=FALSE,LEFT($I11996,6)&lt;&gt;"VACUUM"),"CDU",IF($H11996="FLUID CAT CRACKING","FCC",IF(OR($H11996="HYDROCRACKING",$H11996="RESID_HYDROCRACKING"),"Hydrocracker",IF($H11996="REFORMING","Reformer",""))))</f>
        <v/>
      </c>
    </row>
    <row r="11997" spans="6:7">
      <c r="F11997" s="6">
        <f>IF($M11997="PADD I","PADD 1",IF($M11997="PADD II","PADD 2",IF($M11997="PADD III","PADD 3",IF($M11997="PADD IV","PADD 4",IF($M11997="PADD V","PADD 5","")))))</f>
        <v/>
      </c>
      <c r="G11997" s="6">
        <f>IF(AND($H11997="ATMOS DISTILLATION",ISNUMBER(SEARCH("VPS",$I11997))=FALSE,LEFT($I11997,6)&lt;&gt;"VACUUM"),"CDU",IF($H11997="FLUID CAT CRACKING","FCC",IF(OR($H11997="HYDROCRACKING",$H11997="RESID_HYDROCRACKING"),"Hydrocracker",IF($H11997="REFORMING","Reformer",""))))</f>
        <v/>
      </c>
    </row>
    <row r="11998" spans="6:7">
      <c r="F11998" s="6">
        <f>IF($M11998="PADD I","PADD 1",IF($M11998="PADD II","PADD 2",IF($M11998="PADD III","PADD 3",IF($M11998="PADD IV","PADD 4",IF($M11998="PADD V","PADD 5","")))))</f>
        <v/>
      </c>
      <c r="G11998" s="6">
        <f>IF(AND($H11998="ATMOS DISTILLATION",ISNUMBER(SEARCH("VPS",$I11998))=FALSE,LEFT($I11998,6)&lt;&gt;"VACUUM"),"CDU",IF($H11998="FLUID CAT CRACKING","FCC",IF(OR($H11998="HYDROCRACKING",$H11998="RESID_HYDROCRACKING"),"Hydrocracker",IF($H11998="REFORMING","Reformer",""))))</f>
        <v/>
      </c>
    </row>
    <row r="11999" spans="6:7">
      <c r="F11999" s="6">
        <f>IF($M11999="PADD I","PADD 1",IF($M11999="PADD II","PADD 2",IF($M11999="PADD III","PADD 3",IF($M11999="PADD IV","PADD 4",IF($M11999="PADD V","PADD 5","")))))</f>
        <v/>
      </c>
      <c r="G11999" s="6">
        <f>IF(AND($H11999="ATMOS DISTILLATION",ISNUMBER(SEARCH("VPS",$I11999))=FALSE,LEFT($I11999,6)&lt;&gt;"VACUUM"),"CDU",IF($H11999="FLUID CAT CRACKING","FCC",IF(OR($H11999="HYDROCRACKING",$H11999="RESID_HYDROCRACKING"),"Hydrocracker",IF($H11999="REFORMING","Reformer",""))))</f>
        <v/>
      </c>
    </row>
    <row r="12000" spans="6:7">
      <c r="F12000" s="6">
        <f>IF($M12000="PADD I","PADD 1",IF($M12000="PADD II","PADD 2",IF($M12000="PADD III","PADD 3",IF($M12000="PADD IV","PADD 4",IF($M12000="PADD V","PADD 5","")))))</f>
        <v/>
      </c>
      <c r="G12000" s="6">
        <f>IF(AND($H12000="ATMOS DISTILLATION",ISNUMBER(SEARCH("VPS",$I12000))=FALSE,LEFT($I12000,6)&lt;&gt;"VACUUM"),"CDU",IF($H12000="FLUID CAT CRACKING","FCC",IF(OR($H12000="HYDROCRACKING",$H12000="RESID_HYDROCRACKING"),"Hydrocracker",IF($H12000="REFORMING","Reformer",""))))</f>
        <v/>
      </c>
    </row>
    <row r="12001" spans="6:7">
      <c r="F12001" s="6">
        <f>IF($M12001="PADD I","PADD 1",IF($M12001="PADD II","PADD 2",IF($M12001="PADD III","PADD 3",IF($M12001="PADD IV","PADD 4",IF($M12001="PADD V","PADD 5","")))))</f>
        <v/>
      </c>
      <c r="G12001" s="6">
        <f>IF(AND($H12001="ATMOS DISTILLATION",ISNUMBER(SEARCH("VPS",$I12001))=FALSE,LEFT($I12001,6)&lt;&gt;"VACUUM"),"CDU",IF($H12001="FLUID CAT CRACKING","FCC",IF(OR($H12001="HYDROCRACKING",$H12001="RESID_HYDROCRACKING"),"Hydrocracker",IF($H12001="REFORMING","Reformer",""))))</f>
        <v/>
      </c>
    </row>
    <row r="12002" spans="6:7">
      <c r="F12002" s="6">
        <f>IF($M12002="PADD I","PADD 1",IF($M12002="PADD II","PADD 2",IF($M12002="PADD III","PADD 3",IF($M12002="PADD IV","PADD 4",IF($M12002="PADD V","PADD 5","")))))</f>
        <v/>
      </c>
      <c r="G12002" s="6">
        <f>IF(AND($H12002="ATMOS DISTILLATION",ISNUMBER(SEARCH("VPS",$I12002))=FALSE,LEFT($I12002,6)&lt;&gt;"VACUUM"),"CDU",IF($H12002="FLUID CAT CRACKING","FCC",IF(OR($H12002="HYDROCRACKING",$H12002="RESID_HYDROCRACKING"),"Hydrocracker",IF($H12002="REFORMING","Reformer",""))))</f>
        <v/>
      </c>
    </row>
    <row r="12003" spans="6:7">
      <c r="F12003" s="6">
        <f>IF($M12003="PADD I","PADD 1",IF($M12003="PADD II","PADD 2",IF($M12003="PADD III","PADD 3",IF($M12003="PADD IV","PADD 4",IF($M12003="PADD V","PADD 5","")))))</f>
        <v/>
      </c>
      <c r="G12003" s="6">
        <f>IF(AND($H12003="ATMOS DISTILLATION",ISNUMBER(SEARCH("VPS",$I12003))=FALSE,LEFT($I12003,6)&lt;&gt;"VACUUM"),"CDU",IF($H12003="FLUID CAT CRACKING","FCC",IF(OR($H12003="HYDROCRACKING",$H12003="RESID_HYDROCRACKING"),"Hydrocracker",IF($H12003="REFORMING","Reformer",""))))</f>
        <v/>
      </c>
    </row>
    <row r="12004" spans="6:7">
      <c r="F12004" s="6">
        <f>IF($M12004="PADD I","PADD 1",IF($M12004="PADD II","PADD 2",IF($M12004="PADD III","PADD 3",IF($M12004="PADD IV","PADD 4",IF($M12004="PADD V","PADD 5","")))))</f>
        <v/>
      </c>
      <c r="G12004" s="6">
        <f>IF(AND($H12004="ATMOS DISTILLATION",ISNUMBER(SEARCH("VPS",$I12004))=FALSE,LEFT($I12004,6)&lt;&gt;"VACUUM"),"CDU",IF($H12004="FLUID CAT CRACKING","FCC",IF(OR($H12004="HYDROCRACKING",$H12004="RESID_HYDROCRACKING"),"Hydrocracker",IF($H12004="REFORMING","Reformer",""))))</f>
        <v/>
      </c>
    </row>
    <row r="12005" spans="6:7">
      <c r="F12005" s="6">
        <f>IF($M12005="PADD I","PADD 1",IF($M12005="PADD II","PADD 2",IF($M12005="PADD III","PADD 3",IF($M12005="PADD IV","PADD 4",IF($M12005="PADD V","PADD 5","")))))</f>
        <v/>
      </c>
      <c r="G12005" s="6">
        <f>IF(AND($H12005="ATMOS DISTILLATION",ISNUMBER(SEARCH("VPS",$I12005))=FALSE,LEFT($I12005,6)&lt;&gt;"VACUUM"),"CDU",IF($H12005="FLUID CAT CRACKING","FCC",IF(OR($H12005="HYDROCRACKING",$H12005="RESID_HYDROCRACKING"),"Hydrocracker",IF($H12005="REFORMING","Reformer",""))))</f>
        <v/>
      </c>
    </row>
    <row r="12006" spans="6:7">
      <c r="F12006" s="6">
        <f>IF($M12006="PADD I","PADD 1",IF($M12006="PADD II","PADD 2",IF($M12006="PADD III","PADD 3",IF($M12006="PADD IV","PADD 4",IF($M12006="PADD V","PADD 5","")))))</f>
        <v/>
      </c>
      <c r="G12006" s="6">
        <f>IF(AND($H12006="ATMOS DISTILLATION",ISNUMBER(SEARCH("VPS",$I12006))=FALSE,LEFT($I12006,6)&lt;&gt;"VACUUM"),"CDU",IF($H12006="FLUID CAT CRACKING","FCC",IF(OR($H12006="HYDROCRACKING",$H12006="RESID_HYDROCRACKING"),"Hydrocracker",IF($H12006="REFORMING","Reformer",""))))</f>
        <v/>
      </c>
    </row>
    <row r="12007" spans="6:7">
      <c r="F12007" s="6">
        <f>IF($M12007="PADD I","PADD 1",IF($M12007="PADD II","PADD 2",IF($M12007="PADD III","PADD 3",IF($M12007="PADD IV","PADD 4",IF($M12007="PADD V","PADD 5","")))))</f>
        <v/>
      </c>
      <c r="G12007" s="6">
        <f>IF(AND($H12007="ATMOS DISTILLATION",ISNUMBER(SEARCH("VPS",$I12007))=FALSE,LEFT($I12007,6)&lt;&gt;"VACUUM"),"CDU",IF($H12007="FLUID CAT CRACKING","FCC",IF(OR($H12007="HYDROCRACKING",$H12007="RESID_HYDROCRACKING"),"Hydrocracker",IF($H12007="REFORMING","Reformer",""))))</f>
        <v/>
      </c>
    </row>
    <row r="12008" spans="6:7">
      <c r="F12008" s="6">
        <f>IF($M12008="PADD I","PADD 1",IF($M12008="PADD II","PADD 2",IF($M12008="PADD III","PADD 3",IF($M12008="PADD IV","PADD 4",IF($M12008="PADD V","PADD 5","")))))</f>
        <v/>
      </c>
      <c r="G12008" s="6">
        <f>IF(AND($H12008="ATMOS DISTILLATION",ISNUMBER(SEARCH("VPS",$I12008))=FALSE,LEFT($I12008,6)&lt;&gt;"VACUUM"),"CDU",IF($H12008="FLUID CAT CRACKING","FCC",IF(OR($H12008="HYDROCRACKING",$H12008="RESID_HYDROCRACKING"),"Hydrocracker",IF($H12008="REFORMING","Reformer",""))))</f>
        <v/>
      </c>
    </row>
    <row r="12009" spans="6:7">
      <c r="F12009" s="6">
        <f>IF($M12009="PADD I","PADD 1",IF($M12009="PADD II","PADD 2",IF($M12009="PADD III","PADD 3",IF($M12009="PADD IV","PADD 4",IF($M12009="PADD V","PADD 5","")))))</f>
        <v/>
      </c>
      <c r="G12009" s="6">
        <f>IF(AND($H12009="ATMOS DISTILLATION",ISNUMBER(SEARCH("VPS",$I12009))=FALSE,LEFT($I12009,6)&lt;&gt;"VACUUM"),"CDU",IF($H12009="FLUID CAT CRACKING","FCC",IF(OR($H12009="HYDROCRACKING",$H12009="RESID_HYDROCRACKING"),"Hydrocracker",IF($H12009="REFORMING","Reformer",""))))</f>
        <v/>
      </c>
    </row>
    <row r="12010" spans="6:7">
      <c r="F12010" s="6">
        <f>IF($M12010="PADD I","PADD 1",IF($M12010="PADD II","PADD 2",IF($M12010="PADD III","PADD 3",IF($M12010="PADD IV","PADD 4",IF($M12010="PADD V","PADD 5","")))))</f>
        <v/>
      </c>
      <c r="G12010" s="6">
        <f>IF(AND($H12010="ATMOS DISTILLATION",ISNUMBER(SEARCH("VPS",$I12010))=FALSE,LEFT($I12010,6)&lt;&gt;"VACUUM"),"CDU",IF($H12010="FLUID CAT CRACKING","FCC",IF(OR($H12010="HYDROCRACKING",$H12010="RESID_HYDROCRACKING"),"Hydrocracker",IF($H12010="REFORMING","Reformer",""))))</f>
        <v/>
      </c>
    </row>
    <row r="12011" spans="6:7">
      <c r="F12011" s="6">
        <f>IF($M12011="PADD I","PADD 1",IF($M12011="PADD II","PADD 2",IF($M12011="PADD III","PADD 3",IF($M12011="PADD IV","PADD 4",IF($M12011="PADD V","PADD 5","")))))</f>
        <v/>
      </c>
      <c r="G12011" s="6">
        <f>IF(AND($H12011="ATMOS DISTILLATION",ISNUMBER(SEARCH("VPS",$I12011))=FALSE,LEFT($I12011,6)&lt;&gt;"VACUUM"),"CDU",IF($H12011="FLUID CAT CRACKING","FCC",IF(OR($H12011="HYDROCRACKING",$H12011="RESID_HYDROCRACKING"),"Hydrocracker",IF($H12011="REFORMING","Reformer",""))))</f>
        <v/>
      </c>
    </row>
    <row r="12012" spans="6:7">
      <c r="F12012" s="6">
        <f>IF($M12012="PADD I","PADD 1",IF($M12012="PADD II","PADD 2",IF($M12012="PADD III","PADD 3",IF($M12012="PADD IV","PADD 4",IF($M12012="PADD V","PADD 5","")))))</f>
        <v/>
      </c>
      <c r="G12012" s="6">
        <f>IF(AND($H12012="ATMOS DISTILLATION",ISNUMBER(SEARCH("VPS",$I12012))=FALSE,LEFT($I12012,6)&lt;&gt;"VACUUM"),"CDU",IF($H12012="FLUID CAT CRACKING","FCC",IF(OR($H12012="HYDROCRACKING",$H12012="RESID_HYDROCRACKING"),"Hydrocracker",IF($H12012="REFORMING","Reformer",""))))</f>
        <v/>
      </c>
    </row>
    <row r="12013" spans="6:7">
      <c r="F12013" s="6">
        <f>IF($M12013="PADD I","PADD 1",IF($M12013="PADD II","PADD 2",IF($M12013="PADD III","PADD 3",IF($M12013="PADD IV","PADD 4",IF($M12013="PADD V","PADD 5","")))))</f>
        <v/>
      </c>
      <c r="G12013" s="6">
        <f>IF(AND($H12013="ATMOS DISTILLATION",ISNUMBER(SEARCH("VPS",$I12013))=FALSE,LEFT($I12013,6)&lt;&gt;"VACUUM"),"CDU",IF($H12013="FLUID CAT CRACKING","FCC",IF(OR($H12013="HYDROCRACKING",$H12013="RESID_HYDROCRACKING"),"Hydrocracker",IF($H12013="REFORMING","Reformer",""))))</f>
        <v/>
      </c>
    </row>
    <row r="12014" spans="6:7">
      <c r="F12014" s="6">
        <f>IF($M12014="PADD I","PADD 1",IF($M12014="PADD II","PADD 2",IF($M12014="PADD III","PADD 3",IF($M12014="PADD IV","PADD 4",IF($M12014="PADD V","PADD 5","")))))</f>
        <v/>
      </c>
      <c r="G12014" s="6">
        <f>IF(AND($H12014="ATMOS DISTILLATION",ISNUMBER(SEARCH("VPS",$I12014))=FALSE,LEFT($I12014,6)&lt;&gt;"VACUUM"),"CDU",IF($H12014="FLUID CAT CRACKING","FCC",IF(OR($H12014="HYDROCRACKING",$H12014="RESID_HYDROCRACKING"),"Hydrocracker",IF($H12014="REFORMING","Reformer",""))))</f>
        <v/>
      </c>
    </row>
    <row r="12015" spans="6:7">
      <c r="F12015" s="6">
        <f>IF($M12015="PADD I","PADD 1",IF($M12015="PADD II","PADD 2",IF($M12015="PADD III","PADD 3",IF($M12015="PADD IV","PADD 4",IF($M12015="PADD V","PADD 5","")))))</f>
        <v/>
      </c>
      <c r="G12015" s="6">
        <f>IF(AND($H12015="ATMOS DISTILLATION",ISNUMBER(SEARCH("VPS",$I12015))=FALSE,LEFT($I12015,6)&lt;&gt;"VACUUM"),"CDU",IF($H12015="FLUID CAT CRACKING","FCC",IF(OR($H12015="HYDROCRACKING",$H12015="RESID_HYDROCRACKING"),"Hydrocracker",IF($H12015="REFORMING","Reformer",""))))</f>
        <v/>
      </c>
    </row>
    <row r="12016" spans="6:7">
      <c r="F12016" s="6">
        <f>IF($M12016="PADD I","PADD 1",IF($M12016="PADD II","PADD 2",IF($M12016="PADD III","PADD 3",IF($M12016="PADD IV","PADD 4",IF($M12016="PADD V","PADD 5","")))))</f>
        <v/>
      </c>
      <c r="G12016" s="6">
        <f>IF(AND($H12016="ATMOS DISTILLATION",ISNUMBER(SEARCH("VPS",$I12016))=FALSE,LEFT($I12016,6)&lt;&gt;"VACUUM"),"CDU",IF($H12016="FLUID CAT CRACKING","FCC",IF(OR($H12016="HYDROCRACKING",$H12016="RESID_HYDROCRACKING"),"Hydrocracker",IF($H12016="REFORMING","Reformer",""))))</f>
        <v/>
      </c>
    </row>
    <row r="12017" spans="6:7">
      <c r="F12017" s="6">
        <f>IF($M12017="PADD I","PADD 1",IF($M12017="PADD II","PADD 2",IF($M12017="PADD III","PADD 3",IF($M12017="PADD IV","PADD 4",IF($M12017="PADD V","PADD 5","")))))</f>
        <v/>
      </c>
      <c r="G12017" s="6">
        <f>IF(AND($H12017="ATMOS DISTILLATION",ISNUMBER(SEARCH("VPS",$I12017))=FALSE,LEFT($I12017,6)&lt;&gt;"VACUUM"),"CDU",IF($H12017="FLUID CAT CRACKING","FCC",IF(OR($H12017="HYDROCRACKING",$H12017="RESID_HYDROCRACKING"),"Hydrocracker",IF($H12017="REFORMING","Reformer",""))))</f>
        <v/>
      </c>
    </row>
    <row r="12018" spans="6:7">
      <c r="F12018" s="6">
        <f>IF($M12018="PADD I","PADD 1",IF($M12018="PADD II","PADD 2",IF($M12018="PADD III","PADD 3",IF($M12018="PADD IV","PADD 4",IF($M12018="PADD V","PADD 5","")))))</f>
        <v/>
      </c>
      <c r="G12018" s="6">
        <f>IF(AND($H12018="ATMOS DISTILLATION",ISNUMBER(SEARCH("VPS",$I12018))=FALSE,LEFT($I12018,6)&lt;&gt;"VACUUM"),"CDU",IF($H12018="FLUID CAT CRACKING","FCC",IF(OR($H12018="HYDROCRACKING",$H12018="RESID_HYDROCRACKING"),"Hydrocracker",IF($H12018="REFORMING","Reformer",""))))</f>
        <v/>
      </c>
    </row>
    <row r="12019" spans="6:7">
      <c r="F12019" s="6">
        <f>IF($M12019="PADD I","PADD 1",IF($M12019="PADD II","PADD 2",IF($M12019="PADD III","PADD 3",IF($M12019="PADD IV","PADD 4",IF($M12019="PADD V","PADD 5","")))))</f>
        <v/>
      </c>
      <c r="G12019" s="6">
        <f>IF(AND($H12019="ATMOS DISTILLATION",ISNUMBER(SEARCH("VPS",$I12019))=FALSE,LEFT($I12019,6)&lt;&gt;"VACUUM"),"CDU",IF($H12019="FLUID CAT CRACKING","FCC",IF(OR($H12019="HYDROCRACKING",$H12019="RESID_HYDROCRACKING"),"Hydrocracker",IF($H12019="REFORMING","Reformer",""))))</f>
        <v/>
      </c>
    </row>
    <row r="12020" spans="6:7">
      <c r="F12020" s="6">
        <f>IF($M12020="PADD I","PADD 1",IF($M12020="PADD II","PADD 2",IF($M12020="PADD III","PADD 3",IF($M12020="PADD IV","PADD 4",IF($M12020="PADD V","PADD 5","")))))</f>
        <v/>
      </c>
      <c r="G12020" s="6">
        <f>IF(AND($H12020="ATMOS DISTILLATION",ISNUMBER(SEARCH("VPS",$I12020))=FALSE,LEFT($I12020,6)&lt;&gt;"VACUUM"),"CDU",IF($H12020="FLUID CAT CRACKING","FCC",IF(OR($H12020="HYDROCRACKING",$H12020="RESID_HYDROCRACKING"),"Hydrocracker",IF($H12020="REFORMING","Reformer",""))))</f>
        <v/>
      </c>
    </row>
    <row r="12021" spans="6:7">
      <c r="F12021" s="6">
        <f>IF($M12021="PADD I","PADD 1",IF($M12021="PADD II","PADD 2",IF($M12021="PADD III","PADD 3",IF($M12021="PADD IV","PADD 4",IF($M12021="PADD V","PADD 5","")))))</f>
        <v/>
      </c>
      <c r="G12021" s="6">
        <f>IF(AND($H12021="ATMOS DISTILLATION",ISNUMBER(SEARCH("VPS",$I12021))=FALSE,LEFT($I12021,6)&lt;&gt;"VACUUM"),"CDU",IF($H12021="FLUID CAT CRACKING","FCC",IF(OR($H12021="HYDROCRACKING",$H12021="RESID_HYDROCRACKING"),"Hydrocracker",IF($H12021="REFORMING","Reformer",""))))</f>
        <v/>
      </c>
    </row>
    <row r="12022" spans="6:7">
      <c r="F12022" s="6">
        <f>IF($M12022="PADD I","PADD 1",IF($M12022="PADD II","PADD 2",IF($M12022="PADD III","PADD 3",IF($M12022="PADD IV","PADD 4",IF($M12022="PADD V","PADD 5","")))))</f>
        <v/>
      </c>
      <c r="G12022" s="6">
        <f>IF(AND($H12022="ATMOS DISTILLATION",ISNUMBER(SEARCH("VPS",$I12022))=FALSE,LEFT($I12022,6)&lt;&gt;"VACUUM"),"CDU",IF($H12022="FLUID CAT CRACKING","FCC",IF(OR($H12022="HYDROCRACKING",$H12022="RESID_HYDROCRACKING"),"Hydrocracker",IF($H12022="REFORMING","Reformer",""))))</f>
        <v/>
      </c>
    </row>
    <row r="12023" spans="6:7">
      <c r="F12023" s="6">
        <f>IF($M12023="PADD I","PADD 1",IF($M12023="PADD II","PADD 2",IF($M12023="PADD III","PADD 3",IF($M12023="PADD IV","PADD 4",IF($M12023="PADD V","PADD 5","")))))</f>
        <v/>
      </c>
      <c r="G12023" s="6">
        <f>IF(AND($H12023="ATMOS DISTILLATION",ISNUMBER(SEARCH("VPS",$I12023))=FALSE,LEFT($I12023,6)&lt;&gt;"VACUUM"),"CDU",IF($H12023="FLUID CAT CRACKING","FCC",IF(OR($H12023="HYDROCRACKING",$H12023="RESID_HYDROCRACKING"),"Hydrocracker",IF($H12023="REFORMING","Reformer",""))))</f>
        <v/>
      </c>
    </row>
    <row r="12024" spans="6:7">
      <c r="F12024" s="6">
        <f>IF($M12024="PADD I","PADD 1",IF($M12024="PADD II","PADD 2",IF($M12024="PADD III","PADD 3",IF($M12024="PADD IV","PADD 4",IF($M12024="PADD V","PADD 5","")))))</f>
        <v/>
      </c>
      <c r="G12024" s="6">
        <f>IF(AND($H12024="ATMOS DISTILLATION",ISNUMBER(SEARCH("VPS",$I12024))=FALSE,LEFT($I12024,6)&lt;&gt;"VACUUM"),"CDU",IF($H12024="FLUID CAT CRACKING","FCC",IF(OR($H12024="HYDROCRACKING",$H12024="RESID_HYDROCRACKING"),"Hydrocracker",IF($H12024="REFORMING","Reformer",""))))</f>
        <v/>
      </c>
    </row>
    <row r="12025" spans="6:7">
      <c r="F12025" s="6">
        <f>IF($M12025="PADD I","PADD 1",IF($M12025="PADD II","PADD 2",IF($M12025="PADD III","PADD 3",IF($M12025="PADD IV","PADD 4",IF($M12025="PADD V","PADD 5","")))))</f>
        <v/>
      </c>
      <c r="G12025" s="6">
        <f>IF(AND($H12025="ATMOS DISTILLATION",ISNUMBER(SEARCH("VPS",$I12025))=FALSE,LEFT($I12025,6)&lt;&gt;"VACUUM"),"CDU",IF($H12025="FLUID CAT CRACKING","FCC",IF(OR($H12025="HYDROCRACKING",$H12025="RESID_HYDROCRACKING"),"Hydrocracker",IF($H12025="REFORMING","Reformer",""))))</f>
        <v/>
      </c>
    </row>
    <row r="12026" spans="6:7">
      <c r="F12026" s="6">
        <f>IF($M12026="PADD I","PADD 1",IF($M12026="PADD II","PADD 2",IF($M12026="PADD III","PADD 3",IF($M12026="PADD IV","PADD 4",IF($M12026="PADD V","PADD 5","")))))</f>
        <v/>
      </c>
      <c r="G12026" s="6">
        <f>IF(AND($H12026="ATMOS DISTILLATION",ISNUMBER(SEARCH("VPS",$I12026))=FALSE,LEFT($I12026,6)&lt;&gt;"VACUUM"),"CDU",IF($H12026="FLUID CAT CRACKING","FCC",IF(OR($H12026="HYDROCRACKING",$H12026="RESID_HYDROCRACKING"),"Hydrocracker",IF($H12026="REFORMING","Reformer",""))))</f>
        <v/>
      </c>
    </row>
    <row r="12027" spans="6:7">
      <c r="F12027" s="6">
        <f>IF($M12027="PADD I","PADD 1",IF($M12027="PADD II","PADD 2",IF($M12027="PADD III","PADD 3",IF($M12027="PADD IV","PADD 4",IF($M12027="PADD V","PADD 5","")))))</f>
        <v/>
      </c>
      <c r="G12027" s="6">
        <f>IF(AND($H12027="ATMOS DISTILLATION",ISNUMBER(SEARCH("VPS",$I12027))=FALSE,LEFT($I12027,6)&lt;&gt;"VACUUM"),"CDU",IF($H12027="FLUID CAT CRACKING","FCC",IF(OR($H12027="HYDROCRACKING",$H12027="RESID_HYDROCRACKING"),"Hydrocracker",IF($H12027="REFORMING","Reformer",""))))</f>
        <v/>
      </c>
    </row>
    <row r="12028" spans="6:7">
      <c r="F12028" s="6">
        <f>IF($M12028="PADD I","PADD 1",IF($M12028="PADD II","PADD 2",IF($M12028="PADD III","PADD 3",IF($M12028="PADD IV","PADD 4",IF($M12028="PADD V","PADD 5","")))))</f>
        <v/>
      </c>
      <c r="G12028" s="6">
        <f>IF(AND($H12028="ATMOS DISTILLATION",ISNUMBER(SEARCH("VPS",$I12028))=FALSE,LEFT($I12028,6)&lt;&gt;"VACUUM"),"CDU",IF($H12028="FLUID CAT CRACKING","FCC",IF(OR($H12028="HYDROCRACKING",$H12028="RESID_HYDROCRACKING"),"Hydrocracker",IF($H12028="REFORMING","Reformer",""))))</f>
        <v/>
      </c>
    </row>
    <row r="12029" spans="6:7">
      <c r="F12029" s="6">
        <f>IF($M12029="PADD I","PADD 1",IF($M12029="PADD II","PADD 2",IF($M12029="PADD III","PADD 3",IF($M12029="PADD IV","PADD 4",IF($M12029="PADD V","PADD 5","")))))</f>
        <v/>
      </c>
      <c r="G12029" s="6">
        <f>IF(AND($H12029="ATMOS DISTILLATION",ISNUMBER(SEARCH("VPS",$I12029))=FALSE,LEFT($I12029,6)&lt;&gt;"VACUUM"),"CDU",IF($H12029="FLUID CAT CRACKING","FCC",IF(OR($H12029="HYDROCRACKING",$H12029="RESID_HYDROCRACKING"),"Hydrocracker",IF($H12029="REFORMING","Reformer",""))))</f>
        <v/>
      </c>
    </row>
    <row r="12030" spans="6:7">
      <c r="F12030" s="6">
        <f>IF($M12030="PADD I","PADD 1",IF($M12030="PADD II","PADD 2",IF($M12030="PADD III","PADD 3",IF($M12030="PADD IV","PADD 4",IF($M12030="PADD V","PADD 5","")))))</f>
        <v/>
      </c>
      <c r="G12030" s="6">
        <f>IF(AND($H12030="ATMOS DISTILLATION",ISNUMBER(SEARCH("VPS",$I12030))=FALSE,LEFT($I12030,6)&lt;&gt;"VACUUM"),"CDU",IF($H12030="FLUID CAT CRACKING","FCC",IF(OR($H12030="HYDROCRACKING",$H12030="RESID_HYDROCRACKING"),"Hydrocracker",IF($H12030="REFORMING","Reformer",""))))</f>
        <v/>
      </c>
    </row>
    <row r="12031" spans="6:7">
      <c r="F12031" s="6">
        <f>IF($M12031="PADD I","PADD 1",IF($M12031="PADD II","PADD 2",IF($M12031="PADD III","PADD 3",IF($M12031="PADD IV","PADD 4",IF($M12031="PADD V","PADD 5","")))))</f>
        <v/>
      </c>
      <c r="G12031" s="6">
        <f>IF(AND($H12031="ATMOS DISTILLATION",ISNUMBER(SEARCH("VPS",$I12031))=FALSE,LEFT($I12031,6)&lt;&gt;"VACUUM"),"CDU",IF($H12031="FLUID CAT CRACKING","FCC",IF(OR($H12031="HYDROCRACKING",$H12031="RESID_HYDROCRACKING"),"Hydrocracker",IF($H12031="REFORMING","Reformer",""))))</f>
        <v/>
      </c>
    </row>
    <row r="12032" spans="6:7">
      <c r="F12032" s="6">
        <f>IF($M12032="PADD I","PADD 1",IF($M12032="PADD II","PADD 2",IF($M12032="PADD III","PADD 3",IF($M12032="PADD IV","PADD 4",IF($M12032="PADD V","PADD 5","")))))</f>
        <v/>
      </c>
      <c r="G12032" s="6">
        <f>IF(AND($H12032="ATMOS DISTILLATION",ISNUMBER(SEARCH("VPS",$I12032))=FALSE,LEFT($I12032,6)&lt;&gt;"VACUUM"),"CDU",IF($H12032="FLUID CAT CRACKING","FCC",IF(OR($H12032="HYDROCRACKING",$H12032="RESID_HYDROCRACKING"),"Hydrocracker",IF($H12032="REFORMING","Reformer",""))))</f>
        <v/>
      </c>
    </row>
    <row r="12033" spans="6:7">
      <c r="F12033" s="6">
        <f>IF($M12033="PADD I","PADD 1",IF($M12033="PADD II","PADD 2",IF($M12033="PADD III","PADD 3",IF($M12033="PADD IV","PADD 4",IF($M12033="PADD V","PADD 5","")))))</f>
        <v/>
      </c>
      <c r="G12033" s="6">
        <f>IF(AND($H12033="ATMOS DISTILLATION",ISNUMBER(SEARCH("VPS",$I12033))=FALSE,LEFT($I12033,6)&lt;&gt;"VACUUM"),"CDU",IF($H12033="FLUID CAT CRACKING","FCC",IF(OR($H12033="HYDROCRACKING",$H12033="RESID_HYDROCRACKING"),"Hydrocracker",IF($H12033="REFORMING","Reformer",""))))</f>
        <v/>
      </c>
    </row>
    <row r="12034" spans="6:7">
      <c r="F12034" s="6">
        <f>IF($M12034="PADD I","PADD 1",IF($M12034="PADD II","PADD 2",IF($M12034="PADD III","PADD 3",IF($M12034="PADD IV","PADD 4",IF($M12034="PADD V","PADD 5","")))))</f>
        <v/>
      </c>
      <c r="G12034" s="6">
        <f>IF(AND($H12034="ATMOS DISTILLATION",ISNUMBER(SEARCH("VPS",$I12034))=FALSE,LEFT($I12034,6)&lt;&gt;"VACUUM"),"CDU",IF($H12034="FLUID CAT CRACKING","FCC",IF(OR($H12034="HYDROCRACKING",$H12034="RESID_HYDROCRACKING"),"Hydrocracker",IF($H12034="REFORMING","Reformer",""))))</f>
        <v/>
      </c>
    </row>
    <row r="12035" spans="6:7">
      <c r="F12035" s="6">
        <f>IF($M12035="PADD I","PADD 1",IF($M12035="PADD II","PADD 2",IF($M12035="PADD III","PADD 3",IF($M12035="PADD IV","PADD 4",IF($M12035="PADD V","PADD 5","")))))</f>
        <v/>
      </c>
      <c r="G12035" s="6">
        <f>IF(AND($H12035="ATMOS DISTILLATION",ISNUMBER(SEARCH("VPS",$I12035))=FALSE,LEFT($I12035,6)&lt;&gt;"VACUUM"),"CDU",IF($H12035="FLUID CAT CRACKING","FCC",IF(OR($H12035="HYDROCRACKING",$H12035="RESID_HYDROCRACKING"),"Hydrocracker",IF($H12035="REFORMING","Reformer",""))))</f>
        <v/>
      </c>
    </row>
    <row r="12036" spans="6:7">
      <c r="F12036" s="6">
        <f>IF($M12036="PADD I","PADD 1",IF($M12036="PADD II","PADD 2",IF($M12036="PADD III","PADD 3",IF($M12036="PADD IV","PADD 4",IF($M12036="PADD V","PADD 5","")))))</f>
        <v/>
      </c>
      <c r="G12036" s="6">
        <f>IF(AND($H12036="ATMOS DISTILLATION",ISNUMBER(SEARCH("VPS",$I12036))=FALSE,LEFT($I12036,6)&lt;&gt;"VACUUM"),"CDU",IF($H12036="FLUID CAT CRACKING","FCC",IF(OR($H12036="HYDROCRACKING",$H12036="RESID_HYDROCRACKING"),"Hydrocracker",IF($H12036="REFORMING","Reformer",""))))</f>
        <v/>
      </c>
    </row>
    <row r="12037" spans="6:7">
      <c r="F12037" s="6">
        <f>IF($M12037="PADD I","PADD 1",IF($M12037="PADD II","PADD 2",IF($M12037="PADD III","PADD 3",IF($M12037="PADD IV","PADD 4",IF($M12037="PADD V","PADD 5","")))))</f>
        <v/>
      </c>
      <c r="G12037" s="6">
        <f>IF(AND($H12037="ATMOS DISTILLATION",ISNUMBER(SEARCH("VPS",$I12037))=FALSE,LEFT($I12037,6)&lt;&gt;"VACUUM"),"CDU",IF($H12037="FLUID CAT CRACKING","FCC",IF(OR($H12037="HYDROCRACKING",$H12037="RESID_HYDROCRACKING"),"Hydrocracker",IF($H12037="REFORMING","Reformer",""))))</f>
        <v/>
      </c>
    </row>
    <row r="12038" spans="6:7">
      <c r="F12038" s="6">
        <f>IF($M12038="PADD I","PADD 1",IF($M12038="PADD II","PADD 2",IF($M12038="PADD III","PADD 3",IF($M12038="PADD IV","PADD 4",IF($M12038="PADD V","PADD 5","")))))</f>
        <v/>
      </c>
      <c r="G12038" s="6">
        <f>IF(AND($H12038="ATMOS DISTILLATION",ISNUMBER(SEARCH("VPS",$I12038))=FALSE,LEFT($I12038,6)&lt;&gt;"VACUUM"),"CDU",IF($H12038="FLUID CAT CRACKING","FCC",IF(OR($H12038="HYDROCRACKING",$H12038="RESID_HYDROCRACKING"),"Hydrocracker",IF($H12038="REFORMING","Reformer",""))))</f>
        <v/>
      </c>
    </row>
    <row r="12039" spans="6:7">
      <c r="F12039" s="6">
        <f>IF($M12039="PADD I","PADD 1",IF($M12039="PADD II","PADD 2",IF($M12039="PADD III","PADD 3",IF($M12039="PADD IV","PADD 4",IF($M12039="PADD V","PADD 5","")))))</f>
        <v/>
      </c>
      <c r="G12039" s="6">
        <f>IF(AND($H12039="ATMOS DISTILLATION",ISNUMBER(SEARCH("VPS",$I12039))=FALSE,LEFT($I12039,6)&lt;&gt;"VACUUM"),"CDU",IF($H12039="FLUID CAT CRACKING","FCC",IF(OR($H12039="HYDROCRACKING",$H12039="RESID_HYDROCRACKING"),"Hydrocracker",IF($H12039="REFORMING","Reformer",""))))</f>
        <v/>
      </c>
    </row>
    <row r="12040" spans="6:7">
      <c r="F12040" s="6">
        <f>IF($M12040="PADD I","PADD 1",IF($M12040="PADD II","PADD 2",IF($M12040="PADD III","PADD 3",IF($M12040="PADD IV","PADD 4",IF($M12040="PADD V","PADD 5","")))))</f>
        <v/>
      </c>
      <c r="G12040" s="6">
        <f>IF(AND($H12040="ATMOS DISTILLATION",ISNUMBER(SEARCH("VPS",$I12040))=FALSE,LEFT($I12040,6)&lt;&gt;"VACUUM"),"CDU",IF($H12040="FLUID CAT CRACKING","FCC",IF(OR($H12040="HYDROCRACKING",$H12040="RESID_HYDROCRACKING"),"Hydrocracker",IF($H12040="REFORMING","Reformer",""))))</f>
        <v/>
      </c>
    </row>
    <row r="12041" spans="6:7">
      <c r="F12041" s="6">
        <f>IF($M12041="PADD I","PADD 1",IF($M12041="PADD II","PADD 2",IF($M12041="PADD III","PADD 3",IF($M12041="PADD IV","PADD 4",IF($M12041="PADD V","PADD 5","")))))</f>
        <v/>
      </c>
      <c r="G12041" s="6">
        <f>IF(AND($H12041="ATMOS DISTILLATION",ISNUMBER(SEARCH("VPS",$I12041))=FALSE,LEFT($I12041,6)&lt;&gt;"VACUUM"),"CDU",IF($H12041="FLUID CAT CRACKING","FCC",IF(OR($H12041="HYDROCRACKING",$H12041="RESID_HYDROCRACKING"),"Hydrocracker",IF($H12041="REFORMING","Reformer",""))))</f>
        <v/>
      </c>
    </row>
    <row r="12042" spans="6:7">
      <c r="F12042" s="6">
        <f>IF($M12042="PADD I","PADD 1",IF($M12042="PADD II","PADD 2",IF($M12042="PADD III","PADD 3",IF($M12042="PADD IV","PADD 4",IF($M12042="PADD V","PADD 5","")))))</f>
        <v/>
      </c>
      <c r="G12042" s="6">
        <f>IF(AND($H12042="ATMOS DISTILLATION",ISNUMBER(SEARCH("VPS",$I12042))=FALSE,LEFT($I12042,6)&lt;&gt;"VACUUM"),"CDU",IF($H12042="FLUID CAT CRACKING","FCC",IF(OR($H12042="HYDROCRACKING",$H12042="RESID_HYDROCRACKING"),"Hydrocracker",IF($H12042="REFORMING","Reformer",""))))</f>
        <v/>
      </c>
    </row>
    <row r="12043" spans="6:7">
      <c r="F12043" s="6">
        <f>IF($M12043="PADD I","PADD 1",IF($M12043="PADD II","PADD 2",IF($M12043="PADD III","PADD 3",IF($M12043="PADD IV","PADD 4",IF($M12043="PADD V","PADD 5","")))))</f>
        <v/>
      </c>
      <c r="G12043" s="6">
        <f>IF(AND($H12043="ATMOS DISTILLATION",ISNUMBER(SEARCH("VPS",$I12043))=FALSE,LEFT($I12043,6)&lt;&gt;"VACUUM"),"CDU",IF($H12043="FLUID CAT CRACKING","FCC",IF(OR($H12043="HYDROCRACKING",$H12043="RESID_HYDROCRACKING"),"Hydrocracker",IF($H12043="REFORMING","Reformer",""))))</f>
        <v/>
      </c>
    </row>
    <row r="12044" spans="6:7">
      <c r="F12044" s="6">
        <f>IF($M12044="PADD I","PADD 1",IF($M12044="PADD II","PADD 2",IF($M12044="PADD III","PADD 3",IF($M12044="PADD IV","PADD 4",IF($M12044="PADD V","PADD 5","")))))</f>
        <v/>
      </c>
      <c r="G12044" s="6">
        <f>IF(AND($H12044="ATMOS DISTILLATION",ISNUMBER(SEARCH("VPS",$I12044))=FALSE,LEFT($I12044,6)&lt;&gt;"VACUUM"),"CDU",IF($H12044="FLUID CAT CRACKING","FCC",IF(OR($H12044="HYDROCRACKING",$H12044="RESID_HYDROCRACKING"),"Hydrocracker",IF($H12044="REFORMING","Reformer",""))))</f>
        <v/>
      </c>
    </row>
    <row r="12045" spans="6:7">
      <c r="F12045" s="6">
        <f>IF($M12045="PADD I","PADD 1",IF($M12045="PADD II","PADD 2",IF($M12045="PADD III","PADD 3",IF($M12045="PADD IV","PADD 4",IF($M12045="PADD V","PADD 5","")))))</f>
        <v/>
      </c>
      <c r="G12045" s="6">
        <f>IF(AND($H12045="ATMOS DISTILLATION",ISNUMBER(SEARCH("VPS",$I12045))=FALSE,LEFT($I12045,6)&lt;&gt;"VACUUM"),"CDU",IF($H12045="FLUID CAT CRACKING","FCC",IF(OR($H12045="HYDROCRACKING",$H12045="RESID_HYDROCRACKING"),"Hydrocracker",IF($H12045="REFORMING","Reformer",""))))</f>
        <v/>
      </c>
    </row>
    <row r="12046" spans="6:7">
      <c r="F12046" s="6">
        <f>IF($M12046="PADD I","PADD 1",IF($M12046="PADD II","PADD 2",IF($M12046="PADD III","PADD 3",IF($M12046="PADD IV","PADD 4",IF($M12046="PADD V","PADD 5","")))))</f>
        <v/>
      </c>
      <c r="G12046" s="6">
        <f>IF(AND($H12046="ATMOS DISTILLATION",ISNUMBER(SEARCH("VPS",$I12046))=FALSE,LEFT($I12046,6)&lt;&gt;"VACUUM"),"CDU",IF($H12046="FLUID CAT CRACKING","FCC",IF(OR($H12046="HYDROCRACKING",$H12046="RESID_HYDROCRACKING"),"Hydrocracker",IF($H12046="REFORMING","Reformer",""))))</f>
        <v/>
      </c>
    </row>
    <row r="12047" spans="6:7">
      <c r="F12047" s="6">
        <f>IF($M12047="PADD I","PADD 1",IF($M12047="PADD II","PADD 2",IF($M12047="PADD III","PADD 3",IF($M12047="PADD IV","PADD 4",IF($M12047="PADD V","PADD 5","")))))</f>
        <v/>
      </c>
      <c r="G12047" s="6">
        <f>IF(AND($H12047="ATMOS DISTILLATION",ISNUMBER(SEARCH("VPS",$I12047))=FALSE,LEFT($I12047,6)&lt;&gt;"VACUUM"),"CDU",IF($H12047="FLUID CAT CRACKING","FCC",IF(OR($H12047="HYDROCRACKING",$H12047="RESID_HYDROCRACKING"),"Hydrocracker",IF($H12047="REFORMING","Reformer",""))))</f>
        <v/>
      </c>
    </row>
    <row r="12048" spans="6:7">
      <c r="F12048" s="6">
        <f>IF($M12048="PADD I","PADD 1",IF($M12048="PADD II","PADD 2",IF($M12048="PADD III","PADD 3",IF($M12048="PADD IV","PADD 4",IF($M12048="PADD V","PADD 5","")))))</f>
        <v/>
      </c>
      <c r="G12048" s="6">
        <f>IF(AND($H12048="ATMOS DISTILLATION",ISNUMBER(SEARCH("VPS",$I12048))=FALSE,LEFT($I12048,6)&lt;&gt;"VACUUM"),"CDU",IF($H12048="FLUID CAT CRACKING","FCC",IF(OR($H12048="HYDROCRACKING",$H12048="RESID_HYDROCRACKING"),"Hydrocracker",IF($H12048="REFORMING","Reformer",""))))</f>
        <v/>
      </c>
    </row>
    <row r="12049" spans="6:7">
      <c r="F12049" s="6">
        <f>IF($M12049="PADD I","PADD 1",IF($M12049="PADD II","PADD 2",IF($M12049="PADD III","PADD 3",IF($M12049="PADD IV","PADD 4",IF($M12049="PADD V","PADD 5","")))))</f>
        <v/>
      </c>
      <c r="G12049" s="6">
        <f>IF(AND($H12049="ATMOS DISTILLATION",ISNUMBER(SEARCH("VPS",$I12049))=FALSE,LEFT($I12049,6)&lt;&gt;"VACUUM"),"CDU",IF($H12049="FLUID CAT CRACKING","FCC",IF(OR($H12049="HYDROCRACKING",$H12049="RESID_HYDROCRACKING"),"Hydrocracker",IF($H12049="REFORMING","Reformer",""))))</f>
        <v/>
      </c>
    </row>
    <row r="12050" spans="6:7">
      <c r="F12050" s="6">
        <f>IF($M12050="PADD I","PADD 1",IF($M12050="PADD II","PADD 2",IF($M12050="PADD III","PADD 3",IF($M12050="PADD IV","PADD 4",IF($M12050="PADD V","PADD 5","")))))</f>
        <v/>
      </c>
      <c r="G12050" s="6">
        <f>IF(AND($H12050="ATMOS DISTILLATION",ISNUMBER(SEARCH("VPS",$I12050))=FALSE,LEFT($I12050,6)&lt;&gt;"VACUUM"),"CDU",IF($H12050="FLUID CAT CRACKING","FCC",IF(OR($H12050="HYDROCRACKING",$H12050="RESID_HYDROCRACKING"),"Hydrocracker",IF($H12050="REFORMING","Reformer",""))))</f>
        <v/>
      </c>
    </row>
    <row r="12051" spans="6:7">
      <c r="F12051" s="6">
        <f>IF($M12051="PADD I","PADD 1",IF($M12051="PADD II","PADD 2",IF($M12051="PADD III","PADD 3",IF($M12051="PADD IV","PADD 4",IF($M12051="PADD V","PADD 5","")))))</f>
        <v/>
      </c>
      <c r="G12051" s="6">
        <f>IF(AND($H12051="ATMOS DISTILLATION",ISNUMBER(SEARCH("VPS",$I12051))=FALSE,LEFT($I12051,6)&lt;&gt;"VACUUM"),"CDU",IF($H12051="FLUID CAT CRACKING","FCC",IF(OR($H12051="HYDROCRACKING",$H12051="RESID_HYDROCRACKING"),"Hydrocracker",IF($H12051="REFORMING","Reformer",""))))</f>
        <v/>
      </c>
    </row>
    <row r="12052" spans="6:7">
      <c r="F12052" s="6">
        <f>IF($M12052="PADD I","PADD 1",IF($M12052="PADD II","PADD 2",IF($M12052="PADD III","PADD 3",IF($M12052="PADD IV","PADD 4",IF($M12052="PADD V","PADD 5","")))))</f>
        <v/>
      </c>
      <c r="G12052" s="6">
        <f>IF(AND($H12052="ATMOS DISTILLATION",ISNUMBER(SEARCH("VPS",$I12052))=FALSE,LEFT($I12052,6)&lt;&gt;"VACUUM"),"CDU",IF($H12052="FLUID CAT CRACKING","FCC",IF(OR($H12052="HYDROCRACKING",$H12052="RESID_HYDROCRACKING"),"Hydrocracker",IF($H12052="REFORMING","Reformer",""))))</f>
        <v/>
      </c>
    </row>
    <row r="12053" spans="6:7">
      <c r="F12053" s="6">
        <f>IF($M12053="PADD I","PADD 1",IF($M12053="PADD II","PADD 2",IF($M12053="PADD III","PADD 3",IF($M12053="PADD IV","PADD 4",IF($M12053="PADD V","PADD 5","")))))</f>
        <v/>
      </c>
      <c r="G12053" s="6">
        <f>IF(AND($H12053="ATMOS DISTILLATION",ISNUMBER(SEARCH("VPS",$I12053))=FALSE,LEFT($I12053,6)&lt;&gt;"VACUUM"),"CDU",IF($H12053="FLUID CAT CRACKING","FCC",IF(OR($H12053="HYDROCRACKING",$H12053="RESID_HYDROCRACKING"),"Hydrocracker",IF($H12053="REFORMING","Reformer",""))))</f>
        <v/>
      </c>
    </row>
    <row r="12054" spans="6:7">
      <c r="F12054" s="6">
        <f>IF($M12054="PADD I","PADD 1",IF($M12054="PADD II","PADD 2",IF($M12054="PADD III","PADD 3",IF($M12054="PADD IV","PADD 4",IF($M12054="PADD V","PADD 5","")))))</f>
        <v/>
      </c>
      <c r="G12054" s="6">
        <f>IF(AND($H12054="ATMOS DISTILLATION",ISNUMBER(SEARCH("VPS",$I12054))=FALSE,LEFT($I12054,6)&lt;&gt;"VACUUM"),"CDU",IF($H12054="FLUID CAT CRACKING","FCC",IF(OR($H12054="HYDROCRACKING",$H12054="RESID_HYDROCRACKING"),"Hydrocracker",IF($H12054="REFORMING","Reformer",""))))</f>
        <v/>
      </c>
    </row>
    <row r="12055" spans="6:7">
      <c r="F12055" s="6">
        <f>IF($M12055="PADD I","PADD 1",IF($M12055="PADD II","PADD 2",IF($M12055="PADD III","PADD 3",IF($M12055="PADD IV","PADD 4",IF($M12055="PADD V","PADD 5","")))))</f>
        <v/>
      </c>
      <c r="G12055" s="6">
        <f>IF(AND($H12055="ATMOS DISTILLATION",ISNUMBER(SEARCH("VPS",$I12055))=FALSE,LEFT($I12055,6)&lt;&gt;"VACUUM"),"CDU",IF($H12055="FLUID CAT CRACKING","FCC",IF(OR($H12055="HYDROCRACKING",$H12055="RESID_HYDROCRACKING"),"Hydrocracker",IF($H12055="REFORMING","Reformer",""))))</f>
        <v/>
      </c>
    </row>
    <row r="12056" spans="6:7">
      <c r="F12056" s="6">
        <f>IF($M12056="PADD I","PADD 1",IF($M12056="PADD II","PADD 2",IF($M12056="PADD III","PADD 3",IF($M12056="PADD IV","PADD 4",IF($M12056="PADD V","PADD 5","")))))</f>
        <v/>
      </c>
      <c r="G12056" s="6">
        <f>IF(AND($H12056="ATMOS DISTILLATION",ISNUMBER(SEARCH("VPS",$I12056))=FALSE,LEFT($I12056,6)&lt;&gt;"VACUUM"),"CDU",IF($H12056="FLUID CAT CRACKING","FCC",IF(OR($H12056="HYDROCRACKING",$H12056="RESID_HYDROCRACKING"),"Hydrocracker",IF($H12056="REFORMING","Reformer",""))))</f>
        <v/>
      </c>
    </row>
    <row r="12057" spans="6:7">
      <c r="F12057" s="6">
        <f>IF($M12057="PADD I","PADD 1",IF($M12057="PADD II","PADD 2",IF($M12057="PADD III","PADD 3",IF($M12057="PADD IV","PADD 4",IF($M12057="PADD V","PADD 5","")))))</f>
        <v/>
      </c>
      <c r="G12057" s="6">
        <f>IF(AND($H12057="ATMOS DISTILLATION",ISNUMBER(SEARCH("VPS",$I12057))=FALSE,LEFT($I12057,6)&lt;&gt;"VACUUM"),"CDU",IF($H12057="FLUID CAT CRACKING","FCC",IF(OR($H12057="HYDROCRACKING",$H12057="RESID_HYDROCRACKING"),"Hydrocracker",IF($H12057="REFORMING","Reformer",""))))</f>
        <v/>
      </c>
    </row>
    <row r="12058" spans="6:7">
      <c r="F12058" s="6">
        <f>IF($M12058="PADD I","PADD 1",IF($M12058="PADD II","PADD 2",IF($M12058="PADD III","PADD 3",IF($M12058="PADD IV","PADD 4",IF($M12058="PADD V","PADD 5","")))))</f>
        <v/>
      </c>
      <c r="G12058" s="6">
        <f>IF(AND($H12058="ATMOS DISTILLATION",ISNUMBER(SEARCH("VPS",$I12058))=FALSE,LEFT($I12058,6)&lt;&gt;"VACUUM"),"CDU",IF($H12058="FLUID CAT CRACKING","FCC",IF(OR($H12058="HYDROCRACKING",$H12058="RESID_HYDROCRACKING"),"Hydrocracker",IF($H12058="REFORMING","Reformer",""))))</f>
        <v/>
      </c>
    </row>
    <row r="12059" spans="6:7">
      <c r="F12059" s="6">
        <f>IF($M12059="PADD I","PADD 1",IF($M12059="PADD II","PADD 2",IF($M12059="PADD III","PADD 3",IF($M12059="PADD IV","PADD 4",IF($M12059="PADD V","PADD 5","")))))</f>
        <v/>
      </c>
      <c r="G12059" s="6">
        <f>IF(AND($H12059="ATMOS DISTILLATION",ISNUMBER(SEARCH("VPS",$I12059))=FALSE,LEFT($I12059,6)&lt;&gt;"VACUUM"),"CDU",IF($H12059="FLUID CAT CRACKING","FCC",IF(OR($H12059="HYDROCRACKING",$H12059="RESID_HYDROCRACKING"),"Hydrocracker",IF($H12059="REFORMING","Reformer",""))))</f>
        <v/>
      </c>
    </row>
    <row r="12060" spans="6:7">
      <c r="F12060" s="6">
        <f>IF($M12060="PADD I","PADD 1",IF($M12060="PADD II","PADD 2",IF($M12060="PADD III","PADD 3",IF($M12060="PADD IV","PADD 4",IF($M12060="PADD V","PADD 5","")))))</f>
        <v/>
      </c>
      <c r="G12060" s="6">
        <f>IF(AND($H12060="ATMOS DISTILLATION",ISNUMBER(SEARCH("VPS",$I12060))=FALSE,LEFT($I12060,6)&lt;&gt;"VACUUM"),"CDU",IF($H12060="FLUID CAT CRACKING","FCC",IF(OR($H12060="HYDROCRACKING",$H12060="RESID_HYDROCRACKING"),"Hydrocracker",IF($H12060="REFORMING","Reformer",""))))</f>
        <v/>
      </c>
    </row>
    <row r="12061" spans="6:7">
      <c r="F12061" s="6">
        <f>IF($M12061="PADD I","PADD 1",IF($M12061="PADD II","PADD 2",IF($M12061="PADD III","PADD 3",IF($M12061="PADD IV","PADD 4",IF($M12061="PADD V","PADD 5","")))))</f>
        <v/>
      </c>
      <c r="G12061" s="6">
        <f>IF(AND($H12061="ATMOS DISTILLATION",ISNUMBER(SEARCH("VPS",$I12061))=FALSE,LEFT($I12061,6)&lt;&gt;"VACUUM"),"CDU",IF($H12061="FLUID CAT CRACKING","FCC",IF(OR($H12061="HYDROCRACKING",$H12061="RESID_HYDROCRACKING"),"Hydrocracker",IF($H12061="REFORMING","Reformer",""))))</f>
        <v/>
      </c>
    </row>
    <row r="12062" spans="6:7">
      <c r="F12062" s="6">
        <f>IF($M12062="PADD I","PADD 1",IF($M12062="PADD II","PADD 2",IF($M12062="PADD III","PADD 3",IF($M12062="PADD IV","PADD 4",IF($M12062="PADD V","PADD 5","")))))</f>
        <v/>
      </c>
      <c r="G12062" s="6">
        <f>IF(AND($H12062="ATMOS DISTILLATION",ISNUMBER(SEARCH("VPS",$I12062))=FALSE,LEFT($I12062,6)&lt;&gt;"VACUUM"),"CDU",IF($H12062="FLUID CAT CRACKING","FCC",IF(OR($H12062="HYDROCRACKING",$H12062="RESID_HYDROCRACKING"),"Hydrocracker",IF($H12062="REFORMING","Reformer",""))))</f>
        <v/>
      </c>
    </row>
    <row r="12063" spans="6:7">
      <c r="F12063" s="6">
        <f>IF($M12063="PADD I","PADD 1",IF($M12063="PADD II","PADD 2",IF($M12063="PADD III","PADD 3",IF($M12063="PADD IV","PADD 4",IF($M12063="PADD V","PADD 5","")))))</f>
        <v/>
      </c>
      <c r="G12063" s="6">
        <f>IF(AND($H12063="ATMOS DISTILLATION",ISNUMBER(SEARCH("VPS",$I12063))=FALSE,LEFT($I12063,6)&lt;&gt;"VACUUM"),"CDU",IF($H12063="FLUID CAT CRACKING","FCC",IF(OR($H12063="HYDROCRACKING",$H12063="RESID_HYDROCRACKING"),"Hydrocracker",IF($H12063="REFORMING","Reformer",""))))</f>
        <v/>
      </c>
    </row>
    <row r="12064" spans="6:7">
      <c r="F12064" s="6">
        <f>IF($M12064="PADD I","PADD 1",IF($M12064="PADD II","PADD 2",IF($M12064="PADD III","PADD 3",IF($M12064="PADD IV","PADD 4",IF($M12064="PADD V","PADD 5","")))))</f>
        <v/>
      </c>
      <c r="G12064" s="6">
        <f>IF(AND($H12064="ATMOS DISTILLATION",ISNUMBER(SEARCH("VPS",$I12064))=FALSE,LEFT($I12064,6)&lt;&gt;"VACUUM"),"CDU",IF($H12064="FLUID CAT CRACKING","FCC",IF(OR($H12064="HYDROCRACKING",$H12064="RESID_HYDROCRACKING"),"Hydrocracker",IF($H12064="REFORMING","Reformer",""))))</f>
        <v/>
      </c>
    </row>
    <row r="12065" spans="6:7">
      <c r="F12065" s="6">
        <f>IF($M12065="PADD I","PADD 1",IF($M12065="PADD II","PADD 2",IF($M12065="PADD III","PADD 3",IF($M12065="PADD IV","PADD 4",IF($M12065="PADD V","PADD 5","")))))</f>
        <v/>
      </c>
      <c r="G12065" s="6">
        <f>IF(AND($H12065="ATMOS DISTILLATION",ISNUMBER(SEARCH("VPS",$I12065))=FALSE,LEFT($I12065,6)&lt;&gt;"VACUUM"),"CDU",IF($H12065="FLUID CAT CRACKING","FCC",IF(OR($H12065="HYDROCRACKING",$H12065="RESID_HYDROCRACKING"),"Hydrocracker",IF($H12065="REFORMING","Reformer",""))))</f>
        <v/>
      </c>
    </row>
    <row r="12066" spans="6:7">
      <c r="F12066" s="6">
        <f>IF($M12066="PADD I","PADD 1",IF($M12066="PADD II","PADD 2",IF($M12066="PADD III","PADD 3",IF($M12066="PADD IV","PADD 4",IF($M12066="PADD V","PADD 5","")))))</f>
        <v/>
      </c>
      <c r="G12066" s="6">
        <f>IF(AND($H12066="ATMOS DISTILLATION",ISNUMBER(SEARCH("VPS",$I12066))=FALSE,LEFT($I12066,6)&lt;&gt;"VACUUM"),"CDU",IF($H12066="FLUID CAT CRACKING","FCC",IF(OR($H12066="HYDROCRACKING",$H12066="RESID_HYDROCRACKING"),"Hydrocracker",IF($H12066="REFORMING","Reformer",""))))</f>
        <v/>
      </c>
    </row>
    <row r="12067" spans="6:7">
      <c r="F12067" s="6">
        <f>IF($M12067="PADD I","PADD 1",IF($M12067="PADD II","PADD 2",IF($M12067="PADD III","PADD 3",IF($M12067="PADD IV","PADD 4",IF($M12067="PADD V","PADD 5","")))))</f>
        <v/>
      </c>
      <c r="G12067" s="6">
        <f>IF(AND($H12067="ATMOS DISTILLATION",ISNUMBER(SEARCH("VPS",$I12067))=FALSE,LEFT($I12067,6)&lt;&gt;"VACUUM"),"CDU",IF($H12067="FLUID CAT CRACKING","FCC",IF(OR($H12067="HYDROCRACKING",$H12067="RESID_HYDROCRACKING"),"Hydrocracker",IF($H12067="REFORMING","Reformer",""))))</f>
        <v/>
      </c>
    </row>
    <row r="12068" spans="6:7">
      <c r="F12068" s="6">
        <f>IF($M12068="PADD I","PADD 1",IF($M12068="PADD II","PADD 2",IF($M12068="PADD III","PADD 3",IF($M12068="PADD IV","PADD 4",IF($M12068="PADD V","PADD 5","")))))</f>
        <v/>
      </c>
      <c r="G12068" s="6">
        <f>IF(AND($H12068="ATMOS DISTILLATION",ISNUMBER(SEARCH("VPS",$I12068))=FALSE,LEFT($I12068,6)&lt;&gt;"VACUUM"),"CDU",IF($H12068="FLUID CAT CRACKING","FCC",IF(OR($H12068="HYDROCRACKING",$H12068="RESID_HYDROCRACKING"),"Hydrocracker",IF($H12068="REFORMING","Reformer",""))))</f>
        <v/>
      </c>
    </row>
    <row r="12069" spans="6:7">
      <c r="F12069" s="6">
        <f>IF($M12069="PADD I","PADD 1",IF($M12069="PADD II","PADD 2",IF($M12069="PADD III","PADD 3",IF($M12069="PADD IV","PADD 4",IF($M12069="PADD V","PADD 5","")))))</f>
        <v/>
      </c>
      <c r="G12069" s="6">
        <f>IF(AND($H12069="ATMOS DISTILLATION",ISNUMBER(SEARCH("VPS",$I12069))=FALSE,LEFT($I12069,6)&lt;&gt;"VACUUM"),"CDU",IF($H12069="FLUID CAT CRACKING","FCC",IF(OR($H12069="HYDROCRACKING",$H12069="RESID_HYDROCRACKING"),"Hydrocracker",IF($H12069="REFORMING","Reformer",""))))</f>
        <v/>
      </c>
    </row>
    <row r="12070" spans="6:7">
      <c r="F12070" s="6">
        <f>IF($M12070="PADD I","PADD 1",IF($M12070="PADD II","PADD 2",IF($M12070="PADD III","PADD 3",IF($M12070="PADD IV","PADD 4",IF($M12070="PADD V","PADD 5","")))))</f>
        <v/>
      </c>
      <c r="G12070" s="6">
        <f>IF(AND($H12070="ATMOS DISTILLATION",ISNUMBER(SEARCH("VPS",$I12070))=FALSE,LEFT($I12070,6)&lt;&gt;"VACUUM"),"CDU",IF($H12070="FLUID CAT CRACKING","FCC",IF(OR($H12070="HYDROCRACKING",$H12070="RESID_HYDROCRACKING"),"Hydrocracker",IF($H12070="REFORMING","Reformer",""))))</f>
        <v/>
      </c>
    </row>
    <row r="12071" spans="6:7">
      <c r="F12071" s="6">
        <f>IF($M12071="PADD I","PADD 1",IF($M12071="PADD II","PADD 2",IF($M12071="PADD III","PADD 3",IF($M12071="PADD IV","PADD 4",IF($M12071="PADD V","PADD 5","")))))</f>
        <v/>
      </c>
      <c r="G12071" s="6">
        <f>IF(AND($H12071="ATMOS DISTILLATION",ISNUMBER(SEARCH("VPS",$I12071))=FALSE,LEFT($I12071,6)&lt;&gt;"VACUUM"),"CDU",IF($H12071="FLUID CAT CRACKING","FCC",IF(OR($H12071="HYDROCRACKING",$H12071="RESID_HYDROCRACKING"),"Hydrocracker",IF($H12071="REFORMING","Reformer",""))))</f>
        <v/>
      </c>
    </row>
    <row r="12072" spans="6:7">
      <c r="F12072" s="6">
        <f>IF($M12072="PADD I","PADD 1",IF($M12072="PADD II","PADD 2",IF($M12072="PADD III","PADD 3",IF($M12072="PADD IV","PADD 4",IF($M12072="PADD V","PADD 5","")))))</f>
        <v/>
      </c>
      <c r="G12072" s="6">
        <f>IF(AND($H12072="ATMOS DISTILLATION",ISNUMBER(SEARCH("VPS",$I12072))=FALSE,LEFT($I12072,6)&lt;&gt;"VACUUM"),"CDU",IF($H12072="FLUID CAT CRACKING","FCC",IF(OR($H12072="HYDROCRACKING",$H12072="RESID_HYDROCRACKING"),"Hydrocracker",IF($H12072="REFORMING","Reformer",""))))</f>
        <v/>
      </c>
    </row>
    <row r="12073" spans="6:7">
      <c r="F12073" s="6">
        <f>IF($M12073="PADD I","PADD 1",IF($M12073="PADD II","PADD 2",IF($M12073="PADD III","PADD 3",IF($M12073="PADD IV","PADD 4",IF($M12073="PADD V","PADD 5","")))))</f>
        <v/>
      </c>
      <c r="G12073" s="6">
        <f>IF(AND($H12073="ATMOS DISTILLATION",ISNUMBER(SEARCH("VPS",$I12073))=FALSE,LEFT($I12073,6)&lt;&gt;"VACUUM"),"CDU",IF($H12073="FLUID CAT CRACKING","FCC",IF(OR($H12073="HYDROCRACKING",$H12073="RESID_HYDROCRACKING"),"Hydrocracker",IF($H12073="REFORMING","Reformer",""))))</f>
        <v/>
      </c>
    </row>
    <row r="12074" spans="6:7">
      <c r="F12074" s="6">
        <f>IF($M12074="PADD I","PADD 1",IF($M12074="PADD II","PADD 2",IF($M12074="PADD III","PADD 3",IF($M12074="PADD IV","PADD 4",IF($M12074="PADD V","PADD 5","")))))</f>
        <v/>
      </c>
      <c r="G12074" s="6">
        <f>IF(AND($H12074="ATMOS DISTILLATION",ISNUMBER(SEARCH("VPS",$I12074))=FALSE,LEFT($I12074,6)&lt;&gt;"VACUUM"),"CDU",IF($H12074="FLUID CAT CRACKING","FCC",IF(OR($H12074="HYDROCRACKING",$H12074="RESID_HYDROCRACKING"),"Hydrocracker",IF($H12074="REFORMING","Reformer",""))))</f>
        <v/>
      </c>
    </row>
    <row r="12075" spans="6:7">
      <c r="F12075" s="6">
        <f>IF($M12075="PADD I","PADD 1",IF($M12075="PADD II","PADD 2",IF($M12075="PADD III","PADD 3",IF($M12075="PADD IV","PADD 4",IF($M12075="PADD V","PADD 5","")))))</f>
        <v/>
      </c>
      <c r="G12075" s="6">
        <f>IF(AND($H12075="ATMOS DISTILLATION",ISNUMBER(SEARCH("VPS",$I12075))=FALSE,LEFT($I12075,6)&lt;&gt;"VACUUM"),"CDU",IF($H12075="FLUID CAT CRACKING","FCC",IF(OR($H12075="HYDROCRACKING",$H12075="RESID_HYDROCRACKING"),"Hydrocracker",IF($H12075="REFORMING","Reformer",""))))</f>
        <v/>
      </c>
    </row>
    <row r="12076" spans="6:7">
      <c r="F12076" s="6">
        <f>IF($M12076="PADD I","PADD 1",IF($M12076="PADD II","PADD 2",IF($M12076="PADD III","PADD 3",IF($M12076="PADD IV","PADD 4",IF($M12076="PADD V","PADD 5","")))))</f>
        <v/>
      </c>
      <c r="G12076" s="6">
        <f>IF(AND($H12076="ATMOS DISTILLATION",ISNUMBER(SEARCH("VPS",$I12076))=FALSE,LEFT($I12076,6)&lt;&gt;"VACUUM"),"CDU",IF($H12076="FLUID CAT CRACKING","FCC",IF(OR($H12076="HYDROCRACKING",$H12076="RESID_HYDROCRACKING"),"Hydrocracker",IF($H12076="REFORMING","Reformer",""))))</f>
        <v/>
      </c>
    </row>
    <row r="12077" spans="6:7">
      <c r="F12077" s="6">
        <f>IF($M12077="PADD I","PADD 1",IF($M12077="PADD II","PADD 2",IF($M12077="PADD III","PADD 3",IF($M12077="PADD IV","PADD 4",IF($M12077="PADD V","PADD 5","")))))</f>
        <v/>
      </c>
      <c r="G12077" s="6">
        <f>IF(AND($H12077="ATMOS DISTILLATION",ISNUMBER(SEARCH("VPS",$I12077))=FALSE,LEFT($I12077,6)&lt;&gt;"VACUUM"),"CDU",IF($H12077="FLUID CAT CRACKING","FCC",IF(OR($H12077="HYDROCRACKING",$H12077="RESID_HYDROCRACKING"),"Hydrocracker",IF($H12077="REFORMING","Reformer",""))))</f>
        <v/>
      </c>
    </row>
    <row r="12078" spans="6:7">
      <c r="F12078" s="6">
        <f>IF($M12078="PADD I","PADD 1",IF($M12078="PADD II","PADD 2",IF($M12078="PADD III","PADD 3",IF($M12078="PADD IV","PADD 4",IF($M12078="PADD V","PADD 5","")))))</f>
        <v/>
      </c>
      <c r="G12078" s="6">
        <f>IF(AND($H12078="ATMOS DISTILLATION",ISNUMBER(SEARCH("VPS",$I12078))=FALSE,LEFT($I12078,6)&lt;&gt;"VACUUM"),"CDU",IF($H12078="FLUID CAT CRACKING","FCC",IF(OR($H12078="HYDROCRACKING",$H12078="RESID_HYDROCRACKING"),"Hydrocracker",IF($H12078="REFORMING","Reformer",""))))</f>
        <v/>
      </c>
    </row>
    <row r="12079" spans="6:7">
      <c r="F12079" s="6">
        <f>IF($M12079="PADD I","PADD 1",IF($M12079="PADD II","PADD 2",IF($M12079="PADD III","PADD 3",IF($M12079="PADD IV","PADD 4",IF($M12079="PADD V","PADD 5","")))))</f>
        <v/>
      </c>
      <c r="G12079" s="6">
        <f>IF(AND($H12079="ATMOS DISTILLATION",ISNUMBER(SEARCH("VPS",$I12079))=FALSE,LEFT($I12079,6)&lt;&gt;"VACUUM"),"CDU",IF($H12079="FLUID CAT CRACKING","FCC",IF(OR($H12079="HYDROCRACKING",$H12079="RESID_HYDROCRACKING"),"Hydrocracker",IF($H12079="REFORMING","Reformer",""))))</f>
        <v/>
      </c>
    </row>
    <row r="12080" spans="6:7">
      <c r="F12080" s="6">
        <f>IF($M12080="PADD I","PADD 1",IF($M12080="PADD II","PADD 2",IF($M12080="PADD III","PADD 3",IF($M12080="PADD IV","PADD 4",IF($M12080="PADD V","PADD 5","")))))</f>
        <v/>
      </c>
      <c r="G12080" s="6">
        <f>IF(AND($H12080="ATMOS DISTILLATION",ISNUMBER(SEARCH("VPS",$I12080))=FALSE,LEFT($I12080,6)&lt;&gt;"VACUUM"),"CDU",IF($H12080="FLUID CAT CRACKING","FCC",IF(OR($H12080="HYDROCRACKING",$H12080="RESID_HYDROCRACKING"),"Hydrocracker",IF($H12080="REFORMING","Reformer",""))))</f>
        <v/>
      </c>
    </row>
    <row r="12081" spans="6:7">
      <c r="F12081" s="6">
        <f>IF($M12081="PADD I","PADD 1",IF($M12081="PADD II","PADD 2",IF($M12081="PADD III","PADD 3",IF($M12081="PADD IV","PADD 4",IF($M12081="PADD V","PADD 5","")))))</f>
        <v/>
      </c>
      <c r="G12081" s="6">
        <f>IF(AND($H12081="ATMOS DISTILLATION",ISNUMBER(SEARCH("VPS",$I12081))=FALSE,LEFT($I12081,6)&lt;&gt;"VACUUM"),"CDU",IF($H12081="FLUID CAT CRACKING","FCC",IF(OR($H12081="HYDROCRACKING",$H12081="RESID_HYDROCRACKING"),"Hydrocracker",IF($H12081="REFORMING","Reformer",""))))</f>
        <v/>
      </c>
    </row>
    <row r="12082" spans="6:7">
      <c r="F12082" s="6">
        <f>IF($M12082="PADD I","PADD 1",IF($M12082="PADD II","PADD 2",IF($M12082="PADD III","PADD 3",IF($M12082="PADD IV","PADD 4",IF($M12082="PADD V","PADD 5","")))))</f>
        <v/>
      </c>
      <c r="G12082" s="6">
        <f>IF(AND($H12082="ATMOS DISTILLATION",ISNUMBER(SEARCH("VPS",$I12082))=FALSE,LEFT($I12082,6)&lt;&gt;"VACUUM"),"CDU",IF($H12082="FLUID CAT CRACKING","FCC",IF(OR($H12082="HYDROCRACKING",$H12082="RESID_HYDROCRACKING"),"Hydrocracker",IF($H12082="REFORMING","Reformer",""))))</f>
        <v/>
      </c>
    </row>
    <row r="12083" spans="6:7">
      <c r="F12083" s="6">
        <f>IF($M12083="PADD I","PADD 1",IF($M12083="PADD II","PADD 2",IF($M12083="PADD III","PADD 3",IF($M12083="PADD IV","PADD 4",IF($M12083="PADD V","PADD 5","")))))</f>
        <v/>
      </c>
      <c r="G12083" s="6">
        <f>IF(AND($H12083="ATMOS DISTILLATION",ISNUMBER(SEARCH("VPS",$I12083))=FALSE,LEFT($I12083,6)&lt;&gt;"VACUUM"),"CDU",IF($H12083="FLUID CAT CRACKING","FCC",IF(OR($H12083="HYDROCRACKING",$H12083="RESID_HYDROCRACKING"),"Hydrocracker",IF($H12083="REFORMING","Reformer",""))))</f>
        <v/>
      </c>
    </row>
    <row r="12084" spans="6:7">
      <c r="F12084" s="6">
        <f>IF($M12084="PADD I","PADD 1",IF($M12084="PADD II","PADD 2",IF($M12084="PADD III","PADD 3",IF($M12084="PADD IV","PADD 4",IF($M12084="PADD V","PADD 5","")))))</f>
        <v/>
      </c>
      <c r="G12084" s="6">
        <f>IF(AND($H12084="ATMOS DISTILLATION",ISNUMBER(SEARCH("VPS",$I12084))=FALSE,LEFT($I12084,6)&lt;&gt;"VACUUM"),"CDU",IF($H12084="FLUID CAT CRACKING","FCC",IF(OR($H12084="HYDROCRACKING",$H12084="RESID_HYDROCRACKING"),"Hydrocracker",IF($H12084="REFORMING","Reformer",""))))</f>
        <v/>
      </c>
    </row>
    <row r="12085" spans="6:7">
      <c r="F12085" s="6">
        <f>IF($M12085="PADD I","PADD 1",IF($M12085="PADD II","PADD 2",IF($M12085="PADD III","PADD 3",IF($M12085="PADD IV","PADD 4",IF($M12085="PADD V","PADD 5","")))))</f>
        <v/>
      </c>
      <c r="G12085" s="6">
        <f>IF(AND($H12085="ATMOS DISTILLATION",ISNUMBER(SEARCH("VPS",$I12085))=FALSE,LEFT($I12085,6)&lt;&gt;"VACUUM"),"CDU",IF($H12085="FLUID CAT CRACKING","FCC",IF(OR($H12085="HYDROCRACKING",$H12085="RESID_HYDROCRACKING"),"Hydrocracker",IF($H12085="REFORMING","Reformer",""))))</f>
        <v/>
      </c>
    </row>
    <row r="12086" spans="6:7">
      <c r="F12086" s="6">
        <f>IF($M12086="PADD I","PADD 1",IF($M12086="PADD II","PADD 2",IF($M12086="PADD III","PADD 3",IF($M12086="PADD IV","PADD 4",IF($M12086="PADD V","PADD 5","")))))</f>
        <v/>
      </c>
      <c r="G12086" s="6">
        <f>IF(AND($H12086="ATMOS DISTILLATION",ISNUMBER(SEARCH("VPS",$I12086))=FALSE,LEFT($I12086,6)&lt;&gt;"VACUUM"),"CDU",IF($H12086="FLUID CAT CRACKING","FCC",IF(OR($H12086="HYDROCRACKING",$H12086="RESID_HYDROCRACKING"),"Hydrocracker",IF($H12086="REFORMING","Reformer",""))))</f>
        <v/>
      </c>
    </row>
    <row r="12087" spans="6:7">
      <c r="F12087" s="6">
        <f>IF($M12087="PADD I","PADD 1",IF($M12087="PADD II","PADD 2",IF($M12087="PADD III","PADD 3",IF($M12087="PADD IV","PADD 4",IF($M12087="PADD V","PADD 5","")))))</f>
        <v/>
      </c>
      <c r="G12087" s="6">
        <f>IF(AND($H12087="ATMOS DISTILLATION",ISNUMBER(SEARCH("VPS",$I12087))=FALSE,LEFT($I12087,6)&lt;&gt;"VACUUM"),"CDU",IF($H12087="FLUID CAT CRACKING","FCC",IF(OR($H12087="HYDROCRACKING",$H12087="RESID_HYDROCRACKING"),"Hydrocracker",IF($H12087="REFORMING","Reformer",""))))</f>
        <v/>
      </c>
    </row>
    <row r="12088" spans="6:7">
      <c r="F12088" s="6">
        <f>IF($M12088="PADD I","PADD 1",IF($M12088="PADD II","PADD 2",IF($M12088="PADD III","PADD 3",IF($M12088="PADD IV","PADD 4",IF($M12088="PADD V","PADD 5","")))))</f>
        <v/>
      </c>
      <c r="G12088" s="6">
        <f>IF(AND($H12088="ATMOS DISTILLATION",ISNUMBER(SEARCH("VPS",$I12088))=FALSE,LEFT($I12088,6)&lt;&gt;"VACUUM"),"CDU",IF($H12088="FLUID CAT CRACKING","FCC",IF(OR($H12088="HYDROCRACKING",$H12088="RESID_HYDROCRACKING"),"Hydrocracker",IF($H12088="REFORMING","Reformer",""))))</f>
        <v/>
      </c>
    </row>
    <row r="12089" spans="6:7">
      <c r="F12089" s="6">
        <f>IF($M12089="PADD I","PADD 1",IF($M12089="PADD II","PADD 2",IF($M12089="PADD III","PADD 3",IF($M12089="PADD IV","PADD 4",IF($M12089="PADD V","PADD 5","")))))</f>
        <v/>
      </c>
      <c r="G12089" s="6">
        <f>IF(AND($H12089="ATMOS DISTILLATION",ISNUMBER(SEARCH("VPS",$I12089))=FALSE,LEFT($I12089,6)&lt;&gt;"VACUUM"),"CDU",IF($H12089="FLUID CAT CRACKING","FCC",IF(OR($H12089="HYDROCRACKING",$H12089="RESID_HYDROCRACKING"),"Hydrocracker",IF($H12089="REFORMING","Reformer",""))))</f>
        <v/>
      </c>
    </row>
    <row r="12090" spans="6:7">
      <c r="F12090" s="6">
        <f>IF($M12090="PADD I","PADD 1",IF($M12090="PADD II","PADD 2",IF($M12090="PADD III","PADD 3",IF($M12090="PADD IV","PADD 4",IF($M12090="PADD V","PADD 5","")))))</f>
        <v/>
      </c>
      <c r="G12090" s="6">
        <f>IF(AND($H12090="ATMOS DISTILLATION",ISNUMBER(SEARCH("VPS",$I12090))=FALSE,LEFT($I12090,6)&lt;&gt;"VACUUM"),"CDU",IF($H12090="FLUID CAT CRACKING","FCC",IF(OR($H12090="HYDROCRACKING",$H12090="RESID_HYDROCRACKING"),"Hydrocracker",IF($H12090="REFORMING","Reformer",""))))</f>
        <v/>
      </c>
    </row>
    <row r="12091" spans="6:7">
      <c r="F12091" s="6">
        <f>IF($M12091="PADD I","PADD 1",IF($M12091="PADD II","PADD 2",IF($M12091="PADD III","PADD 3",IF($M12091="PADD IV","PADD 4",IF($M12091="PADD V","PADD 5","")))))</f>
        <v/>
      </c>
      <c r="G12091" s="6">
        <f>IF(AND($H12091="ATMOS DISTILLATION",ISNUMBER(SEARCH("VPS",$I12091))=FALSE,LEFT($I12091,6)&lt;&gt;"VACUUM"),"CDU",IF($H12091="FLUID CAT CRACKING","FCC",IF(OR($H12091="HYDROCRACKING",$H12091="RESID_HYDROCRACKING"),"Hydrocracker",IF($H12091="REFORMING","Reformer",""))))</f>
        <v/>
      </c>
    </row>
    <row r="12092" spans="6:7">
      <c r="F12092" s="6">
        <f>IF($M12092="PADD I","PADD 1",IF($M12092="PADD II","PADD 2",IF($M12092="PADD III","PADD 3",IF($M12092="PADD IV","PADD 4",IF($M12092="PADD V","PADD 5","")))))</f>
        <v/>
      </c>
      <c r="G12092" s="6">
        <f>IF(AND($H12092="ATMOS DISTILLATION",ISNUMBER(SEARCH("VPS",$I12092))=FALSE,LEFT($I12092,6)&lt;&gt;"VACUUM"),"CDU",IF($H12092="FLUID CAT CRACKING","FCC",IF(OR($H12092="HYDROCRACKING",$H12092="RESID_HYDROCRACKING"),"Hydrocracker",IF($H12092="REFORMING","Reformer",""))))</f>
        <v/>
      </c>
    </row>
    <row r="12093" spans="6:7">
      <c r="F12093" s="6">
        <f>IF($M12093="PADD I","PADD 1",IF($M12093="PADD II","PADD 2",IF($M12093="PADD III","PADD 3",IF($M12093="PADD IV","PADD 4",IF($M12093="PADD V","PADD 5","")))))</f>
        <v/>
      </c>
      <c r="G12093" s="6">
        <f>IF(AND($H12093="ATMOS DISTILLATION",ISNUMBER(SEARCH("VPS",$I12093))=FALSE,LEFT($I12093,6)&lt;&gt;"VACUUM"),"CDU",IF($H12093="FLUID CAT CRACKING","FCC",IF(OR($H12093="HYDROCRACKING",$H12093="RESID_HYDROCRACKING"),"Hydrocracker",IF($H12093="REFORMING","Reformer",""))))</f>
        <v/>
      </c>
    </row>
    <row r="12094" spans="6:7">
      <c r="F12094" s="6">
        <f>IF($M12094="PADD I","PADD 1",IF($M12094="PADD II","PADD 2",IF($M12094="PADD III","PADD 3",IF($M12094="PADD IV","PADD 4",IF($M12094="PADD V","PADD 5","")))))</f>
        <v/>
      </c>
      <c r="G12094" s="6">
        <f>IF(AND($H12094="ATMOS DISTILLATION",ISNUMBER(SEARCH("VPS",$I12094))=FALSE,LEFT($I12094,6)&lt;&gt;"VACUUM"),"CDU",IF($H12094="FLUID CAT CRACKING","FCC",IF(OR($H12094="HYDROCRACKING",$H12094="RESID_HYDROCRACKING"),"Hydrocracker",IF($H12094="REFORMING","Reformer",""))))</f>
        <v/>
      </c>
    </row>
    <row r="12095" spans="6:7">
      <c r="F12095" s="6">
        <f>IF($M12095="PADD I","PADD 1",IF($M12095="PADD II","PADD 2",IF($M12095="PADD III","PADD 3",IF($M12095="PADD IV","PADD 4",IF($M12095="PADD V","PADD 5","")))))</f>
        <v/>
      </c>
      <c r="G12095" s="6">
        <f>IF(AND($H12095="ATMOS DISTILLATION",ISNUMBER(SEARCH("VPS",$I12095))=FALSE,LEFT($I12095,6)&lt;&gt;"VACUUM"),"CDU",IF($H12095="FLUID CAT CRACKING","FCC",IF(OR($H12095="HYDROCRACKING",$H12095="RESID_HYDROCRACKING"),"Hydrocracker",IF($H12095="REFORMING","Reformer",""))))</f>
        <v/>
      </c>
    </row>
    <row r="12096" spans="6:7">
      <c r="F12096" s="6">
        <f>IF($M12096="PADD I","PADD 1",IF($M12096="PADD II","PADD 2",IF($M12096="PADD III","PADD 3",IF($M12096="PADD IV","PADD 4",IF($M12096="PADD V","PADD 5","")))))</f>
        <v/>
      </c>
      <c r="G12096" s="6">
        <f>IF(AND($H12096="ATMOS DISTILLATION",ISNUMBER(SEARCH("VPS",$I12096))=FALSE,LEFT($I12096,6)&lt;&gt;"VACUUM"),"CDU",IF($H12096="FLUID CAT CRACKING","FCC",IF(OR($H12096="HYDROCRACKING",$H12096="RESID_HYDROCRACKING"),"Hydrocracker",IF($H12096="REFORMING","Reformer",""))))</f>
        <v/>
      </c>
    </row>
    <row r="12097" spans="6:7">
      <c r="F12097" s="6">
        <f>IF($M12097="PADD I","PADD 1",IF($M12097="PADD II","PADD 2",IF($M12097="PADD III","PADD 3",IF($M12097="PADD IV","PADD 4",IF($M12097="PADD V","PADD 5","")))))</f>
        <v/>
      </c>
      <c r="G12097" s="6">
        <f>IF(AND($H12097="ATMOS DISTILLATION",ISNUMBER(SEARCH("VPS",$I12097))=FALSE,LEFT($I12097,6)&lt;&gt;"VACUUM"),"CDU",IF($H12097="FLUID CAT CRACKING","FCC",IF(OR($H12097="HYDROCRACKING",$H12097="RESID_HYDROCRACKING"),"Hydrocracker",IF($H12097="REFORMING","Reformer",""))))</f>
        <v/>
      </c>
    </row>
    <row r="12098" spans="6:7">
      <c r="F12098" s="6">
        <f>IF($M12098="PADD I","PADD 1",IF($M12098="PADD II","PADD 2",IF($M12098="PADD III","PADD 3",IF($M12098="PADD IV","PADD 4",IF($M12098="PADD V","PADD 5","")))))</f>
        <v/>
      </c>
      <c r="G12098" s="6">
        <f>IF(AND($H12098="ATMOS DISTILLATION",ISNUMBER(SEARCH("VPS",$I12098))=FALSE,LEFT($I12098,6)&lt;&gt;"VACUUM"),"CDU",IF($H12098="FLUID CAT CRACKING","FCC",IF(OR($H12098="HYDROCRACKING",$H12098="RESID_HYDROCRACKING"),"Hydrocracker",IF($H12098="REFORMING","Reformer",""))))</f>
        <v/>
      </c>
    </row>
    <row r="12099" spans="6:7">
      <c r="F12099" s="6">
        <f>IF($M12099="PADD I","PADD 1",IF($M12099="PADD II","PADD 2",IF($M12099="PADD III","PADD 3",IF($M12099="PADD IV","PADD 4",IF($M12099="PADD V","PADD 5","")))))</f>
        <v/>
      </c>
      <c r="G12099" s="6">
        <f>IF(AND($H12099="ATMOS DISTILLATION",ISNUMBER(SEARCH("VPS",$I12099))=FALSE,LEFT($I12099,6)&lt;&gt;"VACUUM"),"CDU",IF($H12099="FLUID CAT CRACKING","FCC",IF(OR($H12099="HYDROCRACKING",$H12099="RESID_HYDROCRACKING"),"Hydrocracker",IF($H12099="REFORMING","Reformer",""))))</f>
        <v/>
      </c>
    </row>
    <row r="12100" spans="6:7">
      <c r="F12100" s="6">
        <f>IF($M12100="PADD I","PADD 1",IF($M12100="PADD II","PADD 2",IF($M12100="PADD III","PADD 3",IF($M12100="PADD IV","PADD 4",IF($M12100="PADD V","PADD 5","")))))</f>
        <v/>
      </c>
      <c r="G12100" s="6">
        <f>IF(AND($H12100="ATMOS DISTILLATION",ISNUMBER(SEARCH("VPS",$I12100))=FALSE,LEFT($I12100,6)&lt;&gt;"VACUUM"),"CDU",IF($H12100="FLUID CAT CRACKING","FCC",IF(OR($H12100="HYDROCRACKING",$H12100="RESID_HYDROCRACKING"),"Hydrocracker",IF($H12100="REFORMING","Reformer",""))))</f>
        <v/>
      </c>
    </row>
    <row r="12101" spans="6:7">
      <c r="F12101" s="6">
        <f>IF($M12101="PADD I","PADD 1",IF($M12101="PADD II","PADD 2",IF($M12101="PADD III","PADD 3",IF($M12101="PADD IV","PADD 4",IF($M12101="PADD V","PADD 5","")))))</f>
        <v/>
      </c>
      <c r="G12101" s="6">
        <f>IF(AND($H12101="ATMOS DISTILLATION",ISNUMBER(SEARCH("VPS",$I12101))=FALSE,LEFT($I12101,6)&lt;&gt;"VACUUM"),"CDU",IF($H12101="FLUID CAT CRACKING","FCC",IF(OR($H12101="HYDROCRACKING",$H12101="RESID_HYDROCRACKING"),"Hydrocracker",IF($H12101="REFORMING","Reformer",""))))</f>
        <v/>
      </c>
    </row>
    <row r="12102" spans="6:7">
      <c r="F12102" s="6">
        <f>IF($M12102="PADD I","PADD 1",IF($M12102="PADD II","PADD 2",IF($M12102="PADD III","PADD 3",IF($M12102="PADD IV","PADD 4",IF($M12102="PADD V","PADD 5","")))))</f>
        <v/>
      </c>
      <c r="G12102" s="6">
        <f>IF(AND($H12102="ATMOS DISTILLATION",ISNUMBER(SEARCH("VPS",$I12102))=FALSE,LEFT($I12102,6)&lt;&gt;"VACUUM"),"CDU",IF($H12102="FLUID CAT CRACKING","FCC",IF(OR($H12102="HYDROCRACKING",$H12102="RESID_HYDROCRACKING"),"Hydrocracker",IF($H12102="REFORMING","Reformer",""))))</f>
        <v/>
      </c>
    </row>
    <row r="12103" spans="6:7">
      <c r="F12103" s="6">
        <f>IF($M12103="PADD I","PADD 1",IF($M12103="PADD II","PADD 2",IF($M12103="PADD III","PADD 3",IF($M12103="PADD IV","PADD 4",IF($M12103="PADD V","PADD 5","")))))</f>
        <v/>
      </c>
      <c r="G12103" s="6">
        <f>IF(AND($H12103="ATMOS DISTILLATION",ISNUMBER(SEARCH("VPS",$I12103))=FALSE,LEFT($I12103,6)&lt;&gt;"VACUUM"),"CDU",IF($H12103="FLUID CAT CRACKING","FCC",IF(OR($H12103="HYDROCRACKING",$H12103="RESID_HYDROCRACKING"),"Hydrocracker",IF($H12103="REFORMING","Reformer",""))))</f>
        <v/>
      </c>
    </row>
    <row r="12104" spans="6:7">
      <c r="F12104" s="6">
        <f>IF($M12104="PADD I","PADD 1",IF($M12104="PADD II","PADD 2",IF($M12104="PADD III","PADD 3",IF($M12104="PADD IV","PADD 4",IF($M12104="PADD V","PADD 5","")))))</f>
        <v/>
      </c>
      <c r="G12104" s="6">
        <f>IF(AND($H12104="ATMOS DISTILLATION",ISNUMBER(SEARCH("VPS",$I12104))=FALSE,LEFT($I12104,6)&lt;&gt;"VACUUM"),"CDU",IF($H12104="FLUID CAT CRACKING","FCC",IF(OR($H12104="HYDROCRACKING",$H12104="RESID_HYDROCRACKING"),"Hydrocracker",IF($H12104="REFORMING","Reformer",""))))</f>
        <v/>
      </c>
    </row>
    <row r="12105" spans="6:7">
      <c r="F12105" s="6">
        <f>IF($M12105="PADD I","PADD 1",IF($M12105="PADD II","PADD 2",IF($M12105="PADD III","PADD 3",IF($M12105="PADD IV","PADD 4",IF($M12105="PADD V","PADD 5","")))))</f>
        <v/>
      </c>
      <c r="G12105" s="6">
        <f>IF(AND($H12105="ATMOS DISTILLATION",ISNUMBER(SEARCH("VPS",$I12105))=FALSE,LEFT($I12105,6)&lt;&gt;"VACUUM"),"CDU",IF($H12105="FLUID CAT CRACKING","FCC",IF(OR($H12105="HYDROCRACKING",$H12105="RESID_HYDROCRACKING"),"Hydrocracker",IF($H12105="REFORMING","Reformer",""))))</f>
        <v/>
      </c>
    </row>
    <row r="12106" spans="6:7">
      <c r="F12106" s="6">
        <f>IF($M12106="PADD I","PADD 1",IF($M12106="PADD II","PADD 2",IF($M12106="PADD III","PADD 3",IF($M12106="PADD IV","PADD 4",IF($M12106="PADD V","PADD 5","")))))</f>
        <v/>
      </c>
      <c r="G12106" s="6">
        <f>IF(AND($H12106="ATMOS DISTILLATION",ISNUMBER(SEARCH("VPS",$I12106))=FALSE,LEFT($I12106,6)&lt;&gt;"VACUUM"),"CDU",IF($H12106="FLUID CAT CRACKING","FCC",IF(OR($H12106="HYDROCRACKING",$H12106="RESID_HYDROCRACKING"),"Hydrocracker",IF($H12106="REFORMING","Reformer",""))))</f>
        <v/>
      </c>
    </row>
    <row r="12107" spans="6:7">
      <c r="F12107" s="6">
        <f>IF($M12107="PADD I","PADD 1",IF($M12107="PADD II","PADD 2",IF($M12107="PADD III","PADD 3",IF($M12107="PADD IV","PADD 4",IF($M12107="PADD V","PADD 5","")))))</f>
        <v/>
      </c>
      <c r="G12107" s="6">
        <f>IF(AND($H12107="ATMOS DISTILLATION",ISNUMBER(SEARCH("VPS",$I12107))=FALSE,LEFT($I12107,6)&lt;&gt;"VACUUM"),"CDU",IF($H12107="FLUID CAT CRACKING","FCC",IF(OR($H12107="HYDROCRACKING",$H12107="RESID_HYDROCRACKING"),"Hydrocracker",IF($H12107="REFORMING","Reformer",""))))</f>
        <v/>
      </c>
    </row>
    <row r="12108" spans="6:7">
      <c r="F12108" s="6">
        <f>IF($M12108="PADD I","PADD 1",IF($M12108="PADD II","PADD 2",IF($M12108="PADD III","PADD 3",IF($M12108="PADD IV","PADD 4",IF($M12108="PADD V","PADD 5","")))))</f>
        <v/>
      </c>
      <c r="G12108" s="6">
        <f>IF(AND($H12108="ATMOS DISTILLATION",ISNUMBER(SEARCH("VPS",$I12108))=FALSE,LEFT($I12108,6)&lt;&gt;"VACUUM"),"CDU",IF($H12108="FLUID CAT CRACKING","FCC",IF(OR($H12108="HYDROCRACKING",$H12108="RESID_HYDROCRACKING"),"Hydrocracker",IF($H12108="REFORMING","Reformer",""))))</f>
        <v/>
      </c>
    </row>
    <row r="12109" spans="6:7">
      <c r="F12109" s="6">
        <f>IF($M12109="PADD I","PADD 1",IF($M12109="PADD II","PADD 2",IF($M12109="PADD III","PADD 3",IF($M12109="PADD IV","PADD 4",IF($M12109="PADD V","PADD 5","")))))</f>
        <v/>
      </c>
      <c r="G12109" s="6">
        <f>IF(AND($H12109="ATMOS DISTILLATION",ISNUMBER(SEARCH("VPS",$I12109))=FALSE,LEFT($I12109,6)&lt;&gt;"VACUUM"),"CDU",IF($H12109="FLUID CAT CRACKING","FCC",IF(OR($H12109="HYDROCRACKING",$H12109="RESID_HYDROCRACKING"),"Hydrocracker",IF($H12109="REFORMING","Reformer",""))))</f>
        <v/>
      </c>
    </row>
    <row r="12110" spans="6:7">
      <c r="F12110" s="6">
        <f>IF($M12110="PADD I","PADD 1",IF($M12110="PADD II","PADD 2",IF($M12110="PADD III","PADD 3",IF($M12110="PADD IV","PADD 4",IF($M12110="PADD V","PADD 5","")))))</f>
        <v/>
      </c>
      <c r="G12110" s="6">
        <f>IF(AND($H12110="ATMOS DISTILLATION",ISNUMBER(SEARCH("VPS",$I12110))=FALSE,LEFT($I12110,6)&lt;&gt;"VACUUM"),"CDU",IF($H12110="FLUID CAT CRACKING","FCC",IF(OR($H12110="HYDROCRACKING",$H12110="RESID_HYDROCRACKING"),"Hydrocracker",IF($H12110="REFORMING","Reformer",""))))</f>
        <v/>
      </c>
    </row>
    <row r="12111" spans="6:7">
      <c r="F12111" s="6">
        <f>IF($M12111="PADD I","PADD 1",IF($M12111="PADD II","PADD 2",IF($M12111="PADD III","PADD 3",IF($M12111="PADD IV","PADD 4",IF($M12111="PADD V","PADD 5","")))))</f>
        <v/>
      </c>
      <c r="G12111" s="6">
        <f>IF(AND($H12111="ATMOS DISTILLATION",ISNUMBER(SEARCH("VPS",$I12111))=FALSE,LEFT($I12111,6)&lt;&gt;"VACUUM"),"CDU",IF($H12111="FLUID CAT CRACKING","FCC",IF(OR($H12111="HYDROCRACKING",$H12111="RESID_HYDROCRACKING"),"Hydrocracker",IF($H12111="REFORMING","Reformer",""))))</f>
        <v/>
      </c>
    </row>
    <row r="12112" spans="6:7">
      <c r="F12112" s="6">
        <f>IF($M12112="PADD I","PADD 1",IF($M12112="PADD II","PADD 2",IF($M12112="PADD III","PADD 3",IF($M12112="PADD IV","PADD 4",IF($M12112="PADD V","PADD 5","")))))</f>
        <v/>
      </c>
      <c r="G12112" s="6">
        <f>IF(AND($H12112="ATMOS DISTILLATION",ISNUMBER(SEARCH("VPS",$I12112))=FALSE,LEFT($I12112,6)&lt;&gt;"VACUUM"),"CDU",IF($H12112="FLUID CAT CRACKING","FCC",IF(OR($H12112="HYDROCRACKING",$H12112="RESID_HYDROCRACKING"),"Hydrocracker",IF($H12112="REFORMING","Reformer",""))))</f>
        <v/>
      </c>
    </row>
    <row r="12113" spans="6:7">
      <c r="F12113" s="6">
        <f>IF($M12113="PADD I","PADD 1",IF($M12113="PADD II","PADD 2",IF($M12113="PADD III","PADD 3",IF($M12113="PADD IV","PADD 4",IF($M12113="PADD V","PADD 5","")))))</f>
        <v/>
      </c>
      <c r="G12113" s="6">
        <f>IF(AND($H12113="ATMOS DISTILLATION",ISNUMBER(SEARCH("VPS",$I12113))=FALSE,LEFT($I12113,6)&lt;&gt;"VACUUM"),"CDU",IF($H12113="FLUID CAT CRACKING","FCC",IF(OR($H12113="HYDROCRACKING",$H12113="RESID_HYDROCRACKING"),"Hydrocracker",IF($H12113="REFORMING","Reformer",""))))</f>
        <v/>
      </c>
    </row>
    <row r="12114" spans="6:7">
      <c r="F12114" s="6">
        <f>IF($M12114="PADD I","PADD 1",IF($M12114="PADD II","PADD 2",IF($M12114="PADD III","PADD 3",IF($M12114="PADD IV","PADD 4",IF($M12114="PADD V","PADD 5","")))))</f>
        <v/>
      </c>
      <c r="G12114" s="6">
        <f>IF(AND($H12114="ATMOS DISTILLATION",ISNUMBER(SEARCH("VPS",$I12114))=FALSE,LEFT($I12114,6)&lt;&gt;"VACUUM"),"CDU",IF($H12114="FLUID CAT CRACKING","FCC",IF(OR($H12114="HYDROCRACKING",$H12114="RESID_HYDROCRACKING"),"Hydrocracker",IF($H12114="REFORMING","Reformer",""))))</f>
        <v/>
      </c>
    </row>
    <row r="12115" spans="6:7">
      <c r="F12115" s="6">
        <f>IF($M12115="PADD I","PADD 1",IF($M12115="PADD II","PADD 2",IF($M12115="PADD III","PADD 3",IF($M12115="PADD IV","PADD 4",IF($M12115="PADD V","PADD 5","")))))</f>
        <v/>
      </c>
      <c r="G12115" s="6">
        <f>IF(AND($H12115="ATMOS DISTILLATION",ISNUMBER(SEARCH("VPS",$I12115))=FALSE,LEFT($I12115,6)&lt;&gt;"VACUUM"),"CDU",IF($H12115="FLUID CAT CRACKING","FCC",IF(OR($H12115="HYDROCRACKING",$H12115="RESID_HYDROCRACKING"),"Hydrocracker",IF($H12115="REFORMING","Reformer",""))))</f>
        <v/>
      </c>
    </row>
    <row r="12116" spans="6:7">
      <c r="F12116" s="6">
        <f>IF($M12116="PADD I","PADD 1",IF($M12116="PADD II","PADD 2",IF($M12116="PADD III","PADD 3",IF($M12116="PADD IV","PADD 4",IF($M12116="PADD V","PADD 5","")))))</f>
        <v/>
      </c>
      <c r="G12116" s="6">
        <f>IF(AND($H12116="ATMOS DISTILLATION",ISNUMBER(SEARCH("VPS",$I12116))=FALSE,LEFT($I12116,6)&lt;&gt;"VACUUM"),"CDU",IF($H12116="FLUID CAT CRACKING","FCC",IF(OR($H12116="HYDROCRACKING",$H12116="RESID_HYDROCRACKING"),"Hydrocracker",IF($H12116="REFORMING","Reformer",""))))</f>
        <v/>
      </c>
    </row>
    <row r="12117" spans="6:7">
      <c r="F12117" s="6">
        <f>IF($M12117="PADD I","PADD 1",IF($M12117="PADD II","PADD 2",IF($M12117="PADD III","PADD 3",IF($M12117="PADD IV","PADD 4",IF($M12117="PADD V","PADD 5","")))))</f>
        <v/>
      </c>
      <c r="G12117" s="6">
        <f>IF(AND($H12117="ATMOS DISTILLATION",ISNUMBER(SEARCH("VPS",$I12117))=FALSE,LEFT($I12117,6)&lt;&gt;"VACUUM"),"CDU",IF($H12117="FLUID CAT CRACKING","FCC",IF(OR($H12117="HYDROCRACKING",$H12117="RESID_HYDROCRACKING"),"Hydrocracker",IF($H12117="REFORMING","Reformer",""))))</f>
        <v/>
      </c>
    </row>
    <row r="12118" spans="6:7">
      <c r="F12118" s="6">
        <f>IF($M12118="PADD I","PADD 1",IF($M12118="PADD II","PADD 2",IF($M12118="PADD III","PADD 3",IF($M12118="PADD IV","PADD 4",IF($M12118="PADD V","PADD 5","")))))</f>
        <v/>
      </c>
      <c r="G12118" s="6">
        <f>IF(AND($H12118="ATMOS DISTILLATION",ISNUMBER(SEARCH("VPS",$I12118))=FALSE,LEFT($I12118,6)&lt;&gt;"VACUUM"),"CDU",IF($H12118="FLUID CAT CRACKING","FCC",IF(OR($H12118="HYDROCRACKING",$H12118="RESID_HYDROCRACKING"),"Hydrocracker",IF($H12118="REFORMING","Reformer",""))))</f>
        <v/>
      </c>
    </row>
    <row r="12119" spans="6:7">
      <c r="F12119" s="6">
        <f>IF($M12119="PADD I","PADD 1",IF($M12119="PADD II","PADD 2",IF($M12119="PADD III","PADD 3",IF($M12119="PADD IV","PADD 4",IF($M12119="PADD V","PADD 5","")))))</f>
        <v/>
      </c>
      <c r="G12119" s="6">
        <f>IF(AND($H12119="ATMOS DISTILLATION",ISNUMBER(SEARCH("VPS",$I12119))=FALSE,LEFT($I12119,6)&lt;&gt;"VACUUM"),"CDU",IF($H12119="FLUID CAT CRACKING","FCC",IF(OR($H12119="HYDROCRACKING",$H12119="RESID_HYDROCRACKING"),"Hydrocracker",IF($H12119="REFORMING","Reformer",""))))</f>
        <v/>
      </c>
    </row>
    <row r="12120" spans="6:7">
      <c r="F12120" s="6">
        <f>IF($M12120="PADD I","PADD 1",IF($M12120="PADD II","PADD 2",IF($M12120="PADD III","PADD 3",IF($M12120="PADD IV","PADD 4",IF($M12120="PADD V","PADD 5","")))))</f>
        <v/>
      </c>
      <c r="G12120" s="6">
        <f>IF(AND($H12120="ATMOS DISTILLATION",ISNUMBER(SEARCH("VPS",$I12120))=FALSE,LEFT($I12120,6)&lt;&gt;"VACUUM"),"CDU",IF($H12120="FLUID CAT CRACKING","FCC",IF(OR($H12120="HYDROCRACKING",$H12120="RESID_HYDROCRACKING"),"Hydrocracker",IF($H12120="REFORMING","Reformer",""))))</f>
        <v/>
      </c>
    </row>
    <row r="12121" spans="6:7">
      <c r="F12121" s="6">
        <f>IF($M12121="PADD I","PADD 1",IF($M12121="PADD II","PADD 2",IF($M12121="PADD III","PADD 3",IF($M12121="PADD IV","PADD 4",IF($M12121="PADD V","PADD 5","")))))</f>
        <v/>
      </c>
      <c r="G12121" s="6">
        <f>IF(AND($H12121="ATMOS DISTILLATION",ISNUMBER(SEARCH("VPS",$I12121))=FALSE,LEFT($I12121,6)&lt;&gt;"VACUUM"),"CDU",IF($H12121="FLUID CAT CRACKING","FCC",IF(OR($H12121="HYDROCRACKING",$H12121="RESID_HYDROCRACKING"),"Hydrocracker",IF($H12121="REFORMING","Reformer",""))))</f>
        <v/>
      </c>
    </row>
    <row r="12122" spans="6:7">
      <c r="F12122" s="6">
        <f>IF($M12122="PADD I","PADD 1",IF($M12122="PADD II","PADD 2",IF($M12122="PADD III","PADD 3",IF($M12122="PADD IV","PADD 4",IF($M12122="PADD V","PADD 5","")))))</f>
        <v/>
      </c>
      <c r="G12122" s="6">
        <f>IF(AND($H12122="ATMOS DISTILLATION",ISNUMBER(SEARCH("VPS",$I12122))=FALSE,LEFT($I12122,6)&lt;&gt;"VACUUM"),"CDU",IF($H12122="FLUID CAT CRACKING","FCC",IF(OR($H12122="HYDROCRACKING",$H12122="RESID_HYDROCRACKING"),"Hydrocracker",IF($H12122="REFORMING","Reformer",""))))</f>
        <v/>
      </c>
    </row>
    <row r="12123" spans="6:7">
      <c r="F12123" s="6">
        <f>IF($M12123="PADD I","PADD 1",IF($M12123="PADD II","PADD 2",IF($M12123="PADD III","PADD 3",IF($M12123="PADD IV","PADD 4",IF($M12123="PADD V","PADD 5","")))))</f>
        <v/>
      </c>
      <c r="G12123" s="6">
        <f>IF(AND($H12123="ATMOS DISTILLATION",ISNUMBER(SEARCH("VPS",$I12123))=FALSE,LEFT($I12123,6)&lt;&gt;"VACUUM"),"CDU",IF($H12123="FLUID CAT CRACKING","FCC",IF(OR($H12123="HYDROCRACKING",$H12123="RESID_HYDROCRACKING"),"Hydrocracker",IF($H12123="REFORMING","Reformer",""))))</f>
        <v/>
      </c>
    </row>
    <row r="12124" spans="6:7">
      <c r="F12124" s="6">
        <f>IF($M12124="PADD I","PADD 1",IF($M12124="PADD II","PADD 2",IF($M12124="PADD III","PADD 3",IF($M12124="PADD IV","PADD 4",IF($M12124="PADD V","PADD 5","")))))</f>
        <v/>
      </c>
      <c r="G12124" s="6">
        <f>IF(AND($H12124="ATMOS DISTILLATION",ISNUMBER(SEARCH("VPS",$I12124))=FALSE,LEFT($I12124,6)&lt;&gt;"VACUUM"),"CDU",IF($H12124="FLUID CAT CRACKING","FCC",IF(OR($H12124="HYDROCRACKING",$H12124="RESID_HYDROCRACKING"),"Hydrocracker",IF($H12124="REFORMING","Reformer",""))))</f>
        <v/>
      </c>
    </row>
    <row r="12125" spans="6:7">
      <c r="F12125" s="6">
        <f>IF($M12125="PADD I","PADD 1",IF($M12125="PADD II","PADD 2",IF($M12125="PADD III","PADD 3",IF($M12125="PADD IV","PADD 4",IF($M12125="PADD V","PADD 5","")))))</f>
        <v/>
      </c>
      <c r="G12125" s="6">
        <f>IF(AND($H12125="ATMOS DISTILLATION",ISNUMBER(SEARCH("VPS",$I12125))=FALSE,LEFT($I12125,6)&lt;&gt;"VACUUM"),"CDU",IF($H12125="FLUID CAT CRACKING","FCC",IF(OR($H12125="HYDROCRACKING",$H12125="RESID_HYDROCRACKING"),"Hydrocracker",IF($H12125="REFORMING","Reformer",""))))</f>
        <v/>
      </c>
    </row>
    <row r="12126" spans="6:7">
      <c r="F12126" s="6">
        <f>IF($M12126="PADD I","PADD 1",IF($M12126="PADD II","PADD 2",IF($M12126="PADD III","PADD 3",IF($M12126="PADD IV","PADD 4",IF($M12126="PADD V","PADD 5","")))))</f>
        <v/>
      </c>
      <c r="G12126" s="6">
        <f>IF(AND($H12126="ATMOS DISTILLATION",ISNUMBER(SEARCH("VPS",$I12126))=FALSE,LEFT($I12126,6)&lt;&gt;"VACUUM"),"CDU",IF($H12126="FLUID CAT CRACKING","FCC",IF(OR($H12126="HYDROCRACKING",$H12126="RESID_HYDROCRACKING"),"Hydrocracker",IF($H12126="REFORMING","Reformer",""))))</f>
        <v/>
      </c>
    </row>
    <row r="12127" spans="6:7">
      <c r="F12127" s="6">
        <f>IF($M12127="PADD I","PADD 1",IF($M12127="PADD II","PADD 2",IF($M12127="PADD III","PADD 3",IF($M12127="PADD IV","PADD 4",IF($M12127="PADD V","PADD 5","")))))</f>
        <v/>
      </c>
      <c r="G12127" s="6">
        <f>IF(AND($H12127="ATMOS DISTILLATION",ISNUMBER(SEARCH("VPS",$I12127))=FALSE,LEFT($I12127,6)&lt;&gt;"VACUUM"),"CDU",IF($H12127="FLUID CAT CRACKING","FCC",IF(OR($H12127="HYDROCRACKING",$H12127="RESID_HYDROCRACKING"),"Hydrocracker",IF($H12127="REFORMING","Reformer",""))))</f>
        <v/>
      </c>
    </row>
    <row r="12128" spans="6:7">
      <c r="F12128" s="6">
        <f>IF($M12128="PADD I","PADD 1",IF($M12128="PADD II","PADD 2",IF($M12128="PADD III","PADD 3",IF($M12128="PADD IV","PADD 4",IF($M12128="PADD V","PADD 5","")))))</f>
        <v/>
      </c>
      <c r="G12128" s="6">
        <f>IF(AND($H12128="ATMOS DISTILLATION",ISNUMBER(SEARCH("VPS",$I12128))=FALSE,LEFT($I12128,6)&lt;&gt;"VACUUM"),"CDU",IF($H12128="FLUID CAT CRACKING","FCC",IF(OR($H12128="HYDROCRACKING",$H12128="RESID_HYDROCRACKING"),"Hydrocracker",IF($H12128="REFORMING","Reformer",""))))</f>
        <v/>
      </c>
    </row>
    <row r="12129" spans="6:7">
      <c r="F12129" s="6">
        <f>IF($M12129="PADD I","PADD 1",IF($M12129="PADD II","PADD 2",IF($M12129="PADD III","PADD 3",IF($M12129="PADD IV","PADD 4",IF($M12129="PADD V","PADD 5","")))))</f>
        <v/>
      </c>
      <c r="G12129" s="6">
        <f>IF(AND($H12129="ATMOS DISTILLATION",ISNUMBER(SEARCH("VPS",$I12129))=FALSE,LEFT($I12129,6)&lt;&gt;"VACUUM"),"CDU",IF($H12129="FLUID CAT CRACKING","FCC",IF(OR($H12129="HYDROCRACKING",$H12129="RESID_HYDROCRACKING"),"Hydrocracker",IF($H12129="REFORMING","Reformer",""))))</f>
        <v/>
      </c>
    </row>
    <row r="12130" spans="6:7">
      <c r="F12130" s="6">
        <f>IF($M12130="PADD I","PADD 1",IF($M12130="PADD II","PADD 2",IF($M12130="PADD III","PADD 3",IF($M12130="PADD IV","PADD 4",IF($M12130="PADD V","PADD 5","")))))</f>
        <v/>
      </c>
      <c r="G12130" s="6">
        <f>IF(AND($H12130="ATMOS DISTILLATION",ISNUMBER(SEARCH("VPS",$I12130))=FALSE,LEFT($I12130,6)&lt;&gt;"VACUUM"),"CDU",IF($H12130="FLUID CAT CRACKING","FCC",IF(OR($H12130="HYDROCRACKING",$H12130="RESID_HYDROCRACKING"),"Hydrocracker",IF($H12130="REFORMING","Reformer",""))))</f>
        <v/>
      </c>
    </row>
    <row r="12131" spans="6:7">
      <c r="F12131" s="6">
        <f>IF($M12131="PADD I","PADD 1",IF($M12131="PADD II","PADD 2",IF($M12131="PADD III","PADD 3",IF($M12131="PADD IV","PADD 4",IF($M12131="PADD V","PADD 5","")))))</f>
        <v/>
      </c>
      <c r="G12131" s="6">
        <f>IF(AND($H12131="ATMOS DISTILLATION",ISNUMBER(SEARCH("VPS",$I12131))=FALSE,LEFT($I12131,6)&lt;&gt;"VACUUM"),"CDU",IF($H12131="FLUID CAT CRACKING","FCC",IF(OR($H12131="HYDROCRACKING",$H12131="RESID_HYDROCRACKING"),"Hydrocracker",IF($H12131="REFORMING","Reformer",""))))</f>
        <v/>
      </c>
    </row>
    <row r="12132" spans="6:7">
      <c r="F12132" s="6">
        <f>IF($M12132="PADD I","PADD 1",IF($M12132="PADD II","PADD 2",IF($M12132="PADD III","PADD 3",IF($M12132="PADD IV","PADD 4",IF($M12132="PADD V","PADD 5","")))))</f>
        <v/>
      </c>
      <c r="G12132" s="6">
        <f>IF(AND($H12132="ATMOS DISTILLATION",ISNUMBER(SEARCH("VPS",$I12132))=FALSE,LEFT($I12132,6)&lt;&gt;"VACUUM"),"CDU",IF($H12132="FLUID CAT CRACKING","FCC",IF(OR($H12132="HYDROCRACKING",$H12132="RESID_HYDROCRACKING"),"Hydrocracker",IF($H12132="REFORMING","Reformer",""))))</f>
        <v/>
      </c>
    </row>
    <row r="12133" spans="6:7">
      <c r="F12133" s="6">
        <f>IF($M12133="PADD I","PADD 1",IF($M12133="PADD II","PADD 2",IF($M12133="PADD III","PADD 3",IF($M12133="PADD IV","PADD 4",IF($M12133="PADD V","PADD 5","")))))</f>
        <v/>
      </c>
      <c r="G12133" s="6">
        <f>IF(AND($H12133="ATMOS DISTILLATION",ISNUMBER(SEARCH("VPS",$I12133))=FALSE,LEFT($I12133,6)&lt;&gt;"VACUUM"),"CDU",IF($H12133="FLUID CAT CRACKING","FCC",IF(OR($H12133="HYDROCRACKING",$H12133="RESID_HYDROCRACKING"),"Hydrocracker",IF($H12133="REFORMING","Reformer",""))))</f>
        <v/>
      </c>
    </row>
    <row r="12134" spans="6:7">
      <c r="F12134" s="6">
        <f>IF($M12134="PADD I","PADD 1",IF($M12134="PADD II","PADD 2",IF($M12134="PADD III","PADD 3",IF($M12134="PADD IV","PADD 4",IF($M12134="PADD V","PADD 5","")))))</f>
        <v/>
      </c>
      <c r="G12134" s="6">
        <f>IF(AND($H12134="ATMOS DISTILLATION",ISNUMBER(SEARCH("VPS",$I12134))=FALSE,LEFT($I12134,6)&lt;&gt;"VACUUM"),"CDU",IF($H12134="FLUID CAT CRACKING","FCC",IF(OR($H12134="HYDROCRACKING",$H12134="RESID_HYDROCRACKING"),"Hydrocracker",IF($H12134="REFORMING","Reformer",""))))</f>
        <v/>
      </c>
    </row>
    <row r="12135" spans="6:7">
      <c r="F12135" s="6">
        <f>IF($M12135="PADD I","PADD 1",IF($M12135="PADD II","PADD 2",IF($M12135="PADD III","PADD 3",IF($M12135="PADD IV","PADD 4",IF($M12135="PADD V","PADD 5","")))))</f>
        <v/>
      </c>
      <c r="G12135" s="6">
        <f>IF(AND($H12135="ATMOS DISTILLATION",ISNUMBER(SEARCH("VPS",$I12135))=FALSE,LEFT($I12135,6)&lt;&gt;"VACUUM"),"CDU",IF($H12135="FLUID CAT CRACKING","FCC",IF(OR($H12135="HYDROCRACKING",$H12135="RESID_HYDROCRACKING"),"Hydrocracker",IF($H12135="REFORMING","Reformer",""))))</f>
        <v/>
      </c>
    </row>
    <row r="12136" spans="6:7">
      <c r="F12136" s="6">
        <f>IF($M12136="PADD I","PADD 1",IF($M12136="PADD II","PADD 2",IF($M12136="PADD III","PADD 3",IF($M12136="PADD IV","PADD 4",IF($M12136="PADD V","PADD 5","")))))</f>
        <v/>
      </c>
      <c r="G12136" s="6">
        <f>IF(AND($H12136="ATMOS DISTILLATION",ISNUMBER(SEARCH("VPS",$I12136))=FALSE,LEFT($I12136,6)&lt;&gt;"VACUUM"),"CDU",IF($H12136="FLUID CAT CRACKING","FCC",IF(OR($H12136="HYDROCRACKING",$H12136="RESID_HYDROCRACKING"),"Hydrocracker",IF($H12136="REFORMING","Reformer",""))))</f>
        <v/>
      </c>
    </row>
    <row r="12137" spans="6:7">
      <c r="F12137" s="6">
        <f>IF($M12137="PADD I","PADD 1",IF($M12137="PADD II","PADD 2",IF($M12137="PADD III","PADD 3",IF($M12137="PADD IV","PADD 4",IF($M12137="PADD V","PADD 5","")))))</f>
        <v/>
      </c>
      <c r="G12137" s="6">
        <f>IF(AND($H12137="ATMOS DISTILLATION",ISNUMBER(SEARCH("VPS",$I12137))=FALSE,LEFT($I12137,6)&lt;&gt;"VACUUM"),"CDU",IF($H12137="FLUID CAT CRACKING","FCC",IF(OR($H12137="HYDROCRACKING",$H12137="RESID_HYDROCRACKING"),"Hydrocracker",IF($H12137="REFORMING","Reformer",""))))</f>
        <v/>
      </c>
    </row>
    <row r="12138" spans="6:7">
      <c r="F12138" s="6">
        <f>IF($M12138="PADD I","PADD 1",IF($M12138="PADD II","PADD 2",IF($M12138="PADD III","PADD 3",IF($M12138="PADD IV","PADD 4",IF($M12138="PADD V","PADD 5","")))))</f>
        <v/>
      </c>
      <c r="G12138" s="6">
        <f>IF(AND($H12138="ATMOS DISTILLATION",ISNUMBER(SEARCH("VPS",$I12138))=FALSE,LEFT($I12138,6)&lt;&gt;"VACUUM"),"CDU",IF($H12138="FLUID CAT CRACKING","FCC",IF(OR($H12138="HYDROCRACKING",$H12138="RESID_HYDROCRACKING"),"Hydrocracker",IF($H12138="REFORMING","Reformer",""))))</f>
        <v/>
      </c>
    </row>
    <row r="12139" spans="6:7">
      <c r="F12139" s="6">
        <f>IF($M12139="PADD I","PADD 1",IF($M12139="PADD II","PADD 2",IF($M12139="PADD III","PADD 3",IF($M12139="PADD IV","PADD 4",IF($M12139="PADD V","PADD 5","")))))</f>
        <v/>
      </c>
      <c r="G12139" s="6">
        <f>IF(AND($H12139="ATMOS DISTILLATION",ISNUMBER(SEARCH("VPS",$I12139))=FALSE,LEFT($I12139,6)&lt;&gt;"VACUUM"),"CDU",IF($H12139="FLUID CAT CRACKING","FCC",IF(OR($H12139="HYDROCRACKING",$H12139="RESID_HYDROCRACKING"),"Hydrocracker",IF($H12139="REFORMING","Reformer",""))))</f>
        <v/>
      </c>
    </row>
    <row r="12140" spans="6:7">
      <c r="F12140" s="6">
        <f>IF($M12140="PADD I","PADD 1",IF($M12140="PADD II","PADD 2",IF($M12140="PADD III","PADD 3",IF($M12140="PADD IV","PADD 4",IF($M12140="PADD V","PADD 5","")))))</f>
        <v/>
      </c>
      <c r="G12140" s="6">
        <f>IF(AND($H12140="ATMOS DISTILLATION",ISNUMBER(SEARCH("VPS",$I12140))=FALSE,LEFT($I12140,6)&lt;&gt;"VACUUM"),"CDU",IF($H12140="FLUID CAT CRACKING","FCC",IF(OR($H12140="HYDROCRACKING",$H12140="RESID_HYDROCRACKING"),"Hydrocracker",IF($H12140="REFORMING","Reformer",""))))</f>
        <v/>
      </c>
    </row>
    <row r="12141" spans="6:7">
      <c r="F12141" s="6">
        <f>IF($M12141="PADD I","PADD 1",IF($M12141="PADD II","PADD 2",IF($M12141="PADD III","PADD 3",IF($M12141="PADD IV","PADD 4",IF($M12141="PADD V","PADD 5","")))))</f>
        <v/>
      </c>
      <c r="G12141" s="6">
        <f>IF(AND($H12141="ATMOS DISTILLATION",ISNUMBER(SEARCH("VPS",$I12141))=FALSE,LEFT($I12141,6)&lt;&gt;"VACUUM"),"CDU",IF($H12141="FLUID CAT CRACKING","FCC",IF(OR($H12141="HYDROCRACKING",$H12141="RESID_HYDROCRACKING"),"Hydrocracker",IF($H12141="REFORMING","Reformer",""))))</f>
        <v/>
      </c>
    </row>
    <row r="12142" spans="6:7">
      <c r="F12142" s="6">
        <f>IF($M12142="PADD I","PADD 1",IF($M12142="PADD II","PADD 2",IF($M12142="PADD III","PADD 3",IF($M12142="PADD IV","PADD 4",IF($M12142="PADD V","PADD 5","")))))</f>
        <v/>
      </c>
      <c r="G12142" s="6">
        <f>IF(AND($H12142="ATMOS DISTILLATION",ISNUMBER(SEARCH("VPS",$I12142))=FALSE,LEFT($I12142,6)&lt;&gt;"VACUUM"),"CDU",IF($H12142="FLUID CAT CRACKING","FCC",IF(OR($H12142="HYDROCRACKING",$H12142="RESID_HYDROCRACKING"),"Hydrocracker",IF($H12142="REFORMING","Reformer",""))))</f>
        <v/>
      </c>
    </row>
    <row r="12143" spans="6:7">
      <c r="F12143" s="6">
        <f>IF($M12143="PADD I","PADD 1",IF($M12143="PADD II","PADD 2",IF($M12143="PADD III","PADD 3",IF($M12143="PADD IV","PADD 4",IF($M12143="PADD V","PADD 5","")))))</f>
        <v/>
      </c>
      <c r="G12143" s="6">
        <f>IF(AND($H12143="ATMOS DISTILLATION",ISNUMBER(SEARCH("VPS",$I12143))=FALSE,LEFT($I12143,6)&lt;&gt;"VACUUM"),"CDU",IF($H12143="FLUID CAT CRACKING","FCC",IF(OR($H12143="HYDROCRACKING",$H12143="RESID_HYDROCRACKING"),"Hydrocracker",IF($H12143="REFORMING","Reformer",""))))</f>
        <v/>
      </c>
    </row>
    <row r="12144" spans="6:7">
      <c r="F12144" s="6">
        <f>IF($M12144="PADD I","PADD 1",IF($M12144="PADD II","PADD 2",IF($M12144="PADD III","PADD 3",IF($M12144="PADD IV","PADD 4",IF($M12144="PADD V","PADD 5","")))))</f>
        <v/>
      </c>
      <c r="G12144" s="6">
        <f>IF(AND($H12144="ATMOS DISTILLATION",ISNUMBER(SEARCH("VPS",$I12144))=FALSE,LEFT($I12144,6)&lt;&gt;"VACUUM"),"CDU",IF($H12144="FLUID CAT CRACKING","FCC",IF(OR($H12144="HYDROCRACKING",$H12144="RESID_HYDROCRACKING"),"Hydrocracker",IF($H12144="REFORMING","Reformer",""))))</f>
        <v/>
      </c>
    </row>
    <row r="12145" spans="6:7">
      <c r="F12145" s="6">
        <f>IF($M12145="PADD I","PADD 1",IF($M12145="PADD II","PADD 2",IF($M12145="PADD III","PADD 3",IF($M12145="PADD IV","PADD 4",IF($M12145="PADD V","PADD 5","")))))</f>
        <v/>
      </c>
      <c r="G12145" s="6">
        <f>IF(AND($H12145="ATMOS DISTILLATION",ISNUMBER(SEARCH("VPS",$I12145))=FALSE,LEFT($I12145,6)&lt;&gt;"VACUUM"),"CDU",IF($H12145="FLUID CAT CRACKING","FCC",IF(OR($H12145="HYDROCRACKING",$H12145="RESID_HYDROCRACKING"),"Hydrocracker",IF($H12145="REFORMING","Reformer",""))))</f>
        <v/>
      </c>
    </row>
    <row r="12146" spans="6:7">
      <c r="F12146" s="6">
        <f>IF($M12146="PADD I","PADD 1",IF($M12146="PADD II","PADD 2",IF($M12146="PADD III","PADD 3",IF($M12146="PADD IV","PADD 4",IF($M12146="PADD V","PADD 5","")))))</f>
        <v/>
      </c>
      <c r="G12146" s="6">
        <f>IF(AND($H12146="ATMOS DISTILLATION",ISNUMBER(SEARCH("VPS",$I12146))=FALSE,LEFT($I12146,6)&lt;&gt;"VACUUM"),"CDU",IF($H12146="FLUID CAT CRACKING","FCC",IF(OR($H12146="HYDROCRACKING",$H12146="RESID_HYDROCRACKING"),"Hydrocracker",IF($H12146="REFORMING","Reformer",""))))</f>
        <v/>
      </c>
    </row>
    <row r="12147" spans="6:7">
      <c r="F12147" s="6">
        <f>IF($M12147="PADD I","PADD 1",IF($M12147="PADD II","PADD 2",IF($M12147="PADD III","PADD 3",IF($M12147="PADD IV","PADD 4",IF($M12147="PADD V","PADD 5","")))))</f>
        <v/>
      </c>
      <c r="G12147" s="6">
        <f>IF(AND($H12147="ATMOS DISTILLATION",ISNUMBER(SEARCH("VPS",$I12147))=FALSE,LEFT($I12147,6)&lt;&gt;"VACUUM"),"CDU",IF($H12147="FLUID CAT CRACKING","FCC",IF(OR($H12147="HYDROCRACKING",$H12147="RESID_HYDROCRACKING"),"Hydrocracker",IF($H12147="REFORMING","Reformer",""))))</f>
        <v/>
      </c>
    </row>
    <row r="12148" spans="6:7">
      <c r="F12148" s="6">
        <f>IF($M12148="PADD I","PADD 1",IF($M12148="PADD II","PADD 2",IF($M12148="PADD III","PADD 3",IF($M12148="PADD IV","PADD 4",IF($M12148="PADD V","PADD 5","")))))</f>
        <v/>
      </c>
      <c r="G12148" s="6">
        <f>IF(AND($H12148="ATMOS DISTILLATION",ISNUMBER(SEARCH("VPS",$I12148))=FALSE,LEFT($I12148,6)&lt;&gt;"VACUUM"),"CDU",IF($H12148="FLUID CAT CRACKING","FCC",IF(OR($H12148="HYDROCRACKING",$H12148="RESID_HYDROCRACKING"),"Hydrocracker",IF($H12148="REFORMING","Reformer",""))))</f>
        <v/>
      </c>
    </row>
    <row r="12149" spans="6:7">
      <c r="F12149" s="6">
        <f>IF($M12149="PADD I","PADD 1",IF($M12149="PADD II","PADD 2",IF($M12149="PADD III","PADD 3",IF($M12149="PADD IV","PADD 4",IF($M12149="PADD V","PADD 5","")))))</f>
        <v/>
      </c>
      <c r="G12149" s="6">
        <f>IF(AND($H12149="ATMOS DISTILLATION",ISNUMBER(SEARCH("VPS",$I12149))=FALSE,LEFT($I12149,6)&lt;&gt;"VACUUM"),"CDU",IF($H12149="FLUID CAT CRACKING","FCC",IF(OR($H12149="HYDROCRACKING",$H12149="RESID_HYDROCRACKING"),"Hydrocracker",IF($H12149="REFORMING","Reformer",""))))</f>
        <v/>
      </c>
    </row>
    <row r="12150" spans="6:7">
      <c r="F12150" s="6">
        <f>IF($M12150="PADD I","PADD 1",IF($M12150="PADD II","PADD 2",IF($M12150="PADD III","PADD 3",IF($M12150="PADD IV","PADD 4",IF($M12150="PADD V","PADD 5","")))))</f>
        <v/>
      </c>
      <c r="G12150" s="6">
        <f>IF(AND($H12150="ATMOS DISTILLATION",ISNUMBER(SEARCH("VPS",$I12150))=FALSE,LEFT($I12150,6)&lt;&gt;"VACUUM"),"CDU",IF($H12150="FLUID CAT CRACKING","FCC",IF(OR($H12150="HYDROCRACKING",$H12150="RESID_HYDROCRACKING"),"Hydrocracker",IF($H12150="REFORMING","Reformer",""))))</f>
        <v/>
      </c>
    </row>
    <row r="12151" spans="6:7">
      <c r="F12151" s="6">
        <f>IF($M12151="PADD I","PADD 1",IF($M12151="PADD II","PADD 2",IF($M12151="PADD III","PADD 3",IF($M12151="PADD IV","PADD 4",IF($M12151="PADD V","PADD 5","")))))</f>
        <v/>
      </c>
      <c r="G12151" s="6">
        <f>IF(AND($H12151="ATMOS DISTILLATION",ISNUMBER(SEARCH("VPS",$I12151))=FALSE,LEFT($I12151,6)&lt;&gt;"VACUUM"),"CDU",IF($H12151="FLUID CAT CRACKING","FCC",IF(OR($H12151="HYDROCRACKING",$H12151="RESID_HYDROCRACKING"),"Hydrocracker",IF($H12151="REFORMING","Reformer",""))))</f>
        <v/>
      </c>
    </row>
    <row r="12152" spans="6:7">
      <c r="F12152" s="6">
        <f>IF($M12152="PADD I","PADD 1",IF($M12152="PADD II","PADD 2",IF($M12152="PADD III","PADD 3",IF($M12152="PADD IV","PADD 4",IF($M12152="PADD V","PADD 5","")))))</f>
        <v/>
      </c>
      <c r="G12152" s="6">
        <f>IF(AND($H12152="ATMOS DISTILLATION",ISNUMBER(SEARCH("VPS",$I12152))=FALSE,LEFT($I12152,6)&lt;&gt;"VACUUM"),"CDU",IF($H12152="FLUID CAT CRACKING","FCC",IF(OR($H12152="HYDROCRACKING",$H12152="RESID_HYDROCRACKING"),"Hydrocracker",IF($H12152="REFORMING","Reformer",""))))</f>
        <v/>
      </c>
    </row>
    <row r="12153" spans="6:7">
      <c r="F12153" s="6">
        <f>IF($M12153="PADD I","PADD 1",IF($M12153="PADD II","PADD 2",IF($M12153="PADD III","PADD 3",IF($M12153="PADD IV","PADD 4",IF($M12153="PADD V","PADD 5","")))))</f>
        <v/>
      </c>
      <c r="G12153" s="6">
        <f>IF(AND($H12153="ATMOS DISTILLATION",ISNUMBER(SEARCH("VPS",$I12153))=FALSE,LEFT($I12153,6)&lt;&gt;"VACUUM"),"CDU",IF($H12153="FLUID CAT CRACKING","FCC",IF(OR($H12153="HYDROCRACKING",$H12153="RESID_HYDROCRACKING"),"Hydrocracker",IF($H12153="REFORMING","Reformer",""))))</f>
        <v/>
      </c>
    </row>
    <row r="12154" spans="6:7">
      <c r="F12154" s="6">
        <f>IF($M12154="PADD I","PADD 1",IF($M12154="PADD II","PADD 2",IF($M12154="PADD III","PADD 3",IF($M12154="PADD IV","PADD 4",IF($M12154="PADD V","PADD 5","")))))</f>
        <v/>
      </c>
      <c r="G12154" s="6">
        <f>IF(AND($H12154="ATMOS DISTILLATION",ISNUMBER(SEARCH("VPS",$I12154))=FALSE,LEFT($I12154,6)&lt;&gt;"VACUUM"),"CDU",IF($H12154="FLUID CAT CRACKING","FCC",IF(OR($H12154="HYDROCRACKING",$H12154="RESID_HYDROCRACKING"),"Hydrocracker",IF($H12154="REFORMING","Reformer",""))))</f>
        <v/>
      </c>
    </row>
    <row r="12155" spans="6:7">
      <c r="F12155" s="6">
        <f>IF($M12155="PADD I","PADD 1",IF($M12155="PADD II","PADD 2",IF($M12155="PADD III","PADD 3",IF($M12155="PADD IV","PADD 4",IF($M12155="PADD V","PADD 5","")))))</f>
        <v/>
      </c>
      <c r="G12155" s="6">
        <f>IF(AND($H12155="ATMOS DISTILLATION",ISNUMBER(SEARCH("VPS",$I12155))=FALSE,LEFT($I12155,6)&lt;&gt;"VACUUM"),"CDU",IF($H12155="FLUID CAT CRACKING","FCC",IF(OR($H12155="HYDROCRACKING",$H12155="RESID_HYDROCRACKING"),"Hydrocracker",IF($H12155="REFORMING","Reformer",""))))</f>
        <v/>
      </c>
    </row>
    <row r="12156" spans="6:7">
      <c r="F12156" s="6">
        <f>IF($M12156="PADD I","PADD 1",IF($M12156="PADD II","PADD 2",IF($M12156="PADD III","PADD 3",IF($M12156="PADD IV","PADD 4",IF($M12156="PADD V","PADD 5","")))))</f>
        <v/>
      </c>
      <c r="G12156" s="6">
        <f>IF(AND($H12156="ATMOS DISTILLATION",ISNUMBER(SEARCH("VPS",$I12156))=FALSE,LEFT($I12156,6)&lt;&gt;"VACUUM"),"CDU",IF($H12156="FLUID CAT CRACKING","FCC",IF(OR($H12156="HYDROCRACKING",$H12156="RESID_HYDROCRACKING"),"Hydrocracker",IF($H12156="REFORMING","Reformer",""))))</f>
        <v/>
      </c>
    </row>
    <row r="12157" spans="6:7">
      <c r="F12157" s="6">
        <f>IF($M12157="PADD I","PADD 1",IF($M12157="PADD II","PADD 2",IF($M12157="PADD III","PADD 3",IF($M12157="PADD IV","PADD 4",IF($M12157="PADD V","PADD 5","")))))</f>
        <v/>
      </c>
      <c r="G12157" s="6">
        <f>IF(AND($H12157="ATMOS DISTILLATION",ISNUMBER(SEARCH("VPS",$I12157))=FALSE,LEFT($I12157,6)&lt;&gt;"VACUUM"),"CDU",IF($H12157="FLUID CAT CRACKING","FCC",IF(OR($H12157="HYDROCRACKING",$H12157="RESID_HYDROCRACKING"),"Hydrocracker",IF($H12157="REFORMING","Reformer",""))))</f>
        <v/>
      </c>
    </row>
    <row r="12158" spans="6:7">
      <c r="F12158" s="6">
        <f>IF($M12158="PADD I","PADD 1",IF($M12158="PADD II","PADD 2",IF($M12158="PADD III","PADD 3",IF($M12158="PADD IV","PADD 4",IF($M12158="PADD V","PADD 5","")))))</f>
        <v/>
      </c>
      <c r="G12158" s="6">
        <f>IF(AND($H12158="ATMOS DISTILLATION",ISNUMBER(SEARCH("VPS",$I12158))=FALSE,LEFT($I12158,6)&lt;&gt;"VACUUM"),"CDU",IF($H12158="FLUID CAT CRACKING","FCC",IF(OR($H12158="HYDROCRACKING",$H12158="RESID_HYDROCRACKING"),"Hydrocracker",IF($H12158="REFORMING","Reformer",""))))</f>
        <v/>
      </c>
    </row>
    <row r="12159" spans="6:7">
      <c r="F12159" s="6">
        <f>IF($M12159="PADD I","PADD 1",IF($M12159="PADD II","PADD 2",IF($M12159="PADD III","PADD 3",IF($M12159="PADD IV","PADD 4",IF($M12159="PADD V","PADD 5","")))))</f>
        <v/>
      </c>
      <c r="G12159" s="6">
        <f>IF(AND($H12159="ATMOS DISTILLATION",ISNUMBER(SEARCH("VPS",$I12159))=FALSE,LEFT($I12159,6)&lt;&gt;"VACUUM"),"CDU",IF($H12159="FLUID CAT CRACKING","FCC",IF(OR($H12159="HYDROCRACKING",$H12159="RESID_HYDROCRACKING"),"Hydrocracker",IF($H12159="REFORMING","Reformer",""))))</f>
        <v/>
      </c>
    </row>
    <row r="12160" spans="6:7">
      <c r="F12160" s="6">
        <f>IF($M12160="PADD I","PADD 1",IF($M12160="PADD II","PADD 2",IF($M12160="PADD III","PADD 3",IF($M12160="PADD IV","PADD 4",IF($M12160="PADD V","PADD 5","")))))</f>
        <v/>
      </c>
      <c r="G12160" s="6">
        <f>IF(AND($H12160="ATMOS DISTILLATION",ISNUMBER(SEARCH("VPS",$I12160))=FALSE,LEFT($I12160,6)&lt;&gt;"VACUUM"),"CDU",IF($H12160="FLUID CAT CRACKING","FCC",IF(OR($H12160="HYDROCRACKING",$H12160="RESID_HYDROCRACKING"),"Hydrocracker",IF($H12160="REFORMING","Reformer",""))))</f>
        <v/>
      </c>
    </row>
    <row r="12161" spans="6:7">
      <c r="F12161" s="6">
        <f>IF($M12161="PADD I","PADD 1",IF($M12161="PADD II","PADD 2",IF($M12161="PADD III","PADD 3",IF($M12161="PADD IV","PADD 4",IF($M12161="PADD V","PADD 5","")))))</f>
        <v/>
      </c>
      <c r="G12161" s="6">
        <f>IF(AND($H12161="ATMOS DISTILLATION",ISNUMBER(SEARCH("VPS",$I12161))=FALSE,LEFT($I12161,6)&lt;&gt;"VACUUM"),"CDU",IF($H12161="FLUID CAT CRACKING","FCC",IF(OR($H12161="HYDROCRACKING",$H12161="RESID_HYDROCRACKING"),"Hydrocracker",IF($H12161="REFORMING","Reformer",""))))</f>
        <v/>
      </c>
    </row>
    <row r="12162" spans="6:7">
      <c r="F12162" s="6">
        <f>IF($M12162="PADD I","PADD 1",IF($M12162="PADD II","PADD 2",IF($M12162="PADD III","PADD 3",IF($M12162="PADD IV","PADD 4",IF($M12162="PADD V","PADD 5","")))))</f>
        <v/>
      </c>
      <c r="G12162" s="6">
        <f>IF(AND($H12162="ATMOS DISTILLATION",ISNUMBER(SEARCH("VPS",$I12162))=FALSE,LEFT($I12162,6)&lt;&gt;"VACUUM"),"CDU",IF($H12162="FLUID CAT CRACKING","FCC",IF(OR($H12162="HYDROCRACKING",$H12162="RESID_HYDROCRACKING"),"Hydrocracker",IF($H12162="REFORMING","Reformer",""))))</f>
        <v/>
      </c>
    </row>
    <row r="12163" spans="6:7">
      <c r="F12163" s="6">
        <f>IF($M12163="PADD I","PADD 1",IF($M12163="PADD II","PADD 2",IF($M12163="PADD III","PADD 3",IF($M12163="PADD IV","PADD 4",IF($M12163="PADD V","PADD 5","")))))</f>
        <v/>
      </c>
      <c r="G12163" s="6">
        <f>IF(AND($H12163="ATMOS DISTILLATION",ISNUMBER(SEARCH("VPS",$I12163))=FALSE,LEFT($I12163,6)&lt;&gt;"VACUUM"),"CDU",IF($H12163="FLUID CAT CRACKING","FCC",IF(OR($H12163="HYDROCRACKING",$H12163="RESID_HYDROCRACKING"),"Hydrocracker",IF($H12163="REFORMING","Reformer",""))))</f>
        <v/>
      </c>
    </row>
    <row r="12164" spans="6:7">
      <c r="F12164" s="6">
        <f>IF($M12164="PADD I","PADD 1",IF($M12164="PADD II","PADD 2",IF($M12164="PADD III","PADD 3",IF($M12164="PADD IV","PADD 4",IF($M12164="PADD V","PADD 5","")))))</f>
        <v/>
      </c>
      <c r="G12164" s="6">
        <f>IF(AND($H12164="ATMOS DISTILLATION",ISNUMBER(SEARCH("VPS",$I12164))=FALSE,LEFT($I12164,6)&lt;&gt;"VACUUM"),"CDU",IF($H12164="FLUID CAT CRACKING","FCC",IF(OR($H12164="HYDROCRACKING",$H12164="RESID_HYDROCRACKING"),"Hydrocracker",IF($H12164="REFORMING","Reformer",""))))</f>
        <v/>
      </c>
    </row>
    <row r="12165" spans="6:7">
      <c r="F12165" s="6">
        <f>IF($M12165="PADD I","PADD 1",IF($M12165="PADD II","PADD 2",IF($M12165="PADD III","PADD 3",IF($M12165="PADD IV","PADD 4",IF($M12165="PADD V","PADD 5","")))))</f>
        <v/>
      </c>
      <c r="G12165" s="6">
        <f>IF(AND($H12165="ATMOS DISTILLATION",ISNUMBER(SEARCH("VPS",$I12165))=FALSE,LEFT($I12165,6)&lt;&gt;"VACUUM"),"CDU",IF($H12165="FLUID CAT CRACKING","FCC",IF(OR($H12165="HYDROCRACKING",$H12165="RESID_HYDROCRACKING"),"Hydrocracker",IF($H12165="REFORMING","Reformer",""))))</f>
        <v/>
      </c>
    </row>
    <row r="12166" spans="6:7">
      <c r="F12166" s="6">
        <f>IF($M12166="PADD I","PADD 1",IF($M12166="PADD II","PADD 2",IF($M12166="PADD III","PADD 3",IF($M12166="PADD IV","PADD 4",IF($M12166="PADD V","PADD 5","")))))</f>
        <v/>
      </c>
      <c r="G12166" s="6">
        <f>IF(AND($H12166="ATMOS DISTILLATION",ISNUMBER(SEARCH("VPS",$I12166))=FALSE,LEFT($I12166,6)&lt;&gt;"VACUUM"),"CDU",IF($H12166="FLUID CAT CRACKING","FCC",IF(OR($H12166="HYDROCRACKING",$H12166="RESID_HYDROCRACKING"),"Hydrocracker",IF($H12166="REFORMING","Reformer",""))))</f>
        <v/>
      </c>
    </row>
    <row r="12167" spans="6:7">
      <c r="F12167" s="6">
        <f>IF($M12167="PADD I","PADD 1",IF($M12167="PADD II","PADD 2",IF($M12167="PADD III","PADD 3",IF($M12167="PADD IV","PADD 4",IF($M12167="PADD V","PADD 5","")))))</f>
        <v/>
      </c>
      <c r="G12167" s="6">
        <f>IF(AND($H12167="ATMOS DISTILLATION",ISNUMBER(SEARCH("VPS",$I12167))=FALSE,LEFT($I12167,6)&lt;&gt;"VACUUM"),"CDU",IF($H12167="FLUID CAT CRACKING","FCC",IF(OR($H12167="HYDROCRACKING",$H12167="RESID_HYDROCRACKING"),"Hydrocracker",IF($H12167="REFORMING","Reformer",""))))</f>
        <v/>
      </c>
    </row>
    <row r="12168" spans="6:7">
      <c r="F12168" s="6">
        <f>IF($M12168="PADD I","PADD 1",IF($M12168="PADD II","PADD 2",IF($M12168="PADD III","PADD 3",IF($M12168="PADD IV","PADD 4",IF($M12168="PADD V","PADD 5","")))))</f>
        <v/>
      </c>
      <c r="G12168" s="6">
        <f>IF(AND($H12168="ATMOS DISTILLATION",ISNUMBER(SEARCH("VPS",$I12168))=FALSE,LEFT($I12168,6)&lt;&gt;"VACUUM"),"CDU",IF($H12168="FLUID CAT CRACKING","FCC",IF(OR($H12168="HYDROCRACKING",$H12168="RESID_HYDROCRACKING"),"Hydrocracker",IF($H12168="REFORMING","Reformer",""))))</f>
        <v/>
      </c>
    </row>
    <row r="12169" spans="6:7">
      <c r="F12169" s="6">
        <f>IF($M12169="PADD I","PADD 1",IF($M12169="PADD II","PADD 2",IF($M12169="PADD III","PADD 3",IF($M12169="PADD IV","PADD 4",IF($M12169="PADD V","PADD 5","")))))</f>
        <v/>
      </c>
      <c r="G12169" s="6">
        <f>IF(AND($H12169="ATMOS DISTILLATION",ISNUMBER(SEARCH("VPS",$I12169))=FALSE,LEFT($I12169,6)&lt;&gt;"VACUUM"),"CDU",IF($H12169="FLUID CAT CRACKING","FCC",IF(OR($H12169="HYDROCRACKING",$H12169="RESID_HYDROCRACKING"),"Hydrocracker",IF($H12169="REFORMING","Reformer",""))))</f>
        <v/>
      </c>
    </row>
    <row r="12170" spans="6:7">
      <c r="F12170" s="6">
        <f>IF($M12170="PADD I","PADD 1",IF($M12170="PADD II","PADD 2",IF($M12170="PADD III","PADD 3",IF($M12170="PADD IV","PADD 4",IF($M12170="PADD V","PADD 5","")))))</f>
        <v/>
      </c>
      <c r="G12170" s="6">
        <f>IF(AND($H12170="ATMOS DISTILLATION",ISNUMBER(SEARCH("VPS",$I12170))=FALSE,LEFT($I12170,6)&lt;&gt;"VACUUM"),"CDU",IF($H12170="FLUID CAT CRACKING","FCC",IF(OR($H12170="HYDROCRACKING",$H12170="RESID_HYDROCRACKING"),"Hydrocracker",IF($H12170="REFORMING","Reformer",""))))</f>
        <v/>
      </c>
    </row>
    <row r="12171" spans="6:7">
      <c r="F12171" s="6">
        <f>IF($M12171="PADD I","PADD 1",IF($M12171="PADD II","PADD 2",IF($M12171="PADD III","PADD 3",IF($M12171="PADD IV","PADD 4",IF($M12171="PADD V","PADD 5","")))))</f>
        <v/>
      </c>
      <c r="G12171" s="6">
        <f>IF(AND($H12171="ATMOS DISTILLATION",ISNUMBER(SEARCH("VPS",$I12171))=FALSE,LEFT($I12171,6)&lt;&gt;"VACUUM"),"CDU",IF($H12171="FLUID CAT CRACKING","FCC",IF(OR($H12171="HYDROCRACKING",$H12171="RESID_HYDROCRACKING"),"Hydrocracker",IF($H12171="REFORMING","Reformer",""))))</f>
        <v/>
      </c>
    </row>
    <row r="12172" spans="6:7">
      <c r="F12172" s="6">
        <f>IF($M12172="PADD I","PADD 1",IF($M12172="PADD II","PADD 2",IF($M12172="PADD III","PADD 3",IF($M12172="PADD IV","PADD 4",IF($M12172="PADD V","PADD 5","")))))</f>
        <v/>
      </c>
      <c r="G12172" s="6">
        <f>IF(AND($H12172="ATMOS DISTILLATION",ISNUMBER(SEARCH("VPS",$I12172))=FALSE,LEFT($I12172,6)&lt;&gt;"VACUUM"),"CDU",IF($H12172="FLUID CAT CRACKING","FCC",IF(OR($H12172="HYDROCRACKING",$H12172="RESID_HYDROCRACKING"),"Hydrocracker",IF($H12172="REFORMING","Reformer",""))))</f>
        <v/>
      </c>
    </row>
    <row r="12173" spans="6:7">
      <c r="F12173" s="6">
        <f>IF($M12173="PADD I","PADD 1",IF($M12173="PADD II","PADD 2",IF($M12173="PADD III","PADD 3",IF($M12173="PADD IV","PADD 4",IF($M12173="PADD V","PADD 5","")))))</f>
        <v/>
      </c>
      <c r="G12173" s="6">
        <f>IF(AND($H12173="ATMOS DISTILLATION",ISNUMBER(SEARCH("VPS",$I12173))=FALSE,LEFT($I12173,6)&lt;&gt;"VACUUM"),"CDU",IF($H12173="FLUID CAT CRACKING","FCC",IF(OR($H12173="HYDROCRACKING",$H12173="RESID_HYDROCRACKING"),"Hydrocracker",IF($H12173="REFORMING","Reformer",""))))</f>
        <v/>
      </c>
    </row>
    <row r="12174" spans="6:7">
      <c r="F12174" s="6">
        <f>IF($M12174="PADD I","PADD 1",IF($M12174="PADD II","PADD 2",IF($M12174="PADD III","PADD 3",IF($M12174="PADD IV","PADD 4",IF($M12174="PADD V","PADD 5","")))))</f>
        <v/>
      </c>
      <c r="G12174" s="6">
        <f>IF(AND($H12174="ATMOS DISTILLATION",ISNUMBER(SEARCH("VPS",$I12174))=FALSE,LEFT($I12174,6)&lt;&gt;"VACUUM"),"CDU",IF($H12174="FLUID CAT CRACKING","FCC",IF(OR($H12174="HYDROCRACKING",$H12174="RESID_HYDROCRACKING"),"Hydrocracker",IF($H12174="REFORMING","Reformer",""))))</f>
        <v/>
      </c>
    </row>
    <row r="12175" spans="6:7">
      <c r="F12175" s="6">
        <f>IF($M12175="PADD I","PADD 1",IF($M12175="PADD II","PADD 2",IF($M12175="PADD III","PADD 3",IF($M12175="PADD IV","PADD 4",IF($M12175="PADD V","PADD 5","")))))</f>
        <v/>
      </c>
      <c r="G12175" s="6">
        <f>IF(AND($H12175="ATMOS DISTILLATION",ISNUMBER(SEARCH("VPS",$I12175))=FALSE,LEFT($I12175,6)&lt;&gt;"VACUUM"),"CDU",IF($H12175="FLUID CAT CRACKING","FCC",IF(OR($H12175="HYDROCRACKING",$H12175="RESID_HYDROCRACKING"),"Hydrocracker",IF($H12175="REFORMING","Reformer",""))))</f>
        <v/>
      </c>
    </row>
    <row r="12176" spans="6:7">
      <c r="F12176" s="6">
        <f>IF($M12176="PADD I","PADD 1",IF($M12176="PADD II","PADD 2",IF($M12176="PADD III","PADD 3",IF($M12176="PADD IV","PADD 4",IF($M12176="PADD V","PADD 5","")))))</f>
        <v/>
      </c>
      <c r="G12176" s="6">
        <f>IF(AND($H12176="ATMOS DISTILLATION",ISNUMBER(SEARCH("VPS",$I12176))=FALSE,LEFT($I12176,6)&lt;&gt;"VACUUM"),"CDU",IF($H12176="FLUID CAT CRACKING","FCC",IF(OR($H12176="HYDROCRACKING",$H12176="RESID_HYDROCRACKING"),"Hydrocracker",IF($H12176="REFORMING","Reformer",""))))</f>
        <v/>
      </c>
    </row>
    <row r="12177" spans="6:7">
      <c r="F12177" s="6">
        <f>IF($M12177="PADD I","PADD 1",IF($M12177="PADD II","PADD 2",IF($M12177="PADD III","PADD 3",IF($M12177="PADD IV","PADD 4",IF($M12177="PADD V","PADD 5","")))))</f>
        <v/>
      </c>
      <c r="G12177" s="6">
        <f>IF(AND($H12177="ATMOS DISTILLATION",ISNUMBER(SEARCH("VPS",$I12177))=FALSE,LEFT($I12177,6)&lt;&gt;"VACUUM"),"CDU",IF($H12177="FLUID CAT CRACKING","FCC",IF(OR($H12177="HYDROCRACKING",$H12177="RESID_HYDROCRACKING"),"Hydrocracker",IF($H12177="REFORMING","Reformer",""))))</f>
        <v/>
      </c>
    </row>
    <row r="12178" spans="6:7">
      <c r="F12178" s="6">
        <f>IF($M12178="PADD I","PADD 1",IF($M12178="PADD II","PADD 2",IF($M12178="PADD III","PADD 3",IF($M12178="PADD IV","PADD 4",IF($M12178="PADD V","PADD 5","")))))</f>
        <v/>
      </c>
      <c r="G12178" s="6">
        <f>IF(AND($H12178="ATMOS DISTILLATION",ISNUMBER(SEARCH("VPS",$I12178))=FALSE,LEFT($I12178,6)&lt;&gt;"VACUUM"),"CDU",IF($H12178="FLUID CAT CRACKING","FCC",IF(OR($H12178="HYDROCRACKING",$H12178="RESID_HYDROCRACKING"),"Hydrocracker",IF($H12178="REFORMING","Reformer",""))))</f>
        <v/>
      </c>
    </row>
    <row r="12179" spans="6:7">
      <c r="F12179" s="6">
        <f>IF($M12179="PADD I","PADD 1",IF($M12179="PADD II","PADD 2",IF($M12179="PADD III","PADD 3",IF($M12179="PADD IV","PADD 4",IF($M12179="PADD V","PADD 5","")))))</f>
        <v/>
      </c>
      <c r="G12179" s="6">
        <f>IF(AND($H12179="ATMOS DISTILLATION",ISNUMBER(SEARCH("VPS",$I12179))=FALSE,LEFT($I12179,6)&lt;&gt;"VACUUM"),"CDU",IF($H12179="FLUID CAT CRACKING","FCC",IF(OR($H12179="HYDROCRACKING",$H12179="RESID_HYDROCRACKING"),"Hydrocracker",IF($H12179="REFORMING","Reformer",""))))</f>
        <v/>
      </c>
    </row>
    <row r="12180" spans="6:7">
      <c r="F12180" s="6">
        <f>IF($M12180="PADD I","PADD 1",IF($M12180="PADD II","PADD 2",IF($M12180="PADD III","PADD 3",IF($M12180="PADD IV","PADD 4",IF($M12180="PADD V","PADD 5","")))))</f>
        <v/>
      </c>
      <c r="G12180" s="6">
        <f>IF(AND($H12180="ATMOS DISTILLATION",ISNUMBER(SEARCH("VPS",$I12180))=FALSE,LEFT($I12180,6)&lt;&gt;"VACUUM"),"CDU",IF($H12180="FLUID CAT CRACKING","FCC",IF(OR($H12180="HYDROCRACKING",$H12180="RESID_HYDROCRACKING"),"Hydrocracker",IF($H12180="REFORMING","Reformer",""))))</f>
        <v/>
      </c>
    </row>
    <row r="12181" spans="6:7">
      <c r="F12181" s="6">
        <f>IF($M12181="PADD I","PADD 1",IF($M12181="PADD II","PADD 2",IF($M12181="PADD III","PADD 3",IF($M12181="PADD IV","PADD 4",IF($M12181="PADD V","PADD 5","")))))</f>
        <v/>
      </c>
      <c r="G12181" s="6">
        <f>IF(AND($H12181="ATMOS DISTILLATION",ISNUMBER(SEARCH("VPS",$I12181))=FALSE,LEFT($I12181,6)&lt;&gt;"VACUUM"),"CDU",IF($H12181="FLUID CAT CRACKING","FCC",IF(OR($H12181="HYDROCRACKING",$H12181="RESID_HYDROCRACKING"),"Hydrocracker",IF($H12181="REFORMING","Reformer",""))))</f>
        <v/>
      </c>
    </row>
    <row r="12182" spans="6:7">
      <c r="F12182" s="6">
        <f>IF($M12182="PADD I","PADD 1",IF($M12182="PADD II","PADD 2",IF($M12182="PADD III","PADD 3",IF($M12182="PADD IV","PADD 4",IF($M12182="PADD V","PADD 5","")))))</f>
        <v/>
      </c>
      <c r="G12182" s="6">
        <f>IF(AND($H12182="ATMOS DISTILLATION",ISNUMBER(SEARCH("VPS",$I12182))=FALSE,LEFT($I12182,6)&lt;&gt;"VACUUM"),"CDU",IF($H12182="FLUID CAT CRACKING","FCC",IF(OR($H12182="HYDROCRACKING",$H12182="RESID_HYDROCRACKING"),"Hydrocracker",IF($H12182="REFORMING","Reformer",""))))</f>
        <v/>
      </c>
    </row>
    <row r="12183" spans="6:7">
      <c r="F12183" s="6">
        <f>IF($M12183="PADD I","PADD 1",IF($M12183="PADD II","PADD 2",IF($M12183="PADD III","PADD 3",IF($M12183="PADD IV","PADD 4",IF($M12183="PADD V","PADD 5","")))))</f>
        <v/>
      </c>
      <c r="G12183" s="6">
        <f>IF(AND($H12183="ATMOS DISTILLATION",ISNUMBER(SEARCH("VPS",$I12183))=FALSE,LEFT($I12183,6)&lt;&gt;"VACUUM"),"CDU",IF($H12183="FLUID CAT CRACKING","FCC",IF(OR($H12183="HYDROCRACKING",$H12183="RESID_HYDROCRACKING"),"Hydrocracker",IF($H12183="REFORMING","Reformer",""))))</f>
        <v/>
      </c>
    </row>
    <row r="12184" spans="6:7">
      <c r="F12184" s="6">
        <f>IF($M12184="PADD I","PADD 1",IF($M12184="PADD II","PADD 2",IF($M12184="PADD III","PADD 3",IF($M12184="PADD IV","PADD 4",IF($M12184="PADD V","PADD 5","")))))</f>
        <v/>
      </c>
      <c r="G12184" s="6">
        <f>IF(AND($H12184="ATMOS DISTILLATION",ISNUMBER(SEARCH("VPS",$I12184))=FALSE,LEFT($I12184,6)&lt;&gt;"VACUUM"),"CDU",IF($H12184="FLUID CAT CRACKING","FCC",IF(OR($H12184="HYDROCRACKING",$H12184="RESID_HYDROCRACKING"),"Hydrocracker",IF($H12184="REFORMING","Reformer",""))))</f>
        <v/>
      </c>
    </row>
    <row r="12185" spans="6:7">
      <c r="F12185" s="6">
        <f>IF($M12185="PADD I","PADD 1",IF($M12185="PADD II","PADD 2",IF($M12185="PADD III","PADD 3",IF($M12185="PADD IV","PADD 4",IF($M12185="PADD V","PADD 5","")))))</f>
        <v/>
      </c>
      <c r="G12185" s="6">
        <f>IF(AND($H12185="ATMOS DISTILLATION",ISNUMBER(SEARCH("VPS",$I12185))=FALSE,LEFT($I12185,6)&lt;&gt;"VACUUM"),"CDU",IF($H12185="FLUID CAT CRACKING","FCC",IF(OR($H12185="HYDROCRACKING",$H12185="RESID_HYDROCRACKING"),"Hydrocracker",IF($H12185="REFORMING","Reformer",""))))</f>
        <v/>
      </c>
    </row>
    <row r="12186" spans="6:7">
      <c r="F12186" s="6">
        <f>IF($M12186="PADD I","PADD 1",IF($M12186="PADD II","PADD 2",IF($M12186="PADD III","PADD 3",IF($M12186="PADD IV","PADD 4",IF($M12186="PADD V","PADD 5","")))))</f>
        <v/>
      </c>
      <c r="G12186" s="6">
        <f>IF(AND($H12186="ATMOS DISTILLATION",ISNUMBER(SEARCH("VPS",$I12186))=FALSE,LEFT($I12186,6)&lt;&gt;"VACUUM"),"CDU",IF($H12186="FLUID CAT CRACKING","FCC",IF(OR($H12186="HYDROCRACKING",$H12186="RESID_HYDROCRACKING"),"Hydrocracker",IF($H12186="REFORMING","Reformer",""))))</f>
        <v/>
      </c>
    </row>
    <row r="12187" spans="6:7">
      <c r="F12187" s="6">
        <f>IF($M12187="PADD I","PADD 1",IF($M12187="PADD II","PADD 2",IF($M12187="PADD III","PADD 3",IF($M12187="PADD IV","PADD 4",IF($M12187="PADD V","PADD 5","")))))</f>
        <v/>
      </c>
      <c r="G12187" s="6">
        <f>IF(AND($H12187="ATMOS DISTILLATION",ISNUMBER(SEARCH("VPS",$I12187))=FALSE,LEFT($I12187,6)&lt;&gt;"VACUUM"),"CDU",IF($H12187="FLUID CAT CRACKING","FCC",IF(OR($H12187="HYDROCRACKING",$H12187="RESID_HYDROCRACKING"),"Hydrocracker",IF($H12187="REFORMING","Reformer",""))))</f>
        <v/>
      </c>
    </row>
    <row r="12188" spans="6:7">
      <c r="F12188" s="6">
        <f>IF($M12188="PADD I","PADD 1",IF($M12188="PADD II","PADD 2",IF($M12188="PADD III","PADD 3",IF($M12188="PADD IV","PADD 4",IF($M12188="PADD V","PADD 5","")))))</f>
        <v/>
      </c>
      <c r="G12188" s="6">
        <f>IF(AND($H12188="ATMOS DISTILLATION",ISNUMBER(SEARCH("VPS",$I12188))=FALSE,LEFT($I12188,6)&lt;&gt;"VACUUM"),"CDU",IF($H12188="FLUID CAT CRACKING","FCC",IF(OR($H12188="HYDROCRACKING",$H12188="RESID_HYDROCRACKING"),"Hydrocracker",IF($H12188="REFORMING","Reformer",""))))</f>
        <v/>
      </c>
    </row>
    <row r="12189" spans="6:7">
      <c r="F12189" s="6">
        <f>IF($M12189="PADD I","PADD 1",IF($M12189="PADD II","PADD 2",IF($M12189="PADD III","PADD 3",IF($M12189="PADD IV","PADD 4",IF($M12189="PADD V","PADD 5","")))))</f>
        <v/>
      </c>
      <c r="G12189" s="6">
        <f>IF(AND($H12189="ATMOS DISTILLATION",ISNUMBER(SEARCH("VPS",$I12189))=FALSE,LEFT($I12189,6)&lt;&gt;"VACUUM"),"CDU",IF($H12189="FLUID CAT CRACKING","FCC",IF(OR($H12189="HYDROCRACKING",$H12189="RESID_HYDROCRACKING"),"Hydrocracker",IF($H12189="REFORMING","Reformer",""))))</f>
        <v/>
      </c>
    </row>
    <row r="12190" spans="6:7">
      <c r="F12190" s="6">
        <f>IF($M12190="PADD I","PADD 1",IF($M12190="PADD II","PADD 2",IF($M12190="PADD III","PADD 3",IF($M12190="PADD IV","PADD 4",IF($M12190="PADD V","PADD 5","")))))</f>
        <v/>
      </c>
      <c r="G12190" s="6">
        <f>IF(AND($H12190="ATMOS DISTILLATION",ISNUMBER(SEARCH("VPS",$I12190))=FALSE,LEFT($I12190,6)&lt;&gt;"VACUUM"),"CDU",IF($H12190="FLUID CAT CRACKING","FCC",IF(OR($H12190="HYDROCRACKING",$H12190="RESID_HYDROCRACKING"),"Hydrocracker",IF($H12190="REFORMING","Reformer",""))))</f>
        <v/>
      </c>
    </row>
    <row r="12191" spans="6:7">
      <c r="F12191" s="6">
        <f>IF($M12191="PADD I","PADD 1",IF($M12191="PADD II","PADD 2",IF($M12191="PADD III","PADD 3",IF($M12191="PADD IV","PADD 4",IF($M12191="PADD V","PADD 5","")))))</f>
        <v/>
      </c>
      <c r="G12191" s="6">
        <f>IF(AND($H12191="ATMOS DISTILLATION",ISNUMBER(SEARCH("VPS",$I12191))=FALSE,LEFT($I12191,6)&lt;&gt;"VACUUM"),"CDU",IF($H12191="FLUID CAT CRACKING","FCC",IF(OR($H12191="HYDROCRACKING",$H12191="RESID_HYDROCRACKING"),"Hydrocracker",IF($H12191="REFORMING","Reformer",""))))</f>
        <v/>
      </c>
    </row>
    <row r="12192" spans="6:7">
      <c r="F12192" s="6">
        <f>IF($M12192="PADD I","PADD 1",IF($M12192="PADD II","PADD 2",IF($M12192="PADD III","PADD 3",IF($M12192="PADD IV","PADD 4",IF($M12192="PADD V","PADD 5","")))))</f>
        <v/>
      </c>
      <c r="G12192" s="6">
        <f>IF(AND($H12192="ATMOS DISTILLATION",ISNUMBER(SEARCH("VPS",$I12192))=FALSE,LEFT($I12192,6)&lt;&gt;"VACUUM"),"CDU",IF($H12192="FLUID CAT CRACKING","FCC",IF(OR($H12192="HYDROCRACKING",$H12192="RESID_HYDROCRACKING"),"Hydrocracker",IF($H12192="REFORMING","Reformer",""))))</f>
        <v/>
      </c>
    </row>
    <row r="12193" spans="6:7">
      <c r="F12193" s="6">
        <f>IF($M12193="PADD I","PADD 1",IF($M12193="PADD II","PADD 2",IF($M12193="PADD III","PADD 3",IF($M12193="PADD IV","PADD 4",IF($M12193="PADD V","PADD 5","")))))</f>
        <v/>
      </c>
      <c r="G12193" s="6">
        <f>IF(AND($H12193="ATMOS DISTILLATION",ISNUMBER(SEARCH("VPS",$I12193))=FALSE,LEFT($I12193,6)&lt;&gt;"VACUUM"),"CDU",IF($H12193="FLUID CAT CRACKING","FCC",IF(OR($H12193="HYDROCRACKING",$H12193="RESID_HYDROCRACKING"),"Hydrocracker",IF($H12193="REFORMING","Reformer",""))))</f>
        <v/>
      </c>
    </row>
    <row r="12194" spans="6:7">
      <c r="F12194" s="6">
        <f>IF($M12194="PADD I","PADD 1",IF($M12194="PADD II","PADD 2",IF($M12194="PADD III","PADD 3",IF($M12194="PADD IV","PADD 4",IF($M12194="PADD V","PADD 5","")))))</f>
        <v/>
      </c>
      <c r="G12194" s="6">
        <f>IF(AND($H12194="ATMOS DISTILLATION",ISNUMBER(SEARCH("VPS",$I12194))=FALSE,LEFT($I12194,6)&lt;&gt;"VACUUM"),"CDU",IF($H12194="FLUID CAT CRACKING","FCC",IF(OR($H12194="HYDROCRACKING",$H12194="RESID_HYDROCRACKING"),"Hydrocracker",IF($H12194="REFORMING","Reformer",""))))</f>
        <v/>
      </c>
    </row>
    <row r="12195" spans="6:7">
      <c r="F12195" s="6">
        <f>IF($M12195="PADD I","PADD 1",IF($M12195="PADD II","PADD 2",IF($M12195="PADD III","PADD 3",IF($M12195="PADD IV","PADD 4",IF($M12195="PADD V","PADD 5","")))))</f>
        <v/>
      </c>
      <c r="G12195" s="6">
        <f>IF(AND($H12195="ATMOS DISTILLATION",ISNUMBER(SEARCH("VPS",$I12195))=FALSE,LEFT($I12195,6)&lt;&gt;"VACUUM"),"CDU",IF($H12195="FLUID CAT CRACKING","FCC",IF(OR($H12195="HYDROCRACKING",$H12195="RESID_HYDROCRACKING"),"Hydrocracker",IF($H12195="REFORMING","Reformer",""))))</f>
        <v/>
      </c>
    </row>
    <row r="12196" spans="6:7">
      <c r="F12196" s="6">
        <f>IF($M12196="PADD I","PADD 1",IF($M12196="PADD II","PADD 2",IF($M12196="PADD III","PADD 3",IF($M12196="PADD IV","PADD 4",IF($M12196="PADD V","PADD 5","")))))</f>
        <v/>
      </c>
      <c r="G12196" s="6">
        <f>IF(AND($H12196="ATMOS DISTILLATION",ISNUMBER(SEARCH("VPS",$I12196))=FALSE,LEFT($I12196,6)&lt;&gt;"VACUUM"),"CDU",IF($H12196="FLUID CAT CRACKING","FCC",IF(OR($H12196="HYDROCRACKING",$H12196="RESID_HYDROCRACKING"),"Hydrocracker",IF($H12196="REFORMING","Reformer",""))))</f>
        <v/>
      </c>
    </row>
    <row r="12197" spans="6:7">
      <c r="F12197" s="6">
        <f>IF($M12197="PADD I","PADD 1",IF($M12197="PADD II","PADD 2",IF($M12197="PADD III","PADD 3",IF($M12197="PADD IV","PADD 4",IF($M12197="PADD V","PADD 5","")))))</f>
        <v/>
      </c>
      <c r="G12197" s="6">
        <f>IF(AND($H12197="ATMOS DISTILLATION",ISNUMBER(SEARCH("VPS",$I12197))=FALSE,LEFT($I12197,6)&lt;&gt;"VACUUM"),"CDU",IF($H12197="FLUID CAT CRACKING","FCC",IF(OR($H12197="HYDROCRACKING",$H12197="RESID_HYDROCRACKING"),"Hydrocracker",IF($H12197="REFORMING","Reformer",""))))</f>
        <v/>
      </c>
    </row>
    <row r="12198" spans="6:7">
      <c r="F12198" s="6">
        <f>IF($M12198="PADD I","PADD 1",IF($M12198="PADD II","PADD 2",IF($M12198="PADD III","PADD 3",IF($M12198="PADD IV","PADD 4",IF($M12198="PADD V","PADD 5","")))))</f>
        <v/>
      </c>
      <c r="G12198" s="6">
        <f>IF(AND($H12198="ATMOS DISTILLATION",ISNUMBER(SEARCH("VPS",$I12198))=FALSE,LEFT($I12198,6)&lt;&gt;"VACUUM"),"CDU",IF($H12198="FLUID CAT CRACKING","FCC",IF(OR($H12198="HYDROCRACKING",$H12198="RESID_HYDROCRACKING"),"Hydrocracker",IF($H12198="REFORMING","Reformer",""))))</f>
        <v/>
      </c>
    </row>
    <row r="12199" spans="6:7">
      <c r="F12199" s="6">
        <f>IF($M12199="PADD I","PADD 1",IF($M12199="PADD II","PADD 2",IF($M12199="PADD III","PADD 3",IF($M12199="PADD IV","PADD 4",IF($M12199="PADD V","PADD 5","")))))</f>
        <v/>
      </c>
      <c r="G12199" s="6">
        <f>IF(AND($H12199="ATMOS DISTILLATION",ISNUMBER(SEARCH("VPS",$I12199))=FALSE,LEFT($I12199,6)&lt;&gt;"VACUUM"),"CDU",IF($H12199="FLUID CAT CRACKING","FCC",IF(OR($H12199="HYDROCRACKING",$H12199="RESID_HYDROCRACKING"),"Hydrocracker",IF($H12199="REFORMING","Reformer",""))))</f>
        <v/>
      </c>
    </row>
    <row r="12200" spans="6:7">
      <c r="F12200" s="6">
        <f>IF($M12200="PADD I","PADD 1",IF($M12200="PADD II","PADD 2",IF($M12200="PADD III","PADD 3",IF($M12200="PADD IV","PADD 4",IF($M12200="PADD V","PADD 5","")))))</f>
        <v/>
      </c>
      <c r="G12200" s="6">
        <f>IF(AND($H12200="ATMOS DISTILLATION",ISNUMBER(SEARCH("VPS",$I12200))=FALSE,LEFT($I12200,6)&lt;&gt;"VACUUM"),"CDU",IF($H12200="FLUID CAT CRACKING","FCC",IF(OR($H12200="HYDROCRACKING",$H12200="RESID_HYDROCRACKING"),"Hydrocracker",IF($H12200="REFORMING","Reformer",""))))</f>
        <v/>
      </c>
    </row>
    <row r="12201" spans="6:7">
      <c r="F12201" s="6">
        <f>IF($M12201="PADD I","PADD 1",IF($M12201="PADD II","PADD 2",IF($M12201="PADD III","PADD 3",IF($M12201="PADD IV","PADD 4",IF($M12201="PADD V","PADD 5","")))))</f>
        <v/>
      </c>
      <c r="G12201" s="6">
        <f>IF(AND($H12201="ATMOS DISTILLATION",ISNUMBER(SEARCH("VPS",$I12201))=FALSE,LEFT($I12201,6)&lt;&gt;"VACUUM"),"CDU",IF($H12201="FLUID CAT CRACKING","FCC",IF(OR($H12201="HYDROCRACKING",$H12201="RESID_HYDROCRACKING"),"Hydrocracker",IF($H12201="REFORMING","Reformer",""))))</f>
        <v/>
      </c>
    </row>
    <row r="12202" spans="6:7">
      <c r="F12202" s="6">
        <f>IF($M12202="PADD I","PADD 1",IF($M12202="PADD II","PADD 2",IF($M12202="PADD III","PADD 3",IF($M12202="PADD IV","PADD 4",IF($M12202="PADD V","PADD 5","")))))</f>
        <v/>
      </c>
      <c r="G12202" s="6">
        <f>IF(AND($H12202="ATMOS DISTILLATION",ISNUMBER(SEARCH("VPS",$I12202))=FALSE,LEFT($I12202,6)&lt;&gt;"VACUUM"),"CDU",IF($H12202="FLUID CAT CRACKING","FCC",IF(OR($H12202="HYDROCRACKING",$H12202="RESID_HYDROCRACKING"),"Hydrocracker",IF($H12202="REFORMING","Reformer",""))))</f>
        <v/>
      </c>
    </row>
    <row r="12203" spans="6:7">
      <c r="F12203" s="6">
        <f>IF($M12203="PADD I","PADD 1",IF($M12203="PADD II","PADD 2",IF($M12203="PADD III","PADD 3",IF($M12203="PADD IV","PADD 4",IF($M12203="PADD V","PADD 5","")))))</f>
        <v/>
      </c>
      <c r="G12203" s="6">
        <f>IF(AND($H12203="ATMOS DISTILLATION",ISNUMBER(SEARCH("VPS",$I12203))=FALSE,LEFT($I12203,6)&lt;&gt;"VACUUM"),"CDU",IF($H12203="FLUID CAT CRACKING","FCC",IF(OR($H12203="HYDROCRACKING",$H12203="RESID_HYDROCRACKING"),"Hydrocracker",IF($H12203="REFORMING","Reformer",""))))</f>
        <v/>
      </c>
    </row>
    <row r="12204" spans="6:7">
      <c r="F12204" s="6">
        <f>IF($M12204="PADD I","PADD 1",IF($M12204="PADD II","PADD 2",IF($M12204="PADD III","PADD 3",IF($M12204="PADD IV","PADD 4",IF($M12204="PADD V","PADD 5","")))))</f>
        <v/>
      </c>
      <c r="G12204" s="6">
        <f>IF(AND($H12204="ATMOS DISTILLATION",ISNUMBER(SEARCH("VPS",$I12204))=FALSE,LEFT($I12204,6)&lt;&gt;"VACUUM"),"CDU",IF($H12204="FLUID CAT CRACKING","FCC",IF(OR($H12204="HYDROCRACKING",$H12204="RESID_HYDROCRACKING"),"Hydrocracker",IF($H12204="REFORMING","Reformer",""))))</f>
        <v/>
      </c>
    </row>
    <row r="12205" spans="6:7">
      <c r="F12205" s="6">
        <f>IF($M12205="PADD I","PADD 1",IF($M12205="PADD II","PADD 2",IF($M12205="PADD III","PADD 3",IF($M12205="PADD IV","PADD 4",IF($M12205="PADD V","PADD 5","")))))</f>
        <v/>
      </c>
      <c r="G12205" s="6">
        <f>IF(AND($H12205="ATMOS DISTILLATION",ISNUMBER(SEARCH("VPS",$I12205))=FALSE,LEFT($I12205,6)&lt;&gt;"VACUUM"),"CDU",IF($H12205="FLUID CAT CRACKING","FCC",IF(OR($H12205="HYDROCRACKING",$H12205="RESID_HYDROCRACKING"),"Hydrocracker",IF($H12205="REFORMING","Reformer",""))))</f>
        <v/>
      </c>
    </row>
    <row r="12206" spans="6:7">
      <c r="F12206" s="6">
        <f>IF($M12206="PADD I","PADD 1",IF($M12206="PADD II","PADD 2",IF($M12206="PADD III","PADD 3",IF($M12206="PADD IV","PADD 4",IF($M12206="PADD V","PADD 5","")))))</f>
        <v/>
      </c>
      <c r="G12206" s="6">
        <f>IF(AND($H12206="ATMOS DISTILLATION",ISNUMBER(SEARCH("VPS",$I12206))=FALSE,LEFT($I12206,6)&lt;&gt;"VACUUM"),"CDU",IF($H12206="FLUID CAT CRACKING","FCC",IF(OR($H12206="HYDROCRACKING",$H12206="RESID_HYDROCRACKING"),"Hydrocracker",IF($H12206="REFORMING","Reformer",""))))</f>
        <v/>
      </c>
    </row>
    <row r="12207" spans="6:7">
      <c r="F12207" s="6">
        <f>IF($M12207="PADD I","PADD 1",IF($M12207="PADD II","PADD 2",IF($M12207="PADD III","PADD 3",IF($M12207="PADD IV","PADD 4",IF($M12207="PADD V","PADD 5","")))))</f>
        <v/>
      </c>
      <c r="G12207" s="6">
        <f>IF(AND($H12207="ATMOS DISTILLATION",ISNUMBER(SEARCH("VPS",$I12207))=FALSE,LEFT($I12207,6)&lt;&gt;"VACUUM"),"CDU",IF($H12207="FLUID CAT CRACKING","FCC",IF(OR($H12207="HYDROCRACKING",$H12207="RESID_HYDROCRACKING"),"Hydrocracker",IF($H12207="REFORMING","Reformer",""))))</f>
        <v/>
      </c>
    </row>
    <row r="12208" spans="6:7">
      <c r="F12208" s="6">
        <f>IF($M12208="PADD I","PADD 1",IF($M12208="PADD II","PADD 2",IF($M12208="PADD III","PADD 3",IF($M12208="PADD IV","PADD 4",IF($M12208="PADD V","PADD 5","")))))</f>
        <v/>
      </c>
      <c r="G12208" s="6">
        <f>IF(AND($H12208="ATMOS DISTILLATION",ISNUMBER(SEARCH("VPS",$I12208))=FALSE,LEFT($I12208,6)&lt;&gt;"VACUUM"),"CDU",IF($H12208="FLUID CAT CRACKING","FCC",IF(OR($H12208="HYDROCRACKING",$H12208="RESID_HYDROCRACKING"),"Hydrocracker",IF($H12208="REFORMING","Reformer",""))))</f>
        <v/>
      </c>
    </row>
    <row r="12209" spans="6:7">
      <c r="F12209" s="6">
        <f>IF($M12209="PADD I","PADD 1",IF($M12209="PADD II","PADD 2",IF($M12209="PADD III","PADD 3",IF($M12209="PADD IV","PADD 4",IF($M12209="PADD V","PADD 5","")))))</f>
        <v/>
      </c>
      <c r="G12209" s="6">
        <f>IF(AND($H12209="ATMOS DISTILLATION",ISNUMBER(SEARCH("VPS",$I12209))=FALSE,LEFT($I12209,6)&lt;&gt;"VACUUM"),"CDU",IF($H12209="FLUID CAT CRACKING","FCC",IF(OR($H12209="HYDROCRACKING",$H12209="RESID_HYDROCRACKING"),"Hydrocracker",IF($H12209="REFORMING","Reformer",""))))</f>
        <v/>
      </c>
    </row>
    <row r="12210" spans="6:7">
      <c r="F12210" s="6">
        <f>IF($M12210="PADD I","PADD 1",IF($M12210="PADD II","PADD 2",IF($M12210="PADD III","PADD 3",IF($M12210="PADD IV","PADD 4",IF($M12210="PADD V","PADD 5","")))))</f>
        <v/>
      </c>
      <c r="G12210" s="6">
        <f>IF(AND($H12210="ATMOS DISTILLATION",ISNUMBER(SEARCH("VPS",$I12210))=FALSE,LEFT($I12210,6)&lt;&gt;"VACUUM"),"CDU",IF($H12210="FLUID CAT CRACKING","FCC",IF(OR($H12210="HYDROCRACKING",$H12210="RESID_HYDROCRACKING"),"Hydrocracker",IF($H12210="REFORMING","Reformer",""))))</f>
        <v/>
      </c>
    </row>
    <row r="12211" spans="6:7">
      <c r="F12211" s="6">
        <f>IF($M12211="PADD I","PADD 1",IF($M12211="PADD II","PADD 2",IF($M12211="PADD III","PADD 3",IF($M12211="PADD IV","PADD 4",IF($M12211="PADD V","PADD 5","")))))</f>
        <v/>
      </c>
      <c r="G12211" s="6">
        <f>IF(AND($H12211="ATMOS DISTILLATION",ISNUMBER(SEARCH("VPS",$I12211))=FALSE,LEFT($I12211,6)&lt;&gt;"VACUUM"),"CDU",IF($H12211="FLUID CAT CRACKING","FCC",IF(OR($H12211="HYDROCRACKING",$H12211="RESID_HYDROCRACKING"),"Hydrocracker",IF($H12211="REFORMING","Reformer",""))))</f>
        <v/>
      </c>
    </row>
    <row r="12212" spans="6:7">
      <c r="F12212" s="6">
        <f>IF($M12212="PADD I","PADD 1",IF($M12212="PADD II","PADD 2",IF($M12212="PADD III","PADD 3",IF($M12212="PADD IV","PADD 4",IF($M12212="PADD V","PADD 5","")))))</f>
        <v/>
      </c>
      <c r="G12212" s="6">
        <f>IF(AND($H12212="ATMOS DISTILLATION",ISNUMBER(SEARCH("VPS",$I12212))=FALSE,LEFT($I12212,6)&lt;&gt;"VACUUM"),"CDU",IF($H12212="FLUID CAT CRACKING","FCC",IF(OR($H12212="HYDROCRACKING",$H12212="RESID_HYDROCRACKING"),"Hydrocracker",IF($H12212="REFORMING","Reformer",""))))</f>
        <v/>
      </c>
    </row>
    <row r="12213" spans="6:7">
      <c r="F12213" s="6">
        <f>IF($M12213="PADD I","PADD 1",IF($M12213="PADD II","PADD 2",IF($M12213="PADD III","PADD 3",IF($M12213="PADD IV","PADD 4",IF($M12213="PADD V","PADD 5","")))))</f>
        <v/>
      </c>
      <c r="G12213" s="6">
        <f>IF(AND($H12213="ATMOS DISTILLATION",ISNUMBER(SEARCH("VPS",$I12213))=FALSE,LEFT($I12213,6)&lt;&gt;"VACUUM"),"CDU",IF($H12213="FLUID CAT CRACKING","FCC",IF(OR($H12213="HYDROCRACKING",$H12213="RESID_HYDROCRACKING"),"Hydrocracker",IF($H12213="REFORMING","Reformer",""))))</f>
        <v/>
      </c>
    </row>
    <row r="12214" spans="6:7">
      <c r="F12214" s="6">
        <f>IF($M12214="PADD I","PADD 1",IF($M12214="PADD II","PADD 2",IF($M12214="PADD III","PADD 3",IF($M12214="PADD IV","PADD 4",IF($M12214="PADD V","PADD 5","")))))</f>
        <v/>
      </c>
      <c r="G12214" s="6">
        <f>IF(AND($H12214="ATMOS DISTILLATION",ISNUMBER(SEARCH("VPS",$I12214))=FALSE,LEFT($I12214,6)&lt;&gt;"VACUUM"),"CDU",IF($H12214="FLUID CAT CRACKING","FCC",IF(OR($H12214="HYDROCRACKING",$H12214="RESID_HYDROCRACKING"),"Hydrocracker",IF($H12214="REFORMING","Reformer",""))))</f>
        <v/>
      </c>
    </row>
    <row r="12215" spans="6:7">
      <c r="F12215" s="6">
        <f>IF($M12215="PADD I","PADD 1",IF($M12215="PADD II","PADD 2",IF($M12215="PADD III","PADD 3",IF($M12215="PADD IV","PADD 4",IF($M12215="PADD V","PADD 5","")))))</f>
        <v/>
      </c>
      <c r="G12215" s="6">
        <f>IF(AND($H12215="ATMOS DISTILLATION",ISNUMBER(SEARCH("VPS",$I12215))=FALSE,LEFT($I12215,6)&lt;&gt;"VACUUM"),"CDU",IF($H12215="FLUID CAT CRACKING","FCC",IF(OR($H12215="HYDROCRACKING",$H12215="RESID_HYDROCRACKING"),"Hydrocracker",IF($H12215="REFORMING","Reformer",""))))</f>
        <v/>
      </c>
    </row>
    <row r="12216" spans="6:7">
      <c r="F12216" s="6">
        <f>IF($M12216="PADD I","PADD 1",IF($M12216="PADD II","PADD 2",IF($M12216="PADD III","PADD 3",IF($M12216="PADD IV","PADD 4",IF($M12216="PADD V","PADD 5","")))))</f>
        <v/>
      </c>
      <c r="G12216" s="6">
        <f>IF(AND($H12216="ATMOS DISTILLATION",ISNUMBER(SEARCH("VPS",$I12216))=FALSE,LEFT($I12216,6)&lt;&gt;"VACUUM"),"CDU",IF($H12216="FLUID CAT CRACKING","FCC",IF(OR($H12216="HYDROCRACKING",$H12216="RESID_HYDROCRACKING"),"Hydrocracker",IF($H12216="REFORMING","Reformer",""))))</f>
        <v/>
      </c>
    </row>
    <row r="12217" spans="6:7">
      <c r="F12217" s="6">
        <f>IF($M12217="PADD I","PADD 1",IF($M12217="PADD II","PADD 2",IF($M12217="PADD III","PADD 3",IF($M12217="PADD IV","PADD 4",IF($M12217="PADD V","PADD 5","")))))</f>
        <v/>
      </c>
      <c r="G12217" s="6">
        <f>IF(AND($H12217="ATMOS DISTILLATION",ISNUMBER(SEARCH("VPS",$I12217))=FALSE,LEFT($I12217,6)&lt;&gt;"VACUUM"),"CDU",IF($H12217="FLUID CAT CRACKING","FCC",IF(OR($H12217="HYDROCRACKING",$H12217="RESID_HYDROCRACKING"),"Hydrocracker",IF($H12217="REFORMING","Reformer",""))))</f>
        <v/>
      </c>
    </row>
    <row r="12218" spans="6:7">
      <c r="F12218" s="6">
        <f>IF($M12218="PADD I","PADD 1",IF($M12218="PADD II","PADD 2",IF($M12218="PADD III","PADD 3",IF($M12218="PADD IV","PADD 4",IF($M12218="PADD V","PADD 5","")))))</f>
        <v/>
      </c>
      <c r="G12218" s="6">
        <f>IF(AND($H12218="ATMOS DISTILLATION",ISNUMBER(SEARCH("VPS",$I12218))=FALSE,LEFT($I12218,6)&lt;&gt;"VACUUM"),"CDU",IF($H12218="FLUID CAT CRACKING","FCC",IF(OR($H12218="HYDROCRACKING",$H12218="RESID_HYDROCRACKING"),"Hydrocracker",IF($H12218="REFORMING","Reformer",""))))</f>
        <v/>
      </c>
    </row>
    <row r="12219" spans="6:7">
      <c r="F12219" s="6">
        <f>IF($M12219="PADD I","PADD 1",IF($M12219="PADD II","PADD 2",IF($M12219="PADD III","PADD 3",IF($M12219="PADD IV","PADD 4",IF($M12219="PADD V","PADD 5","")))))</f>
        <v/>
      </c>
      <c r="G12219" s="6">
        <f>IF(AND($H12219="ATMOS DISTILLATION",ISNUMBER(SEARCH("VPS",$I12219))=FALSE,LEFT($I12219,6)&lt;&gt;"VACUUM"),"CDU",IF($H12219="FLUID CAT CRACKING","FCC",IF(OR($H12219="HYDROCRACKING",$H12219="RESID_HYDROCRACKING"),"Hydrocracker",IF($H12219="REFORMING","Reformer",""))))</f>
        <v/>
      </c>
    </row>
    <row r="12220" spans="6:7">
      <c r="F12220" s="6">
        <f>IF($M12220="PADD I","PADD 1",IF($M12220="PADD II","PADD 2",IF($M12220="PADD III","PADD 3",IF($M12220="PADD IV","PADD 4",IF($M12220="PADD V","PADD 5","")))))</f>
        <v/>
      </c>
      <c r="G12220" s="6">
        <f>IF(AND($H12220="ATMOS DISTILLATION",ISNUMBER(SEARCH("VPS",$I12220))=FALSE,LEFT($I12220,6)&lt;&gt;"VACUUM"),"CDU",IF($H12220="FLUID CAT CRACKING","FCC",IF(OR($H12220="HYDROCRACKING",$H12220="RESID_HYDROCRACKING"),"Hydrocracker",IF($H12220="REFORMING","Reformer",""))))</f>
        <v/>
      </c>
    </row>
    <row r="12221" spans="6:7">
      <c r="F12221" s="6">
        <f>IF($M12221="PADD I","PADD 1",IF($M12221="PADD II","PADD 2",IF($M12221="PADD III","PADD 3",IF($M12221="PADD IV","PADD 4",IF($M12221="PADD V","PADD 5","")))))</f>
        <v/>
      </c>
      <c r="G12221" s="6">
        <f>IF(AND($H12221="ATMOS DISTILLATION",ISNUMBER(SEARCH("VPS",$I12221))=FALSE,LEFT($I12221,6)&lt;&gt;"VACUUM"),"CDU",IF($H12221="FLUID CAT CRACKING","FCC",IF(OR($H12221="HYDROCRACKING",$H12221="RESID_HYDROCRACKING"),"Hydrocracker",IF($H12221="REFORMING","Reformer",""))))</f>
        <v/>
      </c>
    </row>
    <row r="12222" spans="6:7">
      <c r="F12222" s="6">
        <f>IF($M12222="PADD I","PADD 1",IF($M12222="PADD II","PADD 2",IF($M12222="PADD III","PADD 3",IF($M12222="PADD IV","PADD 4",IF($M12222="PADD V","PADD 5","")))))</f>
        <v/>
      </c>
      <c r="G12222" s="6">
        <f>IF(AND($H12222="ATMOS DISTILLATION",ISNUMBER(SEARCH("VPS",$I12222))=FALSE,LEFT($I12222,6)&lt;&gt;"VACUUM"),"CDU",IF($H12222="FLUID CAT CRACKING","FCC",IF(OR($H12222="HYDROCRACKING",$H12222="RESID_HYDROCRACKING"),"Hydrocracker",IF($H12222="REFORMING","Reformer",""))))</f>
        <v/>
      </c>
    </row>
    <row r="12223" spans="6:7">
      <c r="F12223" s="6">
        <f>IF($M12223="PADD I","PADD 1",IF($M12223="PADD II","PADD 2",IF($M12223="PADD III","PADD 3",IF($M12223="PADD IV","PADD 4",IF($M12223="PADD V","PADD 5","")))))</f>
        <v/>
      </c>
      <c r="G12223" s="6">
        <f>IF(AND($H12223="ATMOS DISTILLATION",ISNUMBER(SEARCH("VPS",$I12223))=FALSE,LEFT($I12223,6)&lt;&gt;"VACUUM"),"CDU",IF($H12223="FLUID CAT CRACKING","FCC",IF(OR($H12223="HYDROCRACKING",$H12223="RESID_HYDROCRACKING"),"Hydrocracker",IF($H12223="REFORMING","Reformer",""))))</f>
        <v/>
      </c>
    </row>
    <row r="12224" spans="6:7">
      <c r="F12224" s="6">
        <f>IF($M12224="PADD I","PADD 1",IF($M12224="PADD II","PADD 2",IF($M12224="PADD III","PADD 3",IF($M12224="PADD IV","PADD 4",IF($M12224="PADD V","PADD 5","")))))</f>
        <v/>
      </c>
      <c r="G12224" s="6">
        <f>IF(AND($H12224="ATMOS DISTILLATION",ISNUMBER(SEARCH("VPS",$I12224))=FALSE,LEFT($I12224,6)&lt;&gt;"VACUUM"),"CDU",IF($H12224="FLUID CAT CRACKING","FCC",IF(OR($H12224="HYDROCRACKING",$H12224="RESID_HYDROCRACKING"),"Hydrocracker",IF($H12224="REFORMING","Reformer",""))))</f>
        <v/>
      </c>
    </row>
    <row r="12225" spans="6:7">
      <c r="F12225" s="6">
        <f>IF($M12225="PADD I","PADD 1",IF($M12225="PADD II","PADD 2",IF($M12225="PADD III","PADD 3",IF($M12225="PADD IV","PADD 4",IF($M12225="PADD V","PADD 5","")))))</f>
        <v/>
      </c>
      <c r="G12225" s="6">
        <f>IF(AND($H12225="ATMOS DISTILLATION",ISNUMBER(SEARCH("VPS",$I12225))=FALSE,LEFT($I12225,6)&lt;&gt;"VACUUM"),"CDU",IF($H12225="FLUID CAT CRACKING","FCC",IF(OR($H12225="HYDROCRACKING",$H12225="RESID_HYDROCRACKING"),"Hydrocracker",IF($H12225="REFORMING","Reformer",""))))</f>
        <v/>
      </c>
    </row>
    <row r="12226" spans="6:7">
      <c r="F12226" s="6">
        <f>IF($M12226="PADD I","PADD 1",IF($M12226="PADD II","PADD 2",IF($M12226="PADD III","PADD 3",IF($M12226="PADD IV","PADD 4",IF($M12226="PADD V","PADD 5","")))))</f>
        <v/>
      </c>
      <c r="G12226" s="6">
        <f>IF(AND($H12226="ATMOS DISTILLATION",ISNUMBER(SEARCH("VPS",$I12226))=FALSE,LEFT($I12226,6)&lt;&gt;"VACUUM"),"CDU",IF($H12226="FLUID CAT CRACKING","FCC",IF(OR($H12226="HYDROCRACKING",$H12226="RESID_HYDROCRACKING"),"Hydrocracker",IF($H12226="REFORMING","Reformer",""))))</f>
        <v/>
      </c>
    </row>
    <row r="12227" spans="6:7">
      <c r="F12227" s="6">
        <f>IF($M12227="PADD I","PADD 1",IF($M12227="PADD II","PADD 2",IF($M12227="PADD III","PADD 3",IF($M12227="PADD IV","PADD 4",IF($M12227="PADD V","PADD 5","")))))</f>
        <v/>
      </c>
      <c r="G12227" s="6">
        <f>IF(AND($H12227="ATMOS DISTILLATION",ISNUMBER(SEARCH("VPS",$I12227))=FALSE,LEFT($I12227,6)&lt;&gt;"VACUUM"),"CDU",IF($H12227="FLUID CAT CRACKING","FCC",IF(OR($H12227="HYDROCRACKING",$H12227="RESID_HYDROCRACKING"),"Hydrocracker",IF($H12227="REFORMING","Reformer",""))))</f>
        <v/>
      </c>
    </row>
    <row r="12228" spans="6:7">
      <c r="F12228" s="6">
        <f>IF($M12228="PADD I","PADD 1",IF($M12228="PADD II","PADD 2",IF($M12228="PADD III","PADD 3",IF($M12228="PADD IV","PADD 4",IF($M12228="PADD V","PADD 5","")))))</f>
        <v/>
      </c>
      <c r="G12228" s="6">
        <f>IF(AND($H12228="ATMOS DISTILLATION",ISNUMBER(SEARCH("VPS",$I12228))=FALSE,LEFT($I12228,6)&lt;&gt;"VACUUM"),"CDU",IF($H12228="FLUID CAT CRACKING","FCC",IF(OR($H12228="HYDROCRACKING",$H12228="RESID_HYDROCRACKING"),"Hydrocracker",IF($H12228="REFORMING","Reformer",""))))</f>
        <v/>
      </c>
    </row>
    <row r="12229" spans="6:7">
      <c r="F12229" s="6">
        <f>IF($M12229="PADD I","PADD 1",IF($M12229="PADD II","PADD 2",IF($M12229="PADD III","PADD 3",IF($M12229="PADD IV","PADD 4",IF($M12229="PADD V","PADD 5","")))))</f>
        <v/>
      </c>
      <c r="G12229" s="6">
        <f>IF(AND($H12229="ATMOS DISTILLATION",ISNUMBER(SEARCH("VPS",$I12229))=FALSE,LEFT($I12229,6)&lt;&gt;"VACUUM"),"CDU",IF($H12229="FLUID CAT CRACKING","FCC",IF(OR($H12229="HYDROCRACKING",$H12229="RESID_HYDROCRACKING"),"Hydrocracker",IF($H12229="REFORMING","Reformer",""))))</f>
        <v/>
      </c>
    </row>
    <row r="12230" spans="6:7">
      <c r="F12230" s="6">
        <f>IF($M12230="PADD I","PADD 1",IF($M12230="PADD II","PADD 2",IF($M12230="PADD III","PADD 3",IF($M12230="PADD IV","PADD 4",IF($M12230="PADD V","PADD 5","")))))</f>
        <v/>
      </c>
      <c r="G12230" s="6">
        <f>IF(AND($H12230="ATMOS DISTILLATION",ISNUMBER(SEARCH("VPS",$I12230))=FALSE,LEFT($I12230,6)&lt;&gt;"VACUUM"),"CDU",IF($H12230="FLUID CAT CRACKING","FCC",IF(OR($H12230="HYDROCRACKING",$H12230="RESID_HYDROCRACKING"),"Hydrocracker",IF($H12230="REFORMING","Reformer",""))))</f>
        <v/>
      </c>
    </row>
    <row r="12231" spans="6:7">
      <c r="F12231" s="6">
        <f>IF($M12231="PADD I","PADD 1",IF($M12231="PADD II","PADD 2",IF($M12231="PADD III","PADD 3",IF($M12231="PADD IV","PADD 4",IF($M12231="PADD V","PADD 5","")))))</f>
        <v/>
      </c>
      <c r="G12231" s="6">
        <f>IF(AND($H12231="ATMOS DISTILLATION",ISNUMBER(SEARCH("VPS",$I12231))=FALSE,LEFT($I12231,6)&lt;&gt;"VACUUM"),"CDU",IF($H12231="FLUID CAT CRACKING","FCC",IF(OR($H12231="HYDROCRACKING",$H12231="RESID_HYDROCRACKING"),"Hydrocracker",IF($H12231="REFORMING","Reformer",""))))</f>
        <v/>
      </c>
    </row>
    <row r="12232" spans="6:7">
      <c r="F12232" s="6">
        <f>IF($M12232="PADD I","PADD 1",IF($M12232="PADD II","PADD 2",IF($M12232="PADD III","PADD 3",IF($M12232="PADD IV","PADD 4",IF($M12232="PADD V","PADD 5","")))))</f>
        <v/>
      </c>
      <c r="G12232" s="6">
        <f>IF(AND($H12232="ATMOS DISTILLATION",ISNUMBER(SEARCH("VPS",$I12232))=FALSE,LEFT($I12232,6)&lt;&gt;"VACUUM"),"CDU",IF($H12232="FLUID CAT CRACKING","FCC",IF(OR($H12232="HYDROCRACKING",$H12232="RESID_HYDROCRACKING"),"Hydrocracker",IF($H12232="REFORMING","Reformer",""))))</f>
        <v/>
      </c>
    </row>
    <row r="12233" spans="6:7">
      <c r="F12233" s="6">
        <f>IF($M12233="PADD I","PADD 1",IF($M12233="PADD II","PADD 2",IF($M12233="PADD III","PADD 3",IF($M12233="PADD IV","PADD 4",IF($M12233="PADD V","PADD 5","")))))</f>
        <v/>
      </c>
      <c r="G12233" s="6">
        <f>IF(AND($H12233="ATMOS DISTILLATION",ISNUMBER(SEARCH("VPS",$I12233))=FALSE,LEFT($I12233,6)&lt;&gt;"VACUUM"),"CDU",IF($H12233="FLUID CAT CRACKING","FCC",IF(OR($H12233="HYDROCRACKING",$H12233="RESID_HYDROCRACKING"),"Hydrocracker",IF($H12233="REFORMING","Reformer",""))))</f>
        <v/>
      </c>
    </row>
    <row r="12234" spans="6:7">
      <c r="F12234" s="6">
        <f>IF($M12234="PADD I","PADD 1",IF($M12234="PADD II","PADD 2",IF($M12234="PADD III","PADD 3",IF($M12234="PADD IV","PADD 4",IF($M12234="PADD V","PADD 5","")))))</f>
        <v/>
      </c>
      <c r="G12234" s="6">
        <f>IF(AND($H12234="ATMOS DISTILLATION",ISNUMBER(SEARCH("VPS",$I12234))=FALSE,LEFT($I12234,6)&lt;&gt;"VACUUM"),"CDU",IF($H12234="FLUID CAT CRACKING","FCC",IF(OR($H12234="HYDROCRACKING",$H12234="RESID_HYDROCRACKING"),"Hydrocracker",IF($H12234="REFORMING","Reformer",""))))</f>
        <v/>
      </c>
    </row>
    <row r="12235" spans="6:7">
      <c r="F12235" s="6">
        <f>IF($M12235="PADD I","PADD 1",IF($M12235="PADD II","PADD 2",IF($M12235="PADD III","PADD 3",IF($M12235="PADD IV","PADD 4",IF($M12235="PADD V","PADD 5","")))))</f>
        <v/>
      </c>
      <c r="G12235" s="6">
        <f>IF(AND($H12235="ATMOS DISTILLATION",ISNUMBER(SEARCH("VPS",$I12235))=FALSE,LEFT($I12235,6)&lt;&gt;"VACUUM"),"CDU",IF($H12235="FLUID CAT CRACKING","FCC",IF(OR($H12235="HYDROCRACKING",$H12235="RESID_HYDROCRACKING"),"Hydrocracker",IF($H12235="REFORMING","Reformer",""))))</f>
        <v/>
      </c>
    </row>
    <row r="12236" spans="6:7">
      <c r="F12236" s="6">
        <f>IF($M12236="PADD I","PADD 1",IF($M12236="PADD II","PADD 2",IF($M12236="PADD III","PADD 3",IF($M12236="PADD IV","PADD 4",IF($M12236="PADD V","PADD 5","")))))</f>
        <v/>
      </c>
      <c r="G12236" s="6">
        <f>IF(AND($H12236="ATMOS DISTILLATION",ISNUMBER(SEARCH("VPS",$I12236))=FALSE,LEFT($I12236,6)&lt;&gt;"VACUUM"),"CDU",IF($H12236="FLUID CAT CRACKING","FCC",IF(OR($H12236="HYDROCRACKING",$H12236="RESID_HYDROCRACKING"),"Hydrocracker",IF($H12236="REFORMING","Reformer",""))))</f>
        <v/>
      </c>
    </row>
    <row r="12237" spans="6:7">
      <c r="F12237" s="6">
        <f>IF($M12237="PADD I","PADD 1",IF($M12237="PADD II","PADD 2",IF($M12237="PADD III","PADD 3",IF($M12237="PADD IV","PADD 4",IF($M12237="PADD V","PADD 5","")))))</f>
        <v/>
      </c>
      <c r="G12237" s="6">
        <f>IF(AND($H12237="ATMOS DISTILLATION",ISNUMBER(SEARCH("VPS",$I12237))=FALSE,LEFT($I12237,6)&lt;&gt;"VACUUM"),"CDU",IF($H12237="FLUID CAT CRACKING","FCC",IF(OR($H12237="HYDROCRACKING",$H12237="RESID_HYDROCRACKING"),"Hydrocracker",IF($H12237="REFORMING","Reformer",""))))</f>
        <v/>
      </c>
    </row>
    <row r="12238" spans="6:7">
      <c r="F12238" s="6">
        <f>IF($M12238="PADD I","PADD 1",IF($M12238="PADD II","PADD 2",IF($M12238="PADD III","PADD 3",IF($M12238="PADD IV","PADD 4",IF($M12238="PADD V","PADD 5","")))))</f>
        <v/>
      </c>
      <c r="G12238" s="6">
        <f>IF(AND($H12238="ATMOS DISTILLATION",ISNUMBER(SEARCH("VPS",$I12238))=FALSE,LEFT($I12238,6)&lt;&gt;"VACUUM"),"CDU",IF($H12238="FLUID CAT CRACKING","FCC",IF(OR($H12238="HYDROCRACKING",$H12238="RESID_HYDROCRACKING"),"Hydrocracker",IF($H12238="REFORMING","Reformer",""))))</f>
        <v/>
      </c>
    </row>
    <row r="12239" spans="6:7">
      <c r="F12239" s="6">
        <f>IF($M12239="PADD I","PADD 1",IF($M12239="PADD II","PADD 2",IF($M12239="PADD III","PADD 3",IF($M12239="PADD IV","PADD 4",IF($M12239="PADD V","PADD 5","")))))</f>
        <v/>
      </c>
      <c r="G12239" s="6">
        <f>IF(AND($H12239="ATMOS DISTILLATION",ISNUMBER(SEARCH("VPS",$I12239))=FALSE,LEFT($I12239,6)&lt;&gt;"VACUUM"),"CDU",IF($H12239="FLUID CAT CRACKING","FCC",IF(OR($H12239="HYDROCRACKING",$H12239="RESID_HYDROCRACKING"),"Hydrocracker",IF($H12239="REFORMING","Reformer",""))))</f>
        <v/>
      </c>
    </row>
    <row r="12240" spans="6:7">
      <c r="F12240" s="6">
        <f>IF($M12240="PADD I","PADD 1",IF($M12240="PADD II","PADD 2",IF($M12240="PADD III","PADD 3",IF($M12240="PADD IV","PADD 4",IF($M12240="PADD V","PADD 5","")))))</f>
        <v/>
      </c>
      <c r="G12240" s="6">
        <f>IF(AND($H12240="ATMOS DISTILLATION",ISNUMBER(SEARCH("VPS",$I12240))=FALSE,LEFT($I12240,6)&lt;&gt;"VACUUM"),"CDU",IF($H12240="FLUID CAT CRACKING","FCC",IF(OR($H12240="HYDROCRACKING",$H12240="RESID_HYDROCRACKING"),"Hydrocracker",IF($H12240="REFORMING","Reformer",""))))</f>
        <v/>
      </c>
    </row>
    <row r="12241" spans="6:7">
      <c r="F12241" s="6">
        <f>IF($M12241="PADD I","PADD 1",IF($M12241="PADD II","PADD 2",IF($M12241="PADD III","PADD 3",IF($M12241="PADD IV","PADD 4",IF($M12241="PADD V","PADD 5","")))))</f>
        <v/>
      </c>
      <c r="G12241" s="6">
        <f>IF(AND($H12241="ATMOS DISTILLATION",ISNUMBER(SEARCH("VPS",$I12241))=FALSE,LEFT($I12241,6)&lt;&gt;"VACUUM"),"CDU",IF($H12241="FLUID CAT CRACKING","FCC",IF(OR($H12241="HYDROCRACKING",$H12241="RESID_HYDROCRACKING"),"Hydrocracker",IF($H12241="REFORMING","Reformer",""))))</f>
        <v/>
      </c>
    </row>
    <row r="12242" spans="6:7">
      <c r="F12242" s="6">
        <f>IF($M12242="PADD I","PADD 1",IF($M12242="PADD II","PADD 2",IF($M12242="PADD III","PADD 3",IF($M12242="PADD IV","PADD 4",IF($M12242="PADD V","PADD 5","")))))</f>
        <v/>
      </c>
      <c r="G12242" s="6">
        <f>IF(AND($H12242="ATMOS DISTILLATION",ISNUMBER(SEARCH("VPS",$I12242))=FALSE,LEFT($I12242,6)&lt;&gt;"VACUUM"),"CDU",IF($H12242="FLUID CAT CRACKING","FCC",IF(OR($H12242="HYDROCRACKING",$H12242="RESID_HYDROCRACKING"),"Hydrocracker",IF($H12242="REFORMING","Reformer",""))))</f>
        <v/>
      </c>
    </row>
    <row r="12243" spans="6:7">
      <c r="F12243" s="6">
        <f>IF($M12243="PADD I","PADD 1",IF($M12243="PADD II","PADD 2",IF($M12243="PADD III","PADD 3",IF($M12243="PADD IV","PADD 4",IF($M12243="PADD V","PADD 5","")))))</f>
        <v/>
      </c>
      <c r="G12243" s="6">
        <f>IF(AND($H12243="ATMOS DISTILLATION",ISNUMBER(SEARCH("VPS",$I12243))=FALSE,LEFT($I12243,6)&lt;&gt;"VACUUM"),"CDU",IF($H12243="FLUID CAT CRACKING","FCC",IF(OR($H12243="HYDROCRACKING",$H12243="RESID_HYDROCRACKING"),"Hydrocracker",IF($H12243="REFORMING","Reformer",""))))</f>
        <v/>
      </c>
    </row>
    <row r="12244" spans="6:7">
      <c r="F12244" s="6">
        <f>IF($M12244="PADD I","PADD 1",IF($M12244="PADD II","PADD 2",IF($M12244="PADD III","PADD 3",IF($M12244="PADD IV","PADD 4",IF($M12244="PADD V","PADD 5","")))))</f>
        <v/>
      </c>
      <c r="G12244" s="6">
        <f>IF(AND($H12244="ATMOS DISTILLATION",ISNUMBER(SEARCH("VPS",$I12244))=FALSE,LEFT($I12244,6)&lt;&gt;"VACUUM"),"CDU",IF($H12244="FLUID CAT CRACKING","FCC",IF(OR($H12244="HYDROCRACKING",$H12244="RESID_HYDROCRACKING"),"Hydrocracker",IF($H12244="REFORMING","Reformer",""))))</f>
        <v/>
      </c>
    </row>
    <row r="12245" spans="6:7">
      <c r="F12245" s="6">
        <f>IF($M12245="PADD I","PADD 1",IF($M12245="PADD II","PADD 2",IF($M12245="PADD III","PADD 3",IF($M12245="PADD IV","PADD 4",IF($M12245="PADD V","PADD 5","")))))</f>
        <v/>
      </c>
      <c r="G12245" s="6">
        <f>IF(AND($H12245="ATMOS DISTILLATION",ISNUMBER(SEARCH("VPS",$I12245))=FALSE,LEFT($I12245,6)&lt;&gt;"VACUUM"),"CDU",IF($H12245="FLUID CAT CRACKING","FCC",IF(OR($H12245="HYDROCRACKING",$H12245="RESID_HYDROCRACKING"),"Hydrocracker",IF($H12245="REFORMING","Reformer",""))))</f>
        <v/>
      </c>
    </row>
    <row r="12246" spans="6:7">
      <c r="F12246" s="6">
        <f>IF($M12246="PADD I","PADD 1",IF($M12246="PADD II","PADD 2",IF($M12246="PADD III","PADD 3",IF($M12246="PADD IV","PADD 4",IF($M12246="PADD V","PADD 5","")))))</f>
        <v/>
      </c>
      <c r="G12246" s="6">
        <f>IF(AND($H12246="ATMOS DISTILLATION",ISNUMBER(SEARCH("VPS",$I12246))=FALSE,LEFT($I12246,6)&lt;&gt;"VACUUM"),"CDU",IF($H12246="FLUID CAT CRACKING","FCC",IF(OR($H12246="HYDROCRACKING",$H12246="RESID_HYDROCRACKING"),"Hydrocracker",IF($H12246="REFORMING","Reformer",""))))</f>
        <v/>
      </c>
    </row>
    <row r="12247" spans="6:7">
      <c r="F12247" s="6">
        <f>IF($M12247="PADD I","PADD 1",IF($M12247="PADD II","PADD 2",IF($M12247="PADD III","PADD 3",IF($M12247="PADD IV","PADD 4",IF($M12247="PADD V","PADD 5","")))))</f>
        <v/>
      </c>
      <c r="G12247" s="6">
        <f>IF(AND($H12247="ATMOS DISTILLATION",ISNUMBER(SEARCH("VPS",$I12247))=FALSE,LEFT($I12247,6)&lt;&gt;"VACUUM"),"CDU",IF($H12247="FLUID CAT CRACKING","FCC",IF(OR($H12247="HYDROCRACKING",$H12247="RESID_HYDROCRACKING"),"Hydrocracker",IF($H12247="REFORMING","Reformer",""))))</f>
        <v/>
      </c>
    </row>
    <row r="12248" spans="6:7">
      <c r="F12248" s="6">
        <f>IF($M12248="PADD I","PADD 1",IF($M12248="PADD II","PADD 2",IF($M12248="PADD III","PADD 3",IF($M12248="PADD IV","PADD 4",IF($M12248="PADD V","PADD 5","")))))</f>
        <v/>
      </c>
      <c r="G12248" s="6">
        <f>IF(AND($H12248="ATMOS DISTILLATION",ISNUMBER(SEARCH("VPS",$I12248))=FALSE,LEFT($I12248,6)&lt;&gt;"VACUUM"),"CDU",IF($H12248="FLUID CAT CRACKING","FCC",IF(OR($H12248="HYDROCRACKING",$H12248="RESID_HYDROCRACKING"),"Hydrocracker",IF($H12248="REFORMING","Reformer",""))))</f>
        <v/>
      </c>
    </row>
    <row r="12249" spans="6:7">
      <c r="F12249" s="6">
        <f>IF($M12249="PADD I","PADD 1",IF($M12249="PADD II","PADD 2",IF($M12249="PADD III","PADD 3",IF($M12249="PADD IV","PADD 4",IF($M12249="PADD V","PADD 5","")))))</f>
        <v/>
      </c>
      <c r="G12249" s="6">
        <f>IF(AND($H12249="ATMOS DISTILLATION",ISNUMBER(SEARCH("VPS",$I12249))=FALSE,LEFT($I12249,6)&lt;&gt;"VACUUM"),"CDU",IF($H12249="FLUID CAT CRACKING","FCC",IF(OR($H12249="HYDROCRACKING",$H12249="RESID_HYDROCRACKING"),"Hydrocracker",IF($H12249="REFORMING","Reformer",""))))</f>
        <v/>
      </c>
    </row>
    <row r="12250" spans="6:7">
      <c r="F12250" s="6">
        <f>IF($M12250="PADD I","PADD 1",IF($M12250="PADD II","PADD 2",IF($M12250="PADD III","PADD 3",IF($M12250="PADD IV","PADD 4",IF($M12250="PADD V","PADD 5","")))))</f>
        <v/>
      </c>
      <c r="G12250" s="6">
        <f>IF(AND($H12250="ATMOS DISTILLATION",ISNUMBER(SEARCH("VPS",$I12250))=FALSE,LEFT($I12250,6)&lt;&gt;"VACUUM"),"CDU",IF($H12250="FLUID CAT CRACKING","FCC",IF(OR($H12250="HYDROCRACKING",$H12250="RESID_HYDROCRACKING"),"Hydrocracker",IF($H12250="REFORMING","Reformer",""))))</f>
        <v/>
      </c>
    </row>
    <row r="12251" spans="6:7">
      <c r="F12251" s="6">
        <f>IF($M12251="PADD I","PADD 1",IF($M12251="PADD II","PADD 2",IF($M12251="PADD III","PADD 3",IF($M12251="PADD IV","PADD 4",IF($M12251="PADD V","PADD 5","")))))</f>
        <v/>
      </c>
      <c r="G12251" s="6">
        <f>IF(AND($H12251="ATMOS DISTILLATION",ISNUMBER(SEARCH("VPS",$I12251))=FALSE,LEFT($I12251,6)&lt;&gt;"VACUUM"),"CDU",IF($H12251="FLUID CAT CRACKING","FCC",IF(OR($H12251="HYDROCRACKING",$H12251="RESID_HYDROCRACKING"),"Hydrocracker",IF($H12251="REFORMING","Reformer",""))))</f>
        <v/>
      </c>
    </row>
    <row r="12252" spans="6:7">
      <c r="F12252" s="6">
        <f>IF($M12252="PADD I","PADD 1",IF($M12252="PADD II","PADD 2",IF($M12252="PADD III","PADD 3",IF($M12252="PADD IV","PADD 4",IF($M12252="PADD V","PADD 5","")))))</f>
        <v/>
      </c>
      <c r="G12252" s="6">
        <f>IF(AND($H12252="ATMOS DISTILLATION",ISNUMBER(SEARCH("VPS",$I12252))=FALSE,LEFT($I12252,6)&lt;&gt;"VACUUM"),"CDU",IF($H12252="FLUID CAT CRACKING","FCC",IF(OR($H12252="HYDROCRACKING",$H12252="RESID_HYDROCRACKING"),"Hydrocracker",IF($H12252="REFORMING","Reformer",""))))</f>
        <v/>
      </c>
    </row>
    <row r="12253" spans="6:7">
      <c r="F12253" s="6">
        <f>IF($M12253="PADD I","PADD 1",IF($M12253="PADD II","PADD 2",IF($M12253="PADD III","PADD 3",IF($M12253="PADD IV","PADD 4",IF($M12253="PADD V","PADD 5","")))))</f>
        <v/>
      </c>
      <c r="G12253" s="6">
        <f>IF(AND($H12253="ATMOS DISTILLATION",ISNUMBER(SEARCH("VPS",$I12253))=FALSE,LEFT($I12253,6)&lt;&gt;"VACUUM"),"CDU",IF($H12253="FLUID CAT CRACKING","FCC",IF(OR($H12253="HYDROCRACKING",$H12253="RESID_HYDROCRACKING"),"Hydrocracker",IF($H12253="REFORMING","Reformer",""))))</f>
        <v/>
      </c>
    </row>
    <row r="12254" spans="6:7">
      <c r="F12254" s="6">
        <f>IF($M12254="PADD I","PADD 1",IF($M12254="PADD II","PADD 2",IF($M12254="PADD III","PADD 3",IF($M12254="PADD IV","PADD 4",IF($M12254="PADD V","PADD 5","")))))</f>
        <v/>
      </c>
      <c r="G12254" s="6">
        <f>IF(AND($H12254="ATMOS DISTILLATION",ISNUMBER(SEARCH("VPS",$I12254))=FALSE,LEFT($I12254,6)&lt;&gt;"VACUUM"),"CDU",IF($H12254="FLUID CAT CRACKING","FCC",IF(OR($H12254="HYDROCRACKING",$H12254="RESID_HYDROCRACKING"),"Hydrocracker",IF($H12254="REFORMING","Reformer",""))))</f>
        <v/>
      </c>
    </row>
    <row r="12255" spans="6:7">
      <c r="F12255" s="6">
        <f>IF($M12255="PADD I","PADD 1",IF($M12255="PADD II","PADD 2",IF($M12255="PADD III","PADD 3",IF($M12255="PADD IV","PADD 4",IF($M12255="PADD V","PADD 5","")))))</f>
        <v/>
      </c>
      <c r="G12255" s="6">
        <f>IF(AND($H12255="ATMOS DISTILLATION",ISNUMBER(SEARCH("VPS",$I12255))=FALSE,LEFT($I12255,6)&lt;&gt;"VACUUM"),"CDU",IF($H12255="FLUID CAT CRACKING","FCC",IF(OR($H12255="HYDROCRACKING",$H12255="RESID_HYDROCRACKING"),"Hydrocracker",IF($H12255="REFORMING","Reformer",""))))</f>
        <v/>
      </c>
    </row>
    <row r="12256" spans="6:7">
      <c r="F12256" s="6">
        <f>IF($M12256="PADD I","PADD 1",IF($M12256="PADD II","PADD 2",IF($M12256="PADD III","PADD 3",IF($M12256="PADD IV","PADD 4",IF($M12256="PADD V","PADD 5","")))))</f>
        <v/>
      </c>
      <c r="G12256" s="6">
        <f>IF(AND($H12256="ATMOS DISTILLATION",ISNUMBER(SEARCH("VPS",$I12256))=FALSE,LEFT($I12256,6)&lt;&gt;"VACUUM"),"CDU",IF($H12256="FLUID CAT CRACKING","FCC",IF(OR($H12256="HYDROCRACKING",$H12256="RESID_HYDROCRACKING"),"Hydrocracker",IF($H12256="REFORMING","Reformer",""))))</f>
        <v/>
      </c>
    </row>
    <row r="12257" spans="6:7">
      <c r="F12257" s="6">
        <f>IF($M12257="PADD I","PADD 1",IF($M12257="PADD II","PADD 2",IF($M12257="PADD III","PADD 3",IF($M12257="PADD IV","PADD 4",IF($M12257="PADD V","PADD 5","")))))</f>
        <v/>
      </c>
      <c r="G12257" s="6">
        <f>IF(AND($H12257="ATMOS DISTILLATION",ISNUMBER(SEARCH("VPS",$I12257))=FALSE,LEFT($I12257,6)&lt;&gt;"VACUUM"),"CDU",IF($H12257="FLUID CAT CRACKING","FCC",IF(OR($H12257="HYDROCRACKING",$H12257="RESID_HYDROCRACKING"),"Hydrocracker",IF($H12257="REFORMING","Reformer",""))))</f>
        <v/>
      </c>
    </row>
    <row r="12258" spans="6:7">
      <c r="F12258" s="6">
        <f>IF($M12258="PADD I","PADD 1",IF($M12258="PADD II","PADD 2",IF($M12258="PADD III","PADD 3",IF($M12258="PADD IV","PADD 4",IF($M12258="PADD V","PADD 5","")))))</f>
        <v/>
      </c>
      <c r="G12258" s="6">
        <f>IF(AND($H12258="ATMOS DISTILLATION",ISNUMBER(SEARCH("VPS",$I12258))=FALSE,LEFT($I12258,6)&lt;&gt;"VACUUM"),"CDU",IF($H12258="FLUID CAT CRACKING","FCC",IF(OR($H12258="HYDROCRACKING",$H12258="RESID_HYDROCRACKING"),"Hydrocracker",IF($H12258="REFORMING","Reformer",""))))</f>
        <v/>
      </c>
    </row>
    <row r="12259" spans="6:7">
      <c r="F12259" s="6">
        <f>IF($M12259="PADD I","PADD 1",IF($M12259="PADD II","PADD 2",IF($M12259="PADD III","PADD 3",IF($M12259="PADD IV","PADD 4",IF($M12259="PADD V","PADD 5","")))))</f>
        <v/>
      </c>
      <c r="G12259" s="6">
        <f>IF(AND($H12259="ATMOS DISTILLATION",ISNUMBER(SEARCH("VPS",$I12259))=FALSE,LEFT($I12259,6)&lt;&gt;"VACUUM"),"CDU",IF($H12259="FLUID CAT CRACKING","FCC",IF(OR($H12259="HYDROCRACKING",$H12259="RESID_HYDROCRACKING"),"Hydrocracker",IF($H12259="REFORMING","Reformer",""))))</f>
        <v/>
      </c>
    </row>
    <row r="12260" spans="6:7">
      <c r="F12260" s="6">
        <f>IF($M12260="PADD I","PADD 1",IF($M12260="PADD II","PADD 2",IF($M12260="PADD III","PADD 3",IF($M12260="PADD IV","PADD 4",IF($M12260="PADD V","PADD 5","")))))</f>
        <v/>
      </c>
      <c r="G12260" s="6">
        <f>IF(AND($H12260="ATMOS DISTILLATION",ISNUMBER(SEARCH("VPS",$I12260))=FALSE,LEFT($I12260,6)&lt;&gt;"VACUUM"),"CDU",IF($H12260="FLUID CAT CRACKING","FCC",IF(OR($H12260="HYDROCRACKING",$H12260="RESID_HYDROCRACKING"),"Hydrocracker",IF($H12260="REFORMING","Reformer",""))))</f>
        <v/>
      </c>
    </row>
    <row r="12261" spans="6:7">
      <c r="F12261" s="6">
        <f>IF($M12261="PADD I","PADD 1",IF($M12261="PADD II","PADD 2",IF($M12261="PADD III","PADD 3",IF($M12261="PADD IV","PADD 4",IF($M12261="PADD V","PADD 5","")))))</f>
        <v/>
      </c>
      <c r="G12261" s="6">
        <f>IF(AND($H12261="ATMOS DISTILLATION",ISNUMBER(SEARCH("VPS",$I12261))=FALSE,LEFT($I12261,6)&lt;&gt;"VACUUM"),"CDU",IF($H12261="FLUID CAT CRACKING","FCC",IF(OR($H12261="HYDROCRACKING",$H12261="RESID_HYDROCRACKING"),"Hydrocracker",IF($H12261="REFORMING","Reformer",""))))</f>
        <v/>
      </c>
    </row>
    <row r="12262" spans="6:7">
      <c r="F12262" s="6">
        <f>IF($M12262="PADD I","PADD 1",IF($M12262="PADD II","PADD 2",IF($M12262="PADD III","PADD 3",IF($M12262="PADD IV","PADD 4",IF($M12262="PADD V","PADD 5","")))))</f>
        <v/>
      </c>
      <c r="G12262" s="6">
        <f>IF(AND($H12262="ATMOS DISTILLATION",ISNUMBER(SEARCH("VPS",$I12262))=FALSE,LEFT($I12262,6)&lt;&gt;"VACUUM"),"CDU",IF($H12262="FLUID CAT CRACKING","FCC",IF(OR($H12262="HYDROCRACKING",$H12262="RESID_HYDROCRACKING"),"Hydrocracker",IF($H12262="REFORMING","Reformer",""))))</f>
        <v/>
      </c>
    </row>
    <row r="12263" spans="6:7">
      <c r="F12263" s="6">
        <f>IF($M12263="PADD I","PADD 1",IF($M12263="PADD II","PADD 2",IF($M12263="PADD III","PADD 3",IF($M12263="PADD IV","PADD 4",IF($M12263="PADD V","PADD 5","")))))</f>
        <v/>
      </c>
      <c r="G12263" s="6">
        <f>IF(AND($H12263="ATMOS DISTILLATION",ISNUMBER(SEARCH("VPS",$I12263))=FALSE,LEFT($I12263,6)&lt;&gt;"VACUUM"),"CDU",IF($H12263="FLUID CAT CRACKING","FCC",IF(OR($H12263="HYDROCRACKING",$H12263="RESID_HYDROCRACKING"),"Hydrocracker",IF($H12263="REFORMING","Reformer",""))))</f>
        <v/>
      </c>
    </row>
    <row r="12264" spans="6:7">
      <c r="F12264" s="6">
        <f>IF($M12264="PADD I","PADD 1",IF($M12264="PADD II","PADD 2",IF($M12264="PADD III","PADD 3",IF($M12264="PADD IV","PADD 4",IF($M12264="PADD V","PADD 5","")))))</f>
        <v/>
      </c>
      <c r="G12264" s="6">
        <f>IF(AND($H12264="ATMOS DISTILLATION",ISNUMBER(SEARCH("VPS",$I12264))=FALSE,LEFT($I12264,6)&lt;&gt;"VACUUM"),"CDU",IF($H12264="FLUID CAT CRACKING","FCC",IF(OR($H12264="HYDROCRACKING",$H12264="RESID_HYDROCRACKING"),"Hydrocracker",IF($H12264="REFORMING","Reformer",""))))</f>
        <v/>
      </c>
    </row>
    <row r="12265" spans="6:7">
      <c r="F12265" s="6">
        <f>IF($M12265="PADD I","PADD 1",IF($M12265="PADD II","PADD 2",IF($M12265="PADD III","PADD 3",IF($M12265="PADD IV","PADD 4",IF($M12265="PADD V","PADD 5","")))))</f>
        <v/>
      </c>
      <c r="G12265" s="6">
        <f>IF(AND($H12265="ATMOS DISTILLATION",ISNUMBER(SEARCH("VPS",$I12265))=FALSE,LEFT($I12265,6)&lt;&gt;"VACUUM"),"CDU",IF($H12265="FLUID CAT CRACKING","FCC",IF(OR($H12265="HYDROCRACKING",$H12265="RESID_HYDROCRACKING"),"Hydrocracker",IF($H12265="REFORMING","Reformer",""))))</f>
        <v/>
      </c>
    </row>
    <row r="12266" spans="6:7">
      <c r="F12266" s="6">
        <f>IF($M12266="PADD I","PADD 1",IF($M12266="PADD II","PADD 2",IF($M12266="PADD III","PADD 3",IF($M12266="PADD IV","PADD 4",IF($M12266="PADD V","PADD 5","")))))</f>
        <v/>
      </c>
      <c r="G12266" s="6">
        <f>IF(AND($H12266="ATMOS DISTILLATION",ISNUMBER(SEARCH("VPS",$I12266))=FALSE,LEFT($I12266,6)&lt;&gt;"VACUUM"),"CDU",IF($H12266="FLUID CAT CRACKING","FCC",IF(OR($H12266="HYDROCRACKING",$H12266="RESID_HYDROCRACKING"),"Hydrocracker",IF($H12266="REFORMING","Reformer",""))))</f>
        <v/>
      </c>
    </row>
    <row r="12267" spans="6:7">
      <c r="F12267" s="6">
        <f>IF($M12267="PADD I","PADD 1",IF($M12267="PADD II","PADD 2",IF($M12267="PADD III","PADD 3",IF($M12267="PADD IV","PADD 4",IF($M12267="PADD V","PADD 5","")))))</f>
        <v/>
      </c>
      <c r="G12267" s="6">
        <f>IF(AND($H12267="ATMOS DISTILLATION",ISNUMBER(SEARCH("VPS",$I12267))=FALSE,LEFT($I12267,6)&lt;&gt;"VACUUM"),"CDU",IF($H12267="FLUID CAT CRACKING","FCC",IF(OR($H12267="HYDROCRACKING",$H12267="RESID_HYDROCRACKING"),"Hydrocracker",IF($H12267="REFORMING","Reformer",""))))</f>
        <v/>
      </c>
    </row>
    <row r="12268" spans="6:7">
      <c r="F12268" s="6">
        <f>IF($M12268="PADD I","PADD 1",IF($M12268="PADD II","PADD 2",IF($M12268="PADD III","PADD 3",IF($M12268="PADD IV","PADD 4",IF($M12268="PADD V","PADD 5","")))))</f>
        <v/>
      </c>
      <c r="G12268" s="6">
        <f>IF(AND($H12268="ATMOS DISTILLATION",ISNUMBER(SEARCH("VPS",$I12268))=FALSE,LEFT($I12268,6)&lt;&gt;"VACUUM"),"CDU",IF($H12268="FLUID CAT CRACKING","FCC",IF(OR($H12268="HYDROCRACKING",$H12268="RESID_HYDROCRACKING"),"Hydrocracker",IF($H12268="REFORMING","Reformer",""))))</f>
        <v/>
      </c>
    </row>
    <row r="12269" spans="6:7">
      <c r="F12269" s="6">
        <f>IF($M12269="PADD I","PADD 1",IF($M12269="PADD II","PADD 2",IF($M12269="PADD III","PADD 3",IF($M12269="PADD IV","PADD 4",IF($M12269="PADD V","PADD 5","")))))</f>
        <v/>
      </c>
      <c r="G12269" s="6">
        <f>IF(AND($H12269="ATMOS DISTILLATION",ISNUMBER(SEARCH("VPS",$I12269))=FALSE,LEFT($I12269,6)&lt;&gt;"VACUUM"),"CDU",IF($H12269="FLUID CAT CRACKING","FCC",IF(OR($H12269="HYDROCRACKING",$H12269="RESID_HYDROCRACKING"),"Hydrocracker",IF($H12269="REFORMING","Reformer",""))))</f>
        <v/>
      </c>
    </row>
    <row r="12270" spans="6:7">
      <c r="F12270" s="6">
        <f>IF($M12270="PADD I","PADD 1",IF($M12270="PADD II","PADD 2",IF($M12270="PADD III","PADD 3",IF($M12270="PADD IV","PADD 4",IF($M12270="PADD V","PADD 5","")))))</f>
        <v/>
      </c>
      <c r="G12270" s="6">
        <f>IF(AND($H12270="ATMOS DISTILLATION",ISNUMBER(SEARCH("VPS",$I12270))=FALSE,LEFT($I12270,6)&lt;&gt;"VACUUM"),"CDU",IF($H12270="FLUID CAT CRACKING","FCC",IF(OR($H12270="HYDROCRACKING",$H12270="RESID_HYDROCRACKING"),"Hydrocracker",IF($H12270="REFORMING","Reformer",""))))</f>
        <v/>
      </c>
    </row>
    <row r="12271" spans="6:7">
      <c r="F12271" s="6">
        <f>IF($M12271="PADD I","PADD 1",IF($M12271="PADD II","PADD 2",IF($M12271="PADD III","PADD 3",IF($M12271="PADD IV","PADD 4",IF($M12271="PADD V","PADD 5","")))))</f>
        <v/>
      </c>
      <c r="G12271" s="6">
        <f>IF(AND($H12271="ATMOS DISTILLATION",ISNUMBER(SEARCH("VPS",$I12271))=FALSE,LEFT($I12271,6)&lt;&gt;"VACUUM"),"CDU",IF($H12271="FLUID CAT CRACKING","FCC",IF(OR($H12271="HYDROCRACKING",$H12271="RESID_HYDROCRACKING"),"Hydrocracker",IF($H12271="REFORMING","Reformer",""))))</f>
        <v/>
      </c>
    </row>
    <row r="12272" spans="6:7">
      <c r="F12272" s="6">
        <f>IF($M12272="PADD I","PADD 1",IF($M12272="PADD II","PADD 2",IF($M12272="PADD III","PADD 3",IF($M12272="PADD IV","PADD 4",IF($M12272="PADD V","PADD 5","")))))</f>
        <v/>
      </c>
      <c r="G12272" s="6">
        <f>IF(AND($H12272="ATMOS DISTILLATION",ISNUMBER(SEARCH("VPS",$I12272))=FALSE,LEFT($I12272,6)&lt;&gt;"VACUUM"),"CDU",IF($H12272="FLUID CAT CRACKING","FCC",IF(OR($H12272="HYDROCRACKING",$H12272="RESID_HYDROCRACKING"),"Hydrocracker",IF($H12272="REFORMING","Reformer",""))))</f>
        <v/>
      </c>
    </row>
    <row r="12273" spans="6:7">
      <c r="F12273" s="6">
        <f>IF($M12273="PADD I","PADD 1",IF($M12273="PADD II","PADD 2",IF($M12273="PADD III","PADD 3",IF($M12273="PADD IV","PADD 4",IF($M12273="PADD V","PADD 5","")))))</f>
        <v/>
      </c>
      <c r="G12273" s="6">
        <f>IF(AND($H12273="ATMOS DISTILLATION",ISNUMBER(SEARCH("VPS",$I12273))=FALSE,LEFT($I12273,6)&lt;&gt;"VACUUM"),"CDU",IF($H12273="FLUID CAT CRACKING","FCC",IF(OR($H12273="HYDROCRACKING",$H12273="RESID_HYDROCRACKING"),"Hydrocracker",IF($H12273="REFORMING","Reformer",""))))</f>
        <v/>
      </c>
    </row>
    <row r="12274" spans="6:7">
      <c r="F12274" s="6">
        <f>IF($M12274="PADD I","PADD 1",IF($M12274="PADD II","PADD 2",IF($M12274="PADD III","PADD 3",IF($M12274="PADD IV","PADD 4",IF($M12274="PADD V","PADD 5","")))))</f>
        <v/>
      </c>
      <c r="G12274" s="6">
        <f>IF(AND($H12274="ATMOS DISTILLATION",ISNUMBER(SEARCH("VPS",$I12274))=FALSE,LEFT($I12274,6)&lt;&gt;"VACUUM"),"CDU",IF($H12274="FLUID CAT CRACKING","FCC",IF(OR($H12274="HYDROCRACKING",$H12274="RESID_HYDROCRACKING"),"Hydrocracker",IF($H12274="REFORMING","Reformer",""))))</f>
        <v/>
      </c>
    </row>
    <row r="12275" spans="6:7">
      <c r="F12275" s="6">
        <f>IF($M12275="PADD I","PADD 1",IF($M12275="PADD II","PADD 2",IF($M12275="PADD III","PADD 3",IF($M12275="PADD IV","PADD 4",IF($M12275="PADD V","PADD 5","")))))</f>
        <v/>
      </c>
      <c r="G12275" s="6">
        <f>IF(AND($H12275="ATMOS DISTILLATION",ISNUMBER(SEARCH("VPS",$I12275))=FALSE,LEFT($I12275,6)&lt;&gt;"VACUUM"),"CDU",IF($H12275="FLUID CAT CRACKING","FCC",IF(OR($H12275="HYDROCRACKING",$H12275="RESID_HYDROCRACKING"),"Hydrocracker",IF($H12275="REFORMING","Reformer",""))))</f>
        <v/>
      </c>
    </row>
    <row r="12276" spans="6:7">
      <c r="F12276" s="6">
        <f>IF($M12276="PADD I","PADD 1",IF($M12276="PADD II","PADD 2",IF($M12276="PADD III","PADD 3",IF($M12276="PADD IV","PADD 4",IF($M12276="PADD V","PADD 5","")))))</f>
        <v/>
      </c>
      <c r="G12276" s="6">
        <f>IF(AND($H12276="ATMOS DISTILLATION",ISNUMBER(SEARCH("VPS",$I12276))=FALSE,LEFT($I12276,6)&lt;&gt;"VACUUM"),"CDU",IF($H12276="FLUID CAT CRACKING","FCC",IF(OR($H12276="HYDROCRACKING",$H12276="RESID_HYDROCRACKING"),"Hydrocracker",IF($H12276="REFORMING","Reformer",""))))</f>
        <v/>
      </c>
    </row>
    <row r="12277" spans="6:7">
      <c r="F12277" s="6">
        <f>IF($M12277="PADD I","PADD 1",IF($M12277="PADD II","PADD 2",IF($M12277="PADD III","PADD 3",IF($M12277="PADD IV","PADD 4",IF($M12277="PADD V","PADD 5","")))))</f>
        <v/>
      </c>
      <c r="G12277" s="6">
        <f>IF(AND($H12277="ATMOS DISTILLATION",ISNUMBER(SEARCH("VPS",$I12277))=FALSE,LEFT($I12277,6)&lt;&gt;"VACUUM"),"CDU",IF($H12277="FLUID CAT CRACKING","FCC",IF(OR($H12277="HYDROCRACKING",$H12277="RESID_HYDROCRACKING"),"Hydrocracker",IF($H12277="REFORMING","Reformer",""))))</f>
        <v/>
      </c>
    </row>
    <row r="12278" spans="6:7">
      <c r="F12278" s="6">
        <f>IF($M12278="PADD I","PADD 1",IF($M12278="PADD II","PADD 2",IF($M12278="PADD III","PADD 3",IF($M12278="PADD IV","PADD 4",IF($M12278="PADD V","PADD 5","")))))</f>
        <v/>
      </c>
      <c r="G12278" s="6">
        <f>IF(AND($H12278="ATMOS DISTILLATION",ISNUMBER(SEARCH("VPS",$I12278))=FALSE,LEFT($I12278,6)&lt;&gt;"VACUUM"),"CDU",IF($H12278="FLUID CAT CRACKING","FCC",IF(OR($H12278="HYDROCRACKING",$H12278="RESID_HYDROCRACKING"),"Hydrocracker",IF($H12278="REFORMING","Reformer",""))))</f>
        <v/>
      </c>
    </row>
    <row r="12279" spans="6:7">
      <c r="F12279" s="6">
        <f>IF($M12279="PADD I","PADD 1",IF($M12279="PADD II","PADD 2",IF($M12279="PADD III","PADD 3",IF($M12279="PADD IV","PADD 4",IF($M12279="PADD V","PADD 5","")))))</f>
        <v/>
      </c>
      <c r="G12279" s="6">
        <f>IF(AND($H12279="ATMOS DISTILLATION",ISNUMBER(SEARCH("VPS",$I12279))=FALSE,LEFT($I12279,6)&lt;&gt;"VACUUM"),"CDU",IF($H12279="FLUID CAT CRACKING","FCC",IF(OR($H12279="HYDROCRACKING",$H12279="RESID_HYDROCRACKING"),"Hydrocracker",IF($H12279="REFORMING","Reformer",""))))</f>
        <v/>
      </c>
    </row>
    <row r="12280" spans="6:7">
      <c r="F12280" s="6">
        <f>IF($M12280="PADD I","PADD 1",IF($M12280="PADD II","PADD 2",IF($M12280="PADD III","PADD 3",IF($M12280="PADD IV","PADD 4",IF($M12280="PADD V","PADD 5","")))))</f>
        <v/>
      </c>
      <c r="G12280" s="6">
        <f>IF(AND($H12280="ATMOS DISTILLATION",ISNUMBER(SEARCH("VPS",$I12280))=FALSE,LEFT($I12280,6)&lt;&gt;"VACUUM"),"CDU",IF($H12280="FLUID CAT CRACKING","FCC",IF(OR($H12280="HYDROCRACKING",$H12280="RESID_HYDROCRACKING"),"Hydrocracker",IF($H12280="REFORMING","Reformer",""))))</f>
        <v/>
      </c>
    </row>
    <row r="12281" spans="6:7">
      <c r="F12281" s="6">
        <f>IF($M12281="PADD I","PADD 1",IF($M12281="PADD II","PADD 2",IF($M12281="PADD III","PADD 3",IF($M12281="PADD IV","PADD 4",IF($M12281="PADD V","PADD 5","")))))</f>
        <v/>
      </c>
      <c r="G12281" s="6">
        <f>IF(AND($H12281="ATMOS DISTILLATION",ISNUMBER(SEARCH("VPS",$I12281))=FALSE,LEFT($I12281,6)&lt;&gt;"VACUUM"),"CDU",IF($H12281="FLUID CAT CRACKING","FCC",IF(OR($H12281="HYDROCRACKING",$H12281="RESID_HYDROCRACKING"),"Hydrocracker",IF($H12281="REFORMING","Reformer",""))))</f>
        <v/>
      </c>
    </row>
    <row r="12282" spans="6:7">
      <c r="F12282" s="6">
        <f>IF($M12282="PADD I","PADD 1",IF($M12282="PADD II","PADD 2",IF($M12282="PADD III","PADD 3",IF($M12282="PADD IV","PADD 4",IF($M12282="PADD V","PADD 5","")))))</f>
        <v/>
      </c>
      <c r="G12282" s="6">
        <f>IF(AND($H12282="ATMOS DISTILLATION",ISNUMBER(SEARCH("VPS",$I12282))=FALSE,LEFT($I12282,6)&lt;&gt;"VACUUM"),"CDU",IF($H12282="FLUID CAT CRACKING","FCC",IF(OR($H12282="HYDROCRACKING",$H12282="RESID_HYDROCRACKING"),"Hydrocracker",IF($H12282="REFORMING","Reformer",""))))</f>
        <v/>
      </c>
    </row>
    <row r="12283" spans="6:7">
      <c r="F12283" s="6">
        <f>IF($M12283="PADD I","PADD 1",IF($M12283="PADD II","PADD 2",IF($M12283="PADD III","PADD 3",IF($M12283="PADD IV","PADD 4",IF($M12283="PADD V","PADD 5","")))))</f>
        <v/>
      </c>
      <c r="G12283" s="6">
        <f>IF(AND($H12283="ATMOS DISTILLATION",ISNUMBER(SEARCH("VPS",$I12283))=FALSE,LEFT($I12283,6)&lt;&gt;"VACUUM"),"CDU",IF($H12283="FLUID CAT CRACKING","FCC",IF(OR($H12283="HYDROCRACKING",$H12283="RESID_HYDROCRACKING"),"Hydrocracker",IF($H12283="REFORMING","Reformer",""))))</f>
        <v/>
      </c>
    </row>
    <row r="12284" spans="6:7">
      <c r="F12284" s="6">
        <f>IF($M12284="PADD I","PADD 1",IF($M12284="PADD II","PADD 2",IF($M12284="PADD III","PADD 3",IF($M12284="PADD IV","PADD 4",IF($M12284="PADD V","PADD 5","")))))</f>
        <v/>
      </c>
      <c r="G12284" s="6">
        <f>IF(AND($H12284="ATMOS DISTILLATION",ISNUMBER(SEARCH("VPS",$I12284))=FALSE,LEFT($I12284,6)&lt;&gt;"VACUUM"),"CDU",IF($H12284="FLUID CAT CRACKING","FCC",IF(OR($H12284="HYDROCRACKING",$H12284="RESID_HYDROCRACKING"),"Hydrocracker",IF($H12284="REFORMING","Reformer",""))))</f>
        <v/>
      </c>
    </row>
    <row r="12285" spans="6:7">
      <c r="F12285" s="6">
        <f>IF($M12285="PADD I","PADD 1",IF($M12285="PADD II","PADD 2",IF($M12285="PADD III","PADD 3",IF($M12285="PADD IV","PADD 4",IF($M12285="PADD V","PADD 5","")))))</f>
        <v/>
      </c>
      <c r="G12285" s="6">
        <f>IF(AND($H12285="ATMOS DISTILLATION",ISNUMBER(SEARCH("VPS",$I12285))=FALSE,LEFT($I12285,6)&lt;&gt;"VACUUM"),"CDU",IF($H12285="FLUID CAT CRACKING","FCC",IF(OR($H12285="HYDROCRACKING",$H12285="RESID_HYDROCRACKING"),"Hydrocracker",IF($H12285="REFORMING","Reformer",""))))</f>
        <v/>
      </c>
    </row>
    <row r="12286" spans="6:7">
      <c r="F12286" s="6">
        <f>IF($M12286="PADD I","PADD 1",IF($M12286="PADD II","PADD 2",IF($M12286="PADD III","PADD 3",IF($M12286="PADD IV","PADD 4",IF($M12286="PADD V","PADD 5","")))))</f>
        <v/>
      </c>
      <c r="G12286" s="6">
        <f>IF(AND($H12286="ATMOS DISTILLATION",ISNUMBER(SEARCH("VPS",$I12286))=FALSE,LEFT($I12286,6)&lt;&gt;"VACUUM"),"CDU",IF($H12286="FLUID CAT CRACKING","FCC",IF(OR($H12286="HYDROCRACKING",$H12286="RESID_HYDROCRACKING"),"Hydrocracker",IF($H12286="REFORMING","Reformer",""))))</f>
        <v/>
      </c>
    </row>
    <row r="12287" spans="6:7">
      <c r="F12287" s="6">
        <f>IF($M12287="PADD I","PADD 1",IF($M12287="PADD II","PADD 2",IF($M12287="PADD III","PADD 3",IF($M12287="PADD IV","PADD 4",IF($M12287="PADD V","PADD 5","")))))</f>
        <v/>
      </c>
      <c r="G12287" s="6">
        <f>IF(AND($H12287="ATMOS DISTILLATION",ISNUMBER(SEARCH("VPS",$I12287))=FALSE,LEFT($I12287,6)&lt;&gt;"VACUUM"),"CDU",IF($H12287="FLUID CAT CRACKING","FCC",IF(OR($H12287="HYDROCRACKING",$H12287="RESID_HYDROCRACKING"),"Hydrocracker",IF($H12287="REFORMING","Reformer",""))))</f>
        <v/>
      </c>
    </row>
    <row r="12288" spans="6:7">
      <c r="F12288" s="6">
        <f>IF($M12288="PADD I","PADD 1",IF($M12288="PADD II","PADD 2",IF($M12288="PADD III","PADD 3",IF($M12288="PADD IV","PADD 4",IF($M12288="PADD V","PADD 5","")))))</f>
        <v/>
      </c>
      <c r="G12288" s="6">
        <f>IF(AND($H12288="ATMOS DISTILLATION",ISNUMBER(SEARCH("VPS",$I12288))=FALSE,LEFT($I12288,6)&lt;&gt;"VACUUM"),"CDU",IF($H12288="FLUID CAT CRACKING","FCC",IF(OR($H12288="HYDROCRACKING",$H12288="RESID_HYDROCRACKING"),"Hydrocracker",IF($H12288="REFORMING","Reformer",""))))</f>
        <v/>
      </c>
    </row>
    <row r="12289" spans="6:7">
      <c r="F12289" s="6">
        <f>IF($M12289="PADD I","PADD 1",IF($M12289="PADD II","PADD 2",IF($M12289="PADD III","PADD 3",IF($M12289="PADD IV","PADD 4",IF($M12289="PADD V","PADD 5","")))))</f>
        <v/>
      </c>
      <c r="G12289" s="6">
        <f>IF(AND($H12289="ATMOS DISTILLATION",ISNUMBER(SEARCH("VPS",$I12289))=FALSE,LEFT($I12289,6)&lt;&gt;"VACUUM"),"CDU",IF($H12289="FLUID CAT CRACKING","FCC",IF(OR($H12289="HYDROCRACKING",$H12289="RESID_HYDROCRACKING"),"Hydrocracker",IF($H12289="REFORMING","Reformer",""))))</f>
        <v/>
      </c>
    </row>
    <row r="12290" spans="6:7">
      <c r="F12290" s="6">
        <f>IF($M12290="PADD I","PADD 1",IF($M12290="PADD II","PADD 2",IF($M12290="PADD III","PADD 3",IF($M12290="PADD IV","PADD 4",IF($M12290="PADD V","PADD 5","")))))</f>
        <v/>
      </c>
      <c r="G12290" s="6">
        <f>IF(AND($H12290="ATMOS DISTILLATION",ISNUMBER(SEARCH("VPS",$I12290))=FALSE,LEFT($I12290,6)&lt;&gt;"VACUUM"),"CDU",IF($H12290="FLUID CAT CRACKING","FCC",IF(OR($H12290="HYDROCRACKING",$H12290="RESID_HYDROCRACKING"),"Hydrocracker",IF($H12290="REFORMING","Reformer",""))))</f>
        <v/>
      </c>
    </row>
    <row r="12291" spans="6:7">
      <c r="F12291" s="6">
        <f>IF($M12291="PADD I","PADD 1",IF($M12291="PADD II","PADD 2",IF($M12291="PADD III","PADD 3",IF($M12291="PADD IV","PADD 4",IF($M12291="PADD V","PADD 5","")))))</f>
        <v/>
      </c>
      <c r="G12291" s="6">
        <f>IF(AND($H12291="ATMOS DISTILLATION",ISNUMBER(SEARCH("VPS",$I12291))=FALSE,LEFT($I12291,6)&lt;&gt;"VACUUM"),"CDU",IF($H12291="FLUID CAT CRACKING","FCC",IF(OR($H12291="HYDROCRACKING",$H12291="RESID_HYDROCRACKING"),"Hydrocracker",IF($H12291="REFORMING","Reformer",""))))</f>
        <v/>
      </c>
    </row>
    <row r="12292" spans="6:7">
      <c r="F12292" s="6">
        <f>IF($M12292="PADD I","PADD 1",IF($M12292="PADD II","PADD 2",IF($M12292="PADD III","PADD 3",IF($M12292="PADD IV","PADD 4",IF($M12292="PADD V","PADD 5","")))))</f>
        <v/>
      </c>
      <c r="G12292" s="6">
        <f>IF(AND($H12292="ATMOS DISTILLATION",ISNUMBER(SEARCH("VPS",$I12292))=FALSE,LEFT($I12292,6)&lt;&gt;"VACUUM"),"CDU",IF($H12292="FLUID CAT CRACKING","FCC",IF(OR($H12292="HYDROCRACKING",$H12292="RESID_HYDROCRACKING"),"Hydrocracker",IF($H12292="REFORMING","Reformer",""))))</f>
        <v/>
      </c>
    </row>
    <row r="12293" spans="6:7">
      <c r="F12293" s="6">
        <f>IF($M12293="PADD I","PADD 1",IF($M12293="PADD II","PADD 2",IF($M12293="PADD III","PADD 3",IF($M12293="PADD IV","PADD 4",IF($M12293="PADD V","PADD 5","")))))</f>
        <v/>
      </c>
      <c r="G12293" s="6">
        <f>IF(AND($H12293="ATMOS DISTILLATION",ISNUMBER(SEARCH("VPS",$I12293))=FALSE,LEFT($I12293,6)&lt;&gt;"VACUUM"),"CDU",IF($H12293="FLUID CAT CRACKING","FCC",IF(OR($H12293="HYDROCRACKING",$H12293="RESID_HYDROCRACKING"),"Hydrocracker",IF($H12293="REFORMING","Reformer",""))))</f>
        <v/>
      </c>
    </row>
    <row r="12294" spans="6:7">
      <c r="F12294" s="6">
        <f>IF($M12294="PADD I","PADD 1",IF($M12294="PADD II","PADD 2",IF($M12294="PADD III","PADD 3",IF($M12294="PADD IV","PADD 4",IF($M12294="PADD V","PADD 5","")))))</f>
        <v/>
      </c>
      <c r="G12294" s="6">
        <f>IF(AND($H12294="ATMOS DISTILLATION",ISNUMBER(SEARCH("VPS",$I12294))=FALSE,LEFT($I12294,6)&lt;&gt;"VACUUM"),"CDU",IF($H12294="FLUID CAT CRACKING","FCC",IF(OR($H12294="HYDROCRACKING",$H12294="RESID_HYDROCRACKING"),"Hydrocracker",IF($H12294="REFORMING","Reformer",""))))</f>
        <v/>
      </c>
    </row>
    <row r="12295" spans="6:7">
      <c r="F12295" s="6">
        <f>IF($M12295="PADD I","PADD 1",IF($M12295="PADD II","PADD 2",IF($M12295="PADD III","PADD 3",IF($M12295="PADD IV","PADD 4",IF($M12295="PADD V","PADD 5","")))))</f>
        <v/>
      </c>
      <c r="G12295" s="6">
        <f>IF(AND($H12295="ATMOS DISTILLATION",ISNUMBER(SEARCH("VPS",$I12295))=FALSE,LEFT($I12295,6)&lt;&gt;"VACUUM"),"CDU",IF($H12295="FLUID CAT CRACKING","FCC",IF(OR($H12295="HYDROCRACKING",$H12295="RESID_HYDROCRACKING"),"Hydrocracker",IF($H12295="REFORMING","Reformer",""))))</f>
        <v/>
      </c>
    </row>
    <row r="12296" spans="6:7">
      <c r="F12296" s="6">
        <f>IF($M12296="PADD I","PADD 1",IF($M12296="PADD II","PADD 2",IF($M12296="PADD III","PADD 3",IF($M12296="PADD IV","PADD 4",IF($M12296="PADD V","PADD 5","")))))</f>
        <v/>
      </c>
      <c r="G12296" s="6">
        <f>IF(AND($H12296="ATMOS DISTILLATION",ISNUMBER(SEARCH("VPS",$I12296))=FALSE,LEFT($I12296,6)&lt;&gt;"VACUUM"),"CDU",IF($H12296="FLUID CAT CRACKING","FCC",IF(OR($H12296="HYDROCRACKING",$H12296="RESID_HYDROCRACKING"),"Hydrocracker",IF($H12296="REFORMING","Reformer",""))))</f>
        <v/>
      </c>
    </row>
    <row r="12297" spans="6:7">
      <c r="F12297" s="6">
        <f>IF($M12297="PADD I","PADD 1",IF($M12297="PADD II","PADD 2",IF($M12297="PADD III","PADD 3",IF($M12297="PADD IV","PADD 4",IF($M12297="PADD V","PADD 5","")))))</f>
        <v/>
      </c>
      <c r="G12297" s="6">
        <f>IF(AND($H12297="ATMOS DISTILLATION",ISNUMBER(SEARCH("VPS",$I12297))=FALSE,LEFT($I12297,6)&lt;&gt;"VACUUM"),"CDU",IF($H12297="FLUID CAT CRACKING","FCC",IF(OR($H12297="HYDROCRACKING",$H12297="RESID_HYDROCRACKING"),"Hydrocracker",IF($H12297="REFORMING","Reformer",""))))</f>
        <v/>
      </c>
    </row>
    <row r="12298" spans="6:7">
      <c r="F12298" s="6">
        <f>IF($M12298="PADD I","PADD 1",IF($M12298="PADD II","PADD 2",IF($M12298="PADD III","PADD 3",IF($M12298="PADD IV","PADD 4",IF($M12298="PADD V","PADD 5","")))))</f>
        <v/>
      </c>
      <c r="G12298" s="6">
        <f>IF(AND($H12298="ATMOS DISTILLATION",ISNUMBER(SEARCH("VPS",$I12298))=FALSE,LEFT($I12298,6)&lt;&gt;"VACUUM"),"CDU",IF($H12298="FLUID CAT CRACKING","FCC",IF(OR($H12298="HYDROCRACKING",$H12298="RESID_HYDROCRACKING"),"Hydrocracker",IF($H12298="REFORMING","Reformer",""))))</f>
        <v/>
      </c>
    </row>
    <row r="12299" spans="6:7">
      <c r="F12299" s="6">
        <f>IF($M12299="PADD I","PADD 1",IF($M12299="PADD II","PADD 2",IF($M12299="PADD III","PADD 3",IF($M12299="PADD IV","PADD 4",IF($M12299="PADD V","PADD 5","")))))</f>
        <v/>
      </c>
      <c r="G12299" s="6">
        <f>IF(AND($H12299="ATMOS DISTILLATION",ISNUMBER(SEARCH("VPS",$I12299))=FALSE,LEFT($I12299,6)&lt;&gt;"VACUUM"),"CDU",IF($H12299="FLUID CAT CRACKING","FCC",IF(OR($H12299="HYDROCRACKING",$H12299="RESID_HYDROCRACKING"),"Hydrocracker",IF($H12299="REFORMING","Reformer",""))))</f>
        <v/>
      </c>
    </row>
    <row r="12300" spans="6:7">
      <c r="F12300" s="6">
        <f>IF($M12300="PADD I","PADD 1",IF($M12300="PADD II","PADD 2",IF($M12300="PADD III","PADD 3",IF($M12300="PADD IV","PADD 4",IF($M12300="PADD V","PADD 5","")))))</f>
        <v/>
      </c>
      <c r="G12300" s="6">
        <f>IF(AND($H12300="ATMOS DISTILLATION",ISNUMBER(SEARCH("VPS",$I12300))=FALSE,LEFT($I12300,6)&lt;&gt;"VACUUM"),"CDU",IF($H12300="FLUID CAT CRACKING","FCC",IF(OR($H12300="HYDROCRACKING",$H12300="RESID_HYDROCRACKING"),"Hydrocracker",IF($H12300="REFORMING","Reformer",""))))</f>
        <v/>
      </c>
    </row>
    <row r="12301" spans="6:7">
      <c r="F12301" s="6">
        <f>IF($M12301="PADD I","PADD 1",IF($M12301="PADD II","PADD 2",IF($M12301="PADD III","PADD 3",IF($M12301="PADD IV","PADD 4",IF($M12301="PADD V","PADD 5","")))))</f>
        <v/>
      </c>
      <c r="G12301" s="6">
        <f>IF(AND($H12301="ATMOS DISTILLATION",ISNUMBER(SEARCH("VPS",$I12301))=FALSE,LEFT($I12301,6)&lt;&gt;"VACUUM"),"CDU",IF($H12301="FLUID CAT CRACKING","FCC",IF(OR($H12301="HYDROCRACKING",$H12301="RESID_HYDROCRACKING"),"Hydrocracker",IF($H12301="REFORMING","Reformer",""))))</f>
        <v/>
      </c>
    </row>
    <row r="12302" spans="6:7">
      <c r="F12302" s="6">
        <f>IF($M12302="PADD I","PADD 1",IF($M12302="PADD II","PADD 2",IF($M12302="PADD III","PADD 3",IF($M12302="PADD IV","PADD 4",IF($M12302="PADD V","PADD 5","")))))</f>
        <v/>
      </c>
      <c r="G12302" s="6">
        <f>IF(AND($H12302="ATMOS DISTILLATION",ISNUMBER(SEARCH("VPS",$I12302))=FALSE,LEFT($I12302,6)&lt;&gt;"VACUUM"),"CDU",IF($H12302="FLUID CAT CRACKING","FCC",IF(OR($H12302="HYDROCRACKING",$H12302="RESID_HYDROCRACKING"),"Hydrocracker",IF($H12302="REFORMING","Reformer",""))))</f>
        <v/>
      </c>
    </row>
    <row r="12303" spans="6:7">
      <c r="F12303" s="6">
        <f>IF($M12303="PADD I","PADD 1",IF($M12303="PADD II","PADD 2",IF($M12303="PADD III","PADD 3",IF($M12303="PADD IV","PADD 4",IF($M12303="PADD V","PADD 5","")))))</f>
        <v/>
      </c>
      <c r="G12303" s="6">
        <f>IF(AND($H12303="ATMOS DISTILLATION",ISNUMBER(SEARCH("VPS",$I12303))=FALSE,LEFT($I12303,6)&lt;&gt;"VACUUM"),"CDU",IF($H12303="FLUID CAT CRACKING","FCC",IF(OR($H12303="HYDROCRACKING",$H12303="RESID_HYDROCRACKING"),"Hydrocracker",IF($H12303="REFORMING","Reformer",""))))</f>
        <v/>
      </c>
    </row>
    <row r="12304" spans="6:7">
      <c r="F12304" s="6">
        <f>IF($M12304="PADD I","PADD 1",IF($M12304="PADD II","PADD 2",IF($M12304="PADD III","PADD 3",IF($M12304="PADD IV","PADD 4",IF($M12304="PADD V","PADD 5","")))))</f>
        <v/>
      </c>
      <c r="G12304" s="6">
        <f>IF(AND($H12304="ATMOS DISTILLATION",ISNUMBER(SEARCH("VPS",$I12304))=FALSE,LEFT($I12304,6)&lt;&gt;"VACUUM"),"CDU",IF($H12304="FLUID CAT CRACKING","FCC",IF(OR($H12304="HYDROCRACKING",$H12304="RESID_HYDROCRACKING"),"Hydrocracker",IF($H12304="REFORMING","Reformer",""))))</f>
        <v/>
      </c>
    </row>
    <row r="12305" spans="6:7">
      <c r="F12305" s="6">
        <f>IF($M12305="PADD I","PADD 1",IF($M12305="PADD II","PADD 2",IF($M12305="PADD III","PADD 3",IF($M12305="PADD IV","PADD 4",IF($M12305="PADD V","PADD 5","")))))</f>
        <v/>
      </c>
      <c r="G12305" s="6">
        <f>IF(AND($H12305="ATMOS DISTILLATION",ISNUMBER(SEARCH("VPS",$I12305))=FALSE,LEFT($I12305,6)&lt;&gt;"VACUUM"),"CDU",IF($H12305="FLUID CAT CRACKING","FCC",IF(OR($H12305="HYDROCRACKING",$H12305="RESID_HYDROCRACKING"),"Hydrocracker",IF($H12305="REFORMING","Reformer",""))))</f>
        <v/>
      </c>
    </row>
    <row r="12306" spans="6:7">
      <c r="F12306" s="6">
        <f>IF($M12306="PADD I","PADD 1",IF($M12306="PADD II","PADD 2",IF($M12306="PADD III","PADD 3",IF($M12306="PADD IV","PADD 4",IF($M12306="PADD V","PADD 5","")))))</f>
        <v/>
      </c>
      <c r="G12306" s="6">
        <f>IF(AND($H12306="ATMOS DISTILLATION",ISNUMBER(SEARCH("VPS",$I12306))=FALSE,LEFT($I12306,6)&lt;&gt;"VACUUM"),"CDU",IF($H12306="FLUID CAT CRACKING","FCC",IF(OR($H12306="HYDROCRACKING",$H12306="RESID_HYDROCRACKING"),"Hydrocracker",IF($H12306="REFORMING","Reformer",""))))</f>
        <v/>
      </c>
    </row>
    <row r="12307" spans="6:7">
      <c r="F12307" s="6">
        <f>IF($M12307="PADD I","PADD 1",IF($M12307="PADD II","PADD 2",IF($M12307="PADD III","PADD 3",IF($M12307="PADD IV","PADD 4",IF($M12307="PADD V","PADD 5","")))))</f>
        <v/>
      </c>
      <c r="G12307" s="6">
        <f>IF(AND($H12307="ATMOS DISTILLATION",ISNUMBER(SEARCH("VPS",$I12307))=FALSE,LEFT($I12307,6)&lt;&gt;"VACUUM"),"CDU",IF($H12307="FLUID CAT CRACKING","FCC",IF(OR($H12307="HYDROCRACKING",$H12307="RESID_HYDROCRACKING"),"Hydrocracker",IF($H12307="REFORMING","Reformer",""))))</f>
        <v/>
      </c>
    </row>
    <row r="12308" spans="6:7">
      <c r="F12308" s="6">
        <f>IF($M12308="PADD I","PADD 1",IF($M12308="PADD II","PADD 2",IF($M12308="PADD III","PADD 3",IF($M12308="PADD IV","PADD 4",IF($M12308="PADD V","PADD 5","")))))</f>
        <v/>
      </c>
      <c r="G12308" s="6">
        <f>IF(AND($H12308="ATMOS DISTILLATION",ISNUMBER(SEARCH("VPS",$I12308))=FALSE,LEFT($I12308,6)&lt;&gt;"VACUUM"),"CDU",IF($H12308="FLUID CAT CRACKING","FCC",IF(OR($H12308="HYDROCRACKING",$H12308="RESID_HYDROCRACKING"),"Hydrocracker",IF($H12308="REFORMING","Reformer",""))))</f>
        <v/>
      </c>
    </row>
    <row r="12309" spans="6:7">
      <c r="F12309" s="6">
        <f>IF($M12309="PADD I","PADD 1",IF($M12309="PADD II","PADD 2",IF($M12309="PADD III","PADD 3",IF($M12309="PADD IV","PADD 4",IF($M12309="PADD V","PADD 5","")))))</f>
        <v/>
      </c>
      <c r="G12309" s="6">
        <f>IF(AND($H12309="ATMOS DISTILLATION",ISNUMBER(SEARCH("VPS",$I12309))=FALSE,LEFT($I12309,6)&lt;&gt;"VACUUM"),"CDU",IF($H12309="FLUID CAT CRACKING","FCC",IF(OR($H12309="HYDROCRACKING",$H12309="RESID_HYDROCRACKING"),"Hydrocracker",IF($H12309="REFORMING","Reformer",""))))</f>
        <v/>
      </c>
    </row>
    <row r="12310" spans="6:7">
      <c r="F12310" s="6">
        <f>IF($M12310="PADD I","PADD 1",IF($M12310="PADD II","PADD 2",IF($M12310="PADD III","PADD 3",IF($M12310="PADD IV","PADD 4",IF($M12310="PADD V","PADD 5","")))))</f>
        <v/>
      </c>
      <c r="G12310" s="6">
        <f>IF(AND($H12310="ATMOS DISTILLATION",ISNUMBER(SEARCH("VPS",$I12310))=FALSE,LEFT($I12310,6)&lt;&gt;"VACUUM"),"CDU",IF($H12310="FLUID CAT CRACKING","FCC",IF(OR($H12310="HYDROCRACKING",$H12310="RESID_HYDROCRACKING"),"Hydrocracker",IF($H12310="REFORMING","Reformer",""))))</f>
        <v/>
      </c>
    </row>
    <row r="12311" spans="6:7">
      <c r="F12311" s="6">
        <f>IF($M12311="PADD I","PADD 1",IF($M12311="PADD II","PADD 2",IF($M12311="PADD III","PADD 3",IF($M12311="PADD IV","PADD 4",IF($M12311="PADD V","PADD 5","")))))</f>
        <v/>
      </c>
      <c r="G12311" s="6">
        <f>IF(AND($H12311="ATMOS DISTILLATION",ISNUMBER(SEARCH("VPS",$I12311))=FALSE,LEFT($I12311,6)&lt;&gt;"VACUUM"),"CDU",IF($H12311="FLUID CAT CRACKING","FCC",IF(OR($H12311="HYDROCRACKING",$H12311="RESID_HYDROCRACKING"),"Hydrocracker",IF($H12311="REFORMING","Reformer",""))))</f>
        <v/>
      </c>
    </row>
    <row r="12312" spans="6:7">
      <c r="F12312" s="6">
        <f>IF($M12312="PADD I","PADD 1",IF($M12312="PADD II","PADD 2",IF($M12312="PADD III","PADD 3",IF($M12312="PADD IV","PADD 4",IF($M12312="PADD V","PADD 5","")))))</f>
        <v/>
      </c>
      <c r="G12312" s="6">
        <f>IF(AND($H12312="ATMOS DISTILLATION",ISNUMBER(SEARCH("VPS",$I12312))=FALSE,LEFT($I12312,6)&lt;&gt;"VACUUM"),"CDU",IF($H12312="FLUID CAT CRACKING","FCC",IF(OR($H12312="HYDROCRACKING",$H12312="RESID_HYDROCRACKING"),"Hydrocracker",IF($H12312="REFORMING","Reformer",""))))</f>
        <v/>
      </c>
    </row>
    <row r="12313" spans="6:7">
      <c r="F12313" s="6">
        <f>IF($M12313="PADD I","PADD 1",IF($M12313="PADD II","PADD 2",IF($M12313="PADD III","PADD 3",IF($M12313="PADD IV","PADD 4",IF($M12313="PADD V","PADD 5","")))))</f>
        <v/>
      </c>
      <c r="G12313" s="6">
        <f>IF(AND($H12313="ATMOS DISTILLATION",ISNUMBER(SEARCH("VPS",$I12313))=FALSE,LEFT($I12313,6)&lt;&gt;"VACUUM"),"CDU",IF($H12313="FLUID CAT CRACKING","FCC",IF(OR($H12313="HYDROCRACKING",$H12313="RESID_HYDROCRACKING"),"Hydrocracker",IF($H12313="REFORMING","Reformer",""))))</f>
        <v/>
      </c>
    </row>
    <row r="12314" spans="6:7">
      <c r="F12314" s="6">
        <f>IF($M12314="PADD I","PADD 1",IF($M12314="PADD II","PADD 2",IF($M12314="PADD III","PADD 3",IF($M12314="PADD IV","PADD 4",IF($M12314="PADD V","PADD 5","")))))</f>
        <v/>
      </c>
      <c r="G12314" s="6">
        <f>IF(AND($H12314="ATMOS DISTILLATION",ISNUMBER(SEARCH("VPS",$I12314))=FALSE,LEFT($I12314,6)&lt;&gt;"VACUUM"),"CDU",IF($H12314="FLUID CAT CRACKING","FCC",IF(OR($H12314="HYDROCRACKING",$H12314="RESID_HYDROCRACKING"),"Hydrocracker",IF($H12314="REFORMING","Reformer",""))))</f>
        <v/>
      </c>
    </row>
    <row r="12315" spans="6:7">
      <c r="F12315" s="6">
        <f>IF($M12315="PADD I","PADD 1",IF($M12315="PADD II","PADD 2",IF($M12315="PADD III","PADD 3",IF($M12315="PADD IV","PADD 4",IF($M12315="PADD V","PADD 5","")))))</f>
        <v/>
      </c>
      <c r="G12315" s="6">
        <f>IF(AND($H12315="ATMOS DISTILLATION",ISNUMBER(SEARCH("VPS",$I12315))=FALSE,LEFT($I12315,6)&lt;&gt;"VACUUM"),"CDU",IF($H12315="FLUID CAT CRACKING","FCC",IF(OR($H12315="HYDROCRACKING",$H12315="RESID_HYDROCRACKING"),"Hydrocracker",IF($H12315="REFORMING","Reformer",""))))</f>
        <v/>
      </c>
    </row>
    <row r="12316" spans="6:7">
      <c r="F12316" s="6">
        <f>IF($M12316="PADD I","PADD 1",IF($M12316="PADD II","PADD 2",IF($M12316="PADD III","PADD 3",IF($M12316="PADD IV","PADD 4",IF($M12316="PADD V","PADD 5","")))))</f>
        <v/>
      </c>
      <c r="G12316" s="6">
        <f>IF(AND($H12316="ATMOS DISTILLATION",ISNUMBER(SEARCH("VPS",$I12316))=FALSE,LEFT($I12316,6)&lt;&gt;"VACUUM"),"CDU",IF($H12316="FLUID CAT CRACKING","FCC",IF(OR($H12316="HYDROCRACKING",$H12316="RESID_HYDROCRACKING"),"Hydrocracker",IF($H12316="REFORMING","Reformer",""))))</f>
        <v/>
      </c>
    </row>
    <row r="12317" spans="6:7">
      <c r="F12317" s="6">
        <f>IF($M12317="PADD I","PADD 1",IF($M12317="PADD II","PADD 2",IF($M12317="PADD III","PADD 3",IF($M12317="PADD IV","PADD 4",IF($M12317="PADD V","PADD 5","")))))</f>
        <v/>
      </c>
      <c r="G12317" s="6">
        <f>IF(AND($H12317="ATMOS DISTILLATION",ISNUMBER(SEARCH("VPS",$I12317))=FALSE,LEFT($I12317,6)&lt;&gt;"VACUUM"),"CDU",IF($H12317="FLUID CAT CRACKING","FCC",IF(OR($H12317="HYDROCRACKING",$H12317="RESID_HYDROCRACKING"),"Hydrocracker",IF($H12317="REFORMING","Reformer",""))))</f>
        <v/>
      </c>
    </row>
    <row r="12318" spans="6:7">
      <c r="F12318" s="6">
        <f>IF($M12318="PADD I","PADD 1",IF($M12318="PADD II","PADD 2",IF($M12318="PADD III","PADD 3",IF($M12318="PADD IV","PADD 4",IF($M12318="PADD V","PADD 5","")))))</f>
        <v/>
      </c>
      <c r="G12318" s="6">
        <f>IF(AND($H12318="ATMOS DISTILLATION",ISNUMBER(SEARCH("VPS",$I12318))=FALSE,LEFT($I12318,6)&lt;&gt;"VACUUM"),"CDU",IF($H12318="FLUID CAT CRACKING","FCC",IF(OR($H12318="HYDROCRACKING",$H12318="RESID_HYDROCRACKING"),"Hydrocracker",IF($H12318="REFORMING","Reformer",""))))</f>
        <v/>
      </c>
    </row>
    <row r="12319" spans="6:7">
      <c r="F12319" s="6">
        <f>IF($M12319="PADD I","PADD 1",IF($M12319="PADD II","PADD 2",IF($M12319="PADD III","PADD 3",IF($M12319="PADD IV","PADD 4",IF($M12319="PADD V","PADD 5","")))))</f>
        <v/>
      </c>
      <c r="G12319" s="6">
        <f>IF(AND($H12319="ATMOS DISTILLATION",ISNUMBER(SEARCH("VPS",$I12319))=FALSE,LEFT($I12319,6)&lt;&gt;"VACUUM"),"CDU",IF($H12319="FLUID CAT CRACKING","FCC",IF(OR($H12319="HYDROCRACKING",$H12319="RESID_HYDROCRACKING"),"Hydrocracker",IF($H12319="REFORMING","Reformer",""))))</f>
        <v/>
      </c>
    </row>
    <row r="12320" spans="6:7">
      <c r="F12320" s="6">
        <f>IF($M12320="PADD I","PADD 1",IF($M12320="PADD II","PADD 2",IF($M12320="PADD III","PADD 3",IF($M12320="PADD IV","PADD 4",IF($M12320="PADD V","PADD 5","")))))</f>
        <v/>
      </c>
      <c r="G12320" s="6">
        <f>IF(AND($H12320="ATMOS DISTILLATION",ISNUMBER(SEARCH("VPS",$I12320))=FALSE,LEFT($I12320,6)&lt;&gt;"VACUUM"),"CDU",IF($H12320="FLUID CAT CRACKING","FCC",IF(OR($H12320="HYDROCRACKING",$H12320="RESID_HYDROCRACKING"),"Hydrocracker",IF($H12320="REFORMING","Reformer",""))))</f>
        <v/>
      </c>
    </row>
    <row r="12321" spans="6:7">
      <c r="F12321" s="6">
        <f>IF($M12321="PADD I","PADD 1",IF($M12321="PADD II","PADD 2",IF($M12321="PADD III","PADD 3",IF($M12321="PADD IV","PADD 4",IF($M12321="PADD V","PADD 5","")))))</f>
        <v/>
      </c>
      <c r="G12321" s="6">
        <f>IF(AND($H12321="ATMOS DISTILLATION",ISNUMBER(SEARCH("VPS",$I12321))=FALSE,LEFT($I12321,6)&lt;&gt;"VACUUM"),"CDU",IF($H12321="FLUID CAT CRACKING","FCC",IF(OR($H12321="HYDROCRACKING",$H12321="RESID_HYDROCRACKING"),"Hydrocracker",IF($H12321="REFORMING","Reformer",""))))</f>
        <v/>
      </c>
    </row>
    <row r="12322" spans="6:7">
      <c r="F12322" s="6">
        <f>IF($M12322="PADD I","PADD 1",IF($M12322="PADD II","PADD 2",IF($M12322="PADD III","PADD 3",IF($M12322="PADD IV","PADD 4",IF($M12322="PADD V","PADD 5","")))))</f>
        <v/>
      </c>
      <c r="G12322" s="6">
        <f>IF(AND($H12322="ATMOS DISTILLATION",ISNUMBER(SEARCH("VPS",$I12322))=FALSE,LEFT($I12322,6)&lt;&gt;"VACUUM"),"CDU",IF($H12322="FLUID CAT CRACKING","FCC",IF(OR($H12322="HYDROCRACKING",$H12322="RESID_HYDROCRACKING"),"Hydrocracker",IF($H12322="REFORMING","Reformer",""))))</f>
        <v/>
      </c>
    </row>
    <row r="12323" spans="6:7">
      <c r="F12323" s="6">
        <f>IF($M12323="PADD I","PADD 1",IF($M12323="PADD II","PADD 2",IF($M12323="PADD III","PADD 3",IF($M12323="PADD IV","PADD 4",IF($M12323="PADD V","PADD 5","")))))</f>
        <v/>
      </c>
      <c r="G12323" s="6">
        <f>IF(AND($H12323="ATMOS DISTILLATION",ISNUMBER(SEARCH("VPS",$I12323))=FALSE,LEFT($I12323,6)&lt;&gt;"VACUUM"),"CDU",IF($H12323="FLUID CAT CRACKING","FCC",IF(OR($H12323="HYDROCRACKING",$H12323="RESID_HYDROCRACKING"),"Hydrocracker",IF($H12323="REFORMING","Reformer",""))))</f>
        <v/>
      </c>
    </row>
    <row r="12324" spans="6:7">
      <c r="F12324" s="6">
        <f>IF($M12324="PADD I","PADD 1",IF($M12324="PADD II","PADD 2",IF($M12324="PADD III","PADD 3",IF($M12324="PADD IV","PADD 4",IF($M12324="PADD V","PADD 5","")))))</f>
        <v/>
      </c>
      <c r="G12324" s="6">
        <f>IF(AND($H12324="ATMOS DISTILLATION",ISNUMBER(SEARCH("VPS",$I12324))=FALSE,LEFT($I12324,6)&lt;&gt;"VACUUM"),"CDU",IF($H12324="FLUID CAT CRACKING","FCC",IF(OR($H12324="HYDROCRACKING",$H12324="RESID_HYDROCRACKING"),"Hydrocracker",IF($H12324="REFORMING","Reformer",""))))</f>
        <v/>
      </c>
    </row>
    <row r="12325" spans="6:7">
      <c r="F12325" s="6">
        <f>IF($M12325="PADD I","PADD 1",IF($M12325="PADD II","PADD 2",IF($M12325="PADD III","PADD 3",IF($M12325="PADD IV","PADD 4",IF($M12325="PADD V","PADD 5","")))))</f>
        <v/>
      </c>
      <c r="G12325" s="6">
        <f>IF(AND($H12325="ATMOS DISTILLATION",ISNUMBER(SEARCH("VPS",$I12325))=FALSE,LEFT($I12325,6)&lt;&gt;"VACUUM"),"CDU",IF($H12325="FLUID CAT CRACKING","FCC",IF(OR($H12325="HYDROCRACKING",$H12325="RESID_HYDROCRACKING"),"Hydrocracker",IF($H12325="REFORMING","Reformer",""))))</f>
        <v/>
      </c>
    </row>
    <row r="12326" spans="6:7">
      <c r="F12326" s="6">
        <f>IF($M12326="PADD I","PADD 1",IF($M12326="PADD II","PADD 2",IF($M12326="PADD III","PADD 3",IF($M12326="PADD IV","PADD 4",IF($M12326="PADD V","PADD 5","")))))</f>
        <v/>
      </c>
      <c r="G12326" s="6">
        <f>IF(AND($H12326="ATMOS DISTILLATION",ISNUMBER(SEARCH("VPS",$I12326))=FALSE,LEFT($I12326,6)&lt;&gt;"VACUUM"),"CDU",IF($H12326="FLUID CAT CRACKING","FCC",IF(OR($H12326="HYDROCRACKING",$H12326="RESID_HYDROCRACKING"),"Hydrocracker",IF($H12326="REFORMING","Reformer",""))))</f>
        <v/>
      </c>
    </row>
    <row r="12327" spans="6:7">
      <c r="F12327" s="6">
        <f>IF($M12327="PADD I","PADD 1",IF($M12327="PADD II","PADD 2",IF($M12327="PADD III","PADD 3",IF($M12327="PADD IV","PADD 4",IF($M12327="PADD V","PADD 5","")))))</f>
        <v/>
      </c>
      <c r="G12327" s="6">
        <f>IF(AND($H12327="ATMOS DISTILLATION",ISNUMBER(SEARCH("VPS",$I12327))=FALSE,LEFT($I12327,6)&lt;&gt;"VACUUM"),"CDU",IF($H12327="FLUID CAT CRACKING","FCC",IF(OR($H12327="HYDROCRACKING",$H12327="RESID_HYDROCRACKING"),"Hydrocracker",IF($H12327="REFORMING","Reformer",""))))</f>
        <v/>
      </c>
    </row>
    <row r="12328" spans="6:7">
      <c r="F12328" s="6">
        <f>IF($M12328="PADD I","PADD 1",IF($M12328="PADD II","PADD 2",IF($M12328="PADD III","PADD 3",IF($M12328="PADD IV","PADD 4",IF($M12328="PADD V","PADD 5","")))))</f>
        <v/>
      </c>
      <c r="G12328" s="6">
        <f>IF(AND($H12328="ATMOS DISTILLATION",ISNUMBER(SEARCH("VPS",$I12328))=FALSE,LEFT($I12328,6)&lt;&gt;"VACUUM"),"CDU",IF($H12328="FLUID CAT CRACKING","FCC",IF(OR($H12328="HYDROCRACKING",$H12328="RESID_HYDROCRACKING"),"Hydrocracker",IF($H12328="REFORMING","Reformer",""))))</f>
        <v/>
      </c>
    </row>
    <row r="12329" spans="6:7">
      <c r="F12329" s="6">
        <f>IF($M12329="PADD I","PADD 1",IF($M12329="PADD II","PADD 2",IF($M12329="PADD III","PADD 3",IF($M12329="PADD IV","PADD 4",IF($M12329="PADD V","PADD 5","")))))</f>
        <v/>
      </c>
      <c r="G12329" s="6">
        <f>IF(AND($H12329="ATMOS DISTILLATION",ISNUMBER(SEARCH("VPS",$I12329))=FALSE,LEFT($I12329,6)&lt;&gt;"VACUUM"),"CDU",IF($H12329="FLUID CAT CRACKING","FCC",IF(OR($H12329="HYDROCRACKING",$H12329="RESID_HYDROCRACKING"),"Hydrocracker",IF($H12329="REFORMING","Reformer",""))))</f>
        <v/>
      </c>
    </row>
    <row r="12330" spans="6:7">
      <c r="F12330" s="6">
        <f>IF($M12330="PADD I","PADD 1",IF($M12330="PADD II","PADD 2",IF($M12330="PADD III","PADD 3",IF($M12330="PADD IV","PADD 4",IF($M12330="PADD V","PADD 5","")))))</f>
        <v/>
      </c>
      <c r="G12330" s="6">
        <f>IF(AND($H12330="ATMOS DISTILLATION",ISNUMBER(SEARCH("VPS",$I12330))=FALSE,LEFT($I12330,6)&lt;&gt;"VACUUM"),"CDU",IF($H12330="FLUID CAT CRACKING","FCC",IF(OR($H12330="HYDROCRACKING",$H12330="RESID_HYDROCRACKING"),"Hydrocracker",IF($H12330="REFORMING","Reformer",""))))</f>
        <v/>
      </c>
    </row>
    <row r="12331" spans="6:7">
      <c r="F12331" s="6">
        <f>IF($M12331="PADD I","PADD 1",IF($M12331="PADD II","PADD 2",IF($M12331="PADD III","PADD 3",IF($M12331="PADD IV","PADD 4",IF($M12331="PADD V","PADD 5","")))))</f>
        <v/>
      </c>
      <c r="G12331" s="6">
        <f>IF(AND($H12331="ATMOS DISTILLATION",ISNUMBER(SEARCH("VPS",$I12331))=FALSE,LEFT($I12331,6)&lt;&gt;"VACUUM"),"CDU",IF($H12331="FLUID CAT CRACKING","FCC",IF(OR($H12331="HYDROCRACKING",$H12331="RESID_HYDROCRACKING"),"Hydrocracker",IF($H12331="REFORMING","Reformer",""))))</f>
        <v/>
      </c>
    </row>
    <row r="12332" spans="6:7">
      <c r="F12332" s="6">
        <f>IF($M12332="PADD I","PADD 1",IF($M12332="PADD II","PADD 2",IF($M12332="PADD III","PADD 3",IF($M12332="PADD IV","PADD 4",IF($M12332="PADD V","PADD 5","")))))</f>
        <v/>
      </c>
      <c r="G12332" s="6">
        <f>IF(AND($H12332="ATMOS DISTILLATION",ISNUMBER(SEARCH("VPS",$I12332))=FALSE,LEFT($I12332,6)&lt;&gt;"VACUUM"),"CDU",IF($H12332="FLUID CAT CRACKING","FCC",IF(OR($H12332="HYDROCRACKING",$H12332="RESID_HYDROCRACKING"),"Hydrocracker",IF($H12332="REFORMING","Reformer",""))))</f>
        <v/>
      </c>
    </row>
    <row r="12333" spans="6:7">
      <c r="F12333" s="6">
        <f>IF($M12333="PADD I","PADD 1",IF($M12333="PADD II","PADD 2",IF($M12333="PADD III","PADD 3",IF($M12333="PADD IV","PADD 4",IF($M12333="PADD V","PADD 5","")))))</f>
        <v/>
      </c>
      <c r="G12333" s="6">
        <f>IF(AND($H12333="ATMOS DISTILLATION",ISNUMBER(SEARCH("VPS",$I12333))=FALSE,LEFT($I12333,6)&lt;&gt;"VACUUM"),"CDU",IF($H12333="FLUID CAT CRACKING","FCC",IF(OR($H12333="HYDROCRACKING",$H12333="RESID_HYDROCRACKING"),"Hydrocracker",IF($H12333="REFORMING","Reformer",""))))</f>
        <v/>
      </c>
    </row>
    <row r="12334" spans="6:7">
      <c r="F12334" s="6">
        <f>IF($M12334="PADD I","PADD 1",IF($M12334="PADD II","PADD 2",IF($M12334="PADD III","PADD 3",IF($M12334="PADD IV","PADD 4",IF($M12334="PADD V","PADD 5","")))))</f>
        <v/>
      </c>
      <c r="G12334" s="6">
        <f>IF(AND($H12334="ATMOS DISTILLATION",ISNUMBER(SEARCH("VPS",$I12334))=FALSE,LEFT($I12334,6)&lt;&gt;"VACUUM"),"CDU",IF($H12334="FLUID CAT CRACKING","FCC",IF(OR($H12334="HYDROCRACKING",$H12334="RESID_HYDROCRACKING"),"Hydrocracker",IF($H12334="REFORMING","Reformer",""))))</f>
        <v/>
      </c>
    </row>
    <row r="12335" spans="6:7">
      <c r="F12335" s="6">
        <f>IF($M12335="PADD I","PADD 1",IF($M12335="PADD II","PADD 2",IF($M12335="PADD III","PADD 3",IF($M12335="PADD IV","PADD 4",IF($M12335="PADD V","PADD 5","")))))</f>
        <v/>
      </c>
      <c r="G12335" s="6">
        <f>IF(AND($H12335="ATMOS DISTILLATION",ISNUMBER(SEARCH("VPS",$I12335))=FALSE,LEFT($I12335,6)&lt;&gt;"VACUUM"),"CDU",IF($H12335="FLUID CAT CRACKING","FCC",IF(OR($H12335="HYDROCRACKING",$H12335="RESID_HYDROCRACKING"),"Hydrocracker",IF($H12335="REFORMING","Reformer",""))))</f>
        <v/>
      </c>
    </row>
    <row r="12336" spans="6:7">
      <c r="F12336" s="6">
        <f>IF($M12336="PADD I","PADD 1",IF($M12336="PADD II","PADD 2",IF($M12336="PADD III","PADD 3",IF($M12336="PADD IV","PADD 4",IF($M12336="PADD V","PADD 5","")))))</f>
        <v/>
      </c>
      <c r="G12336" s="6">
        <f>IF(AND($H12336="ATMOS DISTILLATION",ISNUMBER(SEARCH("VPS",$I12336))=FALSE,LEFT($I12336,6)&lt;&gt;"VACUUM"),"CDU",IF($H12336="FLUID CAT CRACKING","FCC",IF(OR($H12336="HYDROCRACKING",$H12336="RESID_HYDROCRACKING"),"Hydrocracker",IF($H12336="REFORMING","Reformer",""))))</f>
        <v/>
      </c>
    </row>
    <row r="12337" spans="6:7">
      <c r="F12337" s="6">
        <f>IF($M12337="PADD I","PADD 1",IF($M12337="PADD II","PADD 2",IF($M12337="PADD III","PADD 3",IF($M12337="PADD IV","PADD 4",IF($M12337="PADD V","PADD 5","")))))</f>
        <v/>
      </c>
      <c r="G12337" s="6">
        <f>IF(AND($H12337="ATMOS DISTILLATION",ISNUMBER(SEARCH("VPS",$I12337))=FALSE,LEFT($I12337,6)&lt;&gt;"VACUUM"),"CDU",IF($H12337="FLUID CAT CRACKING","FCC",IF(OR($H12337="HYDROCRACKING",$H12337="RESID_HYDROCRACKING"),"Hydrocracker",IF($H12337="REFORMING","Reformer",""))))</f>
        <v/>
      </c>
    </row>
    <row r="12338" spans="6:7">
      <c r="F12338" s="6">
        <f>IF($M12338="PADD I","PADD 1",IF($M12338="PADD II","PADD 2",IF($M12338="PADD III","PADD 3",IF($M12338="PADD IV","PADD 4",IF($M12338="PADD V","PADD 5","")))))</f>
        <v/>
      </c>
      <c r="G12338" s="6">
        <f>IF(AND($H12338="ATMOS DISTILLATION",ISNUMBER(SEARCH("VPS",$I12338))=FALSE,LEFT($I12338,6)&lt;&gt;"VACUUM"),"CDU",IF($H12338="FLUID CAT CRACKING","FCC",IF(OR($H12338="HYDROCRACKING",$H12338="RESID_HYDROCRACKING"),"Hydrocracker",IF($H12338="REFORMING","Reformer",""))))</f>
        <v/>
      </c>
    </row>
    <row r="12339" spans="6:7">
      <c r="F12339" s="6">
        <f>IF($M12339="PADD I","PADD 1",IF($M12339="PADD II","PADD 2",IF($M12339="PADD III","PADD 3",IF($M12339="PADD IV","PADD 4",IF($M12339="PADD V","PADD 5","")))))</f>
        <v/>
      </c>
      <c r="G12339" s="6">
        <f>IF(AND($H12339="ATMOS DISTILLATION",ISNUMBER(SEARCH("VPS",$I12339))=FALSE,LEFT($I12339,6)&lt;&gt;"VACUUM"),"CDU",IF($H12339="FLUID CAT CRACKING","FCC",IF(OR($H12339="HYDROCRACKING",$H12339="RESID_HYDROCRACKING"),"Hydrocracker",IF($H12339="REFORMING","Reformer",""))))</f>
        <v/>
      </c>
    </row>
    <row r="12340" spans="6:7">
      <c r="F12340" s="6">
        <f>IF($M12340="PADD I","PADD 1",IF($M12340="PADD II","PADD 2",IF($M12340="PADD III","PADD 3",IF($M12340="PADD IV","PADD 4",IF($M12340="PADD V","PADD 5","")))))</f>
        <v/>
      </c>
      <c r="G12340" s="6">
        <f>IF(AND($H12340="ATMOS DISTILLATION",ISNUMBER(SEARCH("VPS",$I12340))=FALSE,LEFT($I12340,6)&lt;&gt;"VACUUM"),"CDU",IF($H12340="FLUID CAT CRACKING","FCC",IF(OR($H12340="HYDROCRACKING",$H12340="RESID_HYDROCRACKING"),"Hydrocracker",IF($H12340="REFORMING","Reformer",""))))</f>
        <v/>
      </c>
    </row>
    <row r="12341" spans="6:7">
      <c r="F12341" s="6">
        <f>IF($M12341="PADD I","PADD 1",IF($M12341="PADD II","PADD 2",IF($M12341="PADD III","PADD 3",IF($M12341="PADD IV","PADD 4",IF($M12341="PADD V","PADD 5","")))))</f>
        <v/>
      </c>
      <c r="G12341" s="6">
        <f>IF(AND($H12341="ATMOS DISTILLATION",ISNUMBER(SEARCH("VPS",$I12341))=FALSE,LEFT($I12341,6)&lt;&gt;"VACUUM"),"CDU",IF($H12341="FLUID CAT CRACKING","FCC",IF(OR($H12341="HYDROCRACKING",$H12341="RESID_HYDROCRACKING"),"Hydrocracker",IF($H12341="REFORMING","Reformer",""))))</f>
        <v/>
      </c>
    </row>
    <row r="12342" spans="6:7">
      <c r="F12342" s="6">
        <f>IF($M12342="PADD I","PADD 1",IF($M12342="PADD II","PADD 2",IF($M12342="PADD III","PADD 3",IF($M12342="PADD IV","PADD 4",IF($M12342="PADD V","PADD 5","")))))</f>
        <v/>
      </c>
      <c r="G12342" s="6">
        <f>IF(AND($H12342="ATMOS DISTILLATION",ISNUMBER(SEARCH("VPS",$I12342))=FALSE,LEFT($I12342,6)&lt;&gt;"VACUUM"),"CDU",IF($H12342="FLUID CAT CRACKING","FCC",IF(OR($H12342="HYDROCRACKING",$H12342="RESID_HYDROCRACKING"),"Hydrocracker",IF($H12342="REFORMING","Reformer",""))))</f>
        <v/>
      </c>
    </row>
    <row r="12343" spans="6:7">
      <c r="F12343" s="6">
        <f>IF($M12343="PADD I","PADD 1",IF($M12343="PADD II","PADD 2",IF($M12343="PADD III","PADD 3",IF($M12343="PADD IV","PADD 4",IF($M12343="PADD V","PADD 5","")))))</f>
        <v/>
      </c>
      <c r="G12343" s="6">
        <f>IF(AND($H12343="ATMOS DISTILLATION",ISNUMBER(SEARCH("VPS",$I12343))=FALSE,LEFT($I12343,6)&lt;&gt;"VACUUM"),"CDU",IF($H12343="FLUID CAT CRACKING","FCC",IF(OR($H12343="HYDROCRACKING",$H12343="RESID_HYDROCRACKING"),"Hydrocracker",IF($H12343="REFORMING","Reformer",""))))</f>
        <v/>
      </c>
    </row>
    <row r="12344" spans="6:7">
      <c r="F12344" s="6">
        <f>IF($M12344="PADD I","PADD 1",IF($M12344="PADD II","PADD 2",IF($M12344="PADD III","PADD 3",IF($M12344="PADD IV","PADD 4",IF($M12344="PADD V","PADD 5","")))))</f>
        <v/>
      </c>
      <c r="G12344" s="6">
        <f>IF(AND($H12344="ATMOS DISTILLATION",ISNUMBER(SEARCH("VPS",$I12344))=FALSE,LEFT($I12344,6)&lt;&gt;"VACUUM"),"CDU",IF($H12344="FLUID CAT CRACKING","FCC",IF(OR($H12344="HYDROCRACKING",$H12344="RESID_HYDROCRACKING"),"Hydrocracker",IF($H12344="REFORMING","Reformer",""))))</f>
        <v/>
      </c>
    </row>
    <row r="12345" spans="6:7">
      <c r="F12345" s="6">
        <f>IF($M12345="PADD I","PADD 1",IF($M12345="PADD II","PADD 2",IF($M12345="PADD III","PADD 3",IF($M12345="PADD IV","PADD 4",IF($M12345="PADD V","PADD 5","")))))</f>
        <v/>
      </c>
      <c r="G12345" s="6">
        <f>IF(AND($H12345="ATMOS DISTILLATION",ISNUMBER(SEARCH("VPS",$I12345))=FALSE,LEFT($I12345,6)&lt;&gt;"VACUUM"),"CDU",IF($H12345="FLUID CAT CRACKING","FCC",IF(OR($H12345="HYDROCRACKING",$H12345="RESID_HYDROCRACKING"),"Hydrocracker",IF($H12345="REFORMING","Reformer",""))))</f>
        <v/>
      </c>
    </row>
    <row r="12346" spans="6:7">
      <c r="F12346" s="6">
        <f>IF($M12346="PADD I","PADD 1",IF($M12346="PADD II","PADD 2",IF($M12346="PADD III","PADD 3",IF($M12346="PADD IV","PADD 4",IF($M12346="PADD V","PADD 5","")))))</f>
        <v/>
      </c>
      <c r="G12346" s="6">
        <f>IF(AND($H12346="ATMOS DISTILLATION",ISNUMBER(SEARCH("VPS",$I12346))=FALSE,LEFT($I12346,6)&lt;&gt;"VACUUM"),"CDU",IF($H12346="FLUID CAT CRACKING","FCC",IF(OR($H12346="HYDROCRACKING",$H12346="RESID_HYDROCRACKING"),"Hydrocracker",IF($H12346="REFORMING","Reformer",""))))</f>
        <v/>
      </c>
    </row>
    <row r="12347" spans="6:7">
      <c r="F12347" s="6">
        <f>IF($M12347="PADD I","PADD 1",IF($M12347="PADD II","PADD 2",IF($M12347="PADD III","PADD 3",IF($M12347="PADD IV","PADD 4",IF($M12347="PADD V","PADD 5","")))))</f>
        <v/>
      </c>
      <c r="G12347" s="6">
        <f>IF(AND($H12347="ATMOS DISTILLATION",ISNUMBER(SEARCH("VPS",$I12347))=FALSE,LEFT($I12347,6)&lt;&gt;"VACUUM"),"CDU",IF($H12347="FLUID CAT CRACKING","FCC",IF(OR($H12347="HYDROCRACKING",$H12347="RESID_HYDROCRACKING"),"Hydrocracker",IF($H12347="REFORMING","Reformer",""))))</f>
        <v/>
      </c>
    </row>
    <row r="12348" spans="6:7">
      <c r="F12348" s="6">
        <f>IF($M12348="PADD I","PADD 1",IF($M12348="PADD II","PADD 2",IF($M12348="PADD III","PADD 3",IF($M12348="PADD IV","PADD 4",IF($M12348="PADD V","PADD 5","")))))</f>
        <v/>
      </c>
      <c r="G12348" s="6">
        <f>IF(AND($H12348="ATMOS DISTILLATION",ISNUMBER(SEARCH("VPS",$I12348))=FALSE,LEFT($I12348,6)&lt;&gt;"VACUUM"),"CDU",IF($H12348="FLUID CAT CRACKING","FCC",IF(OR($H12348="HYDROCRACKING",$H12348="RESID_HYDROCRACKING"),"Hydrocracker",IF($H12348="REFORMING","Reformer",""))))</f>
        <v/>
      </c>
    </row>
    <row r="12349" spans="6:7">
      <c r="F12349" s="6">
        <f>IF($M12349="PADD I","PADD 1",IF($M12349="PADD II","PADD 2",IF($M12349="PADD III","PADD 3",IF($M12349="PADD IV","PADD 4",IF($M12349="PADD V","PADD 5","")))))</f>
        <v/>
      </c>
      <c r="G12349" s="6">
        <f>IF(AND($H12349="ATMOS DISTILLATION",ISNUMBER(SEARCH("VPS",$I12349))=FALSE,LEFT($I12349,6)&lt;&gt;"VACUUM"),"CDU",IF($H12349="FLUID CAT CRACKING","FCC",IF(OR($H12349="HYDROCRACKING",$H12349="RESID_HYDROCRACKING"),"Hydrocracker",IF($H12349="REFORMING","Reformer",""))))</f>
        <v/>
      </c>
    </row>
    <row r="12350" spans="6:7">
      <c r="F12350" s="6">
        <f>IF($M12350="PADD I","PADD 1",IF($M12350="PADD II","PADD 2",IF($M12350="PADD III","PADD 3",IF($M12350="PADD IV","PADD 4",IF($M12350="PADD V","PADD 5","")))))</f>
        <v/>
      </c>
      <c r="G12350" s="6">
        <f>IF(AND($H12350="ATMOS DISTILLATION",ISNUMBER(SEARCH("VPS",$I12350))=FALSE,LEFT($I12350,6)&lt;&gt;"VACUUM"),"CDU",IF($H12350="FLUID CAT CRACKING","FCC",IF(OR($H12350="HYDROCRACKING",$H12350="RESID_HYDROCRACKING"),"Hydrocracker",IF($H12350="REFORMING","Reformer",""))))</f>
        <v/>
      </c>
    </row>
    <row r="12351" spans="6:7">
      <c r="F12351" s="6">
        <f>IF($M12351="PADD I","PADD 1",IF($M12351="PADD II","PADD 2",IF($M12351="PADD III","PADD 3",IF($M12351="PADD IV","PADD 4",IF($M12351="PADD V","PADD 5","")))))</f>
        <v/>
      </c>
      <c r="G12351" s="6">
        <f>IF(AND($H12351="ATMOS DISTILLATION",ISNUMBER(SEARCH("VPS",$I12351))=FALSE,LEFT($I12351,6)&lt;&gt;"VACUUM"),"CDU",IF($H12351="FLUID CAT CRACKING","FCC",IF(OR($H12351="HYDROCRACKING",$H12351="RESID_HYDROCRACKING"),"Hydrocracker",IF($H12351="REFORMING","Reformer",""))))</f>
        <v/>
      </c>
    </row>
    <row r="12352" spans="6:7">
      <c r="F12352" s="6">
        <f>IF($M12352="PADD I","PADD 1",IF($M12352="PADD II","PADD 2",IF($M12352="PADD III","PADD 3",IF($M12352="PADD IV","PADD 4",IF($M12352="PADD V","PADD 5","")))))</f>
        <v/>
      </c>
      <c r="G12352" s="6">
        <f>IF(AND($H12352="ATMOS DISTILLATION",ISNUMBER(SEARCH("VPS",$I12352))=FALSE,LEFT($I12352,6)&lt;&gt;"VACUUM"),"CDU",IF($H12352="FLUID CAT CRACKING","FCC",IF(OR($H12352="HYDROCRACKING",$H12352="RESID_HYDROCRACKING"),"Hydrocracker",IF($H12352="REFORMING","Reformer",""))))</f>
        <v/>
      </c>
    </row>
    <row r="12353" spans="6:7">
      <c r="F12353" s="6">
        <f>IF($M12353="PADD I","PADD 1",IF($M12353="PADD II","PADD 2",IF($M12353="PADD III","PADD 3",IF($M12353="PADD IV","PADD 4",IF($M12353="PADD V","PADD 5","")))))</f>
        <v/>
      </c>
      <c r="G12353" s="6">
        <f>IF(AND($H12353="ATMOS DISTILLATION",ISNUMBER(SEARCH("VPS",$I12353))=FALSE,LEFT($I12353,6)&lt;&gt;"VACUUM"),"CDU",IF($H12353="FLUID CAT CRACKING","FCC",IF(OR($H12353="HYDROCRACKING",$H12353="RESID_HYDROCRACKING"),"Hydrocracker",IF($H12353="REFORMING","Reformer",""))))</f>
        <v/>
      </c>
    </row>
    <row r="12354" spans="6:7">
      <c r="F12354" s="6">
        <f>IF($M12354="PADD I","PADD 1",IF($M12354="PADD II","PADD 2",IF($M12354="PADD III","PADD 3",IF($M12354="PADD IV","PADD 4",IF($M12354="PADD V","PADD 5","")))))</f>
        <v/>
      </c>
      <c r="G12354" s="6">
        <f>IF(AND($H12354="ATMOS DISTILLATION",ISNUMBER(SEARCH("VPS",$I12354))=FALSE,LEFT($I12354,6)&lt;&gt;"VACUUM"),"CDU",IF($H12354="FLUID CAT CRACKING","FCC",IF(OR($H12354="HYDROCRACKING",$H12354="RESID_HYDROCRACKING"),"Hydrocracker",IF($H12354="REFORMING","Reformer",""))))</f>
        <v/>
      </c>
    </row>
    <row r="12355" spans="6:7">
      <c r="F12355" s="6">
        <f>IF($M12355="PADD I","PADD 1",IF($M12355="PADD II","PADD 2",IF($M12355="PADD III","PADD 3",IF($M12355="PADD IV","PADD 4",IF($M12355="PADD V","PADD 5","")))))</f>
        <v/>
      </c>
      <c r="G12355" s="6">
        <f>IF(AND($H12355="ATMOS DISTILLATION",ISNUMBER(SEARCH("VPS",$I12355))=FALSE,LEFT($I12355,6)&lt;&gt;"VACUUM"),"CDU",IF($H12355="FLUID CAT CRACKING","FCC",IF(OR($H12355="HYDROCRACKING",$H12355="RESID_HYDROCRACKING"),"Hydrocracker",IF($H12355="REFORMING","Reformer",""))))</f>
        <v/>
      </c>
    </row>
    <row r="12356" spans="6:7">
      <c r="F12356" s="6">
        <f>IF($M12356="PADD I","PADD 1",IF($M12356="PADD II","PADD 2",IF($M12356="PADD III","PADD 3",IF($M12356="PADD IV","PADD 4",IF($M12356="PADD V","PADD 5","")))))</f>
        <v/>
      </c>
      <c r="G12356" s="6">
        <f>IF(AND($H12356="ATMOS DISTILLATION",ISNUMBER(SEARCH("VPS",$I12356))=FALSE,LEFT($I12356,6)&lt;&gt;"VACUUM"),"CDU",IF($H12356="FLUID CAT CRACKING","FCC",IF(OR($H12356="HYDROCRACKING",$H12356="RESID_HYDROCRACKING"),"Hydrocracker",IF($H12356="REFORMING","Reformer",""))))</f>
        <v/>
      </c>
    </row>
    <row r="12357" spans="6:7">
      <c r="F12357" s="6">
        <f>IF($M12357="PADD I","PADD 1",IF($M12357="PADD II","PADD 2",IF($M12357="PADD III","PADD 3",IF($M12357="PADD IV","PADD 4",IF($M12357="PADD V","PADD 5","")))))</f>
        <v/>
      </c>
      <c r="G12357" s="6">
        <f>IF(AND($H12357="ATMOS DISTILLATION",ISNUMBER(SEARCH("VPS",$I12357))=FALSE,LEFT($I12357,6)&lt;&gt;"VACUUM"),"CDU",IF($H12357="FLUID CAT CRACKING","FCC",IF(OR($H12357="HYDROCRACKING",$H12357="RESID_HYDROCRACKING"),"Hydrocracker",IF($H12357="REFORMING","Reformer",""))))</f>
        <v/>
      </c>
    </row>
    <row r="12358" spans="6:7">
      <c r="F12358" s="6">
        <f>IF($M12358="PADD I","PADD 1",IF($M12358="PADD II","PADD 2",IF($M12358="PADD III","PADD 3",IF($M12358="PADD IV","PADD 4",IF($M12358="PADD V","PADD 5","")))))</f>
        <v/>
      </c>
      <c r="G12358" s="6">
        <f>IF(AND($H12358="ATMOS DISTILLATION",ISNUMBER(SEARCH("VPS",$I12358))=FALSE,LEFT($I12358,6)&lt;&gt;"VACUUM"),"CDU",IF($H12358="FLUID CAT CRACKING","FCC",IF(OR($H12358="HYDROCRACKING",$H12358="RESID_HYDROCRACKING"),"Hydrocracker",IF($H12358="REFORMING","Reformer",""))))</f>
        <v/>
      </c>
    </row>
    <row r="12359" spans="6:7">
      <c r="F12359" s="6">
        <f>IF($M12359="PADD I","PADD 1",IF($M12359="PADD II","PADD 2",IF($M12359="PADD III","PADD 3",IF($M12359="PADD IV","PADD 4",IF($M12359="PADD V","PADD 5","")))))</f>
        <v/>
      </c>
      <c r="G12359" s="6">
        <f>IF(AND($H12359="ATMOS DISTILLATION",ISNUMBER(SEARCH("VPS",$I12359))=FALSE,LEFT($I12359,6)&lt;&gt;"VACUUM"),"CDU",IF($H12359="FLUID CAT CRACKING","FCC",IF(OR($H12359="HYDROCRACKING",$H12359="RESID_HYDROCRACKING"),"Hydrocracker",IF($H12359="REFORMING","Reformer",""))))</f>
        <v/>
      </c>
    </row>
    <row r="12360" spans="6:7">
      <c r="F12360" s="6">
        <f>IF($M12360="PADD I","PADD 1",IF($M12360="PADD II","PADD 2",IF($M12360="PADD III","PADD 3",IF($M12360="PADD IV","PADD 4",IF($M12360="PADD V","PADD 5","")))))</f>
        <v/>
      </c>
      <c r="G12360" s="6">
        <f>IF(AND($H12360="ATMOS DISTILLATION",ISNUMBER(SEARCH("VPS",$I12360))=FALSE,LEFT($I12360,6)&lt;&gt;"VACUUM"),"CDU",IF($H12360="FLUID CAT CRACKING","FCC",IF(OR($H12360="HYDROCRACKING",$H12360="RESID_HYDROCRACKING"),"Hydrocracker",IF($H12360="REFORMING","Reformer",""))))</f>
        <v/>
      </c>
    </row>
    <row r="12361" spans="6:7">
      <c r="F12361" s="6">
        <f>IF($M12361="PADD I","PADD 1",IF($M12361="PADD II","PADD 2",IF($M12361="PADD III","PADD 3",IF($M12361="PADD IV","PADD 4",IF($M12361="PADD V","PADD 5","")))))</f>
        <v/>
      </c>
      <c r="G12361" s="6">
        <f>IF(AND($H12361="ATMOS DISTILLATION",ISNUMBER(SEARCH("VPS",$I12361))=FALSE,LEFT($I12361,6)&lt;&gt;"VACUUM"),"CDU",IF($H12361="FLUID CAT CRACKING","FCC",IF(OR($H12361="HYDROCRACKING",$H12361="RESID_HYDROCRACKING"),"Hydrocracker",IF($H12361="REFORMING","Reformer",""))))</f>
        <v/>
      </c>
    </row>
    <row r="12362" spans="6:7">
      <c r="F12362" s="6">
        <f>IF($M12362="PADD I","PADD 1",IF($M12362="PADD II","PADD 2",IF($M12362="PADD III","PADD 3",IF($M12362="PADD IV","PADD 4",IF($M12362="PADD V","PADD 5","")))))</f>
        <v/>
      </c>
      <c r="G12362" s="6">
        <f>IF(AND($H12362="ATMOS DISTILLATION",ISNUMBER(SEARCH("VPS",$I12362))=FALSE,LEFT($I12362,6)&lt;&gt;"VACUUM"),"CDU",IF($H12362="FLUID CAT CRACKING","FCC",IF(OR($H12362="HYDROCRACKING",$H12362="RESID_HYDROCRACKING"),"Hydrocracker",IF($H12362="REFORMING","Reformer",""))))</f>
        <v/>
      </c>
    </row>
    <row r="12363" spans="6:7">
      <c r="F12363" s="6">
        <f>IF($M12363="PADD I","PADD 1",IF($M12363="PADD II","PADD 2",IF($M12363="PADD III","PADD 3",IF($M12363="PADD IV","PADD 4",IF($M12363="PADD V","PADD 5","")))))</f>
        <v/>
      </c>
      <c r="G12363" s="6">
        <f>IF(AND($H12363="ATMOS DISTILLATION",ISNUMBER(SEARCH("VPS",$I12363))=FALSE,LEFT($I12363,6)&lt;&gt;"VACUUM"),"CDU",IF($H12363="FLUID CAT CRACKING","FCC",IF(OR($H12363="HYDROCRACKING",$H12363="RESID_HYDROCRACKING"),"Hydrocracker",IF($H12363="REFORMING","Reformer",""))))</f>
        <v/>
      </c>
    </row>
    <row r="12364" spans="6:7">
      <c r="F12364" s="6">
        <f>IF($M12364="PADD I","PADD 1",IF($M12364="PADD II","PADD 2",IF($M12364="PADD III","PADD 3",IF($M12364="PADD IV","PADD 4",IF($M12364="PADD V","PADD 5","")))))</f>
        <v/>
      </c>
      <c r="G12364" s="6">
        <f>IF(AND($H12364="ATMOS DISTILLATION",ISNUMBER(SEARCH("VPS",$I12364))=FALSE,LEFT($I12364,6)&lt;&gt;"VACUUM"),"CDU",IF($H12364="FLUID CAT CRACKING","FCC",IF(OR($H12364="HYDROCRACKING",$H12364="RESID_HYDROCRACKING"),"Hydrocracker",IF($H12364="REFORMING","Reformer",""))))</f>
        <v/>
      </c>
    </row>
    <row r="12365" spans="6:7">
      <c r="F12365" s="6">
        <f>IF($M12365="PADD I","PADD 1",IF($M12365="PADD II","PADD 2",IF($M12365="PADD III","PADD 3",IF($M12365="PADD IV","PADD 4",IF($M12365="PADD V","PADD 5","")))))</f>
        <v/>
      </c>
      <c r="G12365" s="6">
        <f>IF(AND($H12365="ATMOS DISTILLATION",ISNUMBER(SEARCH("VPS",$I12365))=FALSE,LEFT($I12365,6)&lt;&gt;"VACUUM"),"CDU",IF($H12365="FLUID CAT CRACKING","FCC",IF(OR($H12365="HYDROCRACKING",$H12365="RESID_HYDROCRACKING"),"Hydrocracker",IF($H12365="REFORMING","Reformer",""))))</f>
        <v/>
      </c>
    </row>
    <row r="12366" spans="6:7">
      <c r="F12366" s="6">
        <f>IF($M12366="PADD I","PADD 1",IF($M12366="PADD II","PADD 2",IF($M12366="PADD III","PADD 3",IF($M12366="PADD IV","PADD 4",IF($M12366="PADD V","PADD 5","")))))</f>
        <v/>
      </c>
      <c r="G12366" s="6">
        <f>IF(AND($H12366="ATMOS DISTILLATION",ISNUMBER(SEARCH("VPS",$I12366))=FALSE,LEFT($I12366,6)&lt;&gt;"VACUUM"),"CDU",IF($H12366="FLUID CAT CRACKING","FCC",IF(OR($H12366="HYDROCRACKING",$H12366="RESID_HYDROCRACKING"),"Hydrocracker",IF($H12366="REFORMING","Reformer",""))))</f>
        <v/>
      </c>
    </row>
    <row r="12367" spans="6:7">
      <c r="F12367" s="6">
        <f>IF($M12367="PADD I","PADD 1",IF($M12367="PADD II","PADD 2",IF($M12367="PADD III","PADD 3",IF($M12367="PADD IV","PADD 4",IF($M12367="PADD V","PADD 5","")))))</f>
        <v/>
      </c>
      <c r="G12367" s="6">
        <f>IF(AND($H12367="ATMOS DISTILLATION",ISNUMBER(SEARCH("VPS",$I12367))=FALSE,LEFT($I12367,6)&lt;&gt;"VACUUM"),"CDU",IF($H12367="FLUID CAT CRACKING","FCC",IF(OR($H12367="HYDROCRACKING",$H12367="RESID_HYDROCRACKING"),"Hydrocracker",IF($H12367="REFORMING","Reformer",""))))</f>
        <v/>
      </c>
    </row>
    <row r="12368" spans="6:7">
      <c r="F12368" s="6">
        <f>IF($M12368="PADD I","PADD 1",IF($M12368="PADD II","PADD 2",IF($M12368="PADD III","PADD 3",IF($M12368="PADD IV","PADD 4",IF($M12368="PADD V","PADD 5","")))))</f>
        <v/>
      </c>
      <c r="G12368" s="6">
        <f>IF(AND($H12368="ATMOS DISTILLATION",ISNUMBER(SEARCH("VPS",$I12368))=FALSE,LEFT($I12368,6)&lt;&gt;"VACUUM"),"CDU",IF($H12368="FLUID CAT CRACKING","FCC",IF(OR($H12368="HYDROCRACKING",$H12368="RESID_HYDROCRACKING"),"Hydrocracker",IF($H12368="REFORMING","Reformer",""))))</f>
        <v/>
      </c>
    </row>
    <row r="12369" spans="6:7">
      <c r="F12369" s="6">
        <f>IF($M12369="PADD I","PADD 1",IF($M12369="PADD II","PADD 2",IF($M12369="PADD III","PADD 3",IF($M12369="PADD IV","PADD 4",IF($M12369="PADD V","PADD 5","")))))</f>
        <v/>
      </c>
      <c r="G12369" s="6">
        <f>IF(AND($H12369="ATMOS DISTILLATION",ISNUMBER(SEARCH("VPS",$I12369))=FALSE,LEFT($I12369,6)&lt;&gt;"VACUUM"),"CDU",IF($H12369="FLUID CAT CRACKING","FCC",IF(OR($H12369="HYDROCRACKING",$H12369="RESID_HYDROCRACKING"),"Hydrocracker",IF($H12369="REFORMING","Reformer",""))))</f>
        <v/>
      </c>
    </row>
    <row r="12370" spans="6:7">
      <c r="F12370" s="6">
        <f>IF($M12370="PADD I","PADD 1",IF($M12370="PADD II","PADD 2",IF($M12370="PADD III","PADD 3",IF($M12370="PADD IV","PADD 4",IF($M12370="PADD V","PADD 5","")))))</f>
        <v/>
      </c>
      <c r="G12370" s="6">
        <f>IF(AND($H12370="ATMOS DISTILLATION",ISNUMBER(SEARCH("VPS",$I12370))=FALSE,LEFT($I12370,6)&lt;&gt;"VACUUM"),"CDU",IF($H12370="FLUID CAT CRACKING","FCC",IF(OR($H12370="HYDROCRACKING",$H12370="RESID_HYDROCRACKING"),"Hydrocracker",IF($H12370="REFORMING","Reformer",""))))</f>
        <v/>
      </c>
    </row>
    <row r="12371" spans="6:7">
      <c r="F12371" s="6">
        <f>IF($M12371="PADD I","PADD 1",IF($M12371="PADD II","PADD 2",IF($M12371="PADD III","PADD 3",IF($M12371="PADD IV","PADD 4",IF($M12371="PADD V","PADD 5","")))))</f>
        <v/>
      </c>
      <c r="G12371" s="6">
        <f>IF(AND($H12371="ATMOS DISTILLATION",ISNUMBER(SEARCH("VPS",$I12371))=FALSE,LEFT($I12371,6)&lt;&gt;"VACUUM"),"CDU",IF($H12371="FLUID CAT CRACKING","FCC",IF(OR($H12371="HYDROCRACKING",$H12371="RESID_HYDROCRACKING"),"Hydrocracker",IF($H12371="REFORMING","Reformer",""))))</f>
        <v/>
      </c>
    </row>
    <row r="12372" spans="6:7">
      <c r="F12372" s="6">
        <f>IF($M12372="PADD I","PADD 1",IF($M12372="PADD II","PADD 2",IF($M12372="PADD III","PADD 3",IF($M12372="PADD IV","PADD 4",IF($M12372="PADD V","PADD 5","")))))</f>
        <v/>
      </c>
      <c r="G12372" s="6">
        <f>IF(AND($H12372="ATMOS DISTILLATION",ISNUMBER(SEARCH("VPS",$I12372))=FALSE,LEFT($I12372,6)&lt;&gt;"VACUUM"),"CDU",IF($H12372="FLUID CAT CRACKING","FCC",IF(OR($H12372="HYDROCRACKING",$H12372="RESID_HYDROCRACKING"),"Hydrocracker",IF($H12372="REFORMING","Reformer",""))))</f>
        <v/>
      </c>
    </row>
    <row r="12373" spans="6:7">
      <c r="F12373" s="6">
        <f>IF($M12373="PADD I","PADD 1",IF($M12373="PADD II","PADD 2",IF($M12373="PADD III","PADD 3",IF($M12373="PADD IV","PADD 4",IF($M12373="PADD V","PADD 5","")))))</f>
        <v/>
      </c>
      <c r="G12373" s="6">
        <f>IF(AND($H12373="ATMOS DISTILLATION",ISNUMBER(SEARCH("VPS",$I12373))=FALSE,LEFT($I12373,6)&lt;&gt;"VACUUM"),"CDU",IF($H12373="FLUID CAT CRACKING","FCC",IF(OR($H12373="HYDROCRACKING",$H12373="RESID_HYDROCRACKING"),"Hydrocracker",IF($H12373="REFORMING","Reformer",""))))</f>
        <v/>
      </c>
    </row>
    <row r="12374" spans="6:7">
      <c r="F12374" s="6">
        <f>IF($M12374="PADD I","PADD 1",IF($M12374="PADD II","PADD 2",IF($M12374="PADD III","PADD 3",IF($M12374="PADD IV","PADD 4",IF($M12374="PADD V","PADD 5","")))))</f>
        <v/>
      </c>
      <c r="G12374" s="6">
        <f>IF(AND($H12374="ATMOS DISTILLATION",ISNUMBER(SEARCH("VPS",$I12374))=FALSE,LEFT($I12374,6)&lt;&gt;"VACUUM"),"CDU",IF($H12374="FLUID CAT CRACKING","FCC",IF(OR($H12374="HYDROCRACKING",$H12374="RESID_HYDROCRACKING"),"Hydrocracker",IF($H12374="REFORMING","Reformer",""))))</f>
        <v/>
      </c>
    </row>
    <row r="12375" spans="6:7">
      <c r="F12375" s="6">
        <f>IF($M12375="PADD I","PADD 1",IF($M12375="PADD II","PADD 2",IF($M12375="PADD III","PADD 3",IF($M12375="PADD IV","PADD 4",IF($M12375="PADD V","PADD 5","")))))</f>
        <v/>
      </c>
      <c r="G12375" s="6">
        <f>IF(AND($H12375="ATMOS DISTILLATION",ISNUMBER(SEARCH("VPS",$I12375))=FALSE,LEFT($I12375,6)&lt;&gt;"VACUUM"),"CDU",IF($H12375="FLUID CAT CRACKING","FCC",IF(OR($H12375="HYDROCRACKING",$H12375="RESID_HYDROCRACKING"),"Hydrocracker",IF($H12375="REFORMING","Reformer",""))))</f>
        <v/>
      </c>
    </row>
    <row r="12376" spans="6:7">
      <c r="F12376" s="6">
        <f>IF($M12376="PADD I","PADD 1",IF($M12376="PADD II","PADD 2",IF($M12376="PADD III","PADD 3",IF($M12376="PADD IV","PADD 4",IF($M12376="PADD V","PADD 5","")))))</f>
        <v/>
      </c>
      <c r="G12376" s="6">
        <f>IF(AND($H12376="ATMOS DISTILLATION",ISNUMBER(SEARCH("VPS",$I12376))=FALSE,LEFT($I12376,6)&lt;&gt;"VACUUM"),"CDU",IF($H12376="FLUID CAT CRACKING","FCC",IF(OR($H12376="HYDROCRACKING",$H12376="RESID_HYDROCRACKING"),"Hydrocracker",IF($H12376="REFORMING","Reformer",""))))</f>
        <v/>
      </c>
    </row>
    <row r="12377" spans="6:7">
      <c r="F12377" s="6">
        <f>IF($M12377="PADD I","PADD 1",IF($M12377="PADD II","PADD 2",IF($M12377="PADD III","PADD 3",IF($M12377="PADD IV","PADD 4",IF($M12377="PADD V","PADD 5","")))))</f>
        <v/>
      </c>
      <c r="G12377" s="6">
        <f>IF(AND($H12377="ATMOS DISTILLATION",ISNUMBER(SEARCH("VPS",$I12377))=FALSE,LEFT($I12377,6)&lt;&gt;"VACUUM"),"CDU",IF($H12377="FLUID CAT CRACKING","FCC",IF(OR($H12377="HYDROCRACKING",$H12377="RESID_HYDROCRACKING"),"Hydrocracker",IF($H12377="REFORMING","Reformer",""))))</f>
        <v/>
      </c>
    </row>
    <row r="12378" spans="6:7">
      <c r="F12378" s="6">
        <f>IF($M12378="PADD I","PADD 1",IF($M12378="PADD II","PADD 2",IF($M12378="PADD III","PADD 3",IF($M12378="PADD IV","PADD 4",IF($M12378="PADD V","PADD 5","")))))</f>
        <v/>
      </c>
      <c r="G12378" s="6">
        <f>IF(AND($H12378="ATMOS DISTILLATION",ISNUMBER(SEARCH("VPS",$I12378))=FALSE,LEFT($I12378,6)&lt;&gt;"VACUUM"),"CDU",IF($H12378="FLUID CAT CRACKING","FCC",IF(OR($H12378="HYDROCRACKING",$H12378="RESID_HYDROCRACKING"),"Hydrocracker",IF($H12378="REFORMING","Reformer",""))))</f>
        <v/>
      </c>
    </row>
    <row r="12379" spans="6:7">
      <c r="F12379" s="6">
        <f>IF($M12379="PADD I","PADD 1",IF($M12379="PADD II","PADD 2",IF($M12379="PADD III","PADD 3",IF($M12379="PADD IV","PADD 4",IF($M12379="PADD V","PADD 5","")))))</f>
        <v/>
      </c>
      <c r="G12379" s="6">
        <f>IF(AND($H12379="ATMOS DISTILLATION",ISNUMBER(SEARCH("VPS",$I12379))=FALSE,LEFT($I12379,6)&lt;&gt;"VACUUM"),"CDU",IF($H12379="FLUID CAT CRACKING","FCC",IF(OR($H12379="HYDROCRACKING",$H12379="RESID_HYDROCRACKING"),"Hydrocracker",IF($H12379="REFORMING","Reformer",""))))</f>
        <v/>
      </c>
    </row>
    <row r="12380" spans="6:7">
      <c r="F12380" s="6">
        <f>IF($M12380="PADD I","PADD 1",IF($M12380="PADD II","PADD 2",IF($M12380="PADD III","PADD 3",IF($M12380="PADD IV","PADD 4",IF($M12380="PADD V","PADD 5","")))))</f>
        <v/>
      </c>
      <c r="G12380" s="6">
        <f>IF(AND($H12380="ATMOS DISTILLATION",ISNUMBER(SEARCH("VPS",$I12380))=FALSE,LEFT($I12380,6)&lt;&gt;"VACUUM"),"CDU",IF($H12380="FLUID CAT CRACKING","FCC",IF(OR($H12380="HYDROCRACKING",$H12380="RESID_HYDROCRACKING"),"Hydrocracker",IF($H12380="REFORMING","Reformer",""))))</f>
        <v/>
      </c>
    </row>
    <row r="12381" spans="6:7">
      <c r="F12381" s="6">
        <f>IF($M12381="PADD I","PADD 1",IF($M12381="PADD II","PADD 2",IF($M12381="PADD III","PADD 3",IF($M12381="PADD IV","PADD 4",IF($M12381="PADD V","PADD 5","")))))</f>
        <v/>
      </c>
      <c r="G12381" s="6">
        <f>IF(AND($H12381="ATMOS DISTILLATION",ISNUMBER(SEARCH("VPS",$I12381))=FALSE,LEFT($I12381,6)&lt;&gt;"VACUUM"),"CDU",IF($H12381="FLUID CAT CRACKING","FCC",IF(OR($H12381="HYDROCRACKING",$H12381="RESID_HYDROCRACKING"),"Hydrocracker",IF($H12381="REFORMING","Reformer",""))))</f>
        <v/>
      </c>
    </row>
    <row r="12382" spans="6:7">
      <c r="F12382" s="6">
        <f>IF($M12382="PADD I","PADD 1",IF($M12382="PADD II","PADD 2",IF($M12382="PADD III","PADD 3",IF($M12382="PADD IV","PADD 4",IF($M12382="PADD V","PADD 5","")))))</f>
        <v/>
      </c>
      <c r="G12382" s="6">
        <f>IF(AND($H12382="ATMOS DISTILLATION",ISNUMBER(SEARCH("VPS",$I12382))=FALSE,LEFT($I12382,6)&lt;&gt;"VACUUM"),"CDU",IF($H12382="FLUID CAT CRACKING","FCC",IF(OR($H12382="HYDROCRACKING",$H12382="RESID_HYDROCRACKING"),"Hydrocracker",IF($H12382="REFORMING","Reformer",""))))</f>
        <v/>
      </c>
    </row>
    <row r="12383" spans="6:7">
      <c r="F12383" s="6">
        <f>IF($M12383="PADD I","PADD 1",IF($M12383="PADD II","PADD 2",IF($M12383="PADD III","PADD 3",IF($M12383="PADD IV","PADD 4",IF($M12383="PADD V","PADD 5","")))))</f>
        <v/>
      </c>
      <c r="G12383" s="6">
        <f>IF(AND($H12383="ATMOS DISTILLATION",ISNUMBER(SEARCH("VPS",$I12383))=FALSE,LEFT($I12383,6)&lt;&gt;"VACUUM"),"CDU",IF($H12383="FLUID CAT CRACKING","FCC",IF(OR($H12383="HYDROCRACKING",$H12383="RESID_HYDROCRACKING"),"Hydrocracker",IF($H12383="REFORMING","Reformer",""))))</f>
        <v/>
      </c>
    </row>
    <row r="12384" spans="6:7">
      <c r="F12384" s="6">
        <f>IF($M12384="PADD I","PADD 1",IF($M12384="PADD II","PADD 2",IF($M12384="PADD III","PADD 3",IF($M12384="PADD IV","PADD 4",IF($M12384="PADD V","PADD 5","")))))</f>
        <v/>
      </c>
      <c r="G12384" s="6">
        <f>IF(AND($H12384="ATMOS DISTILLATION",ISNUMBER(SEARCH("VPS",$I12384))=FALSE,LEFT($I12384,6)&lt;&gt;"VACUUM"),"CDU",IF($H12384="FLUID CAT CRACKING","FCC",IF(OR($H12384="HYDROCRACKING",$H12384="RESID_HYDROCRACKING"),"Hydrocracker",IF($H12384="REFORMING","Reformer",""))))</f>
        <v/>
      </c>
    </row>
    <row r="12385" spans="6:7">
      <c r="F12385" s="6">
        <f>IF($M12385="PADD I","PADD 1",IF($M12385="PADD II","PADD 2",IF($M12385="PADD III","PADD 3",IF($M12385="PADD IV","PADD 4",IF($M12385="PADD V","PADD 5","")))))</f>
        <v/>
      </c>
      <c r="G12385" s="6">
        <f>IF(AND($H12385="ATMOS DISTILLATION",ISNUMBER(SEARCH("VPS",$I12385))=FALSE,LEFT($I12385,6)&lt;&gt;"VACUUM"),"CDU",IF($H12385="FLUID CAT CRACKING","FCC",IF(OR($H12385="HYDROCRACKING",$H12385="RESID_HYDROCRACKING"),"Hydrocracker",IF($H12385="REFORMING","Reformer",""))))</f>
        <v/>
      </c>
    </row>
    <row r="12386" spans="6:7">
      <c r="F12386" s="6">
        <f>IF($M12386="PADD I","PADD 1",IF($M12386="PADD II","PADD 2",IF($M12386="PADD III","PADD 3",IF($M12386="PADD IV","PADD 4",IF($M12386="PADD V","PADD 5","")))))</f>
        <v/>
      </c>
      <c r="G12386" s="6">
        <f>IF(AND($H12386="ATMOS DISTILLATION",ISNUMBER(SEARCH("VPS",$I12386))=FALSE,LEFT($I12386,6)&lt;&gt;"VACUUM"),"CDU",IF($H12386="FLUID CAT CRACKING","FCC",IF(OR($H12386="HYDROCRACKING",$H12386="RESID_HYDROCRACKING"),"Hydrocracker",IF($H12386="REFORMING","Reformer",""))))</f>
        <v/>
      </c>
    </row>
    <row r="12387" spans="6:7">
      <c r="F12387" s="6">
        <f>IF($M12387="PADD I","PADD 1",IF($M12387="PADD II","PADD 2",IF($M12387="PADD III","PADD 3",IF($M12387="PADD IV","PADD 4",IF($M12387="PADD V","PADD 5","")))))</f>
        <v/>
      </c>
      <c r="G12387" s="6">
        <f>IF(AND($H12387="ATMOS DISTILLATION",ISNUMBER(SEARCH("VPS",$I12387))=FALSE,LEFT($I12387,6)&lt;&gt;"VACUUM"),"CDU",IF($H12387="FLUID CAT CRACKING","FCC",IF(OR($H12387="HYDROCRACKING",$H12387="RESID_HYDROCRACKING"),"Hydrocracker",IF($H12387="REFORMING","Reformer",""))))</f>
        <v/>
      </c>
    </row>
    <row r="12388" spans="6:7">
      <c r="F12388" s="6">
        <f>IF($M12388="PADD I","PADD 1",IF($M12388="PADD II","PADD 2",IF($M12388="PADD III","PADD 3",IF($M12388="PADD IV","PADD 4",IF($M12388="PADD V","PADD 5","")))))</f>
        <v/>
      </c>
      <c r="G12388" s="6">
        <f>IF(AND($H12388="ATMOS DISTILLATION",ISNUMBER(SEARCH("VPS",$I12388))=FALSE,LEFT($I12388,6)&lt;&gt;"VACUUM"),"CDU",IF($H12388="FLUID CAT CRACKING","FCC",IF(OR($H12388="HYDROCRACKING",$H12388="RESID_HYDROCRACKING"),"Hydrocracker",IF($H12388="REFORMING","Reformer",""))))</f>
        <v/>
      </c>
    </row>
    <row r="12389" spans="6:7">
      <c r="F12389" s="6">
        <f>IF($M12389="PADD I","PADD 1",IF($M12389="PADD II","PADD 2",IF($M12389="PADD III","PADD 3",IF($M12389="PADD IV","PADD 4",IF($M12389="PADD V","PADD 5","")))))</f>
        <v/>
      </c>
      <c r="G12389" s="6">
        <f>IF(AND($H12389="ATMOS DISTILLATION",ISNUMBER(SEARCH("VPS",$I12389))=FALSE,LEFT($I12389,6)&lt;&gt;"VACUUM"),"CDU",IF($H12389="FLUID CAT CRACKING","FCC",IF(OR($H12389="HYDROCRACKING",$H12389="RESID_HYDROCRACKING"),"Hydrocracker",IF($H12389="REFORMING","Reformer",""))))</f>
        <v/>
      </c>
    </row>
    <row r="12390" spans="6:7">
      <c r="F12390" s="6">
        <f>IF($M12390="PADD I","PADD 1",IF($M12390="PADD II","PADD 2",IF($M12390="PADD III","PADD 3",IF($M12390="PADD IV","PADD 4",IF($M12390="PADD V","PADD 5","")))))</f>
        <v/>
      </c>
      <c r="G12390" s="6">
        <f>IF(AND($H12390="ATMOS DISTILLATION",ISNUMBER(SEARCH("VPS",$I12390))=FALSE,LEFT($I12390,6)&lt;&gt;"VACUUM"),"CDU",IF($H12390="FLUID CAT CRACKING","FCC",IF(OR($H12390="HYDROCRACKING",$H12390="RESID_HYDROCRACKING"),"Hydrocracker",IF($H12390="REFORMING","Reformer",""))))</f>
        <v/>
      </c>
    </row>
    <row r="12391" spans="6:7">
      <c r="F12391" s="6">
        <f>IF($M12391="PADD I","PADD 1",IF($M12391="PADD II","PADD 2",IF($M12391="PADD III","PADD 3",IF($M12391="PADD IV","PADD 4",IF($M12391="PADD V","PADD 5","")))))</f>
        <v/>
      </c>
      <c r="G12391" s="6">
        <f>IF(AND($H12391="ATMOS DISTILLATION",ISNUMBER(SEARCH("VPS",$I12391))=FALSE,LEFT($I12391,6)&lt;&gt;"VACUUM"),"CDU",IF($H12391="FLUID CAT CRACKING","FCC",IF(OR($H12391="HYDROCRACKING",$H12391="RESID_HYDROCRACKING"),"Hydrocracker",IF($H12391="REFORMING","Reformer",""))))</f>
        <v/>
      </c>
    </row>
    <row r="12392" spans="6:7">
      <c r="F12392" s="6">
        <f>IF($M12392="PADD I","PADD 1",IF($M12392="PADD II","PADD 2",IF($M12392="PADD III","PADD 3",IF($M12392="PADD IV","PADD 4",IF($M12392="PADD V","PADD 5","")))))</f>
        <v/>
      </c>
      <c r="G12392" s="6">
        <f>IF(AND($H12392="ATMOS DISTILLATION",ISNUMBER(SEARCH("VPS",$I12392))=FALSE,LEFT($I12392,6)&lt;&gt;"VACUUM"),"CDU",IF($H12392="FLUID CAT CRACKING","FCC",IF(OR($H12392="HYDROCRACKING",$H12392="RESID_HYDROCRACKING"),"Hydrocracker",IF($H12392="REFORMING","Reformer",""))))</f>
        <v/>
      </c>
    </row>
    <row r="12393" spans="6:7">
      <c r="F12393" s="6">
        <f>IF($M12393="PADD I","PADD 1",IF($M12393="PADD II","PADD 2",IF($M12393="PADD III","PADD 3",IF($M12393="PADD IV","PADD 4",IF($M12393="PADD V","PADD 5","")))))</f>
        <v/>
      </c>
      <c r="G12393" s="6">
        <f>IF(AND($H12393="ATMOS DISTILLATION",ISNUMBER(SEARCH("VPS",$I12393))=FALSE,LEFT($I12393,6)&lt;&gt;"VACUUM"),"CDU",IF($H12393="FLUID CAT CRACKING","FCC",IF(OR($H12393="HYDROCRACKING",$H12393="RESID_HYDROCRACKING"),"Hydrocracker",IF($H12393="REFORMING","Reformer",""))))</f>
        <v/>
      </c>
    </row>
    <row r="12394" spans="6:7">
      <c r="F12394" s="6">
        <f>IF($M12394="PADD I","PADD 1",IF($M12394="PADD II","PADD 2",IF($M12394="PADD III","PADD 3",IF($M12394="PADD IV","PADD 4",IF($M12394="PADD V","PADD 5","")))))</f>
        <v/>
      </c>
      <c r="G12394" s="6">
        <f>IF(AND($H12394="ATMOS DISTILLATION",ISNUMBER(SEARCH("VPS",$I12394))=FALSE,LEFT($I12394,6)&lt;&gt;"VACUUM"),"CDU",IF($H12394="FLUID CAT CRACKING","FCC",IF(OR($H12394="HYDROCRACKING",$H12394="RESID_HYDROCRACKING"),"Hydrocracker",IF($H12394="REFORMING","Reformer",""))))</f>
        <v/>
      </c>
    </row>
    <row r="12395" spans="6:7">
      <c r="F12395" s="6">
        <f>IF($M12395="PADD I","PADD 1",IF($M12395="PADD II","PADD 2",IF($M12395="PADD III","PADD 3",IF($M12395="PADD IV","PADD 4",IF($M12395="PADD V","PADD 5","")))))</f>
        <v/>
      </c>
      <c r="G12395" s="6">
        <f>IF(AND($H12395="ATMOS DISTILLATION",ISNUMBER(SEARCH("VPS",$I12395))=FALSE,LEFT($I12395,6)&lt;&gt;"VACUUM"),"CDU",IF($H12395="FLUID CAT CRACKING","FCC",IF(OR($H12395="HYDROCRACKING",$H12395="RESID_HYDROCRACKING"),"Hydrocracker",IF($H12395="REFORMING","Reformer",""))))</f>
        <v/>
      </c>
    </row>
    <row r="12396" spans="6:7">
      <c r="F12396" s="6">
        <f>IF($M12396="PADD I","PADD 1",IF($M12396="PADD II","PADD 2",IF($M12396="PADD III","PADD 3",IF($M12396="PADD IV","PADD 4",IF($M12396="PADD V","PADD 5","")))))</f>
        <v/>
      </c>
      <c r="G12396" s="6">
        <f>IF(AND($H12396="ATMOS DISTILLATION",ISNUMBER(SEARCH("VPS",$I12396))=FALSE,LEFT($I12396,6)&lt;&gt;"VACUUM"),"CDU",IF($H12396="FLUID CAT CRACKING","FCC",IF(OR($H12396="HYDROCRACKING",$H12396="RESID_HYDROCRACKING"),"Hydrocracker",IF($H12396="REFORMING","Reformer",""))))</f>
        <v/>
      </c>
    </row>
    <row r="12397" spans="6:7">
      <c r="F12397" s="6">
        <f>IF($M12397="PADD I","PADD 1",IF($M12397="PADD II","PADD 2",IF($M12397="PADD III","PADD 3",IF($M12397="PADD IV","PADD 4",IF($M12397="PADD V","PADD 5","")))))</f>
        <v/>
      </c>
      <c r="G12397" s="6">
        <f>IF(AND($H12397="ATMOS DISTILLATION",ISNUMBER(SEARCH("VPS",$I12397))=FALSE,LEFT($I12397,6)&lt;&gt;"VACUUM"),"CDU",IF($H12397="FLUID CAT CRACKING","FCC",IF(OR($H12397="HYDROCRACKING",$H12397="RESID_HYDROCRACKING"),"Hydrocracker",IF($H12397="REFORMING","Reformer",""))))</f>
        <v/>
      </c>
    </row>
    <row r="12398" spans="6:7">
      <c r="F12398" s="6">
        <f>IF($M12398="PADD I","PADD 1",IF($M12398="PADD II","PADD 2",IF($M12398="PADD III","PADD 3",IF($M12398="PADD IV","PADD 4",IF($M12398="PADD V","PADD 5","")))))</f>
        <v/>
      </c>
      <c r="G12398" s="6">
        <f>IF(AND($H12398="ATMOS DISTILLATION",ISNUMBER(SEARCH("VPS",$I12398))=FALSE,LEFT($I12398,6)&lt;&gt;"VACUUM"),"CDU",IF($H12398="FLUID CAT CRACKING","FCC",IF(OR($H12398="HYDROCRACKING",$H12398="RESID_HYDROCRACKING"),"Hydrocracker",IF($H12398="REFORMING","Reformer",""))))</f>
        <v/>
      </c>
    </row>
    <row r="12399" spans="6:7">
      <c r="F12399" s="6">
        <f>IF($M12399="PADD I","PADD 1",IF($M12399="PADD II","PADD 2",IF($M12399="PADD III","PADD 3",IF($M12399="PADD IV","PADD 4",IF($M12399="PADD V","PADD 5","")))))</f>
        <v/>
      </c>
      <c r="G12399" s="6">
        <f>IF(AND($H12399="ATMOS DISTILLATION",ISNUMBER(SEARCH("VPS",$I12399))=FALSE,LEFT($I12399,6)&lt;&gt;"VACUUM"),"CDU",IF($H12399="FLUID CAT CRACKING","FCC",IF(OR($H12399="HYDROCRACKING",$H12399="RESID_HYDROCRACKING"),"Hydrocracker",IF($H12399="REFORMING","Reformer",""))))</f>
        <v/>
      </c>
    </row>
    <row r="12400" spans="6:7">
      <c r="F12400" s="6">
        <f>IF($M12400="PADD I","PADD 1",IF($M12400="PADD II","PADD 2",IF($M12400="PADD III","PADD 3",IF($M12400="PADD IV","PADD 4",IF($M12400="PADD V","PADD 5","")))))</f>
        <v/>
      </c>
      <c r="G12400" s="6">
        <f>IF(AND($H12400="ATMOS DISTILLATION",ISNUMBER(SEARCH("VPS",$I12400))=FALSE,LEFT($I12400,6)&lt;&gt;"VACUUM"),"CDU",IF($H12400="FLUID CAT CRACKING","FCC",IF(OR($H12400="HYDROCRACKING",$H12400="RESID_HYDROCRACKING"),"Hydrocracker",IF($H12400="REFORMING","Reformer",""))))</f>
        <v/>
      </c>
    </row>
    <row r="12401" spans="6:7">
      <c r="F12401" s="6">
        <f>IF($M12401="PADD I","PADD 1",IF($M12401="PADD II","PADD 2",IF($M12401="PADD III","PADD 3",IF($M12401="PADD IV","PADD 4",IF($M12401="PADD V","PADD 5","")))))</f>
        <v/>
      </c>
      <c r="G12401" s="6">
        <f>IF(AND($H12401="ATMOS DISTILLATION",ISNUMBER(SEARCH("VPS",$I12401))=FALSE,LEFT($I12401,6)&lt;&gt;"VACUUM"),"CDU",IF($H12401="FLUID CAT CRACKING","FCC",IF(OR($H12401="HYDROCRACKING",$H12401="RESID_HYDROCRACKING"),"Hydrocracker",IF($H12401="REFORMING","Reformer",""))))</f>
        <v/>
      </c>
    </row>
    <row r="12402" spans="6:7">
      <c r="F12402" s="6">
        <f>IF($M12402="PADD I","PADD 1",IF($M12402="PADD II","PADD 2",IF($M12402="PADD III","PADD 3",IF($M12402="PADD IV","PADD 4",IF($M12402="PADD V","PADD 5","")))))</f>
        <v/>
      </c>
      <c r="G12402" s="6">
        <f>IF(AND($H12402="ATMOS DISTILLATION",ISNUMBER(SEARCH("VPS",$I12402))=FALSE,LEFT($I12402,6)&lt;&gt;"VACUUM"),"CDU",IF($H12402="FLUID CAT CRACKING","FCC",IF(OR($H12402="HYDROCRACKING",$H12402="RESID_HYDROCRACKING"),"Hydrocracker",IF($H12402="REFORMING","Reformer",""))))</f>
        <v/>
      </c>
    </row>
    <row r="12403" spans="6:7">
      <c r="F12403" s="6">
        <f>IF($M12403="PADD I","PADD 1",IF($M12403="PADD II","PADD 2",IF($M12403="PADD III","PADD 3",IF($M12403="PADD IV","PADD 4",IF($M12403="PADD V","PADD 5","")))))</f>
        <v/>
      </c>
      <c r="G12403" s="6">
        <f>IF(AND($H12403="ATMOS DISTILLATION",ISNUMBER(SEARCH("VPS",$I12403))=FALSE,LEFT($I12403,6)&lt;&gt;"VACUUM"),"CDU",IF($H12403="FLUID CAT CRACKING","FCC",IF(OR($H12403="HYDROCRACKING",$H12403="RESID_HYDROCRACKING"),"Hydrocracker",IF($H12403="REFORMING","Reformer",""))))</f>
        <v/>
      </c>
    </row>
    <row r="12404" spans="6:7">
      <c r="F12404" s="6">
        <f>IF($M12404="PADD I","PADD 1",IF($M12404="PADD II","PADD 2",IF($M12404="PADD III","PADD 3",IF($M12404="PADD IV","PADD 4",IF($M12404="PADD V","PADD 5","")))))</f>
        <v/>
      </c>
      <c r="G12404" s="6">
        <f>IF(AND($H12404="ATMOS DISTILLATION",ISNUMBER(SEARCH("VPS",$I12404))=FALSE,LEFT($I12404,6)&lt;&gt;"VACUUM"),"CDU",IF($H12404="FLUID CAT CRACKING","FCC",IF(OR($H12404="HYDROCRACKING",$H12404="RESID_HYDROCRACKING"),"Hydrocracker",IF($H12404="REFORMING","Reformer",""))))</f>
        <v/>
      </c>
    </row>
    <row r="12405" spans="6:7">
      <c r="F12405" s="6">
        <f>IF($M12405="PADD I","PADD 1",IF($M12405="PADD II","PADD 2",IF($M12405="PADD III","PADD 3",IF($M12405="PADD IV","PADD 4",IF($M12405="PADD V","PADD 5","")))))</f>
        <v/>
      </c>
      <c r="G12405" s="6">
        <f>IF(AND($H12405="ATMOS DISTILLATION",ISNUMBER(SEARCH("VPS",$I12405))=FALSE,LEFT($I12405,6)&lt;&gt;"VACUUM"),"CDU",IF($H12405="FLUID CAT CRACKING","FCC",IF(OR($H12405="HYDROCRACKING",$H12405="RESID_HYDROCRACKING"),"Hydrocracker",IF($H12405="REFORMING","Reformer",""))))</f>
        <v/>
      </c>
    </row>
    <row r="12406" spans="6:7">
      <c r="F12406" s="6">
        <f>IF($M12406="PADD I","PADD 1",IF($M12406="PADD II","PADD 2",IF($M12406="PADD III","PADD 3",IF($M12406="PADD IV","PADD 4",IF($M12406="PADD V","PADD 5","")))))</f>
        <v/>
      </c>
      <c r="G12406" s="6">
        <f>IF(AND($H12406="ATMOS DISTILLATION",ISNUMBER(SEARCH("VPS",$I12406))=FALSE,LEFT($I12406,6)&lt;&gt;"VACUUM"),"CDU",IF($H12406="FLUID CAT CRACKING","FCC",IF(OR($H12406="HYDROCRACKING",$H12406="RESID_HYDROCRACKING"),"Hydrocracker",IF($H12406="REFORMING","Reformer",""))))</f>
        <v/>
      </c>
    </row>
    <row r="12407" spans="6:7">
      <c r="F12407" s="6">
        <f>IF($M12407="PADD I","PADD 1",IF($M12407="PADD II","PADD 2",IF($M12407="PADD III","PADD 3",IF($M12407="PADD IV","PADD 4",IF($M12407="PADD V","PADD 5","")))))</f>
        <v/>
      </c>
      <c r="G12407" s="6">
        <f>IF(AND($H12407="ATMOS DISTILLATION",ISNUMBER(SEARCH("VPS",$I12407))=FALSE,LEFT($I12407,6)&lt;&gt;"VACUUM"),"CDU",IF($H12407="FLUID CAT CRACKING","FCC",IF(OR($H12407="HYDROCRACKING",$H12407="RESID_HYDROCRACKING"),"Hydrocracker",IF($H12407="REFORMING","Reformer",""))))</f>
        <v/>
      </c>
    </row>
    <row r="12408" spans="6:7">
      <c r="F12408" s="6">
        <f>IF($M12408="PADD I","PADD 1",IF($M12408="PADD II","PADD 2",IF($M12408="PADD III","PADD 3",IF($M12408="PADD IV","PADD 4",IF($M12408="PADD V","PADD 5","")))))</f>
        <v/>
      </c>
      <c r="G12408" s="6">
        <f>IF(AND($H12408="ATMOS DISTILLATION",ISNUMBER(SEARCH("VPS",$I12408))=FALSE,LEFT($I12408,6)&lt;&gt;"VACUUM"),"CDU",IF($H12408="FLUID CAT CRACKING","FCC",IF(OR($H12408="HYDROCRACKING",$H12408="RESID_HYDROCRACKING"),"Hydrocracker",IF($H12408="REFORMING","Reformer",""))))</f>
        <v/>
      </c>
    </row>
    <row r="12409" spans="6:7">
      <c r="F12409" s="6">
        <f>IF($M12409="PADD I","PADD 1",IF($M12409="PADD II","PADD 2",IF($M12409="PADD III","PADD 3",IF($M12409="PADD IV","PADD 4",IF($M12409="PADD V","PADD 5","")))))</f>
        <v/>
      </c>
      <c r="G12409" s="6">
        <f>IF(AND($H12409="ATMOS DISTILLATION",ISNUMBER(SEARCH("VPS",$I12409))=FALSE,LEFT($I12409,6)&lt;&gt;"VACUUM"),"CDU",IF($H12409="FLUID CAT CRACKING","FCC",IF(OR($H12409="HYDROCRACKING",$H12409="RESID_HYDROCRACKING"),"Hydrocracker",IF($H12409="REFORMING","Reformer",""))))</f>
        <v/>
      </c>
    </row>
    <row r="12410" spans="6:7">
      <c r="F12410" s="6">
        <f>IF($M12410="PADD I","PADD 1",IF($M12410="PADD II","PADD 2",IF($M12410="PADD III","PADD 3",IF($M12410="PADD IV","PADD 4",IF($M12410="PADD V","PADD 5","")))))</f>
        <v/>
      </c>
      <c r="G12410" s="6">
        <f>IF(AND($H12410="ATMOS DISTILLATION",ISNUMBER(SEARCH("VPS",$I12410))=FALSE,LEFT($I12410,6)&lt;&gt;"VACUUM"),"CDU",IF($H12410="FLUID CAT CRACKING","FCC",IF(OR($H12410="HYDROCRACKING",$H12410="RESID_HYDROCRACKING"),"Hydrocracker",IF($H12410="REFORMING","Reformer",""))))</f>
        <v/>
      </c>
    </row>
    <row r="12411" spans="6:7">
      <c r="F12411" s="6">
        <f>IF($M12411="PADD I","PADD 1",IF($M12411="PADD II","PADD 2",IF($M12411="PADD III","PADD 3",IF($M12411="PADD IV","PADD 4",IF($M12411="PADD V","PADD 5","")))))</f>
        <v/>
      </c>
      <c r="G12411" s="6">
        <f>IF(AND($H12411="ATMOS DISTILLATION",ISNUMBER(SEARCH("VPS",$I12411))=FALSE,LEFT($I12411,6)&lt;&gt;"VACUUM"),"CDU",IF($H12411="FLUID CAT CRACKING","FCC",IF(OR($H12411="HYDROCRACKING",$H12411="RESID_HYDROCRACKING"),"Hydrocracker",IF($H12411="REFORMING","Reformer",""))))</f>
        <v/>
      </c>
    </row>
    <row r="12412" spans="6:7">
      <c r="F12412" s="6">
        <f>IF($M12412="PADD I","PADD 1",IF($M12412="PADD II","PADD 2",IF($M12412="PADD III","PADD 3",IF($M12412="PADD IV","PADD 4",IF($M12412="PADD V","PADD 5","")))))</f>
        <v/>
      </c>
      <c r="G12412" s="6">
        <f>IF(AND($H12412="ATMOS DISTILLATION",ISNUMBER(SEARCH("VPS",$I12412))=FALSE,LEFT($I12412,6)&lt;&gt;"VACUUM"),"CDU",IF($H12412="FLUID CAT CRACKING","FCC",IF(OR($H12412="HYDROCRACKING",$H12412="RESID_HYDROCRACKING"),"Hydrocracker",IF($H12412="REFORMING","Reformer",""))))</f>
        <v/>
      </c>
    </row>
    <row r="12413" spans="6:7">
      <c r="F12413" s="6">
        <f>IF($M12413="PADD I","PADD 1",IF($M12413="PADD II","PADD 2",IF($M12413="PADD III","PADD 3",IF($M12413="PADD IV","PADD 4",IF($M12413="PADD V","PADD 5","")))))</f>
        <v/>
      </c>
      <c r="G12413" s="6">
        <f>IF(AND($H12413="ATMOS DISTILLATION",ISNUMBER(SEARCH("VPS",$I12413))=FALSE,LEFT($I12413,6)&lt;&gt;"VACUUM"),"CDU",IF($H12413="FLUID CAT CRACKING","FCC",IF(OR($H12413="HYDROCRACKING",$H12413="RESID_HYDROCRACKING"),"Hydrocracker",IF($H12413="REFORMING","Reformer",""))))</f>
        <v/>
      </c>
    </row>
    <row r="12414" spans="6:7">
      <c r="F12414" s="6">
        <f>IF($M12414="PADD I","PADD 1",IF($M12414="PADD II","PADD 2",IF($M12414="PADD III","PADD 3",IF($M12414="PADD IV","PADD 4",IF($M12414="PADD V","PADD 5","")))))</f>
        <v/>
      </c>
      <c r="G12414" s="6">
        <f>IF(AND($H12414="ATMOS DISTILLATION",ISNUMBER(SEARCH("VPS",$I12414))=FALSE,LEFT($I12414,6)&lt;&gt;"VACUUM"),"CDU",IF($H12414="FLUID CAT CRACKING","FCC",IF(OR($H12414="HYDROCRACKING",$H12414="RESID_HYDROCRACKING"),"Hydrocracker",IF($H12414="REFORMING","Reformer",""))))</f>
        <v/>
      </c>
    </row>
    <row r="12415" spans="6:7">
      <c r="F12415" s="6">
        <f>IF($M12415="PADD I","PADD 1",IF($M12415="PADD II","PADD 2",IF($M12415="PADD III","PADD 3",IF($M12415="PADD IV","PADD 4",IF($M12415="PADD V","PADD 5","")))))</f>
        <v/>
      </c>
      <c r="G12415" s="6">
        <f>IF(AND($H12415="ATMOS DISTILLATION",ISNUMBER(SEARCH("VPS",$I12415))=FALSE,LEFT($I12415,6)&lt;&gt;"VACUUM"),"CDU",IF($H12415="FLUID CAT CRACKING","FCC",IF(OR($H12415="HYDROCRACKING",$H12415="RESID_HYDROCRACKING"),"Hydrocracker",IF($H12415="REFORMING","Reformer",""))))</f>
        <v/>
      </c>
    </row>
    <row r="12416" spans="6:7">
      <c r="F12416" s="6">
        <f>IF($M12416="PADD I","PADD 1",IF($M12416="PADD II","PADD 2",IF($M12416="PADD III","PADD 3",IF($M12416="PADD IV","PADD 4",IF($M12416="PADD V","PADD 5","")))))</f>
        <v/>
      </c>
      <c r="G12416" s="6">
        <f>IF(AND($H12416="ATMOS DISTILLATION",ISNUMBER(SEARCH("VPS",$I12416))=FALSE,LEFT($I12416,6)&lt;&gt;"VACUUM"),"CDU",IF($H12416="FLUID CAT CRACKING","FCC",IF(OR($H12416="HYDROCRACKING",$H12416="RESID_HYDROCRACKING"),"Hydrocracker",IF($H12416="REFORMING","Reformer",""))))</f>
        <v/>
      </c>
    </row>
    <row r="12417" spans="6:7">
      <c r="F12417" s="6">
        <f>IF($M12417="PADD I","PADD 1",IF($M12417="PADD II","PADD 2",IF($M12417="PADD III","PADD 3",IF($M12417="PADD IV","PADD 4",IF($M12417="PADD V","PADD 5","")))))</f>
        <v/>
      </c>
      <c r="G12417" s="6">
        <f>IF(AND($H12417="ATMOS DISTILLATION",ISNUMBER(SEARCH("VPS",$I12417))=FALSE,LEFT($I12417,6)&lt;&gt;"VACUUM"),"CDU",IF($H12417="FLUID CAT CRACKING","FCC",IF(OR($H12417="HYDROCRACKING",$H12417="RESID_HYDROCRACKING"),"Hydrocracker",IF($H12417="REFORMING","Reformer",""))))</f>
        <v/>
      </c>
    </row>
    <row r="12418" spans="6:7">
      <c r="F12418" s="6">
        <f>IF($M12418="PADD I","PADD 1",IF($M12418="PADD II","PADD 2",IF($M12418="PADD III","PADD 3",IF($M12418="PADD IV","PADD 4",IF($M12418="PADD V","PADD 5","")))))</f>
        <v/>
      </c>
      <c r="G12418" s="6">
        <f>IF(AND($H12418="ATMOS DISTILLATION",ISNUMBER(SEARCH("VPS",$I12418))=FALSE,LEFT($I12418,6)&lt;&gt;"VACUUM"),"CDU",IF($H12418="FLUID CAT CRACKING","FCC",IF(OR($H12418="HYDROCRACKING",$H12418="RESID_HYDROCRACKING"),"Hydrocracker",IF($H12418="REFORMING","Reformer",""))))</f>
        <v/>
      </c>
    </row>
    <row r="12419" spans="6:7">
      <c r="F12419" s="6">
        <f>IF($M12419="PADD I","PADD 1",IF($M12419="PADD II","PADD 2",IF($M12419="PADD III","PADD 3",IF($M12419="PADD IV","PADD 4",IF($M12419="PADD V","PADD 5","")))))</f>
        <v/>
      </c>
      <c r="G12419" s="6">
        <f>IF(AND($H12419="ATMOS DISTILLATION",ISNUMBER(SEARCH("VPS",$I12419))=FALSE,LEFT($I12419,6)&lt;&gt;"VACUUM"),"CDU",IF($H12419="FLUID CAT CRACKING","FCC",IF(OR($H12419="HYDROCRACKING",$H12419="RESID_HYDROCRACKING"),"Hydrocracker",IF($H12419="REFORMING","Reformer",""))))</f>
        <v/>
      </c>
    </row>
    <row r="12420" spans="6:7">
      <c r="F12420" s="6">
        <f>IF($M12420="PADD I","PADD 1",IF($M12420="PADD II","PADD 2",IF($M12420="PADD III","PADD 3",IF($M12420="PADD IV","PADD 4",IF($M12420="PADD V","PADD 5","")))))</f>
        <v/>
      </c>
      <c r="G12420" s="6">
        <f>IF(AND($H12420="ATMOS DISTILLATION",ISNUMBER(SEARCH("VPS",$I12420))=FALSE,LEFT($I12420,6)&lt;&gt;"VACUUM"),"CDU",IF($H12420="FLUID CAT CRACKING","FCC",IF(OR($H12420="HYDROCRACKING",$H12420="RESID_HYDROCRACKING"),"Hydrocracker",IF($H12420="REFORMING","Reformer",""))))</f>
        <v/>
      </c>
    </row>
    <row r="12421" spans="6:7">
      <c r="F12421" s="6">
        <f>IF($M12421="PADD I","PADD 1",IF($M12421="PADD II","PADD 2",IF($M12421="PADD III","PADD 3",IF($M12421="PADD IV","PADD 4",IF($M12421="PADD V","PADD 5","")))))</f>
        <v/>
      </c>
      <c r="G12421" s="6">
        <f>IF(AND($H12421="ATMOS DISTILLATION",ISNUMBER(SEARCH("VPS",$I12421))=FALSE,LEFT($I12421,6)&lt;&gt;"VACUUM"),"CDU",IF($H12421="FLUID CAT CRACKING","FCC",IF(OR($H12421="HYDROCRACKING",$H12421="RESID_HYDROCRACKING"),"Hydrocracker",IF($H12421="REFORMING","Reformer",""))))</f>
        <v/>
      </c>
    </row>
    <row r="12422" spans="6:7">
      <c r="F12422" s="6">
        <f>IF($M12422="PADD I","PADD 1",IF($M12422="PADD II","PADD 2",IF($M12422="PADD III","PADD 3",IF($M12422="PADD IV","PADD 4",IF($M12422="PADD V","PADD 5","")))))</f>
        <v/>
      </c>
      <c r="G12422" s="6">
        <f>IF(AND($H12422="ATMOS DISTILLATION",ISNUMBER(SEARCH("VPS",$I12422))=FALSE,LEFT($I12422,6)&lt;&gt;"VACUUM"),"CDU",IF($H12422="FLUID CAT CRACKING","FCC",IF(OR($H12422="HYDROCRACKING",$H12422="RESID_HYDROCRACKING"),"Hydrocracker",IF($H12422="REFORMING","Reformer",""))))</f>
        <v/>
      </c>
    </row>
    <row r="12423" spans="6:7">
      <c r="F12423" s="6">
        <f>IF($M12423="PADD I","PADD 1",IF($M12423="PADD II","PADD 2",IF($M12423="PADD III","PADD 3",IF($M12423="PADD IV","PADD 4",IF($M12423="PADD V","PADD 5","")))))</f>
        <v/>
      </c>
      <c r="G12423" s="6">
        <f>IF(AND($H12423="ATMOS DISTILLATION",ISNUMBER(SEARCH("VPS",$I12423))=FALSE,LEFT($I12423,6)&lt;&gt;"VACUUM"),"CDU",IF($H12423="FLUID CAT CRACKING","FCC",IF(OR($H12423="HYDROCRACKING",$H12423="RESID_HYDROCRACKING"),"Hydrocracker",IF($H12423="REFORMING","Reformer",""))))</f>
        <v/>
      </c>
    </row>
    <row r="12424" spans="6:7">
      <c r="F12424" s="6">
        <f>IF($M12424="PADD I","PADD 1",IF($M12424="PADD II","PADD 2",IF($M12424="PADD III","PADD 3",IF($M12424="PADD IV","PADD 4",IF($M12424="PADD V","PADD 5","")))))</f>
        <v/>
      </c>
      <c r="G12424" s="6">
        <f>IF(AND($H12424="ATMOS DISTILLATION",ISNUMBER(SEARCH("VPS",$I12424))=FALSE,LEFT($I12424,6)&lt;&gt;"VACUUM"),"CDU",IF($H12424="FLUID CAT CRACKING","FCC",IF(OR($H12424="HYDROCRACKING",$H12424="RESID_HYDROCRACKING"),"Hydrocracker",IF($H12424="REFORMING","Reformer",""))))</f>
        <v/>
      </c>
    </row>
    <row r="12425" spans="6:7">
      <c r="F12425" s="6">
        <f>IF($M12425="PADD I","PADD 1",IF($M12425="PADD II","PADD 2",IF($M12425="PADD III","PADD 3",IF($M12425="PADD IV","PADD 4",IF($M12425="PADD V","PADD 5","")))))</f>
        <v/>
      </c>
      <c r="G12425" s="6">
        <f>IF(AND($H12425="ATMOS DISTILLATION",ISNUMBER(SEARCH("VPS",$I12425))=FALSE,LEFT($I12425,6)&lt;&gt;"VACUUM"),"CDU",IF($H12425="FLUID CAT CRACKING","FCC",IF(OR($H12425="HYDROCRACKING",$H12425="RESID_HYDROCRACKING"),"Hydrocracker",IF($H12425="REFORMING","Reformer",""))))</f>
        <v/>
      </c>
    </row>
    <row r="12426" spans="6:7">
      <c r="F12426" s="6">
        <f>IF($M12426="PADD I","PADD 1",IF($M12426="PADD II","PADD 2",IF($M12426="PADD III","PADD 3",IF($M12426="PADD IV","PADD 4",IF($M12426="PADD V","PADD 5","")))))</f>
        <v/>
      </c>
      <c r="G12426" s="6">
        <f>IF(AND($H12426="ATMOS DISTILLATION",ISNUMBER(SEARCH("VPS",$I12426))=FALSE,LEFT($I12426,6)&lt;&gt;"VACUUM"),"CDU",IF($H12426="FLUID CAT CRACKING","FCC",IF(OR($H12426="HYDROCRACKING",$H12426="RESID_HYDROCRACKING"),"Hydrocracker",IF($H12426="REFORMING","Reformer",""))))</f>
        <v/>
      </c>
    </row>
    <row r="12427" spans="6:7">
      <c r="F12427" s="6">
        <f>IF($M12427="PADD I","PADD 1",IF($M12427="PADD II","PADD 2",IF($M12427="PADD III","PADD 3",IF($M12427="PADD IV","PADD 4",IF($M12427="PADD V","PADD 5","")))))</f>
        <v/>
      </c>
      <c r="G12427" s="6">
        <f>IF(AND($H12427="ATMOS DISTILLATION",ISNUMBER(SEARCH("VPS",$I12427))=FALSE,LEFT($I12427,6)&lt;&gt;"VACUUM"),"CDU",IF($H12427="FLUID CAT CRACKING","FCC",IF(OR($H12427="HYDROCRACKING",$H12427="RESID_HYDROCRACKING"),"Hydrocracker",IF($H12427="REFORMING","Reformer",""))))</f>
        <v/>
      </c>
    </row>
    <row r="12428" spans="6:7">
      <c r="F12428" s="6">
        <f>IF($M12428="PADD I","PADD 1",IF($M12428="PADD II","PADD 2",IF($M12428="PADD III","PADD 3",IF($M12428="PADD IV","PADD 4",IF($M12428="PADD V","PADD 5","")))))</f>
        <v/>
      </c>
      <c r="G12428" s="6">
        <f>IF(AND($H12428="ATMOS DISTILLATION",ISNUMBER(SEARCH("VPS",$I12428))=FALSE,LEFT($I12428,6)&lt;&gt;"VACUUM"),"CDU",IF($H12428="FLUID CAT CRACKING","FCC",IF(OR($H12428="HYDROCRACKING",$H12428="RESID_HYDROCRACKING"),"Hydrocracker",IF($H12428="REFORMING","Reformer",""))))</f>
        <v/>
      </c>
    </row>
    <row r="12429" spans="6:7">
      <c r="F12429" s="6">
        <f>IF($M12429="PADD I","PADD 1",IF($M12429="PADD II","PADD 2",IF($M12429="PADD III","PADD 3",IF($M12429="PADD IV","PADD 4",IF($M12429="PADD V","PADD 5","")))))</f>
        <v/>
      </c>
      <c r="G12429" s="6">
        <f>IF(AND($H12429="ATMOS DISTILLATION",ISNUMBER(SEARCH("VPS",$I12429))=FALSE,LEFT($I12429,6)&lt;&gt;"VACUUM"),"CDU",IF($H12429="FLUID CAT CRACKING","FCC",IF(OR($H12429="HYDROCRACKING",$H12429="RESID_HYDROCRACKING"),"Hydrocracker",IF($H12429="REFORMING","Reformer",""))))</f>
        <v/>
      </c>
    </row>
    <row r="12430" spans="6:7">
      <c r="F12430" s="6">
        <f>IF($M12430="PADD I","PADD 1",IF($M12430="PADD II","PADD 2",IF($M12430="PADD III","PADD 3",IF($M12430="PADD IV","PADD 4",IF($M12430="PADD V","PADD 5","")))))</f>
        <v/>
      </c>
      <c r="G12430" s="6">
        <f>IF(AND($H12430="ATMOS DISTILLATION",ISNUMBER(SEARCH("VPS",$I12430))=FALSE,LEFT($I12430,6)&lt;&gt;"VACUUM"),"CDU",IF($H12430="FLUID CAT CRACKING","FCC",IF(OR($H12430="HYDROCRACKING",$H12430="RESID_HYDROCRACKING"),"Hydrocracker",IF($H12430="REFORMING","Reformer",""))))</f>
        <v/>
      </c>
    </row>
    <row r="12431" spans="6:7">
      <c r="F12431" s="6">
        <f>IF($M12431="PADD I","PADD 1",IF($M12431="PADD II","PADD 2",IF($M12431="PADD III","PADD 3",IF($M12431="PADD IV","PADD 4",IF($M12431="PADD V","PADD 5","")))))</f>
        <v/>
      </c>
      <c r="G12431" s="6">
        <f>IF(AND($H12431="ATMOS DISTILLATION",ISNUMBER(SEARCH("VPS",$I12431))=FALSE,LEFT($I12431,6)&lt;&gt;"VACUUM"),"CDU",IF($H12431="FLUID CAT CRACKING","FCC",IF(OR($H12431="HYDROCRACKING",$H12431="RESID_HYDROCRACKING"),"Hydrocracker",IF($H12431="REFORMING","Reformer",""))))</f>
        <v/>
      </c>
    </row>
    <row r="12432" spans="6:7">
      <c r="F12432" s="6">
        <f>IF($M12432="PADD I","PADD 1",IF($M12432="PADD II","PADD 2",IF($M12432="PADD III","PADD 3",IF($M12432="PADD IV","PADD 4",IF($M12432="PADD V","PADD 5","")))))</f>
        <v/>
      </c>
      <c r="G12432" s="6">
        <f>IF(AND($H12432="ATMOS DISTILLATION",ISNUMBER(SEARCH("VPS",$I12432))=FALSE,LEFT($I12432,6)&lt;&gt;"VACUUM"),"CDU",IF($H12432="FLUID CAT CRACKING","FCC",IF(OR($H12432="HYDROCRACKING",$H12432="RESID_HYDROCRACKING"),"Hydrocracker",IF($H12432="REFORMING","Reformer",""))))</f>
        <v/>
      </c>
    </row>
    <row r="12433" spans="6:7">
      <c r="F12433" s="6">
        <f>IF($M12433="PADD I","PADD 1",IF($M12433="PADD II","PADD 2",IF($M12433="PADD III","PADD 3",IF($M12433="PADD IV","PADD 4",IF($M12433="PADD V","PADD 5","")))))</f>
        <v/>
      </c>
      <c r="G12433" s="6">
        <f>IF(AND($H12433="ATMOS DISTILLATION",ISNUMBER(SEARCH("VPS",$I12433))=FALSE,LEFT($I12433,6)&lt;&gt;"VACUUM"),"CDU",IF($H12433="FLUID CAT CRACKING","FCC",IF(OR($H12433="HYDROCRACKING",$H12433="RESID_HYDROCRACKING"),"Hydrocracker",IF($H12433="REFORMING","Reformer",""))))</f>
        <v/>
      </c>
    </row>
    <row r="12434" spans="6:7">
      <c r="F12434" s="6">
        <f>IF($M12434="PADD I","PADD 1",IF($M12434="PADD II","PADD 2",IF($M12434="PADD III","PADD 3",IF($M12434="PADD IV","PADD 4",IF($M12434="PADD V","PADD 5","")))))</f>
        <v/>
      </c>
      <c r="G12434" s="6">
        <f>IF(AND($H12434="ATMOS DISTILLATION",ISNUMBER(SEARCH("VPS",$I12434))=FALSE,LEFT($I12434,6)&lt;&gt;"VACUUM"),"CDU",IF($H12434="FLUID CAT CRACKING","FCC",IF(OR($H12434="HYDROCRACKING",$H12434="RESID_HYDROCRACKING"),"Hydrocracker",IF($H12434="REFORMING","Reformer",""))))</f>
        <v/>
      </c>
    </row>
    <row r="12435" spans="6:7">
      <c r="F12435" s="6">
        <f>IF($M12435="PADD I","PADD 1",IF($M12435="PADD II","PADD 2",IF($M12435="PADD III","PADD 3",IF($M12435="PADD IV","PADD 4",IF($M12435="PADD V","PADD 5","")))))</f>
        <v/>
      </c>
      <c r="G12435" s="6">
        <f>IF(AND($H12435="ATMOS DISTILLATION",ISNUMBER(SEARCH("VPS",$I12435))=FALSE,LEFT($I12435,6)&lt;&gt;"VACUUM"),"CDU",IF($H12435="FLUID CAT CRACKING","FCC",IF(OR($H12435="HYDROCRACKING",$H12435="RESID_HYDROCRACKING"),"Hydrocracker",IF($H12435="REFORMING","Reformer",""))))</f>
        <v/>
      </c>
    </row>
    <row r="12436" spans="6:7">
      <c r="F12436" s="6">
        <f>IF($M12436="PADD I","PADD 1",IF($M12436="PADD II","PADD 2",IF($M12436="PADD III","PADD 3",IF($M12436="PADD IV","PADD 4",IF($M12436="PADD V","PADD 5","")))))</f>
        <v/>
      </c>
      <c r="G12436" s="6">
        <f>IF(AND($H12436="ATMOS DISTILLATION",ISNUMBER(SEARCH("VPS",$I12436))=FALSE,LEFT($I12436,6)&lt;&gt;"VACUUM"),"CDU",IF($H12436="FLUID CAT CRACKING","FCC",IF(OR($H12436="HYDROCRACKING",$H12436="RESID_HYDROCRACKING"),"Hydrocracker",IF($H12436="REFORMING","Reformer",""))))</f>
        <v/>
      </c>
    </row>
    <row r="12437" spans="6:7">
      <c r="F12437" s="6">
        <f>IF($M12437="PADD I","PADD 1",IF($M12437="PADD II","PADD 2",IF($M12437="PADD III","PADD 3",IF($M12437="PADD IV","PADD 4",IF($M12437="PADD V","PADD 5","")))))</f>
        <v/>
      </c>
      <c r="G12437" s="6">
        <f>IF(AND($H12437="ATMOS DISTILLATION",ISNUMBER(SEARCH("VPS",$I12437))=FALSE,LEFT($I12437,6)&lt;&gt;"VACUUM"),"CDU",IF($H12437="FLUID CAT CRACKING","FCC",IF(OR($H12437="HYDROCRACKING",$H12437="RESID_HYDROCRACKING"),"Hydrocracker",IF($H12437="REFORMING","Reformer",""))))</f>
        <v/>
      </c>
    </row>
    <row r="12438" spans="6:7">
      <c r="F12438" s="6">
        <f>IF($M12438="PADD I","PADD 1",IF($M12438="PADD II","PADD 2",IF($M12438="PADD III","PADD 3",IF($M12438="PADD IV","PADD 4",IF($M12438="PADD V","PADD 5","")))))</f>
        <v/>
      </c>
      <c r="G12438" s="6">
        <f>IF(AND($H12438="ATMOS DISTILLATION",ISNUMBER(SEARCH("VPS",$I12438))=FALSE,LEFT($I12438,6)&lt;&gt;"VACUUM"),"CDU",IF($H12438="FLUID CAT CRACKING","FCC",IF(OR($H12438="HYDROCRACKING",$H12438="RESID_HYDROCRACKING"),"Hydrocracker",IF($H12438="REFORMING","Reformer",""))))</f>
        <v/>
      </c>
    </row>
    <row r="12439" spans="6:7">
      <c r="F12439" s="6">
        <f>IF($M12439="PADD I","PADD 1",IF($M12439="PADD II","PADD 2",IF($M12439="PADD III","PADD 3",IF($M12439="PADD IV","PADD 4",IF($M12439="PADD V","PADD 5","")))))</f>
        <v/>
      </c>
      <c r="G12439" s="6">
        <f>IF(AND($H12439="ATMOS DISTILLATION",ISNUMBER(SEARCH("VPS",$I12439))=FALSE,LEFT($I12439,6)&lt;&gt;"VACUUM"),"CDU",IF($H12439="FLUID CAT CRACKING","FCC",IF(OR($H12439="HYDROCRACKING",$H12439="RESID_HYDROCRACKING"),"Hydrocracker",IF($H12439="REFORMING","Reformer",""))))</f>
        <v/>
      </c>
    </row>
    <row r="12440" spans="6:7">
      <c r="F12440" s="6">
        <f>IF($M12440="PADD I","PADD 1",IF($M12440="PADD II","PADD 2",IF($M12440="PADD III","PADD 3",IF($M12440="PADD IV","PADD 4",IF($M12440="PADD V","PADD 5","")))))</f>
        <v/>
      </c>
      <c r="G12440" s="6">
        <f>IF(AND($H12440="ATMOS DISTILLATION",ISNUMBER(SEARCH("VPS",$I12440))=FALSE,LEFT($I12440,6)&lt;&gt;"VACUUM"),"CDU",IF($H12440="FLUID CAT CRACKING","FCC",IF(OR($H12440="HYDROCRACKING",$H12440="RESID_HYDROCRACKING"),"Hydrocracker",IF($H12440="REFORMING","Reformer",""))))</f>
        <v/>
      </c>
    </row>
    <row r="12441" spans="6:7">
      <c r="F12441" s="6">
        <f>IF($M12441="PADD I","PADD 1",IF($M12441="PADD II","PADD 2",IF($M12441="PADD III","PADD 3",IF($M12441="PADD IV","PADD 4",IF($M12441="PADD V","PADD 5","")))))</f>
        <v/>
      </c>
      <c r="G12441" s="6">
        <f>IF(AND($H12441="ATMOS DISTILLATION",ISNUMBER(SEARCH("VPS",$I12441))=FALSE,LEFT($I12441,6)&lt;&gt;"VACUUM"),"CDU",IF($H12441="FLUID CAT CRACKING","FCC",IF(OR($H12441="HYDROCRACKING",$H12441="RESID_HYDROCRACKING"),"Hydrocracker",IF($H12441="REFORMING","Reformer",""))))</f>
        <v/>
      </c>
    </row>
    <row r="12442" spans="6:7">
      <c r="F12442" s="6">
        <f>IF($M12442="PADD I","PADD 1",IF($M12442="PADD II","PADD 2",IF($M12442="PADD III","PADD 3",IF($M12442="PADD IV","PADD 4",IF($M12442="PADD V","PADD 5","")))))</f>
        <v/>
      </c>
      <c r="G12442" s="6">
        <f>IF(AND($H12442="ATMOS DISTILLATION",ISNUMBER(SEARCH("VPS",$I12442))=FALSE,LEFT($I12442,6)&lt;&gt;"VACUUM"),"CDU",IF($H12442="FLUID CAT CRACKING","FCC",IF(OR($H12442="HYDROCRACKING",$H12442="RESID_HYDROCRACKING"),"Hydrocracker",IF($H12442="REFORMING","Reformer",""))))</f>
        <v/>
      </c>
    </row>
    <row r="12443" spans="6:7">
      <c r="F12443" s="6">
        <f>IF($M12443="PADD I","PADD 1",IF($M12443="PADD II","PADD 2",IF($M12443="PADD III","PADD 3",IF($M12443="PADD IV","PADD 4",IF($M12443="PADD V","PADD 5","")))))</f>
        <v/>
      </c>
      <c r="G12443" s="6">
        <f>IF(AND($H12443="ATMOS DISTILLATION",ISNUMBER(SEARCH("VPS",$I12443))=FALSE,LEFT($I12443,6)&lt;&gt;"VACUUM"),"CDU",IF($H12443="FLUID CAT CRACKING","FCC",IF(OR($H12443="HYDROCRACKING",$H12443="RESID_HYDROCRACKING"),"Hydrocracker",IF($H12443="REFORMING","Reformer",""))))</f>
        <v/>
      </c>
    </row>
    <row r="12444" spans="6:7">
      <c r="F12444" s="6">
        <f>IF($M12444="PADD I","PADD 1",IF($M12444="PADD II","PADD 2",IF($M12444="PADD III","PADD 3",IF($M12444="PADD IV","PADD 4",IF($M12444="PADD V","PADD 5","")))))</f>
        <v/>
      </c>
      <c r="G12444" s="6">
        <f>IF(AND($H12444="ATMOS DISTILLATION",ISNUMBER(SEARCH("VPS",$I12444))=FALSE,LEFT($I12444,6)&lt;&gt;"VACUUM"),"CDU",IF($H12444="FLUID CAT CRACKING","FCC",IF(OR($H12444="HYDROCRACKING",$H12444="RESID_HYDROCRACKING"),"Hydrocracker",IF($H12444="REFORMING","Reformer",""))))</f>
        <v/>
      </c>
    </row>
    <row r="12445" spans="6:7">
      <c r="F12445" s="6">
        <f>IF($M12445="PADD I","PADD 1",IF($M12445="PADD II","PADD 2",IF($M12445="PADD III","PADD 3",IF($M12445="PADD IV","PADD 4",IF($M12445="PADD V","PADD 5","")))))</f>
        <v/>
      </c>
      <c r="G12445" s="6">
        <f>IF(AND($H12445="ATMOS DISTILLATION",ISNUMBER(SEARCH("VPS",$I12445))=FALSE,LEFT($I12445,6)&lt;&gt;"VACUUM"),"CDU",IF($H12445="FLUID CAT CRACKING","FCC",IF(OR($H12445="HYDROCRACKING",$H12445="RESID_HYDROCRACKING"),"Hydrocracker",IF($H12445="REFORMING","Reformer",""))))</f>
        <v/>
      </c>
    </row>
    <row r="12446" spans="6:7">
      <c r="F12446" s="6">
        <f>IF($M12446="PADD I","PADD 1",IF($M12446="PADD II","PADD 2",IF($M12446="PADD III","PADD 3",IF($M12446="PADD IV","PADD 4",IF($M12446="PADD V","PADD 5","")))))</f>
        <v/>
      </c>
      <c r="G12446" s="6">
        <f>IF(AND($H12446="ATMOS DISTILLATION",ISNUMBER(SEARCH("VPS",$I12446))=FALSE,LEFT($I12446,6)&lt;&gt;"VACUUM"),"CDU",IF($H12446="FLUID CAT CRACKING","FCC",IF(OR($H12446="HYDROCRACKING",$H12446="RESID_HYDROCRACKING"),"Hydrocracker",IF($H12446="REFORMING","Reformer",""))))</f>
        <v/>
      </c>
    </row>
    <row r="12447" spans="6:7">
      <c r="F12447" s="6">
        <f>IF($M12447="PADD I","PADD 1",IF($M12447="PADD II","PADD 2",IF($M12447="PADD III","PADD 3",IF($M12447="PADD IV","PADD 4",IF($M12447="PADD V","PADD 5","")))))</f>
        <v/>
      </c>
      <c r="G12447" s="6">
        <f>IF(AND($H12447="ATMOS DISTILLATION",ISNUMBER(SEARCH("VPS",$I12447))=FALSE,LEFT($I12447,6)&lt;&gt;"VACUUM"),"CDU",IF($H12447="FLUID CAT CRACKING","FCC",IF(OR($H12447="HYDROCRACKING",$H12447="RESID_HYDROCRACKING"),"Hydrocracker",IF($H12447="REFORMING","Reformer",""))))</f>
        <v/>
      </c>
    </row>
    <row r="12448" spans="6:7">
      <c r="F12448" s="6">
        <f>IF($M12448="PADD I","PADD 1",IF($M12448="PADD II","PADD 2",IF($M12448="PADD III","PADD 3",IF($M12448="PADD IV","PADD 4",IF($M12448="PADD V","PADD 5","")))))</f>
        <v/>
      </c>
      <c r="G12448" s="6">
        <f>IF(AND($H12448="ATMOS DISTILLATION",ISNUMBER(SEARCH("VPS",$I12448))=FALSE,LEFT($I12448,6)&lt;&gt;"VACUUM"),"CDU",IF($H12448="FLUID CAT CRACKING","FCC",IF(OR($H12448="HYDROCRACKING",$H12448="RESID_HYDROCRACKING"),"Hydrocracker",IF($H12448="REFORMING","Reformer",""))))</f>
        <v/>
      </c>
    </row>
    <row r="12449" spans="6:7">
      <c r="F12449" s="6">
        <f>IF($M12449="PADD I","PADD 1",IF($M12449="PADD II","PADD 2",IF($M12449="PADD III","PADD 3",IF($M12449="PADD IV","PADD 4",IF($M12449="PADD V","PADD 5","")))))</f>
        <v/>
      </c>
      <c r="G12449" s="6">
        <f>IF(AND($H12449="ATMOS DISTILLATION",ISNUMBER(SEARCH("VPS",$I12449))=FALSE,LEFT($I12449,6)&lt;&gt;"VACUUM"),"CDU",IF($H12449="FLUID CAT CRACKING","FCC",IF(OR($H12449="HYDROCRACKING",$H12449="RESID_HYDROCRACKING"),"Hydrocracker",IF($H12449="REFORMING","Reformer",""))))</f>
        <v/>
      </c>
    </row>
    <row r="12450" spans="6:7">
      <c r="F12450" s="6">
        <f>IF($M12450="PADD I","PADD 1",IF($M12450="PADD II","PADD 2",IF($M12450="PADD III","PADD 3",IF($M12450="PADD IV","PADD 4",IF($M12450="PADD V","PADD 5","")))))</f>
        <v/>
      </c>
      <c r="G12450" s="6">
        <f>IF(AND($H12450="ATMOS DISTILLATION",ISNUMBER(SEARCH("VPS",$I12450))=FALSE,LEFT($I12450,6)&lt;&gt;"VACUUM"),"CDU",IF($H12450="FLUID CAT CRACKING","FCC",IF(OR($H12450="HYDROCRACKING",$H12450="RESID_HYDROCRACKING"),"Hydrocracker",IF($H12450="REFORMING","Reformer",""))))</f>
        <v/>
      </c>
    </row>
    <row r="12451" spans="6:7">
      <c r="F12451" s="6">
        <f>IF($M12451="PADD I","PADD 1",IF($M12451="PADD II","PADD 2",IF($M12451="PADD III","PADD 3",IF($M12451="PADD IV","PADD 4",IF($M12451="PADD V","PADD 5","")))))</f>
        <v/>
      </c>
      <c r="G12451" s="6">
        <f>IF(AND($H12451="ATMOS DISTILLATION",ISNUMBER(SEARCH("VPS",$I12451))=FALSE,LEFT($I12451,6)&lt;&gt;"VACUUM"),"CDU",IF($H12451="FLUID CAT CRACKING","FCC",IF(OR($H12451="HYDROCRACKING",$H12451="RESID_HYDROCRACKING"),"Hydrocracker",IF($H12451="REFORMING","Reformer",""))))</f>
        <v/>
      </c>
    </row>
    <row r="12452" spans="6:7">
      <c r="F12452" s="6">
        <f>IF($M12452="PADD I","PADD 1",IF($M12452="PADD II","PADD 2",IF($M12452="PADD III","PADD 3",IF($M12452="PADD IV","PADD 4",IF($M12452="PADD V","PADD 5","")))))</f>
        <v/>
      </c>
      <c r="G12452" s="6">
        <f>IF(AND($H12452="ATMOS DISTILLATION",ISNUMBER(SEARCH("VPS",$I12452))=FALSE,LEFT($I12452,6)&lt;&gt;"VACUUM"),"CDU",IF($H12452="FLUID CAT CRACKING","FCC",IF(OR($H12452="HYDROCRACKING",$H12452="RESID_HYDROCRACKING"),"Hydrocracker",IF($H12452="REFORMING","Reformer",""))))</f>
        <v/>
      </c>
    </row>
    <row r="12453" spans="6:7">
      <c r="F12453" s="6">
        <f>IF($M12453="PADD I","PADD 1",IF($M12453="PADD II","PADD 2",IF($M12453="PADD III","PADD 3",IF($M12453="PADD IV","PADD 4",IF($M12453="PADD V","PADD 5","")))))</f>
        <v/>
      </c>
      <c r="G12453" s="6">
        <f>IF(AND($H12453="ATMOS DISTILLATION",ISNUMBER(SEARCH("VPS",$I12453))=FALSE,LEFT($I12453,6)&lt;&gt;"VACUUM"),"CDU",IF($H12453="FLUID CAT CRACKING","FCC",IF(OR($H12453="HYDROCRACKING",$H12453="RESID_HYDROCRACKING"),"Hydrocracker",IF($H12453="REFORMING","Reformer",""))))</f>
        <v/>
      </c>
    </row>
    <row r="12454" spans="6:7">
      <c r="F12454" s="6">
        <f>IF($M12454="PADD I","PADD 1",IF($M12454="PADD II","PADD 2",IF($M12454="PADD III","PADD 3",IF($M12454="PADD IV","PADD 4",IF($M12454="PADD V","PADD 5","")))))</f>
        <v/>
      </c>
      <c r="G12454" s="6">
        <f>IF(AND($H12454="ATMOS DISTILLATION",ISNUMBER(SEARCH("VPS",$I12454))=FALSE,LEFT($I12454,6)&lt;&gt;"VACUUM"),"CDU",IF($H12454="FLUID CAT CRACKING","FCC",IF(OR($H12454="HYDROCRACKING",$H12454="RESID_HYDROCRACKING"),"Hydrocracker",IF($H12454="REFORMING","Reformer",""))))</f>
        <v/>
      </c>
    </row>
    <row r="12455" spans="6:7">
      <c r="F12455" s="6">
        <f>IF($M12455="PADD I","PADD 1",IF($M12455="PADD II","PADD 2",IF($M12455="PADD III","PADD 3",IF($M12455="PADD IV","PADD 4",IF($M12455="PADD V","PADD 5","")))))</f>
        <v/>
      </c>
      <c r="G12455" s="6">
        <f>IF(AND($H12455="ATMOS DISTILLATION",ISNUMBER(SEARCH("VPS",$I12455))=FALSE,LEFT($I12455,6)&lt;&gt;"VACUUM"),"CDU",IF($H12455="FLUID CAT CRACKING","FCC",IF(OR($H12455="HYDROCRACKING",$H12455="RESID_HYDROCRACKING"),"Hydrocracker",IF($H12455="REFORMING","Reformer",""))))</f>
        <v/>
      </c>
    </row>
    <row r="12456" spans="6:7">
      <c r="F12456" s="6">
        <f>IF($M12456="PADD I","PADD 1",IF($M12456="PADD II","PADD 2",IF($M12456="PADD III","PADD 3",IF($M12456="PADD IV","PADD 4",IF($M12456="PADD V","PADD 5","")))))</f>
        <v/>
      </c>
      <c r="G12456" s="6">
        <f>IF(AND($H12456="ATMOS DISTILLATION",ISNUMBER(SEARCH("VPS",$I12456))=FALSE,LEFT($I12456,6)&lt;&gt;"VACUUM"),"CDU",IF($H12456="FLUID CAT CRACKING","FCC",IF(OR($H12456="HYDROCRACKING",$H12456="RESID_HYDROCRACKING"),"Hydrocracker",IF($H12456="REFORMING","Reformer",""))))</f>
        <v/>
      </c>
    </row>
    <row r="12457" spans="6:7">
      <c r="F12457" s="6">
        <f>IF($M12457="PADD I","PADD 1",IF($M12457="PADD II","PADD 2",IF($M12457="PADD III","PADD 3",IF($M12457="PADD IV","PADD 4",IF($M12457="PADD V","PADD 5","")))))</f>
        <v/>
      </c>
      <c r="G12457" s="6">
        <f>IF(AND($H12457="ATMOS DISTILLATION",ISNUMBER(SEARCH("VPS",$I12457))=FALSE,LEFT($I12457,6)&lt;&gt;"VACUUM"),"CDU",IF($H12457="FLUID CAT CRACKING","FCC",IF(OR($H12457="HYDROCRACKING",$H12457="RESID_HYDROCRACKING"),"Hydrocracker",IF($H12457="REFORMING","Reformer",""))))</f>
        <v/>
      </c>
    </row>
    <row r="12458" spans="6:7">
      <c r="F12458" s="6">
        <f>IF($M12458="PADD I","PADD 1",IF($M12458="PADD II","PADD 2",IF($M12458="PADD III","PADD 3",IF($M12458="PADD IV","PADD 4",IF($M12458="PADD V","PADD 5","")))))</f>
        <v/>
      </c>
      <c r="G12458" s="6">
        <f>IF(AND($H12458="ATMOS DISTILLATION",ISNUMBER(SEARCH("VPS",$I12458))=FALSE,LEFT($I12458,6)&lt;&gt;"VACUUM"),"CDU",IF($H12458="FLUID CAT CRACKING","FCC",IF(OR($H12458="HYDROCRACKING",$H12458="RESID_HYDROCRACKING"),"Hydrocracker",IF($H12458="REFORMING","Reformer",""))))</f>
        <v/>
      </c>
    </row>
    <row r="12459" spans="6:7">
      <c r="F12459" s="6">
        <f>IF($M12459="PADD I","PADD 1",IF($M12459="PADD II","PADD 2",IF($M12459="PADD III","PADD 3",IF($M12459="PADD IV","PADD 4",IF($M12459="PADD V","PADD 5","")))))</f>
        <v/>
      </c>
      <c r="G12459" s="6">
        <f>IF(AND($H12459="ATMOS DISTILLATION",ISNUMBER(SEARCH("VPS",$I12459))=FALSE,LEFT($I12459,6)&lt;&gt;"VACUUM"),"CDU",IF($H12459="FLUID CAT CRACKING","FCC",IF(OR($H12459="HYDROCRACKING",$H12459="RESID_HYDROCRACKING"),"Hydrocracker",IF($H12459="REFORMING","Reformer",""))))</f>
        <v/>
      </c>
    </row>
    <row r="12460" spans="6:7">
      <c r="F12460" s="6">
        <f>IF($M12460="PADD I","PADD 1",IF($M12460="PADD II","PADD 2",IF($M12460="PADD III","PADD 3",IF($M12460="PADD IV","PADD 4",IF($M12460="PADD V","PADD 5","")))))</f>
        <v/>
      </c>
      <c r="G12460" s="6">
        <f>IF(AND($H12460="ATMOS DISTILLATION",ISNUMBER(SEARCH("VPS",$I12460))=FALSE,LEFT($I12460,6)&lt;&gt;"VACUUM"),"CDU",IF($H12460="FLUID CAT CRACKING","FCC",IF(OR($H12460="HYDROCRACKING",$H12460="RESID_HYDROCRACKING"),"Hydrocracker",IF($H12460="REFORMING","Reformer",""))))</f>
        <v/>
      </c>
    </row>
    <row r="12461" spans="6:7">
      <c r="F12461" s="6">
        <f>IF($M12461="PADD I","PADD 1",IF($M12461="PADD II","PADD 2",IF($M12461="PADD III","PADD 3",IF($M12461="PADD IV","PADD 4",IF($M12461="PADD V","PADD 5","")))))</f>
        <v/>
      </c>
      <c r="G12461" s="6">
        <f>IF(AND($H12461="ATMOS DISTILLATION",ISNUMBER(SEARCH("VPS",$I12461))=FALSE,LEFT($I12461,6)&lt;&gt;"VACUUM"),"CDU",IF($H12461="FLUID CAT CRACKING","FCC",IF(OR($H12461="HYDROCRACKING",$H12461="RESID_HYDROCRACKING"),"Hydrocracker",IF($H12461="REFORMING","Reformer",""))))</f>
        <v/>
      </c>
    </row>
    <row r="12462" spans="6:7">
      <c r="F12462" s="6">
        <f>IF($M12462="PADD I","PADD 1",IF($M12462="PADD II","PADD 2",IF($M12462="PADD III","PADD 3",IF($M12462="PADD IV","PADD 4",IF($M12462="PADD V","PADD 5","")))))</f>
        <v/>
      </c>
      <c r="G12462" s="6">
        <f>IF(AND($H12462="ATMOS DISTILLATION",ISNUMBER(SEARCH("VPS",$I12462))=FALSE,LEFT($I12462,6)&lt;&gt;"VACUUM"),"CDU",IF($H12462="FLUID CAT CRACKING","FCC",IF(OR($H12462="HYDROCRACKING",$H12462="RESID_HYDROCRACKING"),"Hydrocracker",IF($H12462="REFORMING","Reformer",""))))</f>
        <v/>
      </c>
    </row>
    <row r="12463" spans="6:7">
      <c r="F12463" s="6">
        <f>IF($M12463="PADD I","PADD 1",IF($M12463="PADD II","PADD 2",IF($M12463="PADD III","PADD 3",IF($M12463="PADD IV","PADD 4",IF($M12463="PADD V","PADD 5","")))))</f>
        <v/>
      </c>
      <c r="G12463" s="6">
        <f>IF(AND($H12463="ATMOS DISTILLATION",ISNUMBER(SEARCH("VPS",$I12463))=FALSE,LEFT($I12463,6)&lt;&gt;"VACUUM"),"CDU",IF($H12463="FLUID CAT CRACKING","FCC",IF(OR($H12463="HYDROCRACKING",$H12463="RESID_HYDROCRACKING"),"Hydrocracker",IF($H12463="REFORMING","Reformer",""))))</f>
        <v/>
      </c>
    </row>
    <row r="12464" spans="6:7">
      <c r="F12464" s="6">
        <f>IF($M12464="PADD I","PADD 1",IF($M12464="PADD II","PADD 2",IF($M12464="PADD III","PADD 3",IF($M12464="PADD IV","PADD 4",IF($M12464="PADD V","PADD 5","")))))</f>
        <v/>
      </c>
      <c r="G12464" s="6">
        <f>IF(AND($H12464="ATMOS DISTILLATION",ISNUMBER(SEARCH("VPS",$I12464))=FALSE,LEFT($I12464,6)&lt;&gt;"VACUUM"),"CDU",IF($H12464="FLUID CAT CRACKING","FCC",IF(OR($H12464="HYDROCRACKING",$H12464="RESID_HYDROCRACKING"),"Hydrocracker",IF($H12464="REFORMING","Reformer",""))))</f>
        <v/>
      </c>
    </row>
    <row r="12465" spans="6:7">
      <c r="F12465" s="6">
        <f>IF($M12465="PADD I","PADD 1",IF($M12465="PADD II","PADD 2",IF($M12465="PADD III","PADD 3",IF($M12465="PADD IV","PADD 4",IF($M12465="PADD V","PADD 5","")))))</f>
        <v/>
      </c>
      <c r="G12465" s="6">
        <f>IF(AND($H12465="ATMOS DISTILLATION",ISNUMBER(SEARCH("VPS",$I12465))=FALSE,LEFT($I12465,6)&lt;&gt;"VACUUM"),"CDU",IF($H12465="FLUID CAT CRACKING","FCC",IF(OR($H12465="HYDROCRACKING",$H12465="RESID_HYDROCRACKING"),"Hydrocracker",IF($H12465="REFORMING","Reformer",""))))</f>
        <v/>
      </c>
    </row>
    <row r="12466" spans="6:7">
      <c r="F12466" s="6">
        <f>IF($M12466="PADD I","PADD 1",IF($M12466="PADD II","PADD 2",IF($M12466="PADD III","PADD 3",IF($M12466="PADD IV","PADD 4",IF($M12466="PADD V","PADD 5","")))))</f>
        <v/>
      </c>
      <c r="G12466" s="6">
        <f>IF(AND($H12466="ATMOS DISTILLATION",ISNUMBER(SEARCH("VPS",$I12466))=FALSE,LEFT($I12466,6)&lt;&gt;"VACUUM"),"CDU",IF($H12466="FLUID CAT CRACKING","FCC",IF(OR($H12466="HYDROCRACKING",$H12466="RESID_HYDROCRACKING"),"Hydrocracker",IF($H12466="REFORMING","Reformer",""))))</f>
        <v/>
      </c>
    </row>
    <row r="12467" spans="6:7">
      <c r="F12467" s="6">
        <f>IF($M12467="PADD I","PADD 1",IF($M12467="PADD II","PADD 2",IF($M12467="PADD III","PADD 3",IF($M12467="PADD IV","PADD 4",IF($M12467="PADD V","PADD 5","")))))</f>
        <v/>
      </c>
      <c r="G12467" s="6">
        <f>IF(AND($H12467="ATMOS DISTILLATION",ISNUMBER(SEARCH("VPS",$I12467))=FALSE,LEFT($I12467,6)&lt;&gt;"VACUUM"),"CDU",IF($H12467="FLUID CAT CRACKING","FCC",IF(OR($H12467="HYDROCRACKING",$H12467="RESID_HYDROCRACKING"),"Hydrocracker",IF($H12467="REFORMING","Reformer",""))))</f>
        <v/>
      </c>
    </row>
    <row r="12468" spans="6:7">
      <c r="F12468" s="6">
        <f>IF($M12468="PADD I","PADD 1",IF($M12468="PADD II","PADD 2",IF($M12468="PADD III","PADD 3",IF($M12468="PADD IV","PADD 4",IF($M12468="PADD V","PADD 5","")))))</f>
        <v/>
      </c>
      <c r="G12468" s="6">
        <f>IF(AND($H12468="ATMOS DISTILLATION",ISNUMBER(SEARCH("VPS",$I12468))=FALSE,LEFT($I12468,6)&lt;&gt;"VACUUM"),"CDU",IF($H12468="FLUID CAT CRACKING","FCC",IF(OR($H12468="HYDROCRACKING",$H12468="RESID_HYDROCRACKING"),"Hydrocracker",IF($H12468="REFORMING","Reformer",""))))</f>
        <v/>
      </c>
    </row>
    <row r="12469" spans="6:7">
      <c r="F12469" s="6">
        <f>IF($M12469="PADD I","PADD 1",IF($M12469="PADD II","PADD 2",IF($M12469="PADD III","PADD 3",IF($M12469="PADD IV","PADD 4",IF($M12469="PADD V","PADD 5","")))))</f>
        <v/>
      </c>
      <c r="G12469" s="6">
        <f>IF(AND($H12469="ATMOS DISTILLATION",ISNUMBER(SEARCH("VPS",$I12469))=FALSE,LEFT($I12469,6)&lt;&gt;"VACUUM"),"CDU",IF($H12469="FLUID CAT CRACKING","FCC",IF(OR($H12469="HYDROCRACKING",$H12469="RESID_HYDROCRACKING"),"Hydrocracker",IF($H12469="REFORMING","Reformer",""))))</f>
        <v/>
      </c>
    </row>
    <row r="12470" spans="6:7">
      <c r="F12470" s="6">
        <f>IF($M12470="PADD I","PADD 1",IF($M12470="PADD II","PADD 2",IF($M12470="PADD III","PADD 3",IF($M12470="PADD IV","PADD 4",IF($M12470="PADD V","PADD 5","")))))</f>
        <v/>
      </c>
      <c r="G12470" s="6">
        <f>IF(AND($H12470="ATMOS DISTILLATION",ISNUMBER(SEARCH("VPS",$I12470))=FALSE,LEFT($I12470,6)&lt;&gt;"VACUUM"),"CDU",IF($H12470="FLUID CAT CRACKING","FCC",IF(OR($H12470="HYDROCRACKING",$H12470="RESID_HYDROCRACKING"),"Hydrocracker",IF($H12470="REFORMING","Reformer",""))))</f>
        <v/>
      </c>
    </row>
    <row r="12471" spans="6:7">
      <c r="F12471" s="6">
        <f>IF($M12471="PADD I","PADD 1",IF($M12471="PADD II","PADD 2",IF($M12471="PADD III","PADD 3",IF($M12471="PADD IV","PADD 4",IF($M12471="PADD V","PADD 5","")))))</f>
        <v/>
      </c>
      <c r="G12471" s="6">
        <f>IF(AND($H12471="ATMOS DISTILLATION",ISNUMBER(SEARCH("VPS",$I12471))=FALSE,LEFT($I12471,6)&lt;&gt;"VACUUM"),"CDU",IF($H12471="FLUID CAT CRACKING","FCC",IF(OR($H12471="HYDROCRACKING",$H12471="RESID_HYDROCRACKING"),"Hydrocracker",IF($H12471="REFORMING","Reformer",""))))</f>
        <v/>
      </c>
    </row>
    <row r="12472" spans="6:7">
      <c r="F12472" s="6">
        <f>IF($M12472="PADD I","PADD 1",IF($M12472="PADD II","PADD 2",IF($M12472="PADD III","PADD 3",IF($M12472="PADD IV","PADD 4",IF($M12472="PADD V","PADD 5","")))))</f>
        <v/>
      </c>
      <c r="G12472" s="6">
        <f>IF(AND($H12472="ATMOS DISTILLATION",ISNUMBER(SEARCH("VPS",$I12472))=FALSE,LEFT($I12472,6)&lt;&gt;"VACUUM"),"CDU",IF($H12472="FLUID CAT CRACKING","FCC",IF(OR($H12472="HYDROCRACKING",$H12472="RESID_HYDROCRACKING"),"Hydrocracker",IF($H12472="REFORMING","Reformer",""))))</f>
        <v/>
      </c>
    </row>
    <row r="12473" spans="6:7">
      <c r="F12473" s="6">
        <f>IF($M12473="PADD I","PADD 1",IF($M12473="PADD II","PADD 2",IF($M12473="PADD III","PADD 3",IF($M12473="PADD IV","PADD 4",IF($M12473="PADD V","PADD 5","")))))</f>
        <v/>
      </c>
      <c r="G12473" s="6">
        <f>IF(AND($H12473="ATMOS DISTILLATION",ISNUMBER(SEARCH("VPS",$I12473))=FALSE,LEFT($I12473,6)&lt;&gt;"VACUUM"),"CDU",IF($H12473="FLUID CAT CRACKING","FCC",IF(OR($H12473="HYDROCRACKING",$H12473="RESID_HYDROCRACKING"),"Hydrocracker",IF($H12473="REFORMING","Reformer",""))))</f>
        <v/>
      </c>
    </row>
    <row r="12474" spans="6:7">
      <c r="F12474" s="6">
        <f>IF($M12474="PADD I","PADD 1",IF($M12474="PADD II","PADD 2",IF($M12474="PADD III","PADD 3",IF($M12474="PADD IV","PADD 4",IF($M12474="PADD V","PADD 5","")))))</f>
        <v/>
      </c>
      <c r="G12474" s="6">
        <f>IF(AND($H12474="ATMOS DISTILLATION",ISNUMBER(SEARCH("VPS",$I12474))=FALSE,LEFT($I12474,6)&lt;&gt;"VACUUM"),"CDU",IF($H12474="FLUID CAT CRACKING","FCC",IF(OR($H12474="HYDROCRACKING",$H12474="RESID_HYDROCRACKING"),"Hydrocracker",IF($H12474="REFORMING","Reformer",""))))</f>
        <v/>
      </c>
    </row>
    <row r="12475" spans="6:7">
      <c r="F12475" s="6">
        <f>IF($M12475="PADD I","PADD 1",IF($M12475="PADD II","PADD 2",IF($M12475="PADD III","PADD 3",IF($M12475="PADD IV","PADD 4",IF($M12475="PADD V","PADD 5","")))))</f>
        <v/>
      </c>
      <c r="G12475" s="6">
        <f>IF(AND($H12475="ATMOS DISTILLATION",ISNUMBER(SEARCH("VPS",$I12475))=FALSE,LEFT($I12475,6)&lt;&gt;"VACUUM"),"CDU",IF($H12475="FLUID CAT CRACKING","FCC",IF(OR($H12475="HYDROCRACKING",$H12475="RESID_HYDROCRACKING"),"Hydrocracker",IF($H12475="REFORMING","Reformer",""))))</f>
        <v/>
      </c>
    </row>
    <row r="12476" spans="6:7">
      <c r="F12476" s="6">
        <f>IF($M12476="PADD I","PADD 1",IF($M12476="PADD II","PADD 2",IF($M12476="PADD III","PADD 3",IF($M12476="PADD IV","PADD 4",IF($M12476="PADD V","PADD 5","")))))</f>
        <v/>
      </c>
      <c r="G12476" s="6">
        <f>IF(AND($H12476="ATMOS DISTILLATION",ISNUMBER(SEARCH("VPS",$I12476))=FALSE,LEFT($I12476,6)&lt;&gt;"VACUUM"),"CDU",IF($H12476="FLUID CAT CRACKING","FCC",IF(OR($H12476="HYDROCRACKING",$H12476="RESID_HYDROCRACKING"),"Hydrocracker",IF($H12476="REFORMING","Reformer",""))))</f>
        <v/>
      </c>
    </row>
    <row r="12477" spans="6:7">
      <c r="F12477" s="6">
        <f>IF($M12477="PADD I","PADD 1",IF($M12477="PADD II","PADD 2",IF($M12477="PADD III","PADD 3",IF($M12477="PADD IV","PADD 4",IF($M12477="PADD V","PADD 5","")))))</f>
        <v/>
      </c>
      <c r="G12477" s="6">
        <f>IF(AND($H12477="ATMOS DISTILLATION",ISNUMBER(SEARCH("VPS",$I12477))=FALSE,LEFT($I12477,6)&lt;&gt;"VACUUM"),"CDU",IF($H12477="FLUID CAT CRACKING","FCC",IF(OR($H12477="HYDROCRACKING",$H12477="RESID_HYDROCRACKING"),"Hydrocracker",IF($H12477="REFORMING","Reformer",""))))</f>
        <v/>
      </c>
    </row>
    <row r="12478" spans="6:7">
      <c r="F12478" s="6">
        <f>IF($M12478="PADD I","PADD 1",IF($M12478="PADD II","PADD 2",IF($M12478="PADD III","PADD 3",IF($M12478="PADD IV","PADD 4",IF($M12478="PADD V","PADD 5","")))))</f>
        <v/>
      </c>
      <c r="G12478" s="6">
        <f>IF(AND($H12478="ATMOS DISTILLATION",ISNUMBER(SEARCH("VPS",$I12478))=FALSE,LEFT($I12478,6)&lt;&gt;"VACUUM"),"CDU",IF($H12478="FLUID CAT CRACKING","FCC",IF(OR($H12478="HYDROCRACKING",$H12478="RESID_HYDROCRACKING"),"Hydrocracker",IF($H12478="REFORMING","Reformer",""))))</f>
        <v/>
      </c>
    </row>
    <row r="12479" spans="6:7">
      <c r="F12479" s="6">
        <f>IF($M12479="PADD I","PADD 1",IF($M12479="PADD II","PADD 2",IF($M12479="PADD III","PADD 3",IF($M12479="PADD IV","PADD 4",IF($M12479="PADD V","PADD 5","")))))</f>
        <v/>
      </c>
      <c r="G12479" s="6">
        <f>IF(AND($H12479="ATMOS DISTILLATION",ISNUMBER(SEARCH("VPS",$I12479))=FALSE,LEFT($I12479,6)&lt;&gt;"VACUUM"),"CDU",IF($H12479="FLUID CAT CRACKING","FCC",IF(OR($H12479="HYDROCRACKING",$H12479="RESID_HYDROCRACKING"),"Hydrocracker",IF($H12479="REFORMING","Reformer",""))))</f>
        <v/>
      </c>
    </row>
    <row r="12480" spans="6:7">
      <c r="F12480" s="6">
        <f>IF($M12480="PADD I","PADD 1",IF($M12480="PADD II","PADD 2",IF($M12480="PADD III","PADD 3",IF($M12480="PADD IV","PADD 4",IF($M12480="PADD V","PADD 5","")))))</f>
        <v/>
      </c>
      <c r="G12480" s="6">
        <f>IF(AND($H12480="ATMOS DISTILLATION",ISNUMBER(SEARCH("VPS",$I12480))=FALSE,LEFT($I12480,6)&lt;&gt;"VACUUM"),"CDU",IF($H12480="FLUID CAT CRACKING","FCC",IF(OR($H12480="HYDROCRACKING",$H12480="RESID_HYDROCRACKING"),"Hydrocracker",IF($H12480="REFORMING","Reformer",""))))</f>
        <v/>
      </c>
    </row>
    <row r="12481" spans="6:7">
      <c r="F12481" s="6">
        <f>IF($M12481="PADD I","PADD 1",IF($M12481="PADD II","PADD 2",IF($M12481="PADD III","PADD 3",IF($M12481="PADD IV","PADD 4",IF($M12481="PADD V","PADD 5","")))))</f>
        <v/>
      </c>
      <c r="G12481" s="6">
        <f>IF(AND($H12481="ATMOS DISTILLATION",ISNUMBER(SEARCH("VPS",$I12481))=FALSE,LEFT($I12481,6)&lt;&gt;"VACUUM"),"CDU",IF($H12481="FLUID CAT CRACKING","FCC",IF(OR($H12481="HYDROCRACKING",$H12481="RESID_HYDROCRACKING"),"Hydrocracker",IF($H12481="REFORMING","Reformer",""))))</f>
        <v/>
      </c>
    </row>
    <row r="12482" spans="6:7">
      <c r="F12482" s="6">
        <f>IF($M12482="PADD I","PADD 1",IF($M12482="PADD II","PADD 2",IF($M12482="PADD III","PADD 3",IF($M12482="PADD IV","PADD 4",IF($M12482="PADD V","PADD 5","")))))</f>
        <v/>
      </c>
      <c r="G12482" s="6">
        <f>IF(AND($H12482="ATMOS DISTILLATION",ISNUMBER(SEARCH("VPS",$I12482))=FALSE,LEFT($I12482,6)&lt;&gt;"VACUUM"),"CDU",IF($H12482="FLUID CAT CRACKING","FCC",IF(OR($H12482="HYDROCRACKING",$H12482="RESID_HYDROCRACKING"),"Hydrocracker",IF($H12482="REFORMING","Reformer",""))))</f>
        <v/>
      </c>
    </row>
    <row r="12483" spans="6:7">
      <c r="F12483" s="6">
        <f>IF($M12483="PADD I","PADD 1",IF($M12483="PADD II","PADD 2",IF($M12483="PADD III","PADD 3",IF($M12483="PADD IV","PADD 4",IF($M12483="PADD V","PADD 5","")))))</f>
        <v/>
      </c>
      <c r="G12483" s="6">
        <f>IF(AND($H12483="ATMOS DISTILLATION",ISNUMBER(SEARCH("VPS",$I12483))=FALSE,LEFT($I12483,6)&lt;&gt;"VACUUM"),"CDU",IF($H12483="FLUID CAT CRACKING","FCC",IF(OR($H12483="HYDROCRACKING",$H12483="RESID_HYDROCRACKING"),"Hydrocracker",IF($H12483="REFORMING","Reformer",""))))</f>
        <v/>
      </c>
    </row>
    <row r="12484" spans="6:7">
      <c r="F12484" s="6">
        <f>IF($M12484="PADD I","PADD 1",IF($M12484="PADD II","PADD 2",IF($M12484="PADD III","PADD 3",IF($M12484="PADD IV","PADD 4",IF($M12484="PADD V","PADD 5","")))))</f>
        <v/>
      </c>
      <c r="G12484" s="6">
        <f>IF(AND($H12484="ATMOS DISTILLATION",ISNUMBER(SEARCH("VPS",$I12484))=FALSE,LEFT($I12484,6)&lt;&gt;"VACUUM"),"CDU",IF($H12484="FLUID CAT CRACKING","FCC",IF(OR($H12484="HYDROCRACKING",$H12484="RESID_HYDROCRACKING"),"Hydrocracker",IF($H12484="REFORMING","Reformer",""))))</f>
        <v/>
      </c>
    </row>
    <row r="12485" spans="6:7">
      <c r="F12485" s="6">
        <f>IF($M12485="PADD I","PADD 1",IF($M12485="PADD II","PADD 2",IF($M12485="PADD III","PADD 3",IF($M12485="PADD IV","PADD 4",IF($M12485="PADD V","PADD 5","")))))</f>
        <v/>
      </c>
      <c r="G12485" s="6">
        <f>IF(AND($H12485="ATMOS DISTILLATION",ISNUMBER(SEARCH("VPS",$I12485))=FALSE,LEFT($I12485,6)&lt;&gt;"VACUUM"),"CDU",IF($H12485="FLUID CAT CRACKING","FCC",IF(OR($H12485="HYDROCRACKING",$H12485="RESID_HYDROCRACKING"),"Hydrocracker",IF($H12485="REFORMING","Reformer",""))))</f>
        <v/>
      </c>
    </row>
    <row r="12486" spans="6:7">
      <c r="F12486" s="6">
        <f>IF($M12486="PADD I","PADD 1",IF($M12486="PADD II","PADD 2",IF($M12486="PADD III","PADD 3",IF($M12486="PADD IV","PADD 4",IF($M12486="PADD V","PADD 5","")))))</f>
        <v/>
      </c>
      <c r="G12486" s="6">
        <f>IF(AND($H12486="ATMOS DISTILLATION",ISNUMBER(SEARCH("VPS",$I12486))=FALSE,LEFT($I12486,6)&lt;&gt;"VACUUM"),"CDU",IF($H12486="FLUID CAT CRACKING","FCC",IF(OR($H12486="HYDROCRACKING",$H12486="RESID_HYDROCRACKING"),"Hydrocracker",IF($H12486="REFORMING","Reformer",""))))</f>
        <v/>
      </c>
    </row>
    <row r="12487" spans="6:7">
      <c r="F12487" s="6">
        <f>IF($M12487="PADD I","PADD 1",IF($M12487="PADD II","PADD 2",IF($M12487="PADD III","PADD 3",IF($M12487="PADD IV","PADD 4",IF($M12487="PADD V","PADD 5","")))))</f>
        <v/>
      </c>
      <c r="G12487" s="6">
        <f>IF(AND($H12487="ATMOS DISTILLATION",ISNUMBER(SEARCH("VPS",$I12487))=FALSE,LEFT($I12487,6)&lt;&gt;"VACUUM"),"CDU",IF($H12487="FLUID CAT CRACKING","FCC",IF(OR($H12487="HYDROCRACKING",$H12487="RESID_HYDROCRACKING"),"Hydrocracker",IF($H12487="REFORMING","Reformer",""))))</f>
        <v/>
      </c>
    </row>
    <row r="12488" spans="6:7">
      <c r="F12488" s="6">
        <f>IF($M12488="PADD I","PADD 1",IF($M12488="PADD II","PADD 2",IF($M12488="PADD III","PADD 3",IF($M12488="PADD IV","PADD 4",IF($M12488="PADD V","PADD 5","")))))</f>
        <v/>
      </c>
      <c r="G12488" s="6">
        <f>IF(AND($H12488="ATMOS DISTILLATION",ISNUMBER(SEARCH("VPS",$I12488))=FALSE,LEFT($I12488,6)&lt;&gt;"VACUUM"),"CDU",IF($H12488="FLUID CAT CRACKING","FCC",IF(OR($H12488="HYDROCRACKING",$H12488="RESID_HYDROCRACKING"),"Hydrocracker",IF($H12488="REFORMING","Reformer",""))))</f>
        <v/>
      </c>
    </row>
    <row r="12489" spans="6:7">
      <c r="F12489" s="6">
        <f>IF($M12489="PADD I","PADD 1",IF($M12489="PADD II","PADD 2",IF($M12489="PADD III","PADD 3",IF($M12489="PADD IV","PADD 4",IF($M12489="PADD V","PADD 5","")))))</f>
        <v/>
      </c>
      <c r="G12489" s="6">
        <f>IF(AND($H12489="ATMOS DISTILLATION",ISNUMBER(SEARCH("VPS",$I12489))=FALSE,LEFT($I12489,6)&lt;&gt;"VACUUM"),"CDU",IF($H12489="FLUID CAT CRACKING","FCC",IF(OR($H12489="HYDROCRACKING",$H12489="RESID_HYDROCRACKING"),"Hydrocracker",IF($H12489="REFORMING","Reformer",""))))</f>
        <v/>
      </c>
    </row>
    <row r="12490" spans="6:7">
      <c r="F12490" s="6">
        <f>IF($M12490="PADD I","PADD 1",IF($M12490="PADD II","PADD 2",IF($M12490="PADD III","PADD 3",IF($M12490="PADD IV","PADD 4",IF($M12490="PADD V","PADD 5","")))))</f>
        <v/>
      </c>
      <c r="G12490" s="6">
        <f>IF(AND($H12490="ATMOS DISTILLATION",ISNUMBER(SEARCH("VPS",$I12490))=FALSE,LEFT($I12490,6)&lt;&gt;"VACUUM"),"CDU",IF($H12490="FLUID CAT CRACKING","FCC",IF(OR($H12490="HYDROCRACKING",$H12490="RESID_HYDROCRACKING"),"Hydrocracker",IF($H12490="REFORMING","Reformer",""))))</f>
        <v/>
      </c>
    </row>
    <row r="12491" spans="6:7">
      <c r="F12491" s="6">
        <f>IF($M12491="PADD I","PADD 1",IF($M12491="PADD II","PADD 2",IF($M12491="PADD III","PADD 3",IF($M12491="PADD IV","PADD 4",IF($M12491="PADD V","PADD 5","")))))</f>
        <v/>
      </c>
      <c r="G12491" s="6">
        <f>IF(AND($H12491="ATMOS DISTILLATION",ISNUMBER(SEARCH("VPS",$I12491))=FALSE,LEFT($I12491,6)&lt;&gt;"VACUUM"),"CDU",IF($H12491="FLUID CAT CRACKING","FCC",IF(OR($H12491="HYDROCRACKING",$H12491="RESID_HYDROCRACKING"),"Hydrocracker",IF($H12491="REFORMING","Reformer",""))))</f>
        <v/>
      </c>
    </row>
    <row r="12492" spans="6:7">
      <c r="F12492" s="6">
        <f>IF($M12492="PADD I","PADD 1",IF($M12492="PADD II","PADD 2",IF($M12492="PADD III","PADD 3",IF($M12492="PADD IV","PADD 4",IF($M12492="PADD V","PADD 5","")))))</f>
        <v/>
      </c>
      <c r="G12492" s="6">
        <f>IF(AND($H12492="ATMOS DISTILLATION",ISNUMBER(SEARCH("VPS",$I12492))=FALSE,LEFT($I12492,6)&lt;&gt;"VACUUM"),"CDU",IF($H12492="FLUID CAT CRACKING","FCC",IF(OR($H12492="HYDROCRACKING",$H12492="RESID_HYDROCRACKING"),"Hydrocracker",IF($H12492="REFORMING","Reformer",""))))</f>
        <v/>
      </c>
    </row>
    <row r="12493" spans="6:7">
      <c r="F12493" s="6">
        <f>IF($M12493="PADD I","PADD 1",IF($M12493="PADD II","PADD 2",IF($M12493="PADD III","PADD 3",IF($M12493="PADD IV","PADD 4",IF($M12493="PADD V","PADD 5","")))))</f>
        <v/>
      </c>
      <c r="G12493" s="6">
        <f>IF(AND($H12493="ATMOS DISTILLATION",ISNUMBER(SEARCH("VPS",$I12493))=FALSE,LEFT($I12493,6)&lt;&gt;"VACUUM"),"CDU",IF($H12493="FLUID CAT CRACKING","FCC",IF(OR($H12493="HYDROCRACKING",$H12493="RESID_HYDROCRACKING"),"Hydrocracker",IF($H12493="REFORMING","Reformer",""))))</f>
        <v/>
      </c>
    </row>
    <row r="12494" spans="6:7">
      <c r="F12494" s="6">
        <f>IF($M12494="PADD I","PADD 1",IF($M12494="PADD II","PADD 2",IF($M12494="PADD III","PADD 3",IF($M12494="PADD IV","PADD 4",IF($M12494="PADD V","PADD 5","")))))</f>
        <v/>
      </c>
      <c r="G12494" s="6">
        <f>IF(AND($H12494="ATMOS DISTILLATION",ISNUMBER(SEARCH("VPS",$I12494))=FALSE,LEFT($I12494,6)&lt;&gt;"VACUUM"),"CDU",IF($H12494="FLUID CAT CRACKING","FCC",IF(OR($H12494="HYDROCRACKING",$H12494="RESID_HYDROCRACKING"),"Hydrocracker",IF($H12494="REFORMING","Reformer",""))))</f>
        <v/>
      </c>
    </row>
    <row r="12495" spans="6:7">
      <c r="F12495" s="6">
        <f>IF($M12495="PADD I","PADD 1",IF($M12495="PADD II","PADD 2",IF($M12495="PADD III","PADD 3",IF($M12495="PADD IV","PADD 4",IF($M12495="PADD V","PADD 5","")))))</f>
        <v/>
      </c>
      <c r="G12495" s="6">
        <f>IF(AND($H12495="ATMOS DISTILLATION",ISNUMBER(SEARCH("VPS",$I12495))=FALSE,LEFT($I12495,6)&lt;&gt;"VACUUM"),"CDU",IF($H12495="FLUID CAT CRACKING","FCC",IF(OR($H12495="HYDROCRACKING",$H12495="RESID_HYDROCRACKING"),"Hydrocracker",IF($H12495="REFORMING","Reformer",""))))</f>
        <v/>
      </c>
    </row>
    <row r="12496" spans="6:7">
      <c r="F12496" s="6">
        <f>IF($M12496="PADD I","PADD 1",IF($M12496="PADD II","PADD 2",IF($M12496="PADD III","PADD 3",IF($M12496="PADD IV","PADD 4",IF($M12496="PADD V","PADD 5","")))))</f>
        <v/>
      </c>
      <c r="G12496" s="6">
        <f>IF(AND($H12496="ATMOS DISTILLATION",ISNUMBER(SEARCH("VPS",$I12496))=FALSE,LEFT($I12496,6)&lt;&gt;"VACUUM"),"CDU",IF($H12496="FLUID CAT CRACKING","FCC",IF(OR($H12496="HYDROCRACKING",$H12496="RESID_HYDROCRACKING"),"Hydrocracker",IF($H12496="REFORMING","Reformer",""))))</f>
        <v/>
      </c>
    </row>
    <row r="12497" spans="6:7">
      <c r="F12497" s="6">
        <f>IF($M12497="PADD I","PADD 1",IF($M12497="PADD II","PADD 2",IF($M12497="PADD III","PADD 3",IF($M12497="PADD IV","PADD 4",IF($M12497="PADD V","PADD 5","")))))</f>
        <v/>
      </c>
      <c r="G12497" s="6">
        <f>IF(AND($H12497="ATMOS DISTILLATION",ISNUMBER(SEARCH("VPS",$I12497))=FALSE,LEFT($I12497,6)&lt;&gt;"VACUUM"),"CDU",IF($H12497="FLUID CAT CRACKING","FCC",IF(OR($H12497="HYDROCRACKING",$H12497="RESID_HYDROCRACKING"),"Hydrocracker",IF($H12497="REFORMING","Reformer",""))))</f>
        <v/>
      </c>
    </row>
    <row r="12498" spans="6:7">
      <c r="F12498" s="6">
        <f>IF($M12498="PADD I","PADD 1",IF($M12498="PADD II","PADD 2",IF($M12498="PADD III","PADD 3",IF($M12498="PADD IV","PADD 4",IF($M12498="PADD V","PADD 5","")))))</f>
        <v/>
      </c>
      <c r="G12498" s="6">
        <f>IF(AND($H12498="ATMOS DISTILLATION",ISNUMBER(SEARCH("VPS",$I12498))=FALSE,LEFT($I12498,6)&lt;&gt;"VACUUM"),"CDU",IF($H12498="FLUID CAT CRACKING","FCC",IF(OR($H12498="HYDROCRACKING",$H12498="RESID_HYDROCRACKING"),"Hydrocracker",IF($H12498="REFORMING","Reformer",""))))</f>
        <v/>
      </c>
    </row>
    <row r="12499" spans="6:7">
      <c r="F12499" s="6">
        <f>IF($M12499="PADD I","PADD 1",IF($M12499="PADD II","PADD 2",IF($M12499="PADD III","PADD 3",IF($M12499="PADD IV","PADD 4",IF($M12499="PADD V","PADD 5","")))))</f>
        <v/>
      </c>
      <c r="G12499" s="6">
        <f>IF(AND($H12499="ATMOS DISTILLATION",ISNUMBER(SEARCH("VPS",$I12499))=FALSE,LEFT($I12499,6)&lt;&gt;"VACUUM"),"CDU",IF($H12499="FLUID CAT CRACKING","FCC",IF(OR($H12499="HYDROCRACKING",$H12499="RESID_HYDROCRACKING"),"Hydrocracker",IF($H12499="REFORMING","Reformer",""))))</f>
        <v/>
      </c>
    </row>
    <row r="12500" spans="6:7">
      <c r="F12500" s="6">
        <f>IF($M12500="PADD I","PADD 1",IF($M12500="PADD II","PADD 2",IF($M12500="PADD III","PADD 3",IF($M12500="PADD IV","PADD 4",IF($M12500="PADD V","PADD 5","")))))</f>
        <v/>
      </c>
      <c r="G12500" s="6">
        <f>IF(AND($H12500="ATMOS DISTILLATION",ISNUMBER(SEARCH("VPS",$I12500))=FALSE,LEFT($I12500,6)&lt;&gt;"VACUUM"),"CDU",IF($H12500="FLUID CAT CRACKING","FCC",IF(OR($H12500="HYDROCRACKING",$H12500="RESID_HYDROCRACKING"),"Hydrocracker",IF($H12500="REFORMING","Reformer",""))))</f>
        <v/>
      </c>
    </row>
    <row r="12501" spans="6:7">
      <c r="F12501" s="6">
        <f>IF($M12501="PADD I","PADD 1",IF($M12501="PADD II","PADD 2",IF($M12501="PADD III","PADD 3",IF($M12501="PADD IV","PADD 4",IF($M12501="PADD V","PADD 5","")))))</f>
        <v/>
      </c>
      <c r="G12501" s="6">
        <f>IF(AND($H12501="ATMOS DISTILLATION",ISNUMBER(SEARCH("VPS",$I12501))=FALSE,LEFT($I12501,6)&lt;&gt;"VACUUM"),"CDU",IF($H12501="FLUID CAT CRACKING","FCC",IF(OR($H12501="HYDROCRACKING",$H12501="RESID_HYDROCRACKING"),"Hydrocracker",IF($H12501="REFORMING","Reformer",""))))</f>
        <v/>
      </c>
    </row>
    <row r="12502" spans="6:7">
      <c r="F12502" s="6">
        <f>IF($M12502="PADD I","PADD 1",IF($M12502="PADD II","PADD 2",IF($M12502="PADD III","PADD 3",IF($M12502="PADD IV","PADD 4",IF($M12502="PADD V","PADD 5","")))))</f>
        <v/>
      </c>
      <c r="G12502" s="6">
        <f>IF(AND($H12502="ATMOS DISTILLATION",ISNUMBER(SEARCH("VPS",$I12502))=FALSE,LEFT($I12502,6)&lt;&gt;"VACUUM"),"CDU",IF($H12502="FLUID CAT CRACKING","FCC",IF(OR($H12502="HYDROCRACKING",$H12502="RESID_HYDROCRACKING"),"Hydrocracker",IF($H12502="REFORMING","Reformer",""))))</f>
        <v/>
      </c>
    </row>
    <row r="12503" spans="6:7">
      <c r="F12503" s="6">
        <f>IF($M12503="PADD I","PADD 1",IF($M12503="PADD II","PADD 2",IF($M12503="PADD III","PADD 3",IF($M12503="PADD IV","PADD 4",IF($M12503="PADD V","PADD 5","")))))</f>
        <v/>
      </c>
      <c r="G12503" s="6">
        <f>IF(AND($H12503="ATMOS DISTILLATION",ISNUMBER(SEARCH("VPS",$I12503))=FALSE,LEFT($I12503,6)&lt;&gt;"VACUUM"),"CDU",IF($H12503="FLUID CAT CRACKING","FCC",IF(OR($H12503="HYDROCRACKING",$H12503="RESID_HYDROCRACKING"),"Hydrocracker",IF($H12503="REFORMING","Reformer",""))))</f>
        <v/>
      </c>
    </row>
    <row r="12504" spans="6:7">
      <c r="F12504" s="6">
        <f>IF($M12504="PADD I","PADD 1",IF($M12504="PADD II","PADD 2",IF($M12504="PADD III","PADD 3",IF($M12504="PADD IV","PADD 4",IF($M12504="PADD V","PADD 5","")))))</f>
        <v/>
      </c>
      <c r="G12504" s="6">
        <f>IF(AND($H12504="ATMOS DISTILLATION",ISNUMBER(SEARCH("VPS",$I12504))=FALSE,LEFT($I12504,6)&lt;&gt;"VACUUM"),"CDU",IF($H12504="FLUID CAT CRACKING","FCC",IF(OR($H12504="HYDROCRACKING",$H12504="RESID_HYDROCRACKING"),"Hydrocracker",IF($H12504="REFORMING","Reformer",""))))</f>
        <v/>
      </c>
    </row>
    <row r="12505" spans="6:7">
      <c r="F12505" s="6">
        <f>IF($M12505="PADD I","PADD 1",IF($M12505="PADD II","PADD 2",IF($M12505="PADD III","PADD 3",IF($M12505="PADD IV","PADD 4",IF($M12505="PADD V","PADD 5","")))))</f>
        <v/>
      </c>
      <c r="G12505" s="6">
        <f>IF(AND($H12505="ATMOS DISTILLATION",ISNUMBER(SEARCH("VPS",$I12505))=FALSE,LEFT($I12505,6)&lt;&gt;"VACUUM"),"CDU",IF($H12505="FLUID CAT CRACKING","FCC",IF(OR($H12505="HYDROCRACKING",$H12505="RESID_HYDROCRACKING"),"Hydrocracker",IF($H12505="REFORMING","Reformer",""))))</f>
        <v/>
      </c>
    </row>
    <row r="12506" spans="6:7">
      <c r="F12506" s="6">
        <f>IF($M12506="PADD I","PADD 1",IF($M12506="PADD II","PADD 2",IF($M12506="PADD III","PADD 3",IF($M12506="PADD IV","PADD 4",IF($M12506="PADD V","PADD 5","")))))</f>
        <v/>
      </c>
      <c r="G12506" s="6">
        <f>IF(AND($H12506="ATMOS DISTILLATION",ISNUMBER(SEARCH("VPS",$I12506))=FALSE,LEFT($I12506,6)&lt;&gt;"VACUUM"),"CDU",IF($H12506="FLUID CAT CRACKING","FCC",IF(OR($H12506="HYDROCRACKING",$H12506="RESID_HYDROCRACKING"),"Hydrocracker",IF($H12506="REFORMING","Reformer",""))))</f>
        <v/>
      </c>
    </row>
    <row r="12507" spans="6:7">
      <c r="F12507" s="6">
        <f>IF($M12507="PADD I","PADD 1",IF($M12507="PADD II","PADD 2",IF($M12507="PADD III","PADD 3",IF($M12507="PADD IV","PADD 4",IF($M12507="PADD V","PADD 5","")))))</f>
        <v/>
      </c>
      <c r="G12507" s="6">
        <f>IF(AND($H12507="ATMOS DISTILLATION",ISNUMBER(SEARCH("VPS",$I12507))=FALSE,LEFT($I12507,6)&lt;&gt;"VACUUM"),"CDU",IF($H12507="FLUID CAT CRACKING","FCC",IF(OR($H12507="HYDROCRACKING",$H12507="RESID_HYDROCRACKING"),"Hydrocracker",IF($H12507="REFORMING","Reformer",""))))</f>
        <v/>
      </c>
    </row>
    <row r="12508" spans="6:7">
      <c r="F12508" s="6">
        <f>IF($M12508="PADD I","PADD 1",IF($M12508="PADD II","PADD 2",IF($M12508="PADD III","PADD 3",IF($M12508="PADD IV","PADD 4",IF($M12508="PADD V","PADD 5","")))))</f>
        <v/>
      </c>
      <c r="G12508" s="6">
        <f>IF(AND($H12508="ATMOS DISTILLATION",ISNUMBER(SEARCH("VPS",$I12508))=FALSE,LEFT($I12508,6)&lt;&gt;"VACUUM"),"CDU",IF($H12508="FLUID CAT CRACKING","FCC",IF(OR($H12508="HYDROCRACKING",$H12508="RESID_HYDROCRACKING"),"Hydrocracker",IF($H12508="REFORMING","Reformer",""))))</f>
        <v/>
      </c>
    </row>
    <row r="12509" spans="6:7">
      <c r="F12509" s="6">
        <f>IF($M12509="PADD I","PADD 1",IF($M12509="PADD II","PADD 2",IF($M12509="PADD III","PADD 3",IF($M12509="PADD IV","PADD 4",IF($M12509="PADD V","PADD 5","")))))</f>
        <v/>
      </c>
      <c r="G12509" s="6">
        <f>IF(AND($H12509="ATMOS DISTILLATION",ISNUMBER(SEARCH("VPS",$I12509))=FALSE,LEFT($I12509,6)&lt;&gt;"VACUUM"),"CDU",IF($H12509="FLUID CAT CRACKING","FCC",IF(OR($H12509="HYDROCRACKING",$H12509="RESID_HYDROCRACKING"),"Hydrocracker",IF($H12509="REFORMING","Reformer",""))))</f>
        <v/>
      </c>
    </row>
    <row r="12510" spans="6:7">
      <c r="F12510" s="6">
        <f>IF($M12510="PADD I","PADD 1",IF($M12510="PADD II","PADD 2",IF($M12510="PADD III","PADD 3",IF($M12510="PADD IV","PADD 4",IF($M12510="PADD V","PADD 5","")))))</f>
        <v/>
      </c>
      <c r="G12510" s="6">
        <f>IF(AND($H12510="ATMOS DISTILLATION",ISNUMBER(SEARCH("VPS",$I12510))=FALSE,LEFT($I12510,6)&lt;&gt;"VACUUM"),"CDU",IF($H12510="FLUID CAT CRACKING","FCC",IF(OR($H12510="HYDROCRACKING",$H12510="RESID_HYDROCRACKING"),"Hydrocracker",IF($H12510="REFORMING","Reformer",""))))</f>
        <v/>
      </c>
    </row>
    <row r="12511" spans="6:7">
      <c r="F12511" s="6">
        <f>IF($M12511="PADD I","PADD 1",IF($M12511="PADD II","PADD 2",IF($M12511="PADD III","PADD 3",IF($M12511="PADD IV","PADD 4",IF($M12511="PADD V","PADD 5","")))))</f>
        <v/>
      </c>
      <c r="G12511" s="6">
        <f>IF(AND($H12511="ATMOS DISTILLATION",ISNUMBER(SEARCH("VPS",$I12511))=FALSE,LEFT($I12511,6)&lt;&gt;"VACUUM"),"CDU",IF($H12511="FLUID CAT CRACKING","FCC",IF(OR($H12511="HYDROCRACKING",$H12511="RESID_HYDROCRACKING"),"Hydrocracker",IF($H12511="REFORMING","Reformer",""))))</f>
        <v/>
      </c>
    </row>
    <row r="12512" spans="6:7">
      <c r="F12512" s="6">
        <f>IF($M12512="PADD I","PADD 1",IF($M12512="PADD II","PADD 2",IF($M12512="PADD III","PADD 3",IF($M12512="PADD IV","PADD 4",IF($M12512="PADD V","PADD 5","")))))</f>
        <v/>
      </c>
      <c r="G12512" s="6">
        <f>IF(AND($H12512="ATMOS DISTILLATION",ISNUMBER(SEARCH("VPS",$I12512))=FALSE,LEFT($I12512,6)&lt;&gt;"VACUUM"),"CDU",IF($H12512="FLUID CAT CRACKING","FCC",IF(OR($H12512="HYDROCRACKING",$H12512="RESID_HYDROCRACKING"),"Hydrocracker",IF($H12512="REFORMING","Reformer",""))))</f>
        <v/>
      </c>
    </row>
    <row r="12513" spans="6:7">
      <c r="F12513" s="6">
        <f>IF($M12513="PADD I","PADD 1",IF($M12513="PADD II","PADD 2",IF($M12513="PADD III","PADD 3",IF($M12513="PADD IV","PADD 4",IF($M12513="PADD V","PADD 5","")))))</f>
        <v/>
      </c>
      <c r="G12513" s="6">
        <f>IF(AND($H12513="ATMOS DISTILLATION",ISNUMBER(SEARCH("VPS",$I12513))=FALSE,LEFT($I12513,6)&lt;&gt;"VACUUM"),"CDU",IF($H12513="FLUID CAT CRACKING","FCC",IF(OR($H12513="HYDROCRACKING",$H12513="RESID_HYDROCRACKING"),"Hydrocracker",IF($H12513="REFORMING","Reformer",""))))</f>
        <v/>
      </c>
    </row>
    <row r="12514" spans="6:7">
      <c r="F12514" s="6">
        <f>IF($M12514="PADD I","PADD 1",IF($M12514="PADD II","PADD 2",IF($M12514="PADD III","PADD 3",IF($M12514="PADD IV","PADD 4",IF($M12514="PADD V","PADD 5","")))))</f>
        <v/>
      </c>
      <c r="G12514" s="6">
        <f>IF(AND($H12514="ATMOS DISTILLATION",ISNUMBER(SEARCH("VPS",$I12514))=FALSE,LEFT($I12514,6)&lt;&gt;"VACUUM"),"CDU",IF($H12514="FLUID CAT CRACKING","FCC",IF(OR($H12514="HYDROCRACKING",$H12514="RESID_HYDROCRACKING"),"Hydrocracker",IF($H12514="REFORMING","Reformer",""))))</f>
        <v/>
      </c>
    </row>
    <row r="12515" spans="6:7">
      <c r="F12515" s="6">
        <f>IF($M12515="PADD I","PADD 1",IF($M12515="PADD II","PADD 2",IF($M12515="PADD III","PADD 3",IF($M12515="PADD IV","PADD 4",IF($M12515="PADD V","PADD 5","")))))</f>
        <v/>
      </c>
      <c r="G12515" s="6">
        <f>IF(AND($H12515="ATMOS DISTILLATION",ISNUMBER(SEARCH("VPS",$I12515))=FALSE,LEFT($I12515,6)&lt;&gt;"VACUUM"),"CDU",IF($H12515="FLUID CAT CRACKING","FCC",IF(OR($H12515="HYDROCRACKING",$H12515="RESID_HYDROCRACKING"),"Hydrocracker",IF($H12515="REFORMING","Reformer",""))))</f>
        <v/>
      </c>
    </row>
    <row r="12516" spans="6:7">
      <c r="F12516" s="6">
        <f>IF($M12516="PADD I","PADD 1",IF($M12516="PADD II","PADD 2",IF($M12516="PADD III","PADD 3",IF($M12516="PADD IV","PADD 4",IF($M12516="PADD V","PADD 5","")))))</f>
        <v/>
      </c>
      <c r="G12516" s="6">
        <f>IF(AND($H12516="ATMOS DISTILLATION",ISNUMBER(SEARCH("VPS",$I12516))=FALSE,LEFT($I12516,6)&lt;&gt;"VACUUM"),"CDU",IF($H12516="FLUID CAT CRACKING","FCC",IF(OR($H12516="HYDROCRACKING",$H12516="RESID_HYDROCRACKING"),"Hydrocracker",IF($H12516="REFORMING","Reformer",""))))</f>
        <v/>
      </c>
    </row>
    <row r="12517" spans="6:7">
      <c r="F12517" s="6">
        <f>IF($M12517="PADD I","PADD 1",IF($M12517="PADD II","PADD 2",IF($M12517="PADD III","PADD 3",IF($M12517="PADD IV","PADD 4",IF($M12517="PADD V","PADD 5","")))))</f>
        <v/>
      </c>
      <c r="G12517" s="6">
        <f>IF(AND($H12517="ATMOS DISTILLATION",ISNUMBER(SEARCH("VPS",$I12517))=FALSE,LEFT($I12517,6)&lt;&gt;"VACUUM"),"CDU",IF($H12517="FLUID CAT CRACKING","FCC",IF(OR($H12517="HYDROCRACKING",$H12517="RESID_HYDROCRACKING"),"Hydrocracker",IF($H12517="REFORMING","Reformer",""))))</f>
        <v/>
      </c>
    </row>
    <row r="12518" spans="6:7">
      <c r="F12518" s="6">
        <f>IF($M12518="PADD I","PADD 1",IF($M12518="PADD II","PADD 2",IF($M12518="PADD III","PADD 3",IF($M12518="PADD IV","PADD 4",IF($M12518="PADD V","PADD 5","")))))</f>
        <v/>
      </c>
      <c r="G12518" s="6">
        <f>IF(AND($H12518="ATMOS DISTILLATION",ISNUMBER(SEARCH("VPS",$I12518))=FALSE,LEFT($I12518,6)&lt;&gt;"VACUUM"),"CDU",IF($H12518="FLUID CAT CRACKING","FCC",IF(OR($H12518="HYDROCRACKING",$H12518="RESID_HYDROCRACKING"),"Hydrocracker",IF($H12518="REFORMING","Reformer",""))))</f>
        <v/>
      </c>
    </row>
    <row r="12519" spans="6:7">
      <c r="F12519" s="6">
        <f>IF($M12519="PADD I","PADD 1",IF($M12519="PADD II","PADD 2",IF($M12519="PADD III","PADD 3",IF($M12519="PADD IV","PADD 4",IF($M12519="PADD V","PADD 5","")))))</f>
        <v/>
      </c>
      <c r="G12519" s="6">
        <f>IF(AND($H12519="ATMOS DISTILLATION",ISNUMBER(SEARCH("VPS",$I12519))=FALSE,LEFT($I12519,6)&lt;&gt;"VACUUM"),"CDU",IF($H12519="FLUID CAT CRACKING","FCC",IF(OR($H12519="HYDROCRACKING",$H12519="RESID_HYDROCRACKING"),"Hydrocracker",IF($H12519="REFORMING","Reformer",""))))</f>
        <v/>
      </c>
    </row>
    <row r="12520" spans="6:7">
      <c r="F12520" s="6">
        <f>IF($M12520="PADD I","PADD 1",IF($M12520="PADD II","PADD 2",IF($M12520="PADD III","PADD 3",IF($M12520="PADD IV","PADD 4",IF($M12520="PADD V","PADD 5","")))))</f>
        <v/>
      </c>
      <c r="G12520" s="6">
        <f>IF(AND($H12520="ATMOS DISTILLATION",ISNUMBER(SEARCH("VPS",$I12520))=FALSE,LEFT($I12520,6)&lt;&gt;"VACUUM"),"CDU",IF($H12520="FLUID CAT CRACKING","FCC",IF(OR($H12520="HYDROCRACKING",$H12520="RESID_HYDROCRACKING"),"Hydrocracker",IF($H12520="REFORMING","Reformer",""))))</f>
        <v/>
      </c>
    </row>
    <row r="12521" spans="6:7">
      <c r="F12521" s="6">
        <f>IF($M12521="PADD I","PADD 1",IF($M12521="PADD II","PADD 2",IF($M12521="PADD III","PADD 3",IF($M12521="PADD IV","PADD 4",IF($M12521="PADD V","PADD 5","")))))</f>
        <v/>
      </c>
      <c r="G12521" s="6">
        <f>IF(AND($H12521="ATMOS DISTILLATION",ISNUMBER(SEARCH("VPS",$I12521))=FALSE,LEFT($I12521,6)&lt;&gt;"VACUUM"),"CDU",IF($H12521="FLUID CAT CRACKING","FCC",IF(OR($H12521="HYDROCRACKING",$H12521="RESID_HYDROCRACKING"),"Hydrocracker",IF($H12521="REFORMING","Reformer",""))))</f>
        <v/>
      </c>
    </row>
    <row r="12522" spans="6:7">
      <c r="F12522" s="6">
        <f>IF($M12522="PADD I","PADD 1",IF($M12522="PADD II","PADD 2",IF($M12522="PADD III","PADD 3",IF($M12522="PADD IV","PADD 4",IF($M12522="PADD V","PADD 5","")))))</f>
        <v/>
      </c>
      <c r="G12522" s="6">
        <f>IF(AND($H12522="ATMOS DISTILLATION",ISNUMBER(SEARCH("VPS",$I12522))=FALSE,LEFT($I12522,6)&lt;&gt;"VACUUM"),"CDU",IF($H12522="FLUID CAT CRACKING","FCC",IF(OR($H12522="HYDROCRACKING",$H12522="RESID_HYDROCRACKING"),"Hydrocracker",IF($H12522="REFORMING","Reformer",""))))</f>
        <v/>
      </c>
    </row>
    <row r="12523" spans="6:7">
      <c r="F12523" s="6">
        <f>IF($M12523="PADD I","PADD 1",IF($M12523="PADD II","PADD 2",IF($M12523="PADD III","PADD 3",IF($M12523="PADD IV","PADD 4",IF($M12523="PADD V","PADD 5","")))))</f>
        <v/>
      </c>
      <c r="G12523" s="6">
        <f>IF(AND($H12523="ATMOS DISTILLATION",ISNUMBER(SEARCH("VPS",$I12523))=FALSE,LEFT($I12523,6)&lt;&gt;"VACUUM"),"CDU",IF($H12523="FLUID CAT CRACKING","FCC",IF(OR($H12523="HYDROCRACKING",$H12523="RESID_HYDROCRACKING"),"Hydrocracker",IF($H12523="REFORMING","Reformer",""))))</f>
        <v/>
      </c>
    </row>
    <row r="12524" spans="6:7">
      <c r="F12524" s="6">
        <f>IF($M12524="PADD I","PADD 1",IF($M12524="PADD II","PADD 2",IF($M12524="PADD III","PADD 3",IF($M12524="PADD IV","PADD 4",IF($M12524="PADD V","PADD 5","")))))</f>
        <v/>
      </c>
      <c r="G12524" s="6">
        <f>IF(AND($H12524="ATMOS DISTILLATION",ISNUMBER(SEARCH("VPS",$I12524))=FALSE,LEFT($I12524,6)&lt;&gt;"VACUUM"),"CDU",IF($H12524="FLUID CAT CRACKING","FCC",IF(OR($H12524="HYDROCRACKING",$H12524="RESID_HYDROCRACKING"),"Hydrocracker",IF($H12524="REFORMING","Reformer",""))))</f>
        <v/>
      </c>
    </row>
    <row r="12525" spans="6:7">
      <c r="F12525" s="6">
        <f>IF($M12525="PADD I","PADD 1",IF($M12525="PADD II","PADD 2",IF($M12525="PADD III","PADD 3",IF($M12525="PADD IV","PADD 4",IF($M12525="PADD V","PADD 5","")))))</f>
        <v/>
      </c>
      <c r="G12525" s="6">
        <f>IF(AND($H12525="ATMOS DISTILLATION",ISNUMBER(SEARCH("VPS",$I12525))=FALSE,LEFT($I12525,6)&lt;&gt;"VACUUM"),"CDU",IF($H12525="FLUID CAT CRACKING","FCC",IF(OR($H12525="HYDROCRACKING",$H12525="RESID_HYDROCRACKING"),"Hydrocracker",IF($H12525="REFORMING","Reformer",""))))</f>
        <v/>
      </c>
    </row>
    <row r="12526" spans="6:7">
      <c r="F12526" s="6">
        <f>IF($M12526="PADD I","PADD 1",IF($M12526="PADD II","PADD 2",IF($M12526="PADD III","PADD 3",IF($M12526="PADD IV","PADD 4",IF($M12526="PADD V","PADD 5","")))))</f>
        <v/>
      </c>
      <c r="G12526" s="6">
        <f>IF(AND($H12526="ATMOS DISTILLATION",ISNUMBER(SEARCH("VPS",$I12526))=FALSE,LEFT($I12526,6)&lt;&gt;"VACUUM"),"CDU",IF($H12526="FLUID CAT CRACKING","FCC",IF(OR($H12526="HYDROCRACKING",$H12526="RESID_HYDROCRACKING"),"Hydrocracker",IF($H12526="REFORMING","Reformer",""))))</f>
        <v/>
      </c>
    </row>
    <row r="12527" spans="6:7">
      <c r="F12527" s="6">
        <f>IF($M12527="PADD I","PADD 1",IF($M12527="PADD II","PADD 2",IF($M12527="PADD III","PADD 3",IF($M12527="PADD IV","PADD 4",IF($M12527="PADD V","PADD 5","")))))</f>
        <v/>
      </c>
      <c r="G12527" s="6">
        <f>IF(AND($H12527="ATMOS DISTILLATION",ISNUMBER(SEARCH("VPS",$I12527))=FALSE,LEFT($I12527,6)&lt;&gt;"VACUUM"),"CDU",IF($H12527="FLUID CAT CRACKING","FCC",IF(OR($H12527="HYDROCRACKING",$H12527="RESID_HYDROCRACKING"),"Hydrocracker",IF($H12527="REFORMING","Reformer",""))))</f>
        <v/>
      </c>
    </row>
    <row r="12528" spans="6:7">
      <c r="F12528" s="6">
        <f>IF($M12528="PADD I","PADD 1",IF($M12528="PADD II","PADD 2",IF($M12528="PADD III","PADD 3",IF($M12528="PADD IV","PADD 4",IF($M12528="PADD V","PADD 5","")))))</f>
        <v/>
      </c>
      <c r="G12528" s="6">
        <f>IF(AND($H12528="ATMOS DISTILLATION",ISNUMBER(SEARCH("VPS",$I12528))=FALSE,LEFT($I12528,6)&lt;&gt;"VACUUM"),"CDU",IF($H12528="FLUID CAT CRACKING","FCC",IF(OR($H12528="HYDROCRACKING",$H12528="RESID_HYDROCRACKING"),"Hydrocracker",IF($H12528="REFORMING","Reformer",""))))</f>
        <v/>
      </c>
    </row>
    <row r="12529" spans="6:7">
      <c r="F12529" s="6">
        <f>IF($M12529="PADD I","PADD 1",IF($M12529="PADD II","PADD 2",IF($M12529="PADD III","PADD 3",IF($M12529="PADD IV","PADD 4",IF($M12529="PADD V","PADD 5","")))))</f>
        <v/>
      </c>
      <c r="G12529" s="6">
        <f>IF(AND($H12529="ATMOS DISTILLATION",ISNUMBER(SEARCH("VPS",$I12529))=FALSE,LEFT($I12529,6)&lt;&gt;"VACUUM"),"CDU",IF($H12529="FLUID CAT CRACKING","FCC",IF(OR($H12529="HYDROCRACKING",$H12529="RESID_HYDROCRACKING"),"Hydrocracker",IF($H12529="REFORMING","Reformer",""))))</f>
        <v/>
      </c>
    </row>
    <row r="12530" spans="6:7">
      <c r="F12530" s="6">
        <f>IF($M12530="PADD I","PADD 1",IF($M12530="PADD II","PADD 2",IF($M12530="PADD III","PADD 3",IF($M12530="PADD IV","PADD 4",IF($M12530="PADD V","PADD 5","")))))</f>
        <v/>
      </c>
      <c r="G12530" s="6">
        <f>IF(AND($H12530="ATMOS DISTILLATION",ISNUMBER(SEARCH("VPS",$I12530))=FALSE,LEFT($I12530,6)&lt;&gt;"VACUUM"),"CDU",IF($H12530="FLUID CAT CRACKING","FCC",IF(OR($H12530="HYDROCRACKING",$H12530="RESID_HYDROCRACKING"),"Hydrocracker",IF($H12530="REFORMING","Reformer",""))))</f>
        <v/>
      </c>
    </row>
    <row r="12531" spans="6:7">
      <c r="F12531" s="6">
        <f>IF($M12531="PADD I","PADD 1",IF($M12531="PADD II","PADD 2",IF($M12531="PADD III","PADD 3",IF($M12531="PADD IV","PADD 4",IF($M12531="PADD V","PADD 5","")))))</f>
        <v/>
      </c>
      <c r="G12531" s="6">
        <f>IF(AND($H12531="ATMOS DISTILLATION",ISNUMBER(SEARCH("VPS",$I12531))=FALSE,LEFT($I12531,6)&lt;&gt;"VACUUM"),"CDU",IF($H12531="FLUID CAT CRACKING","FCC",IF(OR($H12531="HYDROCRACKING",$H12531="RESID_HYDROCRACKING"),"Hydrocracker",IF($H12531="REFORMING","Reformer",""))))</f>
        <v/>
      </c>
    </row>
    <row r="12532" spans="6:7">
      <c r="F12532" s="6">
        <f>IF($M12532="PADD I","PADD 1",IF($M12532="PADD II","PADD 2",IF($M12532="PADD III","PADD 3",IF($M12532="PADD IV","PADD 4",IF($M12532="PADD V","PADD 5","")))))</f>
        <v/>
      </c>
      <c r="G12532" s="6">
        <f>IF(AND($H12532="ATMOS DISTILLATION",ISNUMBER(SEARCH("VPS",$I12532))=FALSE,LEFT($I12532,6)&lt;&gt;"VACUUM"),"CDU",IF($H12532="FLUID CAT CRACKING","FCC",IF(OR($H12532="HYDROCRACKING",$H12532="RESID_HYDROCRACKING"),"Hydrocracker",IF($H12532="REFORMING","Reformer",""))))</f>
        <v/>
      </c>
    </row>
    <row r="12533" spans="6:7">
      <c r="F12533" s="6">
        <f>IF($M12533="PADD I","PADD 1",IF($M12533="PADD II","PADD 2",IF($M12533="PADD III","PADD 3",IF($M12533="PADD IV","PADD 4",IF($M12533="PADD V","PADD 5","")))))</f>
        <v/>
      </c>
      <c r="G12533" s="6">
        <f>IF(AND($H12533="ATMOS DISTILLATION",ISNUMBER(SEARCH("VPS",$I12533))=FALSE,LEFT($I12533,6)&lt;&gt;"VACUUM"),"CDU",IF($H12533="FLUID CAT CRACKING","FCC",IF(OR($H12533="HYDROCRACKING",$H12533="RESID_HYDROCRACKING"),"Hydrocracker",IF($H12533="REFORMING","Reformer",""))))</f>
        <v/>
      </c>
    </row>
    <row r="12534" spans="6:7">
      <c r="F12534" s="6">
        <f>IF($M12534="PADD I","PADD 1",IF($M12534="PADD II","PADD 2",IF($M12534="PADD III","PADD 3",IF($M12534="PADD IV","PADD 4",IF($M12534="PADD V","PADD 5","")))))</f>
        <v/>
      </c>
      <c r="G12534" s="6">
        <f>IF(AND($H12534="ATMOS DISTILLATION",ISNUMBER(SEARCH("VPS",$I12534))=FALSE,LEFT($I12534,6)&lt;&gt;"VACUUM"),"CDU",IF($H12534="FLUID CAT CRACKING","FCC",IF(OR($H12534="HYDROCRACKING",$H12534="RESID_HYDROCRACKING"),"Hydrocracker",IF($H12534="REFORMING","Reformer",""))))</f>
        <v/>
      </c>
    </row>
    <row r="12535" spans="6:7">
      <c r="F12535" s="6">
        <f>IF($M12535="PADD I","PADD 1",IF($M12535="PADD II","PADD 2",IF($M12535="PADD III","PADD 3",IF($M12535="PADD IV","PADD 4",IF($M12535="PADD V","PADD 5","")))))</f>
        <v/>
      </c>
      <c r="G12535" s="6">
        <f>IF(AND($H12535="ATMOS DISTILLATION",ISNUMBER(SEARCH("VPS",$I12535))=FALSE,LEFT($I12535,6)&lt;&gt;"VACUUM"),"CDU",IF($H12535="FLUID CAT CRACKING","FCC",IF(OR($H12535="HYDROCRACKING",$H12535="RESID_HYDROCRACKING"),"Hydrocracker",IF($H12535="REFORMING","Reformer",""))))</f>
        <v/>
      </c>
    </row>
    <row r="12536" spans="6:7">
      <c r="F12536" s="6">
        <f>IF($M12536="PADD I","PADD 1",IF($M12536="PADD II","PADD 2",IF($M12536="PADD III","PADD 3",IF($M12536="PADD IV","PADD 4",IF($M12536="PADD V","PADD 5","")))))</f>
        <v/>
      </c>
      <c r="G12536" s="6">
        <f>IF(AND($H12536="ATMOS DISTILLATION",ISNUMBER(SEARCH("VPS",$I12536))=FALSE,LEFT($I12536,6)&lt;&gt;"VACUUM"),"CDU",IF($H12536="FLUID CAT CRACKING","FCC",IF(OR($H12536="HYDROCRACKING",$H12536="RESID_HYDROCRACKING"),"Hydrocracker",IF($H12536="REFORMING","Reformer",""))))</f>
        <v/>
      </c>
    </row>
    <row r="12537" spans="6:7">
      <c r="F12537" s="6">
        <f>IF($M12537="PADD I","PADD 1",IF($M12537="PADD II","PADD 2",IF($M12537="PADD III","PADD 3",IF($M12537="PADD IV","PADD 4",IF($M12537="PADD V","PADD 5","")))))</f>
        <v/>
      </c>
      <c r="G12537" s="6">
        <f>IF(AND($H12537="ATMOS DISTILLATION",ISNUMBER(SEARCH("VPS",$I12537))=FALSE,LEFT($I12537,6)&lt;&gt;"VACUUM"),"CDU",IF($H12537="FLUID CAT CRACKING","FCC",IF(OR($H12537="HYDROCRACKING",$H12537="RESID_HYDROCRACKING"),"Hydrocracker",IF($H12537="REFORMING","Reformer",""))))</f>
        <v/>
      </c>
    </row>
    <row r="12538" spans="6:7">
      <c r="F12538" s="6">
        <f>IF($M12538="PADD I","PADD 1",IF($M12538="PADD II","PADD 2",IF($M12538="PADD III","PADD 3",IF($M12538="PADD IV","PADD 4",IF($M12538="PADD V","PADD 5","")))))</f>
        <v/>
      </c>
      <c r="G12538" s="6">
        <f>IF(AND($H12538="ATMOS DISTILLATION",ISNUMBER(SEARCH("VPS",$I12538))=FALSE,LEFT($I12538,6)&lt;&gt;"VACUUM"),"CDU",IF($H12538="FLUID CAT CRACKING","FCC",IF(OR($H12538="HYDROCRACKING",$H12538="RESID_HYDROCRACKING"),"Hydrocracker",IF($H12538="REFORMING","Reformer",""))))</f>
        <v/>
      </c>
    </row>
    <row r="12539" spans="6:7">
      <c r="F12539" s="6">
        <f>IF($M12539="PADD I","PADD 1",IF($M12539="PADD II","PADD 2",IF($M12539="PADD III","PADD 3",IF($M12539="PADD IV","PADD 4",IF($M12539="PADD V","PADD 5","")))))</f>
        <v/>
      </c>
      <c r="G12539" s="6">
        <f>IF(AND($H12539="ATMOS DISTILLATION",ISNUMBER(SEARCH("VPS",$I12539))=FALSE,LEFT($I12539,6)&lt;&gt;"VACUUM"),"CDU",IF($H12539="FLUID CAT CRACKING","FCC",IF(OR($H12539="HYDROCRACKING",$H12539="RESID_HYDROCRACKING"),"Hydrocracker",IF($H12539="REFORMING","Reformer",""))))</f>
        <v/>
      </c>
    </row>
    <row r="12540" spans="6:7">
      <c r="F12540" s="6">
        <f>IF($M12540="PADD I","PADD 1",IF($M12540="PADD II","PADD 2",IF($M12540="PADD III","PADD 3",IF($M12540="PADD IV","PADD 4",IF($M12540="PADD V","PADD 5","")))))</f>
        <v/>
      </c>
      <c r="G12540" s="6">
        <f>IF(AND($H12540="ATMOS DISTILLATION",ISNUMBER(SEARCH("VPS",$I12540))=FALSE,LEFT($I12540,6)&lt;&gt;"VACUUM"),"CDU",IF($H12540="FLUID CAT CRACKING","FCC",IF(OR($H12540="HYDROCRACKING",$H12540="RESID_HYDROCRACKING"),"Hydrocracker",IF($H12540="REFORMING","Reformer",""))))</f>
        <v/>
      </c>
    </row>
    <row r="12541" spans="6:7">
      <c r="F12541" s="6">
        <f>IF($M12541="PADD I","PADD 1",IF($M12541="PADD II","PADD 2",IF($M12541="PADD III","PADD 3",IF($M12541="PADD IV","PADD 4",IF($M12541="PADD V","PADD 5","")))))</f>
        <v/>
      </c>
      <c r="G12541" s="6">
        <f>IF(AND($H12541="ATMOS DISTILLATION",ISNUMBER(SEARCH("VPS",$I12541))=FALSE,LEFT($I12541,6)&lt;&gt;"VACUUM"),"CDU",IF($H12541="FLUID CAT CRACKING","FCC",IF(OR($H12541="HYDROCRACKING",$H12541="RESID_HYDROCRACKING"),"Hydrocracker",IF($H12541="REFORMING","Reformer",""))))</f>
        <v/>
      </c>
    </row>
    <row r="12542" spans="6:7">
      <c r="F12542" s="6">
        <f>IF($M12542="PADD I","PADD 1",IF($M12542="PADD II","PADD 2",IF($M12542="PADD III","PADD 3",IF($M12542="PADD IV","PADD 4",IF($M12542="PADD V","PADD 5","")))))</f>
        <v/>
      </c>
      <c r="G12542" s="6">
        <f>IF(AND($H12542="ATMOS DISTILLATION",ISNUMBER(SEARCH("VPS",$I12542))=FALSE,LEFT($I12542,6)&lt;&gt;"VACUUM"),"CDU",IF($H12542="FLUID CAT CRACKING","FCC",IF(OR($H12542="HYDROCRACKING",$H12542="RESID_HYDROCRACKING"),"Hydrocracker",IF($H12542="REFORMING","Reformer",""))))</f>
        <v/>
      </c>
    </row>
    <row r="12543" spans="6:7">
      <c r="F12543" s="6">
        <f>IF($M12543="PADD I","PADD 1",IF($M12543="PADD II","PADD 2",IF($M12543="PADD III","PADD 3",IF($M12543="PADD IV","PADD 4",IF($M12543="PADD V","PADD 5","")))))</f>
        <v/>
      </c>
      <c r="G12543" s="6">
        <f>IF(AND($H12543="ATMOS DISTILLATION",ISNUMBER(SEARCH("VPS",$I12543))=FALSE,LEFT($I12543,6)&lt;&gt;"VACUUM"),"CDU",IF($H12543="FLUID CAT CRACKING","FCC",IF(OR($H12543="HYDROCRACKING",$H12543="RESID_HYDROCRACKING"),"Hydrocracker",IF($H12543="REFORMING","Reformer",""))))</f>
        <v/>
      </c>
    </row>
    <row r="12544" spans="6:7">
      <c r="F12544" s="6">
        <f>IF($M12544="PADD I","PADD 1",IF($M12544="PADD II","PADD 2",IF($M12544="PADD III","PADD 3",IF($M12544="PADD IV","PADD 4",IF($M12544="PADD V","PADD 5","")))))</f>
        <v/>
      </c>
      <c r="G12544" s="6">
        <f>IF(AND($H12544="ATMOS DISTILLATION",ISNUMBER(SEARCH("VPS",$I12544))=FALSE,LEFT($I12544,6)&lt;&gt;"VACUUM"),"CDU",IF($H12544="FLUID CAT CRACKING","FCC",IF(OR($H12544="HYDROCRACKING",$H12544="RESID_HYDROCRACKING"),"Hydrocracker",IF($H12544="REFORMING","Reformer",""))))</f>
        <v/>
      </c>
    </row>
    <row r="12545" spans="6:7">
      <c r="F12545" s="6">
        <f>IF($M12545="PADD I","PADD 1",IF($M12545="PADD II","PADD 2",IF($M12545="PADD III","PADD 3",IF($M12545="PADD IV","PADD 4",IF($M12545="PADD V","PADD 5","")))))</f>
        <v/>
      </c>
      <c r="G12545" s="6">
        <f>IF(AND($H12545="ATMOS DISTILLATION",ISNUMBER(SEARCH("VPS",$I12545))=FALSE,LEFT($I12545,6)&lt;&gt;"VACUUM"),"CDU",IF($H12545="FLUID CAT CRACKING","FCC",IF(OR($H12545="HYDROCRACKING",$H12545="RESID_HYDROCRACKING"),"Hydrocracker",IF($H12545="REFORMING","Reformer",""))))</f>
        <v/>
      </c>
    </row>
    <row r="12546" spans="6:7">
      <c r="F12546" s="6">
        <f>IF($M12546="PADD I","PADD 1",IF($M12546="PADD II","PADD 2",IF($M12546="PADD III","PADD 3",IF($M12546="PADD IV","PADD 4",IF($M12546="PADD V","PADD 5","")))))</f>
        <v/>
      </c>
      <c r="G12546" s="6">
        <f>IF(AND($H12546="ATMOS DISTILLATION",ISNUMBER(SEARCH("VPS",$I12546))=FALSE,LEFT($I12546,6)&lt;&gt;"VACUUM"),"CDU",IF($H12546="FLUID CAT CRACKING","FCC",IF(OR($H12546="HYDROCRACKING",$H12546="RESID_HYDROCRACKING"),"Hydrocracker",IF($H12546="REFORMING","Reformer",""))))</f>
        <v/>
      </c>
    </row>
    <row r="12547" spans="6:7">
      <c r="F12547" s="6">
        <f>IF($M12547="PADD I","PADD 1",IF($M12547="PADD II","PADD 2",IF($M12547="PADD III","PADD 3",IF($M12547="PADD IV","PADD 4",IF($M12547="PADD V","PADD 5","")))))</f>
        <v/>
      </c>
      <c r="G12547" s="6">
        <f>IF(AND($H12547="ATMOS DISTILLATION",ISNUMBER(SEARCH("VPS",$I12547))=FALSE,LEFT($I12547,6)&lt;&gt;"VACUUM"),"CDU",IF($H12547="FLUID CAT CRACKING","FCC",IF(OR($H12547="HYDROCRACKING",$H12547="RESID_HYDROCRACKING"),"Hydrocracker",IF($H12547="REFORMING","Reformer",""))))</f>
        <v/>
      </c>
    </row>
    <row r="12548" spans="6:7">
      <c r="F12548" s="6">
        <f>IF($M12548="PADD I","PADD 1",IF($M12548="PADD II","PADD 2",IF($M12548="PADD III","PADD 3",IF($M12548="PADD IV","PADD 4",IF($M12548="PADD V","PADD 5","")))))</f>
        <v/>
      </c>
      <c r="G12548" s="6">
        <f>IF(AND($H12548="ATMOS DISTILLATION",ISNUMBER(SEARCH("VPS",$I12548))=FALSE,LEFT($I12548,6)&lt;&gt;"VACUUM"),"CDU",IF($H12548="FLUID CAT CRACKING","FCC",IF(OR($H12548="HYDROCRACKING",$H12548="RESID_HYDROCRACKING"),"Hydrocracker",IF($H12548="REFORMING","Reformer",""))))</f>
        <v/>
      </c>
    </row>
    <row r="12549" spans="6:7">
      <c r="F12549" s="6">
        <f>IF($M12549="PADD I","PADD 1",IF($M12549="PADD II","PADD 2",IF($M12549="PADD III","PADD 3",IF($M12549="PADD IV","PADD 4",IF($M12549="PADD V","PADD 5","")))))</f>
        <v/>
      </c>
      <c r="G12549" s="6">
        <f>IF(AND($H12549="ATMOS DISTILLATION",ISNUMBER(SEARCH("VPS",$I12549))=FALSE,LEFT($I12549,6)&lt;&gt;"VACUUM"),"CDU",IF($H12549="FLUID CAT CRACKING","FCC",IF(OR($H12549="HYDROCRACKING",$H12549="RESID_HYDROCRACKING"),"Hydrocracker",IF($H12549="REFORMING","Reformer",""))))</f>
        <v/>
      </c>
    </row>
    <row r="12550" spans="6:7">
      <c r="F12550" s="6">
        <f>IF($M12550="PADD I","PADD 1",IF($M12550="PADD II","PADD 2",IF($M12550="PADD III","PADD 3",IF($M12550="PADD IV","PADD 4",IF($M12550="PADD V","PADD 5","")))))</f>
        <v/>
      </c>
      <c r="G12550" s="6">
        <f>IF(AND($H12550="ATMOS DISTILLATION",ISNUMBER(SEARCH("VPS",$I12550))=FALSE,LEFT($I12550,6)&lt;&gt;"VACUUM"),"CDU",IF($H12550="FLUID CAT CRACKING","FCC",IF(OR($H12550="HYDROCRACKING",$H12550="RESID_HYDROCRACKING"),"Hydrocracker",IF($H12550="REFORMING","Reformer",""))))</f>
        <v/>
      </c>
    </row>
    <row r="12551" spans="6:7">
      <c r="F12551" s="6">
        <f>IF($M12551="PADD I","PADD 1",IF($M12551="PADD II","PADD 2",IF($M12551="PADD III","PADD 3",IF($M12551="PADD IV","PADD 4",IF($M12551="PADD V","PADD 5","")))))</f>
        <v/>
      </c>
      <c r="G12551" s="6">
        <f>IF(AND($H12551="ATMOS DISTILLATION",ISNUMBER(SEARCH("VPS",$I12551))=FALSE,LEFT($I12551,6)&lt;&gt;"VACUUM"),"CDU",IF($H12551="FLUID CAT CRACKING","FCC",IF(OR($H12551="HYDROCRACKING",$H12551="RESID_HYDROCRACKING"),"Hydrocracker",IF($H12551="REFORMING","Reformer",""))))</f>
        <v/>
      </c>
    </row>
    <row r="12552" spans="6:7">
      <c r="F12552" s="6">
        <f>IF($M12552="PADD I","PADD 1",IF($M12552="PADD II","PADD 2",IF($M12552="PADD III","PADD 3",IF($M12552="PADD IV","PADD 4",IF($M12552="PADD V","PADD 5","")))))</f>
        <v/>
      </c>
      <c r="G12552" s="6">
        <f>IF(AND($H12552="ATMOS DISTILLATION",ISNUMBER(SEARCH("VPS",$I12552))=FALSE,LEFT($I12552,6)&lt;&gt;"VACUUM"),"CDU",IF($H12552="FLUID CAT CRACKING","FCC",IF(OR($H12552="HYDROCRACKING",$H12552="RESID_HYDROCRACKING"),"Hydrocracker",IF($H12552="REFORMING","Reformer",""))))</f>
        <v/>
      </c>
    </row>
    <row r="12553" spans="6:7">
      <c r="F12553" s="6">
        <f>IF($M12553="PADD I","PADD 1",IF($M12553="PADD II","PADD 2",IF($M12553="PADD III","PADD 3",IF($M12553="PADD IV","PADD 4",IF($M12553="PADD V","PADD 5","")))))</f>
        <v/>
      </c>
      <c r="G12553" s="6">
        <f>IF(AND($H12553="ATMOS DISTILLATION",ISNUMBER(SEARCH("VPS",$I12553))=FALSE,LEFT($I12553,6)&lt;&gt;"VACUUM"),"CDU",IF($H12553="FLUID CAT CRACKING","FCC",IF(OR($H12553="HYDROCRACKING",$H12553="RESID_HYDROCRACKING"),"Hydrocracker",IF($H12553="REFORMING","Reformer",""))))</f>
        <v/>
      </c>
    </row>
    <row r="12554" spans="6:7">
      <c r="F12554" s="6">
        <f>IF($M12554="PADD I","PADD 1",IF($M12554="PADD II","PADD 2",IF($M12554="PADD III","PADD 3",IF($M12554="PADD IV","PADD 4",IF($M12554="PADD V","PADD 5","")))))</f>
        <v/>
      </c>
      <c r="G12554" s="6">
        <f>IF(AND($H12554="ATMOS DISTILLATION",ISNUMBER(SEARCH("VPS",$I12554))=FALSE,LEFT($I12554,6)&lt;&gt;"VACUUM"),"CDU",IF($H12554="FLUID CAT CRACKING","FCC",IF(OR($H12554="HYDROCRACKING",$H12554="RESID_HYDROCRACKING"),"Hydrocracker",IF($H12554="REFORMING","Reformer",""))))</f>
        <v/>
      </c>
    </row>
    <row r="12555" spans="6:7">
      <c r="F12555" s="6">
        <f>IF($M12555="PADD I","PADD 1",IF($M12555="PADD II","PADD 2",IF($M12555="PADD III","PADD 3",IF($M12555="PADD IV","PADD 4",IF($M12555="PADD V","PADD 5","")))))</f>
        <v/>
      </c>
      <c r="G12555" s="6">
        <f>IF(AND($H12555="ATMOS DISTILLATION",ISNUMBER(SEARCH("VPS",$I12555))=FALSE,LEFT($I12555,6)&lt;&gt;"VACUUM"),"CDU",IF($H12555="FLUID CAT CRACKING","FCC",IF(OR($H12555="HYDROCRACKING",$H12555="RESID_HYDROCRACKING"),"Hydrocracker",IF($H12555="REFORMING","Reformer",""))))</f>
        <v/>
      </c>
    </row>
    <row r="12556" spans="6:7">
      <c r="F12556" s="6">
        <f>IF($M12556="PADD I","PADD 1",IF($M12556="PADD II","PADD 2",IF($M12556="PADD III","PADD 3",IF($M12556="PADD IV","PADD 4",IF($M12556="PADD V","PADD 5","")))))</f>
        <v/>
      </c>
      <c r="G12556" s="6">
        <f>IF(AND($H12556="ATMOS DISTILLATION",ISNUMBER(SEARCH("VPS",$I12556))=FALSE,LEFT($I12556,6)&lt;&gt;"VACUUM"),"CDU",IF($H12556="FLUID CAT CRACKING","FCC",IF(OR($H12556="HYDROCRACKING",$H12556="RESID_HYDROCRACKING"),"Hydrocracker",IF($H12556="REFORMING","Reformer",""))))</f>
        <v/>
      </c>
    </row>
    <row r="12557" spans="6:7">
      <c r="F12557" s="6">
        <f>IF($M12557="PADD I","PADD 1",IF($M12557="PADD II","PADD 2",IF($M12557="PADD III","PADD 3",IF($M12557="PADD IV","PADD 4",IF($M12557="PADD V","PADD 5","")))))</f>
        <v/>
      </c>
      <c r="G12557" s="6">
        <f>IF(AND($H12557="ATMOS DISTILLATION",ISNUMBER(SEARCH("VPS",$I12557))=FALSE,LEFT($I12557,6)&lt;&gt;"VACUUM"),"CDU",IF($H12557="FLUID CAT CRACKING","FCC",IF(OR($H12557="HYDROCRACKING",$H12557="RESID_HYDROCRACKING"),"Hydrocracker",IF($H12557="REFORMING","Reformer",""))))</f>
        <v/>
      </c>
    </row>
    <row r="12558" spans="6:7">
      <c r="F12558" s="6">
        <f>IF($M12558="PADD I","PADD 1",IF($M12558="PADD II","PADD 2",IF($M12558="PADD III","PADD 3",IF($M12558="PADD IV","PADD 4",IF($M12558="PADD V","PADD 5","")))))</f>
        <v/>
      </c>
      <c r="G12558" s="6">
        <f>IF(AND($H12558="ATMOS DISTILLATION",ISNUMBER(SEARCH("VPS",$I12558))=FALSE,LEFT($I12558,6)&lt;&gt;"VACUUM"),"CDU",IF($H12558="FLUID CAT CRACKING","FCC",IF(OR($H12558="HYDROCRACKING",$H12558="RESID_HYDROCRACKING"),"Hydrocracker",IF($H12558="REFORMING","Reformer",""))))</f>
        <v/>
      </c>
    </row>
    <row r="12559" spans="6:7">
      <c r="F12559" s="6">
        <f>IF($M12559="PADD I","PADD 1",IF($M12559="PADD II","PADD 2",IF($M12559="PADD III","PADD 3",IF($M12559="PADD IV","PADD 4",IF($M12559="PADD V","PADD 5","")))))</f>
        <v/>
      </c>
      <c r="G12559" s="6">
        <f>IF(AND($H12559="ATMOS DISTILLATION",ISNUMBER(SEARCH("VPS",$I12559))=FALSE,LEFT($I12559,6)&lt;&gt;"VACUUM"),"CDU",IF($H12559="FLUID CAT CRACKING","FCC",IF(OR($H12559="HYDROCRACKING",$H12559="RESID_HYDROCRACKING"),"Hydrocracker",IF($H12559="REFORMING","Reformer",""))))</f>
        <v/>
      </c>
    </row>
    <row r="12560" spans="6:7">
      <c r="F12560" s="6">
        <f>IF($M12560="PADD I","PADD 1",IF($M12560="PADD II","PADD 2",IF($M12560="PADD III","PADD 3",IF($M12560="PADD IV","PADD 4",IF($M12560="PADD V","PADD 5","")))))</f>
        <v/>
      </c>
      <c r="G12560" s="6">
        <f>IF(AND($H12560="ATMOS DISTILLATION",ISNUMBER(SEARCH("VPS",$I12560))=FALSE,LEFT($I12560,6)&lt;&gt;"VACUUM"),"CDU",IF($H12560="FLUID CAT CRACKING","FCC",IF(OR($H12560="HYDROCRACKING",$H12560="RESID_HYDROCRACKING"),"Hydrocracker",IF($H12560="REFORMING","Reformer",""))))</f>
        <v/>
      </c>
    </row>
    <row r="12561" spans="6:7">
      <c r="F12561" s="6">
        <f>IF($M12561="PADD I","PADD 1",IF($M12561="PADD II","PADD 2",IF($M12561="PADD III","PADD 3",IF($M12561="PADD IV","PADD 4",IF($M12561="PADD V","PADD 5","")))))</f>
        <v/>
      </c>
      <c r="G12561" s="6">
        <f>IF(AND($H12561="ATMOS DISTILLATION",ISNUMBER(SEARCH("VPS",$I12561))=FALSE,LEFT($I12561,6)&lt;&gt;"VACUUM"),"CDU",IF($H12561="FLUID CAT CRACKING","FCC",IF(OR($H12561="HYDROCRACKING",$H12561="RESID_HYDROCRACKING"),"Hydrocracker",IF($H12561="REFORMING","Reformer",""))))</f>
        <v/>
      </c>
    </row>
    <row r="12562" spans="6:7">
      <c r="F12562" s="6">
        <f>IF($M12562="PADD I","PADD 1",IF($M12562="PADD II","PADD 2",IF($M12562="PADD III","PADD 3",IF($M12562="PADD IV","PADD 4",IF($M12562="PADD V","PADD 5","")))))</f>
        <v/>
      </c>
      <c r="G12562" s="6">
        <f>IF(AND($H12562="ATMOS DISTILLATION",ISNUMBER(SEARCH("VPS",$I12562))=FALSE,LEFT($I12562,6)&lt;&gt;"VACUUM"),"CDU",IF($H12562="FLUID CAT CRACKING","FCC",IF(OR($H12562="HYDROCRACKING",$H12562="RESID_HYDROCRACKING"),"Hydrocracker",IF($H12562="REFORMING","Reformer",""))))</f>
        <v/>
      </c>
    </row>
    <row r="12563" spans="6:7">
      <c r="F12563" s="6">
        <f>IF($M12563="PADD I","PADD 1",IF($M12563="PADD II","PADD 2",IF($M12563="PADD III","PADD 3",IF($M12563="PADD IV","PADD 4",IF($M12563="PADD V","PADD 5","")))))</f>
        <v/>
      </c>
      <c r="G12563" s="6">
        <f>IF(AND($H12563="ATMOS DISTILLATION",ISNUMBER(SEARCH("VPS",$I12563))=FALSE,LEFT($I12563,6)&lt;&gt;"VACUUM"),"CDU",IF($H12563="FLUID CAT CRACKING","FCC",IF(OR($H12563="HYDROCRACKING",$H12563="RESID_HYDROCRACKING"),"Hydrocracker",IF($H12563="REFORMING","Reformer",""))))</f>
        <v/>
      </c>
    </row>
    <row r="12564" spans="6:7">
      <c r="F12564" s="6">
        <f>IF($M12564="PADD I","PADD 1",IF($M12564="PADD II","PADD 2",IF($M12564="PADD III","PADD 3",IF($M12564="PADD IV","PADD 4",IF($M12564="PADD V","PADD 5","")))))</f>
        <v/>
      </c>
      <c r="G12564" s="6">
        <f>IF(AND($H12564="ATMOS DISTILLATION",ISNUMBER(SEARCH("VPS",$I12564))=FALSE,LEFT($I12564,6)&lt;&gt;"VACUUM"),"CDU",IF($H12564="FLUID CAT CRACKING","FCC",IF(OR($H12564="HYDROCRACKING",$H12564="RESID_HYDROCRACKING"),"Hydrocracker",IF($H12564="REFORMING","Reformer",""))))</f>
        <v/>
      </c>
    </row>
    <row r="12565" spans="6:7">
      <c r="F12565" s="6">
        <f>IF($M12565="PADD I","PADD 1",IF($M12565="PADD II","PADD 2",IF($M12565="PADD III","PADD 3",IF($M12565="PADD IV","PADD 4",IF($M12565="PADD V","PADD 5","")))))</f>
        <v/>
      </c>
      <c r="G12565" s="6">
        <f>IF(AND($H12565="ATMOS DISTILLATION",ISNUMBER(SEARCH("VPS",$I12565))=FALSE,LEFT($I12565,6)&lt;&gt;"VACUUM"),"CDU",IF($H12565="FLUID CAT CRACKING","FCC",IF(OR($H12565="HYDROCRACKING",$H12565="RESID_HYDROCRACKING"),"Hydrocracker",IF($H12565="REFORMING","Reformer",""))))</f>
        <v/>
      </c>
    </row>
    <row r="12566" spans="6:7">
      <c r="F12566" s="6">
        <f>IF($M12566="PADD I","PADD 1",IF($M12566="PADD II","PADD 2",IF($M12566="PADD III","PADD 3",IF($M12566="PADD IV","PADD 4",IF($M12566="PADD V","PADD 5","")))))</f>
        <v/>
      </c>
      <c r="G12566" s="6">
        <f>IF(AND($H12566="ATMOS DISTILLATION",ISNUMBER(SEARCH("VPS",$I12566))=FALSE,LEFT($I12566,6)&lt;&gt;"VACUUM"),"CDU",IF($H12566="FLUID CAT CRACKING","FCC",IF(OR($H12566="HYDROCRACKING",$H12566="RESID_HYDROCRACKING"),"Hydrocracker",IF($H12566="REFORMING","Reformer",""))))</f>
        <v/>
      </c>
    </row>
    <row r="12567" spans="6:7">
      <c r="F12567" s="6">
        <f>IF($M12567="PADD I","PADD 1",IF($M12567="PADD II","PADD 2",IF($M12567="PADD III","PADD 3",IF($M12567="PADD IV","PADD 4",IF($M12567="PADD V","PADD 5","")))))</f>
        <v/>
      </c>
      <c r="G12567" s="6">
        <f>IF(AND($H12567="ATMOS DISTILLATION",ISNUMBER(SEARCH("VPS",$I12567))=FALSE,LEFT($I12567,6)&lt;&gt;"VACUUM"),"CDU",IF($H12567="FLUID CAT CRACKING","FCC",IF(OR($H12567="HYDROCRACKING",$H12567="RESID_HYDROCRACKING"),"Hydrocracker",IF($H12567="REFORMING","Reformer",""))))</f>
        <v/>
      </c>
    </row>
    <row r="12568" spans="6:7">
      <c r="F12568" s="6">
        <f>IF($M12568="PADD I","PADD 1",IF($M12568="PADD II","PADD 2",IF($M12568="PADD III","PADD 3",IF($M12568="PADD IV","PADD 4",IF($M12568="PADD V","PADD 5","")))))</f>
        <v/>
      </c>
      <c r="G12568" s="6">
        <f>IF(AND($H12568="ATMOS DISTILLATION",ISNUMBER(SEARCH("VPS",$I12568))=FALSE,LEFT($I12568,6)&lt;&gt;"VACUUM"),"CDU",IF($H12568="FLUID CAT CRACKING","FCC",IF(OR($H12568="HYDROCRACKING",$H12568="RESID_HYDROCRACKING"),"Hydrocracker",IF($H12568="REFORMING","Reformer",""))))</f>
        <v/>
      </c>
    </row>
    <row r="12569" spans="6:7">
      <c r="F12569" s="6">
        <f>IF($M12569="PADD I","PADD 1",IF($M12569="PADD II","PADD 2",IF($M12569="PADD III","PADD 3",IF($M12569="PADD IV","PADD 4",IF($M12569="PADD V","PADD 5","")))))</f>
        <v/>
      </c>
      <c r="G12569" s="6">
        <f>IF(AND($H12569="ATMOS DISTILLATION",ISNUMBER(SEARCH("VPS",$I12569))=FALSE,LEFT($I12569,6)&lt;&gt;"VACUUM"),"CDU",IF($H12569="FLUID CAT CRACKING","FCC",IF(OR($H12569="HYDROCRACKING",$H12569="RESID_HYDROCRACKING"),"Hydrocracker",IF($H12569="REFORMING","Reformer",""))))</f>
        <v/>
      </c>
    </row>
    <row r="12570" spans="6:7">
      <c r="F12570" s="6">
        <f>IF($M12570="PADD I","PADD 1",IF($M12570="PADD II","PADD 2",IF($M12570="PADD III","PADD 3",IF($M12570="PADD IV","PADD 4",IF($M12570="PADD V","PADD 5","")))))</f>
        <v/>
      </c>
      <c r="G12570" s="6">
        <f>IF(AND($H12570="ATMOS DISTILLATION",ISNUMBER(SEARCH("VPS",$I12570))=FALSE,LEFT($I12570,6)&lt;&gt;"VACUUM"),"CDU",IF($H12570="FLUID CAT CRACKING","FCC",IF(OR($H12570="HYDROCRACKING",$H12570="RESID_HYDROCRACKING"),"Hydrocracker",IF($H12570="REFORMING","Reformer",""))))</f>
        <v/>
      </c>
    </row>
    <row r="12571" spans="6:7">
      <c r="F12571" s="6">
        <f>IF($M12571="PADD I","PADD 1",IF($M12571="PADD II","PADD 2",IF($M12571="PADD III","PADD 3",IF($M12571="PADD IV","PADD 4",IF($M12571="PADD V","PADD 5","")))))</f>
        <v/>
      </c>
      <c r="G12571" s="6">
        <f>IF(AND($H12571="ATMOS DISTILLATION",ISNUMBER(SEARCH("VPS",$I12571))=FALSE,LEFT($I12571,6)&lt;&gt;"VACUUM"),"CDU",IF($H12571="FLUID CAT CRACKING","FCC",IF(OR($H12571="HYDROCRACKING",$H12571="RESID_HYDROCRACKING"),"Hydrocracker",IF($H12571="REFORMING","Reformer",""))))</f>
        <v/>
      </c>
    </row>
    <row r="12572" spans="6:7">
      <c r="F12572" s="6">
        <f>IF($M12572="PADD I","PADD 1",IF($M12572="PADD II","PADD 2",IF($M12572="PADD III","PADD 3",IF($M12572="PADD IV","PADD 4",IF($M12572="PADD V","PADD 5","")))))</f>
        <v/>
      </c>
      <c r="G12572" s="6">
        <f>IF(AND($H12572="ATMOS DISTILLATION",ISNUMBER(SEARCH("VPS",$I12572))=FALSE,LEFT($I12572,6)&lt;&gt;"VACUUM"),"CDU",IF($H12572="FLUID CAT CRACKING","FCC",IF(OR($H12572="HYDROCRACKING",$H12572="RESID_HYDROCRACKING"),"Hydrocracker",IF($H12572="REFORMING","Reformer",""))))</f>
        <v/>
      </c>
    </row>
    <row r="12573" spans="6:7">
      <c r="F12573" s="6">
        <f>IF($M12573="PADD I","PADD 1",IF($M12573="PADD II","PADD 2",IF($M12573="PADD III","PADD 3",IF($M12573="PADD IV","PADD 4",IF($M12573="PADD V","PADD 5","")))))</f>
        <v/>
      </c>
      <c r="G12573" s="6">
        <f>IF(AND($H12573="ATMOS DISTILLATION",ISNUMBER(SEARCH("VPS",$I12573))=FALSE,LEFT($I12573,6)&lt;&gt;"VACUUM"),"CDU",IF($H12573="FLUID CAT CRACKING","FCC",IF(OR($H12573="HYDROCRACKING",$H12573="RESID_HYDROCRACKING"),"Hydrocracker",IF($H12573="REFORMING","Reformer",""))))</f>
        <v/>
      </c>
    </row>
    <row r="12574" spans="6:7">
      <c r="F12574" s="6">
        <f>IF($M12574="PADD I","PADD 1",IF($M12574="PADD II","PADD 2",IF($M12574="PADD III","PADD 3",IF($M12574="PADD IV","PADD 4",IF($M12574="PADD V","PADD 5","")))))</f>
        <v/>
      </c>
      <c r="G12574" s="6">
        <f>IF(AND($H12574="ATMOS DISTILLATION",ISNUMBER(SEARCH("VPS",$I12574))=FALSE,LEFT($I12574,6)&lt;&gt;"VACUUM"),"CDU",IF($H12574="FLUID CAT CRACKING","FCC",IF(OR($H12574="HYDROCRACKING",$H12574="RESID_HYDROCRACKING"),"Hydrocracker",IF($H12574="REFORMING","Reformer",""))))</f>
        <v/>
      </c>
    </row>
    <row r="12575" spans="6:7">
      <c r="F12575" s="6">
        <f>IF($M12575="PADD I","PADD 1",IF($M12575="PADD II","PADD 2",IF($M12575="PADD III","PADD 3",IF($M12575="PADD IV","PADD 4",IF($M12575="PADD V","PADD 5","")))))</f>
        <v/>
      </c>
      <c r="G12575" s="6">
        <f>IF(AND($H12575="ATMOS DISTILLATION",ISNUMBER(SEARCH("VPS",$I12575))=FALSE,LEFT($I12575,6)&lt;&gt;"VACUUM"),"CDU",IF($H12575="FLUID CAT CRACKING","FCC",IF(OR($H12575="HYDROCRACKING",$H12575="RESID_HYDROCRACKING"),"Hydrocracker",IF($H12575="REFORMING","Reformer",""))))</f>
        <v/>
      </c>
    </row>
    <row r="12576" spans="6:7">
      <c r="F12576" s="6">
        <f>IF($M12576="PADD I","PADD 1",IF($M12576="PADD II","PADD 2",IF($M12576="PADD III","PADD 3",IF($M12576="PADD IV","PADD 4",IF($M12576="PADD V","PADD 5","")))))</f>
        <v/>
      </c>
      <c r="G12576" s="6">
        <f>IF(AND($H12576="ATMOS DISTILLATION",ISNUMBER(SEARCH("VPS",$I12576))=FALSE,LEFT($I12576,6)&lt;&gt;"VACUUM"),"CDU",IF($H12576="FLUID CAT CRACKING","FCC",IF(OR($H12576="HYDROCRACKING",$H12576="RESID_HYDROCRACKING"),"Hydrocracker",IF($H12576="REFORMING","Reformer",""))))</f>
        <v/>
      </c>
    </row>
    <row r="12577" spans="6:7">
      <c r="F12577" s="6">
        <f>IF($M12577="PADD I","PADD 1",IF($M12577="PADD II","PADD 2",IF($M12577="PADD III","PADD 3",IF($M12577="PADD IV","PADD 4",IF($M12577="PADD V","PADD 5","")))))</f>
        <v/>
      </c>
      <c r="G12577" s="6">
        <f>IF(AND($H12577="ATMOS DISTILLATION",ISNUMBER(SEARCH("VPS",$I12577))=FALSE,LEFT($I12577,6)&lt;&gt;"VACUUM"),"CDU",IF($H12577="FLUID CAT CRACKING","FCC",IF(OR($H12577="HYDROCRACKING",$H12577="RESID_HYDROCRACKING"),"Hydrocracker",IF($H12577="REFORMING","Reformer",""))))</f>
        <v/>
      </c>
    </row>
    <row r="12578" spans="6:7">
      <c r="F12578" s="6">
        <f>IF($M12578="PADD I","PADD 1",IF($M12578="PADD II","PADD 2",IF($M12578="PADD III","PADD 3",IF($M12578="PADD IV","PADD 4",IF($M12578="PADD V","PADD 5","")))))</f>
        <v/>
      </c>
      <c r="G12578" s="6">
        <f>IF(AND($H12578="ATMOS DISTILLATION",ISNUMBER(SEARCH("VPS",$I12578))=FALSE,LEFT($I12578,6)&lt;&gt;"VACUUM"),"CDU",IF($H12578="FLUID CAT CRACKING","FCC",IF(OR($H12578="HYDROCRACKING",$H12578="RESID_HYDROCRACKING"),"Hydrocracker",IF($H12578="REFORMING","Reformer",""))))</f>
        <v/>
      </c>
    </row>
    <row r="12579" spans="6:7">
      <c r="F12579" s="6">
        <f>IF($M12579="PADD I","PADD 1",IF($M12579="PADD II","PADD 2",IF($M12579="PADD III","PADD 3",IF($M12579="PADD IV","PADD 4",IF($M12579="PADD V","PADD 5","")))))</f>
        <v/>
      </c>
      <c r="G12579" s="6">
        <f>IF(AND($H12579="ATMOS DISTILLATION",ISNUMBER(SEARCH("VPS",$I12579))=FALSE,LEFT($I12579,6)&lt;&gt;"VACUUM"),"CDU",IF($H12579="FLUID CAT CRACKING","FCC",IF(OR($H12579="HYDROCRACKING",$H12579="RESID_HYDROCRACKING"),"Hydrocracker",IF($H12579="REFORMING","Reformer",""))))</f>
        <v/>
      </c>
    </row>
    <row r="12580" spans="6:7">
      <c r="F12580" s="6">
        <f>IF($M12580="PADD I","PADD 1",IF($M12580="PADD II","PADD 2",IF($M12580="PADD III","PADD 3",IF($M12580="PADD IV","PADD 4",IF($M12580="PADD V","PADD 5","")))))</f>
        <v/>
      </c>
      <c r="G12580" s="6">
        <f>IF(AND($H12580="ATMOS DISTILLATION",ISNUMBER(SEARCH("VPS",$I12580))=FALSE,LEFT($I12580,6)&lt;&gt;"VACUUM"),"CDU",IF($H12580="FLUID CAT CRACKING","FCC",IF(OR($H12580="HYDROCRACKING",$H12580="RESID_HYDROCRACKING"),"Hydrocracker",IF($H12580="REFORMING","Reformer",""))))</f>
        <v/>
      </c>
    </row>
    <row r="12581" spans="6:7">
      <c r="F12581" s="6">
        <f>IF($M12581="PADD I","PADD 1",IF($M12581="PADD II","PADD 2",IF($M12581="PADD III","PADD 3",IF($M12581="PADD IV","PADD 4",IF($M12581="PADD V","PADD 5","")))))</f>
        <v/>
      </c>
      <c r="G12581" s="6">
        <f>IF(AND($H12581="ATMOS DISTILLATION",ISNUMBER(SEARCH("VPS",$I12581))=FALSE,LEFT($I12581,6)&lt;&gt;"VACUUM"),"CDU",IF($H12581="FLUID CAT CRACKING","FCC",IF(OR($H12581="HYDROCRACKING",$H12581="RESID_HYDROCRACKING"),"Hydrocracker",IF($H12581="REFORMING","Reformer",""))))</f>
        <v/>
      </c>
    </row>
    <row r="12582" spans="6:7">
      <c r="F12582" s="6">
        <f>IF($M12582="PADD I","PADD 1",IF($M12582="PADD II","PADD 2",IF($M12582="PADD III","PADD 3",IF($M12582="PADD IV","PADD 4",IF($M12582="PADD V","PADD 5","")))))</f>
        <v/>
      </c>
      <c r="G12582" s="6">
        <f>IF(AND($H12582="ATMOS DISTILLATION",ISNUMBER(SEARCH("VPS",$I12582))=FALSE,LEFT($I12582,6)&lt;&gt;"VACUUM"),"CDU",IF($H12582="FLUID CAT CRACKING","FCC",IF(OR($H12582="HYDROCRACKING",$H12582="RESID_HYDROCRACKING"),"Hydrocracker",IF($H12582="REFORMING","Reformer",""))))</f>
        <v/>
      </c>
    </row>
    <row r="12583" spans="6:7">
      <c r="F12583" s="6">
        <f>IF($M12583="PADD I","PADD 1",IF($M12583="PADD II","PADD 2",IF($M12583="PADD III","PADD 3",IF($M12583="PADD IV","PADD 4",IF($M12583="PADD V","PADD 5","")))))</f>
        <v/>
      </c>
      <c r="G12583" s="6">
        <f>IF(AND($H12583="ATMOS DISTILLATION",ISNUMBER(SEARCH("VPS",$I12583))=FALSE,LEFT($I12583,6)&lt;&gt;"VACUUM"),"CDU",IF($H12583="FLUID CAT CRACKING","FCC",IF(OR($H12583="HYDROCRACKING",$H12583="RESID_HYDROCRACKING"),"Hydrocracker",IF($H12583="REFORMING","Reformer",""))))</f>
        <v/>
      </c>
    </row>
    <row r="12584" spans="6:7">
      <c r="F12584" s="6">
        <f>IF($M12584="PADD I","PADD 1",IF($M12584="PADD II","PADD 2",IF($M12584="PADD III","PADD 3",IF($M12584="PADD IV","PADD 4",IF($M12584="PADD V","PADD 5","")))))</f>
        <v/>
      </c>
      <c r="G12584" s="6">
        <f>IF(AND($H12584="ATMOS DISTILLATION",ISNUMBER(SEARCH("VPS",$I12584))=FALSE,LEFT($I12584,6)&lt;&gt;"VACUUM"),"CDU",IF($H12584="FLUID CAT CRACKING","FCC",IF(OR($H12584="HYDROCRACKING",$H12584="RESID_HYDROCRACKING"),"Hydrocracker",IF($H12584="REFORMING","Reformer",""))))</f>
        <v/>
      </c>
    </row>
    <row r="12585" spans="6:7">
      <c r="F12585" s="6">
        <f>IF($M12585="PADD I","PADD 1",IF($M12585="PADD II","PADD 2",IF($M12585="PADD III","PADD 3",IF($M12585="PADD IV","PADD 4",IF($M12585="PADD V","PADD 5","")))))</f>
        <v/>
      </c>
      <c r="G12585" s="6">
        <f>IF(AND($H12585="ATMOS DISTILLATION",ISNUMBER(SEARCH("VPS",$I12585))=FALSE,LEFT($I12585,6)&lt;&gt;"VACUUM"),"CDU",IF($H12585="FLUID CAT CRACKING","FCC",IF(OR($H12585="HYDROCRACKING",$H12585="RESID_HYDROCRACKING"),"Hydrocracker",IF($H12585="REFORMING","Reformer",""))))</f>
        <v/>
      </c>
    </row>
    <row r="12586" spans="6:7">
      <c r="F12586" s="6">
        <f>IF($M12586="PADD I","PADD 1",IF($M12586="PADD II","PADD 2",IF($M12586="PADD III","PADD 3",IF($M12586="PADD IV","PADD 4",IF($M12586="PADD V","PADD 5","")))))</f>
        <v/>
      </c>
      <c r="G12586" s="6">
        <f>IF(AND($H12586="ATMOS DISTILLATION",ISNUMBER(SEARCH("VPS",$I12586))=FALSE,LEFT($I12586,6)&lt;&gt;"VACUUM"),"CDU",IF($H12586="FLUID CAT CRACKING","FCC",IF(OR($H12586="HYDROCRACKING",$H12586="RESID_HYDROCRACKING"),"Hydrocracker",IF($H12586="REFORMING","Reformer",""))))</f>
        <v/>
      </c>
    </row>
    <row r="12587" spans="6:7">
      <c r="F12587" s="6">
        <f>IF($M12587="PADD I","PADD 1",IF($M12587="PADD II","PADD 2",IF($M12587="PADD III","PADD 3",IF($M12587="PADD IV","PADD 4",IF($M12587="PADD V","PADD 5","")))))</f>
        <v/>
      </c>
      <c r="G12587" s="6">
        <f>IF(AND($H12587="ATMOS DISTILLATION",ISNUMBER(SEARCH("VPS",$I12587))=FALSE,LEFT($I12587,6)&lt;&gt;"VACUUM"),"CDU",IF($H12587="FLUID CAT CRACKING","FCC",IF(OR($H12587="HYDROCRACKING",$H12587="RESID_HYDROCRACKING"),"Hydrocracker",IF($H12587="REFORMING","Reformer",""))))</f>
        <v/>
      </c>
    </row>
    <row r="12588" spans="6:7">
      <c r="F12588" s="6">
        <f>IF($M12588="PADD I","PADD 1",IF($M12588="PADD II","PADD 2",IF($M12588="PADD III","PADD 3",IF($M12588="PADD IV","PADD 4",IF($M12588="PADD V","PADD 5","")))))</f>
        <v/>
      </c>
      <c r="G12588" s="6">
        <f>IF(AND($H12588="ATMOS DISTILLATION",ISNUMBER(SEARCH("VPS",$I12588))=FALSE,LEFT($I12588,6)&lt;&gt;"VACUUM"),"CDU",IF($H12588="FLUID CAT CRACKING","FCC",IF(OR($H12588="HYDROCRACKING",$H12588="RESID_HYDROCRACKING"),"Hydrocracker",IF($H12588="REFORMING","Reformer",""))))</f>
        <v/>
      </c>
    </row>
    <row r="12589" spans="6:7">
      <c r="F12589" s="6">
        <f>IF($M12589="PADD I","PADD 1",IF($M12589="PADD II","PADD 2",IF($M12589="PADD III","PADD 3",IF($M12589="PADD IV","PADD 4",IF($M12589="PADD V","PADD 5","")))))</f>
        <v/>
      </c>
      <c r="G12589" s="6">
        <f>IF(AND($H12589="ATMOS DISTILLATION",ISNUMBER(SEARCH("VPS",$I12589))=FALSE,LEFT($I12589,6)&lt;&gt;"VACUUM"),"CDU",IF($H12589="FLUID CAT CRACKING","FCC",IF(OR($H12589="HYDROCRACKING",$H12589="RESID_HYDROCRACKING"),"Hydrocracker",IF($H12589="REFORMING","Reformer",""))))</f>
        <v/>
      </c>
    </row>
    <row r="12590" spans="6:7">
      <c r="F12590" s="6">
        <f>IF($M12590="PADD I","PADD 1",IF($M12590="PADD II","PADD 2",IF($M12590="PADD III","PADD 3",IF($M12590="PADD IV","PADD 4",IF($M12590="PADD V","PADD 5","")))))</f>
        <v/>
      </c>
      <c r="G12590" s="6">
        <f>IF(AND($H12590="ATMOS DISTILLATION",ISNUMBER(SEARCH("VPS",$I12590))=FALSE,LEFT($I12590,6)&lt;&gt;"VACUUM"),"CDU",IF($H12590="FLUID CAT CRACKING","FCC",IF(OR($H12590="HYDROCRACKING",$H12590="RESID_HYDROCRACKING"),"Hydrocracker",IF($H12590="REFORMING","Reformer",""))))</f>
        <v/>
      </c>
    </row>
    <row r="12591" spans="6:7">
      <c r="F12591" s="6">
        <f>IF($M12591="PADD I","PADD 1",IF($M12591="PADD II","PADD 2",IF($M12591="PADD III","PADD 3",IF($M12591="PADD IV","PADD 4",IF($M12591="PADD V","PADD 5","")))))</f>
        <v/>
      </c>
      <c r="G12591" s="6">
        <f>IF(AND($H12591="ATMOS DISTILLATION",ISNUMBER(SEARCH("VPS",$I12591))=FALSE,LEFT($I12591,6)&lt;&gt;"VACUUM"),"CDU",IF($H12591="FLUID CAT CRACKING","FCC",IF(OR($H12591="HYDROCRACKING",$H12591="RESID_HYDROCRACKING"),"Hydrocracker",IF($H12591="REFORMING","Reformer",""))))</f>
        <v/>
      </c>
    </row>
    <row r="12592" spans="6:7">
      <c r="F12592" s="6">
        <f>IF($M12592="PADD I","PADD 1",IF($M12592="PADD II","PADD 2",IF($M12592="PADD III","PADD 3",IF($M12592="PADD IV","PADD 4",IF($M12592="PADD V","PADD 5","")))))</f>
        <v/>
      </c>
      <c r="G12592" s="6">
        <f>IF(AND($H12592="ATMOS DISTILLATION",ISNUMBER(SEARCH("VPS",$I12592))=FALSE,LEFT($I12592,6)&lt;&gt;"VACUUM"),"CDU",IF($H12592="FLUID CAT CRACKING","FCC",IF(OR($H12592="HYDROCRACKING",$H12592="RESID_HYDROCRACKING"),"Hydrocracker",IF($H12592="REFORMING","Reformer",""))))</f>
        <v/>
      </c>
    </row>
    <row r="12593" spans="6:7">
      <c r="F12593" s="6">
        <f>IF($M12593="PADD I","PADD 1",IF($M12593="PADD II","PADD 2",IF($M12593="PADD III","PADD 3",IF($M12593="PADD IV","PADD 4",IF($M12593="PADD V","PADD 5","")))))</f>
        <v/>
      </c>
      <c r="G12593" s="6">
        <f>IF(AND($H12593="ATMOS DISTILLATION",ISNUMBER(SEARCH("VPS",$I12593))=FALSE,LEFT($I12593,6)&lt;&gt;"VACUUM"),"CDU",IF($H12593="FLUID CAT CRACKING","FCC",IF(OR($H12593="HYDROCRACKING",$H12593="RESID_HYDROCRACKING"),"Hydrocracker",IF($H12593="REFORMING","Reformer",""))))</f>
        <v/>
      </c>
    </row>
    <row r="12594" spans="6:7">
      <c r="F12594" s="6">
        <f>IF($M12594="PADD I","PADD 1",IF($M12594="PADD II","PADD 2",IF($M12594="PADD III","PADD 3",IF($M12594="PADD IV","PADD 4",IF($M12594="PADD V","PADD 5","")))))</f>
        <v/>
      </c>
      <c r="G12594" s="6">
        <f>IF(AND($H12594="ATMOS DISTILLATION",ISNUMBER(SEARCH("VPS",$I12594))=FALSE,LEFT($I12594,6)&lt;&gt;"VACUUM"),"CDU",IF($H12594="FLUID CAT CRACKING","FCC",IF(OR($H12594="HYDROCRACKING",$H12594="RESID_HYDROCRACKING"),"Hydrocracker",IF($H12594="REFORMING","Reformer",""))))</f>
        <v/>
      </c>
    </row>
    <row r="12595" spans="6:7">
      <c r="F12595" s="6">
        <f>IF($M12595="PADD I","PADD 1",IF($M12595="PADD II","PADD 2",IF($M12595="PADD III","PADD 3",IF($M12595="PADD IV","PADD 4",IF($M12595="PADD V","PADD 5","")))))</f>
        <v/>
      </c>
      <c r="G12595" s="6">
        <f>IF(AND($H12595="ATMOS DISTILLATION",ISNUMBER(SEARCH("VPS",$I12595))=FALSE,LEFT($I12595,6)&lt;&gt;"VACUUM"),"CDU",IF($H12595="FLUID CAT CRACKING","FCC",IF(OR($H12595="HYDROCRACKING",$H12595="RESID_HYDROCRACKING"),"Hydrocracker",IF($H12595="REFORMING","Reformer",""))))</f>
        <v/>
      </c>
    </row>
    <row r="12596" spans="6:7">
      <c r="F12596" s="6">
        <f>IF($M12596="PADD I","PADD 1",IF($M12596="PADD II","PADD 2",IF($M12596="PADD III","PADD 3",IF($M12596="PADD IV","PADD 4",IF($M12596="PADD V","PADD 5","")))))</f>
        <v/>
      </c>
      <c r="G12596" s="6">
        <f>IF(AND($H12596="ATMOS DISTILLATION",ISNUMBER(SEARCH("VPS",$I12596))=FALSE,LEFT($I12596,6)&lt;&gt;"VACUUM"),"CDU",IF($H12596="FLUID CAT CRACKING","FCC",IF(OR($H12596="HYDROCRACKING",$H12596="RESID_HYDROCRACKING"),"Hydrocracker",IF($H12596="REFORMING","Reformer",""))))</f>
        <v/>
      </c>
    </row>
    <row r="12597" spans="6:7">
      <c r="F12597" s="6">
        <f>IF($M12597="PADD I","PADD 1",IF($M12597="PADD II","PADD 2",IF($M12597="PADD III","PADD 3",IF($M12597="PADD IV","PADD 4",IF($M12597="PADD V","PADD 5","")))))</f>
        <v/>
      </c>
      <c r="G12597" s="6">
        <f>IF(AND($H12597="ATMOS DISTILLATION",ISNUMBER(SEARCH("VPS",$I12597))=FALSE,LEFT($I12597,6)&lt;&gt;"VACUUM"),"CDU",IF($H12597="FLUID CAT CRACKING","FCC",IF(OR($H12597="HYDROCRACKING",$H12597="RESID_HYDROCRACKING"),"Hydrocracker",IF($H12597="REFORMING","Reformer",""))))</f>
        <v/>
      </c>
    </row>
    <row r="12598" spans="6:7">
      <c r="F12598" s="6">
        <f>IF($M12598="PADD I","PADD 1",IF($M12598="PADD II","PADD 2",IF($M12598="PADD III","PADD 3",IF($M12598="PADD IV","PADD 4",IF($M12598="PADD V","PADD 5","")))))</f>
        <v/>
      </c>
      <c r="G12598" s="6">
        <f>IF(AND($H12598="ATMOS DISTILLATION",ISNUMBER(SEARCH("VPS",$I12598))=FALSE,LEFT($I12598,6)&lt;&gt;"VACUUM"),"CDU",IF($H12598="FLUID CAT CRACKING","FCC",IF(OR($H12598="HYDROCRACKING",$H12598="RESID_HYDROCRACKING"),"Hydrocracker",IF($H12598="REFORMING","Reformer",""))))</f>
        <v/>
      </c>
    </row>
    <row r="12599" spans="6:7">
      <c r="F12599" s="6">
        <f>IF($M12599="PADD I","PADD 1",IF($M12599="PADD II","PADD 2",IF($M12599="PADD III","PADD 3",IF($M12599="PADD IV","PADD 4",IF($M12599="PADD V","PADD 5","")))))</f>
        <v/>
      </c>
      <c r="G12599" s="6">
        <f>IF(AND($H12599="ATMOS DISTILLATION",ISNUMBER(SEARCH("VPS",$I12599))=FALSE,LEFT($I12599,6)&lt;&gt;"VACUUM"),"CDU",IF($H12599="FLUID CAT CRACKING","FCC",IF(OR($H12599="HYDROCRACKING",$H12599="RESID_HYDROCRACKING"),"Hydrocracker",IF($H12599="REFORMING","Reformer",""))))</f>
        <v/>
      </c>
    </row>
    <row r="12600" spans="6:7">
      <c r="F12600" s="6">
        <f>IF($M12600="PADD I","PADD 1",IF($M12600="PADD II","PADD 2",IF($M12600="PADD III","PADD 3",IF($M12600="PADD IV","PADD 4",IF($M12600="PADD V","PADD 5","")))))</f>
        <v/>
      </c>
      <c r="G12600" s="6">
        <f>IF(AND($H12600="ATMOS DISTILLATION",ISNUMBER(SEARCH("VPS",$I12600))=FALSE,LEFT($I12600,6)&lt;&gt;"VACUUM"),"CDU",IF($H12600="FLUID CAT CRACKING","FCC",IF(OR($H12600="HYDROCRACKING",$H12600="RESID_HYDROCRACKING"),"Hydrocracker",IF($H12600="REFORMING","Reformer",""))))</f>
        <v/>
      </c>
    </row>
    <row r="12601" spans="6:7">
      <c r="F12601" s="6">
        <f>IF($M12601="PADD I","PADD 1",IF($M12601="PADD II","PADD 2",IF($M12601="PADD III","PADD 3",IF($M12601="PADD IV","PADD 4",IF($M12601="PADD V","PADD 5","")))))</f>
        <v/>
      </c>
      <c r="G12601" s="6">
        <f>IF(AND($H12601="ATMOS DISTILLATION",ISNUMBER(SEARCH("VPS",$I12601))=FALSE,LEFT($I12601,6)&lt;&gt;"VACUUM"),"CDU",IF($H12601="FLUID CAT CRACKING","FCC",IF(OR($H12601="HYDROCRACKING",$H12601="RESID_HYDROCRACKING"),"Hydrocracker",IF($H12601="REFORMING","Reformer",""))))</f>
        <v/>
      </c>
    </row>
    <row r="12602" spans="6:7">
      <c r="F12602" s="6">
        <f>IF($M12602="PADD I","PADD 1",IF($M12602="PADD II","PADD 2",IF($M12602="PADD III","PADD 3",IF($M12602="PADD IV","PADD 4",IF($M12602="PADD V","PADD 5","")))))</f>
        <v/>
      </c>
      <c r="G12602" s="6">
        <f>IF(AND($H12602="ATMOS DISTILLATION",ISNUMBER(SEARCH("VPS",$I12602))=FALSE,LEFT($I12602,6)&lt;&gt;"VACUUM"),"CDU",IF($H12602="FLUID CAT CRACKING","FCC",IF(OR($H12602="HYDROCRACKING",$H12602="RESID_HYDROCRACKING"),"Hydrocracker",IF($H12602="REFORMING","Reformer",""))))</f>
        <v/>
      </c>
    </row>
    <row r="12603" spans="6:7">
      <c r="F12603" s="6">
        <f>IF($M12603="PADD I","PADD 1",IF($M12603="PADD II","PADD 2",IF($M12603="PADD III","PADD 3",IF($M12603="PADD IV","PADD 4",IF($M12603="PADD V","PADD 5","")))))</f>
        <v/>
      </c>
      <c r="G12603" s="6">
        <f>IF(AND($H12603="ATMOS DISTILLATION",ISNUMBER(SEARCH("VPS",$I12603))=FALSE,LEFT($I12603,6)&lt;&gt;"VACUUM"),"CDU",IF($H12603="FLUID CAT CRACKING","FCC",IF(OR($H12603="HYDROCRACKING",$H12603="RESID_HYDROCRACKING"),"Hydrocracker",IF($H12603="REFORMING","Reformer",""))))</f>
        <v/>
      </c>
    </row>
    <row r="12604" spans="6:7">
      <c r="F12604" s="6">
        <f>IF($M12604="PADD I","PADD 1",IF($M12604="PADD II","PADD 2",IF($M12604="PADD III","PADD 3",IF($M12604="PADD IV","PADD 4",IF($M12604="PADD V","PADD 5","")))))</f>
        <v/>
      </c>
      <c r="G12604" s="6">
        <f>IF(AND($H12604="ATMOS DISTILLATION",ISNUMBER(SEARCH("VPS",$I12604))=FALSE,LEFT($I12604,6)&lt;&gt;"VACUUM"),"CDU",IF($H12604="FLUID CAT CRACKING","FCC",IF(OR($H12604="HYDROCRACKING",$H12604="RESID_HYDROCRACKING"),"Hydrocracker",IF($H12604="REFORMING","Reformer",""))))</f>
        <v/>
      </c>
    </row>
    <row r="12605" spans="6:7">
      <c r="F12605" s="6">
        <f>IF($M12605="PADD I","PADD 1",IF($M12605="PADD II","PADD 2",IF($M12605="PADD III","PADD 3",IF($M12605="PADD IV","PADD 4",IF($M12605="PADD V","PADD 5","")))))</f>
        <v/>
      </c>
      <c r="G12605" s="6">
        <f>IF(AND($H12605="ATMOS DISTILLATION",ISNUMBER(SEARCH("VPS",$I12605))=FALSE,LEFT($I12605,6)&lt;&gt;"VACUUM"),"CDU",IF($H12605="FLUID CAT CRACKING","FCC",IF(OR($H12605="HYDROCRACKING",$H12605="RESID_HYDROCRACKING"),"Hydrocracker",IF($H12605="REFORMING","Reformer",""))))</f>
        <v/>
      </c>
    </row>
    <row r="12606" spans="6:7">
      <c r="F12606" s="6">
        <f>IF($M12606="PADD I","PADD 1",IF($M12606="PADD II","PADD 2",IF($M12606="PADD III","PADD 3",IF($M12606="PADD IV","PADD 4",IF($M12606="PADD V","PADD 5","")))))</f>
        <v/>
      </c>
      <c r="G12606" s="6">
        <f>IF(AND($H12606="ATMOS DISTILLATION",ISNUMBER(SEARCH("VPS",$I12606))=FALSE,LEFT($I12606,6)&lt;&gt;"VACUUM"),"CDU",IF($H12606="FLUID CAT CRACKING","FCC",IF(OR($H12606="HYDROCRACKING",$H12606="RESID_HYDROCRACKING"),"Hydrocracker",IF($H12606="REFORMING","Reformer",""))))</f>
        <v/>
      </c>
    </row>
    <row r="12607" spans="6:7">
      <c r="F12607" s="6">
        <f>IF($M12607="PADD I","PADD 1",IF($M12607="PADD II","PADD 2",IF($M12607="PADD III","PADD 3",IF($M12607="PADD IV","PADD 4",IF($M12607="PADD V","PADD 5","")))))</f>
        <v/>
      </c>
      <c r="G12607" s="6">
        <f>IF(AND($H12607="ATMOS DISTILLATION",ISNUMBER(SEARCH("VPS",$I12607))=FALSE,LEFT($I12607,6)&lt;&gt;"VACUUM"),"CDU",IF($H12607="FLUID CAT CRACKING","FCC",IF(OR($H12607="HYDROCRACKING",$H12607="RESID_HYDROCRACKING"),"Hydrocracker",IF($H12607="REFORMING","Reformer",""))))</f>
        <v/>
      </c>
    </row>
    <row r="12608" spans="6:7">
      <c r="F12608" s="6">
        <f>IF($M12608="PADD I","PADD 1",IF($M12608="PADD II","PADD 2",IF($M12608="PADD III","PADD 3",IF($M12608="PADD IV","PADD 4",IF($M12608="PADD V","PADD 5","")))))</f>
        <v/>
      </c>
      <c r="G12608" s="6">
        <f>IF(AND($H12608="ATMOS DISTILLATION",ISNUMBER(SEARCH("VPS",$I12608))=FALSE,LEFT($I12608,6)&lt;&gt;"VACUUM"),"CDU",IF($H12608="FLUID CAT CRACKING","FCC",IF(OR($H12608="HYDROCRACKING",$H12608="RESID_HYDROCRACKING"),"Hydrocracker",IF($H12608="REFORMING","Reformer",""))))</f>
        <v/>
      </c>
    </row>
    <row r="12609" spans="6:7">
      <c r="F12609" s="6">
        <f>IF($M12609="PADD I","PADD 1",IF($M12609="PADD II","PADD 2",IF($M12609="PADD III","PADD 3",IF($M12609="PADD IV","PADD 4",IF($M12609="PADD V","PADD 5","")))))</f>
        <v/>
      </c>
      <c r="G12609" s="6">
        <f>IF(AND($H12609="ATMOS DISTILLATION",ISNUMBER(SEARCH("VPS",$I12609))=FALSE,LEFT($I12609,6)&lt;&gt;"VACUUM"),"CDU",IF($H12609="FLUID CAT CRACKING","FCC",IF(OR($H12609="HYDROCRACKING",$H12609="RESID_HYDROCRACKING"),"Hydrocracker",IF($H12609="REFORMING","Reformer",""))))</f>
        <v/>
      </c>
    </row>
    <row r="12610" spans="6:7">
      <c r="F12610" s="6">
        <f>IF($M12610="PADD I","PADD 1",IF($M12610="PADD II","PADD 2",IF($M12610="PADD III","PADD 3",IF($M12610="PADD IV","PADD 4",IF($M12610="PADD V","PADD 5","")))))</f>
        <v/>
      </c>
      <c r="G12610" s="6">
        <f>IF(AND($H12610="ATMOS DISTILLATION",ISNUMBER(SEARCH("VPS",$I12610))=FALSE,LEFT($I12610,6)&lt;&gt;"VACUUM"),"CDU",IF($H12610="FLUID CAT CRACKING","FCC",IF(OR($H12610="HYDROCRACKING",$H12610="RESID_HYDROCRACKING"),"Hydrocracker",IF($H12610="REFORMING","Reformer",""))))</f>
        <v/>
      </c>
    </row>
    <row r="12611" spans="6:7">
      <c r="F12611" s="6">
        <f>IF($M12611="PADD I","PADD 1",IF($M12611="PADD II","PADD 2",IF($M12611="PADD III","PADD 3",IF($M12611="PADD IV","PADD 4",IF($M12611="PADD V","PADD 5","")))))</f>
        <v/>
      </c>
      <c r="G12611" s="6">
        <f>IF(AND($H12611="ATMOS DISTILLATION",ISNUMBER(SEARCH("VPS",$I12611))=FALSE,LEFT($I12611,6)&lt;&gt;"VACUUM"),"CDU",IF($H12611="FLUID CAT CRACKING","FCC",IF(OR($H12611="HYDROCRACKING",$H12611="RESID_HYDROCRACKING"),"Hydrocracker",IF($H12611="REFORMING","Reformer",""))))</f>
        <v/>
      </c>
    </row>
    <row r="12612" spans="6:7">
      <c r="F12612" s="6">
        <f>IF($M12612="PADD I","PADD 1",IF($M12612="PADD II","PADD 2",IF($M12612="PADD III","PADD 3",IF($M12612="PADD IV","PADD 4",IF($M12612="PADD V","PADD 5","")))))</f>
        <v/>
      </c>
      <c r="G12612" s="6">
        <f>IF(AND($H12612="ATMOS DISTILLATION",ISNUMBER(SEARCH("VPS",$I12612))=FALSE,LEFT($I12612,6)&lt;&gt;"VACUUM"),"CDU",IF($H12612="FLUID CAT CRACKING","FCC",IF(OR($H12612="HYDROCRACKING",$H12612="RESID_HYDROCRACKING"),"Hydrocracker",IF($H12612="REFORMING","Reformer",""))))</f>
        <v/>
      </c>
    </row>
    <row r="12613" spans="6:7">
      <c r="F12613" s="6">
        <f>IF($M12613="PADD I","PADD 1",IF($M12613="PADD II","PADD 2",IF($M12613="PADD III","PADD 3",IF($M12613="PADD IV","PADD 4",IF($M12613="PADD V","PADD 5","")))))</f>
        <v/>
      </c>
      <c r="G12613" s="6">
        <f>IF(AND($H12613="ATMOS DISTILLATION",ISNUMBER(SEARCH("VPS",$I12613))=FALSE,LEFT($I12613,6)&lt;&gt;"VACUUM"),"CDU",IF($H12613="FLUID CAT CRACKING","FCC",IF(OR($H12613="HYDROCRACKING",$H12613="RESID_HYDROCRACKING"),"Hydrocracker",IF($H12613="REFORMING","Reformer",""))))</f>
        <v/>
      </c>
    </row>
    <row r="12614" spans="6:7">
      <c r="F12614" s="6">
        <f>IF($M12614="PADD I","PADD 1",IF($M12614="PADD II","PADD 2",IF($M12614="PADD III","PADD 3",IF($M12614="PADD IV","PADD 4",IF($M12614="PADD V","PADD 5","")))))</f>
        <v/>
      </c>
      <c r="G12614" s="6">
        <f>IF(AND($H12614="ATMOS DISTILLATION",ISNUMBER(SEARCH("VPS",$I12614))=FALSE,LEFT($I12614,6)&lt;&gt;"VACUUM"),"CDU",IF($H12614="FLUID CAT CRACKING","FCC",IF(OR($H12614="HYDROCRACKING",$H12614="RESID_HYDROCRACKING"),"Hydrocracker",IF($H12614="REFORMING","Reformer",""))))</f>
        <v/>
      </c>
    </row>
    <row r="12615" spans="6:7">
      <c r="F12615" s="6">
        <f>IF($M12615="PADD I","PADD 1",IF($M12615="PADD II","PADD 2",IF($M12615="PADD III","PADD 3",IF($M12615="PADD IV","PADD 4",IF($M12615="PADD V","PADD 5","")))))</f>
        <v/>
      </c>
      <c r="G12615" s="6">
        <f>IF(AND($H12615="ATMOS DISTILLATION",ISNUMBER(SEARCH("VPS",$I12615))=FALSE,LEFT($I12615,6)&lt;&gt;"VACUUM"),"CDU",IF($H12615="FLUID CAT CRACKING","FCC",IF(OR($H12615="HYDROCRACKING",$H12615="RESID_HYDROCRACKING"),"Hydrocracker",IF($H12615="REFORMING","Reformer",""))))</f>
        <v/>
      </c>
    </row>
    <row r="12616" spans="6:7">
      <c r="F12616" s="6">
        <f>IF($M12616="PADD I","PADD 1",IF($M12616="PADD II","PADD 2",IF($M12616="PADD III","PADD 3",IF($M12616="PADD IV","PADD 4",IF($M12616="PADD V","PADD 5","")))))</f>
        <v/>
      </c>
      <c r="G12616" s="6">
        <f>IF(AND($H12616="ATMOS DISTILLATION",ISNUMBER(SEARCH("VPS",$I12616))=FALSE,LEFT($I12616,6)&lt;&gt;"VACUUM"),"CDU",IF($H12616="FLUID CAT CRACKING","FCC",IF(OR($H12616="HYDROCRACKING",$H12616="RESID_HYDROCRACKING"),"Hydrocracker",IF($H12616="REFORMING","Reformer",""))))</f>
        <v/>
      </c>
    </row>
    <row r="12617" spans="6:7">
      <c r="F12617" s="6">
        <f>IF($M12617="PADD I","PADD 1",IF($M12617="PADD II","PADD 2",IF($M12617="PADD III","PADD 3",IF($M12617="PADD IV","PADD 4",IF($M12617="PADD V","PADD 5","")))))</f>
        <v/>
      </c>
      <c r="G12617" s="6">
        <f>IF(AND($H12617="ATMOS DISTILLATION",ISNUMBER(SEARCH("VPS",$I12617))=FALSE,LEFT($I12617,6)&lt;&gt;"VACUUM"),"CDU",IF($H12617="FLUID CAT CRACKING","FCC",IF(OR($H12617="HYDROCRACKING",$H12617="RESID_HYDROCRACKING"),"Hydrocracker",IF($H12617="REFORMING","Reformer",""))))</f>
        <v/>
      </c>
    </row>
    <row r="12618" spans="6:7">
      <c r="F12618" s="6">
        <f>IF($M12618="PADD I","PADD 1",IF($M12618="PADD II","PADD 2",IF($M12618="PADD III","PADD 3",IF($M12618="PADD IV","PADD 4",IF($M12618="PADD V","PADD 5","")))))</f>
        <v/>
      </c>
      <c r="G12618" s="6">
        <f>IF(AND($H12618="ATMOS DISTILLATION",ISNUMBER(SEARCH("VPS",$I12618))=FALSE,LEFT($I12618,6)&lt;&gt;"VACUUM"),"CDU",IF($H12618="FLUID CAT CRACKING","FCC",IF(OR($H12618="HYDROCRACKING",$H12618="RESID_HYDROCRACKING"),"Hydrocracker",IF($H12618="REFORMING","Reformer",""))))</f>
        <v/>
      </c>
    </row>
    <row r="12619" spans="6:7">
      <c r="F12619" s="6">
        <f>IF($M12619="PADD I","PADD 1",IF($M12619="PADD II","PADD 2",IF($M12619="PADD III","PADD 3",IF($M12619="PADD IV","PADD 4",IF($M12619="PADD V","PADD 5","")))))</f>
        <v/>
      </c>
      <c r="G12619" s="6">
        <f>IF(AND($H12619="ATMOS DISTILLATION",ISNUMBER(SEARCH("VPS",$I12619))=FALSE,LEFT($I12619,6)&lt;&gt;"VACUUM"),"CDU",IF($H12619="FLUID CAT CRACKING","FCC",IF(OR($H12619="HYDROCRACKING",$H12619="RESID_HYDROCRACKING"),"Hydrocracker",IF($H12619="REFORMING","Reformer",""))))</f>
        <v/>
      </c>
    </row>
    <row r="12620" spans="6:7">
      <c r="F12620" s="6">
        <f>IF($M12620="PADD I","PADD 1",IF($M12620="PADD II","PADD 2",IF($M12620="PADD III","PADD 3",IF($M12620="PADD IV","PADD 4",IF($M12620="PADD V","PADD 5","")))))</f>
        <v/>
      </c>
      <c r="G12620" s="6">
        <f>IF(AND($H12620="ATMOS DISTILLATION",ISNUMBER(SEARCH("VPS",$I12620))=FALSE,LEFT($I12620,6)&lt;&gt;"VACUUM"),"CDU",IF($H12620="FLUID CAT CRACKING","FCC",IF(OR($H12620="HYDROCRACKING",$H12620="RESID_HYDROCRACKING"),"Hydrocracker",IF($H12620="REFORMING","Reformer",""))))</f>
        <v/>
      </c>
    </row>
    <row r="12621" spans="6:7">
      <c r="F12621" s="6">
        <f>IF($M12621="PADD I","PADD 1",IF($M12621="PADD II","PADD 2",IF($M12621="PADD III","PADD 3",IF($M12621="PADD IV","PADD 4",IF($M12621="PADD V","PADD 5","")))))</f>
        <v/>
      </c>
      <c r="G12621" s="6">
        <f>IF(AND($H12621="ATMOS DISTILLATION",ISNUMBER(SEARCH("VPS",$I12621))=FALSE,LEFT($I12621,6)&lt;&gt;"VACUUM"),"CDU",IF($H12621="FLUID CAT CRACKING","FCC",IF(OR($H12621="HYDROCRACKING",$H12621="RESID_HYDROCRACKING"),"Hydrocracker",IF($H12621="REFORMING","Reformer",""))))</f>
        <v/>
      </c>
    </row>
    <row r="12622" spans="6:7">
      <c r="F12622" s="6">
        <f>IF($M12622="PADD I","PADD 1",IF($M12622="PADD II","PADD 2",IF($M12622="PADD III","PADD 3",IF($M12622="PADD IV","PADD 4",IF($M12622="PADD V","PADD 5","")))))</f>
        <v/>
      </c>
      <c r="G12622" s="6">
        <f>IF(AND($H12622="ATMOS DISTILLATION",ISNUMBER(SEARCH("VPS",$I12622))=FALSE,LEFT($I12622,6)&lt;&gt;"VACUUM"),"CDU",IF($H12622="FLUID CAT CRACKING","FCC",IF(OR($H12622="HYDROCRACKING",$H12622="RESID_HYDROCRACKING"),"Hydrocracker",IF($H12622="REFORMING","Reformer",""))))</f>
        <v/>
      </c>
    </row>
    <row r="12623" spans="6:7">
      <c r="F12623" s="6">
        <f>IF($M12623="PADD I","PADD 1",IF($M12623="PADD II","PADD 2",IF($M12623="PADD III","PADD 3",IF($M12623="PADD IV","PADD 4",IF($M12623="PADD V","PADD 5","")))))</f>
        <v/>
      </c>
      <c r="G12623" s="6">
        <f>IF(AND($H12623="ATMOS DISTILLATION",ISNUMBER(SEARCH("VPS",$I12623))=FALSE,LEFT($I12623,6)&lt;&gt;"VACUUM"),"CDU",IF($H12623="FLUID CAT CRACKING","FCC",IF(OR($H12623="HYDROCRACKING",$H12623="RESID_HYDROCRACKING"),"Hydrocracker",IF($H12623="REFORMING","Reformer",""))))</f>
        <v/>
      </c>
    </row>
    <row r="12624" spans="6:7">
      <c r="F12624" s="6">
        <f>IF($M12624="PADD I","PADD 1",IF($M12624="PADD II","PADD 2",IF($M12624="PADD III","PADD 3",IF($M12624="PADD IV","PADD 4",IF($M12624="PADD V","PADD 5","")))))</f>
        <v/>
      </c>
      <c r="G12624" s="6">
        <f>IF(AND($H12624="ATMOS DISTILLATION",ISNUMBER(SEARCH("VPS",$I12624))=FALSE,LEFT($I12624,6)&lt;&gt;"VACUUM"),"CDU",IF($H12624="FLUID CAT CRACKING","FCC",IF(OR($H12624="HYDROCRACKING",$H12624="RESID_HYDROCRACKING"),"Hydrocracker",IF($H12624="REFORMING","Reformer",""))))</f>
        <v/>
      </c>
    </row>
    <row r="12625" spans="6:7">
      <c r="F12625" s="6">
        <f>IF($M12625="PADD I","PADD 1",IF($M12625="PADD II","PADD 2",IF($M12625="PADD III","PADD 3",IF($M12625="PADD IV","PADD 4",IF($M12625="PADD V","PADD 5","")))))</f>
        <v/>
      </c>
      <c r="G12625" s="6">
        <f>IF(AND($H12625="ATMOS DISTILLATION",ISNUMBER(SEARCH("VPS",$I12625))=FALSE,LEFT($I12625,6)&lt;&gt;"VACUUM"),"CDU",IF($H12625="FLUID CAT CRACKING","FCC",IF(OR($H12625="HYDROCRACKING",$H12625="RESID_HYDROCRACKING"),"Hydrocracker",IF($H12625="REFORMING","Reformer",""))))</f>
        <v/>
      </c>
    </row>
    <row r="12626" spans="6:7">
      <c r="F12626" s="6">
        <f>IF($M12626="PADD I","PADD 1",IF($M12626="PADD II","PADD 2",IF($M12626="PADD III","PADD 3",IF($M12626="PADD IV","PADD 4",IF($M12626="PADD V","PADD 5","")))))</f>
        <v/>
      </c>
      <c r="G12626" s="6">
        <f>IF(AND($H12626="ATMOS DISTILLATION",ISNUMBER(SEARCH("VPS",$I12626))=FALSE,LEFT($I12626,6)&lt;&gt;"VACUUM"),"CDU",IF($H12626="FLUID CAT CRACKING","FCC",IF(OR($H12626="HYDROCRACKING",$H12626="RESID_HYDROCRACKING"),"Hydrocracker",IF($H12626="REFORMING","Reformer",""))))</f>
        <v/>
      </c>
    </row>
    <row r="12627" spans="6:7">
      <c r="F12627" s="6">
        <f>IF($M12627="PADD I","PADD 1",IF($M12627="PADD II","PADD 2",IF($M12627="PADD III","PADD 3",IF($M12627="PADD IV","PADD 4",IF($M12627="PADD V","PADD 5","")))))</f>
        <v/>
      </c>
      <c r="G12627" s="6">
        <f>IF(AND($H12627="ATMOS DISTILLATION",ISNUMBER(SEARCH("VPS",$I12627))=FALSE,LEFT($I12627,6)&lt;&gt;"VACUUM"),"CDU",IF($H12627="FLUID CAT CRACKING","FCC",IF(OR($H12627="HYDROCRACKING",$H12627="RESID_HYDROCRACKING"),"Hydrocracker",IF($H12627="REFORMING","Reformer",""))))</f>
        <v/>
      </c>
    </row>
    <row r="12628" spans="6:7">
      <c r="F12628" s="6">
        <f>IF($M12628="PADD I","PADD 1",IF($M12628="PADD II","PADD 2",IF($M12628="PADD III","PADD 3",IF($M12628="PADD IV","PADD 4",IF($M12628="PADD V","PADD 5","")))))</f>
        <v/>
      </c>
      <c r="G12628" s="6">
        <f>IF(AND($H12628="ATMOS DISTILLATION",ISNUMBER(SEARCH("VPS",$I12628))=FALSE,LEFT($I12628,6)&lt;&gt;"VACUUM"),"CDU",IF($H12628="FLUID CAT CRACKING","FCC",IF(OR($H12628="HYDROCRACKING",$H12628="RESID_HYDROCRACKING"),"Hydrocracker",IF($H12628="REFORMING","Reformer",""))))</f>
        <v/>
      </c>
    </row>
    <row r="12629" spans="6:7">
      <c r="F12629" s="6">
        <f>IF($M12629="PADD I","PADD 1",IF($M12629="PADD II","PADD 2",IF($M12629="PADD III","PADD 3",IF($M12629="PADD IV","PADD 4",IF($M12629="PADD V","PADD 5","")))))</f>
        <v/>
      </c>
      <c r="G12629" s="6">
        <f>IF(AND($H12629="ATMOS DISTILLATION",ISNUMBER(SEARCH("VPS",$I12629))=FALSE,LEFT($I12629,6)&lt;&gt;"VACUUM"),"CDU",IF($H12629="FLUID CAT CRACKING","FCC",IF(OR($H12629="HYDROCRACKING",$H12629="RESID_HYDROCRACKING"),"Hydrocracker",IF($H12629="REFORMING","Reformer",""))))</f>
        <v/>
      </c>
    </row>
    <row r="12630" spans="6:7">
      <c r="F12630" s="6">
        <f>IF($M12630="PADD I","PADD 1",IF($M12630="PADD II","PADD 2",IF($M12630="PADD III","PADD 3",IF($M12630="PADD IV","PADD 4",IF($M12630="PADD V","PADD 5","")))))</f>
        <v/>
      </c>
      <c r="G12630" s="6">
        <f>IF(AND($H12630="ATMOS DISTILLATION",ISNUMBER(SEARCH("VPS",$I12630))=FALSE,LEFT($I12630,6)&lt;&gt;"VACUUM"),"CDU",IF($H12630="FLUID CAT CRACKING","FCC",IF(OR($H12630="HYDROCRACKING",$H12630="RESID_HYDROCRACKING"),"Hydrocracker",IF($H12630="REFORMING","Reformer",""))))</f>
        <v/>
      </c>
    </row>
    <row r="12631" spans="6:7">
      <c r="F12631" s="6">
        <f>IF($M12631="PADD I","PADD 1",IF($M12631="PADD II","PADD 2",IF($M12631="PADD III","PADD 3",IF($M12631="PADD IV","PADD 4",IF($M12631="PADD V","PADD 5","")))))</f>
        <v/>
      </c>
      <c r="G12631" s="6">
        <f>IF(AND($H12631="ATMOS DISTILLATION",ISNUMBER(SEARCH("VPS",$I12631))=FALSE,LEFT($I12631,6)&lt;&gt;"VACUUM"),"CDU",IF($H12631="FLUID CAT CRACKING","FCC",IF(OR($H12631="HYDROCRACKING",$H12631="RESID_HYDROCRACKING"),"Hydrocracker",IF($H12631="REFORMING","Reformer",""))))</f>
        <v/>
      </c>
    </row>
    <row r="12632" spans="6:7">
      <c r="F12632" s="6">
        <f>IF($M12632="PADD I","PADD 1",IF($M12632="PADD II","PADD 2",IF($M12632="PADD III","PADD 3",IF($M12632="PADD IV","PADD 4",IF($M12632="PADD V","PADD 5","")))))</f>
        <v/>
      </c>
      <c r="G12632" s="6">
        <f>IF(AND($H12632="ATMOS DISTILLATION",ISNUMBER(SEARCH("VPS",$I12632))=FALSE,LEFT($I12632,6)&lt;&gt;"VACUUM"),"CDU",IF($H12632="FLUID CAT CRACKING","FCC",IF(OR($H12632="HYDROCRACKING",$H12632="RESID_HYDROCRACKING"),"Hydrocracker",IF($H12632="REFORMING","Reformer",""))))</f>
        <v/>
      </c>
    </row>
    <row r="12633" spans="6:7">
      <c r="F12633" s="6">
        <f>IF($M12633="PADD I","PADD 1",IF($M12633="PADD II","PADD 2",IF($M12633="PADD III","PADD 3",IF($M12633="PADD IV","PADD 4",IF($M12633="PADD V","PADD 5","")))))</f>
        <v/>
      </c>
      <c r="G12633" s="6">
        <f>IF(AND($H12633="ATMOS DISTILLATION",ISNUMBER(SEARCH("VPS",$I12633))=FALSE,LEFT($I12633,6)&lt;&gt;"VACUUM"),"CDU",IF($H12633="FLUID CAT CRACKING","FCC",IF(OR($H12633="HYDROCRACKING",$H12633="RESID_HYDROCRACKING"),"Hydrocracker",IF($H12633="REFORMING","Reformer",""))))</f>
        <v/>
      </c>
    </row>
    <row r="12634" spans="6:7">
      <c r="F12634" s="6">
        <f>IF($M12634="PADD I","PADD 1",IF($M12634="PADD II","PADD 2",IF($M12634="PADD III","PADD 3",IF($M12634="PADD IV","PADD 4",IF($M12634="PADD V","PADD 5","")))))</f>
        <v/>
      </c>
      <c r="G12634" s="6">
        <f>IF(AND($H12634="ATMOS DISTILLATION",ISNUMBER(SEARCH("VPS",$I12634))=FALSE,LEFT($I12634,6)&lt;&gt;"VACUUM"),"CDU",IF($H12634="FLUID CAT CRACKING","FCC",IF(OR($H12634="HYDROCRACKING",$H12634="RESID_HYDROCRACKING"),"Hydrocracker",IF($H12634="REFORMING","Reformer",""))))</f>
        <v/>
      </c>
    </row>
    <row r="12635" spans="6:7">
      <c r="F12635" s="6">
        <f>IF($M12635="PADD I","PADD 1",IF($M12635="PADD II","PADD 2",IF($M12635="PADD III","PADD 3",IF($M12635="PADD IV","PADD 4",IF($M12635="PADD V","PADD 5","")))))</f>
        <v/>
      </c>
      <c r="G12635" s="6">
        <f>IF(AND($H12635="ATMOS DISTILLATION",ISNUMBER(SEARCH("VPS",$I12635))=FALSE,LEFT($I12635,6)&lt;&gt;"VACUUM"),"CDU",IF($H12635="FLUID CAT CRACKING","FCC",IF(OR($H12635="HYDROCRACKING",$H12635="RESID_HYDROCRACKING"),"Hydrocracker",IF($H12635="REFORMING","Reformer",""))))</f>
        <v/>
      </c>
    </row>
    <row r="12636" spans="6:7">
      <c r="F12636" s="6">
        <f>IF($M12636="PADD I","PADD 1",IF($M12636="PADD II","PADD 2",IF($M12636="PADD III","PADD 3",IF($M12636="PADD IV","PADD 4",IF($M12636="PADD V","PADD 5","")))))</f>
        <v/>
      </c>
      <c r="G12636" s="6">
        <f>IF(AND($H12636="ATMOS DISTILLATION",ISNUMBER(SEARCH("VPS",$I12636))=FALSE,LEFT($I12636,6)&lt;&gt;"VACUUM"),"CDU",IF($H12636="FLUID CAT CRACKING","FCC",IF(OR($H12636="HYDROCRACKING",$H12636="RESID_HYDROCRACKING"),"Hydrocracker",IF($H12636="REFORMING","Reformer",""))))</f>
        <v/>
      </c>
    </row>
    <row r="12637" spans="6:7">
      <c r="F12637" s="6">
        <f>IF($M12637="PADD I","PADD 1",IF($M12637="PADD II","PADD 2",IF($M12637="PADD III","PADD 3",IF($M12637="PADD IV","PADD 4",IF($M12637="PADD V","PADD 5","")))))</f>
        <v/>
      </c>
      <c r="G12637" s="6">
        <f>IF(AND($H12637="ATMOS DISTILLATION",ISNUMBER(SEARCH("VPS",$I12637))=FALSE,LEFT($I12637,6)&lt;&gt;"VACUUM"),"CDU",IF($H12637="FLUID CAT CRACKING","FCC",IF(OR($H12637="HYDROCRACKING",$H12637="RESID_HYDROCRACKING"),"Hydrocracker",IF($H12637="REFORMING","Reformer",""))))</f>
        <v/>
      </c>
    </row>
    <row r="12638" spans="6:7">
      <c r="F12638" s="6">
        <f>IF($M12638="PADD I","PADD 1",IF($M12638="PADD II","PADD 2",IF($M12638="PADD III","PADD 3",IF($M12638="PADD IV","PADD 4",IF($M12638="PADD V","PADD 5","")))))</f>
        <v/>
      </c>
      <c r="G12638" s="6">
        <f>IF(AND($H12638="ATMOS DISTILLATION",ISNUMBER(SEARCH("VPS",$I12638))=FALSE,LEFT($I12638,6)&lt;&gt;"VACUUM"),"CDU",IF($H12638="FLUID CAT CRACKING","FCC",IF(OR($H12638="HYDROCRACKING",$H12638="RESID_HYDROCRACKING"),"Hydrocracker",IF($H12638="REFORMING","Reformer",""))))</f>
        <v/>
      </c>
    </row>
    <row r="12639" spans="6:7">
      <c r="F12639" s="6">
        <f>IF($M12639="PADD I","PADD 1",IF($M12639="PADD II","PADD 2",IF($M12639="PADD III","PADD 3",IF($M12639="PADD IV","PADD 4",IF($M12639="PADD V","PADD 5","")))))</f>
        <v/>
      </c>
      <c r="G12639" s="6">
        <f>IF(AND($H12639="ATMOS DISTILLATION",ISNUMBER(SEARCH("VPS",$I12639))=FALSE,LEFT($I12639,6)&lt;&gt;"VACUUM"),"CDU",IF($H12639="FLUID CAT CRACKING","FCC",IF(OR($H12639="HYDROCRACKING",$H12639="RESID_HYDROCRACKING"),"Hydrocracker",IF($H12639="REFORMING","Reformer",""))))</f>
        <v/>
      </c>
    </row>
    <row r="12640" spans="6:7">
      <c r="F12640" s="6">
        <f>IF($M12640="PADD I","PADD 1",IF($M12640="PADD II","PADD 2",IF($M12640="PADD III","PADD 3",IF($M12640="PADD IV","PADD 4",IF($M12640="PADD V","PADD 5","")))))</f>
        <v/>
      </c>
      <c r="G12640" s="6">
        <f>IF(AND($H12640="ATMOS DISTILLATION",ISNUMBER(SEARCH("VPS",$I12640))=FALSE,LEFT($I12640,6)&lt;&gt;"VACUUM"),"CDU",IF($H12640="FLUID CAT CRACKING","FCC",IF(OR($H12640="HYDROCRACKING",$H12640="RESID_HYDROCRACKING"),"Hydrocracker",IF($H12640="REFORMING","Reformer",""))))</f>
        <v/>
      </c>
    </row>
    <row r="12641" spans="6:7">
      <c r="F12641" s="6">
        <f>IF($M12641="PADD I","PADD 1",IF($M12641="PADD II","PADD 2",IF($M12641="PADD III","PADD 3",IF($M12641="PADD IV","PADD 4",IF($M12641="PADD V","PADD 5","")))))</f>
        <v/>
      </c>
      <c r="G12641" s="6">
        <f>IF(AND($H12641="ATMOS DISTILLATION",ISNUMBER(SEARCH("VPS",$I12641))=FALSE,LEFT($I12641,6)&lt;&gt;"VACUUM"),"CDU",IF($H12641="FLUID CAT CRACKING","FCC",IF(OR($H12641="HYDROCRACKING",$H12641="RESID_HYDROCRACKING"),"Hydrocracker",IF($H12641="REFORMING","Reformer",""))))</f>
        <v/>
      </c>
    </row>
    <row r="12642" spans="6:7">
      <c r="F12642" s="6">
        <f>IF($M12642="PADD I","PADD 1",IF($M12642="PADD II","PADD 2",IF($M12642="PADD III","PADD 3",IF($M12642="PADD IV","PADD 4",IF($M12642="PADD V","PADD 5","")))))</f>
        <v/>
      </c>
      <c r="G12642" s="6">
        <f>IF(AND($H12642="ATMOS DISTILLATION",ISNUMBER(SEARCH("VPS",$I12642))=FALSE,LEFT($I12642,6)&lt;&gt;"VACUUM"),"CDU",IF($H12642="FLUID CAT CRACKING","FCC",IF(OR($H12642="HYDROCRACKING",$H12642="RESID_HYDROCRACKING"),"Hydrocracker",IF($H12642="REFORMING","Reformer",""))))</f>
        <v/>
      </c>
    </row>
    <row r="12643" spans="6:7">
      <c r="F12643" s="6">
        <f>IF($M12643="PADD I","PADD 1",IF($M12643="PADD II","PADD 2",IF($M12643="PADD III","PADD 3",IF($M12643="PADD IV","PADD 4",IF($M12643="PADD V","PADD 5","")))))</f>
        <v/>
      </c>
      <c r="G12643" s="6">
        <f>IF(AND($H12643="ATMOS DISTILLATION",ISNUMBER(SEARCH("VPS",$I12643))=FALSE,LEFT($I12643,6)&lt;&gt;"VACUUM"),"CDU",IF($H12643="FLUID CAT CRACKING","FCC",IF(OR($H12643="HYDROCRACKING",$H12643="RESID_HYDROCRACKING"),"Hydrocracker",IF($H12643="REFORMING","Reformer",""))))</f>
        <v/>
      </c>
    </row>
    <row r="12644" spans="6:7">
      <c r="F12644" s="6">
        <f>IF($M12644="PADD I","PADD 1",IF($M12644="PADD II","PADD 2",IF($M12644="PADD III","PADD 3",IF($M12644="PADD IV","PADD 4",IF($M12644="PADD V","PADD 5","")))))</f>
        <v/>
      </c>
      <c r="G12644" s="6">
        <f>IF(AND($H12644="ATMOS DISTILLATION",ISNUMBER(SEARCH("VPS",$I12644))=FALSE,LEFT($I12644,6)&lt;&gt;"VACUUM"),"CDU",IF($H12644="FLUID CAT CRACKING","FCC",IF(OR($H12644="HYDROCRACKING",$H12644="RESID_HYDROCRACKING"),"Hydrocracker",IF($H12644="REFORMING","Reformer",""))))</f>
        <v/>
      </c>
    </row>
    <row r="12645" spans="6:7">
      <c r="F12645" s="6">
        <f>IF($M12645="PADD I","PADD 1",IF($M12645="PADD II","PADD 2",IF($M12645="PADD III","PADD 3",IF($M12645="PADD IV","PADD 4",IF($M12645="PADD V","PADD 5","")))))</f>
        <v/>
      </c>
      <c r="G12645" s="6">
        <f>IF(AND($H12645="ATMOS DISTILLATION",ISNUMBER(SEARCH("VPS",$I12645))=FALSE,LEFT($I12645,6)&lt;&gt;"VACUUM"),"CDU",IF($H12645="FLUID CAT CRACKING","FCC",IF(OR($H12645="HYDROCRACKING",$H12645="RESID_HYDROCRACKING"),"Hydrocracker",IF($H12645="REFORMING","Reformer",""))))</f>
        <v/>
      </c>
    </row>
    <row r="12646" spans="6:7">
      <c r="F12646" s="6">
        <f>IF($M12646="PADD I","PADD 1",IF($M12646="PADD II","PADD 2",IF($M12646="PADD III","PADD 3",IF($M12646="PADD IV","PADD 4",IF($M12646="PADD V","PADD 5","")))))</f>
        <v/>
      </c>
      <c r="G12646" s="6">
        <f>IF(AND($H12646="ATMOS DISTILLATION",ISNUMBER(SEARCH("VPS",$I12646))=FALSE,LEFT($I12646,6)&lt;&gt;"VACUUM"),"CDU",IF($H12646="FLUID CAT CRACKING","FCC",IF(OR($H12646="HYDROCRACKING",$H12646="RESID_HYDROCRACKING"),"Hydrocracker",IF($H12646="REFORMING","Reformer",""))))</f>
        <v/>
      </c>
    </row>
    <row r="12647" spans="6:7">
      <c r="F12647" s="6">
        <f>IF($M12647="PADD I","PADD 1",IF($M12647="PADD II","PADD 2",IF($M12647="PADD III","PADD 3",IF($M12647="PADD IV","PADD 4",IF($M12647="PADD V","PADD 5","")))))</f>
        <v/>
      </c>
      <c r="G12647" s="6">
        <f>IF(AND($H12647="ATMOS DISTILLATION",ISNUMBER(SEARCH("VPS",$I12647))=FALSE,LEFT($I12647,6)&lt;&gt;"VACUUM"),"CDU",IF($H12647="FLUID CAT CRACKING","FCC",IF(OR($H12647="HYDROCRACKING",$H12647="RESID_HYDROCRACKING"),"Hydrocracker",IF($H12647="REFORMING","Reformer",""))))</f>
        <v/>
      </c>
    </row>
    <row r="12648" spans="6:7">
      <c r="F12648" s="6">
        <f>IF($M12648="PADD I","PADD 1",IF($M12648="PADD II","PADD 2",IF($M12648="PADD III","PADD 3",IF($M12648="PADD IV","PADD 4",IF($M12648="PADD V","PADD 5","")))))</f>
        <v/>
      </c>
      <c r="G12648" s="6">
        <f>IF(AND($H12648="ATMOS DISTILLATION",ISNUMBER(SEARCH("VPS",$I12648))=FALSE,LEFT($I12648,6)&lt;&gt;"VACUUM"),"CDU",IF($H12648="FLUID CAT CRACKING","FCC",IF(OR($H12648="HYDROCRACKING",$H12648="RESID_HYDROCRACKING"),"Hydrocracker",IF($H12648="REFORMING","Reformer",""))))</f>
        <v/>
      </c>
    </row>
    <row r="12649" spans="6:7">
      <c r="F12649" s="6">
        <f>IF($M12649="PADD I","PADD 1",IF($M12649="PADD II","PADD 2",IF($M12649="PADD III","PADD 3",IF($M12649="PADD IV","PADD 4",IF($M12649="PADD V","PADD 5","")))))</f>
        <v/>
      </c>
      <c r="G12649" s="6">
        <f>IF(AND($H12649="ATMOS DISTILLATION",ISNUMBER(SEARCH("VPS",$I12649))=FALSE,LEFT($I12649,6)&lt;&gt;"VACUUM"),"CDU",IF($H12649="FLUID CAT CRACKING","FCC",IF(OR($H12649="HYDROCRACKING",$H12649="RESID_HYDROCRACKING"),"Hydrocracker",IF($H12649="REFORMING","Reformer",""))))</f>
        <v/>
      </c>
    </row>
    <row r="12650" spans="6:7">
      <c r="F12650" s="6">
        <f>IF($M12650="PADD I","PADD 1",IF($M12650="PADD II","PADD 2",IF($M12650="PADD III","PADD 3",IF($M12650="PADD IV","PADD 4",IF($M12650="PADD V","PADD 5","")))))</f>
        <v/>
      </c>
      <c r="G12650" s="6">
        <f>IF(AND($H12650="ATMOS DISTILLATION",ISNUMBER(SEARCH("VPS",$I12650))=FALSE,LEFT($I12650,6)&lt;&gt;"VACUUM"),"CDU",IF($H12650="FLUID CAT CRACKING","FCC",IF(OR($H12650="HYDROCRACKING",$H12650="RESID_HYDROCRACKING"),"Hydrocracker",IF($H12650="REFORMING","Reformer",""))))</f>
        <v/>
      </c>
    </row>
    <row r="12651" spans="6:7">
      <c r="F12651" s="6">
        <f>IF($M12651="PADD I","PADD 1",IF($M12651="PADD II","PADD 2",IF($M12651="PADD III","PADD 3",IF($M12651="PADD IV","PADD 4",IF($M12651="PADD V","PADD 5","")))))</f>
        <v/>
      </c>
      <c r="G12651" s="6">
        <f>IF(AND($H12651="ATMOS DISTILLATION",ISNUMBER(SEARCH("VPS",$I12651))=FALSE,LEFT($I12651,6)&lt;&gt;"VACUUM"),"CDU",IF($H12651="FLUID CAT CRACKING","FCC",IF(OR($H12651="HYDROCRACKING",$H12651="RESID_HYDROCRACKING"),"Hydrocracker",IF($H12651="REFORMING","Reformer",""))))</f>
        <v/>
      </c>
    </row>
    <row r="12652" spans="6:7">
      <c r="F12652" s="6">
        <f>IF($M12652="PADD I","PADD 1",IF($M12652="PADD II","PADD 2",IF($M12652="PADD III","PADD 3",IF($M12652="PADD IV","PADD 4",IF($M12652="PADD V","PADD 5","")))))</f>
        <v/>
      </c>
      <c r="G12652" s="6">
        <f>IF(AND($H12652="ATMOS DISTILLATION",ISNUMBER(SEARCH("VPS",$I12652))=FALSE,LEFT($I12652,6)&lt;&gt;"VACUUM"),"CDU",IF($H12652="FLUID CAT CRACKING","FCC",IF(OR($H12652="HYDROCRACKING",$H12652="RESID_HYDROCRACKING"),"Hydrocracker",IF($H12652="REFORMING","Reformer",""))))</f>
        <v/>
      </c>
    </row>
    <row r="12653" spans="6:7">
      <c r="F12653" s="6">
        <f>IF($M12653="PADD I","PADD 1",IF($M12653="PADD II","PADD 2",IF($M12653="PADD III","PADD 3",IF($M12653="PADD IV","PADD 4",IF($M12653="PADD V","PADD 5","")))))</f>
        <v/>
      </c>
      <c r="G12653" s="6">
        <f>IF(AND($H12653="ATMOS DISTILLATION",ISNUMBER(SEARCH("VPS",$I12653))=FALSE,LEFT($I12653,6)&lt;&gt;"VACUUM"),"CDU",IF($H12653="FLUID CAT CRACKING","FCC",IF(OR($H12653="HYDROCRACKING",$H12653="RESID_HYDROCRACKING"),"Hydrocracker",IF($H12653="REFORMING","Reformer",""))))</f>
        <v/>
      </c>
    </row>
    <row r="12654" spans="6:7">
      <c r="F12654" s="6">
        <f>IF($M12654="PADD I","PADD 1",IF($M12654="PADD II","PADD 2",IF($M12654="PADD III","PADD 3",IF($M12654="PADD IV","PADD 4",IF($M12654="PADD V","PADD 5","")))))</f>
        <v/>
      </c>
      <c r="G12654" s="6">
        <f>IF(AND($H12654="ATMOS DISTILLATION",ISNUMBER(SEARCH("VPS",$I12654))=FALSE,LEFT($I12654,6)&lt;&gt;"VACUUM"),"CDU",IF($H12654="FLUID CAT CRACKING","FCC",IF(OR($H12654="HYDROCRACKING",$H12654="RESID_HYDROCRACKING"),"Hydrocracker",IF($H12654="REFORMING","Reformer",""))))</f>
        <v/>
      </c>
    </row>
    <row r="12655" spans="6:7">
      <c r="F12655" s="6">
        <f>IF($M12655="PADD I","PADD 1",IF($M12655="PADD II","PADD 2",IF($M12655="PADD III","PADD 3",IF($M12655="PADD IV","PADD 4",IF($M12655="PADD V","PADD 5","")))))</f>
        <v/>
      </c>
      <c r="G12655" s="6">
        <f>IF(AND($H12655="ATMOS DISTILLATION",ISNUMBER(SEARCH("VPS",$I12655))=FALSE,LEFT($I12655,6)&lt;&gt;"VACUUM"),"CDU",IF($H12655="FLUID CAT CRACKING","FCC",IF(OR($H12655="HYDROCRACKING",$H12655="RESID_HYDROCRACKING"),"Hydrocracker",IF($H12655="REFORMING","Reformer",""))))</f>
        <v/>
      </c>
    </row>
    <row r="12656" spans="6:7">
      <c r="F12656" s="6">
        <f>IF($M12656="PADD I","PADD 1",IF($M12656="PADD II","PADD 2",IF($M12656="PADD III","PADD 3",IF($M12656="PADD IV","PADD 4",IF($M12656="PADD V","PADD 5","")))))</f>
        <v/>
      </c>
      <c r="G12656" s="6">
        <f>IF(AND($H12656="ATMOS DISTILLATION",ISNUMBER(SEARCH("VPS",$I12656))=FALSE,LEFT($I12656,6)&lt;&gt;"VACUUM"),"CDU",IF($H12656="FLUID CAT CRACKING","FCC",IF(OR($H12656="HYDROCRACKING",$H12656="RESID_HYDROCRACKING"),"Hydrocracker",IF($H12656="REFORMING","Reformer",""))))</f>
        <v/>
      </c>
    </row>
    <row r="12657" spans="6:7">
      <c r="F12657" s="6">
        <f>IF($M12657="PADD I","PADD 1",IF($M12657="PADD II","PADD 2",IF($M12657="PADD III","PADD 3",IF($M12657="PADD IV","PADD 4",IF($M12657="PADD V","PADD 5","")))))</f>
        <v/>
      </c>
      <c r="G12657" s="6">
        <f>IF(AND($H12657="ATMOS DISTILLATION",ISNUMBER(SEARCH("VPS",$I12657))=FALSE,LEFT($I12657,6)&lt;&gt;"VACUUM"),"CDU",IF($H12657="FLUID CAT CRACKING","FCC",IF(OR($H12657="HYDROCRACKING",$H12657="RESID_HYDROCRACKING"),"Hydrocracker",IF($H12657="REFORMING","Reformer",""))))</f>
        <v/>
      </c>
    </row>
    <row r="12658" spans="6:7">
      <c r="F12658" s="6">
        <f>IF($M12658="PADD I","PADD 1",IF($M12658="PADD II","PADD 2",IF($M12658="PADD III","PADD 3",IF($M12658="PADD IV","PADD 4",IF($M12658="PADD V","PADD 5","")))))</f>
        <v/>
      </c>
      <c r="G12658" s="6">
        <f>IF(AND($H12658="ATMOS DISTILLATION",ISNUMBER(SEARCH("VPS",$I12658))=FALSE,LEFT($I12658,6)&lt;&gt;"VACUUM"),"CDU",IF($H12658="FLUID CAT CRACKING","FCC",IF(OR($H12658="HYDROCRACKING",$H12658="RESID_HYDROCRACKING"),"Hydrocracker",IF($H12658="REFORMING","Reformer",""))))</f>
        <v/>
      </c>
    </row>
    <row r="12659" spans="6:7">
      <c r="F12659" s="6">
        <f>IF($M12659="PADD I","PADD 1",IF($M12659="PADD II","PADD 2",IF($M12659="PADD III","PADD 3",IF($M12659="PADD IV","PADD 4",IF($M12659="PADD V","PADD 5","")))))</f>
        <v/>
      </c>
      <c r="G12659" s="6">
        <f>IF(AND($H12659="ATMOS DISTILLATION",ISNUMBER(SEARCH("VPS",$I12659))=FALSE,LEFT($I12659,6)&lt;&gt;"VACUUM"),"CDU",IF($H12659="FLUID CAT CRACKING","FCC",IF(OR($H12659="HYDROCRACKING",$H12659="RESID_HYDROCRACKING"),"Hydrocracker",IF($H12659="REFORMING","Reformer",""))))</f>
        <v/>
      </c>
    </row>
    <row r="12660" spans="6:7">
      <c r="F12660" s="6">
        <f>IF($M12660="PADD I","PADD 1",IF($M12660="PADD II","PADD 2",IF($M12660="PADD III","PADD 3",IF($M12660="PADD IV","PADD 4",IF($M12660="PADD V","PADD 5","")))))</f>
        <v/>
      </c>
      <c r="G12660" s="6">
        <f>IF(AND($H12660="ATMOS DISTILLATION",ISNUMBER(SEARCH("VPS",$I12660))=FALSE,LEFT($I12660,6)&lt;&gt;"VACUUM"),"CDU",IF($H12660="FLUID CAT CRACKING","FCC",IF(OR($H12660="HYDROCRACKING",$H12660="RESID_HYDROCRACKING"),"Hydrocracker",IF($H12660="REFORMING","Reformer",""))))</f>
        <v/>
      </c>
    </row>
    <row r="12661" spans="6:7">
      <c r="F12661" s="6">
        <f>IF($M12661="PADD I","PADD 1",IF($M12661="PADD II","PADD 2",IF($M12661="PADD III","PADD 3",IF($M12661="PADD IV","PADD 4",IF($M12661="PADD V","PADD 5","")))))</f>
        <v/>
      </c>
      <c r="G12661" s="6">
        <f>IF(AND($H12661="ATMOS DISTILLATION",ISNUMBER(SEARCH("VPS",$I12661))=FALSE,LEFT($I12661,6)&lt;&gt;"VACUUM"),"CDU",IF($H12661="FLUID CAT CRACKING","FCC",IF(OR($H12661="HYDROCRACKING",$H12661="RESID_HYDROCRACKING"),"Hydrocracker",IF($H12661="REFORMING","Reformer",""))))</f>
        <v/>
      </c>
    </row>
    <row r="12662" spans="6:7">
      <c r="F12662" s="6">
        <f>IF($M12662="PADD I","PADD 1",IF($M12662="PADD II","PADD 2",IF($M12662="PADD III","PADD 3",IF($M12662="PADD IV","PADD 4",IF($M12662="PADD V","PADD 5","")))))</f>
        <v/>
      </c>
      <c r="G12662" s="6">
        <f>IF(AND($H12662="ATMOS DISTILLATION",ISNUMBER(SEARCH("VPS",$I12662))=FALSE,LEFT($I12662,6)&lt;&gt;"VACUUM"),"CDU",IF($H12662="FLUID CAT CRACKING","FCC",IF(OR($H12662="HYDROCRACKING",$H12662="RESID_HYDROCRACKING"),"Hydrocracker",IF($H12662="REFORMING","Reformer",""))))</f>
        <v/>
      </c>
    </row>
    <row r="12663" spans="6:7">
      <c r="F12663" s="6">
        <f>IF($M12663="PADD I","PADD 1",IF($M12663="PADD II","PADD 2",IF($M12663="PADD III","PADD 3",IF($M12663="PADD IV","PADD 4",IF($M12663="PADD V","PADD 5","")))))</f>
        <v/>
      </c>
      <c r="G12663" s="6">
        <f>IF(AND($H12663="ATMOS DISTILLATION",ISNUMBER(SEARCH("VPS",$I12663))=FALSE,LEFT($I12663,6)&lt;&gt;"VACUUM"),"CDU",IF($H12663="FLUID CAT CRACKING","FCC",IF(OR($H12663="HYDROCRACKING",$H12663="RESID_HYDROCRACKING"),"Hydrocracker",IF($H12663="REFORMING","Reformer",""))))</f>
        <v/>
      </c>
    </row>
    <row r="12664" spans="6:7">
      <c r="F12664" s="6">
        <f>IF($M12664="PADD I","PADD 1",IF($M12664="PADD II","PADD 2",IF($M12664="PADD III","PADD 3",IF($M12664="PADD IV","PADD 4",IF($M12664="PADD V","PADD 5","")))))</f>
        <v/>
      </c>
      <c r="G12664" s="6">
        <f>IF(AND($H12664="ATMOS DISTILLATION",ISNUMBER(SEARCH("VPS",$I12664))=FALSE,LEFT($I12664,6)&lt;&gt;"VACUUM"),"CDU",IF($H12664="FLUID CAT CRACKING","FCC",IF(OR($H12664="HYDROCRACKING",$H12664="RESID_HYDROCRACKING"),"Hydrocracker",IF($H12664="REFORMING","Reformer",""))))</f>
        <v/>
      </c>
    </row>
    <row r="12665" spans="6:7">
      <c r="F12665" s="6">
        <f>IF($M12665="PADD I","PADD 1",IF($M12665="PADD II","PADD 2",IF($M12665="PADD III","PADD 3",IF($M12665="PADD IV","PADD 4",IF($M12665="PADD V","PADD 5","")))))</f>
        <v/>
      </c>
      <c r="G12665" s="6">
        <f>IF(AND($H12665="ATMOS DISTILLATION",ISNUMBER(SEARCH("VPS",$I12665))=FALSE,LEFT($I12665,6)&lt;&gt;"VACUUM"),"CDU",IF($H12665="FLUID CAT CRACKING","FCC",IF(OR($H12665="HYDROCRACKING",$H12665="RESID_HYDROCRACKING"),"Hydrocracker",IF($H12665="REFORMING","Reformer",""))))</f>
        <v/>
      </c>
    </row>
    <row r="12666" spans="6:7">
      <c r="F12666" s="6">
        <f>IF($M12666="PADD I","PADD 1",IF($M12666="PADD II","PADD 2",IF($M12666="PADD III","PADD 3",IF($M12666="PADD IV","PADD 4",IF($M12666="PADD V","PADD 5","")))))</f>
        <v/>
      </c>
      <c r="G12666" s="6">
        <f>IF(AND($H12666="ATMOS DISTILLATION",ISNUMBER(SEARCH("VPS",$I12666))=FALSE,LEFT($I12666,6)&lt;&gt;"VACUUM"),"CDU",IF($H12666="FLUID CAT CRACKING","FCC",IF(OR($H12666="HYDROCRACKING",$H12666="RESID_HYDROCRACKING"),"Hydrocracker",IF($H12666="REFORMING","Reformer",""))))</f>
        <v/>
      </c>
    </row>
    <row r="12667" spans="6:7">
      <c r="F12667" s="6">
        <f>IF($M12667="PADD I","PADD 1",IF($M12667="PADD II","PADD 2",IF($M12667="PADD III","PADD 3",IF($M12667="PADD IV","PADD 4",IF($M12667="PADD V","PADD 5","")))))</f>
        <v/>
      </c>
      <c r="G12667" s="6">
        <f>IF(AND($H12667="ATMOS DISTILLATION",ISNUMBER(SEARCH("VPS",$I12667))=FALSE,LEFT($I12667,6)&lt;&gt;"VACUUM"),"CDU",IF($H12667="FLUID CAT CRACKING","FCC",IF(OR($H12667="HYDROCRACKING",$H12667="RESID_HYDROCRACKING"),"Hydrocracker",IF($H12667="REFORMING","Reformer",""))))</f>
        <v/>
      </c>
    </row>
    <row r="12668" spans="6:7">
      <c r="F12668" s="6">
        <f>IF($M12668="PADD I","PADD 1",IF($M12668="PADD II","PADD 2",IF($M12668="PADD III","PADD 3",IF($M12668="PADD IV","PADD 4",IF($M12668="PADD V","PADD 5","")))))</f>
        <v/>
      </c>
      <c r="G12668" s="6">
        <f>IF(AND($H12668="ATMOS DISTILLATION",ISNUMBER(SEARCH("VPS",$I12668))=FALSE,LEFT($I12668,6)&lt;&gt;"VACUUM"),"CDU",IF($H12668="FLUID CAT CRACKING","FCC",IF(OR($H12668="HYDROCRACKING",$H12668="RESID_HYDROCRACKING"),"Hydrocracker",IF($H12668="REFORMING","Reformer",""))))</f>
        <v/>
      </c>
    </row>
    <row r="12669" spans="6:7">
      <c r="F12669" s="6">
        <f>IF($M12669="PADD I","PADD 1",IF($M12669="PADD II","PADD 2",IF($M12669="PADD III","PADD 3",IF($M12669="PADD IV","PADD 4",IF($M12669="PADD V","PADD 5","")))))</f>
        <v/>
      </c>
      <c r="G12669" s="6">
        <f>IF(AND($H12669="ATMOS DISTILLATION",ISNUMBER(SEARCH("VPS",$I12669))=FALSE,LEFT($I12669,6)&lt;&gt;"VACUUM"),"CDU",IF($H12669="FLUID CAT CRACKING","FCC",IF(OR($H12669="HYDROCRACKING",$H12669="RESID_HYDROCRACKING"),"Hydrocracker",IF($H12669="REFORMING","Reformer",""))))</f>
        <v/>
      </c>
    </row>
    <row r="12670" spans="6:7">
      <c r="F12670" s="6">
        <f>IF($M12670="PADD I","PADD 1",IF($M12670="PADD II","PADD 2",IF($M12670="PADD III","PADD 3",IF($M12670="PADD IV","PADD 4",IF($M12670="PADD V","PADD 5","")))))</f>
        <v/>
      </c>
      <c r="G12670" s="6">
        <f>IF(AND($H12670="ATMOS DISTILLATION",ISNUMBER(SEARCH("VPS",$I12670))=FALSE,LEFT($I12670,6)&lt;&gt;"VACUUM"),"CDU",IF($H12670="FLUID CAT CRACKING","FCC",IF(OR($H12670="HYDROCRACKING",$H12670="RESID_HYDROCRACKING"),"Hydrocracker",IF($H12670="REFORMING","Reformer",""))))</f>
        <v/>
      </c>
    </row>
    <row r="12671" spans="6:7">
      <c r="F12671" s="6">
        <f>IF($M12671="PADD I","PADD 1",IF($M12671="PADD II","PADD 2",IF($M12671="PADD III","PADD 3",IF($M12671="PADD IV","PADD 4",IF($M12671="PADD V","PADD 5","")))))</f>
        <v/>
      </c>
      <c r="G12671" s="6">
        <f>IF(AND($H12671="ATMOS DISTILLATION",ISNUMBER(SEARCH("VPS",$I12671))=FALSE,LEFT($I12671,6)&lt;&gt;"VACUUM"),"CDU",IF($H12671="FLUID CAT CRACKING","FCC",IF(OR($H12671="HYDROCRACKING",$H12671="RESID_HYDROCRACKING"),"Hydrocracker",IF($H12671="REFORMING","Reformer",""))))</f>
        <v/>
      </c>
    </row>
    <row r="12672" spans="6:7">
      <c r="F12672" s="6">
        <f>IF($M12672="PADD I","PADD 1",IF($M12672="PADD II","PADD 2",IF($M12672="PADD III","PADD 3",IF($M12672="PADD IV","PADD 4",IF($M12672="PADD V","PADD 5","")))))</f>
        <v/>
      </c>
      <c r="G12672" s="6">
        <f>IF(AND($H12672="ATMOS DISTILLATION",ISNUMBER(SEARCH("VPS",$I12672))=FALSE,LEFT($I12672,6)&lt;&gt;"VACUUM"),"CDU",IF($H12672="FLUID CAT CRACKING","FCC",IF(OR($H12672="HYDROCRACKING",$H12672="RESID_HYDROCRACKING"),"Hydrocracker",IF($H12672="REFORMING","Reformer",""))))</f>
        <v/>
      </c>
    </row>
    <row r="12673" spans="6:7">
      <c r="F12673" s="6">
        <f>IF($M12673="PADD I","PADD 1",IF($M12673="PADD II","PADD 2",IF($M12673="PADD III","PADD 3",IF($M12673="PADD IV","PADD 4",IF($M12673="PADD V","PADD 5","")))))</f>
        <v/>
      </c>
      <c r="G12673" s="6">
        <f>IF(AND($H12673="ATMOS DISTILLATION",ISNUMBER(SEARCH("VPS",$I12673))=FALSE,LEFT($I12673,6)&lt;&gt;"VACUUM"),"CDU",IF($H12673="FLUID CAT CRACKING","FCC",IF(OR($H12673="HYDROCRACKING",$H12673="RESID_HYDROCRACKING"),"Hydrocracker",IF($H12673="REFORMING","Reformer",""))))</f>
        <v/>
      </c>
    </row>
    <row r="12674" spans="6:7">
      <c r="F12674" s="6">
        <f>IF($M12674="PADD I","PADD 1",IF($M12674="PADD II","PADD 2",IF($M12674="PADD III","PADD 3",IF($M12674="PADD IV","PADD 4",IF($M12674="PADD V","PADD 5","")))))</f>
        <v/>
      </c>
      <c r="G12674" s="6">
        <f>IF(AND($H12674="ATMOS DISTILLATION",ISNUMBER(SEARCH("VPS",$I12674))=FALSE,LEFT($I12674,6)&lt;&gt;"VACUUM"),"CDU",IF($H12674="FLUID CAT CRACKING","FCC",IF(OR($H12674="HYDROCRACKING",$H12674="RESID_HYDROCRACKING"),"Hydrocracker",IF($H12674="REFORMING","Reformer",""))))</f>
        <v/>
      </c>
    </row>
    <row r="12675" spans="6:7">
      <c r="F12675" s="6">
        <f>IF($M12675="PADD I","PADD 1",IF($M12675="PADD II","PADD 2",IF($M12675="PADD III","PADD 3",IF($M12675="PADD IV","PADD 4",IF($M12675="PADD V","PADD 5","")))))</f>
        <v/>
      </c>
      <c r="G12675" s="6">
        <f>IF(AND($H12675="ATMOS DISTILLATION",ISNUMBER(SEARCH("VPS",$I12675))=FALSE,LEFT($I12675,6)&lt;&gt;"VACUUM"),"CDU",IF($H12675="FLUID CAT CRACKING","FCC",IF(OR($H12675="HYDROCRACKING",$H12675="RESID_HYDROCRACKING"),"Hydrocracker",IF($H12675="REFORMING","Reformer",""))))</f>
        <v/>
      </c>
    </row>
    <row r="12676" spans="6:7">
      <c r="F12676" s="6">
        <f>IF($M12676="PADD I","PADD 1",IF($M12676="PADD II","PADD 2",IF($M12676="PADD III","PADD 3",IF($M12676="PADD IV","PADD 4",IF($M12676="PADD V","PADD 5","")))))</f>
        <v/>
      </c>
      <c r="G12676" s="6">
        <f>IF(AND($H12676="ATMOS DISTILLATION",ISNUMBER(SEARCH("VPS",$I12676))=FALSE,LEFT($I12676,6)&lt;&gt;"VACUUM"),"CDU",IF($H12676="FLUID CAT CRACKING","FCC",IF(OR($H12676="HYDROCRACKING",$H12676="RESID_HYDROCRACKING"),"Hydrocracker",IF($H12676="REFORMING","Reformer",""))))</f>
        <v/>
      </c>
    </row>
    <row r="12677" spans="6:7">
      <c r="F12677" s="6">
        <f>IF($M12677="PADD I","PADD 1",IF($M12677="PADD II","PADD 2",IF($M12677="PADD III","PADD 3",IF($M12677="PADD IV","PADD 4",IF($M12677="PADD V","PADD 5","")))))</f>
        <v/>
      </c>
      <c r="G12677" s="6">
        <f>IF(AND($H12677="ATMOS DISTILLATION",ISNUMBER(SEARCH("VPS",$I12677))=FALSE,LEFT($I12677,6)&lt;&gt;"VACUUM"),"CDU",IF($H12677="FLUID CAT CRACKING","FCC",IF(OR($H12677="HYDROCRACKING",$H12677="RESID_HYDROCRACKING"),"Hydrocracker",IF($H12677="REFORMING","Reformer",""))))</f>
        <v/>
      </c>
    </row>
    <row r="12678" spans="6:7">
      <c r="F12678" s="6">
        <f>IF($M12678="PADD I","PADD 1",IF($M12678="PADD II","PADD 2",IF($M12678="PADD III","PADD 3",IF($M12678="PADD IV","PADD 4",IF($M12678="PADD V","PADD 5","")))))</f>
        <v/>
      </c>
      <c r="G12678" s="6">
        <f>IF(AND($H12678="ATMOS DISTILLATION",ISNUMBER(SEARCH("VPS",$I12678))=FALSE,LEFT($I12678,6)&lt;&gt;"VACUUM"),"CDU",IF($H12678="FLUID CAT CRACKING","FCC",IF(OR($H12678="HYDROCRACKING",$H12678="RESID_HYDROCRACKING"),"Hydrocracker",IF($H12678="REFORMING","Reformer",""))))</f>
        <v/>
      </c>
    </row>
    <row r="12679" spans="6:7">
      <c r="F12679" s="6">
        <f>IF($M12679="PADD I","PADD 1",IF($M12679="PADD II","PADD 2",IF($M12679="PADD III","PADD 3",IF($M12679="PADD IV","PADD 4",IF($M12679="PADD V","PADD 5","")))))</f>
        <v/>
      </c>
      <c r="G12679" s="6">
        <f>IF(AND($H12679="ATMOS DISTILLATION",ISNUMBER(SEARCH("VPS",$I12679))=FALSE,LEFT($I12679,6)&lt;&gt;"VACUUM"),"CDU",IF($H12679="FLUID CAT CRACKING","FCC",IF(OR($H12679="HYDROCRACKING",$H12679="RESID_HYDROCRACKING"),"Hydrocracker",IF($H12679="REFORMING","Reformer",""))))</f>
        <v/>
      </c>
    </row>
    <row r="12680" spans="6:7">
      <c r="F12680" s="6">
        <f>IF($M12680="PADD I","PADD 1",IF($M12680="PADD II","PADD 2",IF($M12680="PADD III","PADD 3",IF($M12680="PADD IV","PADD 4",IF($M12680="PADD V","PADD 5","")))))</f>
        <v/>
      </c>
      <c r="G12680" s="6">
        <f>IF(AND($H12680="ATMOS DISTILLATION",ISNUMBER(SEARCH("VPS",$I12680))=FALSE,LEFT($I12680,6)&lt;&gt;"VACUUM"),"CDU",IF($H12680="FLUID CAT CRACKING","FCC",IF(OR($H12680="HYDROCRACKING",$H12680="RESID_HYDROCRACKING"),"Hydrocracker",IF($H12680="REFORMING","Reformer",""))))</f>
        <v/>
      </c>
    </row>
    <row r="12681" spans="6:7">
      <c r="F12681" s="6">
        <f>IF($M12681="PADD I","PADD 1",IF($M12681="PADD II","PADD 2",IF($M12681="PADD III","PADD 3",IF($M12681="PADD IV","PADD 4",IF($M12681="PADD V","PADD 5","")))))</f>
        <v/>
      </c>
      <c r="G12681" s="6">
        <f>IF(AND($H12681="ATMOS DISTILLATION",ISNUMBER(SEARCH("VPS",$I12681))=FALSE,LEFT($I12681,6)&lt;&gt;"VACUUM"),"CDU",IF($H12681="FLUID CAT CRACKING","FCC",IF(OR($H12681="HYDROCRACKING",$H12681="RESID_HYDROCRACKING"),"Hydrocracker",IF($H12681="REFORMING","Reformer",""))))</f>
        <v/>
      </c>
    </row>
    <row r="12682" spans="6:7">
      <c r="F12682" s="6">
        <f>IF($M12682="PADD I","PADD 1",IF($M12682="PADD II","PADD 2",IF($M12682="PADD III","PADD 3",IF($M12682="PADD IV","PADD 4",IF($M12682="PADD V","PADD 5","")))))</f>
        <v/>
      </c>
      <c r="G12682" s="6">
        <f>IF(AND($H12682="ATMOS DISTILLATION",ISNUMBER(SEARCH("VPS",$I12682))=FALSE,LEFT($I12682,6)&lt;&gt;"VACUUM"),"CDU",IF($H12682="FLUID CAT CRACKING","FCC",IF(OR($H12682="HYDROCRACKING",$H12682="RESID_HYDROCRACKING"),"Hydrocracker",IF($H12682="REFORMING","Reformer",""))))</f>
        <v/>
      </c>
    </row>
    <row r="12683" spans="6:7">
      <c r="F12683" s="6">
        <f>IF($M12683="PADD I","PADD 1",IF($M12683="PADD II","PADD 2",IF($M12683="PADD III","PADD 3",IF($M12683="PADD IV","PADD 4",IF($M12683="PADD V","PADD 5","")))))</f>
        <v/>
      </c>
      <c r="G12683" s="6">
        <f>IF(AND($H12683="ATMOS DISTILLATION",ISNUMBER(SEARCH("VPS",$I12683))=FALSE,LEFT($I12683,6)&lt;&gt;"VACUUM"),"CDU",IF($H12683="FLUID CAT CRACKING","FCC",IF(OR($H12683="HYDROCRACKING",$H12683="RESID_HYDROCRACKING"),"Hydrocracker",IF($H12683="REFORMING","Reformer",""))))</f>
        <v/>
      </c>
    </row>
    <row r="12684" spans="6:7">
      <c r="F12684" s="6">
        <f>IF($M12684="PADD I","PADD 1",IF($M12684="PADD II","PADD 2",IF($M12684="PADD III","PADD 3",IF($M12684="PADD IV","PADD 4",IF($M12684="PADD V","PADD 5","")))))</f>
        <v/>
      </c>
      <c r="G12684" s="6">
        <f>IF(AND($H12684="ATMOS DISTILLATION",ISNUMBER(SEARCH("VPS",$I12684))=FALSE,LEFT($I12684,6)&lt;&gt;"VACUUM"),"CDU",IF($H12684="FLUID CAT CRACKING","FCC",IF(OR($H12684="HYDROCRACKING",$H12684="RESID_HYDROCRACKING"),"Hydrocracker",IF($H12684="REFORMING","Reformer",""))))</f>
        <v/>
      </c>
    </row>
    <row r="12685" spans="6:7">
      <c r="F12685" s="6">
        <f>IF($M12685="PADD I","PADD 1",IF($M12685="PADD II","PADD 2",IF($M12685="PADD III","PADD 3",IF($M12685="PADD IV","PADD 4",IF($M12685="PADD V","PADD 5","")))))</f>
        <v/>
      </c>
      <c r="G12685" s="6">
        <f>IF(AND($H12685="ATMOS DISTILLATION",ISNUMBER(SEARCH("VPS",$I12685))=FALSE,LEFT($I12685,6)&lt;&gt;"VACUUM"),"CDU",IF($H12685="FLUID CAT CRACKING","FCC",IF(OR($H12685="HYDROCRACKING",$H12685="RESID_HYDROCRACKING"),"Hydrocracker",IF($H12685="REFORMING","Reformer",""))))</f>
        <v/>
      </c>
    </row>
    <row r="12686" spans="6:7">
      <c r="F12686" s="6">
        <f>IF($M12686="PADD I","PADD 1",IF($M12686="PADD II","PADD 2",IF($M12686="PADD III","PADD 3",IF($M12686="PADD IV","PADD 4",IF($M12686="PADD V","PADD 5","")))))</f>
        <v/>
      </c>
      <c r="G12686" s="6">
        <f>IF(AND($H12686="ATMOS DISTILLATION",ISNUMBER(SEARCH("VPS",$I12686))=FALSE,LEFT($I12686,6)&lt;&gt;"VACUUM"),"CDU",IF($H12686="FLUID CAT CRACKING","FCC",IF(OR($H12686="HYDROCRACKING",$H12686="RESID_HYDROCRACKING"),"Hydrocracker",IF($H12686="REFORMING","Reformer",""))))</f>
        <v/>
      </c>
    </row>
    <row r="12687" spans="6:7">
      <c r="F12687" s="6">
        <f>IF($M12687="PADD I","PADD 1",IF($M12687="PADD II","PADD 2",IF($M12687="PADD III","PADD 3",IF($M12687="PADD IV","PADD 4",IF($M12687="PADD V","PADD 5","")))))</f>
        <v/>
      </c>
      <c r="G12687" s="6">
        <f>IF(AND($H12687="ATMOS DISTILLATION",ISNUMBER(SEARCH("VPS",$I12687))=FALSE,LEFT($I12687,6)&lt;&gt;"VACUUM"),"CDU",IF($H12687="FLUID CAT CRACKING","FCC",IF(OR($H12687="HYDROCRACKING",$H12687="RESID_HYDROCRACKING"),"Hydrocracker",IF($H12687="REFORMING","Reformer",""))))</f>
        <v/>
      </c>
    </row>
    <row r="12688" spans="6:7">
      <c r="F12688" s="6">
        <f>IF($M12688="PADD I","PADD 1",IF($M12688="PADD II","PADD 2",IF($M12688="PADD III","PADD 3",IF($M12688="PADD IV","PADD 4",IF($M12688="PADD V","PADD 5","")))))</f>
        <v/>
      </c>
      <c r="G12688" s="6">
        <f>IF(AND($H12688="ATMOS DISTILLATION",ISNUMBER(SEARCH("VPS",$I12688))=FALSE,LEFT($I12688,6)&lt;&gt;"VACUUM"),"CDU",IF($H12688="FLUID CAT CRACKING","FCC",IF(OR($H12688="HYDROCRACKING",$H12688="RESID_HYDROCRACKING"),"Hydrocracker",IF($H12688="REFORMING","Reformer",""))))</f>
        <v/>
      </c>
    </row>
    <row r="12689" spans="6:7">
      <c r="F12689" s="6">
        <f>IF($M12689="PADD I","PADD 1",IF($M12689="PADD II","PADD 2",IF($M12689="PADD III","PADD 3",IF($M12689="PADD IV","PADD 4",IF($M12689="PADD V","PADD 5","")))))</f>
        <v/>
      </c>
      <c r="G12689" s="6">
        <f>IF(AND($H12689="ATMOS DISTILLATION",ISNUMBER(SEARCH("VPS",$I12689))=FALSE,LEFT($I12689,6)&lt;&gt;"VACUUM"),"CDU",IF($H12689="FLUID CAT CRACKING","FCC",IF(OR($H12689="HYDROCRACKING",$H12689="RESID_HYDROCRACKING"),"Hydrocracker",IF($H12689="REFORMING","Reformer",""))))</f>
        <v/>
      </c>
    </row>
    <row r="12690" spans="6:7">
      <c r="F12690" s="6">
        <f>IF($M12690="PADD I","PADD 1",IF($M12690="PADD II","PADD 2",IF($M12690="PADD III","PADD 3",IF($M12690="PADD IV","PADD 4",IF($M12690="PADD V","PADD 5","")))))</f>
        <v/>
      </c>
      <c r="G12690" s="6">
        <f>IF(AND($H12690="ATMOS DISTILLATION",ISNUMBER(SEARCH("VPS",$I12690))=FALSE,LEFT($I12690,6)&lt;&gt;"VACUUM"),"CDU",IF($H12690="FLUID CAT CRACKING","FCC",IF(OR($H12690="HYDROCRACKING",$H12690="RESID_HYDROCRACKING"),"Hydrocracker",IF($H12690="REFORMING","Reformer",""))))</f>
        <v/>
      </c>
    </row>
    <row r="12691" spans="6:7">
      <c r="F12691" s="6">
        <f>IF($M12691="PADD I","PADD 1",IF($M12691="PADD II","PADD 2",IF($M12691="PADD III","PADD 3",IF($M12691="PADD IV","PADD 4",IF($M12691="PADD V","PADD 5","")))))</f>
        <v/>
      </c>
      <c r="G12691" s="6">
        <f>IF(AND($H12691="ATMOS DISTILLATION",ISNUMBER(SEARCH("VPS",$I12691))=FALSE,LEFT($I12691,6)&lt;&gt;"VACUUM"),"CDU",IF($H12691="FLUID CAT CRACKING","FCC",IF(OR($H12691="HYDROCRACKING",$H12691="RESID_HYDROCRACKING"),"Hydrocracker",IF($H12691="REFORMING","Reformer",""))))</f>
        <v/>
      </c>
    </row>
    <row r="12692" spans="6:7">
      <c r="F12692" s="6">
        <f>IF($M12692="PADD I","PADD 1",IF($M12692="PADD II","PADD 2",IF($M12692="PADD III","PADD 3",IF($M12692="PADD IV","PADD 4",IF($M12692="PADD V","PADD 5","")))))</f>
        <v/>
      </c>
      <c r="G12692" s="6">
        <f>IF(AND($H12692="ATMOS DISTILLATION",ISNUMBER(SEARCH("VPS",$I12692))=FALSE,LEFT($I12692,6)&lt;&gt;"VACUUM"),"CDU",IF($H12692="FLUID CAT CRACKING","FCC",IF(OR($H12692="HYDROCRACKING",$H12692="RESID_HYDROCRACKING"),"Hydrocracker",IF($H12692="REFORMING","Reformer",""))))</f>
        <v/>
      </c>
    </row>
    <row r="12693" spans="6:7">
      <c r="F12693" s="6">
        <f>IF($M12693="PADD I","PADD 1",IF($M12693="PADD II","PADD 2",IF($M12693="PADD III","PADD 3",IF($M12693="PADD IV","PADD 4",IF($M12693="PADD V","PADD 5","")))))</f>
        <v/>
      </c>
      <c r="G12693" s="6">
        <f>IF(AND($H12693="ATMOS DISTILLATION",ISNUMBER(SEARCH("VPS",$I12693))=FALSE,LEFT($I12693,6)&lt;&gt;"VACUUM"),"CDU",IF($H12693="FLUID CAT CRACKING","FCC",IF(OR($H12693="HYDROCRACKING",$H12693="RESID_HYDROCRACKING"),"Hydrocracker",IF($H12693="REFORMING","Reformer",""))))</f>
        <v/>
      </c>
    </row>
    <row r="12694" spans="6:7">
      <c r="F12694" s="6">
        <f>IF($M12694="PADD I","PADD 1",IF($M12694="PADD II","PADD 2",IF($M12694="PADD III","PADD 3",IF($M12694="PADD IV","PADD 4",IF($M12694="PADD V","PADD 5","")))))</f>
        <v/>
      </c>
      <c r="G12694" s="6">
        <f>IF(AND($H12694="ATMOS DISTILLATION",ISNUMBER(SEARCH("VPS",$I12694))=FALSE,LEFT($I12694,6)&lt;&gt;"VACUUM"),"CDU",IF($H12694="FLUID CAT CRACKING","FCC",IF(OR($H12694="HYDROCRACKING",$H12694="RESID_HYDROCRACKING"),"Hydrocracker",IF($H12694="REFORMING","Reformer",""))))</f>
        <v/>
      </c>
    </row>
    <row r="12695" spans="6:7">
      <c r="F12695" s="6">
        <f>IF($M12695="PADD I","PADD 1",IF($M12695="PADD II","PADD 2",IF($M12695="PADD III","PADD 3",IF($M12695="PADD IV","PADD 4",IF($M12695="PADD V","PADD 5","")))))</f>
        <v/>
      </c>
      <c r="G12695" s="6">
        <f>IF(AND($H12695="ATMOS DISTILLATION",ISNUMBER(SEARCH("VPS",$I12695))=FALSE,LEFT($I12695,6)&lt;&gt;"VACUUM"),"CDU",IF($H12695="FLUID CAT CRACKING","FCC",IF(OR($H12695="HYDROCRACKING",$H12695="RESID_HYDROCRACKING"),"Hydrocracker",IF($H12695="REFORMING","Reformer",""))))</f>
        <v/>
      </c>
    </row>
    <row r="12696" spans="6:7">
      <c r="F12696" s="6">
        <f>IF($M12696="PADD I","PADD 1",IF($M12696="PADD II","PADD 2",IF($M12696="PADD III","PADD 3",IF($M12696="PADD IV","PADD 4",IF($M12696="PADD V","PADD 5","")))))</f>
        <v/>
      </c>
      <c r="G12696" s="6">
        <f>IF(AND($H12696="ATMOS DISTILLATION",ISNUMBER(SEARCH("VPS",$I12696))=FALSE,LEFT($I12696,6)&lt;&gt;"VACUUM"),"CDU",IF($H12696="FLUID CAT CRACKING","FCC",IF(OR($H12696="HYDROCRACKING",$H12696="RESID_HYDROCRACKING"),"Hydrocracker",IF($H12696="REFORMING","Reformer",""))))</f>
        <v/>
      </c>
    </row>
    <row r="12697" spans="6:7">
      <c r="F12697" s="6">
        <f>IF($M12697="PADD I","PADD 1",IF($M12697="PADD II","PADD 2",IF($M12697="PADD III","PADD 3",IF($M12697="PADD IV","PADD 4",IF($M12697="PADD V","PADD 5","")))))</f>
        <v/>
      </c>
      <c r="G12697" s="6">
        <f>IF(AND($H12697="ATMOS DISTILLATION",ISNUMBER(SEARCH("VPS",$I12697))=FALSE,LEFT($I12697,6)&lt;&gt;"VACUUM"),"CDU",IF($H12697="FLUID CAT CRACKING","FCC",IF(OR($H12697="HYDROCRACKING",$H12697="RESID_HYDROCRACKING"),"Hydrocracker",IF($H12697="REFORMING","Reformer",""))))</f>
        <v/>
      </c>
    </row>
    <row r="12698" spans="6:7">
      <c r="F12698" s="6">
        <f>IF($M12698="PADD I","PADD 1",IF($M12698="PADD II","PADD 2",IF($M12698="PADD III","PADD 3",IF($M12698="PADD IV","PADD 4",IF($M12698="PADD V","PADD 5","")))))</f>
        <v/>
      </c>
      <c r="G12698" s="6">
        <f>IF(AND($H12698="ATMOS DISTILLATION",ISNUMBER(SEARCH("VPS",$I12698))=FALSE,LEFT($I12698,6)&lt;&gt;"VACUUM"),"CDU",IF($H12698="FLUID CAT CRACKING","FCC",IF(OR($H12698="HYDROCRACKING",$H12698="RESID_HYDROCRACKING"),"Hydrocracker",IF($H12698="REFORMING","Reformer",""))))</f>
        <v/>
      </c>
    </row>
    <row r="12699" spans="6:7">
      <c r="F12699" s="6">
        <f>IF($M12699="PADD I","PADD 1",IF($M12699="PADD II","PADD 2",IF($M12699="PADD III","PADD 3",IF($M12699="PADD IV","PADD 4",IF($M12699="PADD V","PADD 5","")))))</f>
        <v/>
      </c>
      <c r="G12699" s="6">
        <f>IF(AND($H12699="ATMOS DISTILLATION",ISNUMBER(SEARCH("VPS",$I12699))=FALSE,LEFT($I12699,6)&lt;&gt;"VACUUM"),"CDU",IF($H12699="FLUID CAT CRACKING","FCC",IF(OR($H12699="HYDROCRACKING",$H12699="RESID_HYDROCRACKING"),"Hydrocracker",IF($H12699="REFORMING","Reformer",""))))</f>
        <v/>
      </c>
    </row>
    <row r="12700" spans="6:7">
      <c r="F12700" s="6">
        <f>IF($M12700="PADD I","PADD 1",IF($M12700="PADD II","PADD 2",IF($M12700="PADD III","PADD 3",IF($M12700="PADD IV","PADD 4",IF($M12700="PADD V","PADD 5","")))))</f>
        <v/>
      </c>
      <c r="G12700" s="6">
        <f>IF(AND($H12700="ATMOS DISTILLATION",ISNUMBER(SEARCH("VPS",$I12700))=FALSE,LEFT($I12700,6)&lt;&gt;"VACUUM"),"CDU",IF($H12700="FLUID CAT CRACKING","FCC",IF(OR($H12700="HYDROCRACKING",$H12700="RESID_HYDROCRACKING"),"Hydrocracker",IF($H12700="REFORMING","Reformer",""))))</f>
        <v/>
      </c>
    </row>
    <row r="12701" spans="6:7">
      <c r="F12701" s="6">
        <f>IF($M12701="PADD I","PADD 1",IF($M12701="PADD II","PADD 2",IF($M12701="PADD III","PADD 3",IF($M12701="PADD IV","PADD 4",IF($M12701="PADD V","PADD 5","")))))</f>
        <v/>
      </c>
      <c r="G12701" s="6">
        <f>IF(AND($H12701="ATMOS DISTILLATION",ISNUMBER(SEARCH("VPS",$I12701))=FALSE,LEFT($I12701,6)&lt;&gt;"VACUUM"),"CDU",IF($H12701="FLUID CAT CRACKING","FCC",IF(OR($H12701="HYDROCRACKING",$H12701="RESID_HYDROCRACKING"),"Hydrocracker",IF($H12701="REFORMING","Reformer",""))))</f>
        <v/>
      </c>
    </row>
    <row r="12702" spans="6:7">
      <c r="F12702" s="6">
        <f>IF($M12702="PADD I","PADD 1",IF($M12702="PADD II","PADD 2",IF($M12702="PADD III","PADD 3",IF($M12702="PADD IV","PADD 4",IF($M12702="PADD V","PADD 5","")))))</f>
        <v/>
      </c>
      <c r="G12702" s="6">
        <f>IF(AND($H12702="ATMOS DISTILLATION",ISNUMBER(SEARCH("VPS",$I12702))=FALSE,LEFT($I12702,6)&lt;&gt;"VACUUM"),"CDU",IF($H12702="FLUID CAT CRACKING","FCC",IF(OR($H12702="HYDROCRACKING",$H12702="RESID_HYDROCRACKING"),"Hydrocracker",IF($H12702="REFORMING","Reformer",""))))</f>
        <v/>
      </c>
    </row>
    <row r="12703" spans="6:7">
      <c r="F12703" s="6">
        <f>IF($M12703="PADD I","PADD 1",IF($M12703="PADD II","PADD 2",IF($M12703="PADD III","PADD 3",IF($M12703="PADD IV","PADD 4",IF($M12703="PADD V","PADD 5","")))))</f>
        <v/>
      </c>
      <c r="G12703" s="6">
        <f>IF(AND($H12703="ATMOS DISTILLATION",ISNUMBER(SEARCH("VPS",$I12703))=FALSE,LEFT($I12703,6)&lt;&gt;"VACUUM"),"CDU",IF($H12703="FLUID CAT CRACKING","FCC",IF(OR($H12703="HYDROCRACKING",$H12703="RESID_HYDROCRACKING"),"Hydrocracker",IF($H12703="REFORMING","Reformer",""))))</f>
        <v/>
      </c>
    </row>
    <row r="12704" spans="6:7">
      <c r="F12704" s="6">
        <f>IF($M12704="PADD I","PADD 1",IF($M12704="PADD II","PADD 2",IF($M12704="PADD III","PADD 3",IF($M12704="PADD IV","PADD 4",IF($M12704="PADD V","PADD 5","")))))</f>
        <v/>
      </c>
      <c r="G12704" s="6">
        <f>IF(AND($H12704="ATMOS DISTILLATION",ISNUMBER(SEARCH("VPS",$I12704))=FALSE,LEFT($I12704,6)&lt;&gt;"VACUUM"),"CDU",IF($H12704="FLUID CAT CRACKING","FCC",IF(OR($H12704="HYDROCRACKING",$H12704="RESID_HYDROCRACKING"),"Hydrocracker",IF($H12704="REFORMING","Reformer",""))))</f>
        <v/>
      </c>
    </row>
    <row r="12705" spans="6:7">
      <c r="F12705" s="6">
        <f>IF($M12705="PADD I","PADD 1",IF($M12705="PADD II","PADD 2",IF($M12705="PADD III","PADD 3",IF($M12705="PADD IV","PADD 4",IF($M12705="PADD V","PADD 5","")))))</f>
        <v/>
      </c>
      <c r="G12705" s="6">
        <f>IF(AND($H12705="ATMOS DISTILLATION",ISNUMBER(SEARCH("VPS",$I12705))=FALSE,LEFT($I12705,6)&lt;&gt;"VACUUM"),"CDU",IF($H12705="FLUID CAT CRACKING","FCC",IF(OR($H12705="HYDROCRACKING",$H12705="RESID_HYDROCRACKING"),"Hydrocracker",IF($H12705="REFORMING","Reformer",""))))</f>
        <v/>
      </c>
    </row>
    <row r="12706" spans="6:7">
      <c r="F12706" s="6">
        <f>IF($M12706="PADD I","PADD 1",IF($M12706="PADD II","PADD 2",IF($M12706="PADD III","PADD 3",IF($M12706="PADD IV","PADD 4",IF($M12706="PADD V","PADD 5","")))))</f>
        <v/>
      </c>
      <c r="G12706" s="6">
        <f>IF(AND($H12706="ATMOS DISTILLATION",ISNUMBER(SEARCH("VPS",$I12706))=FALSE,LEFT($I12706,6)&lt;&gt;"VACUUM"),"CDU",IF($H12706="FLUID CAT CRACKING","FCC",IF(OR($H12706="HYDROCRACKING",$H12706="RESID_HYDROCRACKING"),"Hydrocracker",IF($H12706="REFORMING","Reformer",""))))</f>
        <v/>
      </c>
    </row>
    <row r="12707" spans="6:7">
      <c r="F12707" s="6">
        <f>IF($M12707="PADD I","PADD 1",IF($M12707="PADD II","PADD 2",IF($M12707="PADD III","PADD 3",IF($M12707="PADD IV","PADD 4",IF($M12707="PADD V","PADD 5","")))))</f>
        <v/>
      </c>
      <c r="G12707" s="6">
        <f>IF(AND($H12707="ATMOS DISTILLATION",ISNUMBER(SEARCH("VPS",$I12707))=FALSE,LEFT($I12707,6)&lt;&gt;"VACUUM"),"CDU",IF($H12707="FLUID CAT CRACKING","FCC",IF(OR($H12707="HYDROCRACKING",$H12707="RESID_HYDROCRACKING"),"Hydrocracker",IF($H12707="REFORMING","Reformer",""))))</f>
        <v/>
      </c>
    </row>
    <row r="12708" spans="6:7">
      <c r="F12708" s="6">
        <f>IF($M12708="PADD I","PADD 1",IF($M12708="PADD II","PADD 2",IF($M12708="PADD III","PADD 3",IF($M12708="PADD IV","PADD 4",IF($M12708="PADD V","PADD 5","")))))</f>
        <v/>
      </c>
      <c r="G12708" s="6">
        <f>IF(AND($H12708="ATMOS DISTILLATION",ISNUMBER(SEARCH("VPS",$I12708))=FALSE,LEFT($I12708,6)&lt;&gt;"VACUUM"),"CDU",IF($H12708="FLUID CAT CRACKING","FCC",IF(OR($H12708="HYDROCRACKING",$H12708="RESID_HYDROCRACKING"),"Hydrocracker",IF($H12708="REFORMING","Reformer",""))))</f>
        <v/>
      </c>
    </row>
    <row r="12709" spans="6:7">
      <c r="F12709" s="6">
        <f>IF($M12709="PADD I","PADD 1",IF($M12709="PADD II","PADD 2",IF($M12709="PADD III","PADD 3",IF($M12709="PADD IV","PADD 4",IF($M12709="PADD V","PADD 5","")))))</f>
        <v/>
      </c>
      <c r="G12709" s="6">
        <f>IF(AND($H12709="ATMOS DISTILLATION",ISNUMBER(SEARCH("VPS",$I12709))=FALSE,LEFT($I12709,6)&lt;&gt;"VACUUM"),"CDU",IF($H12709="FLUID CAT CRACKING","FCC",IF(OR($H12709="HYDROCRACKING",$H12709="RESID_HYDROCRACKING"),"Hydrocracker",IF($H12709="REFORMING","Reformer",""))))</f>
        <v/>
      </c>
    </row>
    <row r="12710" spans="6:7">
      <c r="F12710" s="6">
        <f>IF($M12710="PADD I","PADD 1",IF($M12710="PADD II","PADD 2",IF($M12710="PADD III","PADD 3",IF($M12710="PADD IV","PADD 4",IF($M12710="PADD V","PADD 5","")))))</f>
        <v/>
      </c>
      <c r="G12710" s="6">
        <f>IF(AND($H12710="ATMOS DISTILLATION",ISNUMBER(SEARCH("VPS",$I12710))=FALSE,LEFT($I12710,6)&lt;&gt;"VACUUM"),"CDU",IF($H12710="FLUID CAT CRACKING","FCC",IF(OR($H12710="HYDROCRACKING",$H12710="RESID_HYDROCRACKING"),"Hydrocracker",IF($H12710="REFORMING","Reformer",""))))</f>
        <v/>
      </c>
    </row>
    <row r="12711" spans="6:7">
      <c r="F12711" s="6">
        <f>IF($M12711="PADD I","PADD 1",IF($M12711="PADD II","PADD 2",IF($M12711="PADD III","PADD 3",IF($M12711="PADD IV","PADD 4",IF($M12711="PADD V","PADD 5","")))))</f>
        <v/>
      </c>
      <c r="G12711" s="6">
        <f>IF(AND($H12711="ATMOS DISTILLATION",ISNUMBER(SEARCH("VPS",$I12711))=FALSE,LEFT($I12711,6)&lt;&gt;"VACUUM"),"CDU",IF($H12711="FLUID CAT CRACKING","FCC",IF(OR($H12711="HYDROCRACKING",$H12711="RESID_HYDROCRACKING"),"Hydrocracker",IF($H12711="REFORMING","Reformer",""))))</f>
        <v/>
      </c>
    </row>
    <row r="12712" spans="6:7">
      <c r="F12712" s="6">
        <f>IF($M12712="PADD I","PADD 1",IF($M12712="PADD II","PADD 2",IF($M12712="PADD III","PADD 3",IF($M12712="PADD IV","PADD 4",IF($M12712="PADD V","PADD 5","")))))</f>
        <v/>
      </c>
      <c r="G12712" s="6">
        <f>IF(AND($H12712="ATMOS DISTILLATION",ISNUMBER(SEARCH("VPS",$I12712))=FALSE,LEFT($I12712,6)&lt;&gt;"VACUUM"),"CDU",IF($H12712="FLUID CAT CRACKING","FCC",IF(OR($H12712="HYDROCRACKING",$H12712="RESID_HYDROCRACKING"),"Hydrocracker",IF($H12712="REFORMING","Reformer",""))))</f>
        <v/>
      </c>
    </row>
    <row r="12713" spans="6:7">
      <c r="F12713" s="6">
        <f>IF($M12713="PADD I","PADD 1",IF($M12713="PADD II","PADD 2",IF($M12713="PADD III","PADD 3",IF($M12713="PADD IV","PADD 4",IF($M12713="PADD V","PADD 5","")))))</f>
        <v/>
      </c>
      <c r="G12713" s="6">
        <f>IF(AND($H12713="ATMOS DISTILLATION",ISNUMBER(SEARCH("VPS",$I12713))=FALSE,LEFT($I12713,6)&lt;&gt;"VACUUM"),"CDU",IF($H12713="FLUID CAT CRACKING","FCC",IF(OR($H12713="HYDROCRACKING",$H12713="RESID_HYDROCRACKING"),"Hydrocracker",IF($H12713="REFORMING","Reformer",""))))</f>
        <v/>
      </c>
    </row>
    <row r="12714" spans="6:7">
      <c r="F12714" s="6">
        <f>IF($M12714="PADD I","PADD 1",IF($M12714="PADD II","PADD 2",IF($M12714="PADD III","PADD 3",IF($M12714="PADD IV","PADD 4",IF($M12714="PADD V","PADD 5","")))))</f>
        <v/>
      </c>
      <c r="G12714" s="6">
        <f>IF(AND($H12714="ATMOS DISTILLATION",ISNUMBER(SEARCH("VPS",$I12714))=FALSE,LEFT($I12714,6)&lt;&gt;"VACUUM"),"CDU",IF($H12714="FLUID CAT CRACKING","FCC",IF(OR($H12714="HYDROCRACKING",$H12714="RESID_HYDROCRACKING"),"Hydrocracker",IF($H12714="REFORMING","Reformer",""))))</f>
        <v/>
      </c>
    </row>
    <row r="12715" spans="6:7">
      <c r="F12715" s="6">
        <f>IF($M12715="PADD I","PADD 1",IF($M12715="PADD II","PADD 2",IF($M12715="PADD III","PADD 3",IF($M12715="PADD IV","PADD 4",IF($M12715="PADD V","PADD 5","")))))</f>
        <v/>
      </c>
      <c r="G12715" s="6">
        <f>IF(AND($H12715="ATMOS DISTILLATION",ISNUMBER(SEARCH("VPS",$I12715))=FALSE,LEFT($I12715,6)&lt;&gt;"VACUUM"),"CDU",IF($H12715="FLUID CAT CRACKING","FCC",IF(OR($H12715="HYDROCRACKING",$H12715="RESID_HYDROCRACKING"),"Hydrocracker",IF($H12715="REFORMING","Reformer",""))))</f>
        <v/>
      </c>
    </row>
    <row r="12716" spans="6:7">
      <c r="F12716" s="6">
        <f>IF($M12716="PADD I","PADD 1",IF($M12716="PADD II","PADD 2",IF($M12716="PADD III","PADD 3",IF($M12716="PADD IV","PADD 4",IF($M12716="PADD V","PADD 5","")))))</f>
        <v/>
      </c>
      <c r="G12716" s="6">
        <f>IF(AND($H12716="ATMOS DISTILLATION",ISNUMBER(SEARCH("VPS",$I12716))=FALSE,LEFT($I12716,6)&lt;&gt;"VACUUM"),"CDU",IF($H12716="FLUID CAT CRACKING","FCC",IF(OR($H12716="HYDROCRACKING",$H12716="RESID_HYDROCRACKING"),"Hydrocracker",IF($H12716="REFORMING","Reformer",""))))</f>
        <v/>
      </c>
    </row>
    <row r="12717" spans="6:7">
      <c r="F12717" s="6">
        <f>IF($M12717="PADD I","PADD 1",IF($M12717="PADD II","PADD 2",IF($M12717="PADD III","PADD 3",IF($M12717="PADD IV","PADD 4",IF($M12717="PADD V","PADD 5","")))))</f>
        <v/>
      </c>
      <c r="G12717" s="6">
        <f>IF(AND($H12717="ATMOS DISTILLATION",ISNUMBER(SEARCH("VPS",$I12717))=FALSE,LEFT($I12717,6)&lt;&gt;"VACUUM"),"CDU",IF($H12717="FLUID CAT CRACKING","FCC",IF(OR($H12717="HYDROCRACKING",$H12717="RESID_HYDROCRACKING"),"Hydrocracker",IF($H12717="REFORMING","Reformer",""))))</f>
        <v/>
      </c>
    </row>
    <row r="12718" spans="6:7">
      <c r="F12718" s="6">
        <f>IF($M12718="PADD I","PADD 1",IF($M12718="PADD II","PADD 2",IF($M12718="PADD III","PADD 3",IF($M12718="PADD IV","PADD 4",IF($M12718="PADD V","PADD 5","")))))</f>
        <v/>
      </c>
      <c r="G12718" s="6">
        <f>IF(AND($H12718="ATMOS DISTILLATION",ISNUMBER(SEARCH("VPS",$I12718))=FALSE,LEFT($I12718,6)&lt;&gt;"VACUUM"),"CDU",IF($H12718="FLUID CAT CRACKING","FCC",IF(OR($H12718="HYDROCRACKING",$H12718="RESID_HYDROCRACKING"),"Hydrocracker",IF($H12718="REFORMING","Reformer",""))))</f>
        <v/>
      </c>
    </row>
    <row r="12719" spans="6:7">
      <c r="F12719" s="6">
        <f>IF($M12719="PADD I","PADD 1",IF($M12719="PADD II","PADD 2",IF($M12719="PADD III","PADD 3",IF($M12719="PADD IV","PADD 4",IF($M12719="PADD V","PADD 5","")))))</f>
        <v/>
      </c>
      <c r="G12719" s="6">
        <f>IF(AND($H12719="ATMOS DISTILLATION",ISNUMBER(SEARCH("VPS",$I12719))=FALSE,LEFT($I12719,6)&lt;&gt;"VACUUM"),"CDU",IF($H12719="FLUID CAT CRACKING","FCC",IF(OR($H12719="HYDROCRACKING",$H12719="RESID_HYDROCRACKING"),"Hydrocracker",IF($H12719="REFORMING","Reformer",""))))</f>
        <v/>
      </c>
    </row>
    <row r="12720" spans="6:7">
      <c r="F12720" s="6">
        <f>IF($M12720="PADD I","PADD 1",IF($M12720="PADD II","PADD 2",IF($M12720="PADD III","PADD 3",IF($M12720="PADD IV","PADD 4",IF($M12720="PADD V","PADD 5","")))))</f>
        <v/>
      </c>
      <c r="G12720" s="6">
        <f>IF(AND($H12720="ATMOS DISTILLATION",ISNUMBER(SEARCH("VPS",$I12720))=FALSE,LEFT($I12720,6)&lt;&gt;"VACUUM"),"CDU",IF($H12720="FLUID CAT CRACKING","FCC",IF(OR($H12720="HYDROCRACKING",$H12720="RESID_HYDROCRACKING"),"Hydrocracker",IF($H12720="REFORMING","Reformer",""))))</f>
        <v/>
      </c>
    </row>
    <row r="12721" spans="6:7">
      <c r="F12721" s="6">
        <f>IF($M12721="PADD I","PADD 1",IF($M12721="PADD II","PADD 2",IF($M12721="PADD III","PADD 3",IF($M12721="PADD IV","PADD 4",IF($M12721="PADD V","PADD 5","")))))</f>
        <v/>
      </c>
      <c r="G12721" s="6">
        <f>IF(AND($H12721="ATMOS DISTILLATION",ISNUMBER(SEARCH("VPS",$I12721))=FALSE,LEFT($I12721,6)&lt;&gt;"VACUUM"),"CDU",IF($H12721="FLUID CAT CRACKING","FCC",IF(OR($H12721="HYDROCRACKING",$H12721="RESID_HYDROCRACKING"),"Hydrocracker",IF($H12721="REFORMING","Reformer",""))))</f>
        <v/>
      </c>
    </row>
    <row r="12722" spans="6:7">
      <c r="F12722" s="6">
        <f>IF($M12722="PADD I","PADD 1",IF($M12722="PADD II","PADD 2",IF($M12722="PADD III","PADD 3",IF($M12722="PADD IV","PADD 4",IF($M12722="PADD V","PADD 5","")))))</f>
        <v/>
      </c>
      <c r="G12722" s="6">
        <f>IF(AND($H12722="ATMOS DISTILLATION",ISNUMBER(SEARCH("VPS",$I12722))=FALSE,LEFT($I12722,6)&lt;&gt;"VACUUM"),"CDU",IF($H12722="FLUID CAT CRACKING","FCC",IF(OR($H12722="HYDROCRACKING",$H12722="RESID_HYDROCRACKING"),"Hydrocracker",IF($H12722="REFORMING","Reformer",""))))</f>
        <v/>
      </c>
    </row>
    <row r="12723" spans="6:7">
      <c r="F12723" s="6">
        <f>IF($M12723="PADD I","PADD 1",IF($M12723="PADD II","PADD 2",IF($M12723="PADD III","PADD 3",IF($M12723="PADD IV","PADD 4",IF($M12723="PADD V","PADD 5","")))))</f>
        <v/>
      </c>
      <c r="G12723" s="6">
        <f>IF(AND($H12723="ATMOS DISTILLATION",ISNUMBER(SEARCH("VPS",$I12723))=FALSE,LEFT($I12723,6)&lt;&gt;"VACUUM"),"CDU",IF($H12723="FLUID CAT CRACKING","FCC",IF(OR($H12723="HYDROCRACKING",$H12723="RESID_HYDROCRACKING"),"Hydrocracker",IF($H12723="REFORMING","Reformer",""))))</f>
        <v/>
      </c>
    </row>
    <row r="12724" spans="6:7">
      <c r="F12724" s="6">
        <f>IF($M12724="PADD I","PADD 1",IF($M12724="PADD II","PADD 2",IF($M12724="PADD III","PADD 3",IF($M12724="PADD IV","PADD 4",IF($M12724="PADD V","PADD 5","")))))</f>
        <v/>
      </c>
      <c r="G12724" s="6">
        <f>IF(AND($H12724="ATMOS DISTILLATION",ISNUMBER(SEARCH("VPS",$I12724))=FALSE,LEFT($I12724,6)&lt;&gt;"VACUUM"),"CDU",IF($H12724="FLUID CAT CRACKING","FCC",IF(OR($H12724="HYDROCRACKING",$H12724="RESID_HYDROCRACKING"),"Hydrocracker",IF($H12724="REFORMING","Reformer",""))))</f>
        <v/>
      </c>
    </row>
    <row r="12725" spans="6:7">
      <c r="F12725" s="6">
        <f>IF($M12725="PADD I","PADD 1",IF($M12725="PADD II","PADD 2",IF($M12725="PADD III","PADD 3",IF($M12725="PADD IV","PADD 4",IF($M12725="PADD V","PADD 5","")))))</f>
        <v/>
      </c>
      <c r="G12725" s="6">
        <f>IF(AND($H12725="ATMOS DISTILLATION",ISNUMBER(SEARCH("VPS",$I12725))=FALSE,LEFT($I12725,6)&lt;&gt;"VACUUM"),"CDU",IF($H12725="FLUID CAT CRACKING","FCC",IF(OR($H12725="HYDROCRACKING",$H12725="RESID_HYDROCRACKING"),"Hydrocracker",IF($H12725="REFORMING","Reformer",""))))</f>
        <v/>
      </c>
    </row>
    <row r="12726" spans="6:7">
      <c r="F12726" s="6">
        <f>IF($M12726="PADD I","PADD 1",IF($M12726="PADD II","PADD 2",IF($M12726="PADD III","PADD 3",IF($M12726="PADD IV","PADD 4",IF($M12726="PADD V","PADD 5","")))))</f>
        <v/>
      </c>
      <c r="G12726" s="6">
        <f>IF(AND($H12726="ATMOS DISTILLATION",ISNUMBER(SEARCH("VPS",$I12726))=FALSE,LEFT($I12726,6)&lt;&gt;"VACUUM"),"CDU",IF($H12726="FLUID CAT CRACKING","FCC",IF(OR($H12726="HYDROCRACKING",$H12726="RESID_HYDROCRACKING"),"Hydrocracker",IF($H12726="REFORMING","Reformer",""))))</f>
        <v/>
      </c>
    </row>
    <row r="12727" spans="6:7">
      <c r="F12727" s="6">
        <f>IF($M12727="PADD I","PADD 1",IF($M12727="PADD II","PADD 2",IF($M12727="PADD III","PADD 3",IF($M12727="PADD IV","PADD 4",IF($M12727="PADD V","PADD 5","")))))</f>
        <v/>
      </c>
      <c r="G12727" s="6">
        <f>IF(AND($H12727="ATMOS DISTILLATION",ISNUMBER(SEARCH("VPS",$I12727))=FALSE,LEFT($I12727,6)&lt;&gt;"VACUUM"),"CDU",IF($H12727="FLUID CAT CRACKING","FCC",IF(OR($H12727="HYDROCRACKING",$H12727="RESID_HYDROCRACKING"),"Hydrocracker",IF($H12727="REFORMING","Reformer",""))))</f>
        <v/>
      </c>
    </row>
    <row r="12728" spans="6:7">
      <c r="F12728" s="6">
        <f>IF($M12728="PADD I","PADD 1",IF($M12728="PADD II","PADD 2",IF($M12728="PADD III","PADD 3",IF($M12728="PADD IV","PADD 4",IF($M12728="PADD V","PADD 5","")))))</f>
        <v/>
      </c>
      <c r="G12728" s="6">
        <f>IF(AND($H12728="ATMOS DISTILLATION",ISNUMBER(SEARCH("VPS",$I12728))=FALSE,LEFT($I12728,6)&lt;&gt;"VACUUM"),"CDU",IF($H12728="FLUID CAT CRACKING","FCC",IF(OR($H12728="HYDROCRACKING",$H12728="RESID_HYDROCRACKING"),"Hydrocracker",IF($H12728="REFORMING","Reformer",""))))</f>
        <v/>
      </c>
    </row>
    <row r="12729" spans="6:7">
      <c r="F12729" s="6">
        <f>IF($M12729="PADD I","PADD 1",IF($M12729="PADD II","PADD 2",IF($M12729="PADD III","PADD 3",IF($M12729="PADD IV","PADD 4",IF($M12729="PADD V","PADD 5","")))))</f>
        <v/>
      </c>
      <c r="G12729" s="6">
        <f>IF(AND($H12729="ATMOS DISTILLATION",ISNUMBER(SEARCH("VPS",$I12729))=FALSE,LEFT($I12729,6)&lt;&gt;"VACUUM"),"CDU",IF($H12729="FLUID CAT CRACKING","FCC",IF(OR($H12729="HYDROCRACKING",$H12729="RESID_HYDROCRACKING"),"Hydrocracker",IF($H12729="REFORMING","Reformer",""))))</f>
        <v/>
      </c>
    </row>
    <row r="12730" spans="6:7">
      <c r="F12730" s="6">
        <f>IF($M12730="PADD I","PADD 1",IF($M12730="PADD II","PADD 2",IF($M12730="PADD III","PADD 3",IF($M12730="PADD IV","PADD 4",IF($M12730="PADD V","PADD 5","")))))</f>
        <v/>
      </c>
      <c r="G12730" s="6">
        <f>IF(AND($H12730="ATMOS DISTILLATION",ISNUMBER(SEARCH("VPS",$I12730))=FALSE,LEFT($I12730,6)&lt;&gt;"VACUUM"),"CDU",IF($H12730="FLUID CAT CRACKING","FCC",IF(OR($H12730="HYDROCRACKING",$H12730="RESID_HYDROCRACKING"),"Hydrocracker",IF($H12730="REFORMING","Reformer",""))))</f>
        <v/>
      </c>
    </row>
    <row r="12731" spans="6:7">
      <c r="F12731" s="6">
        <f>IF($M12731="PADD I","PADD 1",IF($M12731="PADD II","PADD 2",IF($M12731="PADD III","PADD 3",IF($M12731="PADD IV","PADD 4",IF($M12731="PADD V","PADD 5","")))))</f>
        <v/>
      </c>
      <c r="G12731" s="6">
        <f>IF(AND($H12731="ATMOS DISTILLATION",ISNUMBER(SEARCH("VPS",$I12731))=FALSE,LEFT($I12731,6)&lt;&gt;"VACUUM"),"CDU",IF($H12731="FLUID CAT CRACKING","FCC",IF(OR($H12731="HYDROCRACKING",$H12731="RESID_HYDROCRACKING"),"Hydrocracker",IF($H12731="REFORMING","Reformer",""))))</f>
        <v/>
      </c>
    </row>
    <row r="12732" spans="6:7">
      <c r="F12732" s="6">
        <f>IF($M12732="PADD I","PADD 1",IF($M12732="PADD II","PADD 2",IF($M12732="PADD III","PADD 3",IF($M12732="PADD IV","PADD 4",IF($M12732="PADD V","PADD 5","")))))</f>
        <v/>
      </c>
      <c r="G12732" s="6">
        <f>IF(AND($H12732="ATMOS DISTILLATION",ISNUMBER(SEARCH("VPS",$I12732))=FALSE,LEFT($I12732,6)&lt;&gt;"VACUUM"),"CDU",IF($H12732="FLUID CAT CRACKING","FCC",IF(OR($H12732="HYDROCRACKING",$H12732="RESID_HYDROCRACKING"),"Hydrocracker",IF($H12732="REFORMING","Reformer",""))))</f>
        <v/>
      </c>
    </row>
    <row r="12733" spans="6:7">
      <c r="F12733" s="6">
        <f>IF($M12733="PADD I","PADD 1",IF($M12733="PADD II","PADD 2",IF($M12733="PADD III","PADD 3",IF($M12733="PADD IV","PADD 4",IF($M12733="PADD V","PADD 5","")))))</f>
        <v/>
      </c>
      <c r="G12733" s="6">
        <f>IF(AND($H12733="ATMOS DISTILLATION",ISNUMBER(SEARCH("VPS",$I12733))=FALSE,LEFT($I12733,6)&lt;&gt;"VACUUM"),"CDU",IF($H12733="FLUID CAT CRACKING","FCC",IF(OR($H12733="HYDROCRACKING",$H12733="RESID_HYDROCRACKING"),"Hydrocracker",IF($H12733="REFORMING","Reformer",""))))</f>
        <v/>
      </c>
    </row>
    <row r="12734" spans="6:7">
      <c r="F12734" s="6">
        <f>IF($M12734="PADD I","PADD 1",IF($M12734="PADD II","PADD 2",IF($M12734="PADD III","PADD 3",IF($M12734="PADD IV","PADD 4",IF($M12734="PADD V","PADD 5","")))))</f>
        <v/>
      </c>
      <c r="G12734" s="6">
        <f>IF(AND($H12734="ATMOS DISTILLATION",ISNUMBER(SEARCH("VPS",$I12734))=FALSE,LEFT($I12734,6)&lt;&gt;"VACUUM"),"CDU",IF($H12734="FLUID CAT CRACKING","FCC",IF(OR($H12734="HYDROCRACKING",$H12734="RESID_HYDROCRACKING"),"Hydrocracker",IF($H12734="REFORMING","Reformer",""))))</f>
        <v/>
      </c>
    </row>
    <row r="12735" spans="6:7">
      <c r="F12735" s="6">
        <f>IF($M12735="PADD I","PADD 1",IF($M12735="PADD II","PADD 2",IF($M12735="PADD III","PADD 3",IF($M12735="PADD IV","PADD 4",IF($M12735="PADD V","PADD 5","")))))</f>
        <v/>
      </c>
      <c r="G12735" s="6">
        <f>IF(AND($H12735="ATMOS DISTILLATION",ISNUMBER(SEARCH("VPS",$I12735))=FALSE,LEFT($I12735,6)&lt;&gt;"VACUUM"),"CDU",IF($H12735="FLUID CAT CRACKING","FCC",IF(OR($H12735="HYDROCRACKING",$H12735="RESID_HYDROCRACKING"),"Hydrocracker",IF($H12735="REFORMING","Reformer",""))))</f>
        <v/>
      </c>
    </row>
    <row r="12736" spans="6:7">
      <c r="F12736" s="6">
        <f>IF($M12736="PADD I","PADD 1",IF($M12736="PADD II","PADD 2",IF($M12736="PADD III","PADD 3",IF($M12736="PADD IV","PADD 4",IF($M12736="PADD V","PADD 5","")))))</f>
        <v/>
      </c>
      <c r="G12736" s="6">
        <f>IF(AND($H12736="ATMOS DISTILLATION",ISNUMBER(SEARCH("VPS",$I12736))=FALSE,LEFT($I12736,6)&lt;&gt;"VACUUM"),"CDU",IF($H12736="FLUID CAT CRACKING","FCC",IF(OR($H12736="HYDROCRACKING",$H12736="RESID_HYDROCRACKING"),"Hydrocracker",IF($H12736="REFORMING","Reformer",""))))</f>
        <v/>
      </c>
    </row>
    <row r="12737" spans="6:7">
      <c r="F12737" s="6">
        <f>IF($M12737="PADD I","PADD 1",IF($M12737="PADD II","PADD 2",IF($M12737="PADD III","PADD 3",IF($M12737="PADD IV","PADD 4",IF($M12737="PADD V","PADD 5","")))))</f>
        <v/>
      </c>
      <c r="G12737" s="6">
        <f>IF(AND($H12737="ATMOS DISTILLATION",ISNUMBER(SEARCH("VPS",$I12737))=FALSE,LEFT($I12737,6)&lt;&gt;"VACUUM"),"CDU",IF($H12737="FLUID CAT CRACKING","FCC",IF(OR($H12737="HYDROCRACKING",$H12737="RESID_HYDROCRACKING"),"Hydrocracker",IF($H12737="REFORMING","Reformer",""))))</f>
        <v/>
      </c>
    </row>
    <row r="12738" spans="6:7">
      <c r="F12738" s="6">
        <f>IF($M12738="PADD I","PADD 1",IF($M12738="PADD II","PADD 2",IF($M12738="PADD III","PADD 3",IF($M12738="PADD IV","PADD 4",IF($M12738="PADD V","PADD 5","")))))</f>
        <v/>
      </c>
      <c r="G12738" s="6">
        <f>IF(AND($H12738="ATMOS DISTILLATION",ISNUMBER(SEARCH("VPS",$I12738))=FALSE,LEFT($I12738,6)&lt;&gt;"VACUUM"),"CDU",IF($H12738="FLUID CAT CRACKING","FCC",IF(OR($H12738="HYDROCRACKING",$H12738="RESID_HYDROCRACKING"),"Hydrocracker",IF($H12738="REFORMING","Reformer",""))))</f>
        <v/>
      </c>
    </row>
    <row r="12739" spans="6:7">
      <c r="F12739" s="6">
        <f>IF($M12739="PADD I","PADD 1",IF($M12739="PADD II","PADD 2",IF($M12739="PADD III","PADD 3",IF($M12739="PADD IV","PADD 4",IF($M12739="PADD V","PADD 5","")))))</f>
        <v/>
      </c>
      <c r="G12739" s="6">
        <f>IF(AND($H12739="ATMOS DISTILLATION",ISNUMBER(SEARCH("VPS",$I12739))=FALSE,LEFT($I12739,6)&lt;&gt;"VACUUM"),"CDU",IF($H12739="FLUID CAT CRACKING","FCC",IF(OR($H12739="HYDROCRACKING",$H12739="RESID_HYDROCRACKING"),"Hydrocracker",IF($H12739="REFORMING","Reformer",""))))</f>
        <v/>
      </c>
    </row>
    <row r="12740" spans="6:7">
      <c r="F12740" s="6">
        <f>IF($M12740="PADD I","PADD 1",IF($M12740="PADD II","PADD 2",IF($M12740="PADD III","PADD 3",IF($M12740="PADD IV","PADD 4",IF($M12740="PADD V","PADD 5","")))))</f>
        <v/>
      </c>
      <c r="G12740" s="6">
        <f>IF(AND($H12740="ATMOS DISTILLATION",ISNUMBER(SEARCH("VPS",$I12740))=FALSE,LEFT($I12740,6)&lt;&gt;"VACUUM"),"CDU",IF($H12740="FLUID CAT CRACKING","FCC",IF(OR($H12740="HYDROCRACKING",$H12740="RESID_HYDROCRACKING"),"Hydrocracker",IF($H12740="REFORMING","Reformer",""))))</f>
        <v/>
      </c>
    </row>
    <row r="12741" spans="6:7">
      <c r="F12741" s="6">
        <f>IF($M12741="PADD I","PADD 1",IF($M12741="PADD II","PADD 2",IF($M12741="PADD III","PADD 3",IF($M12741="PADD IV","PADD 4",IF($M12741="PADD V","PADD 5","")))))</f>
        <v/>
      </c>
      <c r="G12741" s="6">
        <f>IF(AND($H12741="ATMOS DISTILLATION",ISNUMBER(SEARCH("VPS",$I12741))=FALSE,LEFT($I12741,6)&lt;&gt;"VACUUM"),"CDU",IF($H12741="FLUID CAT CRACKING","FCC",IF(OR($H12741="HYDROCRACKING",$H12741="RESID_HYDROCRACKING"),"Hydrocracker",IF($H12741="REFORMING","Reformer",""))))</f>
        <v/>
      </c>
    </row>
    <row r="12742" spans="6:7">
      <c r="F12742" s="6">
        <f>IF($M12742="PADD I","PADD 1",IF($M12742="PADD II","PADD 2",IF($M12742="PADD III","PADD 3",IF($M12742="PADD IV","PADD 4",IF($M12742="PADD V","PADD 5","")))))</f>
        <v/>
      </c>
      <c r="G12742" s="6">
        <f>IF(AND($H12742="ATMOS DISTILLATION",ISNUMBER(SEARCH("VPS",$I12742))=FALSE,LEFT($I12742,6)&lt;&gt;"VACUUM"),"CDU",IF($H12742="FLUID CAT CRACKING","FCC",IF(OR($H12742="HYDROCRACKING",$H12742="RESID_HYDROCRACKING"),"Hydrocracker",IF($H12742="REFORMING","Reformer",""))))</f>
        <v/>
      </c>
    </row>
    <row r="12743" spans="6:7">
      <c r="F12743" s="6">
        <f>IF($M12743="PADD I","PADD 1",IF($M12743="PADD II","PADD 2",IF($M12743="PADD III","PADD 3",IF($M12743="PADD IV","PADD 4",IF($M12743="PADD V","PADD 5","")))))</f>
        <v/>
      </c>
      <c r="G12743" s="6">
        <f>IF(AND($H12743="ATMOS DISTILLATION",ISNUMBER(SEARCH("VPS",$I12743))=FALSE,LEFT($I12743,6)&lt;&gt;"VACUUM"),"CDU",IF($H12743="FLUID CAT CRACKING","FCC",IF(OR($H12743="HYDROCRACKING",$H12743="RESID_HYDROCRACKING"),"Hydrocracker",IF($H12743="REFORMING","Reformer",""))))</f>
        <v/>
      </c>
    </row>
    <row r="12744" spans="6:7">
      <c r="F12744" s="6">
        <f>IF($M12744="PADD I","PADD 1",IF($M12744="PADD II","PADD 2",IF($M12744="PADD III","PADD 3",IF($M12744="PADD IV","PADD 4",IF($M12744="PADD V","PADD 5","")))))</f>
        <v/>
      </c>
      <c r="G12744" s="6">
        <f>IF(AND($H12744="ATMOS DISTILLATION",ISNUMBER(SEARCH("VPS",$I12744))=FALSE,LEFT($I12744,6)&lt;&gt;"VACUUM"),"CDU",IF($H12744="FLUID CAT CRACKING","FCC",IF(OR($H12744="HYDROCRACKING",$H12744="RESID_HYDROCRACKING"),"Hydrocracker",IF($H12744="REFORMING","Reformer",""))))</f>
        <v/>
      </c>
    </row>
    <row r="12745" spans="6:7">
      <c r="F12745" s="6">
        <f>IF($M12745="PADD I","PADD 1",IF($M12745="PADD II","PADD 2",IF($M12745="PADD III","PADD 3",IF($M12745="PADD IV","PADD 4",IF($M12745="PADD V","PADD 5","")))))</f>
        <v/>
      </c>
      <c r="G12745" s="6">
        <f>IF(AND($H12745="ATMOS DISTILLATION",ISNUMBER(SEARCH("VPS",$I12745))=FALSE,LEFT($I12745,6)&lt;&gt;"VACUUM"),"CDU",IF($H12745="FLUID CAT CRACKING","FCC",IF(OR($H12745="HYDROCRACKING",$H12745="RESID_HYDROCRACKING"),"Hydrocracker",IF($H12745="REFORMING","Reformer",""))))</f>
        <v/>
      </c>
    </row>
    <row r="12746" spans="6:7">
      <c r="F12746" s="6">
        <f>IF($M12746="PADD I","PADD 1",IF($M12746="PADD II","PADD 2",IF($M12746="PADD III","PADD 3",IF($M12746="PADD IV","PADD 4",IF($M12746="PADD V","PADD 5","")))))</f>
        <v/>
      </c>
      <c r="G12746" s="6">
        <f>IF(AND($H12746="ATMOS DISTILLATION",ISNUMBER(SEARCH("VPS",$I12746))=FALSE,LEFT($I12746,6)&lt;&gt;"VACUUM"),"CDU",IF($H12746="FLUID CAT CRACKING","FCC",IF(OR($H12746="HYDROCRACKING",$H12746="RESID_HYDROCRACKING"),"Hydrocracker",IF($H12746="REFORMING","Reformer",""))))</f>
        <v/>
      </c>
    </row>
    <row r="12747" spans="6:7">
      <c r="F12747" s="6">
        <f>IF($M12747="PADD I","PADD 1",IF($M12747="PADD II","PADD 2",IF($M12747="PADD III","PADD 3",IF($M12747="PADD IV","PADD 4",IF($M12747="PADD V","PADD 5","")))))</f>
        <v/>
      </c>
      <c r="G12747" s="6">
        <f>IF(AND($H12747="ATMOS DISTILLATION",ISNUMBER(SEARCH("VPS",$I12747))=FALSE,LEFT($I12747,6)&lt;&gt;"VACUUM"),"CDU",IF($H12747="FLUID CAT CRACKING","FCC",IF(OR($H12747="HYDROCRACKING",$H12747="RESID_HYDROCRACKING"),"Hydrocracker",IF($H12747="REFORMING","Reformer",""))))</f>
        <v/>
      </c>
    </row>
    <row r="12748" spans="6:7">
      <c r="F12748" s="6">
        <f>IF($M12748="PADD I","PADD 1",IF($M12748="PADD II","PADD 2",IF($M12748="PADD III","PADD 3",IF($M12748="PADD IV","PADD 4",IF($M12748="PADD V","PADD 5","")))))</f>
        <v/>
      </c>
      <c r="G12748" s="6">
        <f>IF(AND($H12748="ATMOS DISTILLATION",ISNUMBER(SEARCH("VPS",$I12748))=FALSE,LEFT($I12748,6)&lt;&gt;"VACUUM"),"CDU",IF($H12748="FLUID CAT CRACKING","FCC",IF(OR($H12748="HYDROCRACKING",$H12748="RESID_HYDROCRACKING"),"Hydrocracker",IF($H12748="REFORMING","Reformer",""))))</f>
        <v/>
      </c>
    </row>
    <row r="12749" spans="6:7">
      <c r="F12749" s="6">
        <f>IF($M12749="PADD I","PADD 1",IF($M12749="PADD II","PADD 2",IF($M12749="PADD III","PADD 3",IF($M12749="PADD IV","PADD 4",IF($M12749="PADD V","PADD 5","")))))</f>
        <v/>
      </c>
      <c r="G12749" s="6">
        <f>IF(AND($H12749="ATMOS DISTILLATION",ISNUMBER(SEARCH("VPS",$I12749))=FALSE,LEFT($I12749,6)&lt;&gt;"VACUUM"),"CDU",IF($H12749="FLUID CAT CRACKING","FCC",IF(OR($H12749="HYDROCRACKING",$H12749="RESID_HYDROCRACKING"),"Hydrocracker",IF($H12749="REFORMING","Reformer",""))))</f>
        <v/>
      </c>
    </row>
    <row r="12750" spans="6:7">
      <c r="F12750" s="6">
        <f>IF($M12750="PADD I","PADD 1",IF($M12750="PADD II","PADD 2",IF($M12750="PADD III","PADD 3",IF($M12750="PADD IV","PADD 4",IF($M12750="PADD V","PADD 5","")))))</f>
        <v/>
      </c>
      <c r="G12750" s="6">
        <f>IF(AND($H12750="ATMOS DISTILLATION",ISNUMBER(SEARCH("VPS",$I12750))=FALSE,LEFT($I12750,6)&lt;&gt;"VACUUM"),"CDU",IF($H12750="FLUID CAT CRACKING","FCC",IF(OR($H12750="HYDROCRACKING",$H12750="RESID_HYDROCRACKING"),"Hydrocracker",IF($H12750="REFORMING","Reformer",""))))</f>
        <v/>
      </c>
    </row>
    <row r="12751" spans="6:7">
      <c r="F12751" s="6">
        <f>IF($M12751="PADD I","PADD 1",IF($M12751="PADD II","PADD 2",IF($M12751="PADD III","PADD 3",IF($M12751="PADD IV","PADD 4",IF($M12751="PADD V","PADD 5","")))))</f>
        <v/>
      </c>
      <c r="G12751" s="6">
        <f>IF(AND($H12751="ATMOS DISTILLATION",ISNUMBER(SEARCH("VPS",$I12751))=FALSE,LEFT($I12751,6)&lt;&gt;"VACUUM"),"CDU",IF($H12751="FLUID CAT CRACKING","FCC",IF(OR($H12751="HYDROCRACKING",$H12751="RESID_HYDROCRACKING"),"Hydrocracker",IF($H12751="REFORMING","Reformer",""))))</f>
        <v/>
      </c>
    </row>
    <row r="12752" spans="6:7">
      <c r="F12752" s="6">
        <f>IF($M12752="PADD I","PADD 1",IF($M12752="PADD II","PADD 2",IF($M12752="PADD III","PADD 3",IF($M12752="PADD IV","PADD 4",IF($M12752="PADD V","PADD 5","")))))</f>
        <v/>
      </c>
      <c r="G12752" s="6">
        <f>IF(AND($H12752="ATMOS DISTILLATION",ISNUMBER(SEARCH("VPS",$I12752))=FALSE,LEFT($I12752,6)&lt;&gt;"VACUUM"),"CDU",IF($H12752="FLUID CAT CRACKING","FCC",IF(OR($H12752="HYDROCRACKING",$H12752="RESID_HYDROCRACKING"),"Hydrocracker",IF($H12752="REFORMING","Reformer",""))))</f>
        <v/>
      </c>
    </row>
    <row r="12753" spans="6:7">
      <c r="F12753" s="6">
        <f>IF($M12753="PADD I","PADD 1",IF($M12753="PADD II","PADD 2",IF($M12753="PADD III","PADD 3",IF($M12753="PADD IV","PADD 4",IF($M12753="PADD V","PADD 5","")))))</f>
        <v/>
      </c>
      <c r="G12753" s="6">
        <f>IF(AND($H12753="ATMOS DISTILLATION",ISNUMBER(SEARCH("VPS",$I12753))=FALSE,LEFT($I12753,6)&lt;&gt;"VACUUM"),"CDU",IF($H12753="FLUID CAT CRACKING","FCC",IF(OR($H12753="HYDROCRACKING",$H12753="RESID_HYDROCRACKING"),"Hydrocracker",IF($H12753="REFORMING","Reformer",""))))</f>
        <v/>
      </c>
    </row>
    <row r="12754" spans="6:7">
      <c r="F12754" s="6">
        <f>IF($M12754="PADD I","PADD 1",IF($M12754="PADD II","PADD 2",IF($M12754="PADD III","PADD 3",IF($M12754="PADD IV","PADD 4",IF($M12754="PADD V","PADD 5","")))))</f>
        <v/>
      </c>
      <c r="G12754" s="6">
        <f>IF(AND($H12754="ATMOS DISTILLATION",ISNUMBER(SEARCH("VPS",$I12754))=FALSE,LEFT($I12754,6)&lt;&gt;"VACUUM"),"CDU",IF($H12754="FLUID CAT CRACKING","FCC",IF(OR($H12754="HYDROCRACKING",$H12754="RESID_HYDROCRACKING"),"Hydrocracker",IF($H12754="REFORMING","Reformer",""))))</f>
        <v/>
      </c>
    </row>
    <row r="12755" spans="6:7">
      <c r="F12755" s="6">
        <f>IF($M12755="PADD I","PADD 1",IF($M12755="PADD II","PADD 2",IF($M12755="PADD III","PADD 3",IF($M12755="PADD IV","PADD 4",IF($M12755="PADD V","PADD 5","")))))</f>
        <v/>
      </c>
      <c r="G12755" s="6">
        <f>IF(AND($H12755="ATMOS DISTILLATION",ISNUMBER(SEARCH("VPS",$I12755))=FALSE,LEFT($I12755,6)&lt;&gt;"VACUUM"),"CDU",IF($H12755="FLUID CAT CRACKING","FCC",IF(OR($H12755="HYDROCRACKING",$H12755="RESID_HYDROCRACKING"),"Hydrocracker",IF($H12755="REFORMING","Reformer",""))))</f>
        <v/>
      </c>
    </row>
    <row r="12756" spans="6:7">
      <c r="F12756" s="6">
        <f>IF($M12756="PADD I","PADD 1",IF($M12756="PADD II","PADD 2",IF($M12756="PADD III","PADD 3",IF($M12756="PADD IV","PADD 4",IF($M12756="PADD V","PADD 5","")))))</f>
        <v/>
      </c>
      <c r="G12756" s="6">
        <f>IF(AND($H12756="ATMOS DISTILLATION",ISNUMBER(SEARCH("VPS",$I12756))=FALSE,LEFT($I12756,6)&lt;&gt;"VACUUM"),"CDU",IF($H12756="FLUID CAT CRACKING","FCC",IF(OR($H12756="HYDROCRACKING",$H12756="RESID_HYDROCRACKING"),"Hydrocracker",IF($H12756="REFORMING","Reformer",""))))</f>
        <v/>
      </c>
    </row>
    <row r="12757" spans="6:7">
      <c r="F12757" s="6">
        <f>IF($M12757="PADD I","PADD 1",IF($M12757="PADD II","PADD 2",IF($M12757="PADD III","PADD 3",IF($M12757="PADD IV","PADD 4",IF($M12757="PADD V","PADD 5","")))))</f>
        <v/>
      </c>
      <c r="G12757" s="6">
        <f>IF(AND($H12757="ATMOS DISTILLATION",ISNUMBER(SEARCH("VPS",$I12757))=FALSE,LEFT($I12757,6)&lt;&gt;"VACUUM"),"CDU",IF($H12757="FLUID CAT CRACKING","FCC",IF(OR($H12757="HYDROCRACKING",$H12757="RESID_HYDROCRACKING"),"Hydrocracker",IF($H12757="REFORMING","Reformer",""))))</f>
        <v/>
      </c>
    </row>
    <row r="12758" spans="6:7">
      <c r="F12758" s="6">
        <f>IF($M12758="PADD I","PADD 1",IF($M12758="PADD II","PADD 2",IF($M12758="PADD III","PADD 3",IF($M12758="PADD IV","PADD 4",IF($M12758="PADD V","PADD 5","")))))</f>
        <v/>
      </c>
      <c r="G12758" s="6">
        <f>IF(AND($H12758="ATMOS DISTILLATION",ISNUMBER(SEARCH("VPS",$I12758))=FALSE,LEFT($I12758,6)&lt;&gt;"VACUUM"),"CDU",IF($H12758="FLUID CAT CRACKING","FCC",IF(OR($H12758="HYDROCRACKING",$H12758="RESID_HYDROCRACKING"),"Hydrocracker",IF($H12758="REFORMING","Reformer",""))))</f>
        <v/>
      </c>
    </row>
    <row r="12759" spans="6:7">
      <c r="F12759" s="6">
        <f>IF($M12759="PADD I","PADD 1",IF($M12759="PADD II","PADD 2",IF($M12759="PADD III","PADD 3",IF($M12759="PADD IV","PADD 4",IF($M12759="PADD V","PADD 5","")))))</f>
        <v/>
      </c>
      <c r="G12759" s="6">
        <f>IF(AND($H12759="ATMOS DISTILLATION",ISNUMBER(SEARCH("VPS",$I12759))=FALSE,LEFT($I12759,6)&lt;&gt;"VACUUM"),"CDU",IF($H12759="FLUID CAT CRACKING","FCC",IF(OR($H12759="HYDROCRACKING",$H12759="RESID_HYDROCRACKING"),"Hydrocracker",IF($H12759="REFORMING","Reformer",""))))</f>
        <v/>
      </c>
    </row>
    <row r="12760" spans="6:7">
      <c r="F12760" s="6">
        <f>IF($M12760="PADD I","PADD 1",IF($M12760="PADD II","PADD 2",IF($M12760="PADD III","PADD 3",IF($M12760="PADD IV","PADD 4",IF($M12760="PADD V","PADD 5","")))))</f>
        <v/>
      </c>
      <c r="G12760" s="6">
        <f>IF(AND($H12760="ATMOS DISTILLATION",ISNUMBER(SEARCH("VPS",$I12760))=FALSE,LEFT($I12760,6)&lt;&gt;"VACUUM"),"CDU",IF($H12760="FLUID CAT CRACKING","FCC",IF(OR($H12760="HYDROCRACKING",$H12760="RESID_HYDROCRACKING"),"Hydrocracker",IF($H12760="REFORMING","Reformer",""))))</f>
        <v/>
      </c>
    </row>
    <row r="12761" spans="6:7">
      <c r="F12761" s="6">
        <f>IF($M12761="PADD I","PADD 1",IF($M12761="PADD II","PADD 2",IF($M12761="PADD III","PADD 3",IF($M12761="PADD IV","PADD 4",IF($M12761="PADD V","PADD 5","")))))</f>
        <v/>
      </c>
      <c r="G12761" s="6">
        <f>IF(AND($H12761="ATMOS DISTILLATION",ISNUMBER(SEARCH("VPS",$I12761))=FALSE,LEFT($I12761,6)&lt;&gt;"VACUUM"),"CDU",IF($H12761="FLUID CAT CRACKING","FCC",IF(OR($H12761="HYDROCRACKING",$H12761="RESID_HYDROCRACKING"),"Hydrocracker",IF($H12761="REFORMING","Reformer",""))))</f>
        <v/>
      </c>
    </row>
    <row r="12762" spans="6:7">
      <c r="F12762" s="6">
        <f>IF($M12762="PADD I","PADD 1",IF($M12762="PADD II","PADD 2",IF($M12762="PADD III","PADD 3",IF($M12762="PADD IV","PADD 4",IF($M12762="PADD V","PADD 5","")))))</f>
        <v/>
      </c>
      <c r="G12762" s="6">
        <f>IF(AND($H12762="ATMOS DISTILLATION",ISNUMBER(SEARCH("VPS",$I12762))=FALSE,LEFT($I12762,6)&lt;&gt;"VACUUM"),"CDU",IF($H12762="FLUID CAT CRACKING","FCC",IF(OR($H12762="HYDROCRACKING",$H12762="RESID_HYDROCRACKING"),"Hydrocracker",IF($H12762="REFORMING","Reformer",""))))</f>
        <v/>
      </c>
    </row>
    <row r="12763" spans="6:7">
      <c r="F12763" s="6">
        <f>IF($M12763="PADD I","PADD 1",IF($M12763="PADD II","PADD 2",IF($M12763="PADD III","PADD 3",IF($M12763="PADD IV","PADD 4",IF($M12763="PADD V","PADD 5","")))))</f>
        <v/>
      </c>
      <c r="G12763" s="6">
        <f>IF(AND($H12763="ATMOS DISTILLATION",ISNUMBER(SEARCH("VPS",$I12763))=FALSE,LEFT($I12763,6)&lt;&gt;"VACUUM"),"CDU",IF($H12763="FLUID CAT CRACKING","FCC",IF(OR($H12763="HYDROCRACKING",$H12763="RESID_HYDROCRACKING"),"Hydrocracker",IF($H12763="REFORMING","Reformer",""))))</f>
        <v/>
      </c>
    </row>
    <row r="12764" spans="6:7">
      <c r="F12764" s="6">
        <f>IF($M12764="PADD I","PADD 1",IF($M12764="PADD II","PADD 2",IF($M12764="PADD III","PADD 3",IF($M12764="PADD IV","PADD 4",IF($M12764="PADD V","PADD 5","")))))</f>
        <v/>
      </c>
      <c r="G12764" s="6">
        <f>IF(AND($H12764="ATMOS DISTILLATION",ISNUMBER(SEARCH("VPS",$I12764))=FALSE,LEFT($I12764,6)&lt;&gt;"VACUUM"),"CDU",IF($H12764="FLUID CAT CRACKING","FCC",IF(OR($H12764="HYDROCRACKING",$H12764="RESID_HYDROCRACKING"),"Hydrocracker",IF($H12764="REFORMING","Reformer",""))))</f>
        <v/>
      </c>
    </row>
    <row r="12765" spans="6:7">
      <c r="F12765" s="6">
        <f>IF($M12765="PADD I","PADD 1",IF($M12765="PADD II","PADD 2",IF($M12765="PADD III","PADD 3",IF($M12765="PADD IV","PADD 4",IF($M12765="PADD V","PADD 5","")))))</f>
        <v/>
      </c>
      <c r="G12765" s="6">
        <f>IF(AND($H12765="ATMOS DISTILLATION",ISNUMBER(SEARCH("VPS",$I12765))=FALSE,LEFT($I12765,6)&lt;&gt;"VACUUM"),"CDU",IF($H12765="FLUID CAT CRACKING","FCC",IF(OR($H12765="HYDROCRACKING",$H12765="RESID_HYDROCRACKING"),"Hydrocracker",IF($H12765="REFORMING","Reformer",""))))</f>
        <v/>
      </c>
    </row>
    <row r="12766" spans="6:7">
      <c r="F12766" s="6">
        <f>IF($M12766="PADD I","PADD 1",IF($M12766="PADD II","PADD 2",IF($M12766="PADD III","PADD 3",IF($M12766="PADD IV","PADD 4",IF($M12766="PADD V","PADD 5","")))))</f>
        <v/>
      </c>
      <c r="G12766" s="6">
        <f>IF(AND($H12766="ATMOS DISTILLATION",ISNUMBER(SEARCH("VPS",$I12766))=FALSE,LEFT($I12766,6)&lt;&gt;"VACUUM"),"CDU",IF($H12766="FLUID CAT CRACKING","FCC",IF(OR($H12766="HYDROCRACKING",$H12766="RESID_HYDROCRACKING"),"Hydrocracker",IF($H12766="REFORMING","Reformer",""))))</f>
        <v/>
      </c>
    </row>
    <row r="12767" spans="6:7">
      <c r="F12767" s="6">
        <f>IF($M12767="PADD I","PADD 1",IF($M12767="PADD II","PADD 2",IF($M12767="PADD III","PADD 3",IF($M12767="PADD IV","PADD 4",IF($M12767="PADD V","PADD 5","")))))</f>
        <v/>
      </c>
      <c r="G12767" s="6">
        <f>IF(AND($H12767="ATMOS DISTILLATION",ISNUMBER(SEARCH("VPS",$I12767))=FALSE,LEFT($I12767,6)&lt;&gt;"VACUUM"),"CDU",IF($H12767="FLUID CAT CRACKING","FCC",IF(OR($H12767="HYDROCRACKING",$H12767="RESID_HYDROCRACKING"),"Hydrocracker",IF($H12767="REFORMING","Reformer",""))))</f>
        <v/>
      </c>
    </row>
    <row r="12768" spans="6:7">
      <c r="F12768" s="6">
        <f>IF($M12768="PADD I","PADD 1",IF($M12768="PADD II","PADD 2",IF($M12768="PADD III","PADD 3",IF($M12768="PADD IV","PADD 4",IF($M12768="PADD V","PADD 5","")))))</f>
        <v/>
      </c>
      <c r="G12768" s="6">
        <f>IF(AND($H12768="ATMOS DISTILLATION",ISNUMBER(SEARCH("VPS",$I12768))=FALSE,LEFT($I12768,6)&lt;&gt;"VACUUM"),"CDU",IF($H12768="FLUID CAT CRACKING","FCC",IF(OR($H12768="HYDROCRACKING",$H12768="RESID_HYDROCRACKING"),"Hydrocracker",IF($H12768="REFORMING","Reformer",""))))</f>
        <v/>
      </c>
    </row>
    <row r="12769" spans="6:7">
      <c r="F12769" s="6">
        <f>IF($M12769="PADD I","PADD 1",IF($M12769="PADD II","PADD 2",IF($M12769="PADD III","PADD 3",IF($M12769="PADD IV","PADD 4",IF($M12769="PADD V","PADD 5","")))))</f>
        <v/>
      </c>
      <c r="G12769" s="6">
        <f>IF(AND($H12769="ATMOS DISTILLATION",ISNUMBER(SEARCH("VPS",$I12769))=FALSE,LEFT($I12769,6)&lt;&gt;"VACUUM"),"CDU",IF($H12769="FLUID CAT CRACKING","FCC",IF(OR($H12769="HYDROCRACKING",$H12769="RESID_HYDROCRACKING"),"Hydrocracker",IF($H12769="REFORMING","Reformer",""))))</f>
        <v/>
      </c>
    </row>
    <row r="12770" spans="6:7">
      <c r="F12770" s="6">
        <f>IF($M12770="PADD I","PADD 1",IF($M12770="PADD II","PADD 2",IF($M12770="PADD III","PADD 3",IF($M12770="PADD IV","PADD 4",IF($M12770="PADD V","PADD 5","")))))</f>
        <v/>
      </c>
      <c r="G12770" s="6">
        <f>IF(AND($H12770="ATMOS DISTILLATION",ISNUMBER(SEARCH("VPS",$I12770))=FALSE,LEFT($I12770,6)&lt;&gt;"VACUUM"),"CDU",IF($H12770="FLUID CAT CRACKING","FCC",IF(OR($H12770="HYDROCRACKING",$H12770="RESID_HYDROCRACKING"),"Hydrocracker",IF($H12770="REFORMING","Reformer",""))))</f>
        <v/>
      </c>
    </row>
    <row r="12771" spans="6:7">
      <c r="F12771" s="6">
        <f>IF($M12771="PADD I","PADD 1",IF($M12771="PADD II","PADD 2",IF($M12771="PADD III","PADD 3",IF($M12771="PADD IV","PADD 4",IF($M12771="PADD V","PADD 5","")))))</f>
        <v/>
      </c>
      <c r="G12771" s="6">
        <f>IF(AND($H12771="ATMOS DISTILLATION",ISNUMBER(SEARCH("VPS",$I12771))=FALSE,LEFT($I12771,6)&lt;&gt;"VACUUM"),"CDU",IF($H12771="FLUID CAT CRACKING","FCC",IF(OR($H12771="HYDROCRACKING",$H12771="RESID_HYDROCRACKING"),"Hydrocracker",IF($H12771="REFORMING","Reformer",""))))</f>
        <v/>
      </c>
    </row>
    <row r="12772" spans="6:7">
      <c r="F12772" s="6">
        <f>IF($M12772="PADD I","PADD 1",IF($M12772="PADD II","PADD 2",IF($M12772="PADD III","PADD 3",IF($M12772="PADD IV","PADD 4",IF($M12772="PADD V","PADD 5","")))))</f>
        <v/>
      </c>
      <c r="G12772" s="6">
        <f>IF(AND($H12772="ATMOS DISTILLATION",ISNUMBER(SEARCH("VPS",$I12772))=FALSE,LEFT($I12772,6)&lt;&gt;"VACUUM"),"CDU",IF($H12772="FLUID CAT CRACKING","FCC",IF(OR($H12772="HYDROCRACKING",$H12772="RESID_HYDROCRACKING"),"Hydrocracker",IF($H12772="REFORMING","Reformer",""))))</f>
        <v/>
      </c>
    </row>
    <row r="12773" spans="6:7">
      <c r="F12773" s="6">
        <f>IF($M12773="PADD I","PADD 1",IF($M12773="PADD II","PADD 2",IF($M12773="PADD III","PADD 3",IF($M12773="PADD IV","PADD 4",IF($M12773="PADD V","PADD 5","")))))</f>
        <v/>
      </c>
      <c r="G12773" s="6">
        <f>IF(AND($H12773="ATMOS DISTILLATION",ISNUMBER(SEARCH("VPS",$I12773))=FALSE,LEFT($I12773,6)&lt;&gt;"VACUUM"),"CDU",IF($H12773="FLUID CAT CRACKING","FCC",IF(OR($H12773="HYDROCRACKING",$H12773="RESID_HYDROCRACKING"),"Hydrocracker",IF($H12773="REFORMING","Reformer",""))))</f>
        <v/>
      </c>
    </row>
    <row r="12774" spans="6:7">
      <c r="F12774" s="6">
        <f>IF($M12774="PADD I","PADD 1",IF($M12774="PADD II","PADD 2",IF($M12774="PADD III","PADD 3",IF($M12774="PADD IV","PADD 4",IF($M12774="PADD V","PADD 5","")))))</f>
        <v/>
      </c>
      <c r="G12774" s="6">
        <f>IF(AND($H12774="ATMOS DISTILLATION",ISNUMBER(SEARCH("VPS",$I12774))=FALSE,LEFT($I12774,6)&lt;&gt;"VACUUM"),"CDU",IF($H12774="FLUID CAT CRACKING","FCC",IF(OR($H12774="HYDROCRACKING",$H12774="RESID_HYDROCRACKING"),"Hydrocracker",IF($H12774="REFORMING","Reformer",""))))</f>
        <v/>
      </c>
    </row>
    <row r="12775" spans="6:7">
      <c r="F12775" s="6">
        <f>IF($M12775="PADD I","PADD 1",IF($M12775="PADD II","PADD 2",IF($M12775="PADD III","PADD 3",IF($M12775="PADD IV","PADD 4",IF($M12775="PADD V","PADD 5","")))))</f>
        <v/>
      </c>
      <c r="G12775" s="6">
        <f>IF(AND($H12775="ATMOS DISTILLATION",ISNUMBER(SEARCH("VPS",$I12775))=FALSE,LEFT($I12775,6)&lt;&gt;"VACUUM"),"CDU",IF($H12775="FLUID CAT CRACKING","FCC",IF(OR($H12775="HYDROCRACKING",$H12775="RESID_HYDROCRACKING"),"Hydrocracker",IF($H12775="REFORMING","Reformer",""))))</f>
        <v/>
      </c>
    </row>
    <row r="12776" spans="6:7">
      <c r="F12776" s="6">
        <f>IF($M12776="PADD I","PADD 1",IF($M12776="PADD II","PADD 2",IF($M12776="PADD III","PADD 3",IF($M12776="PADD IV","PADD 4",IF($M12776="PADD V","PADD 5","")))))</f>
        <v/>
      </c>
      <c r="G12776" s="6">
        <f>IF(AND($H12776="ATMOS DISTILLATION",ISNUMBER(SEARCH("VPS",$I12776))=FALSE,LEFT($I12776,6)&lt;&gt;"VACUUM"),"CDU",IF($H12776="FLUID CAT CRACKING","FCC",IF(OR($H12776="HYDROCRACKING",$H12776="RESID_HYDROCRACKING"),"Hydrocracker",IF($H12776="REFORMING","Reformer",""))))</f>
        <v/>
      </c>
    </row>
    <row r="12777" spans="6:7">
      <c r="F12777" s="6">
        <f>IF($M12777="PADD I","PADD 1",IF($M12777="PADD II","PADD 2",IF($M12777="PADD III","PADD 3",IF($M12777="PADD IV","PADD 4",IF($M12777="PADD V","PADD 5","")))))</f>
        <v/>
      </c>
      <c r="G12777" s="6">
        <f>IF(AND($H12777="ATMOS DISTILLATION",ISNUMBER(SEARCH("VPS",$I12777))=FALSE,LEFT($I12777,6)&lt;&gt;"VACUUM"),"CDU",IF($H12777="FLUID CAT CRACKING","FCC",IF(OR($H12777="HYDROCRACKING",$H12777="RESID_HYDROCRACKING"),"Hydrocracker",IF($H12777="REFORMING","Reformer",""))))</f>
        <v/>
      </c>
    </row>
    <row r="12778" spans="6:7">
      <c r="F12778" s="6">
        <f>IF($M12778="PADD I","PADD 1",IF($M12778="PADD II","PADD 2",IF($M12778="PADD III","PADD 3",IF($M12778="PADD IV","PADD 4",IF($M12778="PADD V","PADD 5","")))))</f>
        <v/>
      </c>
      <c r="G12778" s="6">
        <f>IF(AND($H12778="ATMOS DISTILLATION",ISNUMBER(SEARCH("VPS",$I12778))=FALSE,LEFT($I12778,6)&lt;&gt;"VACUUM"),"CDU",IF($H12778="FLUID CAT CRACKING","FCC",IF(OR($H12778="HYDROCRACKING",$H12778="RESID_HYDROCRACKING"),"Hydrocracker",IF($H12778="REFORMING","Reformer",""))))</f>
        <v/>
      </c>
    </row>
    <row r="12779" spans="6:7">
      <c r="F12779" s="6">
        <f>IF($M12779="PADD I","PADD 1",IF($M12779="PADD II","PADD 2",IF($M12779="PADD III","PADD 3",IF($M12779="PADD IV","PADD 4",IF($M12779="PADD V","PADD 5","")))))</f>
        <v/>
      </c>
      <c r="G12779" s="6">
        <f>IF(AND($H12779="ATMOS DISTILLATION",ISNUMBER(SEARCH("VPS",$I12779))=FALSE,LEFT($I12779,6)&lt;&gt;"VACUUM"),"CDU",IF($H12779="FLUID CAT CRACKING","FCC",IF(OR($H12779="HYDROCRACKING",$H12779="RESID_HYDROCRACKING"),"Hydrocracker",IF($H12779="REFORMING","Reformer",""))))</f>
        <v/>
      </c>
    </row>
    <row r="12780" spans="6:7">
      <c r="F12780" s="6">
        <f>IF($M12780="PADD I","PADD 1",IF($M12780="PADD II","PADD 2",IF($M12780="PADD III","PADD 3",IF($M12780="PADD IV","PADD 4",IF($M12780="PADD V","PADD 5","")))))</f>
        <v/>
      </c>
      <c r="G12780" s="6">
        <f>IF(AND($H12780="ATMOS DISTILLATION",ISNUMBER(SEARCH("VPS",$I12780))=FALSE,LEFT($I12780,6)&lt;&gt;"VACUUM"),"CDU",IF($H12780="FLUID CAT CRACKING","FCC",IF(OR($H12780="HYDROCRACKING",$H12780="RESID_HYDROCRACKING"),"Hydrocracker",IF($H12780="REFORMING","Reformer",""))))</f>
        <v/>
      </c>
    </row>
    <row r="12781" spans="6:7">
      <c r="F12781" s="6">
        <f>IF($M12781="PADD I","PADD 1",IF($M12781="PADD II","PADD 2",IF($M12781="PADD III","PADD 3",IF($M12781="PADD IV","PADD 4",IF($M12781="PADD V","PADD 5","")))))</f>
        <v/>
      </c>
      <c r="G12781" s="6">
        <f>IF(AND($H12781="ATMOS DISTILLATION",ISNUMBER(SEARCH("VPS",$I12781))=FALSE,LEFT($I12781,6)&lt;&gt;"VACUUM"),"CDU",IF($H12781="FLUID CAT CRACKING","FCC",IF(OR($H12781="HYDROCRACKING",$H12781="RESID_HYDROCRACKING"),"Hydrocracker",IF($H12781="REFORMING","Reformer",""))))</f>
        <v/>
      </c>
    </row>
    <row r="12782" spans="6:7">
      <c r="F12782" s="6">
        <f>IF($M12782="PADD I","PADD 1",IF($M12782="PADD II","PADD 2",IF($M12782="PADD III","PADD 3",IF($M12782="PADD IV","PADD 4",IF($M12782="PADD V","PADD 5","")))))</f>
        <v/>
      </c>
      <c r="G12782" s="6">
        <f>IF(AND($H12782="ATMOS DISTILLATION",ISNUMBER(SEARCH("VPS",$I12782))=FALSE,LEFT($I12782,6)&lt;&gt;"VACUUM"),"CDU",IF($H12782="FLUID CAT CRACKING","FCC",IF(OR($H12782="HYDROCRACKING",$H12782="RESID_HYDROCRACKING"),"Hydrocracker",IF($H12782="REFORMING","Reformer",""))))</f>
        <v/>
      </c>
    </row>
    <row r="12783" spans="6:7">
      <c r="F12783" s="6">
        <f>IF($M12783="PADD I","PADD 1",IF($M12783="PADD II","PADD 2",IF($M12783="PADD III","PADD 3",IF($M12783="PADD IV","PADD 4",IF($M12783="PADD V","PADD 5","")))))</f>
        <v/>
      </c>
      <c r="G12783" s="6">
        <f>IF(AND($H12783="ATMOS DISTILLATION",ISNUMBER(SEARCH("VPS",$I12783))=FALSE,LEFT($I12783,6)&lt;&gt;"VACUUM"),"CDU",IF($H12783="FLUID CAT CRACKING","FCC",IF(OR($H12783="HYDROCRACKING",$H12783="RESID_HYDROCRACKING"),"Hydrocracker",IF($H12783="REFORMING","Reformer",""))))</f>
        <v/>
      </c>
    </row>
    <row r="12784" spans="6:7">
      <c r="F12784" s="6">
        <f>IF($M12784="PADD I","PADD 1",IF($M12784="PADD II","PADD 2",IF($M12784="PADD III","PADD 3",IF($M12784="PADD IV","PADD 4",IF($M12784="PADD V","PADD 5","")))))</f>
        <v/>
      </c>
      <c r="G12784" s="6">
        <f>IF(AND($H12784="ATMOS DISTILLATION",ISNUMBER(SEARCH("VPS",$I12784))=FALSE,LEFT($I12784,6)&lt;&gt;"VACUUM"),"CDU",IF($H12784="FLUID CAT CRACKING","FCC",IF(OR($H12784="HYDROCRACKING",$H12784="RESID_HYDROCRACKING"),"Hydrocracker",IF($H12784="REFORMING","Reformer",""))))</f>
        <v/>
      </c>
    </row>
    <row r="12785" spans="6:7">
      <c r="F12785" s="6">
        <f>IF($M12785="PADD I","PADD 1",IF($M12785="PADD II","PADD 2",IF($M12785="PADD III","PADD 3",IF($M12785="PADD IV","PADD 4",IF($M12785="PADD V","PADD 5","")))))</f>
        <v/>
      </c>
      <c r="G12785" s="6">
        <f>IF(AND($H12785="ATMOS DISTILLATION",ISNUMBER(SEARCH("VPS",$I12785))=FALSE,LEFT($I12785,6)&lt;&gt;"VACUUM"),"CDU",IF($H12785="FLUID CAT CRACKING","FCC",IF(OR($H12785="HYDROCRACKING",$H12785="RESID_HYDROCRACKING"),"Hydrocracker",IF($H12785="REFORMING","Reformer",""))))</f>
        <v/>
      </c>
    </row>
    <row r="12786" spans="6:7">
      <c r="F12786" s="6">
        <f>IF($M12786="PADD I","PADD 1",IF($M12786="PADD II","PADD 2",IF($M12786="PADD III","PADD 3",IF($M12786="PADD IV","PADD 4",IF($M12786="PADD V","PADD 5","")))))</f>
        <v/>
      </c>
      <c r="G12786" s="6">
        <f>IF(AND($H12786="ATMOS DISTILLATION",ISNUMBER(SEARCH("VPS",$I12786))=FALSE,LEFT($I12786,6)&lt;&gt;"VACUUM"),"CDU",IF($H12786="FLUID CAT CRACKING","FCC",IF(OR($H12786="HYDROCRACKING",$H12786="RESID_HYDROCRACKING"),"Hydrocracker",IF($H12786="REFORMING","Reformer",""))))</f>
        <v/>
      </c>
    </row>
    <row r="12787" spans="6:7">
      <c r="F12787" s="6">
        <f>IF($M12787="PADD I","PADD 1",IF($M12787="PADD II","PADD 2",IF($M12787="PADD III","PADD 3",IF($M12787="PADD IV","PADD 4",IF($M12787="PADD V","PADD 5","")))))</f>
        <v/>
      </c>
      <c r="G12787" s="6">
        <f>IF(AND($H12787="ATMOS DISTILLATION",ISNUMBER(SEARCH("VPS",$I12787))=FALSE,LEFT($I12787,6)&lt;&gt;"VACUUM"),"CDU",IF($H12787="FLUID CAT CRACKING","FCC",IF(OR($H12787="HYDROCRACKING",$H12787="RESID_HYDROCRACKING"),"Hydrocracker",IF($H12787="REFORMING","Reformer",""))))</f>
        <v/>
      </c>
    </row>
    <row r="12788" spans="6:7">
      <c r="F12788" s="6">
        <f>IF($M12788="PADD I","PADD 1",IF($M12788="PADD II","PADD 2",IF($M12788="PADD III","PADD 3",IF($M12788="PADD IV","PADD 4",IF($M12788="PADD V","PADD 5","")))))</f>
        <v/>
      </c>
      <c r="G12788" s="6">
        <f>IF(AND($H12788="ATMOS DISTILLATION",ISNUMBER(SEARCH("VPS",$I12788))=FALSE,LEFT($I12788,6)&lt;&gt;"VACUUM"),"CDU",IF($H12788="FLUID CAT CRACKING","FCC",IF(OR($H12788="HYDROCRACKING",$H12788="RESID_HYDROCRACKING"),"Hydrocracker",IF($H12788="REFORMING","Reformer",""))))</f>
        <v/>
      </c>
    </row>
    <row r="12789" spans="6:7">
      <c r="F12789" s="6">
        <f>IF($M12789="PADD I","PADD 1",IF($M12789="PADD II","PADD 2",IF($M12789="PADD III","PADD 3",IF($M12789="PADD IV","PADD 4",IF($M12789="PADD V","PADD 5","")))))</f>
        <v/>
      </c>
      <c r="G12789" s="6">
        <f>IF(AND($H12789="ATMOS DISTILLATION",ISNUMBER(SEARCH("VPS",$I12789))=FALSE,LEFT($I12789,6)&lt;&gt;"VACUUM"),"CDU",IF($H12789="FLUID CAT CRACKING","FCC",IF(OR($H12789="HYDROCRACKING",$H12789="RESID_HYDROCRACKING"),"Hydrocracker",IF($H12789="REFORMING","Reformer",""))))</f>
        <v/>
      </c>
    </row>
    <row r="12790" spans="6:7">
      <c r="F12790" s="6">
        <f>IF($M12790="PADD I","PADD 1",IF($M12790="PADD II","PADD 2",IF($M12790="PADD III","PADD 3",IF($M12790="PADD IV","PADD 4",IF($M12790="PADD V","PADD 5","")))))</f>
        <v/>
      </c>
      <c r="G12790" s="6">
        <f>IF(AND($H12790="ATMOS DISTILLATION",ISNUMBER(SEARCH("VPS",$I12790))=FALSE,LEFT($I12790,6)&lt;&gt;"VACUUM"),"CDU",IF($H12790="FLUID CAT CRACKING","FCC",IF(OR($H12790="HYDROCRACKING",$H12790="RESID_HYDROCRACKING"),"Hydrocracker",IF($H12790="REFORMING","Reformer",""))))</f>
        <v/>
      </c>
    </row>
    <row r="12791" spans="6:7">
      <c r="F12791" s="6">
        <f>IF($M12791="PADD I","PADD 1",IF($M12791="PADD II","PADD 2",IF($M12791="PADD III","PADD 3",IF($M12791="PADD IV","PADD 4",IF($M12791="PADD V","PADD 5","")))))</f>
        <v/>
      </c>
      <c r="G12791" s="6">
        <f>IF(AND($H12791="ATMOS DISTILLATION",ISNUMBER(SEARCH("VPS",$I12791))=FALSE,LEFT($I12791,6)&lt;&gt;"VACUUM"),"CDU",IF($H12791="FLUID CAT CRACKING","FCC",IF(OR($H12791="HYDROCRACKING",$H12791="RESID_HYDROCRACKING"),"Hydrocracker",IF($H12791="REFORMING","Reformer",""))))</f>
        <v/>
      </c>
    </row>
    <row r="12792" spans="6:7">
      <c r="F12792" s="6">
        <f>IF($M12792="PADD I","PADD 1",IF($M12792="PADD II","PADD 2",IF($M12792="PADD III","PADD 3",IF($M12792="PADD IV","PADD 4",IF($M12792="PADD V","PADD 5","")))))</f>
        <v/>
      </c>
      <c r="G12792" s="6">
        <f>IF(AND($H12792="ATMOS DISTILLATION",ISNUMBER(SEARCH("VPS",$I12792))=FALSE,LEFT($I12792,6)&lt;&gt;"VACUUM"),"CDU",IF($H12792="FLUID CAT CRACKING","FCC",IF(OR($H12792="HYDROCRACKING",$H12792="RESID_HYDROCRACKING"),"Hydrocracker",IF($H12792="REFORMING","Reformer",""))))</f>
        <v/>
      </c>
    </row>
    <row r="12793" spans="6:7">
      <c r="F12793" s="6">
        <f>IF($M12793="PADD I","PADD 1",IF($M12793="PADD II","PADD 2",IF($M12793="PADD III","PADD 3",IF($M12793="PADD IV","PADD 4",IF($M12793="PADD V","PADD 5","")))))</f>
        <v/>
      </c>
      <c r="G12793" s="6">
        <f>IF(AND($H12793="ATMOS DISTILLATION",ISNUMBER(SEARCH("VPS",$I12793))=FALSE,LEFT($I12793,6)&lt;&gt;"VACUUM"),"CDU",IF($H12793="FLUID CAT CRACKING","FCC",IF(OR($H12793="HYDROCRACKING",$H12793="RESID_HYDROCRACKING"),"Hydrocracker",IF($H12793="REFORMING","Reformer",""))))</f>
        <v/>
      </c>
    </row>
    <row r="12794" spans="6:7">
      <c r="F12794" s="6">
        <f>IF($M12794="PADD I","PADD 1",IF($M12794="PADD II","PADD 2",IF($M12794="PADD III","PADD 3",IF($M12794="PADD IV","PADD 4",IF($M12794="PADD V","PADD 5","")))))</f>
        <v/>
      </c>
      <c r="G12794" s="6">
        <f>IF(AND($H12794="ATMOS DISTILLATION",ISNUMBER(SEARCH("VPS",$I12794))=FALSE,LEFT($I12794,6)&lt;&gt;"VACUUM"),"CDU",IF($H12794="FLUID CAT CRACKING","FCC",IF(OR($H12794="HYDROCRACKING",$H12794="RESID_HYDROCRACKING"),"Hydrocracker",IF($H12794="REFORMING","Reformer",""))))</f>
        <v/>
      </c>
    </row>
    <row r="12795" spans="6:7">
      <c r="F12795" s="6">
        <f>IF($M12795="PADD I","PADD 1",IF($M12795="PADD II","PADD 2",IF($M12795="PADD III","PADD 3",IF($M12795="PADD IV","PADD 4",IF($M12795="PADD V","PADD 5","")))))</f>
        <v/>
      </c>
      <c r="G12795" s="6">
        <f>IF(AND($H12795="ATMOS DISTILLATION",ISNUMBER(SEARCH("VPS",$I12795))=FALSE,LEFT($I12795,6)&lt;&gt;"VACUUM"),"CDU",IF($H12795="FLUID CAT CRACKING","FCC",IF(OR($H12795="HYDROCRACKING",$H12795="RESID_HYDROCRACKING"),"Hydrocracker",IF($H12795="REFORMING","Reformer",""))))</f>
        <v/>
      </c>
    </row>
    <row r="12796" spans="6:7">
      <c r="F12796" s="6">
        <f>IF($M12796="PADD I","PADD 1",IF($M12796="PADD II","PADD 2",IF($M12796="PADD III","PADD 3",IF($M12796="PADD IV","PADD 4",IF($M12796="PADD V","PADD 5","")))))</f>
        <v/>
      </c>
      <c r="G12796" s="6">
        <f>IF(AND($H12796="ATMOS DISTILLATION",ISNUMBER(SEARCH("VPS",$I12796))=FALSE,LEFT($I12796,6)&lt;&gt;"VACUUM"),"CDU",IF($H12796="FLUID CAT CRACKING","FCC",IF(OR($H12796="HYDROCRACKING",$H12796="RESID_HYDROCRACKING"),"Hydrocracker",IF($H12796="REFORMING","Reformer",""))))</f>
        <v/>
      </c>
    </row>
    <row r="12797" spans="6:7">
      <c r="F12797" s="6">
        <f>IF($M12797="PADD I","PADD 1",IF($M12797="PADD II","PADD 2",IF($M12797="PADD III","PADD 3",IF($M12797="PADD IV","PADD 4",IF($M12797="PADD V","PADD 5","")))))</f>
        <v/>
      </c>
      <c r="G12797" s="6">
        <f>IF(AND($H12797="ATMOS DISTILLATION",ISNUMBER(SEARCH("VPS",$I12797))=FALSE,LEFT($I12797,6)&lt;&gt;"VACUUM"),"CDU",IF($H12797="FLUID CAT CRACKING","FCC",IF(OR($H12797="HYDROCRACKING",$H12797="RESID_HYDROCRACKING"),"Hydrocracker",IF($H12797="REFORMING","Reformer",""))))</f>
        <v/>
      </c>
    </row>
    <row r="12798" spans="6:7">
      <c r="F12798" s="6">
        <f>IF($M12798="PADD I","PADD 1",IF($M12798="PADD II","PADD 2",IF($M12798="PADD III","PADD 3",IF($M12798="PADD IV","PADD 4",IF($M12798="PADD V","PADD 5","")))))</f>
        <v/>
      </c>
      <c r="G12798" s="6">
        <f>IF(AND($H12798="ATMOS DISTILLATION",ISNUMBER(SEARCH("VPS",$I12798))=FALSE,LEFT($I12798,6)&lt;&gt;"VACUUM"),"CDU",IF($H12798="FLUID CAT CRACKING","FCC",IF(OR($H12798="HYDROCRACKING",$H12798="RESID_HYDROCRACKING"),"Hydrocracker",IF($H12798="REFORMING","Reformer",""))))</f>
        <v/>
      </c>
    </row>
    <row r="12799" spans="6:7">
      <c r="F12799" s="6">
        <f>IF($M12799="PADD I","PADD 1",IF($M12799="PADD II","PADD 2",IF($M12799="PADD III","PADD 3",IF($M12799="PADD IV","PADD 4",IF($M12799="PADD V","PADD 5","")))))</f>
        <v/>
      </c>
      <c r="G12799" s="6">
        <f>IF(AND($H12799="ATMOS DISTILLATION",ISNUMBER(SEARCH("VPS",$I12799))=FALSE,LEFT($I12799,6)&lt;&gt;"VACUUM"),"CDU",IF($H12799="FLUID CAT CRACKING","FCC",IF(OR($H12799="HYDROCRACKING",$H12799="RESID_HYDROCRACKING"),"Hydrocracker",IF($H12799="REFORMING","Reformer",""))))</f>
        <v/>
      </c>
    </row>
    <row r="12800" spans="6:7">
      <c r="F12800" s="6">
        <f>IF($M12800="PADD I","PADD 1",IF($M12800="PADD II","PADD 2",IF($M12800="PADD III","PADD 3",IF($M12800="PADD IV","PADD 4",IF($M12800="PADD V","PADD 5","")))))</f>
        <v/>
      </c>
      <c r="G12800" s="6">
        <f>IF(AND($H12800="ATMOS DISTILLATION",ISNUMBER(SEARCH("VPS",$I12800))=FALSE,LEFT($I12800,6)&lt;&gt;"VACUUM"),"CDU",IF($H12800="FLUID CAT CRACKING","FCC",IF(OR($H12800="HYDROCRACKING",$H12800="RESID_HYDROCRACKING"),"Hydrocracker",IF($H12800="REFORMING","Reformer",""))))</f>
        <v/>
      </c>
    </row>
    <row r="12801" spans="6:7">
      <c r="F12801" s="6">
        <f>IF($M12801="PADD I","PADD 1",IF($M12801="PADD II","PADD 2",IF($M12801="PADD III","PADD 3",IF($M12801="PADD IV","PADD 4",IF($M12801="PADD V","PADD 5","")))))</f>
        <v/>
      </c>
      <c r="G12801" s="6">
        <f>IF(AND($H12801="ATMOS DISTILLATION",ISNUMBER(SEARCH("VPS",$I12801))=FALSE,LEFT($I12801,6)&lt;&gt;"VACUUM"),"CDU",IF($H12801="FLUID CAT CRACKING","FCC",IF(OR($H12801="HYDROCRACKING",$H12801="RESID_HYDROCRACKING"),"Hydrocracker",IF($H12801="REFORMING","Reformer",""))))</f>
        <v/>
      </c>
    </row>
    <row r="12802" spans="6:7">
      <c r="F12802" s="6">
        <f>IF($M12802="PADD I","PADD 1",IF($M12802="PADD II","PADD 2",IF($M12802="PADD III","PADD 3",IF($M12802="PADD IV","PADD 4",IF($M12802="PADD V","PADD 5","")))))</f>
        <v/>
      </c>
      <c r="G12802" s="6">
        <f>IF(AND($H12802="ATMOS DISTILLATION",ISNUMBER(SEARCH("VPS",$I12802))=FALSE,LEFT($I12802,6)&lt;&gt;"VACUUM"),"CDU",IF($H12802="FLUID CAT CRACKING","FCC",IF(OR($H12802="HYDROCRACKING",$H12802="RESID_HYDROCRACKING"),"Hydrocracker",IF($H12802="REFORMING","Reformer",""))))</f>
        <v/>
      </c>
    </row>
    <row r="12803" spans="6:7">
      <c r="F12803" s="6">
        <f>IF($M12803="PADD I","PADD 1",IF($M12803="PADD II","PADD 2",IF($M12803="PADD III","PADD 3",IF($M12803="PADD IV","PADD 4",IF($M12803="PADD V","PADD 5","")))))</f>
        <v/>
      </c>
      <c r="G12803" s="6">
        <f>IF(AND($H12803="ATMOS DISTILLATION",ISNUMBER(SEARCH("VPS",$I12803))=FALSE,LEFT($I12803,6)&lt;&gt;"VACUUM"),"CDU",IF($H12803="FLUID CAT CRACKING","FCC",IF(OR($H12803="HYDROCRACKING",$H12803="RESID_HYDROCRACKING"),"Hydrocracker",IF($H12803="REFORMING","Reformer",""))))</f>
        <v/>
      </c>
    </row>
    <row r="12804" spans="6:7">
      <c r="F12804" s="6">
        <f>IF($M12804="PADD I","PADD 1",IF($M12804="PADD II","PADD 2",IF($M12804="PADD III","PADD 3",IF($M12804="PADD IV","PADD 4",IF($M12804="PADD V","PADD 5","")))))</f>
        <v/>
      </c>
      <c r="G12804" s="6">
        <f>IF(AND($H12804="ATMOS DISTILLATION",ISNUMBER(SEARCH("VPS",$I12804))=FALSE,LEFT($I12804,6)&lt;&gt;"VACUUM"),"CDU",IF($H12804="FLUID CAT CRACKING","FCC",IF(OR($H12804="HYDROCRACKING",$H12804="RESID_HYDROCRACKING"),"Hydrocracker",IF($H12804="REFORMING","Reformer",""))))</f>
        <v/>
      </c>
    </row>
    <row r="12805" spans="6:7">
      <c r="F12805" s="6">
        <f>IF($M12805="PADD I","PADD 1",IF($M12805="PADD II","PADD 2",IF($M12805="PADD III","PADD 3",IF($M12805="PADD IV","PADD 4",IF($M12805="PADD V","PADD 5","")))))</f>
        <v/>
      </c>
      <c r="G12805" s="6">
        <f>IF(AND($H12805="ATMOS DISTILLATION",ISNUMBER(SEARCH("VPS",$I12805))=FALSE,LEFT($I12805,6)&lt;&gt;"VACUUM"),"CDU",IF($H12805="FLUID CAT CRACKING","FCC",IF(OR($H12805="HYDROCRACKING",$H12805="RESID_HYDROCRACKING"),"Hydrocracker",IF($H12805="REFORMING","Reformer",""))))</f>
        <v/>
      </c>
    </row>
    <row r="12806" spans="6:7">
      <c r="F12806" s="6">
        <f>IF($M12806="PADD I","PADD 1",IF($M12806="PADD II","PADD 2",IF($M12806="PADD III","PADD 3",IF($M12806="PADD IV","PADD 4",IF($M12806="PADD V","PADD 5","")))))</f>
        <v/>
      </c>
      <c r="G12806" s="6">
        <f>IF(AND($H12806="ATMOS DISTILLATION",ISNUMBER(SEARCH("VPS",$I12806))=FALSE,LEFT($I12806,6)&lt;&gt;"VACUUM"),"CDU",IF($H12806="FLUID CAT CRACKING","FCC",IF(OR($H12806="HYDROCRACKING",$H12806="RESID_HYDROCRACKING"),"Hydrocracker",IF($H12806="REFORMING","Reformer",""))))</f>
        <v/>
      </c>
    </row>
    <row r="12807" spans="6:7">
      <c r="F12807" s="6">
        <f>IF($M12807="PADD I","PADD 1",IF($M12807="PADD II","PADD 2",IF($M12807="PADD III","PADD 3",IF($M12807="PADD IV","PADD 4",IF($M12807="PADD V","PADD 5","")))))</f>
        <v/>
      </c>
      <c r="G12807" s="6">
        <f>IF(AND($H12807="ATMOS DISTILLATION",ISNUMBER(SEARCH("VPS",$I12807))=FALSE,LEFT($I12807,6)&lt;&gt;"VACUUM"),"CDU",IF($H12807="FLUID CAT CRACKING","FCC",IF(OR($H12807="HYDROCRACKING",$H12807="RESID_HYDROCRACKING"),"Hydrocracker",IF($H12807="REFORMING","Reformer",""))))</f>
        <v/>
      </c>
    </row>
    <row r="12808" spans="6:7">
      <c r="F12808" s="6">
        <f>IF($M12808="PADD I","PADD 1",IF($M12808="PADD II","PADD 2",IF($M12808="PADD III","PADD 3",IF($M12808="PADD IV","PADD 4",IF($M12808="PADD V","PADD 5","")))))</f>
        <v/>
      </c>
      <c r="G12808" s="6">
        <f>IF(AND($H12808="ATMOS DISTILLATION",ISNUMBER(SEARCH("VPS",$I12808))=FALSE,LEFT($I12808,6)&lt;&gt;"VACUUM"),"CDU",IF($H12808="FLUID CAT CRACKING","FCC",IF(OR($H12808="HYDROCRACKING",$H12808="RESID_HYDROCRACKING"),"Hydrocracker",IF($H12808="REFORMING","Reformer",""))))</f>
        <v/>
      </c>
    </row>
    <row r="12809" spans="6:7">
      <c r="F12809" s="6">
        <f>IF($M12809="PADD I","PADD 1",IF($M12809="PADD II","PADD 2",IF($M12809="PADD III","PADD 3",IF($M12809="PADD IV","PADD 4",IF($M12809="PADD V","PADD 5","")))))</f>
        <v/>
      </c>
      <c r="G12809" s="6">
        <f>IF(AND($H12809="ATMOS DISTILLATION",ISNUMBER(SEARCH("VPS",$I12809))=FALSE,LEFT($I12809,6)&lt;&gt;"VACUUM"),"CDU",IF($H12809="FLUID CAT CRACKING","FCC",IF(OR($H12809="HYDROCRACKING",$H12809="RESID_HYDROCRACKING"),"Hydrocracker",IF($H12809="REFORMING","Reformer",""))))</f>
        <v/>
      </c>
    </row>
    <row r="12810" spans="6:7">
      <c r="F12810" s="6">
        <f>IF($M12810="PADD I","PADD 1",IF($M12810="PADD II","PADD 2",IF($M12810="PADD III","PADD 3",IF($M12810="PADD IV","PADD 4",IF($M12810="PADD V","PADD 5","")))))</f>
        <v/>
      </c>
      <c r="G12810" s="6">
        <f>IF(AND($H12810="ATMOS DISTILLATION",ISNUMBER(SEARCH("VPS",$I12810))=FALSE,LEFT($I12810,6)&lt;&gt;"VACUUM"),"CDU",IF($H12810="FLUID CAT CRACKING","FCC",IF(OR($H12810="HYDROCRACKING",$H12810="RESID_HYDROCRACKING"),"Hydrocracker",IF($H12810="REFORMING","Reformer",""))))</f>
        <v/>
      </c>
    </row>
    <row r="12811" spans="6:7">
      <c r="F12811" s="6">
        <f>IF($M12811="PADD I","PADD 1",IF($M12811="PADD II","PADD 2",IF($M12811="PADD III","PADD 3",IF($M12811="PADD IV","PADD 4",IF($M12811="PADD V","PADD 5","")))))</f>
        <v/>
      </c>
      <c r="G12811" s="6">
        <f>IF(AND($H12811="ATMOS DISTILLATION",ISNUMBER(SEARCH("VPS",$I12811))=FALSE,LEFT($I12811,6)&lt;&gt;"VACUUM"),"CDU",IF($H12811="FLUID CAT CRACKING","FCC",IF(OR($H12811="HYDROCRACKING",$H12811="RESID_HYDROCRACKING"),"Hydrocracker",IF($H12811="REFORMING","Reformer",""))))</f>
        <v/>
      </c>
    </row>
    <row r="12812" spans="6:7">
      <c r="F12812" s="6">
        <f>IF($M12812="PADD I","PADD 1",IF($M12812="PADD II","PADD 2",IF($M12812="PADD III","PADD 3",IF($M12812="PADD IV","PADD 4",IF($M12812="PADD V","PADD 5","")))))</f>
        <v/>
      </c>
      <c r="G12812" s="6">
        <f>IF(AND($H12812="ATMOS DISTILLATION",ISNUMBER(SEARCH("VPS",$I12812))=FALSE,LEFT($I12812,6)&lt;&gt;"VACUUM"),"CDU",IF($H12812="FLUID CAT CRACKING","FCC",IF(OR($H12812="HYDROCRACKING",$H12812="RESID_HYDROCRACKING"),"Hydrocracker",IF($H12812="REFORMING","Reformer",""))))</f>
        <v/>
      </c>
    </row>
    <row r="12813" spans="6:7">
      <c r="F12813" s="6">
        <f>IF($M12813="PADD I","PADD 1",IF($M12813="PADD II","PADD 2",IF($M12813="PADD III","PADD 3",IF($M12813="PADD IV","PADD 4",IF($M12813="PADD V","PADD 5","")))))</f>
        <v/>
      </c>
      <c r="G12813" s="6">
        <f>IF(AND($H12813="ATMOS DISTILLATION",ISNUMBER(SEARCH("VPS",$I12813))=FALSE,LEFT($I12813,6)&lt;&gt;"VACUUM"),"CDU",IF($H12813="FLUID CAT CRACKING","FCC",IF(OR($H12813="HYDROCRACKING",$H12813="RESID_HYDROCRACKING"),"Hydrocracker",IF($H12813="REFORMING","Reformer",""))))</f>
        <v/>
      </c>
    </row>
    <row r="12814" spans="6:7">
      <c r="F12814" s="6">
        <f>IF($M12814="PADD I","PADD 1",IF($M12814="PADD II","PADD 2",IF($M12814="PADD III","PADD 3",IF($M12814="PADD IV","PADD 4",IF($M12814="PADD V","PADD 5","")))))</f>
        <v/>
      </c>
      <c r="G12814" s="6">
        <f>IF(AND($H12814="ATMOS DISTILLATION",ISNUMBER(SEARCH("VPS",$I12814))=FALSE,LEFT($I12814,6)&lt;&gt;"VACUUM"),"CDU",IF($H12814="FLUID CAT CRACKING","FCC",IF(OR($H12814="HYDROCRACKING",$H12814="RESID_HYDROCRACKING"),"Hydrocracker",IF($H12814="REFORMING","Reformer",""))))</f>
        <v/>
      </c>
    </row>
    <row r="12815" spans="6:7">
      <c r="F12815" s="6">
        <f>IF($M12815="PADD I","PADD 1",IF($M12815="PADD II","PADD 2",IF($M12815="PADD III","PADD 3",IF($M12815="PADD IV","PADD 4",IF($M12815="PADD V","PADD 5","")))))</f>
        <v/>
      </c>
      <c r="G12815" s="6">
        <f>IF(AND($H12815="ATMOS DISTILLATION",ISNUMBER(SEARCH("VPS",$I12815))=FALSE,LEFT($I12815,6)&lt;&gt;"VACUUM"),"CDU",IF($H12815="FLUID CAT CRACKING","FCC",IF(OR($H12815="HYDROCRACKING",$H12815="RESID_HYDROCRACKING"),"Hydrocracker",IF($H12815="REFORMING","Reformer",""))))</f>
        <v/>
      </c>
    </row>
    <row r="12816" spans="6:7">
      <c r="F12816" s="6">
        <f>IF($M12816="PADD I","PADD 1",IF($M12816="PADD II","PADD 2",IF($M12816="PADD III","PADD 3",IF($M12816="PADD IV","PADD 4",IF($M12816="PADD V","PADD 5","")))))</f>
        <v/>
      </c>
      <c r="G12816" s="6">
        <f>IF(AND($H12816="ATMOS DISTILLATION",ISNUMBER(SEARCH("VPS",$I12816))=FALSE,LEFT($I12816,6)&lt;&gt;"VACUUM"),"CDU",IF($H12816="FLUID CAT CRACKING","FCC",IF(OR($H12816="HYDROCRACKING",$H12816="RESID_HYDROCRACKING"),"Hydrocracker",IF($H12816="REFORMING","Reformer",""))))</f>
        <v/>
      </c>
    </row>
    <row r="12817" spans="6:7">
      <c r="F12817" s="6">
        <f>IF($M12817="PADD I","PADD 1",IF($M12817="PADD II","PADD 2",IF($M12817="PADD III","PADD 3",IF($M12817="PADD IV","PADD 4",IF($M12817="PADD V","PADD 5","")))))</f>
        <v/>
      </c>
      <c r="G12817" s="6">
        <f>IF(AND($H12817="ATMOS DISTILLATION",ISNUMBER(SEARCH("VPS",$I12817))=FALSE,LEFT($I12817,6)&lt;&gt;"VACUUM"),"CDU",IF($H12817="FLUID CAT CRACKING","FCC",IF(OR($H12817="HYDROCRACKING",$H12817="RESID_HYDROCRACKING"),"Hydrocracker",IF($H12817="REFORMING","Reformer",""))))</f>
        <v/>
      </c>
    </row>
    <row r="12818" spans="6:7">
      <c r="F12818" s="6">
        <f>IF($M12818="PADD I","PADD 1",IF($M12818="PADD II","PADD 2",IF($M12818="PADD III","PADD 3",IF($M12818="PADD IV","PADD 4",IF($M12818="PADD V","PADD 5","")))))</f>
        <v/>
      </c>
      <c r="G12818" s="6">
        <f>IF(AND($H12818="ATMOS DISTILLATION",ISNUMBER(SEARCH("VPS",$I12818))=FALSE,LEFT($I12818,6)&lt;&gt;"VACUUM"),"CDU",IF($H12818="FLUID CAT CRACKING","FCC",IF(OR($H12818="HYDROCRACKING",$H12818="RESID_HYDROCRACKING"),"Hydrocracker",IF($H12818="REFORMING","Reformer",""))))</f>
        <v/>
      </c>
    </row>
    <row r="12819" spans="6:7">
      <c r="F12819" s="6">
        <f>IF($M12819="PADD I","PADD 1",IF($M12819="PADD II","PADD 2",IF($M12819="PADD III","PADD 3",IF($M12819="PADD IV","PADD 4",IF($M12819="PADD V","PADD 5","")))))</f>
        <v/>
      </c>
      <c r="G12819" s="6">
        <f>IF(AND($H12819="ATMOS DISTILLATION",ISNUMBER(SEARCH("VPS",$I12819))=FALSE,LEFT($I12819,6)&lt;&gt;"VACUUM"),"CDU",IF($H12819="FLUID CAT CRACKING","FCC",IF(OR($H12819="HYDROCRACKING",$H12819="RESID_HYDROCRACKING"),"Hydrocracker",IF($H12819="REFORMING","Reformer",""))))</f>
        <v/>
      </c>
    </row>
    <row r="12820" spans="6:7">
      <c r="F12820" s="6">
        <f>IF($M12820="PADD I","PADD 1",IF($M12820="PADD II","PADD 2",IF($M12820="PADD III","PADD 3",IF($M12820="PADD IV","PADD 4",IF($M12820="PADD V","PADD 5","")))))</f>
        <v/>
      </c>
      <c r="G12820" s="6">
        <f>IF(AND($H12820="ATMOS DISTILLATION",ISNUMBER(SEARCH("VPS",$I12820))=FALSE,LEFT($I12820,6)&lt;&gt;"VACUUM"),"CDU",IF($H12820="FLUID CAT CRACKING","FCC",IF(OR($H12820="HYDROCRACKING",$H12820="RESID_HYDROCRACKING"),"Hydrocracker",IF($H12820="REFORMING","Reformer",""))))</f>
        <v/>
      </c>
    </row>
    <row r="12821" spans="6:7">
      <c r="F12821" s="6">
        <f>IF($M12821="PADD I","PADD 1",IF($M12821="PADD II","PADD 2",IF($M12821="PADD III","PADD 3",IF($M12821="PADD IV","PADD 4",IF($M12821="PADD V","PADD 5","")))))</f>
        <v/>
      </c>
      <c r="G12821" s="6">
        <f>IF(AND($H12821="ATMOS DISTILLATION",ISNUMBER(SEARCH("VPS",$I12821))=FALSE,LEFT($I12821,6)&lt;&gt;"VACUUM"),"CDU",IF($H12821="FLUID CAT CRACKING","FCC",IF(OR($H12821="HYDROCRACKING",$H12821="RESID_HYDROCRACKING"),"Hydrocracker",IF($H12821="REFORMING","Reformer",""))))</f>
        <v/>
      </c>
    </row>
    <row r="12822" spans="6:7">
      <c r="F12822" s="6">
        <f>IF($M12822="PADD I","PADD 1",IF($M12822="PADD II","PADD 2",IF($M12822="PADD III","PADD 3",IF($M12822="PADD IV","PADD 4",IF($M12822="PADD V","PADD 5","")))))</f>
        <v/>
      </c>
      <c r="G12822" s="6">
        <f>IF(AND($H12822="ATMOS DISTILLATION",ISNUMBER(SEARCH("VPS",$I12822))=FALSE,LEFT($I12822,6)&lt;&gt;"VACUUM"),"CDU",IF($H12822="FLUID CAT CRACKING","FCC",IF(OR($H12822="HYDROCRACKING",$H12822="RESID_HYDROCRACKING"),"Hydrocracker",IF($H12822="REFORMING","Reformer",""))))</f>
        <v/>
      </c>
    </row>
    <row r="12823" spans="6:7">
      <c r="F12823" s="6">
        <f>IF($M12823="PADD I","PADD 1",IF($M12823="PADD II","PADD 2",IF($M12823="PADD III","PADD 3",IF($M12823="PADD IV","PADD 4",IF($M12823="PADD V","PADD 5","")))))</f>
        <v/>
      </c>
      <c r="G12823" s="6">
        <f>IF(AND($H12823="ATMOS DISTILLATION",ISNUMBER(SEARCH("VPS",$I12823))=FALSE,LEFT($I12823,6)&lt;&gt;"VACUUM"),"CDU",IF($H12823="FLUID CAT CRACKING","FCC",IF(OR($H12823="HYDROCRACKING",$H12823="RESID_HYDROCRACKING"),"Hydrocracker",IF($H12823="REFORMING","Reformer",""))))</f>
        <v/>
      </c>
    </row>
    <row r="12824" spans="6:7">
      <c r="F12824" s="6">
        <f>IF($M12824="PADD I","PADD 1",IF($M12824="PADD II","PADD 2",IF($M12824="PADD III","PADD 3",IF($M12824="PADD IV","PADD 4",IF($M12824="PADD V","PADD 5","")))))</f>
        <v/>
      </c>
      <c r="G12824" s="6">
        <f>IF(AND($H12824="ATMOS DISTILLATION",ISNUMBER(SEARCH("VPS",$I12824))=FALSE,LEFT($I12824,6)&lt;&gt;"VACUUM"),"CDU",IF($H12824="FLUID CAT CRACKING","FCC",IF(OR($H12824="HYDROCRACKING",$H12824="RESID_HYDROCRACKING"),"Hydrocracker",IF($H12824="REFORMING","Reformer",""))))</f>
        <v/>
      </c>
    </row>
    <row r="12825" spans="6:7">
      <c r="F12825" s="6">
        <f>IF($M12825="PADD I","PADD 1",IF($M12825="PADD II","PADD 2",IF($M12825="PADD III","PADD 3",IF($M12825="PADD IV","PADD 4",IF($M12825="PADD V","PADD 5","")))))</f>
        <v/>
      </c>
      <c r="G12825" s="6">
        <f>IF(AND($H12825="ATMOS DISTILLATION",ISNUMBER(SEARCH("VPS",$I12825))=FALSE,LEFT($I12825,6)&lt;&gt;"VACUUM"),"CDU",IF($H12825="FLUID CAT CRACKING","FCC",IF(OR($H12825="HYDROCRACKING",$H12825="RESID_HYDROCRACKING"),"Hydrocracker",IF($H12825="REFORMING","Reformer",""))))</f>
        <v/>
      </c>
    </row>
    <row r="12826" spans="6:7">
      <c r="F12826" s="6">
        <f>IF($M12826="PADD I","PADD 1",IF($M12826="PADD II","PADD 2",IF($M12826="PADD III","PADD 3",IF($M12826="PADD IV","PADD 4",IF($M12826="PADD V","PADD 5","")))))</f>
        <v/>
      </c>
      <c r="G12826" s="6">
        <f>IF(AND($H12826="ATMOS DISTILLATION",ISNUMBER(SEARCH("VPS",$I12826))=FALSE,LEFT($I12826,6)&lt;&gt;"VACUUM"),"CDU",IF($H12826="FLUID CAT CRACKING","FCC",IF(OR($H12826="HYDROCRACKING",$H12826="RESID_HYDROCRACKING"),"Hydrocracker",IF($H12826="REFORMING","Reformer",""))))</f>
        <v/>
      </c>
    </row>
    <row r="12827" spans="6:7">
      <c r="F12827" s="6">
        <f>IF($M12827="PADD I","PADD 1",IF($M12827="PADD II","PADD 2",IF($M12827="PADD III","PADD 3",IF($M12827="PADD IV","PADD 4",IF($M12827="PADD V","PADD 5","")))))</f>
        <v/>
      </c>
      <c r="G12827" s="6">
        <f>IF(AND($H12827="ATMOS DISTILLATION",ISNUMBER(SEARCH("VPS",$I12827))=FALSE,LEFT($I12827,6)&lt;&gt;"VACUUM"),"CDU",IF($H12827="FLUID CAT CRACKING","FCC",IF(OR($H12827="HYDROCRACKING",$H12827="RESID_HYDROCRACKING"),"Hydrocracker",IF($H12827="REFORMING","Reformer",""))))</f>
        <v/>
      </c>
    </row>
    <row r="12828" spans="6:7">
      <c r="F12828" s="6">
        <f>IF($M12828="PADD I","PADD 1",IF($M12828="PADD II","PADD 2",IF($M12828="PADD III","PADD 3",IF($M12828="PADD IV","PADD 4",IF($M12828="PADD V","PADD 5","")))))</f>
        <v/>
      </c>
      <c r="G12828" s="6">
        <f>IF(AND($H12828="ATMOS DISTILLATION",ISNUMBER(SEARCH("VPS",$I12828))=FALSE,LEFT($I12828,6)&lt;&gt;"VACUUM"),"CDU",IF($H12828="FLUID CAT CRACKING","FCC",IF(OR($H12828="HYDROCRACKING",$H12828="RESID_HYDROCRACKING"),"Hydrocracker",IF($H12828="REFORMING","Reformer",""))))</f>
        <v/>
      </c>
    </row>
    <row r="12829" spans="6:7">
      <c r="F12829" s="6">
        <f>IF($M12829="PADD I","PADD 1",IF($M12829="PADD II","PADD 2",IF($M12829="PADD III","PADD 3",IF($M12829="PADD IV","PADD 4",IF($M12829="PADD V","PADD 5","")))))</f>
        <v/>
      </c>
      <c r="G12829" s="6">
        <f>IF(AND($H12829="ATMOS DISTILLATION",ISNUMBER(SEARCH("VPS",$I12829))=FALSE,LEFT($I12829,6)&lt;&gt;"VACUUM"),"CDU",IF($H12829="FLUID CAT CRACKING","FCC",IF(OR($H12829="HYDROCRACKING",$H12829="RESID_HYDROCRACKING"),"Hydrocracker",IF($H12829="REFORMING","Reformer",""))))</f>
        <v/>
      </c>
    </row>
    <row r="12830" spans="6:7">
      <c r="F12830" s="6">
        <f>IF($M12830="PADD I","PADD 1",IF($M12830="PADD II","PADD 2",IF($M12830="PADD III","PADD 3",IF($M12830="PADD IV","PADD 4",IF($M12830="PADD V","PADD 5","")))))</f>
        <v/>
      </c>
      <c r="G12830" s="6">
        <f>IF(AND($H12830="ATMOS DISTILLATION",ISNUMBER(SEARCH("VPS",$I12830))=FALSE,LEFT($I12830,6)&lt;&gt;"VACUUM"),"CDU",IF($H12830="FLUID CAT CRACKING","FCC",IF(OR($H12830="HYDROCRACKING",$H12830="RESID_HYDROCRACKING"),"Hydrocracker",IF($H12830="REFORMING","Reformer",""))))</f>
        <v/>
      </c>
    </row>
    <row r="12831" spans="6:7">
      <c r="F12831" s="6">
        <f>IF($M12831="PADD I","PADD 1",IF($M12831="PADD II","PADD 2",IF($M12831="PADD III","PADD 3",IF($M12831="PADD IV","PADD 4",IF($M12831="PADD V","PADD 5","")))))</f>
        <v/>
      </c>
      <c r="G12831" s="6">
        <f>IF(AND($H12831="ATMOS DISTILLATION",ISNUMBER(SEARCH("VPS",$I12831))=FALSE,LEFT($I12831,6)&lt;&gt;"VACUUM"),"CDU",IF($H12831="FLUID CAT CRACKING","FCC",IF(OR($H12831="HYDROCRACKING",$H12831="RESID_HYDROCRACKING"),"Hydrocracker",IF($H12831="REFORMING","Reformer",""))))</f>
        <v/>
      </c>
    </row>
    <row r="12832" spans="6:7">
      <c r="F12832" s="6">
        <f>IF($M12832="PADD I","PADD 1",IF($M12832="PADD II","PADD 2",IF($M12832="PADD III","PADD 3",IF($M12832="PADD IV","PADD 4",IF($M12832="PADD V","PADD 5","")))))</f>
        <v/>
      </c>
      <c r="G12832" s="6">
        <f>IF(AND($H12832="ATMOS DISTILLATION",ISNUMBER(SEARCH("VPS",$I12832))=FALSE,LEFT($I12832,6)&lt;&gt;"VACUUM"),"CDU",IF($H12832="FLUID CAT CRACKING","FCC",IF(OR($H12832="HYDROCRACKING",$H12832="RESID_HYDROCRACKING"),"Hydrocracker",IF($H12832="REFORMING","Reformer",""))))</f>
        <v/>
      </c>
    </row>
    <row r="12833" spans="6:7">
      <c r="F12833" s="6">
        <f>IF($M12833="PADD I","PADD 1",IF($M12833="PADD II","PADD 2",IF($M12833="PADD III","PADD 3",IF($M12833="PADD IV","PADD 4",IF($M12833="PADD V","PADD 5","")))))</f>
        <v/>
      </c>
      <c r="G12833" s="6">
        <f>IF(AND($H12833="ATMOS DISTILLATION",ISNUMBER(SEARCH("VPS",$I12833))=FALSE,LEFT($I12833,6)&lt;&gt;"VACUUM"),"CDU",IF($H12833="FLUID CAT CRACKING","FCC",IF(OR($H12833="HYDROCRACKING",$H12833="RESID_HYDROCRACKING"),"Hydrocracker",IF($H12833="REFORMING","Reformer",""))))</f>
        <v/>
      </c>
    </row>
    <row r="12834" spans="6:7">
      <c r="F12834" s="6">
        <f>IF($M12834="PADD I","PADD 1",IF($M12834="PADD II","PADD 2",IF($M12834="PADD III","PADD 3",IF($M12834="PADD IV","PADD 4",IF($M12834="PADD V","PADD 5","")))))</f>
        <v/>
      </c>
      <c r="G12834" s="6">
        <f>IF(AND($H12834="ATMOS DISTILLATION",ISNUMBER(SEARCH("VPS",$I12834))=FALSE,LEFT($I12834,6)&lt;&gt;"VACUUM"),"CDU",IF($H12834="FLUID CAT CRACKING","FCC",IF(OR($H12834="HYDROCRACKING",$H12834="RESID_HYDROCRACKING"),"Hydrocracker",IF($H12834="REFORMING","Reformer",""))))</f>
        <v/>
      </c>
    </row>
    <row r="12835" spans="6:7">
      <c r="F12835" s="6">
        <f>IF($M12835="PADD I","PADD 1",IF($M12835="PADD II","PADD 2",IF($M12835="PADD III","PADD 3",IF($M12835="PADD IV","PADD 4",IF($M12835="PADD V","PADD 5","")))))</f>
        <v/>
      </c>
      <c r="G12835" s="6">
        <f>IF(AND($H12835="ATMOS DISTILLATION",ISNUMBER(SEARCH("VPS",$I12835))=FALSE,LEFT($I12835,6)&lt;&gt;"VACUUM"),"CDU",IF($H12835="FLUID CAT CRACKING","FCC",IF(OR($H12835="HYDROCRACKING",$H12835="RESID_HYDROCRACKING"),"Hydrocracker",IF($H12835="REFORMING","Reformer",""))))</f>
        <v/>
      </c>
    </row>
    <row r="12836" spans="6:7">
      <c r="F12836" s="6">
        <f>IF($M12836="PADD I","PADD 1",IF($M12836="PADD II","PADD 2",IF($M12836="PADD III","PADD 3",IF($M12836="PADD IV","PADD 4",IF($M12836="PADD V","PADD 5","")))))</f>
        <v/>
      </c>
      <c r="G12836" s="6">
        <f>IF(AND($H12836="ATMOS DISTILLATION",ISNUMBER(SEARCH("VPS",$I12836))=FALSE,LEFT($I12836,6)&lt;&gt;"VACUUM"),"CDU",IF($H12836="FLUID CAT CRACKING","FCC",IF(OR($H12836="HYDROCRACKING",$H12836="RESID_HYDROCRACKING"),"Hydrocracker",IF($H12836="REFORMING","Reformer",""))))</f>
        <v/>
      </c>
    </row>
    <row r="12837" spans="6:7">
      <c r="F12837" s="6">
        <f>IF($M12837="PADD I","PADD 1",IF($M12837="PADD II","PADD 2",IF($M12837="PADD III","PADD 3",IF($M12837="PADD IV","PADD 4",IF($M12837="PADD V","PADD 5","")))))</f>
        <v/>
      </c>
      <c r="G12837" s="6">
        <f>IF(AND($H12837="ATMOS DISTILLATION",ISNUMBER(SEARCH("VPS",$I12837))=FALSE,LEFT($I12837,6)&lt;&gt;"VACUUM"),"CDU",IF($H12837="FLUID CAT CRACKING","FCC",IF(OR($H12837="HYDROCRACKING",$H12837="RESID_HYDROCRACKING"),"Hydrocracker",IF($H12837="REFORMING","Reformer",""))))</f>
        <v/>
      </c>
    </row>
    <row r="12838" spans="6:7">
      <c r="F12838" s="6">
        <f>IF($M12838="PADD I","PADD 1",IF($M12838="PADD II","PADD 2",IF($M12838="PADD III","PADD 3",IF($M12838="PADD IV","PADD 4",IF($M12838="PADD V","PADD 5","")))))</f>
        <v/>
      </c>
      <c r="G12838" s="6">
        <f>IF(AND($H12838="ATMOS DISTILLATION",ISNUMBER(SEARCH("VPS",$I12838))=FALSE,LEFT($I12838,6)&lt;&gt;"VACUUM"),"CDU",IF($H12838="FLUID CAT CRACKING","FCC",IF(OR($H12838="HYDROCRACKING",$H12838="RESID_HYDROCRACKING"),"Hydrocracker",IF($H12838="REFORMING","Reformer",""))))</f>
        <v/>
      </c>
    </row>
    <row r="12839" spans="6:7">
      <c r="F12839" s="6">
        <f>IF($M12839="PADD I","PADD 1",IF($M12839="PADD II","PADD 2",IF($M12839="PADD III","PADD 3",IF($M12839="PADD IV","PADD 4",IF($M12839="PADD V","PADD 5","")))))</f>
        <v/>
      </c>
      <c r="G12839" s="6">
        <f>IF(AND($H12839="ATMOS DISTILLATION",ISNUMBER(SEARCH("VPS",$I12839))=FALSE,LEFT($I12839,6)&lt;&gt;"VACUUM"),"CDU",IF($H12839="FLUID CAT CRACKING","FCC",IF(OR($H12839="HYDROCRACKING",$H12839="RESID_HYDROCRACKING"),"Hydrocracker",IF($H12839="REFORMING","Reformer",""))))</f>
        <v/>
      </c>
    </row>
    <row r="12840" spans="6:7">
      <c r="F12840" s="6">
        <f>IF($M12840="PADD I","PADD 1",IF($M12840="PADD II","PADD 2",IF($M12840="PADD III","PADD 3",IF($M12840="PADD IV","PADD 4",IF($M12840="PADD V","PADD 5","")))))</f>
        <v/>
      </c>
      <c r="G12840" s="6">
        <f>IF(AND($H12840="ATMOS DISTILLATION",ISNUMBER(SEARCH("VPS",$I12840))=FALSE,LEFT($I12840,6)&lt;&gt;"VACUUM"),"CDU",IF($H12840="FLUID CAT CRACKING","FCC",IF(OR($H12840="HYDROCRACKING",$H12840="RESID_HYDROCRACKING"),"Hydrocracker",IF($H12840="REFORMING","Reformer",""))))</f>
        <v/>
      </c>
    </row>
    <row r="12841" spans="6:7">
      <c r="F12841" s="6">
        <f>IF($M12841="PADD I","PADD 1",IF($M12841="PADD II","PADD 2",IF($M12841="PADD III","PADD 3",IF($M12841="PADD IV","PADD 4",IF($M12841="PADD V","PADD 5","")))))</f>
        <v/>
      </c>
      <c r="G12841" s="6">
        <f>IF(AND($H12841="ATMOS DISTILLATION",ISNUMBER(SEARCH("VPS",$I12841))=FALSE,LEFT($I12841,6)&lt;&gt;"VACUUM"),"CDU",IF($H12841="FLUID CAT CRACKING","FCC",IF(OR($H12841="HYDROCRACKING",$H12841="RESID_HYDROCRACKING"),"Hydrocracker",IF($H12841="REFORMING","Reformer",""))))</f>
        <v/>
      </c>
    </row>
    <row r="12842" spans="6:7">
      <c r="F12842" s="6">
        <f>IF($M12842="PADD I","PADD 1",IF($M12842="PADD II","PADD 2",IF($M12842="PADD III","PADD 3",IF($M12842="PADD IV","PADD 4",IF($M12842="PADD V","PADD 5","")))))</f>
        <v/>
      </c>
      <c r="G12842" s="6">
        <f>IF(AND($H12842="ATMOS DISTILLATION",ISNUMBER(SEARCH("VPS",$I12842))=FALSE,LEFT($I12842,6)&lt;&gt;"VACUUM"),"CDU",IF($H12842="FLUID CAT CRACKING","FCC",IF(OR($H12842="HYDROCRACKING",$H12842="RESID_HYDROCRACKING"),"Hydrocracker",IF($H12842="REFORMING","Reformer",""))))</f>
        <v/>
      </c>
    </row>
    <row r="12843" spans="6:7">
      <c r="F12843" s="6">
        <f>IF($M12843="PADD I","PADD 1",IF($M12843="PADD II","PADD 2",IF($M12843="PADD III","PADD 3",IF($M12843="PADD IV","PADD 4",IF($M12843="PADD V","PADD 5","")))))</f>
        <v/>
      </c>
      <c r="G12843" s="6">
        <f>IF(AND($H12843="ATMOS DISTILLATION",ISNUMBER(SEARCH("VPS",$I12843))=FALSE,LEFT($I12843,6)&lt;&gt;"VACUUM"),"CDU",IF($H12843="FLUID CAT CRACKING","FCC",IF(OR($H12843="HYDROCRACKING",$H12843="RESID_HYDROCRACKING"),"Hydrocracker",IF($H12843="REFORMING","Reformer",""))))</f>
        <v/>
      </c>
    </row>
    <row r="12844" spans="6:7">
      <c r="F12844" s="6">
        <f>IF($M12844="PADD I","PADD 1",IF($M12844="PADD II","PADD 2",IF($M12844="PADD III","PADD 3",IF($M12844="PADD IV","PADD 4",IF($M12844="PADD V","PADD 5","")))))</f>
        <v/>
      </c>
      <c r="G12844" s="6">
        <f>IF(AND($H12844="ATMOS DISTILLATION",ISNUMBER(SEARCH("VPS",$I12844))=FALSE,LEFT($I12844,6)&lt;&gt;"VACUUM"),"CDU",IF($H12844="FLUID CAT CRACKING","FCC",IF(OR($H12844="HYDROCRACKING",$H12844="RESID_HYDROCRACKING"),"Hydrocracker",IF($H12844="REFORMING","Reformer",""))))</f>
        <v/>
      </c>
    </row>
    <row r="12845" spans="6:7">
      <c r="F12845" s="6">
        <f>IF($M12845="PADD I","PADD 1",IF($M12845="PADD II","PADD 2",IF($M12845="PADD III","PADD 3",IF($M12845="PADD IV","PADD 4",IF($M12845="PADD V","PADD 5","")))))</f>
        <v/>
      </c>
      <c r="G12845" s="6">
        <f>IF(AND($H12845="ATMOS DISTILLATION",ISNUMBER(SEARCH("VPS",$I12845))=FALSE,LEFT($I12845,6)&lt;&gt;"VACUUM"),"CDU",IF($H12845="FLUID CAT CRACKING","FCC",IF(OR($H12845="HYDROCRACKING",$H12845="RESID_HYDROCRACKING"),"Hydrocracker",IF($H12845="REFORMING","Reformer",""))))</f>
        <v/>
      </c>
    </row>
    <row r="12846" spans="6:7">
      <c r="F12846" s="6">
        <f>IF($M12846="PADD I","PADD 1",IF($M12846="PADD II","PADD 2",IF($M12846="PADD III","PADD 3",IF($M12846="PADD IV","PADD 4",IF($M12846="PADD V","PADD 5","")))))</f>
        <v/>
      </c>
      <c r="G12846" s="6">
        <f>IF(AND($H12846="ATMOS DISTILLATION",ISNUMBER(SEARCH("VPS",$I12846))=FALSE,LEFT($I12846,6)&lt;&gt;"VACUUM"),"CDU",IF($H12846="FLUID CAT CRACKING","FCC",IF(OR($H12846="HYDROCRACKING",$H12846="RESID_HYDROCRACKING"),"Hydrocracker",IF($H12846="REFORMING","Reformer",""))))</f>
        <v/>
      </c>
    </row>
    <row r="12847" spans="6:7">
      <c r="F12847" s="6">
        <f>IF($M12847="PADD I","PADD 1",IF($M12847="PADD II","PADD 2",IF($M12847="PADD III","PADD 3",IF($M12847="PADD IV","PADD 4",IF($M12847="PADD V","PADD 5","")))))</f>
        <v/>
      </c>
      <c r="G12847" s="6">
        <f>IF(AND($H12847="ATMOS DISTILLATION",ISNUMBER(SEARCH("VPS",$I12847))=FALSE,LEFT($I12847,6)&lt;&gt;"VACUUM"),"CDU",IF($H12847="FLUID CAT CRACKING","FCC",IF(OR($H12847="HYDROCRACKING",$H12847="RESID_HYDROCRACKING"),"Hydrocracker",IF($H12847="REFORMING","Reformer",""))))</f>
        <v/>
      </c>
    </row>
    <row r="12848" spans="6:7">
      <c r="F12848" s="6">
        <f>IF($M12848="PADD I","PADD 1",IF($M12848="PADD II","PADD 2",IF($M12848="PADD III","PADD 3",IF($M12848="PADD IV","PADD 4",IF($M12848="PADD V","PADD 5","")))))</f>
        <v/>
      </c>
      <c r="G12848" s="6">
        <f>IF(AND($H12848="ATMOS DISTILLATION",ISNUMBER(SEARCH("VPS",$I12848))=FALSE,LEFT($I12848,6)&lt;&gt;"VACUUM"),"CDU",IF($H12848="FLUID CAT CRACKING","FCC",IF(OR($H12848="HYDROCRACKING",$H12848="RESID_HYDROCRACKING"),"Hydrocracker",IF($H12848="REFORMING","Reformer",""))))</f>
        <v/>
      </c>
    </row>
    <row r="12849" spans="6:7">
      <c r="F12849" s="6">
        <f>IF($M12849="PADD I","PADD 1",IF($M12849="PADD II","PADD 2",IF($M12849="PADD III","PADD 3",IF($M12849="PADD IV","PADD 4",IF($M12849="PADD V","PADD 5","")))))</f>
        <v/>
      </c>
      <c r="G12849" s="6">
        <f>IF(AND($H12849="ATMOS DISTILLATION",ISNUMBER(SEARCH("VPS",$I12849))=FALSE,LEFT($I12849,6)&lt;&gt;"VACUUM"),"CDU",IF($H12849="FLUID CAT CRACKING","FCC",IF(OR($H12849="HYDROCRACKING",$H12849="RESID_HYDROCRACKING"),"Hydrocracker",IF($H12849="REFORMING","Reformer",""))))</f>
        <v/>
      </c>
    </row>
    <row r="12850" spans="6:7">
      <c r="F12850" s="6">
        <f>IF($M12850="PADD I","PADD 1",IF($M12850="PADD II","PADD 2",IF($M12850="PADD III","PADD 3",IF($M12850="PADD IV","PADD 4",IF($M12850="PADD V","PADD 5","")))))</f>
        <v/>
      </c>
      <c r="G12850" s="6">
        <f>IF(AND($H12850="ATMOS DISTILLATION",ISNUMBER(SEARCH("VPS",$I12850))=FALSE,LEFT($I12850,6)&lt;&gt;"VACUUM"),"CDU",IF($H12850="FLUID CAT CRACKING","FCC",IF(OR($H12850="HYDROCRACKING",$H12850="RESID_HYDROCRACKING"),"Hydrocracker",IF($H12850="REFORMING","Reformer",""))))</f>
        <v/>
      </c>
    </row>
    <row r="12851" spans="6:7">
      <c r="F12851" s="6">
        <f>IF($M12851="PADD I","PADD 1",IF($M12851="PADD II","PADD 2",IF($M12851="PADD III","PADD 3",IF($M12851="PADD IV","PADD 4",IF($M12851="PADD V","PADD 5","")))))</f>
        <v/>
      </c>
      <c r="G12851" s="6">
        <f>IF(AND($H12851="ATMOS DISTILLATION",ISNUMBER(SEARCH("VPS",$I12851))=FALSE,LEFT($I12851,6)&lt;&gt;"VACUUM"),"CDU",IF($H12851="FLUID CAT CRACKING","FCC",IF(OR($H12851="HYDROCRACKING",$H12851="RESID_HYDROCRACKING"),"Hydrocracker",IF($H12851="REFORMING","Reformer",""))))</f>
        <v/>
      </c>
    </row>
    <row r="12852" spans="6:7">
      <c r="F12852" s="6">
        <f>IF($M12852="PADD I","PADD 1",IF($M12852="PADD II","PADD 2",IF($M12852="PADD III","PADD 3",IF($M12852="PADD IV","PADD 4",IF($M12852="PADD V","PADD 5","")))))</f>
        <v/>
      </c>
      <c r="G12852" s="6">
        <f>IF(AND($H12852="ATMOS DISTILLATION",ISNUMBER(SEARCH("VPS",$I12852))=FALSE,LEFT($I12852,6)&lt;&gt;"VACUUM"),"CDU",IF($H12852="FLUID CAT CRACKING","FCC",IF(OR($H12852="HYDROCRACKING",$H12852="RESID_HYDROCRACKING"),"Hydrocracker",IF($H12852="REFORMING","Reformer",""))))</f>
        <v/>
      </c>
    </row>
    <row r="12853" spans="6:7">
      <c r="F12853" s="6">
        <f>IF($M12853="PADD I","PADD 1",IF($M12853="PADD II","PADD 2",IF($M12853="PADD III","PADD 3",IF($M12853="PADD IV","PADD 4",IF($M12853="PADD V","PADD 5","")))))</f>
        <v/>
      </c>
      <c r="G12853" s="6">
        <f>IF(AND($H12853="ATMOS DISTILLATION",ISNUMBER(SEARCH("VPS",$I12853))=FALSE,LEFT($I12853,6)&lt;&gt;"VACUUM"),"CDU",IF($H12853="FLUID CAT CRACKING","FCC",IF(OR($H12853="HYDROCRACKING",$H12853="RESID_HYDROCRACKING"),"Hydrocracker",IF($H12853="REFORMING","Reformer",""))))</f>
        <v/>
      </c>
    </row>
    <row r="12854" spans="6:7">
      <c r="F12854" s="6">
        <f>IF($M12854="PADD I","PADD 1",IF($M12854="PADD II","PADD 2",IF($M12854="PADD III","PADD 3",IF($M12854="PADD IV","PADD 4",IF($M12854="PADD V","PADD 5","")))))</f>
        <v/>
      </c>
      <c r="G12854" s="6">
        <f>IF(AND($H12854="ATMOS DISTILLATION",ISNUMBER(SEARCH("VPS",$I12854))=FALSE,LEFT($I12854,6)&lt;&gt;"VACUUM"),"CDU",IF($H12854="FLUID CAT CRACKING","FCC",IF(OR($H12854="HYDROCRACKING",$H12854="RESID_HYDROCRACKING"),"Hydrocracker",IF($H12854="REFORMING","Reformer",""))))</f>
        <v/>
      </c>
    </row>
    <row r="12855" spans="6:7">
      <c r="F12855" s="6">
        <f>IF($M12855="PADD I","PADD 1",IF($M12855="PADD II","PADD 2",IF($M12855="PADD III","PADD 3",IF($M12855="PADD IV","PADD 4",IF($M12855="PADD V","PADD 5","")))))</f>
        <v/>
      </c>
      <c r="G12855" s="6">
        <f>IF(AND($H12855="ATMOS DISTILLATION",ISNUMBER(SEARCH("VPS",$I12855))=FALSE,LEFT($I12855,6)&lt;&gt;"VACUUM"),"CDU",IF($H12855="FLUID CAT CRACKING","FCC",IF(OR($H12855="HYDROCRACKING",$H12855="RESID_HYDROCRACKING"),"Hydrocracker",IF($H12855="REFORMING","Reformer",""))))</f>
        <v/>
      </c>
    </row>
    <row r="12856" spans="6:7">
      <c r="F12856" s="6">
        <f>IF($M12856="PADD I","PADD 1",IF($M12856="PADD II","PADD 2",IF($M12856="PADD III","PADD 3",IF($M12856="PADD IV","PADD 4",IF($M12856="PADD V","PADD 5","")))))</f>
        <v/>
      </c>
      <c r="G12856" s="6">
        <f>IF(AND($H12856="ATMOS DISTILLATION",ISNUMBER(SEARCH("VPS",$I12856))=FALSE,LEFT($I12856,6)&lt;&gt;"VACUUM"),"CDU",IF($H12856="FLUID CAT CRACKING","FCC",IF(OR($H12856="HYDROCRACKING",$H12856="RESID_HYDROCRACKING"),"Hydrocracker",IF($H12856="REFORMING","Reformer",""))))</f>
        <v/>
      </c>
    </row>
    <row r="12857" spans="6:7">
      <c r="F12857" s="6">
        <f>IF($M12857="PADD I","PADD 1",IF($M12857="PADD II","PADD 2",IF($M12857="PADD III","PADD 3",IF($M12857="PADD IV","PADD 4",IF($M12857="PADD V","PADD 5","")))))</f>
        <v/>
      </c>
      <c r="G12857" s="6">
        <f>IF(AND($H12857="ATMOS DISTILLATION",ISNUMBER(SEARCH("VPS",$I12857))=FALSE,LEFT($I12857,6)&lt;&gt;"VACUUM"),"CDU",IF($H12857="FLUID CAT CRACKING","FCC",IF(OR($H12857="HYDROCRACKING",$H12857="RESID_HYDROCRACKING"),"Hydrocracker",IF($H12857="REFORMING","Reformer",""))))</f>
        <v/>
      </c>
    </row>
    <row r="12858" spans="6:7">
      <c r="F12858" s="6">
        <f>IF($M12858="PADD I","PADD 1",IF($M12858="PADD II","PADD 2",IF($M12858="PADD III","PADD 3",IF($M12858="PADD IV","PADD 4",IF($M12858="PADD V","PADD 5","")))))</f>
        <v/>
      </c>
      <c r="G12858" s="6">
        <f>IF(AND($H12858="ATMOS DISTILLATION",ISNUMBER(SEARCH("VPS",$I12858))=FALSE,LEFT($I12858,6)&lt;&gt;"VACUUM"),"CDU",IF($H12858="FLUID CAT CRACKING","FCC",IF(OR($H12858="HYDROCRACKING",$H12858="RESID_HYDROCRACKING"),"Hydrocracker",IF($H12858="REFORMING","Reformer",""))))</f>
        <v/>
      </c>
    </row>
    <row r="12859" spans="6:7">
      <c r="F12859" s="6">
        <f>IF($M12859="PADD I","PADD 1",IF($M12859="PADD II","PADD 2",IF($M12859="PADD III","PADD 3",IF($M12859="PADD IV","PADD 4",IF($M12859="PADD V","PADD 5","")))))</f>
        <v/>
      </c>
      <c r="G12859" s="6">
        <f>IF(AND($H12859="ATMOS DISTILLATION",ISNUMBER(SEARCH("VPS",$I12859))=FALSE,LEFT($I12859,6)&lt;&gt;"VACUUM"),"CDU",IF($H12859="FLUID CAT CRACKING","FCC",IF(OR($H12859="HYDROCRACKING",$H12859="RESID_HYDROCRACKING"),"Hydrocracker",IF($H12859="REFORMING","Reformer",""))))</f>
        <v/>
      </c>
    </row>
    <row r="12860" spans="6:7">
      <c r="F12860" s="6">
        <f>IF($M12860="PADD I","PADD 1",IF($M12860="PADD II","PADD 2",IF($M12860="PADD III","PADD 3",IF($M12860="PADD IV","PADD 4",IF($M12860="PADD V","PADD 5","")))))</f>
        <v/>
      </c>
      <c r="G12860" s="6">
        <f>IF(AND($H12860="ATMOS DISTILLATION",ISNUMBER(SEARCH("VPS",$I12860))=FALSE,LEFT($I12860,6)&lt;&gt;"VACUUM"),"CDU",IF($H12860="FLUID CAT CRACKING","FCC",IF(OR($H12860="HYDROCRACKING",$H12860="RESID_HYDROCRACKING"),"Hydrocracker",IF($H12860="REFORMING","Reformer",""))))</f>
        <v/>
      </c>
    </row>
    <row r="12861" spans="6:7">
      <c r="F12861" s="6">
        <f>IF($M12861="PADD I","PADD 1",IF($M12861="PADD II","PADD 2",IF($M12861="PADD III","PADD 3",IF($M12861="PADD IV","PADD 4",IF($M12861="PADD V","PADD 5","")))))</f>
        <v/>
      </c>
      <c r="G12861" s="6">
        <f>IF(AND($H12861="ATMOS DISTILLATION",ISNUMBER(SEARCH("VPS",$I12861))=FALSE,LEFT($I12861,6)&lt;&gt;"VACUUM"),"CDU",IF($H12861="FLUID CAT CRACKING","FCC",IF(OR($H12861="HYDROCRACKING",$H12861="RESID_HYDROCRACKING"),"Hydrocracker",IF($H12861="REFORMING","Reformer",""))))</f>
        <v/>
      </c>
    </row>
    <row r="12862" spans="6:7">
      <c r="F12862" s="6">
        <f>IF($M12862="PADD I","PADD 1",IF($M12862="PADD II","PADD 2",IF($M12862="PADD III","PADD 3",IF($M12862="PADD IV","PADD 4",IF($M12862="PADD V","PADD 5","")))))</f>
        <v/>
      </c>
      <c r="G12862" s="6">
        <f>IF(AND($H12862="ATMOS DISTILLATION",ISNUMBER(SEARCH("VPS",$I12862))=FALSE,LEFT($I12862,6)&lt;&gt;"VACUUM"),"CDU",IF($H12862="FLUID CAT CRACKING","FCC",IF(OR($H12862="HYDROCRACKING",$H12862="RESID_HYDROCRACKING"),"Hydrocracker",IF($H12862="REFORMING","Reformer",""))))</f>
        <v/>
      </c>
    </row>
    <row r="12863" spans="6:7">
      <c r="F12863" s="6">
        <f>IF($M12863="PADD I","PADD 1",IF($M12863="PADD II","PADD 2",IF($M12863="PADD III","PADD 3",IF($M12863="PADD IV","PADD 4",IF($M12863="PADD V","PADD 5","")))))</f>
        <v/>
      </c>
      <c r="G12863" s="6">
        <f>IF(AND($H12863="ATMOS DISTILLATION",ISNUMBER(SEARCH("VPS",$I12863))=FALSE,LEFT($I12863,6)&lt;&gt;"VACUUM"),"CDU",IF($H12863="FLUID CAT CRACKING","FCC",IF(OR($H12863="HYDROCRACKING",$H12863="RESID_HYDROCRACKING"),"Hydrocracker",IF($H12863="REFORMING","Reformer",""))))</f>
        <v/>
      </c>
    </row>
    <row r="12864" spans="6:7">
      <c r="F12864" s="6">
        <f>IF($M12864="PADD I","PADD 1",IF($M12864="PADD II","PADD 2",IF($M12864="PADD III","PADD 3",IF($M12864="PADD IV","PADD 4",IF($M12864="PADD V","PADD 5","")))))</f>
        <v/>
      </c>
      <c r="G12864" s="6">
        <f>IF(AND($H12864="ATMOS DISTILLATION",ISNUMBER(SEARCH("VPS",$I12864))=FALSE,LEFT($I12864,6)&lt;&gt;"VACUUM"),"CDU",IF($H12864="FLUID CAT CRACKING","FCC",IF(OR($H12864="HYDROCRACKING",$H12864="RESID_HYDROCRACKING"),"Hydrocracker",IF($H12864="REFORMING","Reformer",""))))</f>
        <v/>
      </c>
    </row>
    <row r="12865" spans="6:7">
      <c r="F12865" s="6">
        <f>IF($M12865="PADD I","PADD 1",IF($M12865="PADD II","PADD 2",IF($M12865="PADD III","PADD 3",IF($M12865="PADD IV","PADD 4",IF($M12865="PADD V","PADD 5","")))))</f>
        <v/>
      </c>
      <c r="G12865" s="6">
        <f>IF(AND($H12865="ATMOS DISTILLATION",ISNUMBER(SEARCH("VPS",$I12865))=FALSE,LEFT($I12865,6)&lt;&gt;"VACUUM"),"CDU",IF($H12865="FLUID CAT CRACKING","FCC",IF(OR($H12865="HYDROCRACKING",$H12865="RESID_HYDROCRACKING"),"Hydrocracker",IF($H12865="REFORMING","Reformer",""))))</f>
        <v/>
      </c>
    </row>
    <row r="12866" spans="6:7">
      <c r="F12866" s="6">
        <f>IF($M12866="PADD I","PADD 1",IF($M12866="PADD II","PADD 2",IF($M12866="PADD III","PADD 3",IF($M12866="PADD IV","PADD 4",IF($M12866="PADD V","PADD 5","")))))</f>
        <v/>
      </c>
      <c r="G12866" s="6">
        <f>IF(AND($H12866="ATMOS DISTILLATION",ISNUMBER(SEARCH("VPS",$I12866))=FALSE,LEFT($I12866,6)&lt;&gt;"VACUUM"),"CDU",IF($H12866="FLUID CAT CRACKING","FCC",IF(OR($H12866="HYDROCRACKING",$H12866="RESID_HYDROCRACKING"),"Hydrocracker",IF($H12866="REFORMING","Reformer",""))))</f>
        <v/>
      </c>
    </row>
    <row r="12867" spans="6:7">
      <c r="F12867" s="6">
        <f>IF($M12867="PADD I","PADD 1",IF($M12867="PADD II","PADD 2",IF($M12867="PADD III","PADD 3",IF($M12867="PADD IV","PADD 4",IF($M12867="PADD V","PADD 5","")))))</f>
        <v/>
      </c>
      <c r="G12867" s="6">
        <f>IF(AND($H12867="ATMOS DISTILLATION",ISNUMBER(SEARCH("VPS",$I12867))=FALSE,LEFT($I12867,6)&lt;&gt;"VACUUM"),"CDU",IF($H12867="FLUID CAT CRACKING","FCC",IF(OR($H12867="HYDROCRACKING",$H12867="RESID_HYDROCRACKING"),"Hydrocracker",IF($H12867="REFORMING","Reformer",""))))</f>
        <v/>
      </c>
    </row>
    <row r="12868" spans="6:7">
      <c r="F12868" s="6">
        <f>IF($M12868="PADD I","PADD 1",IF($M12868="PADD II","PADD 2",IF($M12868="PADD III","PADD 3",IF($M12868="PADD IV","PADD 4",IF($M12868="PADD V","PADD 5","")))))</f>
        <v/>
      </c>
      <c r="G12868" s="6">
        <f>IF(AND($H12868="ATMOS DISTILLATION",ISNUMBER(SEARCH("VPS",$I12868))=FALSE,LEFT($I12868,6)&lt;&gt;"VACUUM"),"CDU",IF($H12868="FLUID CAT CRACKING","FCC",IF(OR($H12868="HYDROCRACKING",$H12868="RESID_HYDROCRACKING"),"Hydrocracker",IF($H12868="REFORMING","Reformer",""))))</f>
        <v/>
      </c>
    </row>
    <row r="12869" spans="6:7">
      <c r="F12869" s="6">
        <f>IF($M12869="PADD I","PADD 1",IF($M12869="PADD II","PADD 2",IF($M12869="PADD III","PADD 3",IF($M12869="PADD IV","PADD 4",IF($M12869="PADD V","PADD 5","")))))</f>
        <v/>
      </c>
      <c r="G12869" s="6">
        <f>IF(AND($H12869="ATMOS DISTILLATION",ISNUMBER(SEARCH("VPS",$I12869))=FALSE,LEFT($I12869,6)&lt;&gt;"VACUUM"),"CDU",IF($H12869="FLUID CAT CRACKING","FCC",IF(OR($H12869="HYDROCRACKING",$H12869="RESID_HYDROCRACKING"),"Hydrocracker",IF($H12869="REFORMING","Reformer",""))))</f>
        <v/>
      </c>
    </row>
    <row r="12870" spans="6:7">
      <c r="F12870" s="6">
        <f>IF($M12870="PADD I","PADD 1",IF($M12870="PADD II","PADD 2",IF($M12870="PADD III","PADD 3",IF($M12870="PADD IV","PADD 4",IF($M12870="PADD V","PADD 5","")))))</f>
        <v/>
      </c>
      <c r="G12870" s="6">
        <f>IF(AND($H12870="ATMOS DISTILLATION",ISNUMBER(SEARCH("VPS",$I12870))=FALSE,LEFT($I12870,6)&lt;&gt;"VACUUM"),"CDU",IF($H12870="FLUID CAT CRACKING","FCC",IF(OR($H12870="HYDROCRACKING",$H12870="RESID_HYDROCRACKING"),"Hydrocracker",IF($H12870="REFORMING","Reformer",""))))</f>
        <v/>
      </c>
    </row>
    <row r="12871" spans="6:7">
      <c r="F12871" s="6">
        <f>IF($M12871="PADD I","PADD 1",IF($M12871="PADD II","PADD 2",IF($M12871="PADD III","PADD 3",IF($M12871="PADD IV","PADD 4",IF($M12871="PADD V","PADD 5","")))))</f>
        <v/>
      </c>
      <c r="G12871" s="6">
        <f>IF(AND($H12871="ATMOS DISTILLATION",ISNUMBER(SEARCH("VPS",$I12871))=FALSE,LEFT($I12871,6)&lt;&gt;"VACUUM"),"CDU",IF($H12871="FLUID CAT CRACKING","FCC",IF(OR($H12871="HYDROCRACKING",$H12871="RESID_HYDROCRACKING"),"Hydrocracker",IF($H12871="REFORMING","Reformer",""))))</f>
        <v/>
      </c>
    </row>
    <row r="12872" spans="6:7">
      <c r="F12872" s="6">
        <f>IF($M12872="PADD I","PADD 1",IF($M12872="PADD II","PADD 2",IF($M12872="PADD III","PADD 3",IF($M12872="PADD IV","PADD 4",IF($M12872="PADD V","PADD 5","")))))</f>
        <v/>
      </c>
      <c r="G12872" s="6">
        <f>IF(AND($H12872="ATMOS DISTILLATION",ISNUMBER(SEARCH("VPS",$I12872))=FALSE,LEFT($I12872,6)&lt;&gt;"VACUUM"),"CDU",IF($H12872="FLUID CAT CRACKING","FCC",IF(OR($H12872="HYDROCRACKING",$H12872="RESID_HYDROCRACKING"),"Hydrocracker",IF($H12872="REFORMING","Reformer",""))))</f>
        <v/>
      </c>
    </row>
    <row r="12873" spans="6:7">
      <c r="F12873" s="6">
        <f>IF($M12873="PADD I","PADD 1",IF($M12873="PADD II","PADD 2",IF($M12873="PADD III","PADD 3",IF($M12873="PADD IV","PADD 4",IF($M12873="PADD V","PADD 5","")))))</f>
        <v/>
      </c>
      <c r="G12873" s="6">
        <f>IF(AND($H12873="ATMOS DISTILLATION",ISNUMBER(SEARCH("VPS",$I12873))=FALSE,LEFT($I12873,6)&lt;&gt;"VACUUM"),"CDU",IF($H12873="FLUID CAT CRACKING","FCC",IF(OR($H12873="HYDROCRACKING",$H12873="RESID_HYDROCRACKING"),"Hydrocracker",IF($H12873="REFORMING","Reformer",""))))</f>
        <v/>
      </c>
    </row>
    <row r="12874" spans="6:7">
      <c r="F12874" s="6">
        <f>IF($M12874="PADD I","PADD 1",IF($M12874="PADD II","PADD 2",IF($M12874="PADD III","PADD 3",IF($M12874="PADD IV","PADD 4",IF($M12874="PADD V","PADD 5","")))))</f>
        <v/>
      </c>
      <c r="G12874" s="6">
        <f>IF(AND($H12874="ATMOS DISTILLATION",ISNUMBER(SEARCH("VPS",$I12874))=FALSE,LEFT($I12874,6)&lt;&gt;"VACUUM"),"CDU",IF($H12874="FLUID CAT CRACKING","FCC",IF(OR($H12874="HYDROCRACKING",$H12874="RESID_HYDROCRACKING"),"Hydrocracker",IF($H12874="REFORMING","Reformer",""))))</f>
        <v/>
      </c>
    </row>
    <row r="12875" spans="6:7">
      <c r="F12875" s="6">
        <f>IF($M12875="PADD I","PADD 1",IF($M12875="PADD II","PADD 2",IF($M12875="PADD III","PADD 3",IF($M12875="PADD IV","PADD 4",IF($M12875="PADD V","PADD 5","")))))</f>
        <v/>
      </c>
      <c r="G12875" s="6">
        <f>IF(AND($H12875="ATMOS DISTILLATION",ISNUMBER(SEARCH("VPS",$I12875))=FALSE,LEFT($I12875,6)&lt;&gt;"VACUUM"),"CDU",IF($H12875="FLUID CAT CRACKING","FCC",IF(OR($H12875="HYDROCRACKING",$H12875="RESID_HYDROCRACKING"),"Hydrocracker",IF($H12875="REFORMING","Reformer",""))))</f>
        <v/>
      </c>
    </row>
    <row r="12876" spans="6:7">
      <c r="F12876" s="6">
        <f>IF($M12876="PADD I","PADD 1",IF($M12876="PADD II","PADD 2",IF($M12876="PADD III","PADD 3",IF($M12876="PADD IV","PADD 4",IF($M12876="PADD V","PADD 5","")))))</f>
        <v/>
      </c>
      <c r="G12876" s="6">
        <f>IF(AND($H12876="ATMOS DISTILLATION",ISNUMBER(SEARCH("VPS",$I12876))=FALSE,LEFT($I12876,6)&lt;&gt;"VACUUM"),"CDU",IF($H12876="FLUID CAT CRACKING","FCC",IF(OR($H12876="HYDROCRACKING",$H12876="RESID_HYDROCRACKING"),"Hydrocracker",IF($H12876="REFORMING","Reformer",""))))</f>
        <v/>
      </c>
    </row>
    <row r="12877" spans="6:7">
      <c r="F12877" s="6">
        <f>IF($M12877="PADD I","PADD 1",IF($M12877="PADD II","PADD 2",IF($M12877="PADD III","PADD 3",IF($M12877="PADD IV","PADD 4",IF($M12877="PADD V","PADD 5","")))))</f>
        <v/>
      </c>
      <c r="G12877" s="6">
        <f>IF(AND($H12877="ATMOS DISTILLATION",ISNUMBER(SEARCH("VPS",$I12877))=FALSE,LEFT($I12877,6)&lt;&gt;"VACUUM"),"CDU",IF($H12877="FLUID CAT CRACKING","FCC",IF(OR($H12877="HYDROCRACKING",$H12877="RESID_HYDROCRACKING"),"Hydrocracker",IF($H12877="REFORMING","Reformer",""))))</f>
        <v/>
      </c>
    </row>
    <row r="12878" spans="6:7">
      <c r="F12878" s="6">
        <f>IF($M12878="PADD I","PADD 1",IF($M12878="PADD II","PADD 2",IF($M12878="PADD III","PADD 3",IF($M12878="PADD IV","PADD 4",IF($M12878="PADD V","PADD 5","")))))</f>
        <v/>
      </c>
      <c r="G12878" s="6">
        <f>IF(AND($H12878="ATMOS DISTILLATION",ISNUMBER(SEARCH("VPS",$I12878))=FALSE,LEFT($I12878,6)&lt;&gt;"VACUUM"),"CDU",IF($H12878="FLUID CAT CRACKING","FCC",IF(OR($H12878="HYDROCRACKING",$H12878="RESID_HYDROCRACKING"),"Hydrocracker",IF($H12878="REFORMING","Reformer",""))))</f>
        <v/>
      </c>
    </row>
    <row r="12879" spans="6:7">
      <c r="F12879" s="6">
        <f>IF($M12879="PADD I","PADD 1",IF($M12879="PADD II","PADD 2",IF($M12879="PADD III","PADD 3",IF($M12879="PADD IV","PADD 4",IF($M12879="PADD V","PADD 5","")))))</f>
        <v/>
      </c>
      <c r="G12879" s="6">
        <f>IF(AND($H12879="ATMOS DISTILLATION",ISNUMBER(SEARCH("VPS",$I12879))=FALSE,LEFT($I12879,6)&lt;&gt;"VACUUM"),"CDU",IF($H12879="FLUID CAT CRACKING","FCC",IF(OR($H12879="HYDROCRACKING",$H12879="RESID_HYDROCRACKING"),"Hydrocracker",IF($H12879="REFORMING","Reformer",""))))</f>
        <v/>
      </c>
    </row>
    <row r="12880" spans="6:7">
      <c r="F12880" s="6">
        <f>IF($M12880="PADD I","PADD 1",IF($M12880="PADD II","PADD 2",IF($M12880="PADD III","PADD 3",IF($M12880="PADD IV","PADD 4",IF($M12880="PADD V","PADD 5","")))))</f>
        <v/>
      </c>
      <c r="G12880" s="6">
        <f>IF(AND($H12880="ATMOS DISTILLATION",ISNUMBER(SEARCH("VPS",$I12880))=FALSE,LEFT($I12880,6)&lt;&gt;"VACUUM"),"CDU",IF($H12880="FLUID CAT CRACKING","FCC",IF(OR($H12880="HYDROCRACKING",$H12880="RESID_HYDROCRACKING"),"Hydrocracker",IF($H12880="REFORMING","Reformer",""))))</f>
        <v/>
      </c>
    </row>
    <row r="12881" spans="6:7">
      <c r="F12881" s="6">
        <f>IF($M12881="PADD I","PADD 1",IF($M12881="PADD II","PADD 2",IF($M12881="PADD III","PADD 3",IF($M12881="PADD IV","PADD 4",IF($M12881="PADD V","PADD 5","")))))</f>
        <v/>
      </c>
      <c r="G12881" s="6">
        <f>IF(AND($H12881="ATMOS DISTILLATION",ISNUMBER(SEARCH("VPS",$I12881))=FALSE,LEFT($I12881,6)&lt;&gt;"VACUUM"),"CDU",IF($H12881="FLUID CAT CRACKING","FCC",IF(OR($H12881="HYDROCRACKING",$H12881="RESID_HYDROCRACKING"),"Hydrocracker",IF($H12881="REFORMING","Reformer",""))))</f>
        <v/>
      </c>
    </row>
    <row r="12882" spans="6:7">
      <c r="F12882" s="6">
        <f>IF($M12882="PADD I","PADD 1",IF($M12882="PADD II","PADD 2",IF($M12882="PADD III","PADD 3",IF($M12882="PADD IV","PADD 4",IF($M12882="PADD V","PADD 5","")))))</f>
        <v/>
      </c>
      <c r="G12882" s="6">
        <f>IF(AND($H12882="ATMOS DISTILLATION",ISNUMBER(SEARCH("VPS",$I12882))=FALSE,LEFT($I12882,6)&lt;&gt;"VACUUM"),"CDU",IF($H12882="FLUID CAT CRACKING","FCC",IF(OR($H12882="HYDROCRACKING",$H12882="RESID_HYDROCRACKING"),"Hydrocracker",IF($H12882="REFORMING","Reformer",""))))</f>
        <v/>
      </c>
    </row>
    <row r="12883" spans="6:7">
      <c r="F12883" s="6">
        <f>IF($M12883="PADD I","PADD 1",IF($M12883="PADD II","PADD 2",IF($M12883="PADD III","PADD 3",IF($M12883="PADD IV","PADD 4",IF($M12883="PADD V","PADD 5","")))))</f>
        <v/>
      </c>
      <c r="G12883" s="6">
        <f>IF(AND($H12883="ATMOS DISTILLATION",ISNUMBER(SEARCH("VPS",$I12883))=FALSE,LEFT($I12883,6)&lt;&gt;"VACUUM"),"CDU",IF($H12883="FLUID CAT CRACKING","FCC",IF(OR($H12883="HYDROCRACKING",$H12883="RESID_HYDROCRACKING"),"Hydrocracker",IF($H12883="REFORMING","Reformer",""))))</f>
        <v/>
      </c>
    </row>
    <row r="12884" spans="6:7">
      <c r="F12884" s="6">
        <f>IF($M12884="PADD I","PADD 1",IF($M12884="PADD II","PADD 2",IF($M12884="PADD III","PADD 3",IF($M12884="PADD IV","PADD 4",IF($M12884="PADD V","PADD 5","")))))</f>
        <v/>
      </c>
      <c r="G12884" s="6">
        <f>IF(AND($H12884="ATMOS DISTILLATION",ISNUMBER(SEARCH("VPS",$I12884))=FALSE,LEFT($I12884,6)&lt;&gt;"VACUUM"),"CDU",IF($H12884="FLUID CAT CRACKING","FCC",IF(OR($H12884="HYDROCRACKING",$H12884="RESID_HYDROCRACKING"),"Hydrocracker",IF($H12884="REFORMING","Reformer",""))))</f>
        <v/>
      </c>
    </row>
    <row r="12885" spans="6:7">
      <c r="F12885" s="6">
        <f>IF($M12885="PADD I","PADD 1",IF($M12885="PADD II","PADD 2",IF($M12885="PADD III","PADD 3",IF($M12885="PADD IV","PADD 4",IF($M12885="PADD V","PADD 5","")))))</f>
        <v/>
      </c>
      <c r="G12885" s="6">
        <f>IF(AND($H12885="ATMOS DISTILLATION",ISNUMBER(SEARCH("VPS",$I12885))=FALSE,LEFT($I12885,6)&lt;&gt;"VACUUM"),"CDU",IF($H12885="FLUID CAT CRACKING","FCC",IF(OR($H12885="HYDROCRACKING",$H12885="RESID_HYDROCRACKING"),"Hydrocracker",IF($H12885="REFORMING","Reformer",""))))</f>
        <v/>
      </c>
    </row>
    <row r="12886" spans="6:7">
      <c r="F12886" s="6">
        <f>IF($M12886="PADD I","PADD 1",IF($M12886="PADD II","PADD 2",IF($M12886="PADD III","PADD 3",IF($M12886="PADD IV","PADD 4",IF($M12886="PADD V","PADD 5","")))))</f>
        <v/>
      </c>
      <c r="G12886" s="6">
        <f>IF(AND($H12886="ATMOS DISTILLATION",ISNUMBER(SEARCH("VPS",$I12886))=FALSE,LEFT($I12886,6)&lt;&gt;"VACUUM"),"CDU",IF($H12886="FLUID CAT CRACKING","FCC",IF(OR($H12886="HYDROCRACKING",$H12886="RESID_HYDROCRACKING"),"Hydrocracker",IF($H12886="REFORMING","Reformer",""))))</f>
        <v/>
      </c>
    </row>
    <row r="12887" spans="6:7">
      <c r="F12887" s="6">
        <f>IF($M12887="PADD I","PADD 1",IF($M12887="PADD II","PADD 2",IF($M12887="PADD III","PADD 3",IF($M12887="PADD IV","PADD 4",IF($M12887="PADD V","PADD 5","")))))</f>
        <v/>
      </c>
      <c r="G12887" s="6">
        <f>IF(AND($H12887="ATMOS DISTILLATION",ISNUMBER(SEARCH("VPS",$I12887))=FALSE,LEFT($I12887,6)&lt;&gt;"VACUUM"),"CDU",IF($H12887="FLUID CAT CRACKING","FCC",IF(OR($H12887="HYDROCRACKING",$H12887="RESID_HYDROCRACKING"),"Hydrocracker",IF($H12887="REFORMING","Reformer",""))))</f>
        <v/>
      </c>
    </row>
    <row r="12888" spans="6:7">
      <c r="F12888" s="6">
        <f>IF($M12888="PADD I","PADD 1",IF($M12888="PADD II","PADD 2",IF($M12888="PADD III","PADD 3",IF($M12888="PADD IV","PADD 4",IF($M12888="PADD V","PADD 5","")))))</f>
        <v/>
      </c>
      <c r="G12888" s="6">
        <f>IF(AND($H12888="ATMOS DISTILLATION",ISNUMBER(SEARCH("VPS",$I12888))=FALSE,LEFT($I12888,6)&lt;&gt;"VACUUM"),"CDU",IF($H12888="FLUID CAT CRACKING","FCC",IF(OR($H12888="HYDROCRACKING",$H12888="RESID_HYDROCRACKING"),"Hydrocracker",IF($H12888="REFORMING","Reformer",""))))</f>
        <v/>
      </c>
    </row>
    <row r="12889" spans="6:7">
      <c r="F12889" s="6">
        <f>IF($M12889="PADD I","PADD 1",IF($M12889="PADD II","PADD 2",IF($M12889="PADD III","PADD 3",IF($M12889="PADD IV","PADD 4",IF($M12889="PADD V","PADD 5","")))))</f>
        <v/>
      </c>
      <c r="G12889" s="6">
        <f>IF(AND($H12889="ATMOS DISTILLATION",ISNUMBER(SEARCH("VPS",$I12889))=FALSE,LEFT($I12889,6)&lt;&gt;"VACUUM"),"CDU",IF($H12889="FLUID CAT CRACKING","FCC",IF(OR($H12889="HYDROCRACKING",$H12889="RESID_HYDROCRACKING"),"Hydrocracker",IF($H12889="REFORMING","Reformer",""))))</f>
        <v/>
      </c>
    </row>
    <row r="12890" spans="6:7">
      <c r="F12890" s="6">
        <f>IF($M12890="PADD I","PADD 1",IF($M12890="PADD II","PADD 2",IF($M12890="PADD III","PADD 3",IF($M12890="PADD IV","PADD 4",IF($M12890="PADD V","PADD 5","")))))</f>
        <v/>
      </c>
      <c r="G12890" s="6">
        <f>IF(AND($H12890="ATMOS DISTILLATION",ISNUMBER(SEARCH("VPS",$I12890))=FALSE,LEFT($I12890,6)&lt;&gt;"VACUUM"),"CDU",IF($H12890="FLUID CAT CRACKING","FCC",IF(OR($H12890="HYDROCRACKING",$H12890="RESID_HYDROCRACKING"),"Hydrocracker",IF($H12890="REFORMING","Reformer",""))))</f>
        <v/>
      </c>
    </row>
    <row r="12891" spans="6:7">
      <c r="F12891" s="6">
        <f>IF($M12891="PADD I","PADD 1",IF($M12891="PADD II","PADD 2",IF($M12891="PADD III","PADD 3",IF($M12891="PADD IV","PADD 4",IF($M12891="PADD V","PADD 5","")))))</f>
        <v/>
      </c>
      <c r="G12891" s="6">
        <f>IF(AND($H12891="ATMOS DISTILLATION",ISNUMBER(SEARCH("VPS",$I12891))=FALSE,LEFT($I12891,6)&lt;&gt;"VACUUM"),"CDU",IF($H12891="FLUID CAT CRACKING","FCC",IF(OR($H12891="HYDROCRACKING",$H12891="RESID_HYDROCRACKING"),"Hydrocracker",IF($H12891="REFORMING","Reformer",""))))</f>
        <v/>
      </c>
    </row>
    <row r="12892" spans="6:7">
      <c r="F12892" s="6">
        <f>IF($M12892="PADD I","PADD 1",IF($M12892="PADD II","PADD 2",IF($M12892="PADD III","PADD 3",IF($M12892="PADD IV","PADD 4",IF($M12892="PADD V","PADD 5","")))))</f>
        <v/>
      </c>
      <c r="G12892" s="6">
        <f>IF(AND($H12892="ATMOS DISTILLATION",ISNUMBER(SEARCH("VPS",$I12892))=FALSE,LEFT($I12892,6)&lt;&gt;"VACUUM"),"CDU",IF($H12892="FLUID CAT CRACKING","FCC",IF(OR($H12892="HYDROCRACKING",$H12892="RESID_HYDROCRACKING"),"Hydrocracker",IF($H12892="REFORMING","Reformer",""))))</f>
        <v/>
      </c>
    </row>
    <row r="12893" spans="6:7">
      <c r="F12893" s="6">
        <f>IF($M12893="PADD I","PADD 1",IF($M12893="PADD II","PADD 2",IF($M12893="PADD III","PADD 3",IF($M12893="PADD IV","PADD 4",IF($M12893="PADD V","PADD 5","")))))</f>
        <v/>
      </c>
      <c r="G12893" s="6">
        <f>IF(AND($H12893="ATMOS DISTILLATION",ISNUMBER(SEARCH("VPS",$I12893))=FALSE,LEFT($I12893,6)&lt;&gt;"VACUUM"),"CDU",IF($H12893="FLUID CAT CRACKING","FCC",IF(OR($H12893="HYDROCRACKING",$H12893="RESID_HYDROCRACKING"),"Hydrocracker",IF($H12893="REFORMING","Reformer",""))))</f>
        <v/>
      </c>
    </row>
    <row r="12894" spans="6:7">
      <c r="F12894" s="6">
        <f>IF($M12894="PADD I","PADD 1",IF($M12894="PADD II","PADD 2",IF($M12894="PADD III","PADD 3",IF($M12894="PADD IV","PADD 4",IF($M12894="PADD V","PADD 5","")))))</f>
        <v/>
      </c>
      <c r="G12894" s="6">
        <f>IF(AND($H12894="ATMOS DISTILLATION",ISNUMBER(SEARCH("VPS",$I12894))=FALSE,LEFT($I12894,6)&lt;&gt;"VACUUM"),"CDU",IF($H12894="FLUID CAT CRACKING","FCC",IF(OR($H12894="HYDROCRACKING",$H12894="RESID_HYDROCRACKING"),"Hydrocracker",IF($H12894="REFORMING","Reformer",""))))</f>
        <v/>
      </c>
    </row>
    <row r="12895" spans="6:7">
      <c r="F12895" s="6">
        <f>IF($M12895="PADD I","PADD 1",IF($M12895="PADD II","PADD 2",IF($M12895="PADD III","PADD 3",IF($M12895="PADD IV","PADD 4",IF($M12895="PADD V","PADD 5","")))))</f>
        <v/>
      </c>
      <c r="G12895" s="6">
        <f>IF(AND($H12895="ATMOS DISTILLATION",ISNUMBER(SEARCH("VPS",$I12895))=FALSE,LEFT($I12895,6)&lt;&gt;"VACUUM"),"CDU",IF($H12895="FLUID CAT CRACKING","FCC",IF(OR($H12895="HYDROCRACKING",$H12895="RESID_HYDROCRACKING"),"Hydrocracker",IF($H12895="REFORMING","Reformer",""))))</f>
        <v/>
      </c>
    </row>
    <row r="12896" spans="6:7">
      <c r="F12896" s="6">
        <f>IF($M12896="PADD I","PADD 1",IF($M12896="PADD II","PADD 2",IF($M12896="PADD III","PADD 3",IF($M12896="PADD IV","PADD 4",IF($M12896="PADD V","PADD 5","")))))</f>
        <v/>
      </c>
      <c r="G12896" s="6">
        <f>IF(AND($H12896="ATMOS DISTILLATION",ISNUMBER(SEARCH("VPS",$I12896))=FALSE,LEFT($I12896,6)&lt;&gt;"VACUUM"),"CDU",IF($H12896="FLUID CAT CRACKING","FCC",IF(OR($H12896="HYDROCRACKING",$H12896="RESID_HYDROCRACKING"),"Hydrocracker",IF($H12896="REFORMING","Reformer",""))))</f>
        <v/>
      </c>
    </row>
    <row r="12897" spans="6:7">
      <c r="F12897" s="6">
        <f>IF($M12897="PADD I","PADD 1",IF($M12897="PADD II","PADD 2",IF($M12897="PADD III","PADD 3",IF($M12897="PADD IV","PADD 4",IF($M12897="PADD V","PADD 5","")))))</f>
        <v/>
      </c>
      <c r="G12897" s="6">
        <f>IF(AND($H12897="ATMOS DISTILLATION",ISNUMBER(SEARCH("VPS",$I12897))=FALSE,LEFT($I12897,6)&lt;&gt;"VACUUM"),"CDU",IF($H12897="FLUID CAT CRACKING","FCC",IF(OR($H12897="HYDROCRACKING",$H12897="RESID_HYDROCRACKING"),"Hydrocracker",IF($H12897="REFORMING","Reformer",""))))</f>
        <v/>
      </c>
    </row>
    <row r="12898" spans="6:7">
      <c r="F12898" s="6">
        <f>IF($M12898="PADD I","PADD 1",IF($M12898="PADD II","PADD 2",IF($M12898="PADD III","PADD 3",IF($M12898="PADD IV","PADD 4",IF($M12898="PADD V","PADD 5","")))))</f>
        <v/>
      </c>
      <c r="G12898" s="6">
        <f>IF(AND($H12898="ATMOS DISTILLATION",ISNUMBER(SEARCH("VPS",$I12898))=FALSE,LEFT($I12898,6)&lt;&gt;"VACUUM"),"CDU",IF($H12898="FLUID CAT CRACKING","FCC",IF(OR($H12898="HYDROCRACKING",$H12898="RESID_HYDROCRACKING"),"Hydrocracker",IF($H12898="REFORMING","Reformer",""))))</f>
        <v/>
      </c>
    </row>
    <row r="12899" spans="6:7">
      <c r="F12899" s="6">
        <f>IF($M12899="PADD I","PADD 1",IF($M12899="PADD II","PADD 2",IF($M12899="PADD III","PADD 3",IF($M12899="PADD IV","PADD 4",IF($M12899="PADD V","PADD 5","")))))</f>
        <v/>
      </c>
      <c r="G12899" s="6">
        <f>IF(AND($H12899="ATMOS DISTILLATION",ISNUMBER(SEARCH("VPS",$I12899))=FALSE,LEFT($I12899,6)&lt;&gt;"VACUUM"),"CDU",IF($H12899="FLUID CAT CRACKING","FCC",IF(OR($H12899="HYDROCRACKING",$H12899="RESID_HYDROCRACKING"),"Hydrocracker",IF($H12899="REFORMING","Reformer",""))))</f>
        <v/>
      </c>
    </row>
    <row r="12900" spans="6:7">
      <c r="F12900" s="6">
        <f>IF($M12900="PADD I","PADD 1",IF($M12900="PADD II","PADD 2",IF($M12900="PADD III","PADD 3",IF($M12900="PADD IV","PADD 4",IF($M12900="PADD V","PADD 5","")))))</f>
        <v/>
      </c>
      <c r="G12900" s="6">
        <f>IF(AND($H12900="ATMOS DISTILLATION",ISNUMBER(SEARCH("VPS",$I12900))=FALSE,LEFT($I12900,6)&lt;&gt;"VACUUM"),"CDU",IF($H12900="FLUID CAT CRACKING","FCC",IF(OR($H12900="HYDROCRACKING",$H12900="RESID_HYDROCRACKING"),"Hydrocracker",IF($H12900="REFORMING","Reformer",""))))</f>
        <v/>
      </c>
    </row>
    <row r="12901" spans="6:7">
      <c r="F12901" s="6">
        <f>IF($M12901="PADD I","PADD 1",IF($M12901="PADD II","PADD 2",IF($M12901="PADD III","PADD 3",IF($M12901="PADD IV","PADD 4",IF($M12901="PADD V","PADD 5","")))))</f>
        <v/>
      </c>
      <c r="G12901" s="6">
        <f>IF(AND($H12901="ATMOS DISTILLATION",ISNUMBER(SEARCH("VPS",$I12901))=FALSE,LEFT($I12901,6)&lt;&gt;"VACUUM"),"CDU",IF($H12901="FLUID CAT CRACKING","FCC",IF(OR($H12901="HYDROCRACKING",$H12901="RESID_HYDROCRACKING"),"Hydrocracker",IF($H12901="REFORMING","Reformer",""))))</f>
        <v/>
      </c>
    </row>
    <row r="12902" spans="6:7">
      <c r="F12902" s="6">
        <f>IF($M12902="PADD I","PADD 1",IF($M12902="PADD II","PADD 2",IF($M12902="PADD III","PADD 3",IF($M12902="PADD IV","PADD 4",IF($M12902="PADD V","PADD 5","")))))</f>
        <v/>
      </c>
      <c r="G12902" s="6">
        <f>IF(AND($H12902="ATMOS DISTILLATION",ISNUMBER(SEARCH("VPS",$I12902))=FALSE,LEFT($I12902,6)&lt;&gt;"VACUUM"),"CDU",IF($H12902="FLUID CAT CRACKING","FCC",IF(OR($H12902="HYDROCRACKING",$H12902="RESID_HYDROCRACKING"),"Hydrocracker",IF($H12902="REFORMING","Reformer",""))))</f>
        <v/>
      </c>
    </row>
    <row r="12903" spans="6:7">
      <c r="F12903" s="6">
        <f>IF($M12903="PADD I","PADD 1",IF($M12903="PADD II","PADD 2",IF($M12903="PADD III","PADD 3",IF($M12903="PADD IV","PADD 4",IF($M12903="PADD V","PADD 5","")))))</f>
        <v/>
      </c>
      <c r="G12903" s="6">
        <f>IF(AND($H12903="ATMOS DISTILLATION",ISNUMBER(SEARCH("VPS",$I12903))=FALSE,LEFT($I12903,6)&lt;&gt;"VACUUM"),"CDU",IF($H12903="FLUID CAT CRACKING","FCC",IF(OR($H12903="HYDROCRACKING",$H12903="RESID_HYDROCRACKING"),"Hydrocracker",IF($H12903="REFORMING","Reformer",""))))</f>
        <v/>
      </c>
    </row>
    <row r="12904" spans="6:7">
      <c r="F12904" s="6">
        <f>IF($M12904="PADD I","PADD 1",IF($M12904="PADD II","PADD 2",IF($M12904="PADD III","PADD 3",IF($M12904="PADD IV","PADD 4",IF($M12904="PADD V","PADD 5","")))))</f>
        <v/>
      </c>
      <c r="G12904" s="6">
        <f>IF(AND($H12904="ATMOS DISTILLATION",ISNUMBER(SEARCH("VPS",$I12904))=FALSE,LEFT($I12904,6)&lt;&gt;"VACUUM"),"CDU",IF($H12904="FLUID CAT CRACKING","FCC",IF(OR($H12904="HYDROCRACKING",$H12904="RESID_HYDROCRACKING"),"Hydrocracker",IF($H12904="REFORMING","Reformer",""))))</f>
        <v/>
      </c>
    </row>
    <row r="12905" spans="6:7">
      <c r="F12905" s="6">
        <f>IF($M12905="PADD I","PADD 1",IF($M12905="PADD II","PADD 2",IF($M12905="PADD III","PADD 3",IF($M12905="PADD IV","PADD 4",IF($M12905="PADD V","PADD 5","")))))</f>
        <v/>
      </c>
      <c r="G12905" s="6">
        <f>IF(AND($H12905="ATMOS DISTILLATION",ISNUMBER(SEARCH("VPS",$I12905))=FALSE,LEFT($I12905,6)&lt;&gt;"VACUUM"),"CDU",IF($H12905="FLUID CAT CRACKING","FCC",IF(OR($H12905="HYDROCRACKING",$H12905="RESID_HYDROCRACKING"),"Hydrocracker",IF($H12905="REFORMING","Reformer",""))))</f>
        <v/>
      </c>
    </row>
    <row r="12906" spans="6:7">
      <c r="F12906" s="6">
        <f>IF($M12906="PADD I","PADD 1",IF($M12906="PADD II","PADD 2",IF($M12906="PADD III","PADD 3",IF($M12906="PADD IV","PADD 4",IF($M12906="PADD V","PADD 5","")))))</f>
        <v/>
      </c>
      <c r="G12906" s="6">
        <f>IF(AND($H12906="ATMOS DISTILLATION",ISNUMBER(SEARCH("VPS",$I12906))=FALSE,LEFT($I12906,6)&lt;&gt;"VACUUM"),"CDU",IF($H12906="FLUID CAT CRACKING","FCC",IF(OR($H12906="HYDROCRACKING",$H12906="RESID_HYDROCRACKING"),"Hydrocracker",IF($H12906="REFORMING","Reformer",""))))</f>
        <v/>
      </c>
    </row>
    <row r="12907" spans="6:7">
      <c r="F12907" s="6">
        <f>IF($M12907="PADD I","PADD 1",IF($M12907="PADD II","PADD 2",IF($M12907="PADD III","PADD 3",IF($M12907="PADD IV","PADD 4",IF($M12907="PADD V","PADD 5","")))))</f>
        <v/>
      </c>
      <c r="G12907" s="6">
        <f>IF(AND($H12907="ATMOS DISTILLATION",ISNUMBER(SEARCH("VPS",$I12907))=FALSE,LEFT($I12907,6)&lt;&gt;"VACUUM"),"CDU",IF($H12907="FLUID CAT CRACKING","FCC",IF(OR($H12907="HYDROCRACKING",$H12907="RESID_HYDROCRACKING"),"Hydrocracker",IF($H12907="REFORMING","Reformer",""))))</f>
        <v/>
      </c>
    </row>
    <row r="12908" spans="6:7">
      <c r="F12908" s="6">
        <f>IF($M12908="PADD I","PADD 1",IF($M12908="PADD II","PADD 2",IF($M12908="PADD III","PADD 3",IF($M12908="PADD IV","PADD 4",IF($M12908="PADD V","PADD 5","")))))</f>
        <v/>
      </c>
      <c r="G12908" s="6">
        <f>IF(AND($H12908="ATMOS DISTILLATION",ISNUMBER(SEARCH("VPS",$I12908))=FALSE,LEFT($I12908,6)&lt;&gt;"VACUUM"),"CDU",IF($H12908="FLUID CAT CRACKING","FCC",IF(OR($H12908="HYDROCRACKING",$H12908="RESID_HYDROCRACKING"),"Hydrocracker",IF($H12908="REFORMING","Reformer",""))))</f>
        <v/>
      </c>
    </row>
    <row r="12909" spans="6:7">
      <c r="F12909" s="6">
        <f>IF($M12909="PADD I","PADD 1",IF($M12909="PADD II","PADD 2",IF($M12909="PADD III","PADD 3",IF($M12909="PADD IV","PADD 4",IF($M12909="PADD V","PADD 5","")))))</f>
        <v/>
      </c>
      <c r="G12909" s="6">
        <f>IF(AND($H12909="ATMOS DISTILLATION",ISNUMBER(SEARCH("VPS",$I12909))=FALSE,LEFT($I12909,6)&lt;&gt;"VACUUM"),"CDU",IF($H12909="FLUID CAT CRACKING","FCC",IF(OR($H12909="HYDROCRACKING",$H12909="RESID_HYDROCRACKING"),"Hydrocracker",IF($H12909="REFORMING","Reformer",""))))</f>
        <v/>
      </c>
    </row>
    <row r="12910" spans="6:7">
      <c r="F12910" s="6">
        <f>IF($M12910="PADD I","PADD 1",IF($M12910="PADD II","PADD 2",IF($M12910="PADD III","PADD 3",IF($M12910="PADD IV","PADD 4",IF($M12910="PADD V","PADD 5","")))))</f>
        <v/>
      </c>
      <c r="G12910" s="6">
        <f>IF(AND($H12910="ATMOS DISTILLATION",ISNUMBER(SEARCH("VPS",$I12910))=FALSE,LEFT($I12910,6)&lt;&gt;"VACUUM"),"CDU",IF($H12910="FLUID CAT CRACKING","FCC",IF(OR($H12910="HYDROCRACKING",$H12910="RESID_HYDROCRACKING"),"Hydrocracker",IF($H12910="REFORMING","Reformer",""))))</f>
        <v/>
      </c>
    </row>
    <row r="12911" spans="6:7">
      <c r="F12911" s="6">
        <f>IF($M12911="PADD I","PADD 1",IF($M12911="PADD II","PADD 2",IF($M12911="PADD III","PADD 3",IF($M12911="PADD IV","PADD 4",IF($M12911="PADD V","PADD 5","")))))</f>
        <v/>
      </c>
      <c r="G12911" s="6">
        <f>IF(AND($H12911="ATMOS DISTILLATION",ISNUMBER(SEARCH("VPS",$I12911))=FALSE,LEFT($I12911,6)&lt;&gt;"VACUUM"),"CDU",IF($H12911="FLUID CAT CRACKING","FCC",IF(OR($H12911="HYDROCRACKING",$H12911="RESID_HYDROCRACKING"),"Hydrocracker",IF($H12911="REFORMING","Reformer",""))))</f>
        <v/>
      </c>
    </row>
    <row r="12912" spans="6:7">
      <c r="F12912" s="6">
        <f>IF($M12912="PADD I","PADD 1",IF($M12912="PADD II","PADD 2",IF($M12912="PADD III","PADD 3",IF($M12912="PADD IV","PADD 4",IF($M12912="PADD V","PADD 5","")))))</f>
        <v/>
      </c>
      <c r="G12912" s="6">
        <f>IF(AND($H12912="ATMOS DISTILLATION",ISNUMBER(SEARCH("VPS",$I12912))=FALSE,LEFT($I12912,6)&lt;&gt;"VACUUM"),"CDU",IF($H12912="FLUID CAT CRACKING","FCC",IF(OR($H12912="HYDROCRACKING",$H12912="RESID_HYDROCRACKING"),"Hydrocracker",IF($H12912="REFORMING","Reformer",""))))</f>
        <v/>
      </c>
    </row>
    <row r="12913" spans="6:7">
      <c r="F12913" s="6">
        <f>IF($M12913="PADD I","PADD 1",IF($M12913="PADD II","PADD 2",IF($M12913="PADD III","PADD 3",IF($M12913="PADD IV","PADD 4",IF($M12913="PADD V","PADD 5","")))))</f>
        <v/>
      </c>
      <c r="G12913" s="6">
        <f>IF(AND($H12913="ATMOS DISTILLATION",ISNUMBER(SEARCH("VPS",$I12913))=FALSE,LEFT($I12913,6)&lt;&gt;"VACUUM"),"CDU",IF($H12913="FLUID CAT CRACKING","FCC",IF(OR($H12913="HYDROCRACKING",$H12913="RESID_HYDROCRACKING"),"Hydrocracker",IF($H12913="REFORMING","Reformer",""))))</f>
        <v/>
      </c>
    </row>
    <row r="12914" spans="6:7">
      <c r="F12914" s="6">
        <f>IF($M12914="PADD I","PADD 1",IF($M12914="PADD II","PADD 2",IF($M12914="PADD III","PADD 3",IF($M12914="PADD IV","PADD 4",IF($M12914="PADD V","PADD 5","")))))</f>
        <v/>
      </c>
      <c r="G12914" s="6">
        <f>IF(AND($H12914="ATMOS DISTILLATION",ISNUMBER(SEARCH("VPS",$I12914))=FALSE,LEFT($I12914,6)&lt;&gt;"VACUUM"),"CDU",IF($H12914="FLUID CAT CRACKING","FCC",IF(OR($H12914="HYDROCRACKING",$H12914="RESID_HYDROCRACKING"),"Hydrocracker",IF($H12914="REFORMING","Reformer",""))))</f>
        <v/>
      </c>
    </row>
    <row r="12915" spans="6:7">
      <c r="F12915" s="6">
        <f>IF($M12915="PADD I","PADD 1",IF($M12915="PADD II","PADD 2",IF($M12915="PADD III","PADD 3",IF($M12915="PADD IV","PADD 4",IF($M12915="PADD V","PADD 5","")))))</f>
        <v/>
      </c>
      <c r="G12915" s="6">
        <f>IF(AND($H12915="ATMOS DISTILLATION",ISNUMBER(SEARCH("VPS",$I12915))=FALSE,LEFT($I12915,6)&lt;&gt;"VACUUM"),"CDU",IF($H12915="FLUID CAT CRACKING","FCC",IF(OR($H12915="HYDROCRACKING",$H12915="RESID_HYDROCRACKING"),"Hydrocracker",IF($H12915="REFORMING","Reformer",""))))</f>
        <v/>
      </c>
    </row>
    <row r="12916" spans="6:7">
      <c r="F12916" s="6">
        <f>IF($M12916="PADD I","PADD 1",IF($M12916="PADD II","PADD 2",IF($M12916="PADD III","PADD 3",IF($M12916="PADD IV","PADD 4",IF($M12916="PADD V","PADD 5","")))))</f>
        <v/>
      </c>
      <c r="G12916" s="6">
        <f>IF(AND($H12916="ATMOS DISTILLATION",ISNUMBER(SEARCH("VPS",$I12916))=FALSE,LEFT($I12916,6)&lt;&gt;"VACUUM"),"CDU",IF($H12916="FLUID CAT CRACKING","FCC",IF(OR($H12916="HYDROCRACKING",$H12916="RESID_HYDROCRACKING"),"Hydrocracker",IF($H12916="REFORMING","Reformer",""))))</f>
        <v/>
      </c>
    </row>
    <row r="12917" spans="6:7">
      <c r="F12917" s="6">
        <f>IF($M12917="PADD I","PADD 1",IF($M12917="PADD II","PADD 2",IF($M12917="PADD III","PADD 3",IF($M12917="PADD IV","PADD 4",IF($M12917="PADD V","PADD 5","")))))</f>
        <v/>
      </c>
      <c r="G12917" s="6">
        <f>IF(AND($H12917="ATMOS DISTILLATION",ISNUMBER(SEARCH("VPS",$I12917))=FALSE,LEFT($I12917,6)&lt;&gt;"VACUUM"),"CDU",IF($H12917="FLUID CAT CRACKING","FCC",IF(OR($H12917="HYDROCRACKING",$H12917="RESID_HYDROCRACKING"),"Hydrocracker",IF($H12917="REFORMING","Reformer",""))))</f>
        <v/>
      </c>
    </row>
    <row r="12918" spans="6:7">
      <c r="F12918" s="6">
        <f>IF($M12918="PADD I","PADD 1",IF($M12918="PADD II","PADD 2",IF($M12918="PADD III","PADD 3",IF($M12918="PADD IV","PADD 4",IF($M12918="PADD V","PADD 5","")))))</f>
        <v/>
      </c>
      <c r="G12918" s="6">
        <f>IF(AND($H12918="ATMOS DISTILLATION",ISNUMBER(SEARCH("VPS",$I12918))=FALSE,LEFT($I12918,6)&lt;&gt;"VACUUM"),"CDU",IF($H12918="FLUID CAT CRACKING","FCC",IF(OR($H12918="HYDROCRACKING",$H12918="RESID_HYDROCRACKING"),"Hydrocracker",IF($H12918="REFORMING","Reformer",""))))</f>
        <v/>
      </c>
    </row>
    <row r="12919" spans="6:7">
      <c r="F12919" s="6">
        <f>IF($M12919="PADD I","PADD 1",IF($M12919="PADD II","PADD 2",IF($M12919="PADD III","PADD 3",IF($M12919="PADD IV","PADD 4",IF($M12919="PADD V","PADD 5","")))))</f>
        <v/>
      </c>
      <c r="G12919" s="6">
        <f>IF(AND($H12919="ATMOS DISTILLATION",ISNUMBER(SEARCH("VPS",$I12919))=FALSE,LEFT($I12919,6)&lt;&gt;"VACUUM"),"CDU",IF($H12919="FLUID CAT CRACKING","FCC",IF(OR($H12919="HYDROCRACKING",$H12919="RESID_HYDROCRACKING"),"Hydrocracker",IF($H12919="REFORMING","Reformer",""))))</f>
        <v/>
      </c>
    </row>
    <row r="12920" spans="6:7">
      <c r="F12920" s="6">
        <f>IF($M12920="PADD I","PADD 1",IF($M12920="PADD II","PADD 2",IF($M12920="PADD III","PADD 3",IF($M12920="PADD IV","PADD 4",IF($M12920="PADD V","PADD 5","")))))</f>
        <v/>
      </c>
      <c r="G12920" s="6">
        <f>IF(AND($H12920="ATMOS DISTILLATION",ISNUMBER(SEARCH("VPS",$I12920))=FALSE,LEFT($I12920,6)&lt;&gt;"VACUUM"),"CDU",IF($H12920="FLUID CAT CRACKING","FCC",IF(OR($H12920="HYDROCRACKING",$H12920="RESID_HYDROCRACKING"),"Hydrocracker",IF($H12920="REFORMING","Reformer",""))))</f>
        <v/>
      </c>
    </row>
    <row r="12921" spans="6:7">
      <c r="F12921" s="6">
        <f>IF($M12921="PADD I","PADD 1",IF($M12921="PADD II","PADD 2",IF($M12921="PADD III","PADD 3",IF($M12921="PADD IV","PADD 4",IF($M12921="PADD V","PADD 5","")))))</f>
        <v/>
      </c>
      <c r="G12921" s="6">
        <f>IF(AND($H12921="ATMOS DISTILLATION",ISNUMBER(SEARCH("VPS",$I12921))=FALSE,LEFT($I12921,6)&lt;&gt;"VACUUM"),"CDU",IF($H12921="FLUID CAT CRACKING","FCC",IF(OR($H12921="HYDROCRACKING",$H12921="RESID_HYDROCRACKING"),"Hydrocracker",IF($H12921="REFORMING","Reformer",""))))</f>
        <v/>
      </c>
    </row>
    <row r="12922" spans="6:7">
      <c r="F12922" s="6">
        <f>IF($M12922="PADD I","PADD 1",IF($M12922="PADD II","PADD 2",IF($M12922="PADD III","PADD 3",IF($M12922="PADD IV","PADD 4",IF($M12922="PADD V","PADD 5","")))))</f>
        <v/>
      </c>
      <c r="G12922" s="6">
        <f>IF(AND($H12922="ATMOS DISTILLATION",ISNUMBER(SEARCH("VPS",$I12922))=FALSE,LEFT($I12922,6)&lt;&gt;"VACUUM"),"CDU",IF($H12922="FLUID CAT CRACKING","FCC",IF(OR($H12922="HYDROCRACKING",$H12922="RESID_HYDROCRACKING"),"Hydrocracker",IF($H12922="REFORMING","Reformer",""))))</f>
        <v/>
      </c>
    </row>
    <row r="12923" spans="6:7">
      <c r="F12923" s="6">
        <f>IF($M12923="PADD I","PADD 1",IF($M12923="PADD II","PADD 2",IF($M12923="PADD III","PADD 3",IF($M12923="PADD IV","PADD 4",IF($M12923="PADD V","PADD 5","")))))</f>
        <v/>
      </c>
      <c r="G12923" s="6">
        <f>IF(AND($H12923="ATMOS DISTILLATION",ISNUMBER(SEARCH("VPS",$I12923))=FALSE,LEFT($I12923,6)&lt;&gt;"VACUUM"),"CDU",IF($H12923="FLUID CAT CRACKING","FCC",IF(OR($H12923="HYDROCRACKING",$H12923="RESID_HYDROCRACKING"),"Hydrocracker",IF($H12923="REFORMING","Reformer",""))))</f>
        <v/>
      </c>
    </row>
    <row r="12924" spans="6:7">
      <c r="F12924" s="6">
        <f>IF($M12924="PADD I","PADD 1",IF($M12924="PADD II","PADD 2",IF($M12924="PADD III","PADD 3",IF($M12924="PADD IV","PADD 4",IF($M12924="PADD V","PADD 5","")))))</f>
        <v/>
      </c>
      <c r="G12924" s="6">
        <f>IF(AND($H12924="ATMOS DISTILLATION",ISNUMBER(SEARCH("VPS",$I12924))=FALSE,LEFT($I12924,6)&lt;&gt;"VACUUM"),"CDU",IF($H12924="FLUID CAT CRACKING","FCC",IF(OR($H12924="HYDROCRACKING",$H12924="RESID_HYDROCRACKING"),"Hydrocracker",IF($H12924="REFORMING","Reformer",""))))</f>
        <v/>
      </c>
    </row>
    <row r="12925" spans="6:7">
      <c r="F12925" s="6">
        <f>IF($M12925="PADD I","PADD 1",IF($M12925="PADD II","PADD 2",IF($M12925="PADD III","PADD 3",IF($M12925="PADD IV","PADD 4",IF($M12925="PADD V","PADD 5","")))))</f>
        <v/>
      </c>
      <c r="G12925" s="6">
        <f>IF(AND($H12925="ATMOS DISTILLATION",ISNUMBER(SEARCH("VPS",$I12925))=FALSE,LEFT($I12925,6)&lt;&gt;"VACUUM"),"CDU",IF($H12925="FLUID CAT CRACKING","FCC",IF(OR($H12925="HYDROCRACKING",$H12925="RESID_HYDROCRACKING"),"Hydrocracker",IF($H12925="REFORMING","Reformer",""))))</f>
        <v/>
      </c>
    </row>
    <row r="12926" spans="6:7">
      <c r="F12926" s="6">
        <f>IF($M12926="PADD I","PADD 1",IF($M12926="PADD II","PADD 2",IF($M12926="PADD III","PADD 3",IF($M12926="PADD IV","PADD 4",IF($M12926="PADD V","PADD 5","")))))</f>
        <v/>
      </c>
      <c r="G12926" s="6">
        <f>IF(AND($H12926="ATMOS DISTILLATION",ISNUMBER(SEARCH("VPS",$I12926))=FALSE,LEFT($I12926,6)&lt;&gt;"VACUUM"),"CDU",IF($H12926="FLUID CAT CRACKING","FCC",IF(OR($H12926="HYDROCRACKING",$H12926="RESID_HYDROCRACKING"),"Hydrocracker",IF($H12926="REFORMING","Reformer",""))))</f>
        <v/>
      </c>
    </row>
    <row r="12927" spans="6:7">
      <c r="F12927" s="6">
        <f>IF($M12927="PADD I","PADD 1",IF($M12927="PADD II","PADD 2",IF($M12927="PADD III","PADD 3",IF($M12927="PADD IV","PADD 4",IF($M12927="PADD V","PADD 5","")))))</f>
        <v/>
      </c>
      <c r="G12927" s="6">
        <f>IF(AND($H12927="ATMOS DISTILLATION",ISNUMBER(SEARCH("VPS",$I12927))=FALSE,LEFT($I12927,6)&lt;&gt;"VACUUM"),"CDU",IF($H12927="FLUID CAT CRACKING","FCC",IF(OR($H12927="HYDROCRACKING",$H12927="RESID_HYDROCRACKING"),"Hydrocracker",IF($H12927="REFORMING","Reformer",""))))</f>
        <v/>
      </c>
    </row>
    <row r="12928" spans="6:7">
      <c r="F12928" s="6">
        <f>IF($M12928="PADD I","PADD 1",IF($M12928="PADD II","PADD 2",IF($M12928="PADD III","PADD 3",IF($M12928="PADD IV","PADD 4",IF($M12928="PADD V","PADD 5","")))))</f>
        <v/>
      </c>
      <c r="G12928" s="6">
        <f>IF(AND($H12928="ATMOS DISTILLATION",ISNUMBER(SEARCH("VPS",$I12928))=FALSE,LEFT($I12928,6)&lt;&gt;"VACUUM"),"CDU",IF($H12928="FLUID CAT CRACKING","FCC",IF(OR($H12928="HYDROCRACKING",$H12928="RESID_HYDROCRACKING"),"Hydrocracker",IF($H12928="REFORMING","Reformer",""))))</f>
        <v/>
      </c>
    </row>
    <row r="12929" spans="6:7">
      <c r="F12929" s="6">
        <f>IF($M12929="PADD I","PADD 1",IF($M12929="PADD II","PADD 2",IF($M12929="PADD III","PADD 3",IF($M12929="PADD IV","PADD 4",IF($M12929="PADD V","PADD 5","")))))</f>
        <v/>
      </c>
      <c r="G12929" s="6">
        <f>IF(AND($H12929="ATMOS DISTILLATION",ISNUMBER(SEARCH("VPS",$I12929))=FALSE,LEFT($I12929,6)&lt;&gt;"VACUUM"),"CDU",IF($H12929="FLUID CAT CRACKING","FCC",IF(OR($H12929="HYDROCRACKING",$H12929="RESID_HYDROCRACKING"),"Hydrocracker",IF($H12929="REFORMING","Reformer",""))))</f>
        <v/>
      </c>
    </row>
    <row r="12930" spans="6:7">
      <c r="F12930" s="6">
        <f>IF($M12930="PADD I","PADD 1",IF($M12930="PADD II","PADD 2",IF($M12930="PADD III","PADD 3",IF($M12930="PADD IV","PADD 4",IF($M12930="PADD V","PADD 5","")))))</f>
        <v/>
      </c>
      <c r="G12930" s="6">
        <f>IF(AND($H12930="ATMOS DISTILLATION",ISNUMBER(SEARCH("VPS",$I12930))=FALSE,LEFT($I12930,6)&lt;&gt;"VACUUM"),"CDU",IF($H12930="FLUID CAT CRACKING","FCC",IF(OR($H12930="HYDROCRACKING",$H12930="RESID_HYDROCRACKING"),"Hydrocracker",IF($H12930="REFORMING","Reformer",""))))</f>
        <v/>
      </c>
    </row>
    <row r="12931" spans="6:7">
      <c r="F12931" s="6">
        <f>IF($M12931="PADD I","PADD 1",IF($M12931="PADD II","PADD 2",IF($M12931="PADD III","PADD 3",IF($M12931="PADD IV","PADD 4",IF($M12931="PADD V","PADD 5","")))))</f>
        <v/>
      </c>
      <c r="G12931" s="6">
        <f>IF(AND($H12931="ATMOS DISTILLATION",ISNUMBER(SEARCH("VPS",$I12931))=FALSE,LEFT($I12931,6)&lt;&gt;"VACUUM"),"CDU",IF($H12931="FLUID CAT CRACKING","FCC",IF(OR($H12931="HYDROCRACKING",$H12931="RESID_HYDROCRACKING"),"Hydrocracker",IF($H12931="REFORMING","Reformer",""))))</f>
        <v/>
      </c>
    </row>
    <row r="12932" spans="6:7">
      <c r="F12932" s="6">
        <f>IF($M12932="PADD I","PADD 1",IF($M12932="PADD II","PADD 2",IF($M12932="PADD III","PADD 3",IF($M12932="PADD IV","PADD 4",IF($M12932="PADD V","PADD 5","")))))</f>
        <v/>
      </c>
      <c r="G12932" s="6">
        <f>IF(AND($H12932="ATMOS DISTILLATION",ISNUMBER(SEARCH("VPS",$I12932))=FALSE,LEFT($I12932,6)&lt;&gt;"VACUUM"),"CDU",IF($H12932="FLUID CAT CRACKING","FCC",IF(OR($H12932="HYDROCRACKING",$H12932="RESID_HYDROCRACKING"),"Hydrocracker",IF($H12932="REFORMING","Reformer",""))))</f>
        <v/>
      </c>
    </row>
    <row r="12933" spans="6:7">
      <c r="F12933" s="6">
        <f>IF($M12933="PADD I","PADD 1",IF($M12933="PADD II","PADD 2",IF($M12933="PADD III","PADD 3",IF($M12933="PADD IV","PADD 4",IF($M12933="PADD V","PADD 5","")))))</f>
        <v/>
      </c>
      <c r="G12933" s="6">
        <f>IF(AND($H12933="ATMOS DISTILLATION",ISNUMBER(SEARCH("VPS",$I12933))=FALSE,LEFT($I12933,6)&lt;&gt;"VACUUM"),"CDU",IF($H12933="FLUID CAT CRACKING","FCC",IF(OR($H12933="HYDROCRACKING",$H12933="RESID_HYDROCRACKING"),"Hydrocracker",IF($H12933="REFORMING","Reformer",""))))</f>
        <v/>
      </c>
    </row>
    <row r="12934" spans="6:7">
      <c r="F12934" s="6">
        <f>IF($M12934="PADD I","PADD 1",IF($M12934="PADD II","PADD 2",IF($M12934="PADD III","PADD 3",IF($M12934="PADD IV","PADD 4",IF($M12934="PADD V","PADD 5","")))))</f>
        <v/>
      </c>
      <c r="G12934" s="6">
        <f>IF(AND($H12934="ATMOS DISTILLATION",ISNUMBER(SEARCH("VPS",$I12934))=FALSE,LEFT($I12934,6)&lt;&gt;"VACUUM"),"CDU",IF($H12934="FLUID CAT CRACKING","FCC",IF(OR($H12934="HYDROCRACKING",$H12934="RESID_HYDROCRACKING"),"Hydrocracker",IF($H12934="REFORMING","Reformer",""))))</f>
        <v/>
      </c>
    </row>
    <row r="12935" spans="6:7">
      <c r="F12935" s="6">
        <f>IF($M12935="PADD I","PADD 1",IF($M12935="PADD II","PADD 2",IF($M12935="PADD III","PADD 3",IF($M12935="PADD IV","PADD 4",IF($M12935="PADD V","PADD 5","")))))</f>
        <v/>
      </c>
      <c r="G12935" s="6">
        <f>IF(AND($H12935="ATMOS DISTILLATION",ISNUMBER(SEARCH("VPS",$I12935))=FALSE,LEFT($I12935,6)&lt;&gt;"VACUUM"),"CDU",IF($H12935="FLUID CAT CRACKING","FCC",IF(OR($H12935="HYDROCRACKING",$H12935="RESID_HYDROCRACKING"),"Hydrocracker",IF($H12935="REFORMING","Reformer",""))))</f>
        <v/>
      </c>
    </row>
    <row r="12936" spans="6:7">
      <c r="F12936" s="6">
        <f>IF($M12936="PADD I","PADD 1",IF($M12936="PADD II","PADD 2",IF($M12936="PADD III","PADD 3",IF($M12936="PADD IV","PADD 4",IF($M12936="PADD V","PADD 5","")))))</f>
        <v/>
      </c>
      <c r="G12936" s="6">
        <f>IF(AND($H12936="ATMOS DISTILLATION",ISNUMBER(SEARCH("VPS",$I12936))=FALSE,LEFT($I12936,6)&lt;&gt;"VACUUM"),"CDU",IF($H12936="FLUID CAT CRACKING","FCC",IF(OR($H12936="HYDROCRACKING",$H12936="RESID_HYDROCRACKING"),"Hydrocracker",IF($H12936="REFORMING","Reformer",""))))</f>
        <v/>
      </c>
    </row>
    <row r="12937" spans="6:7">
      <c r="F12937" s="6">
        <f>IF($M12937="PADD I","PADD 1",IF($M12937="PADD II","PADD 2",IF($M12937="PADD III","PADD 3",IF($M12937="PADD IV","PADD 4",IF($M12937="PADD V","PADD 5","")))))</f>
        <v/>
      </c>
      <c r="G12937" s="6">
        <f>IF(AND($H12937="ATMOS DISTILLATION",ISNUMBER(SEARCH("VPS",$I12937))=FALSE,LEFT($I12937,6)&lt;&gt;"VACUUM"),"CDU",IF($H12937="FLUID CAT CRACKING","FCC",IF(OR($H12937="HYDROCRACKING",$H12937="RESID_HYDROCRACKING"),"Hydrocracker",IF($H12937="REFORMING","Reformer",""))))</f>
        <v/>
      </c>
    </row>
    <row r="12938" spans="6:7">
      <c r="F12938" s="6">
        <f>IF($M12938="PADD I","PADD 1",IF($M12938="PADD II","PADD 2",IF($M12938="PADD III","PADD 3",IF($M12938="PADD IV","PADD 4",IF($M12938="PADD V","PADD 5","")))))</f>
        <v/>
      </c>
      <c r="G12938" s="6">
        <f>IF(AND($H12938="ATMOS DISTILLATION",ISNUMBER(SEARCH("VPS",$I12938))=FALSE,LEFT($I12938,6)&lt;&gt;"VACUUM"),"CDU",IF($H12938="FLUID CAT CRACKING","FCC",IF(OR($H12938="HYDROCRACKING",$H12938="RESID_HYDROCRACKING"),"Hydrocracker",IF($H12938="REFORMING","Reformer",""))))</f>
        <v/>
      </c>
    </row>
    <row r="12939" spans="6:7">
      <c r="F12939" s="6">
        <f>IF($M12939="PADD I","PADD 1",IF($M12939="PADD II","PADD 2",IF($M12939="PADD III","PADD 3",IF($M12939="PADD IV","PADD 4",IF($M12939="PADD V","PADD 5","")))))</f>
        <v/>
      </c>
      <c r="G12939" s="6">
        <f>IF(AND($H12939="ATMOS DISTILLATION",ISNUMBER(SEARCH("VPS",$I12939))=FALSE,LEFT($I12939,6)&lt;&gt;"VACUUM"),"CDU",IF($H12939="FLUID CAT CRACKING","FCC",IF(OR($H12939="HYDROCRACKING",$H12939="RESID_HYDROCRACKING"),"Hydrocracker",IF($H12939="REFORMING","Reformer",""))))</f>
        <v/>
      </c>
    </row>
    <row r="12940" spans="6:7">
      <c r="F12940" s="6">
        <f>IF($M12940="PADD I","PADD 1",IF($M12940="PADD II","PADD 2",IF($M12940="PADD III","PADD 3",IF($M12940="PADD IV","PADD 4",IF($M12940="PADD V","PADD 5","")))))</f>
        <v/>
      </c>
      <c r="G12940" s="6">
        <f>IF(AND($H12940="ATMOS DISTILLATION",ISNUMBER(SEARCH("VPS",$I12940))=FALSE,LEFT($I12940,6)&lt;&gt;"VACUUM"),"CDU",IF($H12940="FLUID CAT CRACKING","FCC",IF(OR($H12940="HYDROCRACKING",$H12940="RESID_HYDROCRACKING"),"Hydrocracker",IF($H12940="REFORMING","Reformer",""))))</f>
        <v/>
      </c>
    </row>
    <row r="12941" spans="6:7">
      <c r="F12941" s="6">
        <f>IF($M12941="PADD I","PADD 1",IF($M12941="PADD II","PADD 2",IF($M12941="PADD III","PADD 3",IF($M12941="PADD IV","PADD 4",IF($M12941="PADD V","PADD 5","")))))</f>
        <v/>
      </c>
      <c r="G12941" s="6">
        <f>IF(AND($H12941="ATMOS DISTILLATION",ISNUMBER(SEARCH("VPS",$I12941))=FALSE,LEFT($I12941,6)&lt;&gt;"VACUUM"),"CDU",IF($H12941="FLUID CAT CRACKING","FCC",IF(OR($H12941="HYDROCRACKING",$H12941="RESID_HYDROCRACKING"),"Hydrocracker",IF($H12941="REFORMING","Reformer",""))))</f>
        <v/>
      </c>
    </row>
    <row r="12942" spans="6:7">
      <c r="F12942" s="6">
        <f>IF($M12942="PADD I","PADD 1",IF($M12942="PADD II","PADD 2",IF($M12942="PADD III","PADD 3",IF($M12942="PADD IV","PADD 4",IF($M12942="PADD V","PADD 5","")))))</f>
        <v/>
      </c>
      <c r="G12942" s="6">
        <f>IF(AND($H12942="ATMOS DISTILLATION",ISNUMBER(SEARCH("VPS",$I12942))=FALSE,LEFT($I12942,6)&lt;&gt;"VACUUM"),"CDU",IF($H12942="FLUID CAT CRACKING","FCC",IF(OR($H12942="HYDROCRACKING",$H12942="RESID_HYDROCRACKING"),"Hydrocracker",IF($H12942="REFORMING","Reformer",""))))</f>
        <v/>
      </c>
    </row>
    <row r="12943" spans="6:7">
      <c r="F12943" s="6">
        <f>IF($M12943="PADD I","PADD 1",IF($M12943="PADD II","PADD 2",IF($M12943="PADD III","PADD 3",IF($M12943="PADD IV","PADD 4",IF($M12943="PADD V","PADD 5","")))))</f>
        <v/>
      </c>
      <c r="G12943" s="6">
        <f>IF(AND($H12943="ATMOS DISTILLATION",ISNUMBER(SEARCH("VPS",$I12943))=FALSE,LEFT($I12943,6)&lt;&gt;"VACUUM"),"CDU",IF($H12943="FLUID CAT CRACKING","FCC",IF(OR($H12943="HYDROCRACKING",$H12943="RESID_HYDROCRACKING"),"Hydrocracker",IF($H12943="REFORMING","Reformer",""))))</f>
        <v/>
      </c>
    </row>
    <row r="12944" spans="6:7">
      <c r="F12944" s="6">
        <f>IF($M12944="PADD I","PADD 1",IF($M12944="PADD II","PADD 2",IF($M12944="PADD III","PADD 3",IF($M12944="PADD IV","PADD 4",IF($M12944="PADD V","PADD 5","")))))</f>
        <v/>
      </c>
      <c r="G12944" s="6">
        <f>IF(AND($H12944="ATMOS DISTILLATION",ISNUMBER(SEARCH("VPS",$I12944))=FALSE,LEFT($I12944,6)&lt;&gt;"VACUUM"),"CDU",IF($H12944="FLUID CAT CRACKING","FCC",IF(OR($H12944="HYDROCRACKING",$H12944="RESID_HYDROCRACKING"),"Hydrocracker",IF($H12944="REFORMING","Reformer",""))))</f>
        <v/>
      </c>
    </row>
    <row r="12945" spans="6:7">
      <c r="F12945" s="6">
        <f>IF($M12945="PADD I","PADD 1",IF($M12945="PADD II","PADD 2",IF($M12945="PADD III","PADD 3",IF($M12945="PADD IV","PADD 4",IF($M12945="PADD V","PADD 5","")))))</f>
        <v/>
      </c>
      <c r="G12945" s="6">
        <f>IF(AND($H12945="ATMOS DISTILLATION",ISNUMBER(SEARCH("VPS",$I12945))=FALSE,LEFT($I12945,6)&lt;&gt;"VACUUM"),"CDU",IF($H12945="FLUID CAT CRACKING","FCC",IF(OR($H12945="HYDROCRACKING",$H12945="RESID_HYDROCRACKING"),"Hydrocracker",IF($H12945="REFORMING","Reformer",""))))</f>
        <v/>
      </c>
    </row>
    <row r="12946" spans="6:7">
      <c r="F12946" s="6">
        <f>IF($M12946="PADD I","PADD 1",IF($M12946="PADD II","PADD 2",IF($M12946="PADD III","PADD 3",IF($M12946="PADD IV","PADD 4",IF($M12946="PADD V","PADD 5","")))))</f>
        <v/>
      </c>
      <c r="G12946" s="6">
        <f>IF(AND($H12946="ATMOS DISTILLATION",ISNUMBER(SEARCH("VPS",$I12946))=FALSE,LEFT($I12946,6)&lt;&gt;"VACUUM"),"CDU",IF($H12946="FLUID CAT CRACKING","FCC",IF(OR($H12946="HYDROCRACKING",$H12946="RESID_HYDROCRACKING"),"Hydrocracker",IF($H12946="REFORMING","Reformer",""))))</f>
        <v/>
      </c>
    </row>
    <row r="12947" spans="6:7">
      <c r="F12947" s="6">
        <f>IF($M12947="PADD I","PADD 1",IF($M12947="PADD II","PADD 2",IF($M12947="PADD III","PADD 3",IF($M12947="PADD IV","PADD 4",IF($M12947="PADD V","PADD 5","")))))</f>
        <v/>
      </c>
      <c r="G12947" s="6">
        <f>IF(AND($H12947="ATMOS DISTILLATION",ISNUMBER(SEARCH("VPS",$I12947))=FALSE,LEFT($I12947,6)&lt;&gt;"VACUUM"),"CDU",IF($H12947="FLUID CAT CRACKING","FCC",IF(OR($H12947="HYDROCRACKING",$H12947="RESID_HYDROCRACKING"),"Hydrocracker",IF($H12947="REFORMING","Reformer",""))))</f>
        <v/>
      </c>
    </row>
    <row r="12948" spans="6:7">
      <c r="F12948" s="6">
        <f>IF($M12948="PADD I","PADD 1",IF($M12948="PADD II","PADD 2",IF($M12948="PADD III","PADD 3",IF($M12948="PADD IV","PADD 4",IF($M12948="PADD V","PADD 5","")))))</f>
        <v/>
      </c>
      <c r="G12948" s="6">
        <f>IF(AND($H12948="ATMOS DISTILLATION",ISNUMBER(SEARCH("VPS",$I12948))=FALSE,LEFT($I12948,6)&lt;&gt;"VACUUM"),"CDU",IF($H12948="FLUID CAT CRACKING","FCC",IF(OR($H12948="HYDROCRACKING",$H12948="RESID_HYDROCRACKING"),"Hydrocracker",IF($H12948="REFORMING","Reformer",""))))</f>
        <v/>
      </c>
    </row>
    <row r="12949" spans="6:7">
      <c r="F12949" s="6">
        <f>IF($M12949="PADD I","PADD 1",IF($M12949="PADD II","PADD 2",IF($M12949="PADD III","PADD 3",IF($M12949="PADD IV","PADD 4",IF($M12949="PADD V","PADD 5","")))))</f>
        <v/>
      </c>
      <c r="G12949" s="6">
        <f>IF(AND($H12949="ATMOS DISTILLATION",ISNUMBER(SEARCH("VPS",$I12949))=FALSE,LEFT($I12949,6)&lt;&gt;"VACUUM"),"CDU",IF($H12949="FLUID CAT CRACKING","FCC",IF(OR($H12949="HYDROCRACKING",$H12949="RESID_HYDROCRACKING"),"Hydrocracker",IF($H12949="REFORMING","Reformer",""))))</f>
        <v/>
      </c>
    </row>
    <row r="12950" spans="6:7">
      <c r="F12950" s="6">
        <f>IF($M12950="PADD I","PADD 1",IF($M12950="PADD II","PADD 2",IF($M12950="PADD III","PADD 3",IF($M12950="PADD IV","PADD 4",IF($M12950="PADD V","PADD 5","")))))</f>
        <v/>
      </c>
      <c r="G12950" s="6">
        <f>IF(AND($H12950="ATMOS DISTILLATION",ISNUMBER(SEARCH("VPS",$I12950))=FALSE,LEFT($I12950,6)&lt;&gt;"VACUUM"),"CDU",IF($H12950="FLUID CAT CRACKING","FCC",IF(OR($H12950="HYDROCRACKING",$H12950="RESID_HYDROCRACKING"),"Hydrocracker",IF($H12950="REFORMING","Reformer",""))))</f>
        <v/>
      </c>
    </row>
    <row r="12951" spans="6:7">
      <c r="F12951" s="6">
        <f>IF($M12951="PADD I","PADD 1",IF($M12951="PADD II","PADD 2",IF($M12951="PADD III","PADD 3",IF($M12951="PADD IV","PADD 4",IF($M12951="PADD V","PADD 5","")))))</f>
        <v/>
      </c>
      <c r="G12951" s="6">
        <f>IF(AND($H12951="ATMOS DISTILLATION",ISNUMBER(SEARCH("VPS",$I12951))=FALSE,LEFT($I12951,6)&lt;&gt;"VACUUM"),"CDU",IF($H12951="FLUID CAT CRACKING","FCC",IF(OR($H12951="HYDROCRACKING",$H12951="RESID_HYDROCRACKING"),"Hydrocracker",IF($H12951="REFORMING","Reformer",""))))</f>
        <v/>
      </c>
    </row>
    <row r="12952" spans="6:7">
      <c r="F12952" s="6">
        <f>IF($M12952="PADD I","PADD 1",IF($M12952="PADD II","PADD 2",IF($M12952="PADD III","PADD 3",IF($M12952="PADD IV","PADD 4",IF($M12952="PADD V","PADD 5","")))))</f>
        <v/>
      </c>
      <c r="G12952" s="6">
        <f>IF(AND($H12952="ATMOS DISTILLATION",ISNUMBER(SEARCH("VPS",$I12952))=FALSE,LEFT($I12952,6)&lt;&gt;"VACUUM"),"CDU",IF($H12952="FLUID CAT CRACKING","FCC",IF(OR($H12952="HYDROCRACKING",$H12952="RESID_HYDROCRACKING"),"Hydrocracker",IF($H12952="REFORMING","Reformer",""))))</f>
        <v/>
      </c>
    </row>
    <row r="12953" spans="6:7">
      <c r="F12953" s="6">
        <f>IF($M12953="PADD I","PADD 1",IF($M12953="PADD II","PADD 2",IF($M12953="PADD III","PADD 3",IF($M12953="PADD IV","PADD 4",IF($M12953="PADD V","PADD 5","")))))</f>
        <v/>
      </c>
      <c r="G12953" s="6">
        <f>IF(AND($H12953="ATMOS DISTILLATION",ISNUMBER(SEARCH("VPS",$I12953))=FALSE,LEFT($I12953,6)&lt;&gt;"VACUUM"),"CDU",IF($H12953="FLUID CAT CRACKING","FCC",IF(OR($H12953="HYDROCRACKING",$H12953="RESID_HYDROCRACKING"),"Hydrocracker",IF($H12953="REFORMING","Reformer",""))))</f>
        <v/>
      </c>
    </row>
    <row r="12954" spans="6:7">
      <c r="F12954" s="6">
        <f>IF($M12954="PADD I","PADD 1",IF($M12954="PADD II","PADD 2",IF($M12954="PADD III","PADD 3",IF($M12954="PADD IV","PADD 4",IF($M12954="PADD V","PADD 5","")))))</f>
        <v/>
      </c>
      <c r="G12954" s="6">
        <f>IF(AND($H12954="ATMOS DISTILLATION",ISNUMBER(SEARCH("VPS",$I12954))=FALSE,LEFT($I12954,6)&lt;&gt;"VACUUM"),"CDU",IF($H12954="FLUID CAT CRACKING","FCC",IF(OR($H12954="HYDROCRACKING",$H12954="RESID_HYDROCRACKING"),"Hydrocracker",IF($H12954="REFORMING","Reformer",""))))</f>
        <v/>
      </c>
    </row>
    <row r="12955" spans="6:7">
      <c r="F12955" s="6">
        <f>IF($M12955="PADD I","PADD 1",IF($M12955="PADD II","PADD 2",IF($M12955="PADD III","PADD 3",IF($M12955="PADD IV","PADD 4",IF($M12955="PADD V","PADD 5","")))))</f>
        <v/>
      </c>
      <c r="G12955" s="6">
        <f>IF(AND($H12955="ATMOS DISTILLATION",ISNUMBER(SEARCH("VPS",$I12955))=FALSE,LEFT($I12955,6)&lt;&gt;"VACUUM"),"CDU",IF($H12955="FLUID CAT CRACKING","FCC",IF(OR($H12955="HYDROCRACKING",$H12955="RESID_HYDROCRACKING"),"Hydrocracker",IF($H12955="REFORMING","Reformer",""))))</f>
        <v/>
      </c>
    </row>
    <row r="12956" spans="6:7">
      <c r="F12956" s="6">
        <f>IF($M12956="PADD I","PADD 1",IF($M12956="PADD II","PADD 2",IF($M12956="PADD III","PADD 3",IF($M12956="PADD IV","PADD 4",IF($M12956="PADD V","PADD 5","")))))</f>
        <v/>
      </c>
      <c r="G12956" s="6">
        <f>IF(AND($H12956="ATMOS DISTILLATION",ISNUMBER(SEARCH("VPS",$I12956))=FALSE,LEFT($I12956,6)&lt;&gt;"VACUUM"),"CDU",IF($H12956="FLUID CAT CRACKING","FCC",IF(OR($H12956="HYDROCRACKING",$H12956="RESID_HYDROCRACKING"),"Hydrocracker",IF($H12956="REFORMING","Reformer",""))))</f>
        <v/>
      </c>
    </row>
    <row r="12957" spans="6:7">
      <c r="F12957" s="6">
        <f>IF($M12957="PADD I","PADD 1",IF($M12957="PADD II","PADD 2",IF($M12957="PADD III","PADD 3",IF($M12957="PADD IV","PADD 4",IF($M12957="PADD V","PADD 5","")))))</f>
        <v/>
      </c>
      <c r="G12957" s="6">
        <f>IF(AND($H12957="ATMOS DISTILLATION",ISNUMBER(SEARCH("VPS",$I12957))=FALSE,LEFT($I12957,6)&lt;&gt;"VACUUM"),"CDU",IF($H12957="FLUID CAT CRACKING","FCC",IF(OR($H12957="HYDROCRACKING",$H12957="RESID_HYDROCRACKING"),"Hydrocracker",IF($H12957="REFORMING","Reformer",""))))</f>
        <v/>
      </c>
    </row>
    <row r="12958" spans="6:7">
      <c r="F12958" s="6">
        <f>IF($M12958="PADD I","PADD 1",IF($M12958="PADD II","PADD 2",IF($M12958="PADD III","PADD 3",IF($M12958="PADD IV","PADD 4",IF($M12958="PADD V","PADD 5","")))))</f>
        <v/>
      </c>
      <c r="G12958" s="6">
        <f>IF(AND($H12958="ATMOS DISTILLATION",ISNUMBER(SEARCH("VPS",$I12958))=FALSE,LEFT($I12958,6)&lt;&gt;"VACUUM"),"CDU",IF($H12958="FLUID CAT CRACKING","FCC",IF(OR($H12958="HYDROCRACKING",$H12958="RESID_HYDROCRACKING"),"Hydrocracker",IF($H12958="REFORMING","Reformer",""))))</f>
        <v/>
      </c>
    </row>
    <row r="12959" spans="6:7">
      <c r="F12959" s="6">
        <f>IF($M12959="PADD I","PADD 1",IF($M12959="PADD II","PADD 2",IF($M12959="PADD III","PADD 3",IF($M12959="PADD IV","PADD 4",IF($M12959="PADD V","PADD 5","")))))</f>
        <v/>
      </c>
      <c r="G12959" s="6">
        <f>IF(AND($H12959="ATMOS DISTILLATION",ISNUMBER(SEARCH("VPS",$I12959))=FALSE,LEFT($I12959,6)&lt;&gt;"VACUUM"),"CDU",IF($H12959="FLUID CAT CRACKING","FCC",IF(OR($H12959="HYDROCRACKING",$H12959="RESID_HYDROCRACKING"),"Hydrocracker",IF($H12959="REFORMING","Reformer",""))))</f>
        <v/>
      </c>
    </row>
    <row r="12960" spans="6:7">
      <c r="F12960" s="6">
        <f>IF($M12960="PADD I","PADD 1",IF($M12960="PADD II","PADD 2",IF($M12960="PADD III","PADD 3",IF($M12960="PADD IV","PADD 4",IF($M12960="PADD V","PADD 5","")))))</f>
        <v/>
      </c>
      <c r="G12960" s="6">
        <f>IF(AND($H12960="ATMOS DISTILLATION",ISNUMBER(SEARCH("VPS",$I12960))=FALSE,LEFT($I12960,6)&lt;&gt;"VACUUM"),"CDU",IF($H12960="FLUID CAT CRACKING","FCC",IF(OR($H12960="HYDROCRACKING",$H12960="RESID_HYDROCRACKING"),"Hydrocracker",IF($H12960="REFORMING","Reformer",""))))</f>
        <v/>
      </c>
    </row>
    <row r="12961" spans="6:7">
      <c r="F12961" s="6">
        <f>IF($M12961="PADD I","PADD 1",IF($M12961="PADD II","PADD 2",IF($M12961="PADD III","PADD 3",IF($M12961="PADD IV","PADD 4",IF($M12961="PADD V","PADD 5","")))))</f>
        <v/>
      </c>
      <c r="G12961" s="6">
        <f>IF(AND($H12961="ATMOS DISTILLATION",ISNUMBER(SEARCH("VPS",$I12961))=FALSE,LEFT($I12961,6)&lt;&gt;"VACUUM"),"CDU",IF($H12961="FLUID CAT CRACKING","FCC",IF(OR($H12961="HYDROCRACKING",$H12961="RESID_HYDROCRACKING"),"Hydrocracker",IF($H12961="REFORMING","Reformer",""))))</f>
        <v/>
      </c>
    </row>
    <row r="12962" spans="6:7">
      <c r="F12962" s="6">
        <f>IF($M12962="PADD I","PADD 1",IF($M12962="PADD II","PADD 2",IF($M12962="PADD III","PADD 3",IF($M12962="PADD IV","PADD 4",IF($M12962="PADD V","PADD 5","")))))</f>
        <v/>
      </c>
      <c r="G12962" s="6">
        <f>IF(AND($H12962="ATMOS DISTILLATION",ISNUMBER(SEARCH("VPS",$I12962))=FALSE,LEFT($I12962,6)&lt;&gt;"VACUUM"),"CDU",IF($H12962="FLUID CAT CRACKING","FCC",IF(OR($H12962="HYDROCRACKING",$H12962="RESID_HYDROCRACKING"),"Hydrocracker",IF($H12962="REFORMING","Reformer",""))))</f>
        <v/>
      </c>
    </row>
    <row r="12963" spans="6:7">
      <c r="F12963" s="6">
        <f>IF($M12963="PADD I","PADD 1",IF($M12963="PADD II","PADD 2",IF($M12963="PADD III","PADD 3",IF($M12963="PADD IV","PADD 4",IF($M12963="PADD V","PADD 5","")))))</f>
        <v/>
      </c>
      <c r="G12963" s="6">
        <f>IF(AND($H12963="ATMOS DISTILLATION",ISNUMBER(SEARCH("VPS",$I12963))=FALSE,LEFT($I12963,6)&lt;&gt;"VACUUM"),"CDU",IF($H12963="FLUID CAT CRACKING","FCC",IF(OR($H12963="HYDROCRACKING",$H12963="RESID_HYDROCRACKING"),"Hydrocracker",IF($H12963="REFORMING","Reformer",""))))</f>
        <v/>
      </c>
    </row>
    <row r="12964" spans="6:7">
      <c r="F12964" s="6">
        <f>IF($M12964="PADD I","PADD 1",IF($M12964="PADD II","PADD 2",IF($M12964="PADD III","PADD 3",IF($M12964="PADD IV","PADD 4",IF($M12964="PADD V","PADD 5","")))))</f>
        <v/>
      </c>
      <c r="G12964" s="6">
        <f>IF(AND($H12964="ATMOS DISTILLATION",ISNUMBER(SEARCH("VPS",$I12964))=FALSE,LEFT($I12964,6)&lt;&gt;"VACUUM"),"CDU",IF($H12964="FLUID CAT CRACKING","FCC",IF(OR($H12964="HYDROCRACKING",$H12964="RESID_HYDROCRACKING"),"Hydrocracker",IF($H12964="REFORMING","Reformer",""))))</f>
        <v/>
      </c>
    </row>
    <row r="12965" spans="6:7">
      <c r="F12965" s="6">
        <f>IF($M12965="PADD I","PADD 1",IF($M12965="PADD II","PADD 2",IF($M12965="PADD III","PADD 3",IF($M12965="PADD IV","PADD 4",IF($M12965="PADD V","PADD 5","")))))</f>
        <v/>
      </c>
      <c r="G12965" s="6">
        <f>IF(AND($H12965="ATMOS DISTILLATION",ISNUMBER(SEARCH("VPS",$I12965))=FALSE,LEFT($I12965,6)&lt;&gt;"VACUUM"),"CDU",IF($H12965="FLUID CAT CRACKING","FCC",IF(OR($H12965="HYDROCRACKING",$H12965="RESID_HYDROCRACKING"),"Hydrocracker",IF($H12965="REFORMING","Reformer",""))))</f>
        <v/>
      </c>
    </row>
    <row r="12966" spans="6:7">
      <c r="F12966" s="6">
        <f>IF($M12966="PADD I","PADD 1",IF($M12966="PADD II","PADD 2",IF($M12966="PADD III","PADD 3",IF($M12966="PADD IV","PADD 4",IF($M12966="PADD V","PADD 5","")))))</f>
        <v/>
      </c>
      <c r="G12966" s="6">
        <f>IF(AND($H12966="ATMOS DISTILLATION",ISNUMBER(SEARCH("VPS",$I12966))=FALSE,LEFT($I12966,6)&lt;&gt;"VACUUM"),"CDU",IF($H12966="FLUID CAT CRACKING","FCC",IF(OR($H12966="HYDROCRACKING",$H12966="RESID_HYDROCRACKING"),"Hydrocracker",IF($H12966="REFORMING","Reformer",""))))</f>
        <v/>
      </c>
    </row>
    <row r="12967" spans="6:7">
      <c r="F12967" s="6">
        <f>IF($M12967="PADD I","PADD 1",IF($M12967="PADD II","PADD 2",IF($M12967="PADD III","PADD 3",IF($M12967="PADD IV","PADD 4",IF($M12967="PADD V","PADD 5","")))))</f>
        <v/>
      </c>
      <c r="G12967" s="6">
        <f>IF(AND($H12967="ATMOS DISTILLATION",ISNUMBER(SEARCH("VPS",$I12967))=FALSE,LEFT($I12967,6)&lt;&gt;"VACUUM"),"CDU",IF($H12967="FLUID CAT CRACKING","FCC",IF(OR($H12967="HYDROCRACKING",$H12967="RESID_HYDROCRACKING"),"Hydrocracker",IF($H12967="REFORMING","Reformer",""))))</f>
        <v/>
      </c>
    </row>
    <row r="12968" spans="6:7">
      <c r="F12968" s="6">
        <f>IF($M12968="PADD I","PADD 1",IF($M12968="PADD II","PADD 2",IF($M12968="PADD III","PADD 3",IF($M12968="PADD IV","PADD 4",IF($M12968="PADD V","PADD 5","")))))</f>
        <v/>
      </c>
      <c r="G12968" s="6">
        <f>IF(AND($H12968="ATMOS DISTILLATION",ISNUMBER(SEARCH("VPS",$I12968))=FALSE,LEFT($I12968,6)&lt;&gt;"VACUUM"),"CDU",IF($H12968="FLUID CAT CRACKING","FCC",IF(OR($H12968="HYDROCRACKING",$H12968="RESID_HYDROCRACKING"),"Hydrocracker",IF($H12968="REFORMING","Reformer",""))))</f>
        <v/>
      </c>
    </row>
    <row r="12969" spans="6:7">
      <c r="F12969" s="6">
        <f>IF($M12969="PADD I","PADD 1",IF($M12969="PADD II","PADD 2",IF($M12969="PADD III","PADD 3",IF($M12969="PADD IV","PADD 4",IF($M12969="PADD V","PADD 5","")))))</f>
        <v/>
      </c>
      <c r="G12969" s="6">
        <f>IF(AND($H12969="ATMOS DISTILLATION",ISNUMBER(SEARCH("VPS",$I12969))=FALSE,LEFT($I12969,6)&lt;&gt;"VACUUM"),"CDU",IF($H12969="FLUID CAT CRACKING","FCC",IF(OR($H12969="HYDROCRACKING",$H12969="RESID_HYDROCRACKING"),"Hydrocracker",IF($H12969="REFORMING","Reformer",""))))</f>
        <v/>
      </c>
    </row>
    <row r="12970" spans="6:7">
      <c r="F12970" s="6">
        <f>IF($M12970="PADD I","PADD 1",IF($M12970="PADD II","PADD 2",IF($M12970="PADD III","PADD 3",IF($M12970="PADD IV","PADD 4",IF($M12970="PADD V","PADD 5","")))))</f>
        <v/>
      </c>
      <c r="G12970" s="6">
        <f>IF(AND($H12970="ATMOS DISTILLATION",ISNUMBER(SEARCH("VPS",$I12970))=FALSE,LEFT($I12970,6)&lt;&gt;"VACUUM"),"CDU",IF($H12970="FLUID CAT CRACKING","FCC",IF(OR($H12970="HYDROCRACKING",$H12970="RESID_HYDROCRACKING"),"Hydrocracker",IF($H12970="REFORMING","Reformer",""))))</f>
        <v/>
      </c>
    </row>
    <row r="12971" spans="6:7">
      <c r="F12971" s="6">
        <f>IF($M12971="PADD I","PADD 1",IF($M12971="PADD II","PADD 2",IF($M12971="PADD III","PADD 3",IF($M12971="PADD IV","PADD 4",IF($M12971="PADD V","PADD 5","")))))</f>
        <v/>
      </c>
      <c r="G12971" s="6">
        <f>IF(AND($H12971="ATMOS DISTILLATION",ISNUMBER(SEARCH("VPS",$I12971))=FALSE,LEFT($I12971,6)&lt;&gt;"VACUUM"),"CDU",IF($H12971="FLUID CAT CRACKING","FCC",IF(OR($H12971="HYDROCRACKING",$H12971="RESID_HYDROCRACKING"),"Hydrocracker",IF($H12971="REFORMING","Reformer",""))))</f>
        <v/>
      </c>
    </row>
    <row r="12972" spans="6:7">
      <c r="F12972" s="6">
        <f>IF($M12972="PADD I","PADD 1",IF($M12972="PADD II","PADD 2",IF($M12972="PADD III","PADD 3",IF($M12972="PADD IV","PADD 4",IF($M12972="PADD V","PADD 5","")))))</f>
        <v/>
      </c>
      <c r="G12972" s="6">
        <f>IF(AND($H12972="ATMOS DISTILLATION",ISNUMBER(SEARCH("VPS",$I12972))=FALSE,LEFT($I12972,6)&lt;&gt;"VACUUM"),"CDU",IF($H12972="FLUID CAT CRACKING","FCC",IF(OR($H12972="HYDROCRACKING",$H12972="RESID_HYDROCRACKING"),"Hydrocracker",IF($H12972="REFORMING","Reformer",""))))</f>
        <v/>
      </c>
    </row>
    <row r="12973" spans="6:7">
      <c r="F12973" s="6">
        <f>IF($M12973="PADD I","PADD 1",IF($M12973="PADD II","PADD 2",IF($M12973="PADD III","PADD 3",IF($M12973="PADD IV","PADD 4",IF($M12973="PADD V","PADD 5","")))))</f>
        <v/>
      </c>
      <c r="G12973" s="6">
        <f>IF(AND($H12973="ATMOS DISTILLATION",ISNUMBER(SEARCH("VPS",$I12973))=FALSE,LEFT($I12973,6)&lt;&gt;"VACUUM"),"CDU",IF($H12973="FLUID CAT CRACKING","FCC",IF(OR($H12973="HYDROCRACKING",$H12973="RESID_HYDROCRACKING"),"Hydrocracker",IF($H12973="REFORMING","Reformer",""))))</f>
        <v/>
      </c>
    </row>
    <row r="12974" spans="6:7">
      <c r="F12974" s="6">
        <f>IF($M12974="PADD I","PADD 1",IF($M12974="PADD II","PADD 2",IF($M12974="PADD III","PADD 3",IF($M12974="PADD IV","PADD 4",IF($M12974="PADD V","PADD 5","")))))</f>
        <v/>
      </c>
      <c r="G12974" s="6">
        <f>IF(AND($H12974="ATMOS DISTILLATION",ISNUMBER(SEARCH("VPS",$I12974))=FALSE,LEFT($I12974,6)&lt;&gt;"VACUUM"),"CDU",IF($H12974="FLUID CAT CRACKING","FCC",IF(OR($H12974="HYDROCRACKING",$H12974="RESID_HYDROCRACKING"),"Hydrocracker",IF($H12974="REFORMING","Reformer",""))))</f>
        <v/>
      </c>
    </row>
    <row r="12975" spans="6:7">
      <c r="F12975" s="6">
        <f>IF($M12975="PADD I","PADD 1",IF($M12975="PADD II","PADD 2",IF($M12975="PADD III","PADD 3",IF($M12975="PADD IV","PADD 4",IF($M12975="PADD V","PADD 5","")))))</f>
        <v/>
      </c>
      <c r="G12975" s="6">
        <f>IF(AND($H12975="ATMOS DISTILLATION",ISNUMBER(SEARCH("VPS",$I12975))=FALSE,LEFT($I12975,6)&lt;&gt;"VACUUM"),"CDU",IF($H12975="FLUID CAT CRACKING","FCC",IF(OR($H12975="HYDROCRACKING",$H12975="RESID_HYDROCRACKING"),"Hydrocracker",IF($H12975="REFORMING","Reformer",""))))</f>
        <v/>
      </c>
    </row>
    <row r="12976" spans="6:7">
      <c r="F12976" s="6">
        <f>IF($M12976="PADD I","PADD 1",IF($M12976="PADD II","PADD 2",IF($M12976="PADD III","PADD 3",IF($M12976="PADD IV","PADD 4",IF($M12976="PADD V","PADD 5","")))))</f>
        <v/>
      </c>
      <c r="G12976" s="6">
        <f>IF(AND($H12976="ATMOS DISTILLATION",ISNUMBER(SEARCH("VPS",$I12976))=FALSE,LEFT($I12976,6)&lt;&gt;"VACUUM"),"CDU",IF($H12976="FLUID CAT CRACKING","FCC",IF(OR($H12976="HYDROCRACKING",$H12976="RESID_HYDROCRACKING"),"Hydrocracker",IF($H12976="REFORMING","Reformer",""))))</f>
        <v/>
      </c>
    </row>
    <row r="12977" spans="6:7">
      <c r="F12977" s="6">
        <f>IF($M12977="PADD I","PADD 1",IF($M12977="PADD II","PADD 2",IF($M12977="PADD III","PADD 3",IF($M12977="PADD IV","PADD 4",IF($M12977="PADD V","PADD 5","")))))</f>
        <v/>
      </c>
      <c r="G12977" s="6">
        <f>IF(AND($H12977="ATMOS DISTILLATION",ISNUMBER(SEARCH("VPS",$I12977))=FALSE,LEFT($I12977,6)&lt;&gt;"VACUUM"),"CDU",IF($H12977="FLUID CAT CRACKING","FCC",IF(OR($H12977="HYDROCRACKING",$H12977="RESID_HYDROCRACKING"),"Hydrocracker",IF($H12977="REFORMING","Reformer",""))))</f>
        <v/>
      </c>
    </row>
    <row r="12978" spans="6:7">
      <c r="F12978" s="6">
        <f>IF($M12978="PADD I","PADD 1",IF($M12978="PADD II","PADD 2",IF($M12978="PADD III","PADD 3",IF($M12978="PADD IV","PADD 4",IF($M12978="PADD V","PADD 5","")))))</f>
        <v/>
      </c>
      <c r="G12978" s="6">
        <f>IF(AND($H12978="ATMOS DISTILLATION",ISNUMBER(SEARCH("VPS",$I12978))=FALSE,LEFT($I12978,6)&lt;&gt;"VACUUM"),"CDU",IF($H12978="FLUID CAT CRACKING","FCC",IF(OR($H12978="HYDROCRACKING",$H12978="RESID_HYDROCRACKING"),"Hydrocracker",IF($H12978="REFORMING","Reformer",""))))</f>
        <v/>
      </c>
    </row>
    <row r="12979" spans="6:7">
      <c r="F12979" s="6">
        <f>IF($M12979="PADD I","PADD 1",IF($M12979="PADD II","PADD 2",IF($M12979="PADD III","PADD 3",IF($M12979="PADD IV","PADD 4",IF($M12979="PADD V","PADD 5","")))))</f>
        <v/>
      </c>
      <c r="G12979" s="6">
        <f>IF(AND($H12979="ATMOS DISTILLATION",ISNUMBER(SEARCH("VPS",$I12979))=FALSE,LEFT($I12979,6)&lt;&gt;"VACUUM"),"CDU",IF($H12979="FLUID CAT CRACKING","FCC",IF(OR($H12979="HYDROCRACKING",$H12979="RESID_HYDROCRACKING"),"Hydrocracker",IF($H12979="REFORMING","Reformer",""))))</f>
        <v/>
      </c>
    </row>
    <row r="12980" spans="6:7">
      <c r="F12980" s="6">
        <f>IF($M12980="PADD I","PADD 1",IF($M12980="PADD II","PADD 2",IF($M12980="PADD III","PADD 3",IF($M12980="PADD IV","PADD 4",IF($M12980="PADD V","PADD 5","")))))</f>
        <v/>
      </c>
      <c r="G12980" s="6">
        <f>IF(AND($H12980="ATMOS DISTILLATION",ISNUMBER(SEARCH("VPS",$I12980))=FALSE,LEFT($I12980,6)&lt;&gt;"VACUUM"),"CDU",IF($H12980="FLUID CAT CRACKING","FCC",IF(OR($H12980="HYDROCRACKING",$H12980="RESID_HYDROCRACKING"),"Hydrocracker",IF($H12980="REFORMING","Reformer",""))))</f>
        <v/>
      </c>
    </row>
    <row r="12981" spans="6:7">
      <c r="F12981" s="6">
        <f>IF($M12981="PADD I","PADD 1",IF($M12981="PADD II","PADD 2",IF($M12981="PADD III","PADD 3",IF($M12981="PADD IV","PADD 4",IF($M12981="PADD V","PADD 5","")))))</f>
        <v/>
      </c>
      <c r="G12981" s="6">
        <f>IF(AND($H12981="ATMOS DISTILLATION",ISNUMBER(SEARCH("VPS",$I12981))=FALSE,LEFT($I12981,6)&lt;&gt;"VACUUM"),"CDU",IF($H12981="FLUID CAT CRACKING","FCC",IF(OR($H12981="HYDROCRACKING",$H12981="RESID_HYDROCRACKING"),"Hydrocracker",IF($H12981="REFORMING","Reformer",""))))</f>
        <v/>
      </c>
    </row>
    <row r="12982" spans="6:7">
      <c r="F12982" s="6">
        <f>IF($M12982="PADD I","PADD 1",IF($M12982="PADD II","PADD 2",IF($M12982="PADD III","PADD 3",IF($M12982="PADD IV","PADD 4",IF($M12982="PADD V","PADD 5","")))))</f>
        <v/>
      </c>
      <c r="G12982" s="6">
        <f>IF(AND($H12982="ATMOS DISTILLATION",ISNUMBER(SEARCH("VPS",$I12982))=FALSE,LEFT($I12982,6)&lt;&gt;"VACUUM"),"CDU",IF($H12982="FLUID CAT CRACKING","FCC",IF(OR($H12982="HYDROCRACKING",$H12982="RESID_HYDROCRACKING"),"Hydrocracker",IF($H12982="REFORMING","Reformer",""))))</f>
        <v/>
      </c>
    </row>
    <row r="12983" spans="6:7">
      <c r="F12983" s="6">
        <f>IF($M12983="PADD I","PADD 1",IF($M12983="PADD II","PADD 2",IF($M12983="PADD III","PADD 3",IF($M12983="PADD IV","PADD 4",IF($M12983="PADD V","PADD 5","")))))</f>
        <v/>
      </c>
      <c r="G12983" s="6">
        <f>IF(AND($H12983="ATMOS DISTILLATION",ISNUMBER(SEARCH("VPS",$I12983))=FALSE,LEFT($I12983,6)&lt;&gt;"VACUUM"),"CDU",IF($H12983="FLUID CAT CRACKING","FCC",IF(OR($H12983="HYDROCRACKING",$H12983="RESID_HYDROCRACKING"),"Hydrocracker",IF($H12983="REFORMING","Reformer",""))))</f>
        <v/>
      </c>
    </row>
    <row r="12984" spans="6:7">
      <c r="F12984" s="6">
        <f>IF($M12984="PADD I","PADD 1",IF($M12984="PADD II","PADD 2",IF($M12984="PADD III","PADD 3",IF($M12984="PADD IV","PADD 4",IF($M12984="PADD V","PADD 5","")))))</f>
        <v/>
      </c>
      <c r="G12984" s="6">
        <f>IF(AND($H12984="ATMOS DISTILLATION",ISNUMBER(SEARCH("VPS",$I12984))=FALSE,LEFT($I12984,6)&lt;&gt;"VACUUM"),"CDU",IF($H12984="FLUID CAT CRACKING","FCC",IF(OR($H12984="HYDROCRACKING",$H12984="RESID_HYDROCRACKING"),"Hydrocracker",IF($H12984="REFORMING","Reformer",""))))</f>
        <v/>
      </c>
    </row>
    <row r="12985" spans="6:7">
      <c r="F12985" s="6">
        <f>IF($M12985="PADD I","PADD 1",IF($M12985="PADD II","PADD 2",IF($M12985="PADD III","PADD 3",IF($M12985="PADD IV","PADD 4",IF($M12985="PADD V","PADD 5","")))))</f>
        <v/>
      </c>
      <c r="G12985" s="6">
        <f>IF(AND($H12985="ATMOS DISTILLATION",ISNUMBER(SEARCH("VPS",$I12985))=FALSE,LEFT($I12985,6)&lt;&gt;"VACUUM"),"CDU",IF($H12985="FLUID CAT CRACKING","FCC",IF(OR($H12985="HYDROCRACKING",$H12985="RESID_HYDROCRACKING"),"Hydrocracker",IF($H12985="REFORMING","Reformer",""))))</f>
        <v/>
      </c>
    </row>
    <row r="12986" spans="6:7">
      <c r="F12986" s="6">
        <f>IF($M12986="PADD I","PADD 1",IF($M12986="PADD II","PADD 2",IF($M12986="PADD III","PADD 3",IF($M12986="PADD IV","PADD 4",IF($M12986="PADD V","PADD 5","")))))</f>
        <v/>
      </c>
      <c r="G12986" s="6">
        <f>IF(AND($H12986="ATMOS DISTILLATION",ISNUMBER(SEARCH("VPS",$I12986))=FALSE,LEFT($I12986,6)&lt;&gt;"VACUUM"),"CDU",IF($H12986="FLUID CAT CRACKING","FCC",IF(OR($H12986="HYDROCRACKING",$H12986="RESID_HYDROCRACKING"),"Hydrocracker",IF($H12986="REFORMING","Reformer",""))))</f>
        <v/>
      </c>
    </row>
    <row r="12987" spans="6:7">
      <c r="F12987" s="6">
        <f>IF($M12987="PADD I","PADD 1",IF($M12987="PADD II","PADD 2",IF($M12987="PADD III","PADD 3",IF($M12987="PADD IV","PADD 4",IF($M12987="PADD V","PADD 5","")))))</f>
        <v/>
      </c>
      <c r="G12987" s="6">
        <f>IF(AND($H12987="ATMOS DISTILLATION",ISNUMBER(SEARCH("VPS",$I12987))=FALSE,LEFT($I12987,6)&lt;&gt;"VACUUM"),"CDU",IF($H12987="FLUID CAT CRACKING","FCC",IF(OR($H12987="HYDROCRACKING",$H12987="RESID_HYDROCRACKING"),"Hydrocracker",IF($H12987="REFORMING","Reformer",""))))</f>
        <v/>
      </c>
    </row>
    <row r="12988" spans="6:7">
      <c r="F12988" s="6">
        <f>IF($M12988="PADD I","PADD 1",IF($M12988="PADD II","PADD 2",IF($M12988="PADD III","PADD 3",IF($M12988="PADD IV","PADD 4",IF($M12988="PADD V","PADD 5","")))))</f>
        <v/>
      </c>
      <c r="G12988" s="6">
        <f>IF(AND($H12988="ATMOS DISTILLATION",ISNUMBER(SEARCH("VPS",$I12988))=FALSE,LEFT($I12988,6)&lt;&gt;"VACUUM"),"CDU",IF($H12988="FLUID CAT CRACKING","FCC",IF(OR($H12988="HYDROCRACKING",$H12988="RESID_HYDROCRACKING"),"Hydrocracker",IF($H12988="REFORMING","Reformer",""))))</f>
        <v/>
      </c>
    </row>
    <row r="12989" spans="6:7">
      <c r="F12989" s="6">
        <f>IF($M12989="PADD I","PADD 1",IF($M12989="PADD II","PADD 2",IF($M12989="PADD III","PADD 3",IF($M12989="PADD IV","PADD 4",IF($M12989="PADD V","PADD 5","")))))</f>
        <v/>
      </c>
      <c r="G12989" s="6">
        <f>IF(AND($H12989="ATMOS DISTILLATION",ISNUMBER(SEARCH("VPS",$I12989))=FALSE,LEFT($I12989,6)&lt;&gt;"VACUUM"),"CDU",IF($H12989="FLUID CAT CRACKING","FCC",IF(OR($H12989="HYDROCRACKING",$H12989="RESID_HYDROCRACKING"),"Hydrocracker",IF($H12989="REFORMING","Reformer",""))))</f>
        <v/>
      </c>
    </row>
    <row r="12990" spans="6:7">
      <c r="F12990" s="6">
        <f>IF($M12990="PADD I","PADD 1",IF($M12990="PADD II","PADD 2",IF($M12990="PADD III","PADD 3",IF($M12990="PADD IV","PADD 4",IF($M12990="PADD V","PADD 5","")))))</f>
        <v/>
      </c>
      <c r="G12990" s="6">
        <f>IF(AND($H12990="ATMOS DISTILLATION",ISNUMBER(SEARCH("VPS",$I12990))=FALSE,LEFT($I12990,6)&lt;&gt;"VACUUM"),"CDU",IF($H12990="FLUID CAT CRACKING","FCC",IF(OR($H12990="HYDROCRACKING",$H12990="RESID_HYDROCRACKING"),"Hydrocracker",IF($H12990="REFORMING","Reformer",""))))</f>
        <v/>
      </c>
    </row>
    <row r="12991" spans="6:7">
      <c r="F12991" s="6">
        <f>IF($M12991="PADD I","PADD 1",IF($M12991="PADD II","PADD 2",IF($M12991="PADD III","PADD 3",IF($M12991="PADD IV","PADD 4",IF($M12991="PADD V","PADD 5","")))))</f>
        <v/>
      </c>
      <c r="G12991" s="6">
        <f>IF(AND($H12991="ATMOS DISTILLATION",ISNUMBER(SEARCH("VPS",$I12991))=FALSE,LEFT($I12991,6)&lt;&gt;"VACUUM"),"CDU",IF($H12991="FLUID CAT CRACKING","FCC",IF(OR($H12991="HYDROCRACKING",$H12991="RESID_HYDROCRACKING"),"Hydrocracker",IF($H12991="REFORMING","Reformer",""))))</f>
        <v/>
      </c>
    </row>
    <row r="12992" spans="6:7">
      <c r="F12992" s="6">
        <f>IF($M12992="PADD I","PADD 1",IF($M12992="PADD II","PADD 2",IF($M12992="PADD III","PADD 3",IF($M12992="PADD IV","PADD 4",IF($M12992="PADD V","PADD 5","")))))</f>
        <v/>
      </c>
      <c r="G12992" s="6">
        <f>IF(AND($H12992="ATMOS DISTILLATION",ISNUMBER(SEARCH("VPS",$I12992))=FALSE,LEFT($I12992,6)&lt;&gt;"VACUUM"),"CDU",IF($H12992="FLUID CAT CRACKING","FCC",IF(OR($H12992="HYDROCRACKING",$H12992="RESID_HYDROCRACKING"),"Hydrocracker",IF($H12992="REFORMING","Reformer",""))))</f>
        <v/>
      </c>
    </row>
    <row r="12993" spans="6:7">
      <c r="F12993" s="6">
        <f>IF($M12993="PADD I","PADD 1",IF($M12993="PADD II","PADD 2",IF($M12993="PADD III","PADD 3",IF($M12993="PADD IV","PADD 4",IF($M12993="PADD V","PADD 5","")))))</f>
        <v/>
      </c>
      <c r="G12993" s="6">
        <f>IF(AND($H12993="ATMOS DISTILLATION",ISNUMBER(SEARCH("VPS",$I12993))=FALSE,LEFT($I12993,6)&lt;&gt;"VACUUM"),"CDU",IF($H12993="FLUID CAT CRACKING","FCC",IF(OR($H12993="HYDROCRACKING",$H12993="RESID_HYDROCRACKING"),"Hydrocracker",IF($H12993="REFORMING","Reformer",""))))</f>
        <v/>
      </c>
    </row>
    <row r="12994" spans="6:7">
      <c r="F12994" s="6">
        <f>IF($M12994="PADD I","PADD 1",IF($M12994="PADD II","PADD 2",IF($M12994="PADD III","PADD 3",IF($M12994="PADD IV","PADD 4",IF($M12994="PADD V","PADD 5","")))))</f>
        <v/>
      </c>
      <c r="G12994" s="6">
        <f>IF(AND($H12994="ATMOS DISTILLATION",ISNUMBER(SEARCH("VPS",$I12994))=FALSE,LEFT($I12994,6)&lt;&gt;"VACUUM"),"CDU",IF($H12994="FLUID CAT CRACKING","FCC",IF(OR($H12994="HYDROCRACKING",$H12994="RESID_HYDROCRACKING"),"Hydrocracker",IF($H12994="REFORMING","Reformer",""))))</f>
        <v/>
      </c>
    </row>
    <row r="12995" spans="6:7">
      <c r="F12995" s="6">
        <f>IF($M12995="PADD I","PADD 1",IF($M12995="PADD II","PADD 2",IF($M12995="PADD III","PADD 3",IF($M12995="PADD IV","PADD 4",IF($M12995="PADD V","PADD 5","")))))</f>
        <v/>
      </c>
      <c r="G12995" s="6">
        <f>IF(AND($H12995="ATMOS DISTILLATION",ISNUMBER(SEARCH("VPS",$I12995))=FALSE,LEFT($I12995,6)&lt;&gt;"VACUUM"),"CDU",IF($H12995="FLUID CAT CRACKING","FCC",IF(OR($H12995="HYDROCRACKING",$H12995="RESID_HYDROCRACKING"),"Hydrocracker",IF($H12995="REFORMING","Reformer",""))))</f>
        <v/>
      </c>
    </row>
    <row r="12996" spans="6:7">
      <c r="F12996" s="6">
        <f>IF($M12996="PADD I","PADD 1",IF($M12996="PADD II","PADD 2",IF($M12996="PADD III","PADD 3",IF($M12996="PADD IV","PADD 4",IF($M12996="PADD V","PADD 5","")))))</f>
        <v/>
      </c>
      <c r="G12996" s="6">
        <f>IF(AND($H12996="ATMOS DISTILLATION",ISNUMBER(SEARCH("VPS",$I12996))=FALSE,LEFT($I12996,6)&lt;&gt;"VACUUM"),"CDU",IF($H12996="FLUID CAT CRACKING","FCC",IF(OR($H12996="HYDROCRACKING",$H12996="RESID_HYDROCRACKING"),"Hydrocracker",IF($H12996="REFORMING","Reformer",""))))</f>
        <v/>
      </c>
    </row>
    <row r="12997" spans="6:7">
      <c r="F12997" s="6">
        <f>IF($M12997="PADD I","PADD 1",IF($M12997="PADD II","PADD 2",IF($M12997="PADD III","PADD 3",IF($M12997="PADD IV","PADD 4",IF($M12997="PADD V","PADD 5","")))))</f>
        <v/>
      </c>
      <c r="G12997" s="6">
        <f>IF(AND($H12997="ATMOS DISTILLATION",ISNUMBER(SEARCH("VPS",$I12997))=FALSE,LEFT($I12997,6)&lt;&gt;"VACUUM"),"CDU",IF($H12997="FLUID CAT CRACKING","FCC",IF(OR($H12997="HYDROCRACKING",$H12997="RESID_HYDROCRACKING"),"Hydrocracker",IF($H12997="REFORMING","Reformer",""))))</f>
        <v/>
      </c>
    </row>
    <row r="12998" spans="6:7">
      <c r="F12998" s="6">
        <f>IF($M12998="PADD I","PADD 1",IF($M12998="PADD II","PADD 2",IF($M12998="PADD III","PADD 3",IF($M12998="PADD IV","PADD 4",IF($M12998="PADD V","PADD 5","")))))</f>
        <v/>
      </c>
      <c r="G12998" s="6">
        <f>IF(AND($H12998="ATMOS DISTILLATION",ISNUMBER(SEARCH("VPS",$I12998))=FALSE,LEFT($I12998,6)&lt;&gt;"VACUUM"),"CDU",IF($H12998="FLUID CAT CRACKING","FCC",IF(OR($H12998="HYDROCRACKING",$H12998="RESID_HYDROCRACKING"),"Hydrocracker",IF($H12998="REFORMING","Reformer",""))))</f>
        <v/>
      </c>
    </row>
    <row r="12999" spans="6:7">
      <c r="F12999" s="6">
        <f>IF($M12999="PADD I","PADD 1",IF($M12999="PADD II","PADD 2",IF($M12999="PADD III","PADD 3",IF($M12999="PADD IV","PADD 4",IF($M12999="PADD V","PADD 5","")))))</f>
        <v/>
      </c>
      <c r="G12999" s="6">
        <f>IF(AND($H12999="ATMOS DISTILLATION",ISNUMBER(SEARCH("VPS",$I12999))=FALSE,LEFT($I12999,6)&lt;&gt;"VACUUM"),"CDU",IF($H12999="FLUID CAT CRACKING","FCC",IF(OR($H12999="HYDROCRACKING",$H12999="RESID_HYDROCRACKING"),"Hydrocracker",IF($H12999="REFORMING","Reformer",""))))</f>
        <v/>
      </c>
    </row>
    <row r="13000" spans="6:7">
      <c r="F13000" s="6">
        <f>IF($M13000="PADD I","PADD 1",IF($M13000="PADD II","PADD 2",IF($M13000="PADD III","PADD 3",IF($M13000="PADD IV","PADD 4",IF($M13000="PADD V","PADD 5","")))))</f>
        <v/>
      </c>
      <c r="G13000" s="6">
        <f>IF(AND($H13000="ATMOS DISTILLATION",ISNUMBER(SEARCH("VPS",$I13000))=FALSE,LEFT($I13000,6)&lt;&gt;"VACUUM"),"CDU",IF($H13000="FLUID CAT CRACKING","FCC",IF(OR($H13000="HYDROCRACKING",$H13000="RESID_HYDROCRACKING"),"Hydrocracker",IF($H13000="REFORMING","Reformer",""))))</f>
        <v/>
      </c>
    </row>
    <row r="13001" spans="6:7">
      <c r="F13001" s="6">
        <f>IF($M13001="PADD I","PADD 1",IF($M13001="PADD II","PADD 2",IF($M13001="PADD III","PADD 3",IF($M13001="PADD IV","PADD 4",IF($M13001="PADD V","PADD 5","")))))</f>
        <v/>
      </c>
      <c r="G13001" s="6">
        <f>IF(AND($H13001="ATMOS DISTILLATION",ISNUMBER(SEARCH("VPS",$I13001))=FALSE,LEFT($I13001,6)&lt;&gt;"VACUUM"),"CDU",IF($H13001="FLUID CAT CRACKING","FCC",IF(OR($H13001="HYDROCRACKING",$H13001="RESID_HYDROCRACKING"),"Hydrocracker",IF($H13001="REFORMING","Reformer",""))))</f>
        <v/>
      </c>
    </row>
    <row r="13002" spans="6:7">
      <c r="F13002" s="6">
        <f>IF($M13002="PADD I","PADD 1",IF($M13002="PADD II","PADD 2",IF($M13002="PADD III","PADD 3",IF($M13002="PADD IV","PADD 4",IF($M13002="PADD V","PADD 5","")))))</f>
        <v/>
      </c>
      <c r="G13002" s="6">
        <f>IF(AND($H13002="ATMOS DISTILLATION",ISNUMBER(SEARCH("VPS",$I13002))=FALSE,LEFT($I13002,6)&lt;&gt;"VACUUM"),"CDU",IF($H13002="FLUID CAT CRACKING","FCC",IF(OR($H13002="HYDROCRACKING",$H13002="RESID_HYDROCRACKING"),"Hydrocracker",IF($H13002="REFORMING","Reformer",""))))</f>
        <v/>
      </c>
    </row>
    <row r="13003" spans="6:7">
      <c r="F13003" s="6">
        <f>IF($M13003="PADD I","PADD 1",IF($M13003="PADD II","PADD 2",IF($M13003="PADD III","PADD 3",IF($M13003="PADD IV","PADD 4",IF($M13003="PADD V","PADD 5","")))))</f>
        <v/>
      </c>
      <c r="G13003" s="6">
        <f>IF(AND($H13003="ATMOS DISTILLATION",ISNUMBER(SEARCH("VPS",$I13003))=FALSE,LEFT($I13003,6)&lt;&gt;"VACUUM"),"CDU",IF($H13003="FLUID CAT CRACKING","FCC",IF(OR($H13003="HYDROCRACKING",$H13003="RESID_HYDROCRACKING"),"Hydrocracker",IF($H13003="REFORMING","Reformer",""))))</f>
        <v/>
      </c>
    </row>
    <row r="13004" spans="6:7">
      <c r="F13004" s="6">
        <f>IF($M13004="PADD I","PADD 1",IF($M13004="PADD II","PADD 2",IF($M13004="PADD III","PADD 3",IF($M13004="PADD IV","PADD 4",IF($M13004="PADD V","PADD 5","")))))</f>
        <v/>
      </c>
      <c r="G13004" s="6">
        <f>IF(AND($H13004="ATMOS DISTILLATION",ISNUMBER(SEARCH("VPS",$I13004))=FALSE,LEFT($I13004,6)&lt;&gt;"VACUUM"),"CDU",IF($H13004="FLUID CAT CRACKING","FCC",IF(OR($H13004="HYDROCRACKING",$H13004="RESID_HYDROCRACKING"),"Hydrocracker",IF($H13004="REFORMING","Reformer",""))))</f>
        <v/>
      </c>
    </row>
    <row r="13005" spans="6:7">
      <c r="F13005" s="6">
        <f>IF($M13005="PADD I","PADD 1",IF($M13005="PADD II","PADD 2",IF($M13005="PADD III","PADD 3",IF($M13005="PADD IV","PADD 4",IF($M13005="PADD V","PADD 5","")))))</f>
        <v/>
      </c>
      <c r="G13005" s="6">
        <f>IF(AND($H13005="ATMOS DISTILLATION",ISNUMBER(SEARCH("VPS",$I13005))=FALSE,LEFT($I13005,6)&lt;&gt;"VACUUM"),"CDU",IF($H13005="FLUID CAT CRACKING","FCC",IF(OR($H13005="HYDROCRACKING",$H13005="RESID_HYDROCRACKING"),"Hydrocracker",IF($H13005="REFORMING","Reformer",""))))</f>
        <v/>
      </c>
    </row>
    <row r="13006" spans="6:7">
      <c r="F13006" s="6">
        <f>IF($M13006="PADD I","PADD 1",IF($M13006="PADD II","PADD 2",IF($M13006="PADD III","PADD 3",IF($M13006="PADD IV","PADD 4",IF($M13006="PADD V","PADD 5","")))))</f>
        <v/>
      </c>
      <c r="G13006" s="6">
        <f>IF(AND($H13006="ATMOS DISTILLATION",ISNUMBER(SEARCH("VPS",$I13006))=FALSE,LEFT($I13006,6)&lt;&gt;"VACUUM"),"CDU",IF($H13006="FLUID CAT CRACKING","FCC",IF(OR($H13006="HYDROCRACKING",$H13006="RESID_HYDROCRACKING"),"Hydrocracker",IF($H13006="REFORMING","Reformer",""))))</f>
        <v/>
      </c>
    </row>
    <row r="13007" spans="6:7">
      <c r="F13007" s="6">
        <f>IF($M13007="PADD I","PADD 1",IF($M13007="PADD II","PADD 2",IF($M13007="PADD III","PADD 3",IF($M13007="PADD IV","PADD 4",IF($M13007="PADD V","PADD 5","")))))</f>
        <v/>
      </c>
      <c r="G13007" s="6">
        <f>IF(AND($H13007="ATMOS DISTILLATION",ISNUMBER(SEARCH("VPS",$I13007))=FALSE,LEFT($I13007,6)&lt;&gt;"VACUUM"),"CDU",IF($H13007="FLUID CAT CRACKING","FCC",IF(OR($H13007="HYDROCRACKING",$H13007="RESID_HYDROCRACKING"),"Hydrocracker",IF($H13007="REFORMING","Reformer",""))))</f>
        <v/>
      </c>
    </row>
    <row r="13008" spans="6:7">
      <c r="F13008" s="6">
        <f>IF($M13008="PADD I","PADD 1",IF($M13008="PADD II","PADD 2",IF($M13008="PADD III","PADD 3",IF($M13008="PADD IV","PADD 4",IF($M13008="PADD V","PADD 5","")))))</f>
        <v/>
      </c>
      <c r="G13008" s="6">
        <f>IF(AND($H13008="ATMOS DISTILLATION",ISNUMBER(SEARCH("VPS",$I13008))=FALSE,LEFT($I13008,6)&lt;&gt;"VACUUM"),"CDU",IF($H13008="FLUID CAT CRACKING","FCC",IF(OR($H13008="HYDROCRACKING",$H13008="RESID_HYDROCRACKING"),"Hydrocracker",IF($H13008="REFORMING","Reformer",""))))</f>
        <v/>
      </c>
    </row>
    <row r="13009" spans="6:7">
      <c r="F13009" s="6">
        <f>IF($M13009="PADD I","PADD 1",IF($M13009="PADD II","PADD 2",IF($M13009="PADD III","PADD 3",IF($M13009="PADD IV","PADD 4",IF($M13009="PADD V","PADD 5","")))))</f>
        <v/>
      </c>
      <c r="G13009" s="6">
        <f>IF(AND($H13009="ATMOS DISTILLATION",ISNUMBER(SEARCH("VPS",$I13009))=FALSE,LEFT($I13009,6)&lt;&gt;"VACUUM"),"CDU",IF($H13009="FLUID CAT CRACKING","FCC",IF(OR($H13009="HYDROCRACKING",$H13009="RESID_HYDROCRACKING"),"Hydrocracker",IF($H13009="REFORMING","Reformer",""))))</f>
        <v/>
      </c>
    </row>
    <row r="13010" spans="6:7">
      <c r="F13010" s="6">
        <f>IF($M13010="PADD I","PADD 1",IF($M13010="PADD II","PADD 2",IF($M13010="PADD III","PADD 3",IF($M13010="PADD IV","PADD 4",IF($M13010="PADD V","PADD 5","")))))</f>
        <v/>
      </c>
      <c r="G13010" s="6">
        <f>IF(AND($H13010="ATMOS DISTILLATION",ISNUMBER(SEARCH("VPS",$I13010))=FALSE,LEFT($I13010,6)&lt;&gt;"VACUUM"),"CDU",IF($H13010="FLUID CAT CRACKING","FCC",IF(OR($H13010="HYDROCRACKING",$H13010="RESID_HYDROCRACKING"),"Hydrocracker",IF($H13010="REFORMING","Reformer",""))))</f>
        <v/>
      </c>
    </row>
    <row r="13011" spans="6:7">
      <c r="F13011" s="6">
        <f>IF($M13011="PADD I","PADD 1",IF($M13011="PADD II","PADD 2",IF($M13011="PADD III","PADD 3",IF($M13011="PADD IV","PADD 4",IF($M13011="PADD V","PADD 5","")))))</f>
        <v/>
      </c>
      <c r="G13011" s="6">
        <f>IF(AND($H13011="ATMOS DISTILLATION",ISNUMBER(SEARCH("VPS",$I13011))=FALSE,LEFT($I13011,6)&lt;&gt;"VACUUM"),"CDU",IF($H13011="FLUID CAT CRACKING","FCC",IF(OR($H13011="HYDROCRACKING",$H13011="RESID_HYDROCRACKING"),"Hydrocracker",IF($H13011="REFORMING","Reformer",""))))</f>
        <v/>
      </c>
    </row>
    <row r="13012" spans="6:7">
      <c r="F13012" s="6">
        <f>IF($M13012="PADD I","PADD 1",IF($M13012="PADD II","PADD 2",IF($M13012="PADD III","PADD 3",IF($M13012="PADD IV","PADD 4",IF($M13012="PADD V","PADD 5","")))))</f>
        <v/>
      </c>
      <c r="G13012" s="6">
        <f>IF(AND($H13012="ATMOS DISTILLATION",ISNUMBER(SEARCH("VPS",$I13012))=FALSE,LEFT($I13012,6)&lt;&gt;"VACUUM"),"CDU",IF($H13012="FLUID CAT CRACKING","FCC",IF(OR($H13012="HYDROCRACKING",$H13012="RESID_HYDROCRACKING"),"Hydrocracker",IF($H13012="REFORMING","Reformer",""))))</f>
        <v/>
      </c>
    </row>
    <row r="13013" spans="6:7">
      <c r="F13013" s="6">
        <f>IF($M13013="PADD I","PADD 1",IF($M13013="PADD II","PADD 2",IF($M13013="PADD III","PADD 3",IF($M13013="PADD IV","PADD 4",IF($M13013="PADD V","PADD 5","")))))</f>
        <v/>
      </c>
      <c r="G13013" s="6">
        <f>IF(AND($H13013="ATMOS DISTILLATION",ISNUMBER(SEARCH("VPS",$I13013))=FALSE,LEFT($I13013,6)&lt;&gt;"VACUUM"),"CDU",IF($H13013="FLUID CAT CRACKING","FCC",IF(OR($H13013="HYDROCRACKING",$H13013="RESID_HYDROCRACKING"),"Hydrocracker",IF($H13013="REFORMING","Reformer",""))))</f>
        <v/>
      </c>
    </row>
    <row r="13014" spans="6:7">
      <c r="F13014" s="6">
        <f>IF($M13014="PADD I","PADD 1",IF($M13014="PADD II","PADD 2",IF($M13014="PADD III","PADD 3",IF($M13014="PADD IV","PADD 4",IF($M13014="PADD V","PADD 5","")))))</f>
        <v/>
      </c>
      <c r="G13014" s="6">
        <f>IF(AND($H13014="ATMOS DISTILLATION",ISNUMBER(SEARCH("VPS",$I13014))=FALSE,LEFT($I13014,6)&lt;&gt;"VACUUM"),"CDU",IF($H13014="FLUID CAT CRACKING","FCC",IF(OR($H13014="HYDROCRACKING",$H13014="RESID_HYDROCRACKING"),"Hydrocracker",IF($H13014="REFORMING","Reformer",""))))</f>
        <v/>
      </c>
    </row>
    <row r="13015" spans="6:7">
      <c r="F13015" s="6">
        <f>IF($M13015="PADD I","PADD 1",IF($M13015="PADD II","PADD 2",IF($M13015="PADD III","PADD 3",IF($M13015="PADD IV","PADD 4",IF($M13015="PADD V","PADD 5","")))))</f>
        <v/>
      </c>
      <c r="G13015" s="6">
        <f>IF(AND($H13015="ATMOS DISTILLATION",ISNUMBER(SEARCH("VPS",$I13015))=FALSE,LEFT($I13015,6)&lt;&gt;"VACUUM"),"CDU",IF($H13015="FLUID CAT CRACKING","FCC",IF(OR($H13015="HYDROCRACKING",$H13015="RESID_HYDROCRACKING"),"Hydrocracker",IF($H13015="REFORMING","Reformer",""))))</f>
        <v/>
      </c>
    </row>
    <row r="13016" spans="6:7">
      <c r="F13016" s="6">
        <f>IF($M13016="PADD I","PADD 1",IF($M13016="PADD II","PADD 2",IF($M13016="PADD III","PADD 3",IF($M13016="PADD IV","PADD 4",IF($M13016="PADD V","PADD 5","")))))</f>
        <v/>
      </c>
      <c r="G13016" s="6">
        <f>IF(AND($H13016="ATMOS DISTILLATION",ISNUMBER(SEARCH("VPS",$I13016))=FALSE,LEFT($I13016,6)&lt;&gt;"VACUUM"),"CDU",IF($H13016="FLUID CAT CRACKING","FCC",IF(OR($H13016="HYDROCRACKING",$H13016="RESID_HYDROCRACKING"),"Hydrocracker",IF($H13016="REFORMING","Reformer",""))))</f>
        <v/>
      </c>
    </row>
    <row r="13017" spans="6:7">
      <c r="F13017" s="6">
        <f>IF($M13017="PADD I","PADD 1",IF($M13017="PADD II","PADD 2",IF($M13017="PADD III","PADD 3",IF($M13017="PADD IV","PADD 4",IF($M13017="PADD V","PADD 5","")))))</f>
        <v/>
      </c>
      <c r="G13017" s="6">
        <f>IF(AND($H13017="ATMOS DISTILLATION",ISNUMBER(SEARCH("VPS",$I13017))=FALSE,LEFT($I13017,6)&lt;&gt;"VACUUM"),"CDU",IF($H13017="FLUID CAT CRACKING","FCC",IF(OR($H13017="HYDROCRACKING",$H13017="RESID_HYDROCRACKING"),"Hydrocracker",IF($H13017="REFORMING","Reformer",""))))</f>
        <v/>
      </c>
    </row>
    <row r="13018" spans="6:7">
      <c r="F13018" s="6">
        <f>IF($M13018="PADD I","PADD 1",IF($M13018="PADD II","PADD 2",IF($M13018="PADD III","PADD 3",IF($M13018="PADD IV","PADD 4",IF($M13018="PADD V","PADD 5","")))))</f>
        <v/>
      </c>
      <c r="G13018" s="6">
        <f>IF(AND($H13018="ATMOS DISTILLATION",ISNUMBER(SEARCH("VPS",$I13018))=FALSE,LEFT($I13018,6)&lt;&gt;"VACUUM"),"CDU",IF($H13018="FLUID CAT CRACKING","FCC",IF(OR($H13018="HYDROCRACKING",$H13018="RESID_HYDROCRACKING"),"Hydrocracker",IF($H13018="REFORMING","Reformer",""))))</f>
        <v/>
      </c>
    </row>
    <row r="13019" spans="6:7">
      <c r="F13019" s="6">
        <f>IF($M13019="PADD I","PADD 1",IF($M13019="PADD II","PADD 2",IF($M13019="PADD III","PADD 3",IF($M13019="PADD IV","PADD 4",IF($M13019="PADD V","PADD 5","")))))</f>
        <v/>
      </c>
      <c r="G13019" s="6">
        <f>IF(AND($H13019="ATMOS DISTILLATION",ISNUMBER(SEARCH("VPS",$I13019))=FALSE,LEFT($I13019,6)&lt;&gt;"VACUUM"),"CDU",IF($H13019="FLUID CAT CRACKING","FCC",IF(OR($H13019="HYDROCRACKING",$H13019="RESID_HYDROCRACKING"),"Hydrocracker",IF($H13019="REFORMING","Reformer",""))))</f>
        <v/>
      </c>
    </row>
    <row r="13020" spans="6:7">
      <c r="F13020" s="6">
        <f>IF($M13020="PADD I","PADD 1",IF($M13020="PADD II","PADD 2",IF($M13020="PADD III","PADD 3",IF($M13020="PADD IV","PADD 4",IF($M13020="PADD V","PADD 5","")))))</f>
        <v/>
      </c>
      <c r="G13020" s="6">
        <f>IF(AND($H13020="ATMOS DISTILLATION",ISNUMBER(SEARCH("VPS",$I13020))=FALSE,LEFT($I13020,6)&lt;&gt;"VACUUM"),"CDU",IF($H13020="FLUID CAT CRACKING","FCC",IF(OR($H13020="HYDROCRACKING",$H13020="RESID_HYDROCRACKING"),"Hydrocracker",IF($H13020="REFORMING","Reformer",""))))</f>
        <v/>
      </c>
    </row>
    <row r="13021" spans="6:7">
      <c r="F13021" s="6">
        <f>IF($M13021="PADD I","PADD 1",IF($M13021="PADD II","PADD 2",IF($M13021="PADD III","PADD 3",IF($M13021="PADD IV","PADD 4",IF($M13021="PADD V","PADD 5","")))))</f>
        <v/>
      </c>
      <c r="G13021" s="6">
        <f>IF(AND($H13021="ATMOS DISTILLATION",ISNUMBER(SEARCH("VPS",$I13021))=FALSE,LEFT($I13021,6)&lt;&gt;"VACUUM"),"CDU",IF($H13021="FLUID CAT CRACKING","FCC",IF(OR($H13021="HYDROCRACKING",$H13021="RESID_HYDROCRACKING"),"Hydrocracker",IF($H13021="REFORMING","Reformer",""))))</f>
        <v/>
      </c>
    </row>
    <row r="13022" spans="6:7">
      <c r="F13022" s="6">
        <f>IF($M13022="PADD I","PADD 1",IF($M13022="PADD II","PADD 2",IF($M13022="PADD III","PADD 3",IF($M13022="PADD IV","PADD 4",IF($M13022="PADD V","PADD 5","")))))</f>
        <v/>
      </c>
      <c r="G13022" s="6">
        <f>IF(AND($H13022="ATMOS DISTILLATION",ISNUMBER(SEARCH("VPS",$I13022))=FALSE,LEFT($I13022,6)&lt;&gt;"VACUUM"),"CDU",IF($H13022="FLUID CAT CRACKING","FCC",IF(OR($H13022="HYDROCRACKING",$H13022="RESID_HYDROCRACKING"),"Hydrocracker",IF($H13022="REFORMING","Reformer",""))))</f>
        <v/>
      </c>
    </row>
    <row r="13023" spans="6:7">
      <c r="F13023" s="6">
        <f>IF($M13023="PADD I","PADD 1",IF($M13023="PADD II","PADD 2",IF($M13023="PADD III","PADD 3",IF($M13023="PADD IV","PADD 4",IF($M13023="PADD V","PADD 5","")))))</f>
        <v/>
      </c>
      <c r="G13023" s="6">
        <f>IF(AND($H13023="ATMOS DISTILLATION",ISNUMBER(SEARCH("VPS",$I13023))=FALSE,LEFT($I13023,6)&lt;&gt;"VACUUM"),"CDU",IF($H13023="FLUID CAT CRACKING","FCC",IF(OR($H13023="HYDROCRACKING",$H13023="RESID_HYDROCRACKING"),"Hydrocracker",IF($H13023="REFORMING","Reformer",""))))</f>
        <v/>
      </c>
    </row>
    <row r="13024" spans="6:7">
      <c r="F13024" s="6">
        <f>IF($M13024="PADD I","PADD 1",IF($M13024="PADD II","PADD 2",IF($M13024="PADD III","PADD 3",IF($M13024="PADD IV","PADD 4",IF($M13024="PADD V","PADD 5","")))))</f>
        <v/>
      </c>
      <c r="G13024" s="6">
        <f>IF(AND($H13024="ATMOS DISTILLATION",ISNUMBER(SEARCH("VPS",$I13024))=FALSE,LEFT($I13024,6)&lt;&gt;"VACUUM"),"CDU",IF($H13024="FLUID CAT CRACKING","FCC",IF(OR($H13024="HYDROCRACKING",$H13024="RESID_HYDROCRACKING"),"Hydrocracker",IF($H13024="REFORMING","Reformer",""))))</f>
        <v/>
      </c>
    </row>
    <row r="13025" spans="6:7">
      <c r="F13025" s="6">
        <f>IF($M13025="PADD I","PADD 1",IF($M13025="PADD II","PADD 2",IF($M13025="PADD III","PADD 3",IF($M13025="PADD IV","PADD 4",IF($M13025="PADD V","PADD 5","")))))</f>
        <v/>
      </c>
      <c r="G13025" s="6">
        <f>IF(AND($H13025="ATMOS DISTILLATION",ISNUMBER(SEARCH("VPS",$I13025))=FALSE,LEFT($I13025,6)&lt;&gt;"VACUUM"),"CDU",IF($H13025="FLUID CAT CRACKING","FCC",IF(OR($H13025="HYDROCRACKING",$H13025="RESID_HYDROCRACKING"),"Hydrocracker",IF($H13025="REFORMING","Reformer",""))))</f>
        <v/>
      </c>
    </row>
    <row r="13026" spans="6:7">
      <c r="F13026" s="6">
        <f>IF($M13026="PADD I","PADD 1",IF($M13026="PADD II","PADD 2",IF($M13026="PADD III","PADD 3",IF($M13026="PADD IV","PADD 4",IF($M13026="PADD V","PADD 5","")))))</f>
        <v/>
      </c>
      <c r="G13026" s="6">
        <f>IF(AND($H13026="ATMOS DISTILLATION",ISNUMBER(SEARCH("VPS",$I13026))=FALSE,LEFT($I13026,6)&lt;&gt;"VACUUM"),"CDU",IF($H13026="FLUID CAT CRACKING","FCC",IF(OR($H13026="HYDROCRACKING",$H13026="RESID_HYDROCRACKING"),"Hydrocracker",IF($H13026="REFORMING","Reformer",""))))</f>
        <v/>
      </c>
    </row>
    <row r="13027" spans="6:7">
      <c r="F13027" s="6">
        <f>IF($M13027="PADD I","PADD 1",IF($M13027="PADD II","PADD 2",IF($M13027="PADD III","PADD 3",IF($M13027="PADD IV","PADD 4",IF($M13027="PADD V","PADD 5","")))))</f>
        <v/>
      </c>
      <c r="G13027" s="6">
        <f>IF(AND($H13027="ATMOS DISTILLATION",ISNUMBER(SEARCH("VPS",$I13027))=FALSE,LEFT($I13027,6)&lt;&gt;"VACUUM"),"CDU",IF($H13027="FLUID CAT CRACKING","FCC",IF(OR($H13027="HYDROCRACKING",$H13027="RESID_HYDROCRACKING"),"Hydrocracker",IF($H13027="REFORMING","Reformer",""))))</f>
        <v/>
      </c>
    </row>
    <row r="13028" spans="6:7">
      <c r="F13028" s="6">
        <f>IF($M13028="PADD I","PADD 1",IF($M13028="PADD II","PADD 2",IF($M13028="PADD III","PADD 3",IF($M13028="PADD IV","PADD 4",IF($M13028="PADD V","PADD 5","")))))</f>
        <v/>
      </c>
      <c r="G13028" s="6">
        <f>IF(AND($H13028="ATMOS DISTILLATION",ISNUMBER(SEARCH("VPS",$I13028))=FALSE,LEFT($I13028,6)&lt;&gt;"VACUUM"),"CDU",IF($H13028="FLUID CAT CRACKING","FCC",IF(OR($H13028="HYDROCRACKING",$H13028="RESID_HYDROCRACKING"),"Hydrocracker",IF($H13028="REFORMING","Reformer",""))))</f>
        <v/>
      </c>
    </row>
    <row r="13029" spans="6:7">
      <c r="F13029" s="6">
        <f>IF($M13029="PADD I","PADD 1",IF($M13029="PADD II","PADD 2",IF($M13029="PADD III","PADD 3",IF($M13029="PADD IV","PADD 4",IF($M13029="PADD V","PADD 5","")))))</f>
        <v/>
      </c>
      <c r="G13029" s="6">
        <f>IF(AND($H13029="ATMOS DISTILLATION",ISNUMBER(SEARCH("VPS",$I13029))=FALSE,LEFT($I13029,6)&lt;&gt;"VACUUM"),"CDU",IF($H13029="FLUID CAT CRACKING","FCC",IF(OR($H13029="HYDROCRACKING",$H13029="RESID_HYDROCRACKING"),"Hydrocracker",IF($H13029="REFORMING","Reformer",""))))</f>
        <v/>
      </c>
    </row>
    <row r="13030" spans="6:7">
      <c r="F13030" s="6">
        <f>IF($M13030="PADD I","PADD 1",IF($M13030="PADD II","PADD 2",IF($M13030="PADD III","PADD 3",IF($M13030="PADD IV","PADD 4",IF($M13030="PADD V","PADD 5","")))))</f>
        <v/>
      </c>
      <c r="G13030" s="6">
        <f>IF(AND($H13030="ATMOS DISTILLATION",ISNUMBER(SEARCH("VPS",$I13030))=FALSE,LEFT($I13030,6)&lt;&gt;"VACUUM"),"CDU",IF($H13030="FLUID CAT CRACKING","FCC",IF(OR($H13030="HYDROCRACKING",$H13030="RESID_HYDROCRACKING"),"Hydrocracker",IF($H13030="REFORMING","Reformer",""))))</f>
        <v/>
      </c>
    </row>
    <row r="13031" spans="6:7">
      <c r="F13031" s="6">
        <f>IF($M13031="PADD I","PADD 1",IF($M13031="PADD II","PADD 2",IF($M13031="PADD III","PADD 3",IF($M13031="PADD IV","PADD 4",IF($M13031="PADD V","PADD 5","")))))</f>
        <v/>
      </c>
      <c r="G13031" s="6">
        <f>IF(AND($H13031="ATMOS DISTILLATION",ISNUMBER(SEARCH("VPS",$I13031))=FALSE,LEFT($I13031,6)&lt;&gt;"VACUUM"),"CDU",IF($H13031="FLUID CAT CRACKING","FCC",IF(OR($H13031="HYDROCRACKING",$H13031="RESID_HYDROCRACKING"),"Hydrocracker",IF($H13031="REFORMING","Reformer",""))))</f>
        <v/>
      </c>
    </row>
    <row r="13032" spans="6:7">
      <c r="F13032" s="6">
        <f>IF($M13032="PADD I","PADD 1",IF($M13032="PADD II","PADD 2",IF($M13032="PADD III","PADD 3",IF($M13032="PADD IV","PADD 4",IF($M13032="PADD V","PADD 5","")))))</f>
        <v/>
      </c>
      <c r="G13032" s="6">
        <f>IF(AND($H13032="ATMOS DISTILLATION",ISNUMBER(SEARCH("VPS",$I13032))=FALSE,LEFT($I13032,6)&lt;&gt;"VACUUM"),"CDU",IF($H13032="FLUID CAT CRACKING","FCC",IF(OR($H13032="HYDROCRACKING",$H13032="RESID_HYDROCRACKING"),"Hydrocracker",IF($H13032="REFORMING","Reformer",""))))</f>
        <v/>
      </c>
    </row>
    <row r="13033" spans="6:7">
      <c r="F13033" s="6">
        <f>IF($M13033="PADD I","PADD 1",IF($M13033="PADD II","PADD 2",IF($M13033="PADD III","PADD 3",IF($M13033="PADD IV","PADD 4",IF($M13033="PADD V","PADD 5","")))))</f>
        <v/>
      </c>
      <c r="G13033" s="6">
        <f>IF(AND($H13033="ATMOS DISTILLATION",ISNUMBER(SEARCH("VPS",$I13033))=FALSE,LEFT($I13033,6)&lt;&gt;"VACUUM"),"CDU",IF($H13033="FLUID CAT CRACKING","FCC",IF(OR($H13033="HYDROCRACKING",$H13033="RESID_HYDROCRACKING"),"Hydrocracker",IF($H13033="REFORMING","Reformer",""))))</f>
        <v/>
      </c>
    </row>
    <row r="13034" spans="6:7">
      <c r="F13034" s="6">
        <f>IF($M13034="PADD I","PADD 1",IF($M13034="PADD II","PADD 2",IF($M13034="PADD III","PADD 3",IF($M13034="PADD IV","PADD 4",IF($M13034="PADD V","PADD 5","")))))</f>
        <v/>
      </c>
      <c r="G13034" s="6">
        <f>IF(AND($H13034="ATMOS DISTILLATION",ISNUMBER(SEARCH("VPS",$I13034))=FALSE,LEFT($I13034,6)&lt;&gt;"VACUUM"),"CDU",IF($H13034="FLUID CAT CRACKING","FCC",IF(OR($H13034="HYDROCRACKING",$H13034="RESID_HYDROCRACKING"),"Hydrocracker",IF($H13034="REFORMING","Reformer",""))))</f>
        <v/>
      </c>
    </row>
    <row r="13035" spans="6:7">
      <c r="F13035" s="6">
        <f>IF($M13035="PADD I","PADD 1",IF($M13035="PADD II","PADD 2",IF($M13035="PADD III","PADD 3",IF($M13035="PADD IV","PADD 4",IF($M13035="PADD V","PADD 5","")))))</f>
        <v/>
      </c>
      <c r="G13035" s="6">
        <f>IF(AND($H13035="ATMOS DISTILLATION",ISNUMBER(SEARCH("VPS",$I13035))=FALSE,LEFT($I13035,6)&lt;&gt;"VACUUM"),"CDU",IF($H13035="FLUID CAT CRACKING","FCC",IF(OR($H13035="HYDROCRACKING",$H13035="RESID_HYDROCRACKING"),"Hydrocracker",IF($H13035="REFORMING","Reformer",""))))</f>
        <v/>
      </c>
    </row>
    <row r="13036" spans="6:7">
      <c r="F13036" s="6">
        <f>IF($M13036="PADD I","PADD 1",IF($M13036="PADD II","PADD 2",IF($M13036="PADD III","PADD 3",IF($M13036="PADD IV","PADD 4",IF($M13036="PADD V","PADD 5","")))))</f>
        <v/>
      </c>
      <c r="G13036" s="6">
        <f>IF(AND($H13036="ATMOS DISTILLATION",ISNUMBER(SEARCH("VPS",$I13036))=FALSE,LEFT($I13036,6)&lt;&gt;"VACUUM"),"CDU",IF($H13036="FLUID CAT CRACKING","FCC",IF(OR($H13036="HYDROCRACKING",$H13036="RESID_HYDROCRACKING"),"Hydrocracker",IF($H13036="REFORMING","Reformer",""))))</f>
        <v/>
      </c>
    </row>
    <row r="13037" spans="6:7">
      <c r="F13037" s="6">
        <f>IF($M13037="PADD I","PADD 1",IF($M13037="PADD II","PADD 2",IF($M13037="PADD III","PADD 3",IF($M13037="PADD IV","PADD 4",IF($M13037="PADD V","PADD 5","")))))</f>
        <v/>
      </c>
      <c r="G13037" s="6">
        <f>IF(AND($H13037="ATMOS DISTILLATION",ISNUMBER(SEARCH("VPS",$I13037))=FALSE,LEFT($I13037,6)&lt;&gt;"VACUUM"),"CDU",IF($H13037="FLUID CAT CRACKING","FCC",IF(OR($H13037="HYDROCRACKING",$H13037="RESID_HYDROCRACKING"),"Hydrocracker",IF($H13037="REFORMING","Reformer",""))))</f>
        <v/>
      </c>
    </row>
    <row r="13038" spans="6:7">
      <c r="F13038" s="6">
        <f>IF($M13038="PADD I","PADD 1",IF($M13038="PADD II","PADD 2",IF($M13038="PADD III","PADD 3",IF($M13038="PADD IV","PADD 4",IF($M13038="PADD V","PADD 5","")))))</f>
        <v/>
      </c>
      <c r="G13038" s="6">
        <f>IF(AND($H13038="ATMOS DISTILLATION",ISNUMBER(SEARCH("VPS",$I13038))=FALSE,LEFT($I13038,6)&lt;&gt;"VACUUM"),"CDU",IF($H13038="FLUID CAT CRACKING","FCC",IF(OR($H13038="HYDROCRACKING",$H13038="RESID_HYDROCRACKING"),"Hydrocracker",IF($H13038="REFORMING","Reformer",""))))</f>
        <v/>
      </c>
    </row>
    <row r="13039" spans="6:7">
      <c r="F13039" s="6">
        <f>IF($M13039="PADD I","PADD 1",IF($M13039="PADD II","PADD 2",IF($M13039="PADD III","PADD 3",IF($M13039="PADD IV","PADD 4",IF($M13039="PADD V","PADD 5","")))))</f>
        <v/>
      </c>
      <c r="G13039" s="6">
        <f>IF(AND($H13039="ATMOS DISTILLATION",ISNUMBER(SEARCH("VPS",$I13039))=FALSE,LEFT($I13039,6)&lt;&gt;"VACUUM"),"CDU",IF($H13039="FLUID CAT CRACKING","FCC",IF(OR($H13039="HYDROCRACKING",$H13039="RESID_HYDROCRACKING"),"Hydrocracker",IF($H13039="REFORMING","Reformer",""))))</f>
        <v/>
      </c>
    </row>
    <row r="13040" spans="6:7">
      <c r="F13040" s="6">
        <f>IF($M13040="PADD I","PADD 1",IF($M13040="PADD II","PADD 2",IF($M13040="PADD III","PADD 3",IF($M13040="PADD IV","PADD 4",IF($M13040="PADD V","PADD 5","")))))</f>
        <v/>
      </c>
      <c r="G13040" s="6">
        <f>IF(AND($H13040="ATMOS DISTILLATION",ISNUMBER(SEARCH("VPS",$I13040))=FALSE,LEFT($I13040,6)&lt;&gt;"VACUUM"),"CDU",IF($H13040="FLUID CAT CRACKING","FCC",IF(OR($H13040="HYDROCRACKING",$H13040="RESID_HYDROCRACKING"),"Hydrocracker",IF($H13040="REFORMING","Reformer",""))))</f>
        <v/>
      </c>
    </row>
    <row r="13041" spans="6:7">
      <c r="F13041" s="6">
        <f>IF($M13041="PADD I","PADD 1",IF($M13041="PADD II","PADD 2",IF($M13041="PADD III","PADD 3",IF($M13041="PADD IV","PADD 4",IF($M13041="PADD V","PADD 5","")))))</f>
        <v/>
      </c>
      <c r="G13041" s="6">
        <f>IF(AND($H13041="ATMOS DISTILLATION",ISNUMBER(SEARCH("VPS",$I13041))=FALSE,LEFT($I13041,6)&lt;&gt;"VACUUM"),"CDU",IF($H13041="FLUID CAT CRACKING","FCC",IF(OR($H13041="HYDROCRACKING",$H13041="RESID_HYDROCRACKING"),"Hydrocracker",IF($H13041="REFORMING","Reformer",""))))</f>
        <v/>
      </c>
    </row>
    <row r="13042" spans="6:7">
      <c r="F13042" s="6">
        <f>IF($M13042="PADD I","PADD 1",IF($M13042="PADD II","PADD 2",IF($M13042="PADD III","PADD 3",IF($M13042="PADD IV","PADD 4",IF($M13042="PADD V","PADD 5","")))))</f>
        <v/>
      </c>
      <c r="G13042" s="6">
        <f>IF(AND($H13042="ATMOS DISTILLATION",ISNUMBER(SEARCH("VPS",$I13042))=FALSE,LEFT($I13042,6)&lt;&gt;"VACUUM"),"CDU",IF($H13042="FLUID CAT CRACKING","FCC",IF(OR($H13042="HYDROCRACKING",$H13042="RESID_HYDROCRACKING"),"Hydrocracker",IF($H13042="REFORMING","Reformer",""))))</f>
        <v/>
      </c>
    </row>
    <row r="13043" spans="6:7">
      <c r="F13043" s="6">
        <f>IF($M13043="PADD I","PADD 1",IF($M13043="PADD II","PADD 2",IF($M13043="PADD III","PADD 3",IF($M13043="PADD IV","PADD 4",IF($M13043="PADD V","PADD 5","")))))</f>
        <v/>
      </c>
      <c r="G13043" s="6">
        <f>IF(AND($H13043="ATMOS DISTILLATION",ISNUMBER(SEARCH("VPS",$I13043))=FALSE,LEFT($I13043,6)&lt;&gt;"VACUUM"),"CDU",IF($H13043="FLUID CAT CRACKING","FCC",IF(OR($H13043="HYDROCRACKING",$H13043="RESID_HYDROCRACKING"),"Hydrocracker",IF($H13043="REFORMING","Reformer",""))))</f>
        <v/>
      </c>
    </row>
    <row r="13044" spans="6:7">
      <c r="F13044" s="6">
        <f>IF($M13044="PADD I","PADD 1",IF($M13044="PADD II","PADD 2",IF($M13044="PADD III","PADD 3",IF($M13044="PADD IV","PADD 4",IF($M13044="PADD V","PADD 5","")))))</f>
        <v/>
      </c>
      <c r="G13044" s="6">
        <f>IF(AND($H13044="ATMOS DISTILLATION",ISNUMBER(SEARCH("VPS",$I13044))=FALSE,LEFT($I13044,6)&lt;&gt;"VACUUM"),"CDU",IF($H13044="FLUID CAT CRACKING","FCC",IF(OR($H13044="HYDROCRACKING",$H13044="RESID_HYDROCRACKING"),"Hydrocracker",IF($H13044="REFORMING","Reformer",""))))</f>
        <v/>
      </c>
    </row>
    <row r="13045" spans="6:7">
      <c r="F13045" s="6">
        <f>IF($M13045="PADD I","PADD 1",IF($M13045="PADD II","PADD 2",IF($M13045="PADD III","PADD 3",IF($M13045="PADD IV","PADD 4",IF($M13045="PADD V","PADD 5","")))))</f>
        <v/>
      </c>
      <c r="G13045" s="6">
        <f>IF(AND($H13045="ATMOS DISTILLATION",ISNUMBER(SEARCH("VPS",$I13045))=FALSE,LEFT($I13045,6)&lt;&gt;"VACUUM"),"CDU",IF($H13045="FLUID CAT CRACKING","FCC",IF(OR($H13045="HYDROCRACKING",$H13045="RESID_HYDROCRACKING"),"Hydrocracker",IF($H13045="REFORMING","Reformer",""))))</f>
        <v/>
      </c>
    </row>
    <row r="13046" spans="6:7">
      <c r="F13046" s="6">
        <f>IF($M13046="PADD I","PADD 1",IF($M13046="PADD II","PADD 2",IF($M13046="PADD III","PADD 3",IF($M13046="PADD IV","PADD 4",IF($M13046="PADD V","PADD 5","")))))</f>
        <v/>
      </c>
      <c r="G13046" s="6">
        <f>IF(AND($H13046="ATMOS DISTILLATION",ISNUMBER(SEARCH("VPS",$I13046))=FALSE,LEFT($I13046,6)&lt;&gt;"VACUUM"),"CDU",IF($H13046="FLUID CAT CRACKING","FCC",IF(OR($H13046="HYDROCRACKING",$H13046="RESID_HYDROCRACKING"),"Hydrocracker",IF($H13046="REFORMING","Reformer",""))))</f>
        <v/>
      </c>
    </row>
    <row r="13047" spans="6:7">
      <c r="F13047" s="6">
        <f>IF($M13047="PADD I","PADD 1",IF($M13047="PADD II","PADD 2",IF($M13047="PADD III","PADD 3",IF($M13047="PADD IV","PADD 4",IF($M13047="PADD V","PADD 5","")))))</f>
        <v/>
      </c>
      <c r="G13047" s="6">
        <f>IF(AND($H13047="ATMOS DISTILLATION",ISNUMBER(SEARCH("VPS",$I13047))=FALSE,LEFT($I13047,6)&lt;&gt;"VACUUM"),"CDU",IF($H13047="FLUID CAT CRACKING","FCC",IF(OR($H13047="HYDROCRACKING",$H13047="RESID_HYDROCRACKING"),"Hydrocracker",IF($H13047="REFORMING","Reformer",""))))</f>
        <v/>
      </c>
    </row>
    <row r="13048" spans="6:7">
      <c r="F13048" s="6">
        <f>IF($M13048="PADD I","PADD 1",IF($M13048="PADD II","PADD 2",IF($M13048="PADD III","PADD 3",IF($M13048="PADD IV","PADD 4",IF($M13048="PADD V","PADD 5","")))))</f>
        <v/>
      </c>
      <c r="G13048" s="6">
        <f>IF(AND($H13048="ATMOS DISTILLATION",ISNUMBER(SEARCH("VPS",$I13048))=FALSE,LEFT($I13048,6)&lt;&gt;"VACUUM"),"CDU",IF($H13048="FLUID CAT CRACKING","FCC",IF(OR($H13048="HYDROCRACKING",$H13048="RESID_HYDROCRACKING"),"Hydrocracker",IF($H13048="REFORMING","Reformer",""))))</f>
        <v/>
      </c>
    </row>
    <row r="13049" spans="6:7">
      <c r="F13049" s="6">
        <f>IF($M13049="PADD I","PADD 1",IF($M13049="PADD II","PADD 2",IF($M13049="PADD III","PADD 3",IF($M13049="PADD IV","PADD 4",IF($M13049="PADD V","PADD 5","")))))</f>
        <v/>
      </c>
      <c r="G13049" s="6">
        <f>IF(AND($H13049="ATMOS DISTILLATION",ISNUMBER(SEARCH("VPS",$I13049))=FALSE,LEFT($I13049,6)&lt;&gt;"VACUUM"),"CDU",IF($H13049="FLUID CAT CRACKING","FCC",IF(OR($H13049="HYDROCRACKING",$H13049="RESID_HYDROCRACKING"),"Hydrocracker",IF($H13049="REFORMING","Reformer",""))))</f>
        <v/>
      </c>
    </row>
    <row r="13050" spans="6:7">
      <c r="F13050" s="6">
        <f>IF($M13050="PADD I","PADD 1",IF($M13050="PADD II","PADD 2",IF($M13050="PADD III","PADD 3",IF($M13050="PADD IV","PADD 4",IF($M13050="PADD V","PADD 5","")))))</f>
        <v/>
      </c>
      <c r="G13050" s="6">
        <f>IF(AND($H13050="ATMOS DISTILLATION",ISNUMBER(SEARCH("VPS",$I13050))=FALSE,LEFT($I13050,6)&lt;&gt;"VACUUM"),"CDU",IF($H13050="FLUID CAT CRACKING","FCC",IF(OR($H13050="HYDROCRACKING",$H13050="RESID_HYDROCRACKING"),"Hydrocracker",IF($H13050="REFORMING","Reformer",""))))</f>
        <v/>
      </c>
    </row>
    <row r="13051" spans="6:7">
      <c r="F13051" s="6">
        <f>IF($M13051="PADD I","PADD 1",IF($M13051="PADD II","PADD 2",IF($M13051="PADD III","PADD 3",IF($M13051="PADD IV","PADD 4",IF($M13051="PADD V","PADD 5","")))))</f>
        <v/>
      </c>
      <c r="G13051" s="6">
        <f>IF(AND($H13051="ATMOS DISTILLATION",ISNUMBER(SEARCH("VPS",$I13051))=FALSE,LEFT($I13051,6)&lt;&gt;"VACUUM"),"CDU",IF($H13051="FLUID CAT CRACKING","FCC",IF(OR($H13051="HYDROCRACKING",$H13051="RESID_HYDROCRACKING"),"Hydrocracker",IF($H13051="REFORMING","Reformer",""))))</f>
        <v/>
      </c>
    </row>
    <row r="13052" spans="6:7">
      <c r="F13052" s="6">
        <f>IF($M13052="PADD I","PADD 1",IF($M13052="PADD II","PADD 2",IF($M13052="PADD III","PADD 3",IF($M13052="PADD IV","PADD 4",IF($M13052="PADD V","PADD 5","")))))</f>
        <v/>
      </c>
      <c r="G13052" s="6">
        <f>IF(AND($H13052="ATMOS DISTILLATION",ISNUMBER(SEARCH("VPS",$I13052))=FALSE,LEFT($I13052,6)&lt;&gt;"VACUUM"),"CDU",IF($H13052="FLUID CAT CRACKING","FCC",IF(OR($H13052="HYDROCRACKING",$H13052="RESID_HYDROCRACKING"),"Hydrocracker",IF($H13052="REFORMING","Reformer",""))))</f>
        <v/>
      </c>
    </row>
    <row r="13053" spans="6:7">
      <c r="F13053" s="6">
        <f>IF($M13053="PADD I","PADD 1",IF($M13053="PADD II","PADD 2",IF($M13053="PADD III","PADD 3",IF($M13053="PADD IV","PADD 4",IF($M13053="PADD V","PADD 5","")))))</f>
        <v/>
      </c>
      <c r="G13053" s="6">
        <f>IF(AND($H13053="ATMOS DISTILLATION",ISNUMBER(SEARCH("VPS",$I13053))=FALSE,LEFT($I13053,6)&lt;&gt;"VACUUM"),"CDU",IF($H13053="FLUID CAT CRACKING","FCC",IF(OR($H13053="HYDROCRACKING",$H13053="RESID_HYDROCRACKING"),"Hydrocracker",IF($H13053="REFORMING","Reformer",""))))</f>
        <v/>
      </c>
    </row>
    <row r="13054" spans="6:7">
      <c r="F13054" s="6">
        <f>IF($M13054="PADD I","PADD 1",IF($M13054="PADD II","PADD 2",IF($M13054="PADD III","PADD 3",IF($M13054="PADD IV","PADD 4",IF($M13054="PADD V","PADD 5","")))))</f>
        <v/>
      </c>
      <c r="G13054" s="6">
        <f>IF(AND($H13054="ATMOS DISTILLATION",ISNUMBER(SEARCH("VPS",$I13054))=FALSE,LEFT($I13054,6)&lt;&gt;"VACUUM"),"CDU",IF($H13054="FLUID CAT CRACKING","FCC",IF(OR($H13054="HYDROCRACKING",$H13054="RESID_HYDROCRACKING"),"Hydrocracker",IF($H13054="REFORMING","Reformer",""))))</f>
        <v/>
      </c>
    </row>
    <row r="13055" spans="6:7">
      <c r="F13055" s="6">
        <f>IF($M13055="PADD I","PADD 1",IF($M13055="PADD II","PADD 2",IF($M13055="PADD III","PADD 3",IF($M13055="PADD IV","PADD 4",IF($M13055="PADD V","PADD 5","")))))</f>
        <v/>
      </c>
      <c r="G13055" s="6">
        <f>IF(AND($H13055="ATMOS DISTILLATION",ISNUMBER(SEARCH("VPS",$I13055))=FALSE,LEFT($I13055,6)&lt;&gt;"VACUUM"),"CDU",IF($H13055="FLUID CAT CRACKING","FCC",IF(OR($H13055="HYDROCRACKING",$H13055="RESID_HYDROCRACKING"),"Hydrocracker",IF($H13055="REFORMING","Reformer",""))))</f>
        <v/>
      </c>
    </row>
    <row r="13056" spans="6:7">
      <c r="F13056" s="6">
        <f>IF($M13056="PADD I","PADD 1",IF($M13056="PADD II","PADD 2",IF($M13056="PADD III","PADD 3",IF($M13056="PADD IV","PADD 4",IF($M13056="PADD V","PADD 5","")))))</f>
        <v/>
      </c>
      <c r="G13056" s="6">
        <f>IF(AND($H13056="ATMOS DISTILLATION",ISNUMBER(SEARCH("VPS",$I13056))=FALSE,LEFT($I13056,6)&lt;&gt;"VACUUM"),"CDU",IF($H13056="FLUID CAT CRACKING","FCC",IF(OR($H13056="HYDROCRACKING",$H13056="RESID_HYDROCRACKING"),"Hydrocracker",IF($H13056="REFORMING","Reformer",""))))</f>
        <v/>
      </c>
    </row>
    <row r="13057" spans="6:7">
      <c r="F13057" s="6">
        <f>IF($M13057="PADD I","PADD 1",IF($M13057="PADD II","PADD 2",IF($M13057="PADD III","PADD 3",IF($M13057="PADD IV","PADD 4",IF($M13057="PADD V","PADD 5","")))))</f>
        <v/>
      </c>
      <c r="G13057" s="6">
        <f>IF(AND($H13057="ATMOS DISTILLATION",ISNUMBER(SEARCH("VPS",$I13057))=FALSE,LEFT($I13057,6)&lt;&gt;"VACUUM"),"CDU",IF($H13057="FLUID CAT CRACKING","FCC",IF(OR($H13057="HYDROCRACKING",$H13057="RESID_HYDROCRACKING"),"Hydrocracker",IF($H13057="REFORMING","Reformer",""))))</f>
        <v/>
      </c>
    </row>
    <row r="13058" spans="6:7">
      <c r="F13058" s="6">
        <f>IF($M13058="PADD I","PADD 1",IF($M13058="PADD II","PADD 2",IF($M13058="PADD III","PADD 3",IF($M13058="PADD IV","PADD 4",IF($M13058="PADD V","PADD 5","")))))</f>
        <v/>
      </c>
      <c r="G13058" s="6">
        <f>IF(AND($H13058="ATMOS DISTILLATION",ISNUMBER(SEARCH("VPS",$I13058))=FALSE,LEFT($I13058,6)&lt;&gt;"VACUUM"),"CDU",IF($H13058="FLUID CAT CRACKING","FCC",IF(OR($H13058="HYDROCRACKING",$H13058="RESID_HYDROCRACKING"),"Hydrocracker",IF($H13058="REFORMING","Reformer",""))))</f>
        <v/>
      </c>
    </row>
    <row r="13059" spans="6:7">
      <c r="F13059" s="6">
        <f>IF($M13059="PADD I","PADD 1",IF($M13059="PADD II","PADD 2",IF($M13059="PADD III","PADD 3",IF($M13059="PADD IV","PADD 4",IF($M13059="PADD V","PADD 5","")))))</f>
        <v/>
      </c>
      <c r="G13059" s="6">
        <f>IF(AND($H13059="ATMOS DISTILLATION",ISNUMBER(SEARCH("VPS",$I13059))=FALSE,LEFT($I13059,6)&lt;&gt;"VACUUM"),"CDU",IF($H13059="FLUID CAT CRACKING","FCC",IF(OR($H13059="HYDROCRACKING",$H13059="RESID_HYDROCRACKING"),"Hydrocracker",IF($H13059="REFORMING","Reformer",""))))</f>
        <v/>
      </c>
    </row>
    <row r="13060" spans="6:7">
      <c r="F13060" s="6">
        <f>IF($M13060="PADD I","PADD 1",IF($M13060="PADD II","PADD 2",IF($M13060="PADD III","PADD 3",IF($M13060="PADD IV","PADD 4",IF($M13060="PADD V","PADD 5","")))))</f>
        <v/>
      </c>
      <c r="G13060" s="6">
        <f>IF(AND($H13060="ATMOS DISTILLATION",ISNUMBER(SEARCH("VPS",$I13060))=FALSE,LEFT($I13060,6)&lt;&gt;"VACUUM"),"CDU",IF($H13060="FLUID CAT CRACKING","FCC",IF(OR($H13060="HYDROCRACKING",$H13060="RESID_HYDROCRACKING"),"Hydrocracker",IF($H13060="REFORMING","Reformer",""))))</f>
        <v/>
      </c>
    </row>
    <row r="13061" spans="6:7">
      <c r="F13061" s="6">
        <f>IF($M13061="PADD I","PADD 1",IF($M13061="PADD II","PADD 2",IF($M13061="PADD III","PADD 3",IF($M13061="PADD IV","PADD 4",IF($M13061="PADD V","PADD 5","")))))</f>
        <v/>
      </c>
      <c r="G13061" s="6">
        <f>IF(AND($H13061="ATMOS DISTILLATION",ISNUMBER(SEARCH("VPS",$I13061))=FALSE,LEFT($I13061,6)&lt;&gt;"VACUUM"),"CDU",IF($H13061="FLUID CAT CRACKING","FCC",IF(OR($H13061="HYDROCRACKING",$H13061="RESID_HYDROCRACKING"),"Hydrocracker",IF($H13061="REFORMING","Reformer",""))))</f>
        <v/>
      </c>
    </row>
    <row r="13062" spans="6:7">
      <c r="F13062" s="6">
        <f>IF($M13062="PADD I","PADD 1",IF($M13062="PADD II","PADD 2",IF($M13062="PADD III","PADD 3",IF($M13062="PADD IV","PADD 4",IF($M13062="PADD V","PADD 5","")))))</f>
        <v/>
      </c>
      <c r="G13062" s="6">
        <f>IF(AND($H13062="ATMOS DISTILLATION",ISNUMBER(SEARCH("VPS",$I13062))=FALSE,LEFT($I13062,6)&lt;&gt;"VACUUM"),"CDU",IF($H13062="FLUID CAT CRACKING","FCC",IF(OR($H13062="HYDROCRACKING",$H13062="RESID_HYDROCRACKING"),"Hydrocracker",IF($H13062="REFORMING","Reformer",""))))</f>
        <v/>
      </c>
    </row>
    <row r="13063" spans="6:7">
      <c r="F13063" s="6">
        <f>IF($M13063="PADD I","PADD 1",IF($M13063="PADD II","PADD 2",IF($M13063="PADD III","PADD 3",IF($M13063="PADD IV","PADD 4",IF($M13063="PADD V","PADD 5","")))))</f>
        <v/>
      </c>
      <c r="G13063" s="6">
        <f>IF(AND($H13063="ATMOS DISTILLATION",ISNUMBER(SEARCH("VPS",$I13063))=FALSE,LEFT($I13063,6)&lt;&gt;"VACUUM"),"CDU",IF($H13063="FLUID CAT CRACKING","FCC",IF(OR($H13063="HYDROCRACKING",$H13063="RESID_HYDROCRACKING"),"Hydrocracker",IF($H13063="REFORMING","Reformer",""))))</f>
        <v/>
      </c>
    </row>
    <row r="13064" spans="6:7">
      <c r="F13064" s="6">
        <f>IF($M13064="PADD I","PADD 1",IF($M13064="PADD II","PADD 2",IF($M13064="PADD III","PADD 3",IF($M13064="PADD IV","PADD 4",IF($M13064="PADD V","PADD 5","")))))</f>
        <v/>
      </c>
      <c r="G13064" s="6">
        <f>IF(AND($H13064="ATMOS DISTILLATION",ISNUMBER(SEARCH("VPS",$I13064))=FALSE,LEFT($I13064,6)&lt;&gt;"VACUUM"),"CDU",IF($H13064="FLUID CAT CRACKING","FCC",IF(OR($H13064="HYDROCRACKING",$H13064="RESID_HYDROCRACKING"),"Hydrocracker",IF($H13064="REFORMING","Reformer",""))))</f>
        <v/>
      </c>
    </row>
    <row r="13065" spans="6:7">
      <c r="F13065" s="6">
        <f>IF($M13065="PADD I","PADD 1",IF($M13065="PADD II","PADD 2",IF($M13065="PADD III","PADD 3",IF($M13065="PADD IV","PADD 4",IF($M13065="PADD V","PADD 5","")))))</f>
        <v/>
      </c>
      <c r="G13065" s="6">
        <f>IF(AND($H13065="ATMOS DISTILLATION",ISNUMBER(SEARCH("VPS",$I13065))=FALSE,LEFT($I13065,6)&lt;&gt;"VACUUM"),"CDU",IF($H13065="FLUID CAT CRACKING","FCC",IF(OR($H13065="HYDROCRACKING",$H13065="RESID_HYDROCRACKING"),"Hydrocracker",IF($H13065="REFORMING","Reformer",""))))</f>
        <v/>
      </c>
    </row>
    <row r="13066" spans="6:7">
      <c r="F13066" s="6">
        <f>IF($M13066="PADD I","PADD 1",IF($M13066="PADD II","PADD 2",IF($M13066="PADD III","PADD 3",IF($M13066="PADD IV","PADD 4",IF($M13066="PADD V","PADD 5","")))))</f>
        <v/>
      </c>
      <c r="G13066" s="6">
        <f>IF(AND($H13066="ATMOS DISTILLATION",ISNUMBER(SEARCH("VPS",$I13066))=FALSE,LEFT($I13066,6)&lt;&gt;"VACUUM"),"CDU",IF($H13066="FLUID CAT CRACKING","FCC",IF(OR($H13066="HYDROCRACKING",$H13066="RESID_HYDROCRACKING"),"Hydrocracker",IF($H13066="REFORMING","Reformer",""))))</f>
        <v/>
      </c>
    </row>
    <row r="13067" spans="6:7">
      <c r="F13067" s="6">
        <f>IF($M13067="PADD I","PADD 1",IF($M13067="PADD II","PADD 2",IF($M13067="PADD III","PADD 3",IF($M13067="PADD IV","PADD 4",IF($M13067="PADD V","PADD 5","")))))</f>
        <v/>
      </c>
      <c r="G13067" s="6">
        <f>IF(AND($H13067="ATMOS DISTILLATION",ISNUMBER(SEARCH("VPS",$I13067))=FALSE,LEFT($I13067,6)&lt;&gt;"VACUUM"),"CDU",IF($H13067="FLUID CAT CRACKING","FCC",IF(OR($H13067="HYDROCRACKING",$H13067="RESID_HYDROCRACKING"),"Hydrocracker",IF($H13067="REFORMING","Reformer",""))))</f>
        <v/>
      </c>
    </row>
    <row r="13068" spans="6:7">
      <c r="F13068" s="6">
        <f>IF($M13068="PADD I","PADD 1",IF($M13068="PADD II","PADD 2",IF($M13068="PADD III","PADD 3",IF($M13068="PADD IV","PADD 4",IF($M13068="PADD V","PADD 5","")))))</f>
        <v/>
      </c>
      <c r="G13068" s="6">
        <f>IF(AND($H13068="ATMOS DISTILLATION",ISNUMBER(SEARCH("VPS",$I13068))=FALSE,LEFT($I13068,6)&lt;&gt;"VACUUM"),"CDU",IF($H13068="FLUID CAT CRACKING","FCC",IF(OR($H13068="HYDROCRACKING",$H13068="RESID_HYDROCRACKING"),"Hydrocracker",IF($H13068="REFORMING","Reformer",""))))</f>
        <v/>
      </c>
    </row>
    <row r="13069" spans="6:7">
      <c r="F13069" s="6">
        <f>IF($M13069="PADD I","PADD 1",IF($M13069="PADD II","PADD 2",IF($M13069="PADD III","PADD 3",IF($M13069="PADD IV","PADD 4",IF($M13069="PADD V","PADD 5","")))))</f>
        <v/>
      </c>
      <c r="G13069" s="6">
        <f>IF(AND($H13069="ATMOS DISTILLATION",ISNUMBER(SEARCH("VPS",$I13069))=FALSE,LEFT($I13069,6)&lt;&gt;"VACUUM"),"CDU",IF($H13069="FLUID CAT CRACKING","FCC",IF(OR($H13069="HYDROCRACKING",$H13069="RESID_HYDROCRACKING"),"Hydrocracker",IF($H13069="REFORMING","Reformer",""))))</f>
        <v/>
      </c>
    </row>
    <row r="13070" spans="6:7">
      <c r="F13070" s="6">
        <f>IF($M13070="PADD I","PADD 1",IF($M13070="PADD II","PADD 2",IF($M13070="PADD III","PADD 3",IF($M13070="PADD IV","PADD 4",IF($M13070="PADD V","PADD 5","")))))</f>
        <v/>
      </c>
      <c r="G13070" s="6">
        <f>IF(AND($H13070="ATMOS DISTILLATION",ISNUMBER(SEARCH("VPS",$I13070))=FALSE,LEFT($I13070,6)&lt;&gt;"VACUUM"),"CDU",IF($H13070="FLUID CAT CRACKING","FCC",IF(OR($H13070="HYDROCRACKING",$H13070="RESID_HYDROCRACKING"),"Hydrocracker",IF($H13070="REFORMING","Reformer",""))))</f>
        <v/>
      </c>
    </row>
    <row r="13071" spans="6:7">
      <c r="F13071" s="6">
        <f>IF($M13071="PADD I","PADD 1",IF($M13071="PADD II","PADD 2",IF($M13071="PADD III","PADD 3",IF($M13071="PADD IV","PADD 4",IF($M13071="PADD V","PADD 5","")))))</f>
        <v/>
      </c>
      <c r="G13071" s="6">
        <f>IF(AND($H13071="ATMOS DISTILLATION",ISNUMBER(SEARCH("VPS",$I13071))=FALSE,LEFT($I13071,6)&lt;&gt;"VACUUM"),"CDU",IF($H13071="FLUID CAT CRACKING","FCC",IF(OR($H13071="HYDROCRACKING",$H13071="RESID_HYDROCRACKING"),"Hydrocracker",IF($H13071="REFORMING","Reformer",""))))</f>
        <v/>
      </c>
    </row>
    <row r="13072" spans="6:7">
      <c r="F13072" s="6">
        <f>IF($M13072="PADD I","PADD 1",IF($M13072="PADD II","PADD 2",IF($M13072="PADD III","PADD 3",IF($M13072="PADD IV","PADD 4",IF($M13072="PADD V","PADD 5","")))))</f>
        <v/>
      </c>
      <c r="G13072" s="6">
        <f>IF(AND($H13072="ATMOS DISTILLATION",ISNUMBER(SEARCH("VPS",$I13072))=FALSE,LEFT($I13072,6)&lt;&gt;"VACUUM"),"CDU",IF($H13072="FLUID CAT CRACKING","FCC",IF(OR($H13072="HYDROCRACKING",$H13072="RESID_HYDROCRACKING"),"Hydrocracker",IF($H13072="REFORMING","Reformer",""))))</f>
        <v/>
      </c>
    </row>
    <row r="13073" spans="6:7">
      <c r="F13073" s="6">
        <f>IF($M13073="PADD I","PADD 1",IF($M13073="PADD II","PADD 2",IF($M13073="PADD III","PADD 3",IF($M13073="PADD IV","PADD 4",IF($M13073="PADD V","PADD 5","")))))</f>
        <v/>
      </c>
      <c r="G13073" s="6">
        <f>IF(AND($H13073="ATMOS DISTILLATION",ISNUMBER(SEARCH("VPS",$I13073))=FALSE,LEFT($I13073,6)&lt;&gt;"VACUUM"),"CDU",IF($H13073="FLUID CAT CRACKING","FCC",IF(OR($H13073="HYDROCRACKING",$H13073="RESID_HYDROCRACKING"),"Hydrocracker",IF($H13073="REFORMING","Reformer",""))))</f>
        <v/>
      </c>
    </row>
    <row r="13074" spans="6:7">
      <c r="F13074" s="6">
        <f>IF($M13074="PADD I","PADD 1",IF($M13074="PADD II","PADD 2",IF($M13074="PADD III","PADD 3",IF($M13074="PADD IV","PADD 4",IF($M13074="PADD V","PADD 5","")))))</f>
        <v/>
      </c>
      <c r="G13074" s="6">
        <f>IF(AND($H13074="ATMOS DISTILLATION",ISNUMBER(SEARCH("VPS",$I13074))=FALSE,LEFT($I13074,6)&lt;&gt;"VACUUM"),"CDU",IF($H13074="FLUID CAT CRACKING","FCC",IF(OR($H13074="HYDROCRACKING",$H13074="RESID_HYDROCRACKING"),"Hydrocracker",IF($H13074="REFORMING","Reformer",""))))</f>
        <v/>
      </c>
    </row>
    <row r="13075" spans="6:7">
      <c r="F13075" s="6">
        <f>IF($M13075="PADD I","PADD 1",IF($M13075="PADD II","PADD 2",IF($M13075="PADD III","PADD 3",IF($M13075="PADD IV","PADD 4",IF($M13075="PADD V","PADD 5","")))))</f>
        <v/>
      </c>
      <c r="G13075" s="6">
        <f>IF(AND($H13075="ATMOS DISTILLATION",ISNUMBER(SEARCH("VPS",$I13075))=FALSE,LEFT($I13075,6)&lt;&gt;"VACUUM"),"CDU",IF($H13075="FLUID CAT CRACKING","FCC",IF(OR($H13075="HYDROCRACKING",$H13075="RESID_HYDROCRACKING"),"Hydrocracker",IF($H13075="REFORMING","Reformer",""))))</f>
        <v/>
      </c>
    </row>
    <row r="13076" spans="6:7">
      <c r="F13076" s="6">
        <f>IF($M13076="PADD I","PADD 1",IF($M13076="PADD II","PADD 2",IF($M13076="PADD III","PADD 3",IF($M13076="PADD IV","PADD 4",IF($M13076="PADD V","PADD 5","")))))</f>
        <v/>
      </c>
      <c r="G13076" s="6">
        <f>IF(AND($H13076="ATMOS DISTILLATION",ISNUMBER(SEARCH("VPS",$I13076))=FALSE,LEFT($I13076,6)&lt;&gt;"VACUUM"),"CDU",IF($H13076="FLUID CAT CRACKING","FCC",IF(OR($H13076="HYDROCRACKING",$H13076="RESID_HYDROCRACKING"),"Hydrocracker",IF($H13076="REFORMING","Reformer",""))))</f>
        <v/>
      </c>
    </row>
    <row r="13077" spans="6:7">
      <c r="F13077" s="6">
        <f>IF($M13077="PADD I","PADD 1",IF($M13077="PADD II","PADD 2",IF($M13077="PADD III","PADD 3",IF($M13077="PADD IV","PADD 4",IF($M13077="PADD V","PADD 5","")))))</f>
        <v/>
      </c>
      <c r="G13077" s="6">
        <f>IF(AND($H13077="ATMOS DISTILLATION",ISNUMBER(SEARCH("VPS",$I13077))=FALSE,LEFT($I13077,6)&lt;&gt;"VACUUM"),"CDU",IF($H13077="FLUID CAT CRACKING","FCC",IF(OR($H13077="HYDROCRACKING",$H13077="RESID_HYDROCRACKING"),"Hydrocracker",IF($H13077="REFORMING","Reformer",""))))</f>
        <v/>
      </c>
    </row>
    <row r="13078" spans="6:7">
      <c r="F13078" s="6">
        <f>IF($M13078="PADD I","PADD 1",IF($M13078="PADD II","PADD 2",IF($M13078="PADD III","PADD 3",IF($M13078="PADD IV","PADD 4",IF($M13078="PADD V","PADD 5","")))))</f>
        <v/>
      </c>
      <c r="G13078" s="6">
        <f>IF(AND($H13078="ATMOS DISTILLATION",ISNUMBER(SEARCH("VPS",$I13078))=FALSE,LEFT($I13078,6)&lt;&gt;"VACUUM"),"CDU",IF($H13078="FLUID CAT CRACKING","FCC",IF(OR($H13078="HYDROCRACKING",$H13078="RESID_HYDROCRACKING"),"Hydrocracker",IF($H13078="REFORMING","Reformer",""))))</f>
        <v/>
      </c>
    </row>
    <row r="13079" spans="6:7">
      <c r="F13079" s="6">
        <f>IF($M13079="PADD I","PADD 1",IF($M13079="PADD II","PADD 2",IF($M13079="PADD III","PADD 3",IF($M13079="PADD IV","PADD 4",IF($M13079="PADD V","PADD 5","")))))</f>
        <v/>
      </c>
      <c r="G13079" s="6">
        <f>IF(AND($H13079="ATMOS DISTILLATION",ISNUMBER(SEARCH("VPS",$I13079))=FALSE,LEFT($I13079,6)&lt;&gt;"VACUUM"),"CDU",IF($H13079="FLUID CAT CRACKING","FCC",IF(OR($H13079="HYDROCRACKING",$H13079="RESID_HYDROCRACKING"),"Hydrocracker",IF($H13079="REFORMING","Reformer",""))))</f>
        <v/>
      </c>
    </row>
    <row r="13080" spans="6:7">
      <c r="F13080" s="6">
        <f>IF($M13080="PADD I","PADD 1",IF($M13080="PADD II","PADD 2",IF($M13080="PADD III","PADD 3",IF($M13080="PADD IV","PADD 4",IF($M13080="PADD V","PADD 5","")))))</f>
        <v/>
      </c>
      <c r="G13080" s="6">
        <f>IF(AND($H13080="ATMOS DISTILLATION",ISNUMBER(SEARCH("VPS",$I13080))=FALSE,LEFT($I13080,6)&lt;&gt;"VACUUM"),"CDU",IF($H13080="FLUID CAT CRACKING","FCC",IF(OR($H13080="HYDROCRACKING",$H13080="RESID_HYDROCRACKING"),"Hydrocracker",IF($H13080="REFORMING","Reformer",""))))</f>
        <v/>
      </c>
    </row>
    <row r="13081" spans="6:7">
      <c r="F13081" s="6">
        <f>IF($M13081="PADD I","PADD 1",IF($M13081="PADD II","PADD 2",IF($M13081="PADD III","PADD 3",IF($M13081="PADD IV","PADD 4",IF($M13081="PADD V","PADD 5","")))))</f>
        <v/>
      </c>
      <c r="G13081" s="6">
        <f>IF(AND($H13081="ATMOS DISTILLATION",ISNUMBER(SEARCH("VPS",$I13081))=FALSE,LEFT($I13081,6)&lt;&gt;"VACUUM"),"CDU",IF($H13081="FLUID CAT CRACKING","FCC",IF(OR($H13081="HYDROCRACKING",$H13081="RESID_HYDROCRACKING"),"Hydrocracker",IF($H13081="REFORMING","Reformer",""))))</f>
        <v/>
      </c>
    </row>
    <row r="13082" spans="6:7">
      <c r="F13082" s="6">
        <f>IF($M13082="PADD I","PADD 1",IF($M13082="PADD II","PADD 2",IF($M13082="PADD III","PADD 3",IF($M13082="PADD IV","PADD 4",IF($M13082="PADD V","PADD 5","")))))</f>
        <v/>
      </c>
      <c r="G13082" s="6">
        <f>IF(AND($H13082="ATMOS DISTILLATION",ISNUMBER(SEARCH("VPS",$I13082))=FALSE,LEFT($I13082,6)&lt;&gt;"VACUUM"),"CDU",IF($H13082="FLUID CAT CRACKING","FCC",IF(OR($H13082="HYDROCRACKING",$H13082="RESID_HYDROCRACKING"),"Hydrocracker",IF($H13082="REFORMING","Reformer",""))))</f>
        <v/>
      </c>
    </row>
    <row r="13083" spans="6:7">
      <c r="F13083" s="6">
        <f>IF($M13083="PADD I","PADD 1",IF($M13083="PADD II","PADD 2",IF($M13083="PADD III","PADD 3",IF($M13083="PADD IV","PADD 4",IF($M13083="PADD V","PADD 5","")))))</f>
        <v/>
      </c>
      <c r="G13083" s="6">
        <f>IF(AND($H13083="ATMOS DISTILLATION",ISNUMBER(SEARCH("VPS",$I13083))=FALSE,LEFT($I13083,6)&lt;&gt;"VACUUM"),"CDU",IF($H13083="FLUID CAT CRACKING","FCC",IF(OR($H13083="HYDROCRACKING",$H13083="RESID_HYDROCRACKING"),"Hydrocracker",IF($H13083="REFORMING","Reformer",""))))</f>
        <v/>
      </c>
    </row>
    <row r="13084" spans="6:7">
      <c r="F13084" s="6">
        <f>IF($M13084="PADD I","PADD 1",IF($M13084="PADD II","PADD 2",IF($M13084="PADD III","PADD 3",IF($M13084="PADD IV","PADD 4",IF($M13084="PADD V","PADD 5","")))))</f>
        <v/>
      </c>
      <c r="G13084" s="6">
        <f>IF(AND($H13084="ATMOS DISTILLATION",ISNUMBER(SEARCH("VPS",$I13084))=FALSE,LEFT($I13084,6)&lt;&gt;"VACUUM"),"CDU",IF($H13084="FLUID CAT CRACKING","FCC",IF(OR($H13084="HYDROCRACKING",$H13084="RESID_HYDROCRACKING"),"Hydrocracker",IF($H13084="REFORMING","Reformer",""))))</f>
        <v/>
      </c>
    </row>
    <row r="13085" spans="6:7">
      <c r="F13085" s="6">
        <f>IF($M13085="PADD I","PADD 1",IF($M13085="PADD II","PADD 2",IF($M13085="PADD III","PADD 3",IF($M13085="PADD IV","PADD 4",IF($M13085="PADD V","PADD 5","")))))</f>
        <v/>
      </c>
      <c r="G13085" s="6">
        <f>IF(AND($H13085="ATMOS DISTILLATION",ISNUMBER(SEARCH("VPS",$I13085))=FALSE,LEFT($I13085,6)&lt;&gt;"VACUUM"),"CDU",IF($H13085="FLUID CAT CRACKING","FCC",IF(OR($H13085="HYDROCRACKING",$H13085="RESID_HYDROCRACKING"),"Hydrocracker",IF($H13085="REFORMING","Reformer",""))))</f>
        <v/>
      </c>
    </row>
    <row r="13086" spans="6:7">
      <c r="F13086" s="6">
        <f>IF($M13086="PADD I","PADD 1",IF($M13086="PADD II","PADD 2",IF($M13086="PADD III","PADD 3",IF($M13086="PADD IV","PADD 4",IF($M13086="PADD V","PADD 5","")))))</f>
        <v/>
      </c>
      <c r="G13086" s="6">
        <f>IF(AND($H13086="ATMOS DISTILLATION",ISNUMBER(SEARCH("VPS",$I13086))=FALSE,LEFT($I13086,6)&lt;&gt;"VACUUM"),"CDU",IF($H13086="FLUID CAT CRACKING","FCC",IF(OR($H13086="HYDROCRACKING",$H13086="RESID_HYDROCRACKING"),"Hydrocracker",IF($H13086="REFORMING","Reformer",""))))</f>
        <v/>
      </c>
    </row>
    <row r="13087" spans="6:7">
      <c r="F13087" s="6">
        <f>IF($M13087="PADD I","PADD 1",IF($M13087="PADD II","PADD 2",IF($M13087="PADD III","PADD 3",IF($M13087="PADD IV","PADD 4",IF($M13087="PADD V","PADD 5","")))))</f>
        <v/>
      </c>
      <c r="G13087" s="6">
        <f>IF(AND($H13087="ATMOS DISTILLATION",ISNUMBER(SEARCH("VPS",$I13087))=FALSE,LEFT($I13087,6)&lt;&gt;"VACUUM"),"CDU",IF($H13087="FLUID CAT CRACKING","FCC",IF(OR($H13087="HYDROCRACKING",$H13087="RESID_HYDROCRACKING"),"Hydrocracker",IF($H13087="REFORMING","Reformer",""))))</f>
        <v/>
      </c>
    </row>
    <row r="13088" spans="6:7">
      <c r="F13088" s="6">
        <f>IF($M13088="PADD I","PADD 1",IF($M13088="PADD II","PADD 2",IF($M13088="PADD III","PADD 3",IF($M13088="PADD IV","PADD 4",IF($M13088="PADD V","PADD 5","")))))</f>
        <v/>
      </c>
      <c r="G13088" s="6">
        <f>IF(AND($H13088="ATMOS DISTILLATION",ISNUMBER(SEARCH("VPS",$I13088))=FALSE,LEFT($I13088,6)&lt;&gt;"VACUUM"),"CDU",IF($H13088="FLUID CAT CRACKING","FCC",IF(OR($H13088="HYDROCRACKING",$H13088="RESID_HYDROCRACKING"),"Hydrocracker",IF($H13088="REFORMING","Reformer",""))))</f>
        <v/>
      </c>
    </row>
    <row r="13089" spans="6:7">
      <c r="F13089" s="6">
        <f>IF($M13089="PADD I","PADD 1",IF($M13089="PADD II","PADD 2",IF($M13089="PADD III","PADD 3",IF($M13089="PADD IV","PADD 4",IF($M13089="PADD V","PADD 5","")))))</f>
        <v/>
      </c>
      <c r="G13089" s="6">
        <f>IF(AND($H13089="ATMOS DISTILLATION",ISNUMBER(SEARCH("VPS",$I13089))=FALSE,LEFT($I13089,6)&lt;&gt;"VACUUM"),"CDU",IF($H13089="FLUID CAT CRACKING","FCC",IF(OR($H13089="HYDROCRACKING",$H13089="RESID_HYDROCRACKING"),"Hydrocracker",IF($H13089="REFORMING","Reformer",""))))</f>
        <v/>
      </c>
    </row>
    <row r="13090" spans="6:7">
      <c r="F13090" s="6">
        <f>IF($M13090="PADD I","PADD 1",IF($M13090="PADD II","PADD 2",IF($M13090="PADD III","PADD 3",IF($M13090="PADD IV","PADD 4",IF($M13090="PADD V","PADD 5","")))))</f>
        <v/>
      </c>
      <c r="G13090" s="6">
        <f>IF(AND($H13090="ATMOS DISTILLATION",ISNUMBER(SEARCH("VPS",$I13090))=FALSE,LEFT($I13090,6)&lt;&gt;"VACUUM"),"CDU",IF($H13090="FLUID CAT CRACKING","FCC",IF(OR($H13090="HYDROCRACKING",$H13090="RESID_HYDROCRACKING"),"Hydrocracker",IF($H13090="REFORMING","Reformer",""))))</f>
        <v/>
      </c>
    </row>
    <row r="13091" spans="6:7">
      <c r="F13091" s="6">
        <f>IF($M13091="PADD I","PADD 1",IF($M13091="PADD II","PADD 2",IF($M13091="PADD III","PADD 3",IF($M13091="PADD IV","PADD 4",IF($M13091="PADD V","PADD 5","")))))</f>
        <v/>
      </c>
      <c r="G13091" s="6">
        <f>IF(AND($H13091="ATMOS DISTILLATION",ISNUMBER(SEARCH("VPS",$I13091))=FALSE,LEFT($I13091,6)&lt;&gt;"VACUUM"),"CDU",IF($H13091="FLUID CAT CRACKING","FCC",IF(OR($H13091="HYDROCRACKING",$H13091="RESID_HYDROCRACKING"),"Hydrocracker",IF($H13091="REFORMING","Reformer",""))))</f>
        <v/>
      </c>
    </row>
    <row r="13092" spans="6:7">
      <c r="F13092" s="6">
        <f>IF($M13092="PADD I","PADD 1",IF($M13092="PADD II","PADD 2",IF($M13092="PADD III","PADD 3",IF($M13092="PADD IV","PADD 4",IF($M13092="PADD V","PADD 5","")))))</f>
        <v/>
      </c>
      <c r="G13092" s="6">
        <f>IF(AND($H13092="ATMOS DISTILLATION",ISNUMBER(SEARCH("VPS",$I13092))=FALSE,LEFT($I13092,6)&lt;&gt;"VACUUM"),"CDU",IF($H13092="FLUID CAT CRACKING","FCC",IF(OR($H13092="HYDROCRACKING",$H13092="RESID_HYDROCRACKING"),"Hydrocracker",IF($H13092="REFORMING","Reformer",""))))</f>
        <v/>
      </c>
    </row>
    <row r="13093" spans="6:7">
      <c r="F13093" s="6">
        <f>IF($M13093="PADD I","PADD 1",IF($M13093="PADD II","PADD 2",IF($M13093="PADD III","PADD 3",IF($M13093="PADD IV","PADD 4",IF($M13093="PADD V","PADD 5","")))))</f>
        <v/>
      </c>
      <c r="G13093" s="6">
        <f>IF(AND($H13093="ATMOS DISTILLATION",ISNUMBER(SEARCH("VPS",$I13093))=FALSE,LEFT($I13093,6)&lt;&gt;"VACUUM"),"CDU",IF($H13093="FLUID CAT CRACKING","FCC",IF(OR($H13093="HYDROCRACKING",$H13093="RESID_HYDROCRACKING"),"Hydrocracker",IF($H13093="REFORMING","Reformer",""))))</f>
        <v/>
      </c>
    </row>
    <row r="13094" spans="6:7">
      <c r="F13094" s="6">
        <f>IF($M13094="PADD I","PADD 1",IF($M13094="PADD II","PADD 2",IF($M13094="PADD III","PADD 3",IF($M13094="PADD IV","PADD 4",IF($M13094="PADD V","PADD 5","")))))</f>
        <v/>
      </c>
      <c r="G13094" s="6">
        <f>IF(AND($H13094="ATMOS DISTILLATION",ISNUMBER(SEARCH("VPS",$I13094))=FALSE,LEFT($I13094,6)&lt;&gt;"VACUUM"),"CDU",IF($H13094="FLUID CAT CRACKING","FCC",IF(OR($H13094="HYDROCRACKING",$H13094="RESID_HYDROCRACKING"),"Hydrocracker",IF($H13094="REFORMING","Reformer",""))))</f>
        <v/>
      </c>
    </row>
    <row r="13095" spans="6:7">
      <c r="F13095" s="6">
        <f>IF($M13095="PADD I","PADD 1",IF($M13095="PADD II","PADD 2",IF($M13095="PADD III","PADD 3",IF($M13095="PADD IV","PADD 4",IF($M13095="PADD V","PADD 5","")))))</f>
        <v/>
      </c>
      <c r="G13095" s="6">
        <f>IF(AND($H13095="ATMOS DISTILLATION",ISNUMBER(SEARCH("VPS",$I13095))=FALSE,LEFT($I13095,6)&lt;&gt;"VACUUM"),"CDU",IF($H13095="FLUID CAT CRACKING","FCC",IF(OR($H13095="HYDROCRACKING",$H13095="RESID_HYDROCRACKING"),"Hydrocracker",IF($H13095="REFORMING","Reformer",""))))</f>
        <v/>
      </c>
    </row>
    <row r="13096" spans="6:7">
      <c r="F13096" s="6">
        <f>IF($M13096="PADD I","PADD 1",IF($M13096="PADD II","PADD 2",IF($M13096="PADD III","PADD 3",IF($M13096="PADD IV","PADD 4",IF($M13096="PADD V","PADD 5","")))))</f>
        <v/>
      </c>
      <c r="G13096" s="6">
        <f>IF(AND($H13096="ATMOS DISTILLATION",ISNUMBER(SEARCH("VPS",$I13096))=FALSE,LEFT($I13096,6)&lt;&gt;"VACUUM"),"CDU",IF($H13096="FLUID CAT CRACKING","FCC",IF(OR($H13096="HYDROCRACKING",$H13096="RESID_HYDROCRACKING"),"Hydrocracker",IF($H13096="REFORMING","Reformer",""))))</f>
        <v/>
      </c>
    </row>
    <row r="13097" spans="6:7">
      <c r="F13097" s="6">
        <f>IF($M13097="PADD I","PADD 1",IF($M13097="PADD II","PADD 2",IF($M13097="PADD III","PADD 3",IF($M13097="PADD IV","PADD 4",IF($M13097="PADD V","PADD 5","")))))</f>
        <v/>
      </c>
      <c r="G13097" s="6">
        <f>IF(AND($H13097="ATMOS DISTILLATION",ISNUMBER(SEARCH("VPS",$I13097))=FALSE,LEFT($I13097,6)&lt;&gt;"VACUUM"),"CDU",IF($H13097="FLUID CAT CRACKING","FCC",IF(OR($H13097="HYDROCRACKING",$H13097="RESID_HYDROCRACKING"),"Hydrocracker",IF($H13097="REFORMING","Reformer",""))))</f>
        <v/>
      </c>
    </row>
    <row r="13098" spans="6:7">
      <c r="F13098" s="6">
        <f>IF($M13098="PADD I","PADD 1",IF($M13098="PADD II","PADD 2",IF($M13098="PADD III","PADD 3",IF($M13098="PADD IV","PADD 4",IF($M13098="PADD V","PADD 5","")))))</f>
        <v/>
      </c>
      <c r="G13098" s="6">
        <f>IF(AND($H13098="ATMOS DISTILLATION",ISNUMBER(SEARCH("VPS",$I13098))=FALSE,LEFT($I13098,6)&lt;&gt;"VACUUM"),"CDU",IF($H13098="FLUID CAT CRACKING","FCC",IF(OR($H13098="HYDROCRACKING",$H13098="RESID_HYDROCRACKING"),"Hydrocracker",IF($H13098="REFORMING","Reformer",""))))</f>
        <v/>
      </c>
    </row>
    <row r="13099" spans="6:7">
      <c r="F13099" s="6">
        <f>IF($M13099="PADD I","PADD 1",IF($M13099="PADD II","PADD 2",IF($M13099="PADD III","PADD 3",IF($M13099="PADD IV","PADD 4",IF($M13099="PADD V","PADD 5","")))))</f>
        <v/>
      </c>
      <c r="G13099" s="6">
        <f>IF(AND($H13099="ATMOS DISTILLATION",ISNUMBER(SEARCH("VPS",$I13099))=FALSE,LEFT($I13099,6)&lt;&gt;"VACUUM"),"CDU",IF($H13099="FLUID CAT CRACKING","FCC",IF(OR($H13099="HYDROCRACKING",$H13099="RESID_HYDROCRACKING"),"Hydrocracker",IF($H13099="REFORMING","Reformer",""))))</f>
        <v/>
      </c>
    </row>
    <row r="13100" spans="6:7">
      <c r="F13100" s="6">
        <f>IF($M13100="PADD I","PADD 1",IF($M13100="PADD II","PADD 2",IF($M13100="PADD III","PADD 3",IF($M13100="PADD IV","PADD 4",IF($M13100="PADD V","PADD 5","")))))</f>
        <v/>
      </c>
      <c r="G13100" s="6">
        <f>IF(AND($H13100="ATMOS DISTILLATION",ISNUMBER(SEARCH("VPS",$I13100))=FALSE,LEFT($I13100,6)&lt;&gt;"VACUUM"),"CDU",IF($H13100="FLUID CAT CRACKING","FCC",IF(OR($H13100="HYDROCRACKING",$H13100="RESID_HYDROCRACKING"),"Hydrocracker",IF($H13100="REFORMING","Reformer",""))))</f>
        <v/>
      </c>
    </row>
    <row r="13101" spans="6:7">
      <c r="F13101" s="6">
        <f>IF($M13101="PADD I","PADD 1",IF($M13101="PADD II","PADD 2",IF($M13101="PADD III","PADD 3",IF($M13101="PADD IV","PADD 4",IF($M13101="PADD V","PADD 5","")))))</f>
        <v/>
      </c>
      <c r="G13101" s="6">
        <f>IF(AND($H13101="ATMOS DISTILLATION",ISNUMBER(SEARCH("VPS",$I13101))=FALSE,LEFT($I13101,6)&lt;&gt;"VACUUM"),"CDU",IF($H13101="FLUID CAT CRACKING","FCC",IF(OR($H13101="HYDROCRACKING",$H13101="RESID_HYDROCRACKING"),"Hydrocracker",IF($H13101="REFORMING","Reformer",""))))</f>
        <v/>
      </c>
    </row>
    <row r="13102" spans="6:7">
      <c r="F13102" s="6">
        <f>IF($M13102="PADD I","PADD 1",IF($M13102="PADD II","PADD 2",IF($M13102="PADD III","PADD 3",IF($M13102="PADD IV","PADD 4",IF($M13102="PADD V","PADD 5","")))))</f>
        <v/>
      </c>
      <c r="G13102" s="6">
        <f>IF(AND($H13102="ATMOS DISTILLATION",ISNUMBER(SEARCH("VPS",$I13102))=FALSE,LEFT($I13102,6)&lt;&gt;"VACUUM"),"CDU",IF($H13102="FLUID CAT CRACKING","FCC",IF(OR($H13102="HYDROCRACKING",$H13102="RESID_HYDROCRACKING"),"Hydrocracker",IF($H13102="REFORMING","Reformer",""))))</f>
        <v/>
      </c>
    </row>
    <row r="13103" spans="6:7">
      <c r="F13103" s="6">
        <f>IF($M13103="PADD I","PADD 1",IF($M13103="PADD II","PADD 2",IF($M13103="PADD III","PADD 3",IF($M13103="PADD IV","PADD 4",IF($M13103="PADD V","PADD 5","")))))</f>
        <v/>
      </c>
      <c r="G13103" s="6">
        <f>IF(AND($H13103="ATMOS DISTILLATION",ISNUMBER(SEARCH("VPS",$I13103))=FALSE,LEFT($I13103,6)&lt;&gt;"VACUUM"),"CDU",IF($H13103="FLUID CAT CRACKING","FCC",IF(OR($H13103="HYDROCRACKING",$H13103="RESID_HYDROCRACKING"),"Hydrocracker",IF($H13103="REFORMING","Reformer",""))))</f>
        <v/>
      </c>
    </row>
    <row r="13104" spans="6:7">
      <c r="F13104" s="6">
        <f>IF($M13104="PADD I","PADD 1",IF($M13104="PADD II","PADD 2",IF($M13104="PADD III","PADD 3",IF($M13104="PADD IV","PADD 4",IF($M13104="PADD V","PADD 5","")))))</f>
        <v/>
      </c>
      <c r="G13104" s="6">
        <f>IF(AND($H13104="ATMOS DISTILLATION",ISNUMBER(SEARCH("VPS",$I13104))=FALSE,LEFT($I13104,6)&lt;&gt;"VACUUM"),"CDU",IF($H13104="FLUID CAT CRACKING","FCC",IF(OR($H13104="HYDROCRACKING",$H13104="RESID_HYDROCRACKING"),"Hydrocracker",IF($H13104="REFORMING","Reformer",""))))</f>
        <v/>
      </c>
    </row>
    <row r="13105" spans="6:7">
      <c r="F13105" s="6">
        <f>IF($M13105="PADD I","PADD 1",IF($M13105="PADD II","PADD 2",IF($M13105="PADD III","PADD 3",IF($M13105="PADD IV","PADD 4",IF($M13105="PADD V","PADD 5","")))))</f>
        <v/>
      </c>
      <c r="G13105" s="6">
        <f>IF(AND($H13105="ATMOS DISTILLATION",ISNUMBER(SEARCH("VPS",$I13105))=FALSE,LEFT($I13105,6)&lt;&gt;"VACUUM"),"CDU",IF($H13105="FLUID CAT CRACKING","FCC",IF(OR($H13105="HYDROCRACKING",$H13105="RESID_HYDROCRACKING"),"Hydrocracker",IF($H13105="REFORMING","Reformer",""))))</f>
        <v/>
      </c>
    </row>
    <row r="13106" spans="6:7">
      <c r="F13106" s="6">
        <f>IF($M13106="PADD I","PADD 1",IF($M13106="PADD II","PADD 2",IF($M13106="PADD III","PADD 3",IF($M13106="PADD IV","PADD 4",IF($M13106="PADD V","PADD 5","")))))</f>
        <v/>
      </c>
      <c r="G13106" s="6">
        <f>IF(AND($H13106="ATMOS DISTILLATION",ISNUMBER(SEARCH("VPS",$I13106))=FALSE,LEFT($I13106,6)&lt;&gt;"VACUUM"),"CDU",IF($H13106="FLUID CAT CRACKING","FCC",IF(OR($H13106="HYDROCRACKING",$H13106="RESID_HYDROCRACKING"),"Hydrocracker",IF($H13106="REFORMING","Reformer",""))))</f>
        <v/>
      </c>
    </row>
    <row r="13107" spans="6:7">
      <c r="F13107" s="6">
        <f>IF($M13107="PADD I","PADD 1",IF($M13107="PADD II","PADD 2",IF($M13107="PADD III","PADD 3",IF($M13107="PADD IV","PADD 4",IF($M13107="PADD V","PADD 5","")))))</f>
        <v/>
      </c>
      <c r="G13107" s="6">
        <f>IF(AND($H13107="ATMOS DISTILLATION",ISNUMBER(SEARCH("VPS",$I13107))=FALSE,LEFT($I13107,6)&lt;&gt;"VACUUM"),"CDU",IF($H13107="FLUID CAT CRACKING","FCC",IF(OR($H13107="HYDROCRACKING",$H13107="RESID_HYDROCRACKING"),"Hydrocracker",IF($H13107="REFORMING","Reformer",""))))</f>
        <v/>
      </c>
    </row>
    <row r="13108" spans="6:7">
      <c r="F13108" s="6">
        <f>IF($M13108="PADD I","PADD 1",IF($M13108="PADD II","PADD 2",IF($M13108="PADD III","PADD 3",IF($M13108="PADD IV","PADD 4",IF($M13108="PADD V","PADD 5","")))))</f>
        <v/>
      </c>
      <c r="G13108" s="6">
        <f>IF(AND($H13108="ATMOS DISTILLATION",ISNUMBER(SEARCH("VPS",$I13108))=FALSE,LEFT($I13108,6)&lt;&gt;"VACUUM"),"CDU",IF($H13108="FLUID CAT CRACKING","FCC",IF(OR($H13108="HYDROCRACKING",$H13108="RESID_HYDROCRACKING"),"Hydrocracker",IF($H13108="REFORMING","Reformer",""))))</f>
        <v/>
      </c>
    </row>
    <row r="13109" spans="6:7">
      <c r="F13109" s="6">
        <f>IF($M13109="PADD I","PADD 1",IF($M13109="PADD II","PADD 2",IF($M13109="PADD III","PADD 3",IF($M13109="PADD IV","PADD 4",IF($M13109="PADD V","PADD 5","")))))</f>
        <v/>
      </c>
      <c r="G13109" s="6">
        <f>IF(AND($H13109="ATMOS DISTILLATION",ISNUMBER(SEARCH("VPS",$I13109))=FALSE,LEFT($I13109,6)&lt;&gt;"VACUUM"),"CDU",IF($H13109="FLUID CAT CRACKING","FCC",IF(OR($H13109="HYDROCRACKING",$H13109="RESID_HYDROCRACKING"),"Hydrocracker",IF($H13109="REFORMING","Reformer",""))))</f>
        <v/>
      </c>
    </row>
    <row r="13110" spans="6:7">
      <c r="F13110" s="6">
        <f>IF($M13110="PADD I","PADD 1",IF($M13110="PADD II","PADD 2",IF($M13110="PADD III","PADD 3",IF($M13110="PADD IV","PADD 4",IF($M13110="PADD V","PADD 5","")))))</f>
        <v/>
      </c>
      <c r="G13110" s="6">
        <f>IF(AND($H13110="ATMOS DISTILLATION",ISNUMBER(SEARCH("VPS",$I13110))=FALSE,LEFT($I13110,6)&lt;&gt;"VACUUM"),"CDU",IF($H13110="FLUID CAT CRACKING","FCC",IF(OR($H13110="HYDROCRACKING",$H13110="RESID_HYDROCRACKING"),"Hydrocracker",IF($H13110="REFORMING","Reformer",""))))</f>
        <v/>
      </c>
    </row>
    <row r="13111" spans="6:7">
      <c r="F13111" s="6">
        <f>IF($M13111="PADD I","PADD 1",IF($M13111="PADD II","PADD 2",IF($M13111="PADD III","PADD 3",IF($M13111="PADD IV","PADD 4",IF($M13111="PADD V","PADD 5","")))))</f>
        <v/>
      </c>
      <c r="G13111" s="6">
        <f>IF(AND($H13111="ATMOS DISTILLATION",ISNUMBER(SEARCH("VPS",$I13111))=FALSE,LEFT($I13111,6)&lt;&gt;"VACUUM"),"CDU",IF($H13111="FLUID CAT CRACKING","FCC",IF(OR($H13111="HYDROCRACKING",$H13111="RESID_HYDROCRACKING"),"Hydrocracker",IF($H13111="REFORMING","Reformer",""))))</f>
        <v/>
      </c>
    </row>
    <row r="13112" spans="6:7">
      <c r="F13112" s="6">
        <f>IF($M13112="PADD I","PADD 1",IF($M13112="PADD II","PADD 2",IF($M13112="PADD III","PADD 3",IF($M13112="PADD IV","PADD 4",IF($M13112="PADD V","PADD 5","")))))</f>
        <v/>
      </c>
      <c r="G13112" s="6">
        <f>IF(AND($H13112="ATMOS DISTILLATION",ISNUMBER(SEARCH("VPS",$I13112))=FALSE,LEFT($I13112,6)&lt;&gt;"VACUUM"),"CDU",IF($H13112="FLUID CAT CRACKING","FCC",IF(OR($H13112="HYDROCRACKING",$H13112="RESID_HYDROCRACKING"),"Hydrocracker",IF($H13112="REFORMING","Reformer",""))))</f>
        <v/>
      </c>
    </row>
    <row r="13113" spans="6:7">
      <c r="F13113" s="6">
        <f>IF($M13113="PADD I","PADD 1",IF($M13113="PADD II","PADD 2",IF($M13113="PADD III","PADD 3",IF($M13113="PADD IV","PADD 4",IF($M13113="PADD V","PADD 5","")))))</f>
        <v/>
      </c>
      <c r="G13113" s="6">
        <f>IF(AND($H13113="ATMOS DISTILLATION",ISNUMBER(SEARCH("VPS",$I13113))=FALSE,LEFT($I13113,6)&lt;&gt;"VACUUM"),"CDU",IF($H13113="FLUID CAT CRACKING","FCC",IF(OR($H13113="HYDROCRACKING",$H13113="RESID_HYDROCRACKING"),"Hydrocracker",IF($H13113="REFORMING","Reformer",""))))</f>
        <v/>
      </c>
    </row>
    <row r="13114" spans="6:7">
      <c r="F13114" s="6">
        <f>IF($M13114="PADD I","PADD 1",IF($M13114="PADD II","PADD 2",IF($M13114="PADD III","PADD 3",IF($M13114="PADD IV","PADD 4",IF($M13114="PADD V","PADD 5","")))))</f>
        <v/>
      </c>
      <c r="G13114" s="6">
        <f>IF(AND($H13114="ATMOS DISTILLATION",ISNUMBER(SEARCH("VPS",$I13114))=FALSE,LEFT($I13114,6)&lt;&gt;"VACUUM"),"CDU",IF($H13114="FLUID CAT CRACKING","FCC",IF(OR($H13114="HYDROCRACKING",$H13114="RESID_HYDROCRACKING"),"Hydrocracker",IF($H13114="REFORMING","Reformer",""))))</f>
        <v/>
      </c>
    </row>
    <row r="13115" spans="6:7">
      <c r="F13115" s="6">
        <f>IF($M13115="PADD I","PADD 1",IF($M13115="PADD II","PADD 2",IF($M13115="PADD III","PADD 3",IF($M13115="PADD IV","PADD 4",IF($M13115="PADD V","PADD 5","")))))</f>
        <v/>
      </c>
      <c r="G13115" s="6">
        <f>IF(AND($H13115="ATMOS DISTILLATION",ISNUMBER(SEARCH("VPS",$I13115))=FALSE,LEFT($I13115,6)&lt;&gt;"VACUUM"),"CDU",IF($H13115="FLUID CAT CRACKING","FCC",IF(OR($H13115="HYDROCRACKING",$H13115="RESID_HYDROCRACKING"),"Hydrocracker",IF($H13115="REFORMING","Reformer",""))))</f>
        <v/>
      </c>
    </row>
    <row r="13116" spans="6:7">
      <c r="F13116" s="6">
        <f>IF($M13116="PADD I","PADD 1",IF($M13116="PADD II","PADD 2",IF($M13116="PADD III","PADD 3",IF($M13116="PADD IV","PADD 4",IF($M13116="PADD V","PADD 5","")))))</f>
        <v/>
      </c>
      <c r="G13116" s="6">
        <f>IF(AND($H13116="ATMOS DISTILLATION",ISNUMBER(SEARCH("VPS",$I13116))=FALSE,LEFT($I13116,6)&lt;&gt;"VACUUM"),"CDU",IF($H13116="FLUID CAT CRACKING","FCC",IF(OR($H13116="HYDROCRACKING",$H13116="RESID_HYDROCRACKING"),"Hydrocracker",IF($H13116="REFORMING","Reformer",""))))</f>
        <v/>
      </c>
    </row>
    <row r="13117" spans="6:7">
      <c r="F13117" s="6">
        <f>IF($M13117="PADD I","PADD 1",IF($M13117="PADD II","PADD 2",IF($M13117="PADD III","PADD 3",IF($M13117="PADD IV","PADD 4",IF($M13117="PADD V","PADD 5","")))))</f>
        <v/>
      </c>
      <c r="G13117" s="6">
        <f>IF(AND($H13117="ATMOS DISTILLATION",ISNUMBER(SEARCH("VPS",$I13117))=FALSE,LEFT($I13117,6)&lt;&gt;"VACUUM"),"CDU",IF($H13117="FLUID CAT CRACKING","FCC",IF(OR($H13117="HYDROCRACKING",$H13117="RESID_HYDROCRACKING"),"Hydrocracker",IF($H13117="REFORMING","Reformer",""))))</f>
        <v/>
      </c>
    </row>
    <row r="13118" spans="6:7">
      <c r="F13118" s="6">
        <f>IF($M13118="PADD I","PADD 1",IF($M13118="PADD II","PADD 2",IF($M13118="PADD III","PADD 3",IF($M13118="PADD IV","PADD 4",IF($M13118="PADD V","PADD 5","")))))</f>
        <v/>
      </c>
      <c r="G13118" s="6">
        <f>IF(AND($H13118="ATMOS DISTILLATION",ISNUMBER(SEARCH("VPS",$I13118))=FALSE,LEFT($I13118,6)&lt;&gt;"VACUUM"),"CDU",IF($H13118="FLUID CAT CRACKING","FCC",IF(OR($H13118="HYDROCRACKING",$H13118="RESID_HYDROCRACKING"),"Hydrocracker",IF($H13118="REFORMING","Reformer",""))))</f>
        <v/>
      </c>
    </row>
    <row r="13119" spans="6:7">
      <c r="F13119" s="6">
        <f>IF($M13119="PADD I","PADD 1",IF($M13119="PADD II","PADD 2",IF($M13119="PADD III","PADD 3",IF($M13119="PADD IV","PADD 4",IF($M13119="PADD V","PADD 5","")))))</f>
        <v/>
      </c>
      <c r="G13119" s="6">
        <f>IF(AND($H13119="ATMOS DISTILLATION",ISNUMBER(SEARCH("VPS",$I13119))=FALSE,LEFT($I13119,6)&lt;&gt;"VACUUM"),"CDU",IF($H13119="FLUID CAT CRACKING","FCC",IF(OR($H13119="HYDROCRACKING",$H13119="RESID_HYDROCRACKING"),"Hydrocracker",IF($H13119="REFORMING","Reformer",""))))</f>
        <v/>
      </c>
    </row>
    <row r="13120" spans="6:7">
      <c r="F13120" s="6">
        <f>IF($M13120="PADD I","PADD 1",IF($M13120="PADD II","PADD 2",IF($M13120="PADD III","PADD 3",IF($M13120="PADD IV","PADD 4",IF($M13120="PADD V","PADD 5","")))))</f>
        <v/>
      </c>
      <c r="G13120" s="6">
        <f>IF(AND($H13120="ATMOS DISTILLATION",ISNUMBER(SEARCH("VPS",$I13120))=FALSE,LEFT($I13120,6)&lt;&gt;"VACUUM"),"CDU",IF($H13120="FLUID CAT CRACKING","FCC",IF(OR($H13120="HYDROCRACKING",$H13120="RESID_HYDROCRACKING"),"Hydrocracker",IF($H13120="REFORMING","Reformer",""))))</f>
        <v/>
      </c>
    </row>
    <row r="13121" spans="6:7">
      <c r="F13121" s="6">
        <f>IF($M13121="PADD I","PADD 1",IF($M13121="PADD II","PADD 2",IF($M13121="PADD III","PADD 3",IF($M13121="PADD IV","PADD 4",IF($M13121="PADD V","PADD 5","")))))</f>
        <v/>
      </c>
      <c r="G13121" s="6">
        <f>IF(AND($H13121="ATMOS DISTILLATION",ISNUMBER(SEARCH("VPS",$I13121))=FALSE,LEFT($I13121,6)&lt;&gt;"VACUUM"),"CDU",IF($H13121="FLUID CAT CRACKING","FCC",IF(OR($H13121="HYDROCRACKING",$H13121="RESID_HYDROCRACKING"),"Hydrocracker",IF($H13121="REFORMING","Reformer",""))))</f>
        <v/>
      </c>
    </row>
    <row r="13122" spans="6:7">
      <c r="F13122" s="6">
        <f>IF($M13122="PADD I","PADD 1",IF($M13122="PADD II","PADD 2",IF($M13122="PADD III","PADD 3",IF($M13122="PADD IV","PADD 4",IF($M13122="PADD V","PADD 5","")))))</f>
        <v/>
      </c>
      <c r="G13122" s="6">
        <f>IF(AND($H13122="ATMOS DISTILLATION",ISNUMBER(SEARCH("VPS",$I13122))=FALSE,LEFT($I13122,6)&lt;&gt;"VACUUM"),"CDU",IF($H13122="FLUID CAT CRACKING","FCC",IF(OR($H13122="HYDROCRACKING",$H13122="RESID_HYDROCRACKING"),"Hydrocracker",IF($H13122="REFORMING","Reformer",""))))</f>
        <v/>
      </c>
    </row>
    <row r="13123" spans="6:7">
      <c r="F13123" s="6">
        <f>IF($M13123="PADD I","PADD 1",IF($M13123="PADD II","PADD 2",IF($M13123="PADD III","PADD 3",IF($M13123="PADD IV","PADD 4",IF($M13123="PADD V","PADD 5","")))))</f>
        <v/>
      </c>
      <c r="G13123" s="6">
        <f>IF(AND($H13123="ATMOS DISTILLATION",ISNUMBER(SEARCH("VPS",$I13123))=FALSE,LEFT($I13123,6)&lt;&gt;"VACUUM"),"CDU",IF($H13123="FLUID CAT CRACKING","FCC",IF(OR($H13123="HYDROCRACKING",$H13123="RESID_HYDROCRACKING"),"Hydrocracker",IF($H13123="REFORMING","Reformer",""))))</f>
        <v/>
      </c>
    </row>
    <row r="13124" spans="6:7">
      <c r="F13124" s="6">
        <f>IF($M13124="PADD I","PADD 1",IF($M13124="PADD II","PADD 2",IF($M13124="PADD III","PADD 3",IF($M13124="PADD IV","PADD 4",IF($M13124="PADD V","PADD 5","")))))</f>
        <v/>
      </c>
      <c r="G13124" s="6">
        <f>IF(AND($H13124="ATMOS DISTILLATION",ISNUMBER(SEARCH("VPS",$I13124))=FALSE,LEFT($I13124,6)&lt;&gt;"VACUUM"),"CDU",IF($H13124="FLUID CAT CRACKING","FCC",IF(OR($H13124="HYDROCRACKING",$H13124="RESID_HYDROCRACKING"),"Hydrocracker",IF($H13124="REFORMING","Reformer",""))))</f>
        <v/>
      </c>
    </row>
    <row r="13125" spans="6:7">
      <c r="F13125" s="6">
        <f>IF($M13125="PADD I","PADD 1",IF($M13125="PADD II","PADD 2",IF($M13125="PADD III","PADD 3",IF($M13125="PADD IV","PADD 4",IF($M13125="PADD V","PADD 5","")))))</f>
        <v/>
      </c>
      <c r="G13125" s="6">
        <f>IF(AND($H13125="ATMOS DISTILLATION",ISNUMBER(SEARCH("VPS",$I13125))=FALSE,LEFT($I13125,6)&lt;&gt;"VACUUM"),"CDU",IF($H13125="FLUID CAT CRACKING","FCC",IF(OR($H13125="HYDROCRACKING",$H13125="RESID_HYDROCRACKING"),"Hydrocracker",IF($H13125="REFORMING","Reformer",""))))</f>
        <v/>
      </c>
    </row>
    <row r="13126" spans="6:7">
      <c r="F13126" s="6">
        <f>IF($M13126="PADD I","PADD 1",IF($M13126="PADD II","PADD 2",IF($M13126="PADD III","PADD 3",IF($M13126="PADD IV","PADD 4",IF($M13126="PADD V","PADD 5","")))))</f>
        <v/>
      </c>
      <c r="G13126" s="6">
        <f>IF(AND($H13126="ATMOS DISTILLATION",ISNUMBER(SEARCH("VPS",$I13126))=FALSE,LEFT($I13126,6)&lt;&gt;"VACUUM"),"CDU",IF($H13126="FLUID CAT CRACKING","FCC",IF(OR($H13126="HYDROCRACKING",$H13126="RESID_HYDROCRACKING"),"Hydrocracker",IF($H13126="REFORMING","Reformer",""))))</f>
        <v/>
      </c>
    </row>
    <row r="13127" spans="6:7">
      <c r="F13127" s="6">
        <f>IF($M13127="PADD I","PADD 1",IF($M13127="PADD II","PADD 2",IF($M13127="PADD III","PADD 3",IF($M13127="PADD IV","PADD 4",IF($M13127="PADD V","PADD 5","")))))</f>
        <v/>
      </c>
      <c r="G13127" s="6">
        <f>IF(AND($H13127="ATMOS DISTILLATION",ISNUMBER(SEARCH("VPS",$I13127))=FALSE,LEFT($I13127,6)&lt;&gt;"VACUUM"),"CDU",IF($H13127="FLUID CAT CRACKING","FCC",IF(OR($H13127="HYDROCRACKING",$H13127="RESID_HYDROCRACKING"),"Hydrocracker",IF($H13127="REFORMING","Reformer",""))))</f>
        <v/>
      </c>
    </row>
    <row r="13128" spans="6:7">
      <c r="F13128" s="6">
        <f>IF($M13128="PADD I","PADD 1",IF($M13128="PADD II","PADD 2",IF($M13128="PADD III","PADD 3",IF($M13128="PADD IV","PADD 4",IF($M13128="PADD V","PADD 5","")))))</f>
        <v/>
      </c>
      <c r="G13128" s="6">
        <f>IF(AND($H13128="ATMOS DISTILLATION",ISNUMBER(SEARCH("VPS",$I13128))=FALSE,LEFT($I13128,6)&lt;&gt;"VACUUM"),"CDU",IF($H13128="FLUID CAT CRACKING","FCC",IF(OR($H13128="HYDROCRACKING",$H13128="RESID_HYDROCRACKING"),"Hydrocracker",IF($H13128="REFORMING","Reformer",""))))</f>
        <v/>
      </c>
    </row>
    <row r="13129" spans="6:7">
      <c r="F13129" s="6">
        <f>IF($M13129="PADD I","PADD 1",IF($M13129="PADD II","PADD 2",IF($M13129="PADD III","PADD 3",IF($M13129="PADD IV","PADD 4",IF($M13129="PADD V","PADD 5","")))))</f>
        <v/>
      </c>
      <c r="G13129" s="6">
        <f>IF(AND($H13129="ATMOS DISTILLATION",ISNUMBER(SEARCH("VPS",$I13129))=FALSE,LEFT($I13129,6)&lt;&gt;"VACUUM"),"CDU",IF($H13129="FLUID CAT CRACKING","FCC",IF(OR($H13129="HYDROCRACKING",$H13129="RESID_HYDROCRACKING"),"Hydrocracker",IF($H13129="REFORMING","Reformer",""))))</f>
        <v/>
      </c>
    </row>
    <row r="13130" spans="6:7">
      <c r="F13130" s="6">
        <f>IF($M13130="PADD I","PADD 1",IF($M13130="PADD II","PADD 2",IF($M13130="PADD III","PADD 3",IF($M13130="PADD IV","PADD 4",IF($M13130="PADD V","PADD 5","")))))</f>
        <v/>
      </c>
      <c r="G13130" s="6">
        <f>IF(AND($H13130="ATMOS DISTILLATION",ISNUMBER(SEARCH("VPS",$I13130))=FALSE,LEFT($I13130,6)&lt;&gt;"VACUUM"),"CDU",IF($H13130="FLUID CAT CRACKING","FCC",IF(OR($H13130="HYDROCRACKING",$H13130="RESID_HYDROCRACKING"),"Hydrocracker",IF($H13130="REFORMING","Reformer",""))))</f>
        <v/>
      </c>
    </row>
    <row r="13131" spans="6:7">
      <c r="F13131" s="6">
        <f>IF($M13131="PADD I","PADD 1",IF($M13131="PADD II","PADD 2",IF($M13131="PADD III","PADD 3",IF($M13131="PADD IV","PADD 4",IF($M13131="PADD V","PADD 5","")))))</f>
        <v/>
      </c>
      <c r="G13131" s="6">
        <f>IF(AND($H13131="ATMOS DISTILLATION",ISNUMBER(SEARCH("VPS",$I13131))=FALSE,LEFT($I13131,6)&lt;&gt;"VACUUM"),"CDU",IF($H13131="FLUID CAT CRACKING","FCC",IF(OR($H13131="HYDROCRACKING",$H13131="RESID_HYDROCRACKING"),"Hydrocracker",IF($H13131="REFORMING","Reformer",""))))</f>
        <v/>
      </c>
    </row>
    <row r="13132" spans="6:7">
      <c r="F13132" s="6">
        <f>IF($M13132="PADD I","PADD 1",IF($M13132="PADD II","PADD 2",IF($M13132="PADD III","PADD 3",IF($M13132="PADD IV","PADD 4",IF($M13132="PADD V","PADD 5","")))))</f>
        <v/>
      </c>
      <c r="G13132" s="6">
        <f>IF(AND($H13132="ATMOS DISTILLATION",ISNUMBER(SEARCH("VPS",$I13132))=FALSE,LEFT($I13132,6)&lt;&gt;"VACUUM"),"CDU",IF($H13132="FLUID CAT CRACKING","FCC",IF(OR($H13132="HYDROCRACKING",$H13132="RESID_HYDROCRACKING"),"Hydrocracker",IF($H13132="REFORMING","Reformer",""))))</f>
        <v/>
      </c>
    </row>
    <row r="13133" spans="6:7">
      <c r="F13133" s="6">
        <f>IF($M13133="PADD I","PADD 1",IF($M13133="PADD II","PADD 2",IF($M13133="PADD III","PADD 3",IF($M13133="PADD IV","PADD 4",IF($M13133="PADD V","PADD 5","")))))</f>
        <v/>
      </c>
      <c r="G13133" s="6">
        <f>IF(AND($H13133="ATMOS DISTILLATION",ISNUMBER(SEARCH("VPS",$I13133))=FALSE,LEFT($I13133,6)&lt;&gt;"VACUUM"),"CDU",IF($H13133="FLUID CAT CRACKING","FCC",IF(OR($H13133="HYDROCRACKING",$H13133="RESID_HYDROCRACKING"),"Hydrocracker",IF($H13133="REFORMING","Reformer",""))))</f>
        <v/>
      </c>
    </row>
    <row r="13134" spans="6:7">
      <c r="F13134" s="6">
        <f>IF($M13134="PADD I","PADD 1",IF($M13134="PADD II","PADD 2",IF($M13134="PADD III","PADD 3",IF($M13134="PADD IV","PADD 4",IF($M13134="PADD V","PADD 5","")))))</f>
        <v/>
      </c>
      <c r="G13134" s="6">
        <f>IF(AND($H13134="ATMOS DISTILLATION",ISNUMBER(SEARCH("VPS",$I13134))=FALSE,LEFT($I13134,6)&lt;&gt;"VACUUM"),"CDU",IF($H13134="FLUID CAT CRACKING","FCC",IF(OR($H13134="HYDROCRACKING",$H13134="RESID_HYDROCRACKING"),"Hydrocracker",IF($H13134="REFORMING","Reformer",""))))</f>
        <v/>
      </c>
    </row>
    <row r="13135" spans="6:7">
      <c r="F13135" s="6">
        <f>IF($M13135="PADD I","PADD 1",IF($M13135="PADD II","PADD 2",IF($M13135="PADD III","PADD 3",IF($M13135="PADD IV","PADD 4",IF($M13135="PADD V","PADD 5","")))))</f>
        <v/>
      </c>
      <c r="G13135" s="6">
        <f>IF(AND($H13135="ATMOS DISTILLATION",ISNUMBER(SEARCH("VPS",$I13135))=FALSE,LEFT($I13135,6)&lt;&gt;"VACUUM"),"CDU",IF($H13135="FLUID CAT CRACKING","FCC",IF(OR($H13135="HYDROCRACKING",$H13135="RESID_HYDROCRACKING"),"Hydrocracker",IF($H13135="REFORMING","Reformer",""))))</f>
        <v/>
      </c>
    </row>
    <row r="13136" spans="6:7">
      <c r="F13136" s="6">
        <f>IF($M13136="PADD I","PADD 1",IF($M13136="PADD II","PADD 2",IF($M13136="PADD III","PADD 3",IF($M13136="PADD IV","PADD 4",IF($M13136="PADD V","PADD 5","")))))</f>
        <v/>
      </c>
      <c r="G13136" s="6">
        <f>IF(AND($H13136="ATMOS DISTILLATION",ISNUMBER(SEARCH("VPS",$I13136))=FALSE,LEFT($I13136,6)&lt;&gt;"VACUUM"),"CDU",IF($H13136="FLUID CAT CRACKING","FCC",IF(OR($H13136="HYDROCRACKING",$H13136="RESID_HYDROCRACKING"),"Hydrocracker",IF($H13136="REFORMING","Reformer",""))))</f>
        <v/>
      </c>
    </row>
    <row r="13137" spans="6:7">
      <c r="F13137" s="6">
        <f>IF($M13137="PADD I","PADD 1",IF($M13137="PADD II","PADD 2",IF($M13137="PADD III","PADD 3",IF($M13137="PADD IV","PADD 4",IF($M13137="PADD V","PADD 5","")))))</f>
        <v/>
      </c>
      <c r="G13137" s="6">
        <f>IF(AND($H13137="ATMOS DISTILLATION",ISNUMBER(SEARCH("VPS",$I13137))=FALSE,LEFT($I13137,6)&lt;&gt;"VACUUM"),"CDU",IF($H13137="FLUID CAT CRACKING","FCC",IF(OR($H13137="HYDROCRACKING",$H13137="RESID_HYDROCRACKING"),"Hydrocracker",IF($H13137="REFORMING","Reformer",""))))</f>
        <v/>
      </c>
    </row>
    <row r="13138" spans="6:7">
      <c r="F13138" s="6">
        <f>IF($M13138="PADD I","PADD 1",IF($M13138="PADD II","PADD 2",IF($M13138="PADD III","PADD 3",IF($M13138="PADD IV","PADD 4",IF($M13138="PADD V","PADD 5","")))))</f>
        <v/>
      </c>
      <c r="G13138" s="6">
        <f>IF(AND($H13138="ATMOS DISTILLATION",ISNUMBER(SEARCH("VPS",$I13138))=FALSE,LEFT($I13138,6)&lt;&gt;"VACUUM"),"CDU",IF($H13138="FLUID CAT CRACKING","FCC",IF(OR($H13138="HYDROCRACKING",$H13138="RESID_HYDROCRACKING"),"Hydrocracker",IF($H13138="REFORMING","Reformer",""))))</f>
        <v/>
      </c>
    </row>
    <row r="13139" spans="6:7">
      <c r="F13139" s="6">
        <f>IF($M13139="PADD I","PADD 1",IF($M13139="PADD II","PADD 2",IF($M13139="PADD III","PADD 3",IF($M13139="PADD IV","PADD 4",IF($M13139="PADD V","PADD 5","")))))</f>
        <v/>
      </c>
      <c r="G13139" s="6">
        <f>IF(AND($H13139="ATMOS DISTILLATION",ISNUMBER(SEARCH("VPS",$I13139))=FALSE,LEFT($I13139,6)&lt;&gt;"VACUUM"),"CDU",IF($H13139="FLUID CAT CRACKING","FCC",IF(OR($H13139="HYDROCRACKING",$H13139="RESID_HYDROCRACKING"),"Hydrocracker",IF($H13139="REFORMING","Reformer",""))))</f>
        <v/>
      </c>
    </row>
    <row r="13140" spans="6:7">
      <c r="F13140" s="6">
        <f>IF($M13140="PADD I","PADD 1",IF($M13140="PADD II","PADD 2",IF($M13140="PADD III","PADD 3",IF($M13140="PADD IV","PADD 4",IF($M13140="PADD V","PADD 5","")))))</f>
        <v/>
      </c>
      <c r="G13140" s="6">
        <f>IF(AND($H13140="ATMOS DISTILLATION",ISNUMBER(SEARCH("VPS",$I13140))=FALSE,LEFT($I13140,6)&lt;&gt;"VACUUM"),"CDU",IF($H13140="FLUID CAT CRACKING","FCC",IF(OR($H13140="HYDROCRACKING",$H13140="RESID_HYDROCRACKING"),"Hydrocracker",IF($H13140="REFORMING","Reformer",""))))</f>
        <v/>
      </c>
    </row>
    <row r="13141" spans="6:7">
      <c r="F13141" s="6">
        <f>IF($M13141="PADD I","PADD 1",IF($M13141="PADD II","PADD 2",IF($M13141="PADD III","PADD 3",IF($M13141="PADD IV","PADD 4",IF($M13141="PADD V","PADD 5","")))))</f>
        <v/>
      </c>
      <c r="G13141" s="6">
        <f>IF(AND($H13141="ATMOS DISTILLATION",ISNUMBER(SEARCH("VPS",$I13141))=FALSE,LEFT($I13141,6)&lt;&gt;"VACUUM"),"CDU",IF($H13141="FLUID CAT CRACKING","FCC",IF(OR($H13141="HYDROCRACKING",$H13141="RESID_HYDROCRACKING"),"Hydrocracker",IF($H13141="REFORMING","Reformer",""))))</f>
        <v/>
      </c>
    </row>
    <row r="13142" spans="6:7">
      <c r="F13142" s="6">
        <f>IF($M13142="PADD I","PADD 1",IF($M13142="PADD II","PADD 2",IF($M13142="PADD III","PADD 3",IF($M13142="PADD IV","PADD 4",IF($M13142="PADD V","PADD 5","")))))</f>
        <v/>
      </c>
      <c r="G13142" s="6">
        <f>IF(AND($H13142="ATMOS DISTILLATION",ISNUMBER(SEARCH("VPS",$I13142))=FALSE,LEFT($I13142,6)&lt;&gt;"VACUUM"),"CDU",IF($H13142="FLUID CAT CRACKING","FCC",IF(OR($H13142="HYDROCRACKING",$H13142="RESID_HYDROCRACKING"),"Hydrocracker",IF($H13142="REFORMING","Reformer",""))))</f>
        <v/>
      </c>
    </row>
    <row r="13143" spans="6:7">
      <c r="F13143" s="6">
        <f>IF($M13143="PADD I","PADD 1",IF($M13143="PADD II","PADD 2",IF($M13143="PADD III","PADD 3",IF($M13143="PADD IV","PADD 4",IF($M13143="PADD V","PADD 5","")))))</f>
        <v/>
      </c>
      <c r="G13143" s="6">
        <f>IF(AND($H13143="ATMOS DISTILLATION",ISNUMBER(SEARCH("VPS",$I13143))=FALSE,LEFT($I13143,6)&lt;&gt;"VACUUM"),"CDU",IF($H13143="FLUID CAT CRACKING","FCC",IF(OR($H13143="HYDROCRACKING",$H13143="RESID_HYDROCRACKING"),"Hydrocracker",IF($H13143="REFORMING","Reformer",""))))</f>
        <v/>
      </c>
    </row>
    <row r="13144" spans="6:7">
      <c r="F13144" s="6">
        <f>IF($M13144="PADD I","PADD 1",IF($M13144="PADD II","PADD 2",IF($M13144="PADD III","PADD 3",IF($M13144="PADD IV","PADD 4",IF($M13144="PADD V","PADD 5","")))))</f>
        <v/>
      </c>
      <c r="G13144" s="6">
        <f>IF(AND($H13144="ATMOS DISTILLATION",ISNUMBER(SEARCH("VPS",$I13144))=FALSE,LEFT($I13144,6)&lt;&gt;"VACUUM"),"CDU",IF($H13144="FLUID CAT CRACKING","FCC",IF(OR($H13144="HYDROCRACKING",$H13144="RESID_HYDROCRACKING"),"Hydrocracker",IF($H13144="REFORMING","Reformer",""))))</f>
        <v/>
      </c>
    </row>
    <row r="13145" spans="6:7">
      <c r="F13145" s="6">
        <f>IF($M13145="PADD I","PADD 1",IF($M13145="PADD II","PADD 2",IF($M13145="PADD III","PADD 3",IF($M13145="PADD IV","PADD 4",IF($M13145="PADD V","PADD 5","")))))</f>
        <v/>
      </c>
      <c r="G13145" s="6">
        <f>IF(AND($H13145="ATMOS DISTILLATION",ISNUMBER(SEARCH("VPS",$I13145))=FALSE,LEFT($I13145,6)&lt;&gt;"VACUUM"),"CDU",IF($H13145="FLUID CAT CRACKING","FCC",IF(OR($H13145="HYDROCRACKING",$H13145="RESID_HYDROCRACKING"),"Hydrocracker",IF($H13145="REFORMING","Reformer",""))))</f>
        <v/>
      </c>
    </row>
    <row r="13146" spans="6:7">
      <c r="F13146" s="6">
        <f>IF($M13146="PADD I","PADD 1",IF($M13146="PADD II","PADD 2",IF($M13146="PADD III","PADD 3",IF($M13146="PADD IV","PADD 4",IF($M13146="PADD V","PADD 5","")))))</f>
        <v/>
      </c>
      <c r="G13146" s="6">
        <f>IF(AND($H13146="ATMOS DISTILLATION",ISNUMBER(SEARCH("VPS",$I13146))=FALSE,LEFT($I13146,6)&lt;&gt;"VACUUM"),"CDU",IF($H13146="FLUID CAT CRACKING","FCC",IF(OR($H13146="HYDROCRACKING",$H13146="RESID_HYDROCRACKING"),"Hydrocracker",IF($H13146="REFORMING","Reformer",""))))</f>
        <v/>
      </c>
    </row>
    <row r="13147" spans="6:7">
      <c r="F13147" s="6">
        <f>IF($M13147="PADD I","PADD 1",IF($M13147="PADD II","PADD 2",IF($M13147="PADD III","PADD 3",IF($M13147="PADD IV","PADD 4",IF($M13147="PADD V","PADD 5","")))))</f>
        <v/>
      </c>
      <c r="G13147" s="6">
        <f>IF(AND($H13147="ATMOS DISTILLATION",ISNUMBER(SEARCH("VPS",$I13147))=FALSE,LEFT($I13147,6)&lt;&gt;"VACUUM"),"CDU",IF($H13147="FLUID CAT CRACKING","FCC",IF(OR($H13147="HYDROCRACKING",$H13147="RESID_HYDROCRACKING"),"Hydrocracker",IF($H13147="REFORMING","Reformer",""))))</f>
        <v/>
      </c>
    </row>
    <row r="13148" spans="6:7">
      <c r="F13148" s="6">
        <f>IF($M13148="PADD I","PADD 1",IF($M13148="PADD II","PADD 2",IF($M13148="PADD III","PADD 3",IF($M13148="PADD IV","PADD 4",IF($M13148="PADD V","PADD 5","")))))</f>
        <v/>
      </c>
      <c r="G13148" s="6">
        <f>IF(AND($H13148="ATMOS DISTILLATION",ISNUMBER(SEARCH("VPS",$I13148))=FALSE,LEFT($I13148,6)&lt;&gt;"VACUUM"),"CDU",IF($H13148="FLUID CAT CRACKING","FCC",IF(OR($H13148="HYDROCRACKING",$H13148="RESID_HYDROCRACKING"),"Hydrocracker",IF($H13148="REFORMING","Reformer",""))))</f>
        <v/>
      </c>
    </row>
    <row r="13149" spans="6:7">
      <c r="F13149" s="6">
        <f>IF($M13149="PADD I","PADD 1",IF($M13149="PADD II","PADD 2",IF($M13149="PADD III","PADD 3",IF($M13149="PADD IV","PADD 4",IF($M13149="PADD V","PADD 5","")))))</f>
        <v/>
      </c>
      <c r="G13149" s="6">
        <f>IF(AND($H13149="ATMOS DISTILLATION",ISNUMBER(SEARCH("VPS",$I13149))=FALSE,LEFT($I13149,6)&lt;&gt;"VACUUM"),"CDU",IF($H13149="FLUID CAT CRACKING","FCC",IF(OR($H13149="HYDROCRACKING",$H13149="RESID_HYDROCRACKING"),"Hydrocracker",IF($H13149="REFORMING","Reformer",""))))</f>
        <v/>
      </c>
    </row>
    <row r="13150" spans="6:7">
      <c r="F13150" s="6">
        <f>IF($M13150="PADD I","PADD 1",IF($M13150="PADD II","PADD 2",IF($M13150="PADD III","PADD 3",IF($M13150="PADD IV","PADD 4",IF($M13150="PADD V","PADD 5","")))))</f>
        <v/>
      </c>
      <c r="G13150" s="6">
        <f>IF(AND($H13150="ATMOS DISTILLATION",ISNUMBER(SEARCH("VPS",$I13150))=FALSE,LEFT($I13150,6)&lt;&gt;"VACUUM"),"CDU",IF($H13150="FLUID CAT CRACKING","FCC",IF(OR($H13150="HYDROCRACKING",$H13150="RESID_HYDROCRACKING"),"Hydrocracker",IF($H13150="REFORMING","Reformer",""))))</f>
        <v/>
      </c>
    </row>
    <row r="13151" spans="6:7">
      <c r="F13151" s="6">
        <f>IF($M13151="PADD I","PADD 1",IF($M13151="PADD II","PADD 2",IF($M13151="PADD III","PADD 3",IF($M13151="PADD IV","PADD 4",IF($M13151="PADD V","PADD 5","")))))</f>
        <v/>
      </c>
      <c r="G13151" s="6">
        <f>IF(AND($H13151="ATMOS DISTILLATION",ISNUMBER(SEARCH("VPS",$I13151))=FALSE,LEFT($I13151,6)&lt;&gt;"VACUUM"),"CDU",IF($H13151="FLUID CAT CRACKING","FCC",IF(OR($H13151="HYDROCRACKING",$H13151="RESID_HYDROCRACKING"),"Hydrocracker",IF($H13151="REFORMING","Reformer",""))))</f>
        <v/>
      </c>
    </row>
    <row r="13152" spans="6:7">
      <c r="F13152" s="6">
        <f>IF($M13152="PADD I","PADD 1",IF($M13152="PADD II","PADD 2",IF($M13152="PADD III","PADD 3",IF($M13152="PADD IV","PADD 4",IF($M13152="PADD V","PADD 5","")))))</f>
        <v/>
      </c>
      <c r="G13152" s="6">
        <f>IF(AND($H13152="ATMOS DISTILLATION",ISNUMBER(SEARCH("VPS",$I13152))=FALSE,LEFT($I13152,6)&lt;&gt;"VACUUM"),"CDU",IF($H13152="FLUID CAT CRACKING","FCC",IF(OR($H13152="HYDROCRACKING",$H13152="RESID_HYDROCRACKING"),"Hydrocracker",IF($H13152="REFORMING","Reformer",""))))</f>
        <v/>
      </c>
    </row>
    <row r="13153" spans="6:7">
      <c r="F13153" s="6">
        <f>IF($M13153="PADD I","PADD 1",IF($M13153="PADD II","PADD 2",IF($M13153="PADD III","PADD 3",IF($M13153="PADD IV","PADD 4",IF($M13153="PADD V","PADD 5","")))))</f>
        <v/>
      </c>
      <c r="G13153" s="6">
        <f>IF(AND($H13153="ATMOS DISTILLATION",ISNUMBER(SEARCH("VPS",$I13153))=FALSE,LEFT($I13153,6)&lt;&gt;"VACUUM"),"CDU",IF($H13153="FLUID CAT CRACKING","FCC",IF(OR($H13153="HYDROCRACKING",$H13153="RESID_HYDROCRACKING"),"Hydrocracker",IF($H13153="REFORMING","Reformer",""))))</f>
        <v/>
      </c>
    </row>
    <row r="13154" spans="6:7">
      <c r="F13154" s="6">
        <f>IF($M13154="PADD I","PADD 1",IF($M13154="PADD II","PADD 2",IF($M13154="PADD III","PADD 3",IF($M13154="PADD IV","PADD 4",IF($M13154="PADD V","PADD 5","")))))</f>
        <v/>
      </c>
      <c r="G13154" s="6">
        <f>IF(AND($H13154="ATMOS DISTILLATION",ISNUMBER(SEARCH("VPS",$I13154))=FALSE,LEFT($I13154,6)&lt;&gt;"VACUUM"),"CDU",IF($H13154="FLUID CAT CRACKING","FCC",IF(OR($H13154="HYDROCRACKING",$H13154="RESID_HYDROCRACKING"),"Hydrocracker",IF($H13154="REFORMING","Reformer",""))))</f>
        <v/>
      </c>
    </row>
    <row r="13155" spans="6:7">
      <c r="F13155" s="6">
        <f>IF($M13155="PADD I","PADD 1",IF($M13155="PADD II","PADD 2",IF($M13155="PADD III","PADD 3",IF($M13155="PADD IV","PADD 4",IF($M13155="PADD V","PADD 5","")))))</f>
        <v/>
      </c>
      <c r="G13155" s="6">
        <f>IF(AND($H13155="ATMOS DISTILLATION",ISNUMBER(SEARCH("VPS",$I13155))=FALSE,LEFT($I13155,6)&lt;&gt;"VACUUM"),"CDU",IF($H13155="FLUID CAT CRACKING","FCC",IF(OR($H13155="HYDROCRACKING",$H13155="RESID_HYDROCRACKING"),"Hydrocracker",IF($H13155="REFORMING","Reformer",""))))</f>
        <v/>
      </c>
    </row>
    <row r="13156" spans="6:7">
      <c r="F13156" s="6">
        <f>IF($M13156="PADD I","PADD 1",IF($M13156="PADD II","PADD 2",IF($M13156="PADD III","PADD 3",IF($M13156="PADD IV","PADD 4",IF($M13156="PADD V","PADD 5","")))))</f>
        <v/>
      </c>
      <c r="G13156" s="6">
        <f>IF(AND($H13156="ATMOS DISTILLATION",ISNUMBER(SEARCH("VPS",$I13156))=FALSE,LEFT($I13156,6)&lt;&gt;"VACUUM"),"CDU",IF($H13156="FLUID CAT CRACKING","FCC",IF(OR($H13156="HYDROCRACKING",$H13156="RESID_HYDROCRACKING"),"Hydrocracker",IF($H13156="REFORMING","Reformer",""))))</f>
        <v/>
      </c>
    </row>
    <row r="13157" spans="6:7">
      <c r="F13157" s="6">
        <f>IF($M13157="PADD I","PADD 1",IF($M13157="PADD II","PADD 2",IF($M13157="PADD III","PADD 3",IF($M13157="PADD IV","PADD 4",IF($M13157="PADD V","PADD 5","")))))</f>
        <v/>
      </c>
      <c r="G13157" s="6">
        <f>IF(AND($H13157="ATMOS DISTILLATION",ISNUMBER(SEARCH("VPS",$I13157))=FALSE,LEFT($I13157,6)&lt;&gt;"VACUUM"),"CDU",IF($H13157="FLUID CAT CRACKING","FCC",IF(OR($H13157="HYDROCRACKING",$H13157="RESID_HYDROCRACKING"),"Hydrocracker",IF($H13157="REFORMING","Reformer",""))))</f>
        <v/>
      </c>
    </row>
    <row r="13158" spans="6:7">
      <c r="F13158" s="6">
        <f>IF($M13158="PADD I","PADD 1",IF($M13158="PADD II","PADD 2",IF($M13158="PADD III","PADD 3",IF($M13158="PADD IV","PADD 4",IF($M13158="PADD V","PADD 5","")))))</f>
        <v/>
      </c>
      <c r="G13158" s="6">
        <f>IF(AND($H13158="ATMOS DISTILLATION",ISNUMBER(SEARCH("VPS",$I13158))=FALSE,LEFT($I13158,6)&lt;&gt;"VACUUM"),"CDU",IF($H13158="FLUID CAT CRACKING","FCC",IF(OR($H13158="HYDROCRACKING",$H13158="RESID_HYDROCRACKING"),"Hydrocracker",IF($H13158="REFORMING","Reformer",""))))</f>
        <v/>
      </c>
    </row>
    <row r="13159" spans="6:7">
      <c r="F13159" s="6">
        <f>IF($M13159="PADD I","PADD 1",IF($M13159="PADD II","PADD 2",IF($M13159="PADD III","PADD 3",IF($M13159="PADD IV","PADD 4",IF($M13159="PADD V","PADD 5","")))))</f>
        <v/>
      </c>
      <c r="G13159" s="6">
        <f>IF(AND($H13159="ATMOS DISTILLATION",ISNUMBER(SEARCH("VPS",$I13159))=FALSE,LEFT($I13159,6)&lt;&gt;"VACUUM"),"CDU",IF($H13159="FLUID CAT CRACKING","FCC",IF(OR($H13159="HYDROCRACKING",$H13159="RESID_HYDROCRACKING"),"Hydrocracker",IF($H13159="REFORMING","Reformer",""))))</f>
        <v/>
      </c>
    </row>
    <row r="13160" spans="6:7">
      <c r="F13160" s="6">
        <f>IF($M13160="PADD I","PADD 1",IF($M13160="PADD II","PADD 2",IF($M13160="PADD III","PADD 3",IF($M13160="PADD IV","PADD 4",IF($M13160="PADD V","PADD 5","")))))</f>
        <v/>
      </c>
      <c r="G13160" s="6">
        <f>IF(AND($H13160="ATMOS DISTILLATION",ISNUMBER(SEARCH("VPS",$I13160))=FALSE,LEFT($I13160,6)&lt;&gt;"VACUUM"),"CDU",IF($H13160="FLUID CAT CRACKING","FCC",IF(OR($H13160="HYDROCRACKING",$H13160="RESID_HYDROCRACKING"),"Hydrocracker",IF($H13160="REFORMING","Reformer",""))))</f>
        <v/>
      </c>
    </row>
    <row r="13161" spans="6:7">
      <c r="F13161" s="6">
        <f>IF($M13161="PADD I","PADD 1",IF($M13161="PADD II","PADD 2",IF($M13161="PADD III","PADD 3",IF($M13161="PADD IV","PADD 4",IF($M13161="PADD V","PADD 5","")))))</f>
        <v/>
      </c>
      <c r="G13161" s="6">
        <f>IF(AND($H13161="ATMOS DISTILLATION",ISNUMBER(SEARCH("VPS",$I13161))=FALSE,LEFT($I13161,6)&lt;&gt;"VACUUM"),"CDU",IF($H13161="FLUID CAT CRACKING","FCC",IF(OR($H13161="HYDROCRACKING",$H13161="RESID_HYDROCRACKING"),"Hydrocracker",IF($H13161="REFORMING","Reformer",""))))</f>
        <v/>
      </c>
    </row>
    <row r="13162" spans="6:7">
      <c r="F13162" s="6">
        <f>IF($M13162="PADD I","PADD 1",IF($M13162="PADD II","PADD 2",IF($M13162="PADD III","PADD 3",IF($M13162="PADD IV","PADD 4",IF($M13162="PADD V","PADD 5","")))))</f>
        <v/>
      </c>
      <c r="G13162" s="6">
        <f>IF(AND($H13162="ATMOS DISTILLATION",ISNUMBER(SEARCH("VPS",$I13162))=FALSE,LEFT($I13162,6)&lt;&gt;"VACUUM"),"CDU",IF($H13162="FLUID CAT CRACKING","FCC",IF(OR($H13162="HYDROCRACKING",$H13162="RESID_HYDROCRACKING"),"Hydrocracker",IF($H13162="REFORMING","Reformer",""))))</f>
        <v/>
      </c>
    </row>
    <row r="13163" spans="6:7">
      <c r="F13163" s="6">
        <f>IF($M13163="PADD I","PADD 1",IF($M13163="PADD II","PADD 2",IF($M13163="PADD III","PADD 3",IF($M13163="PADD IV","PADD 4",IF($M13163="PADD V","PADD 5","")))))</f>
        <v/>
      </c>
      <c r="G13163" s="6">
        <f>IF(AND($H13163="ATMOS DISTILLATION",ISNUMBER(SEARCH("VPS",$I13163))=FALSE,LEFT($I13163,6)&lt;&gt;"VACUUM"),"CDU",IF($H13163="FLUID CAT CRACKING","FCC",IF(OR($H13163="HYDROCRACKING",$H13163="RESID_HYDROCRACKING"),"Hydrocracker",IF($H13163="REFORMING","Reformer",""))))</f>
        <v/>
      </c>
    </row>
    <row r="13164" spans="6:7">
      <c r="F13164" s="6">
        <f>IF($M13164="PADD I","PADD 1",IF($M13164="PADD II","PADD 2",IF($M13164="PADD III","PADD 3",IF($M13164="PADD IV","PADD 4",IF($M13164="PADD V","PADD 5","")))))</f>
        <v/>
      </c>
      <c r="G13164" s="6">
        <f>IF(AND($H13164="ATMOS DISTILLATION",ISNUMBER(SEARCH("VPS",$I13164))=FALSE,LEFT($I13164,6)&lt;&gt;"VACUUM"),"CDU",IF($H13164="FLUID CAT CRACKING","FCC",IF(OR($H13164="HYDROCRACKING",$H13164="RESID_HYDROCRACKING"),"Hydrocracker",IF($H13164="REFORMING","Reformer",""))))</f>
        <v/>
      </c>
    </row>
    <row r="13165" spans="6:7">
      <c r="F13165" s="6">
        <f>IF($M13165="PADD I","PADD 1",IF($M13165="PADD II","PADD 2",IF($M13165="PADD III","PADD 3",IF($M13165="PADD IV","PADD 4",IF($M13165="PADD V","PADD 5","")))))</f>
        <v/>
      </c>
      <c r="G13165" s="6">
        <f>IF(AND($H13165="ATMOS DISTILLATION",ISNUMBER(SEARCH("VPS",$I13165))=FALSE,LEFT($I13165,6)&lt;&gt;"VACUUM"),"CDU",IF($H13165="FLUID CAT CRACKING","FCC",IF(OR($H13165="HYDROCRACKING",$H13165="RESID_HYDROCRACKING"),"Hydrocracker",IF($H13165="REFORMING","Reformer",""))))</f>
        <v/>
      </c>
    </row>
    <row r="13166" spans="6:7">
      <c r="F13166" s="6">
        <f>IF($M13166="PADD I","PADD 1",IF($M13166="PADD II","PADD 2",IF($M13166="PADD III","PADD 3",IF($M13166="PADD IV","PADD 4",IF($M13166="PADD V","PADD 5","")))))</f>
        <v/>
      </c>
      <c r="G13166" s="6">
        <f>IF(AND($H13166="ATMOS DISTILLATION",ISNUMBER(SEARCH("VPS",$I13166))=FALSE,LEFT($I13166,6)&lt;&gt;"VACUUM"),"CDU",IF($H13166="FLUID CAT CRACKING","FCC",IF(OR($H13166="HYDROCRACKING",$H13166="RESID_HYDROCRACKING"),"Hydrocracker",IF($H13166="REFORMING","Reformer",""))))</f>
        <v/>
      </c>
    </row>
    <row r="13167" spans="6:7">
      <c r="F13167" s="6">
        <f>IF($M13167="PADD I","PADD 1",IF($M13167="PADD II","PADD 2",IF($M13167="PADD III","PADD 3",IF($M13167="PADD IV","PADD 4",IF($M13167="PADD V","PADD 5","")))))</f>
        <v/>
      </c>
      <c r="G13167" s="6">
        <f>IF(AND($H13167="ATMOS DISTILLATION",ISNUMBER(SEARCH("VPS",$I13167))=FALSE,LEFT($I13167,6)&lt;&gt;"VACUUM"),"CDU",IF($H13167="FLUID CAT CRACKING","FCC",IF(OR($H13167="HYDROCRACKING",$H13167="RESID_HYDROCRACKING"),"Hydrocracker",IF($H13167="REFORMING","Reformer",""))))</f>
        <v/>
      </c>
    </row>
    <row r="13168" spans="6:7">
      <c r="F13168" s="6">
        <f>IF($M13168="PADD I","PADD 1",IF($M13168="PADD II","PADD 2",IF($M13168="PADD III","PADD 3",IF($M13168="PADD IV","PADD 4",IF($M13168="PADD V","PADD 5","")))))</f>
        <v/>
      </c>
      <c r="G13168" s="6">
        <f>IF(AND($H13168="ATMOS DISTILLATION",ISNUMBER(SEARCH("VPS",$I13168))=FALSE,LEFT($I13168,6)&lt;&gt;"VACUUM"),"CDU",IF($H13168="FLUID CAT CRACKING","FCC",IF(OR($H13168="HYDROCRACKING",$H13168="RESID_HYDROCRACKING"),"Hydrocracker",IF($H13168="REFORMING","Reformer",""))))</f>
        <v/>
      </c>
    </row>
    <row r="13169" spans="6:7">
      <c r="F13169" s="6">
        <f>IF($M13169="PADD I","PADD 1",IF($M13169="PADD II","PADD 2",IF($M13169="PADD III","PADD 3",IF($M13169="PADD IV","PADD 4",IF($M13169="PADD V","PADD 5","")))))</f>
        <v/>
      </c>
      <c r="G13169" s="6">
        <f>IF(AND($H13169="ATMOS DISTILLATION",ISNUMBER(SEARCH("VPS",$I13169))=FALSE,LEFT($I13169,6)&lt;&gt;"VACUUM"),"CDU",IF($H13169="FLUID CAT CRACKING","FCC",IF(OR($H13169="HYDROCRACKING",$H13169="RESID_HYDROCRACKING"),"Hydrocracker",IF($H13169="REFORMING","Reformer",""))))</f>
        <v/>
      </c>
    </row>
    <row r="13170" spans="6:7">
      <c r="F13170" s="6">
        <f>IF($M13170="PADD I","PADD 1",IF($M13170="PADD II","PADD 2",IF($M13170="PADD III","PADD 3",IF($M13170="PADD IV","PADD 4",IF($M13170="PADD V","PADD 5","")))))</f>
        <v/>
      </c>
      <c r="G13170" s="6">
        <f>IF(AND($H13170="ATMOS DISTILLATION",ISNUMBER(SEARCH("VPS",$I13170))=FALSE,LEFT($I13170,6)&lt;&gt;"VACUUM"),"CDU",IF($H13170="FLUID CAT CRACKING","FCC",IF(OR($H13170="HYDROCRACKING",$H13170="RESID_HYDROCRACKING"),"Hydrocracker",IF($H13170="REFORMING","Reformer",""))))</f>
        <v/>
      </c>
    </row>
    <row r="13171" spans="6:7">
      <c r="F13171" s="6">
        <f>IF($M13171="PADD I","PADD 1",IF($M13171="PADD II","PADD 2",IF($M13171="PADD III","PADD 3",IF($M13171="PADD IV","PADD 4",IF($M13171="PADD V","PADD 5","")))))</f>
        <v/>
      </c>
      <c r="G13171" s="6">
        <f>IF(AND($H13171="ATMOS DISTILLATION",ISNUMBER(SEARCH("VPS",$I13171))=FALSE,LEFT($I13171,6)&lt;&gt;"VACUUM"),"CDU",IF($H13171="FLUID CAT CRACKING","FCC",IF(OR($H13171="HYDROCRACKING",$H13171="RESID_HYDROCRACKING"),"Hydrocracker",IF($H13171="REFORMING","Reformer",""))))</f>
        <v/>
      </c>
    </row>
    <row r="13172" spans="6:7">
      <c r="F13172" s="6">
        <f>IF($M13172="PADD I","PADD 1",IF($M13172="PADD II","PADD 2",IF($M13172="PADD III","PADD 3",IF($M13172="PADD IV","PADD 4",IF($M13172="PADD V","PADD 5","")))))</f>
        <v/>
      </c>
      <c r="G13172" s="6">
        <f>IF(AND($H13172="ATMOS DISTILLATION",ISNUMBER(SEARCH("VPS",$I13172))=FALSE,LEFT($I13172,6)&lt;&gt;"VACUUM"),"CDU",IF($H13172="FLUID CAT CRACKING","FCC",IF(OR($H13172="HYDROCRACKING",$H13172="RESID_HYDROCRACKING"),"Hydrocracker",IF($H13172="REFORMING","Reformer",""))))</f>
        <v/>
      </c>
    </row>
    <row r="13173" spans="6:7">
      <c r="F13173" s="6">
        <f>IF($M13173="PADD I","PADD 1",IF($M13173="PADD II","PADD 2",IF($M13173="PADD III","PADD 3",IF($M13173="PADD IV","PADD 4",IF($M13173="PADD V","PADD 5","")))))</f>
        <v/>
      </c>
      <c r="G13173" s="6">
        <f>IF(AND($H13173="ATMOS DISTILLATION",ISNUMBER(SEARCH("VPS",$I13173))=FALSE,LEFT($I13173,6)&lt;&gt;"VACUUM"),"CDU",IF($H13173="FLUID CAT CRACKING","FCC",IF(OR($H13173="HYDROCRACKING",$H13173="RESID_HYDROCRACKING"),"Hydrocracker",IF($H13173="REFORMING","Reformer",""))))</f>
        <v/>
      </c>
    </row>
    <row r="13174" spans="6:7">
      <c r="F13174" s="6">
        <f>IF($M13174="PADD I","PADD 1",IF($M13174="PADD II","PADD 2",IF($M13174="PADD III","PADD 3",IF($M13174="PADD IV","PADD 4",IF($M13174="PADD V","PADD 5","")))))</f>
        <v/>
      </c>
      <c r="G13174" s="6">
        <f>IF(AND($H13174="ATMOS DISTILLATION",ISNUMBER(SEARCH("VPS",$I13174))=FALSE,LEFT($I13174,6)&lt;&gt;"VACUUM"),"CDU",IF($H13174="FLUID CAT CRACKING","FCC",IF(OR($H13174="HYDROCRACKING",$H13174="RESID_HYDROCRACKING"),"Hydrocracker",IF($H13174="REFORMING","Reformer",""))))</f>
        <v/>
      </c>
    </row>
    <row r="13175" spans="6:7">
      <c r="F13175" s="6">
        <f>IF($M13175="PADD I","PADD 1",IF($M13175="PADD II","PADD 2",IF($M13175="PADD III","PADD 3",IF($M13175="PADD IV","PADD 4",IF($M13175="PADD V","PADD 5","")))))</f>
        <v/>
      </c>
      <c r="G13175" s="6">
        <f>IF(AND($H13175="ATMOS DISTILLATION",ISNUMBER(SEARCH("VPS",$I13175))=FALSE,LEFT($I13175,6)&lt;&gt;"VACUUM"),"CDU",IF($H13175="FLUID CAT CRACKING","FCC",IF(OR($H13175="HYDROCRACKING",$H13175="RESID_HYDROCRACKING"),"Hydrocracker",IF($H13175="REFORMING","Reformer",""))))</f>
        <v/>
      </c>
    </row>
    <row r="13176" spans="6:7">
      <c r="F13176" s="6">
        <f>IF($M13176="PADD I","PADD 1",IF($M13176="PADD II","PADD 2",IF($M13176="PADD III","PADD 3",IF($M13176="PADD IV","PADD 4",IF($M13176="PADD V","PADD 5","")))))</f>
        <v/>
      </c>
      <c r="G13176" s="6">
        <f>IF(AND($H13176="ATMOS DISTILLATION",ISNUMBER(SEARCH("VPS",$I13176))=FALSE,LEFT($I13176,6)&lt;&gt;"VACUUM"),"CDU",IF($H13176="FLUID CAT CRACKING","FCC",IF(OR($H13176="HYDROCRACKING",$H13176="RESID_HYDROCRACKING"),"Hydrocracker",IF($H13176="REFORMING","Reformer",""))))</f>
        <v/>
      </c>
    </row>
    <row r="13177" spans="6:7">
      <c r="F13177" s="6">
        <f>IF($M13177="PADD I","PADD 1",IF($M13177="PADD II","PADD 2",IF($M13177="PADD III","PADD 3",IF($M13177="PADD IV","PADD 4",IF($M13177="PADD V","PADD 5","")))))</f>
        <v/>
      </c>
      <c r="G13177" s="6">
        <f>IF(AND($H13177="ATMOS DISTILLATION",ISNUMBER(SEARCH("VPS",$I13177))=FALSE,LEFT($I13177,6)&lt;&gt;"VACUUM"),"CDU",IF($H13177="FLUID CAT CRACKING","FCC",IF(OR($H13177="HYDROCRACKING",$H13177="RESID_HYDROCRACKING"),"Hydrocracker",IF($H13177="REFORMING","Reformer",""))))</f>
        <v/>
      </c>
    </row>
    <row r="13178" spans="6:7">
      <c r="F13178" s="6">
        <f>IF($M13178="PADD I","PADD 1",IF($M13178="PADD II","PADD 2",IF($M13178="PADD III","PADD 3",IF($M13178="PADD IV","PADD 4",IF($M13178="PADD V","PADD 5","")))))</f>
        <v/>
      </c>
      <c r="G13178" s="6">
        <f>IF(AND($H13178="ATMOS DISTILLATION",ISNUMBER(SEARCH("VPS",$I13178))=FALSE,LEFT($I13178,6)&lt;&gt;"VACUUM"),"CDU",IF($H13178="FLUID CAT CRACKING","FCC",IF(OR($H13178="HYDROCRACKING",$H13178="RESID_HYDROCRACKING"),"Hydrocracker",IF($H13178="REFORMING","Reformer",""))))</f>
        <v/>
      </c>
    </row>
    <row r="13179" spans="6:7">
      <c r="F13179" s="6">
        <f>IF($M13179="PADD I","PADD 1",IF($M13179="PADD II","PADD 2",IF($M13179="PADD III","PADD 3",IF($M13179="PADD IV","PADD 4",IF($M13179="PADD V","PADD 5","")))))</f>
        <v/>
      </c>
      <c r="G13179" s="6">
        <f>IF(AND($H13179="ATMOS DISTILLATION",ISNUMBER(SEARCH("VPS",$I13179))=FALSE,LEFT($I13179,6)&lt;&gt;"VACUUM"),"CDU",IF($H13179="FLUID CAT CRACKING","FCC",IF(OR($H13179="HYDROCRACKING",$H13179="RESID_HYDROCRACKING"),"Hydrocracker",IF($H13179="REFORMING","Reformer",""))))</f>
        <v/>
      </c>
    </row>
    <row r="13180" spans="6:7">
      <c r="F13180" s="6">
        <f>IF($M13180="PADD I","PADD 1",IF($M13180="PADD II","PADD 2",IF($M13180="PADD III","PADD 3",IF($M13180="PADD IV","PADD 4",IF($M13180="PADD V","PADD 5","")))))</f>
        <v/>
      </c>
      <c r="G13180" s="6">
        <f>IF(AND($H13180="ATMOS DISTILLATION",ISNUMBER(SEARCH("VPS",$I13180))=FALSE,LEFT($I13180,6)&lt;&gt;"VACUUM"),"CDU",IF($H13180="FLUID CAT CRACKING","FCC",IF(OR($H13180="HYDROCRACKING",$H13180="RESID_HYDROCRACKING"),"Hydrocracker",IF($H13180="REFORMING","Reformer",""))))</f>
        <v/>
      </c>
    </row>
    <row r="13181" spans="6:7">
      <c r="F13181" s="6">
        <f>IF($M13181="PADD I","PADD 1",IF($M13181="PADD II","PADD 2",IF($M13181="PADD III","PADD 3",IF($M13181="PADD IV","PADD 4",IF($M13181="PADD V","PADD 5","")))))</f>
        <v/>
      </c>
      <c r="G13181" s="6">
        <f>IF(AND($H13181="ATMOS DISTILLATION",ISNUMBER(SEARCH("VPS",$I13181))=FALSE,LEFT($I13181,6)&lt;&gt;"VACUUM"),"CDU",IF($H13181="FLUID CAT CRACKING","FCC",IF(OR($H13181="HYDROCRACKING",$H13181="RESID_HYDROCRACKING"),"Hydrocracker",IF($H13181="REFORMING","Reformer",""))))</f>
        <v/>
      </c>
    </row>
    <row r="13182" spans="6:7">
      <c r="F13182" s="6">
        <f>IF($M13182="PADD I","PADD 1",IF($M13182="PADD II","PADD 2",IF($M13182="PADD III","PADD 3",IF($M13182="PADD IV","PADD 4",IF($M13182="PADD V","PADD 5","")))))</f>
        <v/>
      </c>
      <c r="G13182" s="6">
        <f>IF(AND($H13182="ATMOS DISTILLATION",ISNUMBER(SEARCH("VPS",$I13182))=FALSE,LEFT($I13182,6)&lt;&gt;"VACUUM"),"CDU",IF($H13182="FLUID CAT CRACKING","FCC",IF(OR($H13182="HYDROCRACKING",$H13182="RESID_HYDROCRACKING"),"Hydrocracker",IF($H13182="REFORMING","Reformer",""))))</f>
        <v/>
      </c>
    </row>
    <row r="13183" spans="6:7">
      <c r="F13183" s="6">
        <f>IF($M13183="PADD I","PADD 1",IF($M13183="PADD II","PADD 2",IF($M13183="PADD III","PADD 3",IF($M13183="PADD IV","PADD 4",IF($M13183="PADD V","PADD 5","")))))</f>
        <v/>
      </c>
      <c r="G13183" s="6">
        <f>IF(AND($H13183="ATMOS DISTILLATION",ISNUMBER(SEARCH("VPS",$I13183))=FALSE,LEFT($I13183,6)&lt;&gt;"VACUUM"),"CDU",IF($H13183="FLUID CAT CRACKING","FCC",IF(OR($H13183="HYDROCRACKING",$H13183="RESID_HYDROCRACKING"),"Hydrocracker",IF($H13183="REFORMING","Reformer",""))))</f>
        <v/>
      </c>
    </row>
    <row r="13184" spans="6:7">
      <c r="F13184" s="6">
        <f>IF($M13184="PADD I","PADD 1",IF($M13184="PADD II","PADD 2",IF($M13184="PADD III","PADD 3",IF($M13184="PADD IV","PADD 4",IF($M13184="PADD V","PADD 5","")))))</f>
        <v/>
      </c>
      <c r="G13184" s="6">
        <f>IF(AND($H13184="ATMOS DISTILLATION",ISNUMBER(SEARCH("VPS",$I13184))=FALSE,LEFT($I13184,6)&lt;&gt;"VACUUM"),"CDU",IF($H13184="FLUID CAT CRACKING","FCC",IF(OR($H13184="HYDROCRACKING",$H13184="RESID_HYDROCRACKING"),"Hydrocracker",IF($H13184="REFORMING","Reformer",""))))</f>
        <v/>
      </c>
    </row>
    <row r="13185" spans="6:7">
      <c r="F13185" s="6">
        <f>IF($M13185="PADD I","PADD 1",IF($M13185="PADD II","PADD 2",IF($M13185="PADD III","PADD 3",IF($M13185="PADD IV","PADD 4",IF($M13185="PADD V","PADD 5","")))))</f>
        <v/>
      </c>
      <c r="G13185" s="6">
        <f>IF(AND($H13185="ATMOS DISTILLATION",ISNUMBER(SEARCH("VPS",$I13185))=FALSE,LEFT($I13185,6)&lt;&gt;"VACUUM"),"CDU",IF($H13185="FLUID CAT CRACKING","FCC",IF(OR($H13185="HYDROCRACKING",$H13185="RESID_HYDROCRACKING"),"Hydrocracker",IF($H13185="REFORMING","Reformer",""))))</f>
        <v/>
      </c>
    </row>
    <row r="13186" spans="6:7">
      <c r="F13186" s="6">
        <f>IF($M13186="PADD I","PADD 1",IF($M13186="PADD II","PADD 2",IF($M13186="PADD III","PADD 3",IF($M13186="PADD IV","PADD 4",IF($M13186="PADD V","PADD 5","")))))</f>
        <v/>
      </c>
      <c r="G13186" s="6">
        <f>IF(AND($H13186="ATMOS DISTILLATION",ISNUMBER(SEARCH("VPS",$I13186))=FALSE,LEFT($I13186,6)&lt;&gt;"VACUUM"),"CDU",IF($H13186="FLUID CAT CRACKING","FCC",IF(OR($H13186="HYDROCRACKING",$H13186="RESID_HYDROCRACKING"),"Hydrocracker",IF($H13186="REFORMING","Reformer",""))))</f>
        <v/>
      </c>
    </row>
    <row r="13187" spans="6:7">
      <c r="F13187" s="6">
        <f>IF($M13187="PADD I","PADD 1",IF($M13187="PADD II","PADD 2",IF($M13187="PADD III","PADD 3",IF($M13187="PADD IV","PADD 4",IF($M13187="PADD V","PADD 5","")))))</f>
        <v/>
      </c>
      <c r="G13187" s="6">
        <f>IF(AND($H13187="ATMOS DISTILLATION",ISNUMBER(SEARCH("VPS",$I13187))=FALSE,LEFT($I13187,6)&lt;&gt;"VACUUM"),"CDU",IF($H13187="FLUID CAT CRACKING","FCC",IF(OR($H13187="HYDROCRACKING",$H13187="RESID_HYDROCRACKING"),"Hydrocracker",IF($H13187="REFORMING","Reformer",""))))</f>
        <v/>
      </c>
    </row>
    <row r="13188" spans="6:7">
      <c r="F13188" s="6">
        <f>IF($M13188="PADD I","PADD 1",IF($M13188="PADD II","PADD 2",IF($M13188="PADD III","PADD 3",IF($M13188="PADD IV","PADD 4",IF($M13188="PADD V","PADD 5","")))))</f>
        <v/>
      </c>
      <c r="G13188" s="6">
        <f>IF(AND($H13188="ATMOS DISTILLATION",ISNUMBER(SEARCH("VPS",$I13188))=FALSE,LEFT($I13188,6)&lt;&gt;"VACUUM"),"CDU",IF($H13188="FLUID CAT CRACKING","FCC",IF(OR($H13188="HYDROCRACKING",$H13188="RESID_HYDROCRACKING"),"Hydrocracker",IF($H13188="REFORMING","Reformer",""))))</f>
        <v/>
      </c>
    </row>
    <row r="13189" spans="6:7">
      <c r="F13189" s="6">
        <f>IF($M13189="PADD I","PADD 1",IF($M13189="PADD II","PADD 2",IF($M13189="PADD III","PADD 3",IF($M13189="PADD IV","PADD 4",IF($M13189="PADD V","PADD 5","")))))</f>
        <v/>
      </c>
      <c r="G13189" s="6">
        <f>IF(AND($H13189="ATMOS DISTILLATION",ISNUMBER(SEARCH("VPS",$I13189))=FALSE,LEFT($I13189,6)&lt;&gt;"VACUUM"),"CDU",IF($H13189="FLUID CAT CRACKING","FCC",IF(OR($H13189="HYDROCRACKING",$H13189="RESID_HYDROCRACKING"),"Hydrocracker",IF($H13189="REFORMING","Reformer",""))))</f>
        <v/>
      </c>
    </row>
    <row r="13190" spans="6:7">
      <c r="F13190" s="6">
        <f>IF($M13190="PADD I","PADD 1",IF($M13190="PADD II","PADD 2",IF($M13190="PADD III","PADD 3",IF($M13190="PADD IV","PADD 4",IF($M13190="PADD V","PADD 5","")))))</f>
        <v/>
      </c>
      <c r="G13190" s="6">
        <f>IF(AND($H13190="ATMOS DISTILLATION",ISNUMBER(SEARCH("VPS",$I13190))=FALSE,LEFT($I13190,6)&lt;&gt;"VACUUM"),"CDU",IF($H13190="FLUID CAT CRACKING","FCC",IF(OR($H13190="HYDROCRACKING",$H13190="RESID_HYDROCRACKING"),"Hydrocracker",IF($H13190="REFORMING","Reformer",""))))</f>
        <v/>
      </c>
    </row>
    <row r="13191" spans="6:7">
      <c r="F13191" s="6">
        <f>IF($M13191="PADD I","PADD 1",IF($M13191="PADD II","PADD 2",IF($M13191="PADD III","PADD 3",IF($M13191="PADD IV","PADD 4",IF($M13191="PADD V","PADD 5","")))))</f>
        <v/>
      </c>
      <c r="G13191" s="6">
        <f>IF(AND($H13191="ATMOS DISTILLATION",ISNUMBER(SEARCH("VPS",$I13191))=FALSE,LEFT($I13191,6)&lt;&gt;"VACUUM"),"CDU",IF($H13191="FLUID CAT CRACKING","FCC",IF(OR($H13191="HYDROCRACKING",$H13191="RESID_HYDROCRACKING"),"Hydrocracker",IF($H13191="REFORMING","Reformer",""))))</f>
        <v/>
      </c>
    </row>
    <row r="13192" spans="6:7">
      <c r="F13192" s="6">
        <f>IF($M13192="PADD I","PADD 1",IF($M13192="PADD II","PADD 2",IF($M13192="PADD III","PADD 3",IF($M13192="PADD IV","PADD 4",IF($M13192="PADD V","PADD 5","")))))</f>
        <v/>
      </c>
      <c r="G13192" s="6">
        <f>IF(AND($H13192="ATMOS DISTILLATION",ISNUMBER(SEARCH("VPS",$I13192))=FALSE,LEFT($I13192,6)&lt;&gt;"VACUUM"),"CDU",IF($H13192="FLUID CAT CRACKING","FCC",IF(OR($H13192="HYDROCRACKING",$H13192="RESID_HYDROCRACKING"),"Hydrocracker",IF($H13192="REFORMING","Reformer",""))))</f>
        <v/>
      </c>
    </row>
    <row r="13193" spans="6:7">
      <c r="F13193" s="6">
        <f>IF($M13193="PADD I","PADD 1",IF($M13193="PADD II","PADD 2",IF($M13193="PADD III","PADD 3",IF($M13193="PADD IV","PADD 4",IF($M13193="PADD V","PADD 5","")))))</f>
        <v/>
      </c>
      <c r="G13193" s="6">
        <f>IF(AND($H13193="ATMOS DISTILLATION",ISNUMBER(SEARCH("VPS",$I13193))=FALSE,LEFT($I13193,6)&lt;&gt;"VACUUM"),"CDU",IF($H13193="FLUID CAT CRACKING","FCC",IF(OR($H13193="HYDROCRACKING",$H13193="RESID_HYDROCRACKING"),"Hydrocracker",IF($H13193="REFORMING","Reformer",""))))</f>
        <v/>
      </c>
    </row>
    <row r="13194" spans="6:7">
      <c r="F13194" s="6">
        <f>IF($M13194="PADD I","PADD 1",IF($M13194="PADD II","PADD 2",IF($M13194="PADD III","PADD 3",IF($M13194="PADD IV","PADD 4",IF($M13194="PADD V","PADD 5","")))))</f>
        <v/>
      </c>
      <c r="G13194" s="6">
        <f>IF(AND($H13194="ATMOS DISTILLATION",ISNUMBER(SEARCH("VPS",$I13194))=FALSE,LEFT($I13194,6)&lt;&gt;"VACUUM"),"CDU",IF($H13194="FLUID CAT CRACKING","FCC",IF(OR($H13194="HYDROCRACKING",$H13194="RESID_HYDROCRACKING"),"Hydrocracker",IF($H13194="REFORMING","Reformer",""))))</f>
        <v/>
      </c>
    </row>
    <row r="13195" spans="6:7">
      <c r="F13195" s="6">
        <f>IF($M13195="PADD I","PADD 1",IF($M13195="PADD II","PADD 2",IF($M13195="PADD III","PADD 3",IF($M13195="PADD IV","PADD 4",IF($M13195="PADD V","PADD 5","")))))</f>
        <v/>
      </c>
      <c r="G13195" s="6">
        <f>IF(AND($H13195="ATMOS DISTILLATION",ISNUMBER(SEARCH("VPS",$I13195))=FALSE,LEFT($I13195,6)&lt;&gt;"VACUUM"),"CDU",IF($H13195="FLUID CAT CRACKING","FCC",IF(OR($H13195="HYDROCRACKING",$H13195="RESID_HYDROCRACKING"),"Hydrocracker",IF($H13195="REFORMING","Reformer",""))))</f>
        <v/>
      </c>
    </row>
    <row r="13196" spans="6:7">
      <c r="F13196" s="6">
        <f>IF($M13196="PADD I","PADD 1",IF($M13196="PADD II","PADD 2",IF($M13196="PADD III","PADD 3",IF($M13196="PADD IV","PADD 4",IF($M13196="PADD V","PADD 5","")))))</f>
        <v/>
      </c>
      <c r="G13196" s="6">
        <f>IF(AND($H13196="ATMOS DISTILLATION",ISNUMBER(SEARCH("VPS",$I13196))=FALSE,LEFT($I13196,6)&lt;&gt;"VACUUM"),"CDU",IF($H13196="FLUID CAT CRACKING","FCC",IF(OR($H13196="HYDROCRACKING",$H13196="RESID_HYDROCRACKING"),"Hydrocracker",IF($H13196="REFORMING","Reformer",""))))</f>
        <v/>
      </c>
    </row>
    <row r="13197" spans="6:7">
      <c r="F13197" s="6">
        <f>IF($M13197="PADD I","PADD 1",IF($M13197="PADD II","PADD 2",IF($M13197="PADD III","PADD 3",IF($M13197="PADD IV","PADD 4",IF($M13197="PADD V","PADD 5","")))))</f>
        <v/>
      </c>
      <c r="G13197" s="6">
        <f>IF(AND($H13197="ATMOS DISTILLATION",ISNUMBER(SEARCH("VPS",$I13197))=FALSE,LEFT($I13197,6)&lt;&gt;"VACUUM"),"CDU",IF($H13197="FLUID CAT CRACKING","FCC",IF(OR($H13197="HYDROCRACKING",$H13197="RESID_HYDROCRACKING"),"Hydrocracker",IF($H13197="REFORMING","Reformer",""))))</f>
        <v/>
      </c>
    </row>
    <row r="13198" spans="6:7">
      <c r="F13198" s="6">
        <f>IF($M13198="PADD I","PADD 1",IF($M13198="PADD II","PADD 2",IF($M13198="PADD III","PADD 3",IF($M13198="PADD IV","PADD 4",IF($M13198="PADD V","PADD 5","")))))</f>
        <v/>
      </c>
      <c r="G13198" s="6">
        <f>IF(AND($H13198="ATMOS DISTILLATION",ISNUMBER(SEARCH("VPS",$I13198))=FALSE,LEFT($I13198,6)&lt;&gt;"VACUUM"),"CDU",IF($H13198="FLUID CAT CRACKING","FCC",IF(OR($H13198="HYDROCRACKING",$H13198="RESID_HYDROCRACKING"),"Hydrocracker",IF($H13198="REFORMING","Reformer",""))))</f>
        <v/>
      </c>
    </row>
    <row r="13199" spans="6:7">
      <c r="F13199" s="6">
        <f>IF($M13199="PADD I","PADD 1",IF($M13199="PADD II","PADD 2",IF($M13199="PADD III","PADD 3",IF($M13199="PADD IV","PADD 4",IF($M13199="PADD V","PADD 5","")))))</f>
        <v/>
      </c>
      <c r="G13199" s="6">
        <f>IF(AND($H13199="ATMOS DISTILLATION",ISNUMBER(SEARCH("VPS",$I13199))=FALSE,LEFT($I13199,6)&lt;&gt;"VACUUM"),"CDU",IF($H13199="FLUID CAT CRACKING","FCC",IF(OR($H13199="HYDROCRACKING",$H13199="RESID_HYDROCRACKING"),"Hydrocracker",IF($H13199="REFORMING","Reformer",""))))</f>
        <v/>
      </c>
    </row>
    <row r="13200" spans="6:7">
      <c r="F13200" s="6">
        <f>IF($M13200="PADD I","PADD 1",IF($M13200="PADD II","PADD 2",IF($M13200="PADD III","PADD 3",IF($M13200="PADD IV","PADD 4",IF($M13200="PADD V","PADD 5","")))))</f>
        <v/>
      </c>
      <c r="G13200" s="6">
        <f>IF(AND($H13200="ATMOS DISTILLATION",ISNUMBER(SEARCH("VPS",$I13200))=FALSE,LEFT($I13200,6)&lt;&gt;"VACUUM"),"CDU",IF($H13200="FLUID CAT CRACKING","FCC",IF(OR($H13200="HYDROCRACKING",$H13200="RESID_HYDROCRACKING"),"Hydrocracker",IF($H13200="REFORMING","Reformer",""))))</f>
        <v/>
      </c>
    </row>
    <row r="13201" spans="6:7">
      <c r="F13201" s="6">
        <f>IF($M13201="PADD I","PADD 1",IF($M13201="PADD II","PADD 2",IF($M13201="PADD III","PADD 3",IF($M13201="PADD IV","PADD 4",IF($M13201="PADD V","PADD 5","")))))</f>
        <v/>
      </c>
      <c r="G13201" s="6">
        <f>IF(AND($H13201="ATMOS DISTILLATION",ISNUMBER(SEARCH("VPS",$I13201))=FALSE,LEFT($I13201,6)&lt;&gt;"VACUUM"),"CDU",IF($H13201="FLUID CAT CRACKING","FCC",IF(OR($H13201="HYDROCRACKING",$H13201="RESID_HYDROCRACKING"),"Hydrocracker",IF($H13201="REFORMING","Reformer",""))))</f>
        <v/>
      </c>
    </row>
    <row r="13202" spans="6:7">
      <c r="F13202" s="6">
        <f>IF($M13202="PADD I","PADD 1",IF($M13202="PADD II","PADD 2",IF($M13202="PADD III","PADD 3",IF($M13202="PADD IV","PADD 4",IF($M13202="PADD V","PADD 5","")))))</f>
        <v/>
      </c>
      <c r="G13202" s="6">
        <f>IF(AND($H13202="ATMOS DISTILLATION",ISNUMBER(SEARCH("VPS",$I13202))=FALSE,LEFT($I13202,6)&lt;&gt;"VACUUM"),"CDU",IF($H13202="FLUID CAT CRACKING","FCC",IF(OR($H13202="HYDROCRACKING",$H13202="RESID_HYDROCRACKING"),"Hydrocracker",IF($H13202="REFORMING","Reformer",""))))</f>
        <v/>
      </c>
    </row>
    <row r="13203" spans="6:7">
      <c r="F13203" s="6">
        <f>IF($M13203="PADD I","PADD 1",IF($M13203="PADD II","PADD 2",IF($M13203="PADD III","PADD 3",IF($M13203="PADD IV","PADD 4",IF($M13203="PADD V","PADD 5","")))))</f>
        <v/>
      </c>
      <c r="G13203" s="6">
        <f>IF(AND($H13203="ATMOS DISTILLATION",ISNUMBER(SEARCH("VPS",$I13203))=FALSE,LEFT($I13203,6)&lt;&gt;"VACUUM"),"CDU",IF($H13203="FLUID CAT CRACKING","FCC",IF(OR($H13203="HYDROCRACKING",$H13203="RESID_HYDROCRACKING"),"Hydrocracker",IF($H13203="REFORMING","Reformer",""))))</f>
        <v/>
      </c>
    </row>
    <row r="13204" spans="6:7">
      <c r="F13204" s="6">
        <f>IF($M13204="PADD I","PADD 1",IF($M13204="PADD II","PADD 2",IF($M13204="PADD III","PADD 3",IF($M13204="PADD IV","PADD 4",IF($M13204="PADD V","PADD 5","")))))</f>
        <v/>
      </c>
      <c r="G13204" s="6">
        <f>IF(AND($H13204="ATMOS DISTILLATION",ISNUMBER(SEARCH("VPS",$I13204))=FALSE,LEFT($I13204,6)&lt;&gt;"VACUUM"),"CDU",IF($H13204="FLUID CAT CRACKING","FCC",IF(OR($H13204="HYDROCRACKING",$H13204="RESID_HYDROCRACKING"),"Hydrocracker",IF($H13204="REFORMING","Reformer",""))))</f>
        <v/>
      </c>
    </row>
    <row r="13205" spans="6:7">
      <c r="F13205" s="6">
        <f>IF($M13205="PADD I","PADD 1",IF($M13205="PADD II","PADD 2",IF($M13205="PADD III","PADD 3",IF($M13205="PADD IV","PADD 4",IF($M13205="PADD V","PADD 5","")))))</f>
        <v/>
      </c>
      <c r="G13205" s="6">
        <f>IF(AND($H13205="ATMOS DISTILLATION",ISNUMBER(SEARCH("VPS",$I13205))=FALSE,LEFT($I13205,6)&lt;&gt;"VACUUM"),"CDU",IF($H13205="FLUID CAT CRACKING","FCC",IF(OR($H13205="HYDROCRACKING",$H13205="RESID_HYDROCRACKING"),"Hydrocracker",IF($H13205="REFORMING","Reformer",""))))</f>
        <v/>
      </c>
    </row>
    <row r="13206" spans="6:7">
      <c r="F13206" s="6">
        <f>IF($M13206="PADD I","PADD 1",IF($M13206="PADD II","PADD 2",IF($M13206="PADD III","PADD 3",IF($M13206="PADD IV","PADD 4",IF($M13206="PADD V","PADD 5","")))))</f>
        <v/>
      </c>
      <c r="G13206" s="6">
        <f>IF(AND($H13206="ATMOS DISTILLATION",ISNUMBER(SEARCH("VPS",$I13206))=FALSE,LEFT($I13206,6)&lt;&gt;"VACUUM"),"CDU",IF($H13206="FLUID CAT CRACKING","FCC",IF(OR($H13206="HYDROCRACKING",$H13206="RESID_HYDROCRACKING"),"Hydrocracker",IF($H13206="REFORMING","Reformer",""))))</f>
        <v/>
      </c>
    </row>
    <row r="13207" spans="6:7">
      <c r="F13207" s="6">
        <f>IF($M13207="PADD I","PADD 1",IF($M13207="PADD II","PADD 2",IF($M13207="PADD III","PADD 3",IF($M13207="PADD IV","PADD 4",IF($M13207="PADD V","PADD 5","")))))</f>
        <v/>
      </c>
      <c r="G13207" s="6">
        <f>IF(AND($H13207="ATMOS DISTILLATION",ISNUMBER(SEARCH("VPS",$I13207))=FALSE,LEFT($I13207,6)&lt;&gt;"VACUUM"),"CDU",IF($H13207="FLUID CAT CRACKING","FCC",IF(OR($H13207="HYDROCRACKING",$H13207="RESID_HYDROCRACKING"),"Hydrocracker",IF($H13207="REFORMING","Reformer",""))))</f>
        <v/>
      </c>
    </row>
    <row r="13208" spans="6:7">
      <c r="F13208" s="6">
        <f>IF($M13208="PADD I","PADD 1",IF($M13208="PADD II","PADD 2",IF($M13208="PADD III","PADD 3",IF($M13208="PADD IV","PADD 4",IF($M13208="PADD V","PADD 5","")))))</f>
        <v/>
      </c>
      <c r="G13208" s="6">
        <f>IF(AND($H13208="ATMOS DISTILLATION",ISNUMBER(SEARCH("VPS",$I13208))=FALSE,LEFT($I13208,6)&lt;&gt;"VACUUM"),"CDU",IF($H13208="FLUID CAT CRACKING","FCC",IF(OR($H13208="HYDROCRACKING",$H13208="RESID_HYDROCRACKING"),"Hydrocracker",IF($H13208="REFORMING","Reformer",""))))</f>
        <v/>
      </c>
    </row>
    <row r="13209" spans="6:7">
      <c r="F13209" s="6">
        <f>IF($M13209="PADD I","PADD 1",IF($M13209="PADD II","PADD 2",IF($M13209="PADD III","PADD 3",IF($M13209="PADD IV","PADD 4",IF($M13209="PADD V","PADD 5","")))))</f>
        <v/>
      </c>
      <c r="G13209" s="6">
        <f>IF(AND($H13209="ATMOS DISTILLATION",ISNUMBER(SEARCH("VPS",$I13209))=FALSE,LEFT($I13209,6)&lt;&gt;"VACUUM"),"CDU",IF($H13209="FLUID CAT CRACKING","FCC",IF(OR($H13209="HYDROCRACKING",$H13209="RESID_HYDROCRACKING"),"Hydrocracker",IF($H13209="REFORMING","Reformer",""))))</f>
        <v/>
      </c>
    </row>
    <row r="13210" spans="6:7">
      <c r="F13210" s="6">
        <f>IF($M13210="PADD I","PADD 1",IF($M13210="PADD II","PADD 2",IF($M13210="PADD III","PADD 3",IF($M13210="PADD IV","PADD 4",IF($M13210="PADD V","PADD 5","")))))</f>
        <v/>
      </c>
      <c r="G13210" s="6">
        <f>IF(AND($H13210="ATMOS DISTILLATION",ISNUMBER(SEARCH("VPS",$I13210))=FALSE,LEFT($I13210,6)&lt;&gt;"VACUUM"),"CDU",IF($H13210="FLUID CAT CRACKING","FCC",IF(OR($H13210="HYDROCRACKING",$H13210="RESID_HYDROCRACKING"),"Hydrocracker",IF($H13210="REFORMING","Reformer",""))))</f>
        <v/>
      </c>
    </row>
    <row r="13211" spans="6:7">
      <c r="F13211" s="6">
        <f>IF($M13211="PADD I","PADD 1",IF($M13211="PADD II","PADD 2",IF($M13211="PADD III","PADD 3",IF($M13211="PADD IV","PADD 4",IF($M13211="PADD V","PADD 5","")))))</f>
        <v/>
      </c>
      <c r="G13211" s="6">
        <f>IF(AND($H13211="ATMOS DISTILLATION",ISNUMBER(SEARCH("VPS",$I13211))=FALSE,LEFT($I13211,6)&lt;&gt;"VACUUM"),"CDU",IF($H13211="FLUID CAT CRACKING","FCC",IF(OR($H13211="HYDROCRACKING",$H13211="RESID_HYDROCRACKING"),"Hydrocracker",IF($H13211="REFORMING","Reformer",""))))</f>
        <v/>
      </c>
    </row>
    <row r="13212" spans="6:7">
      <c r="F13212" s="6">
        <f>IF($M13212="PADD I","PADD 1",IF($M13212="PADD II","PADD 2",IF($M13212="PADD III","PADD 3",IF($M13212="PADD IV","PADD 4",IF($M13212="PADD V","PADD 5","")))))</f>
        <v/>
      </c>
      <c r="G13212" s="6">
        <f>IF(AND($H13212="ATMOS DISTILLATION",ISNUMBER(SEARCH("VPS",$I13212))=FALSE,LEFT($I13212,6)&lt;&gt;"VACUUM"),"CDU",IF($H13212="FLUID CAT CRACKING","FCC",IF(OR($H13212="HYDROCRACKING",$H13212="RESID_HYDROCRACKING"),"Hydrocracker",IF($H13212="REFORMING","Reformer",""))))</f>
        <v/>
      </c>
    </row>
    <row r="13213" spans="6:7">
      <c r="F13213" s="6">
        <f>IF($M13213="PADD I","PADD 1",IF($M13213="PADD II","PADD 2",IF($M13213="PADD III","PADD 3",IF($M13213="PADD IV","PADD 4",IF($M13213="PADD V","PADD 5","")))))</f>
        <v/>
      </c>
      <c r="G13213" s="6">
        <f>IF(AND($H13213="ATMOS DISTILLATION",ISNUMBER(SEARCH("VPS",$I13213))=FALSE,LEFT($I13213,6)&lt;&gt;"VACUUM"),"CDU",IF($H13213="FLUID CAT CRACKING","FCC",IF(OR($H13213="HYDROCRACKING",$H13213="RESID_HYDROCRACKING"),"Hydrocracker",IF($H13213="REFORMING","Reformer",""))))</f>
        <v/>
      </c>
    </row>
    <row r="13214" spans="6:7">
      <c r="F13214" s="6">
        <f>IF($M13214="PADD I","PADD 1",IF($M13214="PADD II","PADD 2",IF($M13214="PADD III","PADD 3",IF($M13214="PADD IV","PADD 4",IF($M13214="PADD V","PADD 5","")))))</f>
        <v/>
      </c>
      <c r="G13214" s="6">
        <f>IF(AND($H13214="ATMOS DISTILLATION",ISNUMBER(SEARCH("VPS",$I13214))=FALSE,LEFT($I13214,6)&lt;&gt;"VACUUM"),"CDU",IF($H13214="FLUID CAT CRACKING","FCC",IF(OR($H13214="HYDROCRACKING",$H13214="RESID_HYDROCRACKING"),"Hydrocracker",IF($H13214="REFORMING","Reformer",""))))</f>
        <v/>
      </c>
    </row>
    <row r="13215" spans="6:7">
      <c r="F13215" s="6">
        <f>IF($M13215="PADD I","PADD 1",IF($M13215="PADD II","PADD 2",IF($M13215="PADD III","PADD 3",IF($M13215="PADD IV","PADD 4",IF($M13215="PADD V","PADD 5","")))))</f>
        <v/>
      </c>
      <c r="G13215" s="6">
        <f>IF(AND($H13215="ATMOS DISTILLATION",ISNUMBER(SEARCH("VPS",$I13215))=FALSE,LEFT($I13215,6)&lt;&gt;"VACUUM"),"CDU",IF($H13215="FLUID CAT CRACKING","FCC",IF(OR($H13215="HYDROCRACKING",$H13215="RESID_HYDROCRACKING"),"Hydrocracker",IF($H13215="REFORMING","Reformer",""))))</f>
        <v/>
      </c>
    </row>
    <row r="13216" spans="6:7">
      <c r="F13216" s="6">
        <f>IF($M13216="PADD I","PADD 1",IF($M13216="PADD II","PADD 2",IF($M13216="PADD III","PADD 3",IF($M13216="PADD IV","PADD 4",IF($M13216="PADD V","PADD 5","")))))</f>
        <v/>
      </c>
      <c r="G13216" s="6">
        <f>IF(AND($H13216="ATMOS DISTILLATION",ISNUMBER(SEARCH("VPS",$I13216))=FALSE,LEFT($I13216,6)&lt;&gt;"VACUUM"),"CDU",IF($H13216="FLUID CAT CRACKING","FCC",IF(OR($H13216="HYDROCRACKING",$H13216="RESID_HYDROCRACKING"),"Hydrocracker",IF($H13216="REFORMING","Reformer",""))))</f>
        <v/>
      </c>
    </row>
    <row r="13217" spans="6:7">
      <c r="F13217" s="6">
        <f>IF($M13217="PADD I","PADD 1",IF($M13217="PADD II","PADD 2",IF($M13217="PADD III","PADD 3",IF($M13217="PADD IV","PADD 4",IF($M13217="PADD V","PADD 5","")))))</f>
        <v/>
      </c>
      <c r="G13217" s="6">
        <f>IF(AND($H13217="ATMOS DISTILLATION",ISNUMBER(SEARCH("VPS",$I13217))=FALSE,LEFT($I13217,6)&lt;&gt;"VACUUM"),"CDU",IF($H13217="FLUID CAT CRACKING","FCC",IF(OR($H13217="HYDROCRACKING",$H13217="RESID_HYDROCRACKING"),"Hydrocracker",IF($H13217="REFORMING","Reformer",""))))</f>
        <v/>
      </c>
    </row>
    <row r="13218" spans="6:7">
      <c r="F13218" s="6">
        <f>IF($M13218="PADD I","PADD 1",IF($M13218="PADD II","PADD 2",IF($M13218="PADD III","PADD 3",IF($M13218="PADD IV","PADD 4",IF($M13218="PADD V","PADD 5","")))))</f>
        <v/>
      </c>
      <c r="G13218" s="6">
        <f>IF(AND($H13218="ATMOS DISTILLATION",ISNUMBER(SEARCH("VPS",$I13218))=FALSE,LEFT($I13218,6)&lt;&gt;"VACUUM"),"CDU",IF($H13218="FLUID CAT CRACKING","FCC",IF(OR($H13218="HYDROCRACKING",$H13218="RESID_HYDROCRACKING"),"Hydrocracker",IF($H13218="REFORMING","Reformer",""))))</f>
        <v/>
      </c>
    </row>
    <row r="13219" spans="6:7">
      <c r="F13219" s="6">
        <f>IF($M13219="PADD I","PADD 1",IF($M13219="PADD II","PADD 2",IF($M13219="PADD III","PADD 3",IF($M13219="PADD IV","PADD 4",IF($M13219="PADD V","PADD 5","")))))</f>
        <v/>
      </c>
      <c r="G13219" s="6">
        <f>IF(AND($H13219="ATMOS DISTILLATION",ISNUMBER(SEARCH("VPS",$I13219))=FALSE,LEFT($I13219,6)&lt;&gt;"VACUUM"),"CDU",IF($H13219="FLUID CAT CRACKING","FCC",IF(OR($H13219="HYDROCRACKING",$H13219="RESID_HYDROCRACKING"),"Hydrocracker",IF($H13219="REFORMING","Reformer",""))))</f>
        <v/>
      </c>
    </row>
    <row r="13220" spans="6:7">
      <c r="F13220" s="6">
        <f>IF($M13220="PADD I","PADD 1",IF($M13220="PADD II","PADD 2",IF($M13220="PADD III","PADD 3",IF($M13220="PADD IV","PADD 4",IF($M13220="PADD V","PADD 5","")))))</f>
        <v/>
      </c>
      <c r="G13220" s="6">
        <f>IF(AND($H13220="ATMOS DISTILLATION",ISNUMBER(SEARCH("VPS",$I13220))=FALSE,LEFT($I13220,6)&lt;&gt;"VACUUM"),"CDU",IF($H13220="FLUID CAT CRACKING","FCC",IF(OR($H13220="HYDROCRACKING",$H13220="RESID_HYDROCRACKING"),"Hydrocracker",IF($H13220="REFORMING","Reformer",""))))</f>
        <v/>
      </c>
    </row>
    <row r="13221" spans="6:7">
      <c r="F13221" s="6">
        <f>IF($M13221="PADD I","PADD 1",IF($M13221="PADD II","PADD 2",IF($M13221="PADD III","PADD 3",IF($M13221="PADD IV","PADD 4",IF($M13221="PADD V","PADD 5","")))))</f>
        <v/>
      </c>
      <c r="G13221" s="6">
        <f>IF(AND($H13221="ATMOS DISTILLATION",ISNUMBER(SEARCH("VPS",$I13221))=FALSE,LEFT($I13221,6)&lt;&gt;"VACUUM"),"CDU",IF($H13221="FLUID CAT CRACKING","FCC",IF(OR($H13221="HYDROCRACKING",$H13221="RESID_HYDROCRACKING"),"Hydrocracker",IF($H13221="REFORMING","Reformer",""))))</f>
        <v/>
      </c>
    </row>
    <row r="13222" spans="6:7">
      <c r="F13222" s="6">
        <f>IF($M13222="PADD I","PADD 1",IF($M13222="PADD II","PADD 2",IF($M13222="PADD III","PADD 3",IF($M13222="PADD IV","PADD 4",IF($M13222="PADD V","PADD 5","")))))</f>
        <v/>
      </c>
      <c r="G13222" s="6">
        <f>IF(AND($H13222="ATMOS DISTILLATION",ISNUMBER(SEARCH("VPS",$I13222))=FALSE,LEFT($I13222,6)&lt;&gt;"VACUUM"),"CDU",IF($H13222="FLUID CAT CRACKING","FCC",IF(OR($H13222="HYDROCRACKING",$H13222="RESID_HYDROCRACKING"),"Hydrocracker",IF($H13222="REFORMING","Reformer",""))))</f>
        <v/>
      </c>
    </row>
    <row r="13223" spans="6:7">
      <c r="F13223" s="6">
        <f>IF($M13223="PADD I","PADD 1",IF($M13223="PADD II","PADD 2",IF($M13223="PADD III","PADD 3",IF($M13223="PADD IV","PADD 4",IF($M13223="PADD V","PADD 5","")))))</f>
        <v/>
      </c>
      <c r="G13223" s="6">
        <f>IF(AND($H13223="ATMOS DISTILLATION",ISNUMBER(SEARCH("VPS",$I13223))=FALSE,LEFT($I13223,6)&lt;&gt;"VACUUM"),"CDU",IF($H13223="FLUID CAT CRACKING","FCC",IF(OR($H13223="HYDROCRACKING",$H13223="RESID_HYDROCRACKING"),"Hydrocracker",IF($H13223="REFORMING","Reformer",""))))</f>
        <v/>
      </c>
    </row>
    <row r="13224" spans="6:7">
      <c r="F13224" s="6">
        <f>IF($M13224="PADD I","PADD 1",IF($M13224="PADD II","PADD 2",IF($M13224="PADD III","PADD 3",IF($M13224="PADD IV","PADD 4",IF($M13224="PADD V","PADD 5","")))))</f>
        <v/>
      </c>
      <c r="G13224" s="6">
        <f>IF(AND($H13224="ATMOS DISTILLATION",ISNUMBER(SEARCH("VPS",$I13224))=FALSE,LEFT($I13224,6)&lt;&gt;"VACUUM"),"CDU",IF($H13224="FLUID CAT CRACKING","FCC",IF(OR($H13224="HYDROCRACKING",$H13224="RESID_HYDROCRACKING"),"Hydrocracker",IF($H13224="REFORMING","Reformer",""))))</f>
        <v/>
      </c>
    </row>
    <row r="13225" spans="6:7">
      <c r="F13225" s="6">
        <f>IF($M13225="PADD I","PADD 1",IF($M13225="PADD II","PADD 2",IF($M13225="PADD III","PADD 3",IF($M13225="PADD IV","PADD 4",IF($M13225="PADD V","PADD 5","")))))</f>
        <v/>
      </c>
      <c r="G13225" s="6">
        <f>IF(AND($H13225="ATMOS DISTILLATION",ISNUMBER(SEARCH("VPS",$I13225))=FALSE,LEFT($I13225,6)&lt;&gt;"VACUUM"),"CDU",IF($H13225="FLUID CAT CRACKING","FCC",IF(OR($H13225="HYDROCRACKING",$H13225="RESID_HYDROCRACKING"),"Hydrocracker",IF($H13225="REFORMING","Reformer",""))))</f>
        <v/>
      </c>
    </row>
    <row r="13226" spans="6:7">
      <c r="F13226" s="6">
        <f>IF($M13226="PADD I","PADD 1",IF($M13226="PADD II","PADD 2",IF($M13226="PADD III","PADD 3",IF($M13226="PADD IV","PADD 4",IF($M13226="PADD V","PADD 5","")))))</f>
        <v/>
      </c>
      <c r="G13226" s="6">
        <f>IF(AND($H13226="ATMOS DISTILLATION",ISNUMBER(SEARCH("VPS",$I13226))=FALSE,LEFT($I13226,6)&lt;&gt;"VACUUM"),"CDU",IF($H13226="FLUID CAT CRACKING","FCC",IF(OR($H13226="HYDROCRACKING",$H13226="RESID_HYDROCRACKING"),"Hydrocracker",IF($H13226="REFORMING","Reformer",""))))</f>
        <v/>
      </c>
    </row>
    <row r="13227" spans="6:7">
      <c r="F13227" s="6">
        <f>IF($M13227="PADD I","PADD 1",IF($M13227="PADD II","PADD 2",IF($M13227="PADD III","PADD 3",IF($M13227="PADD IV","PADD 4",IF($M13227="PADD V","PADD 5","")))))</f>
        <v/>
      </c>
      <c r="G13227" s="6">
        <f>IF(AND($H13227="ATMOS DISTILLATION",ISNUMBER(SEARCH("VPS",$I13227))=FALSE,LEFT($I13227,6)&lt;&gt;"VACUUM"),"CDU",IF($H13227="FLUID CAT CRACKING","FCC",IF(OR($H13227="HYDROCRACKING",$H13227="RESID_HYDROCRACKING"),"Hydrocracker",IF($H13227="REFORMING","Reformer",""))))</f>
        <v/>
      </c>
    </row>
    <row r="13228" spans="6:7">
      <c r="F13228" s="6">
        <f>IF($M13228="PADD I","PADD 1",IF($M13228="PADD II","PADD 2",IF($M13228="PADD III","PADD 3",IF($M13228="PADD IV","PADD 4",IF($M13228="PADD V","PADD 5","")))))</f>
        <v/>
      </c>
      <c r="G13228" s="6">
        <f>IF(AND($H13228="ATMOS DISTILLATION",ISNUMBER(SEARCH("VPS",$I13228))=FALSE,LEFT($I13228,6)&lt;&gt;"VACUUM"),"CDU",IF($H13228="FLUID CAT CRACKING","FCC",IF(OR($H13228="HYDROCRACKING",$H13228="RESID_HYDROCRACKING"),"Hydrocracker",IF($H13228="REFORMING","Reformer",""))))</f>
        <v/>
      </c>
    </row>
    <row r="13229" spans="6:7">
      <c r="F13229" s="6">
        <f>IF($M13229="PADD I","PADD 1",IF($M13229="PADD II","PADD 2",IF($M13229="PADD III","PADD 3",IF($M13229="PADD IV","PADD 4",IF($M13229="PADD V","PADD 5","")))))</f>
        <v/>
      </c>
      <c r="G13229" s="6">
        <f>IF(AND($H13229="ATMOS DISTILLATION",ISNUMBER(SEARCH("VPS",$I13229))=FALSE,LEFT($I13229,6)&lt;&gt;"VACUUM"),"CDU",IF($H13229="FLUID CAT CRACKING","FCC",IF(OR($H13229="HYDROCRACKING",$H13229="RESID_HYDROCRACKING"),"Hydrocracker",IF($H13229="REFORMING","Reformer",""))))</f>
        <v/>
      </c>
    </row>
    <row r="13230" spans="6:7">
      <c r="F13230" s="6">
        <f>IF($M13230="PADD I","PADD 1",IF($M13230="PADD II","PADD 2",IF($M13230="PADD III","PADD 3",IF($M13230="PADD IV","PADD 4",IF($M13230="PADD V","PADD 5","")))))</f>
        <v/>
      </c>
      <c r="G13230" s="6">
        <f>IF(AND($H13230="ATMOS DISTILLATION",ISNUMBER(SEARCH("VPS",$I13230))=FALSE,LEFT($I13230,6)&lt;&gt;"VACUUM"),"CDU",IF($H13230="FLUID CAT CRACKING","FCC",IF(OR($H13230="HYDROCRACKING",$H13230="RESID_HYDROCRACKING"),"Hydrocracker",IF($H13230="REFORMING","Reformer",""))))</f>
        <v/>
      </c>
    </row>
    <row r="13231" spans="6:7">
      <c r="F13231" s="6">
        <f>IF($M13231="PADD I","PADD 1",IF($M13231="PADD II","PADD 2",IF($M13231="PADD III","PADD 3",IF($M13231="PADD IV","PADD 4",IF($M13231="PADD V","PADD 5","")))))</f>
        <v/>
      </c>
      <c r="G13231" s="6">
        <f>IF(AND($H13231="ATMOS DISTILLATION",ISNUMBER(SEARCH("VPS",$I13231))=FALSE,LEFT($I13231,6)&lt;&gt;"VACUUM"),"CDU",IF($H13231="FLUID CAT CRACKING","FCC",IF(OR($H13231="HYDROCRACKING",$H13231="RESID_HYDROCRACKING"),"Hydrocracker",IF($H13231="REFORMING","Reformer",""))))</f>
        <v/>
      </c>
    </row>
    <row r="13232" spans="6:7">
      <c r="F13232" s="6">
        <f>IF($M13232="PADD I","PADD 1",IF($M13232="PADD II","PADD 2",IF($M13232="PADD III","PADD 3",IF($M13232="PADD IV","PADD 4",IF($M13232="PADD V","PADD 5","")))))</f>
        <v/>
      </c>
      <c r="G13232" s="6">
        <f>IF(AND($H13232="ATMOS DISTILLATION",ISNUMBER(SEARCH("VPS",$I13232))=FALSE,LEFT($I13232,6)&lt;&gt;"VACUUM"),"CDU",IF($H13232="FLUID CAT CRACKING","FCC",IF(OR($H13232="HYDROCRACKING",$H13232="RESID_HYDROCRACKING"),"Hydrocracker",IF($H13232="REFORMING","Reformer",""))))</f>
        <v/>
      </c>
    </row>
    <row r="13233" spans="6:7">
      <c r="F13233" s="6">
        <f>IF($M13233="PADD I","PADD 1",IF($M13233="PADD II","PADD 2",IF($M13233="PADD III","PADD 3",IF($M13233="PADD IV","PADD 4",IF($M13233="PADD V","PADD 5","")))))</f>
        <v/>
      </c>
      <c r="G13233" s="6">
        <f>IF(AND($H13233="ATMOS DISTILLATION",ISNUMBER(SEARCH("VPS",$I13233))=FALSE,LEFT($I13233,6)&lt;&gt;"VACUUM"),"CDU",IF($H13233="FLUID CAT CRACKING","FCC",IF(OR($H13233="HYDROCRACKING",$H13233="RESID_HYDROCRACKING"),"Hydrocracker",IF($H13233="REFORMING","Reformer",""))))</f>
        <v/>
      </c>
    </row>
    <row r="13234" spans="6:7">
      <c r="F13234" s="6">
        <f>IF($M13234="PADD I","PADD 1",IF($M13234="PADD II","PADD 2",IF($M13234="PADD III","PADD 3",IF($M13234="PADD IV","PADD 4",IF($M13234="PADD V","PADD 5","")))))</f>
        <v/>
      </c>
      <c r="G13234" s="6">
        <f>IF(AND($H13234="ATMOS DISTILLATION",ISNUMBER(SEARCH("VPS",$I13234))=FALSE,LEFT($I13234,6)&lt;&gt;"VACUUM"),"CDU",IF($H13234="FLUID CAT CRACKING","FCC",IF(OR($H13234="HYDROCRACKING",$H13234="RESID_HYDROCRACKING"),"Hydrocracker",IF($H13234="REFORMING","Reformer",""))))</f>
        <v/>
      </c>
    </row>
    <row r="13235" spans="6:7">
      <c r="F13235" s="6">
        <f>IF($M13235="PADD I","PADD 1",IF($M13235="PADD II","PADD 2",IF($M13235="PADD III","PADD 3",IF($M13235="PADD IV","PADD 4",IF($M13235="PADD V","PADD 5","")))))</f>
        <v/>
      </c>
      <c r="G13235" s="6">
        <f>IF(AND($H13235="ATMOS DISTILLATION",ISNUMBER(SEARCH("VPS",$I13235))=FALSE,LEFT($I13235,6)&lt;&gt;"VACUUM"),"CDU",IF($H13235="FLUID CAT CRACKING","FCC",IF(OR($H13235="HYDROCRACKING",$H13235="RESID_HYDROCRACKING"),"Hydrocracker",IF($H13235="REFORMING","Reformer",""))))</f>
        <v/>
      </c>
    </row>
    <row r="13236" spans="6:7">
      <c r="F13236" s="6">
        <f>IF($M13236="PADD I","PADD 1",IF($M13236="PADD II","PADD 2",IF($M13236="PADD III","PADD 3",IF($M13236="PADD IV","PADD 4",IF($M13236="PADD V","PADD 5","")))))</f>
        <v/>
      </c>
      <c r="G13236" s="6">
        <f>IF(AND($H13236="ATMOS DISTILLATION",ISNUMBER(SEARCH("VPS",$I13236))=FALSE,LEFT($I13236,6)&lt;&gt;"VACUUM"),"CDU",IF($H13236="FLUID CAT CRACKING","FCC",IF(OR($H13236="HYDROCRACKING",$H13236="RESID_HYDROCRACKING"),"Hydrocracker",IF($H13236="REFORMING","Reformer",""))))</f>
        <v/>
      </c>
    </row>
    <row r="13237" spans="6:7">
      <c r="F13237" s="6">
        <f>IF($M13237="PADD I","PADD 1",IF($M13237="PADD II","PADD 2",IF($M13237="PADD III","PADD 3",IF($M13237="PADD IV","PADD 4",IF($M13237="PADD V","PADD 5","")))))</f>
        <v/>
      </c>
      <c r="G13237" s="6">
        <f>IF(AND($H13237="ATMOS DISTILLATION",ISNUMBER(SEARCH("VPS",$I13237))=FALSE,LEFT($I13237,6)&lt;&gt;"VACUUM"),"CDU",IF($H13237="FLUID CAT CRACKING","FCC",IF(OR($H13237="HYDROCRACKING",$H13237="RESID_HYDROCRACKING"),"Hydrocracker",IF($H13237="REFORMING","Reformer",""))))</f>
        <v/>
      </c>
    </row>
    <row r="13238" spans="6:7">
      <c r="F13238" s="6">
        <f>IF($M13238="PADD I","PADD 1",IF($M13238="PADD II","PADD 2",IF($M13238="PADD III","PADD 3",IF($M13238="PADD IV","PADD 4",IF($M13238="PADD V","PADD 5","")))))</f>
        <v/>
      </c>
      <c r="G13238" s="6">
        <f>IF(AND($H13238="ATMOS DISTILLATION",ISNUMBER(SEARCH("VPS",$I13238))=FALSE,LEFT($I13238,6)&lt;&gt;"VACUUM"),"CDU",IF($H13238="FLUID CAT CRACKING","FCC",IF(OR($H13238="HYDROCRACKING",$H13238="RESID_HYDROCRACKING"),"Hydrocracker",IF($H13238="REFORMING","Reformer",""))))</f>
        <v/>
      </c>
    </row>
    <row r="13239" spans="6:7">
      <c r="F13239" s="6">
        <f>IF($M13239="PADD I","PADD 1",IF($M13239="PADD II","PADD 2",IF($M13239="PADD III","PADD 3",IF($M13239="PADD IV","PADD 4",IF($M13239="PADD V","PADD 5","")))))</f>
        <v/>
      </c>
      <c r="G13239" s="6">
        <f>IF(AND($H13239="ATMOS DISTILLATION",ISNUMBER(SEARCH("VPS",$I13239))=FALSE,LEFT($I13239,6)&lt;&gt;"VACUUM"),"CDU",IF($H13239="FLUID CAT CRACKING","FCC",IF(OR($H13239="HYDROCRACKING",$H13239="RESID_HYDROCRACKING"),"Hydrocracker",IF($H13239="REFORMING","Reformer",""))))</f>
        <v/>
      </c>
    </row>
    <row r="13240" spans="6:7">
      <c r="F13240" s="6">
        <f>IF($M13240="PADD I","PADD 1",IF($M13240="PADD II","PADD 2",IF($M13240="PADD III","PADD 3",IF($M13240="PADD IV","PADD 4",IF($M13240="PADD V","PADD 5","")))))</f>
        <v/>
      </c>
      <c r="G13240" s="6">
        <f>IF(AND($H13240="ATMOS DISTILLATION",ISNUMBER(SEARCH("VPS",$I13240))=FALSE,LEFT($I13240,6)&lt;&gt;"VACUUM"),"CDU",IF($H13240="FLUID CAT CRACKING","FCC",IF(OR($H13240="HYDROCRACKING",$H13240="RESID_HYDROCRACKING"),"Hydrocracker",IF($H13240="REFORMING","Reformer",""))))</f>
        <v/>
      </c>
    </row>
    <row r="13241" spans="6:7">
      <c r="F13241" s="6">
        <f>IF($M13241="PADD I","PADD 1",IF($M13241="PADD II","PADD 2",IF($M13241="PADD III","PADD 3",IF($M13241="PADD IV","PADD 4",IF($M13241="PADD V","PADD 5","")))))</f>
        <v/>
      </c>
      <c r="G13241" s="6">
        <f>IF(AND($H13241="ATMOS DISTILLATION",ISNUMBER(SEARCH("VPS",$I13241))=FALSE,LEFT($I13241,6)&lt;&gt;"VACUUM"),"CDU",IF($H13241="FLUID CAT CRACKING","FCC",IF(OR($H13241="HYDROCRACKING",$H13241="RESID_HYDROCRACKING"),"Hydrocracker",IF($H13241="REFORMING","Reformer",""))))</f>
        <v/>
      </c>
    </row>
    <row r="13242" spans="6:7">
      <c r="F13242" s="6">
        <f>IF($M13242="PADD I","PADD 1",IF($M13242="PADD II","PADD 2",IF($M13242="PADD III","PADD 3",IF($M13242="PADD IV","PADD 4",IF($M13242="PADD V","PADD 5","")))))</f>
        <v/>
      </c>
      <c r="G13242" s="6">
        <f>IF(AND($H13242="ATMOS DISTILLATION",ISNUMBER(SEARCH("VPS",$I13242))=FALSE,LEFT($I13242,6)&lt;&gt;"VACUUM"),"CDU",IF($H13242="FLUID CAT CRACKING","FCC",IF(OR($H13242="HYDROCRACKING",$H13242="RESID_HYDROCRACKING"),"Hydrocracker",IF($H13242="REFORMING","Reformer",""))))</f>
        <v/>
      </c>
    </row>
    <row r="13243" spans="6:7">
      <c r="F13243" s="6">
        <f>IF($M13243="PADD I","PADD 1",IF($M13243="PADD II","PADD 2",IF($M13243="PADD III","PADD 3",IF($M13243="PADD IV","PADD 4",IF($M13243="PADD V","PADD 5","")))))</f>
        <v/>
      </c>
      <c r="G13243" s="6">
        <f>IF(AND($H13243="ATMOS DISTILLATION",ISNUMBER(SEARCH("VPS",$I13243))=FALSE,LEFT($I13243,6)&lt;&gt;"VACUUM"),"CDU",IF($H13243="FLUID CAT CRACKING","FCC",IF(OR($H13243="HYDROCRACKING",$H13243="RESID_HYDROCRACKING"),"Hydrocracker",IF($H13243="REFORMING","Reformer",""))))</f>
        <v/>
      </c>
    </row>
    <row r="13244" spans="6:7">
      <c r="F13244" s="6">
        <f>IF($M13244="PADD I","PADD 1",IF($M13244="PADD II","PADD 2",IF($M13244="PADD III","PADD 3",IF($M13244="PADD IV","PADD 4",IF($M13244="PADD V","PADD 5","")))))</f>
        <v/>
      </c>
      <c r="G13244" s="6">
        <f>IF(AND($H13244="ATMOS DISTILLATION",ISNUMBER(SEARCH("VPS",$I13244))=FALSE,LEFT($I13244,6)&lt;&gt;"VACUUM"),"CDU",IF($H13244="FLUID CAT CRACKING","FCC",IF(OR($H13244="HYDROCRACKING",$H13244="RESID_HYDROCRACKING"),"Hydrocracker",IF($H13244="REFORMING","Reformer",""))))</f>
        <v/>
      </c>
    </row>
    <row r="13245" spans="6:7">
      <c r="F13245" s="6">
        <f>IF($M13245="PADD I","PADD 1",IF($M13245="PADD II","PADD 2",IF($M13245="PADD III","PADD 3",IF($M13245="PADD IV","PADD 4",IF($M13245="PADD V","PADD 5","")))))</f>
        <v/>
      </c>
      <c r="G13245" s="6">
        <f>IF(AND($H13245="ATMOS DISTILLATION",ISNUMBER(SEARCH("VPS",$I13245))=FALSE,LEFT($I13245,6)&lt;&gt;"VACUUM"),"CDU",IF($H13245="FLUID CAT CRACKING","FCC",IF(OR($H13245="HYDROCRACKING",$H13245="RESID_HYDROCRACKING"),"Hydrocracker",IF($H13245="REFORMING","Reformer",""))))</f>
        <v/>
      </c>
    </row>
    <row r="13246" spans="6:7">
      <c r="F13246" s="6">
        <f>IF($M13246="PADD I","PADD 1",IF($M13246="PADD II","PADD 2",IF($M13246="PADD III","PADD 3",IF($M13246="PADD IV","PADD 4",IF($M13246="PADD V","PADD 5","")))))</f>
        <v/>
      </c>
      <c r="G13246" s="6">
        <f>IF(AND($H13246="ATMOS DISTILLATION",ISNUMBER(SEARCH("VPS",$I13246))=FALSE,LEFT($I13246,6)&lt;&gt;"VACUUM"),"CDU",IF($H13246="FLUID CAT CRACKING","FCC",IF(OR($H13246="HYDROCRACKING",$H13246="RESID_HYDROCRACKING"),"Hydrocracker",IF($H13246="REFORMING","Reformer",""))))</f>
        <v/>
      </c>
    </row>
    <row r="13247" spans="6:7">
      <c r="F13247" s="6">
        <f>IF($M13247="PADD I","PADD 1",IF($M13247="PADD II","PADD 2",IF($M13247="PADD III","PADD 3",IF($M13247="PADD IV","PADD 4",IF($M13247="PADD V","PADD 5","")))))</f>
        <v/>
      </c>
      <c r="G13247" s="6">
        <f>IF(AND($H13247="ATMOS DISTILLATION",ISNUMBER(SEARCH("VPS",$I13247))=FALSE,LEFT($I13247,6)&lt;&gt;"VACUUM"),"CDU",IF($H13247="FLUID CAT CRACKING","FCC",IF(OR($H13247="HYDROCRACKING",$H13247="RESID_HYDROCRACKING"),"Hydrocracker",IF($H13247="REFORMING","Reformer",""))))</f>
        <v/>
      </c>
    </row>
    <row r="13248" spans="6:7">
      <c r="F13248" s="6">
        <f>IF($M13248="PADD I","PADD 1",IF($M13248="PADD II","PADD 2",IF($M13248="PADD III","PADD 3",IF($M13248="PADD IV","PADD 4",IF($M13248="PADD V","PADD 5","")))))</f>
        <v/>
      </c>
      <c r="G13248" s="6">
        <f>IF(AND($H13248="ATMOS DISTILLATION",ISNUMBER(SEARCH("VPS",$I13248))=FALSE,LEFT($I13248,6)&lt;&gt;"VACUUM"),"CDU",IF($H13248="FLUID CAT CRACKING","FCC",IF(OR($H13248="HYDROCRACKING",$H13248="RESID_HYDROCRACKING"),"Hydrocracker",IF($H13248="REFORMING","Reformer",""))))</f>
        <v/>
      </c>
    </row>
    <row r="13249" spans="6:7">
      <c r="F13249" s="6">
        <f>IF($M13249="PADD I","PADD 1",IF($M13249="PADD II","PADD 2",IF($M13249="PADD III","PADD 3",IF($M13249="PADD IV","PADD 4",IF($M13249="PADD V","PADD 5","")))))</f>
        <v/>
      </c>
      <c r="G13249" s="6">
        <f>IF(AND($H13249="ATMOS DISTILLATION",ISNUMBER(SEARCH("VPS",$I13249))=FALSE,LEFT($I13249,6)&lt;&gt;"VACUUM"),"CDU",IF($H13249="FLUID CAT CRACKING","FCC",IF(OR($H13249="HYDROCRACKING",$H13249="RESID_HYDROCRACKING"),"Hydrocracker",IF($H13249="REFORMING","Reformer",""))))</f>
        <v/>
      </c>
    </row>
    <row r="13250" spans="6:7">
      <c r="F13250" s="6">
        <f>IF($M13250="PADD I","PADD 1",IF($M13250="PADD II","PADD 2",IF($M13250="PADD III","PADD 3",IF($M13250="PADD IV","PADD 4",IF($M13250="PADD V","PADD 5","")))))</f>
        <v/>
      </c>
      <c r="G13250" s="6">
        <f>IF(AND($H13250="ATMOS DISTILLATION",ISNUMBER(SEARCH("VPS",$I13250))=FALSE,LEFT($I13250,6)&lt;&gt;"VACUUM"),"CDU",IF($H13250="FLUID CAT CRACKING","FCC",IF(OR($H13250="HYDROCRACKING",$H13250="RESID_HYDROCRACKING"),"Hydrocracker",IF($H13250="REFORMING","Reformer",""))))</f>
        <v/>
      </c>
    </row>
    <row r="13251" spans="6:7">
      <c r="F13251" s="6">
        <f>IF($M13251="PADD I","PADD 1",IF($M13251="PADD II","PADD 2",IF($M13251="PADD III","PADD 3",IF($M13251="PADD IV","PADD 4",IF($M13251="PADD V","PADD 5","")))))</f>
        <v/>
      </c>
      <c r="G13251" s="6">
        <f>IF(AND($H13251="ATMOS DISTILLATION",ISNUMBER(SEARCH("VPS",$I13251))=FALSE,LEFT($I13251,6)&lt;&gt;"VACUUM"),"CDU",IF($H13251="FLUID CAT CRACKING","FCC",IF(OR($H13251="HYDROCRACKING",$H13251="RESID_HYDROCRACKING"),"Hydrocracker",IF($H13251="REFORMING","Reformer",""))))</f>
        <v/>
      </c>
    </row>
    <row r="13252" spans="6:7">
      <c r="F13252" s="6">
        <f>IF($M13252="PADD I","PADD 1",IF($M13252="PADD II","PADD 2",IF($M13252="PADD III","PADD 3",IF($M13252="PADD IV","PADD 4",IF($M13252="PADD V","PADD 5","")))))</f>
        <v/>
      </c>
      <c r="G13252" s="6">
        <f>IF(AND($H13252="ATMOS DISTILLATION",ISNUMBER(SEARCH("VPS",$I13252))=FALSE,LEFT($I13252,6)&lt;&gt;"VACUUM"),"CDU",IF($H13252="FLUID CAT CRACKING","FCC",IF(OR($H13252="HYDROCRACKING",$H13252="RESID_HYDROCRACKING"),"Hydrocracker",IF($H13252="REFORMING","Reformer",""))))</f>
        <v/>
      </c>
    </row>
    <row r="13253" spans="6:7">
      <c r="F13253" s="6">
        <f>IF($M13253="PADD I","PADD 1",IF($M13253="PADD II","PADD 2",IF($M13253="PADD III","PADD 3",IF($M13253="PADD IV","PADD 4",IF($M13253="PADD V","PADD 5","")))))</f>
        <v/>
      </c>
      <c r="G13253" s="6">
        <f>IF(AND($H13253="ATMOS DISTILLATION",ISNUMBER(SEARCH("VPS",$I13253))=FALSE,LEFT($I13253,6)&lt;&gt;"VACUUM"),"CDU",IF($H13253="FLUID CAT CRACKING","FCC",IF(OR($H13253="HYDROCRACKING",$H13253="RESID_HYDROCRACKING"),"Hydrocracker",IF($H13253="REFORMING","Reformer",""))))</f>
        <v/>
      </c>
    </row>
    <row r="13254" spans="6:7">
      <c r="F13254" s="6">
        <f>IF($M13254="PADD I","PADD 1",IF($M13254="PADD II","PADD 2",IF($M13254="PADD III","PADD 3",IF($M13254="PADD IV","PADD 4",IF($M13254="PADD V","PADD 5","")))))</f>
        <v/>
      </c>
      <c r="G13254" s="6">
        <f>IF(AND($H13254="ATMOS DISTILLATION",ISNUMBER(SEARCH("VPS",$I13254))=FALSE,LEFT($I13254,6)&lt;&gt;"VACUUM"),"CDU",IF($H13254="FLUID CAT CRACKING","FCC",IF(OR($H13254="HYDROCRACKING",$H13254="RESID_HYDROCRACKING"),"Hydrocracker",IF($H13254="REFORMING","Reformer",""))))</f>
        <v/>
      </c>
    </row>
    <row r="13255" spans="6:7">
      <c r="F13255" s="6">
        <f>IF($M13255="PADD I","PADD 1",IF($M13255="PADD II","PADD 2",IF($M13255="PADD III","PADD 3",IF($M13255="PADD IV","PADD 4",IF($M13255="PADD V","PADD 5","")))))</f>
        <v/>
      </c>
      <c r="G13255" s="6">
        <f>IF(AND($H13255="ATMOS DISTILLATION",ISNUMBER(SEARCH("VPS",$I13255))=FALSE,LEFT($I13255,6)&lt;&gt;"VACUUM"),"CDU",IF($H13255="FLUID CAT CRACKING","FCC",IF(OR($H13255="HYDROCRACKING",$H13255="RESID_HYDROCRACKING"),"Hydrocracker",IF($H13255="REFORMING","Reformer",""))))</f>
        <v/>
      </c>
    </row>
    <row r="13256" spans="6:7">
      <c r="F13256" s="6">
        <f>IF($M13256="PADD I","PADD 1",IF($M13256="PADD II","PADD 2",IF($M13256="PADD III","PADD 3",IF($M13256="PADD IV","PADD 4",IF($M13256="PADD V","PADD 5","")))))</f>
        <v/>
      </c>
      <c r="G13256" s="6">
        <f>IF(AND($H13256="ATMOS DISTILLATION",ISNUMBER(SEARCH("VPS",$I13256))=FALSE,LEFT($I13256,6)&lt;&gt;"VACUUM"),"CDU",IF($H13256="FLUID CAT CRACKING","FCC",IF(OR($H13256="HYDROCRACKING",$H13256="RESID_HYDROCRACKING"),"Hydrocracker",IF($H13256="REFORMING","Reformer",""))))</f>
        <v/>
      </c>
    </row>
    <row r="13257" spans="6:7">
      <c r="F13257" s="6">
        <f>IF($M13257="PADD I","PADD 1",IF($M13257="PADD II","PADD 2",IF($M13257="PADD III","PADD 3",IF($M13257="PADD IV","PADD 4",IF($M13257="PADD V","PADD 5","")))))</f>
        <v/>
      </c>
      <c r="G13257" s="6">
        <f>IF(AND($H13257="ATMOS DISTILLATION",ISNUMBER(SEARCH("VPS",$I13257))=FALSE,LEFT($I13257,6)&lt;&gt;"VACUUM"),"CDU",IF($H13257="FLUID CAT CRACKING","FCC",IF(OR($H13257="HYDROCRACKING",$H13257="RESID_HYDROCRACKING"),"Hydrocracker",IF($H13257="REFORMING","Reformer",""))))</f>
        <v/>
      </c>
    </row>
    <row r="13258" spans="6:7">
      <c r="F13258" s="6">
        <f>IF($M13258="PADD I","PADD 1",IF($M13258="PADD II","PADD 2",IF($M13258="PADD III","PADD 3",IF($M13258="PADD IV","PADD 4",IF($M13258="PADD V","PADD 5","")))))</f>
        <v/>
      </c>
      <c r="G13258" s="6">
        <f>IF(AND($H13258="ATMOS DISTILLATION",ISNUMBER(SEARCH("VPS",$I13258))=FALSE,LEFT($I13258,6)&lt;&gt;"VACUUM"),"CDU",IF($H13258="FLUID CAT CRACKING","FCC",IF(OR($H13258="HYDROCRACKING",$H13258="RESID_HYDROCRACKING"),"Hydrocracker",IF($H13258="REFORMING","Reformer",""))))</f>
        <v/>
      </c>
    </row>
    <row r="13259" spans="6:7">
      <c r="F13259" s="6">
        <f>IF($M13259="PADD I","PADD 1",IF($M13259="PADD II","PADD 2",IF($M13259="PADD III","PADD 3",IF($M13259="PADD IV","PADD 4",IF($M13259="PADD V","PADD 5","")))))</f>
        <v/>
      </c>
      <c r="G13259" s="6">
        <f>IF(AND($H13259="ATMOS DISTILLATION",ISNUMBER(SEARCH("VPS",$I13259))=FALSE,LEFT($I13259,6)&lt;&gt;"VACUUM"),"CDU",IF($H13259="FLUID CAT CRACKING","FCC",IF(OR($H13259="HYDROCRACKING",$H13259="RESID_HYDROCRACKING"),"Hydrocracker",IF($H13259="REFORMING","Reformer",""))))</f>
        <v/>
      </c>
    </row>
    <row r="13260" spans="6:7">
      <c r="F13260" s="6">
        <f>IF($M13260="PADD I","PADD 1",IF($M13260="PADD II","PADD 2",IF($M13260="PADD III","PADD 3",IF($M13260="PADD IV","PADD 4",IF($M13260="PADD V","PADD 5","")))))</f>
        <v/>
      </c>
      <c r="G13260" s="6">
        <f>IF(AND($H13260="ATMOS DISTILLATION",ISNUMBER(SEARCH("VPS",$I13260))=FALSE,LEFT($I13260,6)&lt;&gt;"VACUUM"),"CDU",IF($H13260="FLUID CAT CRACKING","FCC",IF(OR($H13260="HYDROCRACKING",$H13260="RESID_HYDROCRACKING"),"Hydrocracker",IF($H13260="REFORMING","Reformer",""))))</f>
        <v/>
      </c>
    </row>
    <row r="13261" spans="6:7">
      <c r="F13261" s="6">
        <f>IF($M13261="PADD I","PADD 1",IF($M13261="PADD II","PADD 2",IF($M13261="PADD III","PADD 3",IF($M13261="PADD IV","PADD 4",IF($M13261="PADD V","PADD 5","")))))</f>
        <v/>
      </c>
      <c r="G13261" s="6">
        <f>IF(AND($H13261="ATMOS DISTILLATION",ISNUMBER(SEARCH("VPS",$I13261))=FALSE,LEFT($I13261,6)&lt;&gt;"VACUUM"),"CDU",IF($H13261="FLUID CAT CRACKING","FCC",IF(OR($H13261="HYDROCRACKING",$H13261="RESID_HYDROCRACKING"),"Hydrocracker",IF($H13261="REFORMING","Reformer",""))))</f>
        <v/>
      </c>
    </row>
    <row r="13262" spans="6:7">
      <c r="F13262" s="6">
        <f>IF($M13262="PADD I","PADD 1",IF($M13262="PADD II","PADD 2",IF($M13262="PADD III","PADD 3",IF($M13262="PADD IV","PADD 4",IF($M13262="PADD V","PADD 5","")))))</f>
        <v/>
      </c>
      <c r="G13262" s="6">
        <f>IF(AND($H13262="ATMOS DISTILLATION",ISNUMBER(SEARCH("VPS",$I13262))=FALSE,LEFT($I13262,6)&lt;&gt;"VACUUM"),"CDU",IF($H13262="FLUID CAT CRACKING","FCC",IF(OR($H13262="HYDROCRACKING",$H13262="RESID_HYDROCRACKING"),"Hydrocracker",IF($H13262="REFORMING","Reformer",""))))</f>
        <v/>
      </c>
    </row>
    <row r="13263" spans="6:7">
      <c r="F13263" s="6">
        <f>IF($M13263="PADD I","PADD 1",IF($M13263="PADD II","PADD 2",IF($M13263="PADD III","PADD 3",IF($M13263="PADD IV","PADD 4",IF($M13263="PADD V","PADD 5","")))))</f>
        <v/>
      </c>
      <c r="G13263" s="6">
        <f>IF(AND($H13263="ATMOS DISTILLATION",ISNUMBER(SEARCH("VPS",$I13263))=FALSE,LEFT($I13263,6)&lt;&gt;"VACUUM"),"CDU",IF($H13263="FLUID CAT CRACKING","FCC",IF(OR($H13263="HYDROCRACKING",$H13263="RESID_HYDROCRACKING"),"Hydrocracker",IF($H13263="REFORMING","Reformer",""))))</f>
        <v/>
      </c>
    </row>
    <row r="13264" spans="6:7">
      <c r="F13264" s="6">
        <f>IF($M13264="PADD I","PADD 1",IF($M13264="PADD II","PADD 2",IF($M13264="PADD III","PADD 3",IF($M13264="PADD IV","PADD 4",IF($M13264="PADD V","PADD 5","")))))</f>
        <v/>
      </c>
      <c r="G13264" s="6">
        <f>IF(AND($H13264="ATMOS DISTILLATION",ISNUMBER(SEARCH("VPS",$I13264))=FALSE,LEFT($I13264,6)&lt;&gt;"VACUUM"),"CDU",IF($H13264="FLUID CAT CRACKING","FCC",IF(OR($H13264="HYDROCRACKING",$H13264="RESID_HYDROCRACKING"),"Hydrocracker",IF($H13264="REFORMING","Reformer",""))))</f>
        <v/>
      </c>
    </row>
    <row r="13265" spans="6:7">
      <c r="F13265" s="6">
        <f>IF($M13265="PADD I","PADD 1",IF($M13265="PADD II","PADD 2",IF($M13265="PADD III","PADD 3",IF($M13265="PADD IV","PADD 4",IF($M13265="PADD V","PADD 5","")))))</f>
        <v/>
      </c>
      <c r="G13265" s="6">
        <f>IF(AND($H13265="ATMOS DISTILLATION",ISNUMBER(SEARCH("VPS",$I13265))=FALSE,LEFT($I13265,6)&lt;&gt;"VACUUM"),"CDU",IF($H13265="FLUID CAT CRACKING","FCC",IF(OR($H13265="HYDROCRACKING",$H13265="RESID_HYDROCRACKING"),"Hydrocracker",IF($H13265="REFORMING","Reformer",""))))</f>
        <v/>
      </c>
    </row>
    <row r="13266" spans="6:7">
      <c r="F13266" s="6">
        <f>IF($M13266="PADD I","PADD 1",IF($M13266="PADD II","PADD 2",IF($M13266="PADD III","PADD 3",IF($M13266="PADD IV","PADD 4",IF($M13266="PADD V","PADD 5","")))))</f>
        <v/>
      </c>
      <c r="G13266" s="6">
        <f>IF(AND($H13266="ATMOS DISTILLATION",ISNUMBER(SEARCH("VPS",$I13266))=FALSE,LEFT($I13266,6)&lt;&gt;"VACUUM"),"CDU",IF($H13266="FLUID CAT CRACKING","FCC",IF(OR($H13266="HYDROCRACKING",$H13266="RESID_HYDROCRACKING"),"Hydrocracker",IF($H13266="REFORMING","Reformer",""))))</f>
        <v/>
      </c>
    </row>
    <row r="13267" spans="6:7">
      <c r="F13267" s="6">
        <f>IF($M13267="PADD I","PADD 1",IF($M13267="PADD II","PADD 2",IF($M13267="PADD III","PADD 3",IF($M13267="PADD IV","PADD 4",IF($M13267="PADD V","PADD 5","")))))</f>
        <v/>
      </c>
      <c r="G13267" s="6">
        <f>IF(AND($H13267="ATMOS DISTILLATION",ISNUMBER(SEARCH("VPS",$I13267))=FALSE,LEFT($I13267,6)&lt;&gt;"VACUUM"),"CDU",IF($H13267="FLUID CAT CRACKING","FCC",IF(OR($H13267="HYDROCRACKING",$H13267="RESID_HYDROCRACKING"),"Hydrocracker",IF($H13267="REFORMING","Reformer",""))))</f>
        <v/>
      </c>
    </row>
    <row r="13268" spans="6:7">
      <c r="F13268" s="6">
        <f>IF($M13268="PADD I","PADD 1",IF($M13268="PADD II","PADD 2",IF($M13268="PADD III","PADD 3",IF($M13268="PADD IV","PADD 4",IF($M13268="PADD V","PADD 5","")))))</f>
        <v/>
      </c>
      <c r="G13268" s="6">
        <f>IF(AND($H13268="ATMOS DISTILLATION",ISNUMBER(SEARCH("VPS",$I13268))=FALSE,LEFT($I13268,6)&lt;&gt;"VACUUM"),"CDU",IF($H13268="FLUID CAT CRACKING","FCC",IF(OR($H13268="HYDROCRACKING",$H13268="RESID_HYDROCRACKING"),"Hydrocracker",IF($H13268="REFORMING","Reformer",""))))</f>
        <v/>
      </c>
    </row>
    <row r="13269" spans="6:7">
      <c r="F13269" s="6">
        <f>IF($M13269="PADD I","PADD 1",IF($M13269="PADD II","PADD 2",IF($M13269="PADD III","PADD 3",IF($M13269="PADD IV","PADD 4",IF($M13269="PADD V","PADD 5","")))))</f>
        <v/>
      </c>
      <c r="G13269" s="6">
        <f>IF(AND($H13269="ATMOS DISTILLATION",ISNUMBER(SEARCH("VPS",$I13269))=FALSE,LEFT($I13269,6)&lt;&gt;"VACUUM"),"CDU",IF($H13269="FLUID CAT CRACKING","FCC",IF(OR($H13269="HYDROCRACKING",$H13269="RESID_HYDROCRACKING"),"Hydrocracker",IF($H13269="REFORMING","Reformer",""))))</f>
        <v/>
      </c>
    </row>
    <row r="13270" spans="6:7">
      <c r="F13270" s="6">
        <f>IF($M13270="PADD I","PADD 1",IF($M13270="PADD II","PADD 2",IF($M13270="PADD III","PADD 3",IF($M13270="PADD IV","PADD 4",IF($M13270="PADD V","PADD 5","")))))</f>
        <v/>
      </c>
      <c r="G13270" s="6">
        <f>IF(AND($H13270="ATMOS DISTILLATION",ISNUMBER(SEARCH("VPS",$I13270))=FALSE,LEFT($I13270,6)&lt;&gt;"VACUUM"),"CDU",IF($H13270="FLUID CAT CRACKING","FCC",IF(OR($H13270="HYDROCRACKING",$H13270="RESID_HYDROCRACKING"),"Hydrocracker",IF($H13270="REFORMING","Reformer",""))))</f>
        <v/>
      </c>
    </row>
    <row r="13271" spans="6:7">
      <c r="F13271" s="6">
        <f>IF($M13271="PADD I","PADD 1",IF($M13271="PADD II","PADD 2",IF($M13271="PADD III","PADD 3",IF($M13271="PADD IV","PADD 4",IF($M13271="PADD V","PADD 5","")))))</f>
        <v/>
      </c>
      <c r="G13271" s="6">
        <f>IF(AND($H13271="ATMOS DISTILLATION",ISNUMBER(SEARCH("VPS",$I13271))=FALSE,LEFT($I13271,6)&lt;&gt;"VACUUM"),"CDU",IF($H13271="FLUID CAT CRACKING","FCC",IF(OR($H13271="HYDROCRACKING",$H13271="RESID_HYDROCRACKING"),"Hydrocracker",IF($H13271="REFORMING","Reformer",""))))</f>
        <v/>
      </c>
    </row>
    <row r="13272" spans="6:7">
      <c r="F13272" s="6">
        <f>IF($M13272="PADD I","PADD 1",IF($M13272="PADD II","PADD 2",IF($M13272="PADD III","PADD 3",IF($M13272="PADD IV","PADD 4",IF($M13272="PADD V","PADD 5","")))))</f>
        <v/>
      </c>
      <c r="G13272" s="6">
        <f>IF(AND($H13272="ATMOS DISTILLATION",ISNUMBER(SEARCH("VPS",$I13272))=FALSE,LEFT($I13272,6)&lt;&gt;"VACUUM"),"CDU",IF($H13272="FLUID CAT CRACKING","FCC",IF(OR($H13272="HYDROCRACKING",$H13272="RESID_HYDROCRACKING"),"Hydrocracker",IF($H13272="REFORMING","Reformer",""))))</f>
        <v/>
      </c>
    </row>
    <row r="13273" spans="6:7">
      <c r="F13273" s="6">
        <f>IF($M13273="PADD I","PADD 1",IF($M13273="PADD II","PADD 2",IF($M13273="PADD III","PADD 3",IF($M13273="PADD IV","PADD 4",IF($M13273="PADD V","PADD 5","")))))</f>
        <v/>
      </c>
      <c r="G13273" s="6">
        <f>IF(AND($H13273="ATMOS DISTILLATION",ISNUMBER(SEARCH("VPS",$I13273))=FALSE,LEFT($I13273,6)&lt;&gt;"VACUUM"),"CDU",IF($H13273="FLUID CAT CRACKING","FCC",IF(OR($H13273="HYDROCRACKING",$H13273="RESID_HYDROCRACKING"),"Hydrocracker",IF($H13273="REFORMING","Reformer",""))))</f>
        <v/>
      </c>
    </row>
    <row r="13274" spans="6:7">
      <c r="F13274" s="6">
        <f>IF($M13274="PADD I","PADD 1",IF($M13274="PADD II","PADD 2",IF($M13274="PADD III","PADD 3",IF($M13274="PADD IV","PADD 4",IF($M13274="PADD V","PADD 5","")))))</f>
        <v/>
      </c>
      <c r="G13274" s="6">
        <f>IF(AND($H13274="ATMOS DISTILLATION",ISNUMBER(SEARCH("VPS",$I13274))=FALSE,LEFT($I13274,6)&lt;&gt;"VACUUM"),"CDU",IF($H13274="FLUID CAT CRACKING","FCC",IF(OR($H13274="HYDROCRACKING",$H13274="RESID_HYDROCRACKING"),"Hydrocracker",IF($H13274="REFORMING","Reformer",""))))</f>
        <v/>
      </c>
    </row>
    <row r="13275" spans="6:7">
      <c r="F13275" s="6">
        <f>IF($M13275="PADD I","PADD 1",IF($M13275="PADD II","PADD 2",IF($M13275="PADD III","PADD 3",IF($M13275="PADD IV","PADD 4",IF($M13275="PADD V","PADD 5","")))))</f>
        <v/>
      </c>
      <c r="G13275" s="6">
        <f>IF(AND($H13275="ATMOS DISTILLATION",ISNUMBER(SEARCH("VPS",$I13275))=FALSE,LEFT($I13275,6)&lt;&gt;"VACUUM"),"CDU",IF($H13275="FLUID CAT CRACKING","FCC",IF(OR($H13275="HYDROCRACKING",$H13275="RESID_HYDROCRACKING"),"Hydrocracker",IF($H13275="REFORMING","Reformer",""))))</f>
        <v/>
      </c>
    </row>
    <row r="13276" spans="6:7">
      <c r="F13276" s="6">
        <f>IF($M13276="PADD I","PADD 1",IF($M13276="PADD II","PADD 2",IF($M13276="PADD III","PADD 3",IF($M13276="PADD IV","PADD 4",IF($M13276="PADD V","PADD 5","")))))</f>
        <v/>
      </c>
      <c r="G13276" s="6">
        <f>IF(AND($H13276="ATMOS DISTILLATION",ISNUMBER(SEARCH("VPS",$I13276))=FALSE,LEFT($I13276,6)&lt;&gt;"VACUUM"),"CDU",IF($H13276="FLUID CAT CRACKING","FCC",IF(OR($H13276="HYDROCRACKING",$H13276="RESID_HYDROCRACKING"),"Hydrocracker",IF($H13276="REFORMING","Reformer",""))))</f>
        <v/>
      </c>
    </row>
    <row r="13277" spans="6:7">
      <c r="F13277" s="6">
        <f>IF($M13277="PADD I","PADD 1",IF($M13277="PADD II","PADD 2",IF($M13277="PADD III","PADD 3",IF($M13277="PADD IV","PADD 4",IF($M13277="PADD V","PADD 5","")))))</f>
        <v/>
      </c>
      <c r="G13277" s="6">
        <f>IF(AND($H13277="ATMOS DISTILLATION",ISNUMBER(SEARCH("VPS",$I13277))=FALSE,LEFT($I13277,6)&lt;&gt;"VACUUM"),"CDU",IF($H13277="FLUID CAT CRACKING","FCC",IF(OR($H13277="HYDROCRACKING",$H13277="RESID_HYDROCRACKING"),"Hydrocracker",IF($H13277="REFORMING","Reformer",""))))</f>
        <v/>
      </c>
    </row>
    <row r="13278" spans="6:7">
      <c r="F13278" s="6">
        <f>IF($M13278="PADD I","PADD 1",IF($M13278="PADD II","PADD 2",IF($M13278="PADD III","PADD 3",IF($M13278="PADD IV","PADD 4",IF($M13278="PADD V","PADD 5","")))))</f>
        <v/>
      </c>
      <c r="G13278" s="6">
        <f>IF(AND($H13278="ATMOS DISTILLATION",ISNUMBER(SEARCH("VPS",$I13278))=FALSE,LEFT($I13278,6)&lt;&gt;"VACUUM"),"CDU",IF($H13278="FLUID CAT CRACKING","FCC",IF(OR($H13278="HYDROCRACKING",$H13278="RESID_HYDROCRACKING"),"Hydrocracker",IF($H13278="REFORMING","Reformer",""))))</f>
        <v/>
      </c>
    </row>
    <row r="13279" spans="6:7">
      <c r="F13279" s="6">
        <f>IF($M13279="PADD I","PADD 1",IF($M13279="PADD II","PADD 2",IF($M13279="PADD III","PADD 3",IF($M13279="PADD IV","PADD 4",IF($M13279="PADD V","PADD 5","")))))</f>
        <v/>
      </c>
      <c r="G13279" s="6">
        <f>IF(AND($H13279="ATMOS DISTILLATION",ISNUMBER(SEARCH("VPS",$I13279))=FALSE,LEFT($I13279,6)&lt;&gt;"VACUUM"),"CDU",IF($H13279="FLUID CAT CRACKING","FCC",IF(OR($H13279="HYDROCRACKING",$H13279="RESID_HYDROCRACKING"),"Hydrocracker",IF($H13279="REFORMING","Reformer",""))))</f>
        <v/>
      </c>
    </row>
    <row r="13280" spans="6:7">
      <c r="F13280" s="6">
        <f>IF($M13280="PADD I","PADD 1",IF($M13280="PADD II","PADD 2",IF($M13280="PADD III","PADD 3",IF($M13280="PADD IV","PADD 4",IF($M13280="PADD V","PADD 5","")))))</f>
        <v/>
      </c>
      <c r="G13280" s="6">
        <f>IF(AND($H13280="ATMOS DISTILLATION",ISNUMBER(SEARCH("VPS",$I13280))=FALSE,LEFT($I13280,6)&lt;&gt;"VACUUM"),"CDU",IF($H13280="FLUID CAT CRACKING","FCC",IF(OR($H13280="HYDROCRACKING",$H13280="RESID_HYDROCRACKING"),"Hydrocracker",IF($H13280="REFORMING","Reformer",""))))</f>
        <v/>
      </c>
    </row>
    <row r="13281" spans="6:7">
      <c r="F13281" s="6">
        <f>IF($M13281="PADD I","PADD 1",IF($M13281="PADD II","PADD 2",IF($M13281="PADD III","PADD 3",IF($M13281="PADD IV","PADD 4",IF($M13281="PADD V","PADD 5","")))))</f>
        <v/>
      </c>
      <c r="G13281" s="6">
        <f>IF(AND($H13281="ATMOS DISTILLATION",ISNUMBER(SEARCH("VPS",$I13281))=FALSE,LEFT($I13281,6)&lt;&gt;"VACUUM"),"CDU",IF($H13281="FLUID CAT CRACKING","FCC",IF(OR($H13281="HYDROCRACKING",$H13281="RESID_HYDROCRACKING"),"Hydrocracker",IF($H13281="REFORMING","Reformer",""))))</f>
        <v/>
      </c>
    </row>
    <row r="13282" spans="6:7">
      <c r="F13282" s="6">
        <f>IF($M13282="PADD I","PADD 1",IF($M13282="PADD II","PADD 2",IF($M13282="PADD III","PADD 3",IF($M13282="PADD IV","PADD 4",IF($M13282="PADD V","PADD 5","")))))</f>
        <v/>
      </c>
      <c r="G13282" s="6">
        <f>IF(AND($H13282="ATMOS DISTILLATION",ISNUMBER(SEARCH("VPS",$I13282))=FALSE,LEFT($I13282,6)&lt;&gt;"VACUUM"),"CDU",IF($H13282="FLUID CAT CRACKING","FCC",IF(OR($H13282="HYDROCRACKING",$H13282="RESID_HYDROCRACKING"),"Hydrocracker",IF($H13282="REFORMING","Reformer",""))))</f>
        <v/>
      </c>
    </row>
    <row r="13283" spans="6:7">
      <c r="F13283" s="6">
        <f>IF($M13283="PADD I","PADD 1",IF($M13283="PADD II","PADD 2",IF($M13283="PADD III","PADD 3",IF($M13283="PADD IV","PADD 4",IF($M13283="PADD V","PADD 5","")))))</f>
        <v/>
      </c>
      <c r="G13283" s="6">
        <f>IF(AND($H13283="ATMOS DISTILLATION",ISNUMBER(SEARCH("VPS",$I13283))=FALSE,LEFT($I13283,6)&lt;&gt;"VACUUM"),"CDU",IF($H13283="FLUID CAT CRACKING","FCC",IF(OR($H13283="HYDROCRACKING",$H13283="RESID_HYDROCRACKING"),"Hydrocracker",IF($H13283="REFORMING","Reformer",""))))</f>
        <v/>
      </c>
    </row>
    <row r="13284" spans="6:7">
      <c r="F13284" s="6">
        <f>IF($M13284="PADD I","PADD 1",IF($M13284="PADD II","PADD 2",IF($M13284="PADD III","PADD 3",IF($M13284="PADD IV","PADD 4",IF($M13284="PADD V","PADD 5","")))))</f>
        <v/>
      </c>
      <c r="G13284" s="6">
        <f>IF(AND($H13284="ATMOS DISTILLATION",ISNUMBER(SEARCH("VPS",$I13284))=FALSE,LEFT($I13284,6)&lt;&gt;"VACUUM"),"CDU",IF($H13284="FLUID CAT CRACKING","FCC",IF(OR($H13284="HYDROCRACKING",$H13284="RESID_HYDROCRACKING"),"Hydrocracker",IF($H13284="REFORMING","Reformer",""))))</f>
        <v/>
      </c>
    </row>
    <row r="13285" spans="6:7">
      <c r="F13285" s="6">
        <f>IF($M13285="PADD I","PADD 1",IF($M13285="PADD II","PADD 2",IF($M13285="PADD III","PADD 3",IF($M13285="PADD IV","PADD 4",IF($M13285="PADD V","PADD 5","")))))</f>
        <v/>
      </c>
      <c r="G13285" s="6">
        <f>IF(AND($H13285="ATMOS DISTILLATION",ISNUMBER(SEARCH("VPS",$I13285))=FALSE,LEFT($I13285,6)&lt;&gt;"VACUUM"),"CDU",IF($H13285="FLUID CAT CRACKING","FCC",IF(OR($H13285="HYDROCRACKING",$H13285="RESID_HYDROCRACKING"),"Hydrocracker",IF($H13285="REFORMING","Reformer",""))))</f>
        <v/>
      </c>
    </row>
    <row r="13286" spans="6:7">
      <c r="F13286" s="6">
        <f>IF($M13286="PADD I","PADD 1",IF($M13286="PADD II","PADD 2",IF($M13286="PADD III","PADD 3",IF($M13286="PADD IV","PADD 4",IF($M13286="PADD V","PADD 5","")))))</f>
        <v/>
      </c>
      <c r="G13286" s="6">
        <f>IF(AND($H13286="ATMOS DISTILLATION",ISNUMBER(SEARCH("VPS",$I13286))=FALSE,LEFT($I13286,6)&lt;&gt;"VACUUM"),"CDU",IF($H13286="FLUID CAT CRACKING","FCC",IF(OR($H13286="HYDROCRACKING",$H13286="RESID_HYDROCRACKING"),"Hydrocracker",IF($H13286="REFORMING","Reformer",""))))</f>
        <v/>
      </c>
    </row>
    <row r="13287" spans="6:7">
      <c r="F13287" s="6">
        <f>IF($M13287="PADD I","PADD 1",IF($M13287="PADD II","PADD 2",IF($M13287="PADD III","PADD 3",IF($M13287="PADD IV","PADD 4",IF($M13287="PADD V","PADD 5","")))))</f>
        <v/>
      </c>
      <c r="G13287" s="6">
        <f>IF(AND($H13287="ATMOS DISTILLATION",ISNUMBER(SEARCH("VPS",$I13287))=FALSE,LEFT($I13287,6)&lt;&gt;"VACUUM"),"CDU",IF($H13287="FLUID CAT CRACKING","FCC",IF(OR($H13287="HYDROCRACKING",$H13287="RESID_HYDROCRACKING"),"Hydrocracker",IF($H13287="REFORMING","Reformer",""))))</f>
        <v/>
      </c>
    </row>
    <row r="13288" spans="6:7">
      <c r="F13288" s="6">
        <f>IF($M13288="PADD I","PADD 1",IF($M13288="PADD II","PADD 2",IF($M13288="PADD III","PADD 3",IF($M13288="PADD IV","PADD 4",IF($M13288="PADD V","PADD 5","")))))</f>
        <v/>
      </c>
      <c r="G13288" s="6">
        <f>IF(AND($H13288="ATMOS DISTILLATION",ISNUMBER(SEARCH("VPS",$I13288))=FALSE,LEFT($I13288,6)&lt;&gt;"VACUUM"),"CDU",IF($H13288="FLUID CAT CRACKING","FCC",IF(OR($H13288="HYDROCRACKING",$H13288="RESID_HYDROCRACKING"),"Hydrocracker",IF($H13288="REFORMING","Reformer",""))))</f>
        <v/>
      </c>
    </row>
    <row r="13289" spans="6:7">
      <c r="F13289" s="6">
        <f>IF($M13289="PADD I","PADD 1",IF($M13289="PADD II","PADD 2",IF($M13289="PADD III","PADD 3",IF($M13289="PADD IV","PADD 4",IF($M13289="PADD V","PADD 5","")))))</f>
        <v/>
      </c>
      <c r="G13289" s="6">
        <f>IF(AND($H13289="ATMOS DISTILLATION",ISNUMBER(SEARCH("VPS",$I13289))=FALSE,LEFT($I13289,6)&lt;&gt;"VACUUM"),"CDU",IF($H13289="FLUID CAT CRACKING","FCC",IF(OR($H13289="HYDROCRACKING",$H13289="RESID_HYDROCRACKING"),"Hydrocracker",IF($H13289="REFORMING","Reformer",""))))</f>
        <v/>
      </c>
    </row>
    <row r="13290" spans="6:7">
      <c r="F13290" s="6">
        <f>IF($M13290="PADD I","PADD 1",IF($M13290="PADD II","PADD 2",IF($M13290="PADD III","PADD 3",IF($M13290="PADD IV","PADD 4",IF($M13290="PADD V","PADD 5","")))))</f>
        <v/>
      </c>
      <c r="G13290" s="6">
        <f>IF(AND($H13290="ATMOS DISTILLATION",ISNUMBER(SEARCH("VPS",$I13290))=FALSE,LEFT($I13290,6)&lt;&gt;"VACUUM"),"CDU",IF($H13290="FLUID CAT CRACKING","FCC",IF(OR($H13290="HYDROCRACKING",$H13290="RESID_HYDROCRACKING"),"Hydrocracker",IF($H13290="REFORMING","Reformer",""))))</f>
        <v/>
      </c>
    </row>
    <row r="13291" spans="6:7">
      <c r="F13291" s="6">
        <f>IF($M13291="PADD I","PADD 1",IF($M13291="PADD II","PADD 2",IF($M13291="PADD III","PADD 3",IF($M13291="PADD IV","PADD 4",IF($M13291="PADD V","PADD 5","")))))</f>
        <v/>
      </c>
      <c r="G13291" s="6">
        <f>IF(AND($H13291="ATMOS DISTILLATION",ISNUMBER(SEARCH("VPS",$I13291))=FALSE,LEFT($I13291,6)&lt;&gt;"VACUUM"),"CDU",IF($H13291="FLUID CAT CRACKING","FCC",IF(OR($H13291="HYDROCRACKING",$H13291="RESID_HYDROCRACKING"),"Hydrocracker",IF($H13291="REFORMING","Reformer",""))))</f>
        <v/>
      </c>
    </row>
    <row r="13292" spans="6:7">
      <c r="F13292" s="6">
        <f>IF($M13292="PADD I","PADD 1",IF($M13292="PADD II","PADD 2",IF($M13292="PADD III","PADD 3",IF($M13292="PADD IV","PADD 4",IF($M13292="PADD V","PADD 5","")))))</f>
        <v/>
      </c>
      <c r="G13292" s="6">
        <f>IF(AND($H13292="ATMOS DISTILLATION",ISNUMBER(SEARCH("VPS",$I13292))=FALSE,LEFT($I13292,6)&lt;&gt;"VACUUM"),"CDU",IF($H13292="FLUID CAT CRACKING","FCC",IF(OR($H13292="HYDROCRACKING",$H13292="RESID_HYDROCRACKING"),"Hydrocracker",IF($H13292="REFORMING","Reformer",""))))</f>
        <v/>
      </c>
    </row>
    <row r="13293" spans="6:7">
      <c r="F13293" s="6">
        <f>IF($M13293="PADD I","PADD 1",IF($M13293="PADD II","PADD 2",IF($M13293="PADD III","PADD 3",IF($M13293="PADD IV","PADD 4",IF($M13293="PADD V","PADD 5","")))))</f>
        <v/>
      </c>
      <c r="G13293" s="6">
        <f>IF(AND($H13293="ATMOS DISTILLATION",ISNUMBER(SEARCH("VPS",$I13293))=FALSE,LEFT($I13293,6)&lt;&gt;"VACUUM"),"CDU",IF($H13293="FLUID CAT CRACKING","FCC",IF(OR($H13293="HYDROCRACKING",$H13293="RESID_HYDROCRACKING"),"Hydrocracker",IF($H13293="REFORMING","Reformer",""))))</f>
        <v/>
      </c>
    </row>
    <row r="13294" spans="6:7">
      <c r="F13294" s="6">
        <f>IF($M13294="PADD I","PADD 1",IF($M13294="PADD II","PADD 2",IF($M13294="PADD III","PADD 3",IF($M13294="PADD IV","PADD 4",IF($M13294="PADD V","PADD 5","")))))</f>
        <v/>
      </c>
      <c r="G13294" s="6">
        <f>IF(AND($H13294="ATMOS DISTILLATION",ISNUMBER(SEARCH("VPS",$I13294))=FALSE,LEFT($I13294,6)&lt;&gt;"VACUUM"),"CDU",IF($H13294="FLUID CAT CRACKING","FCC",IF(OR($H13294="HYDROCRACKING",$H13294="RESID_HYDROCRACKING"),"Hydrocracker",IF($H13294="REFORMING","Reformer",""))))</f>
        <v/>
      </c>
    </row>
    <row r="13295" spans="6:7">
      <c r="F13295" s="6">
        <f>IF($M13295="PADD I","PADD 1",IF($M13295="PADD II","PADD 2",IF($M13295="PADD III","PADD 3",IF($M13295="PADD IV","PADD 4",IF($M13295="PADD V","PADD 5","")))))</f>
        <v/>
      </c>
      <c r="G13295" s="6">
        <f>IF(AND($H13295="ATMOS DISTILLATION",ISNUMBER(SEARCH("VPS",$I13295))=FALSE,LEFT($I13295,6)&lt;&gt;"VACUUM"),"CDU",IF($H13295="FLUID CAT CRACKING","FCC",IF(OR($H13295="HYDROCRACKING",$H13295="RESID_HYDROCRACKING"),"Hydrocracker",IF($H13295="REFORMING","Reformer",""))))</f>
        <v/>
      </c>
    </row>
    <row r="13296" spans="6:7">
      <c r="F13296" s="6">
        <f>IF($M13296="PADD I","PADD 1",IF($M13296="PADD II","PADD 2",IF($M13296="PADD III","PADD 3",IF($M13296="PADD IV","PADD 4",IF($M13296="PADD V","PADD 5","")))))</f>
        <v/>
      </c>
      <c r="G13296" s="6">
        <f>IF(AND($H13296="ATMOS DISTILLATION",ISNUMBER(SEARCH("VPS",$I13296))=FALSE,LEFT($I13296,6)&lt;&gt;"VACUUM"),"CDU",IF($H13296="FLUID CAT CRACKING","FCC",IF(OR($H13296="HYDROCRACKING",$H13296="RESID_HYDROCRACKING"),"Hydrocracker",IF($H13296="REFORMING","Reformer",""))))</f>
        <v/>
      </c>
    </row>
    <row r="13297" spans="6:7">
      <c r="F13297" s="6">
        <f>IF($M13297="PADD I","PADD 1",IF($M13297="PADD II","PADD 2",IF($M13297="PADD III","PADD 3",IF($M13297="PADD IV","PADD 4",IF($M13297="PADD V","PADD 5","")))))</f>
        <v/>
      </c>
      <c r="G13297" s="6">
        <f>IF(AND($H13297="ATMOS DISTILLATION",ISNUMBER(SEARCH("VPS",$I13297))=FALSE,LEFT($I13297,6)&lt;&gt;"VACUUM"),"CDU",IF($H13297="FLUID CAT CRACKING","FCC",IF(OR($H13297="HYDROCRACKING",$H13297="RESID_HYDROCRACKING"),"Hydrocracker",IF($H13297="REFORMING","Reformer",""))))</f>
        <v/>
      </c>
    </row>
    <row r="13298" spans="6:7">
      <c r="F13298" s="6">
        <f>IF($M13298="PADD I","PADD 1",IF($M13298="PADD II","PADD 2",IF($M13298="PADD III","PADD 3",IF($M13298="PADD IV","PADD 4",IF($M13298="PADD V","PADD 5","")))))</f>
        <v/>
      </c>
      <c r="G13298" s="6">
        <f>IF(AND($H13298="ATMOS DISTILLATION",ISNUMBER(SEARCH("VPS",$I13298))=FALSE,LEFT($I13298,6)&lt;&gt;"VACUUM"),"CDU",IF($H13298="FLUID CAT CRACKING","FCC",IF(OR($H13298="HYDROCRACKING",$H13298="RESID_HYDROCRACKING"),"Hydrocracker",IF($H13298="REFORMING","Reformer",""))))</f>
        <v/>
      </c>
    </row>
    <row r="13299" spans="6:7">
      <c r="F13299" s="6">
        <f>IF($M13299="PADD I","PADD 1",IF($M13299="PADD II","PADD 2",IF($M13299="PADD III","PADD 3",IF($M13299="PADD IV","PADD 4",IF($M13299="PADD V","PADD 5","")))))</f>
        <v/>
      </c>
      <c r="G13299" s="6">
        <f>IF(AND($H13299="ATMOS DISTILLATION",ISNUMBER(SEARCH("VPS",$I13299))=FALSE,LEFT($I13299,6)&lt;&gt;"VACUUM"),"CDU",IF($H13299="FLUID CAT CRACKING","FCC",IF(OR($H13299="HYDROCRACKING",$H13299="RESID_HYDROCRACKING"),"Hydrocracker",IF($H13299="REFORMING","Reformer",""))))</f>
        <v/>
      </c>
    </row>
    <row r="13300" spans="6:7">
      <c r="F13300" s="6">
        <f>IF($M13300="PADD I","PADD 1",IF($M13300="PADD II","PADD 2",IF($M13300="PADD III","PADD 3",IF($M13300="PADD IV","PADD 4",IF($M13300="PADD V","PADD 5","")))))</f>
        <v/>
      </c>
      <c r="G13300" s="6">
        <f>IF(AND($H13300="ATMOS DISTILLATION",ISNUMBER(SEARCH("VPS",$I13300))=FALSE,LEFT($I13300,6)&lt;&gt;"VACUUM"),"CDU",IF($H13300="FLUID CAT CRACKING","FCC",IF(OR($H13300="HYDROCRACKING",$H13300="RESID_HYDROCRACKING"),"Hydrocracker",IF($H13300="REFORMING","Reformer",""))))</f>
        <v/>
      </c>
    </row>
    <row r="13301" spans="6:7">
      <c r="F13301" s="6">
        <f>IF($M13301="PADD I","PADD 1",IF($M13301="PADD II","PADD 2",IF($M13301="PADD III","PADD 3",IF($M13301="PADD IV","PADD 4",IF($M13301="PADD V","PADD 5","")))))</f>
        <v/>
      </c>
      <c r="G13301" s="6">
        <f>IF(AND($H13301="ATMOS DISTILLATION",ISNUMBER(SEARCH("VPS",$I13301))=FALSE,LEFT($I13301,6)&lt;&gt;"VACUUM"),"CDU",IF($H13301="FLUID CAT CRACKING","FCC",IF(OR($H13301="HYDROCRACKING",$H13301="RESID_HYDROCRACKING"),"Hydrocracker",IF($H13301="REFORMING","Reformer",""))))</f>
        <v/>
      </c>
    </row>
    <row r="13302" spans="6:7">
      <c r="F13302" s="6">
        <f>IF($M13302="PADD I","PADD 1",IF($M13302="PADD II","PADD 2",IF($M13302="PADD III","PADD 3",IF($M13302="PADD IV","PADD 4",IF($M13302="PADD V","PADD 5","")))))</f>
        <v/>
      </c>
      <c r="G13302" s="6">
        <f>IF(AND($H13302="ATMOS DISTILLATION",ISNUMBER(SEARCH("VPS",$I13302))=FALSE,LEFT($I13302,6)&lt;&gt;"VACUUM"),"CDU",IF($H13302="FLUID CAT CRACKING","FCC",IF(OR($H13302="HYDROCRACKING",$H13302="RESID_HYDROCRACKING"),"Hydrocracker",IF($H13302="REFORMING","Reformer",""))))</f>
        <v/>
      </c>
    </row>
    <row r="13303" spans="6:7">
      <c r="F13303" s="6">
        <f>IF($M13303="PADD I","PADD 1",IF($M13303="PADD II","PADD 2",IF($M13303="PADD III","PADD 3",IF($M13303="PADD IV","PADD 4",IF($M13303="PADD V","PADD 5","")))))</f>
        <v/>
      </c>
      <c r="G13303" s="6">
        <f>IF(AND($H13303="ATMOS DISTILLATION",ISNUMBER(SEARCH("VPS",$I13303))=FALSE,LEFT($I13303,6)&lt;&gt;"VACUUM"),"CDU",IF($H13303="FLUID CAT CRACKING","FCC",IF(OR($H13303="HYDROCRACKING",$H13303="RESID_HYDROCRACKING"),"Hydrocracker",IF($H13303="REFORMING","Reformer",""))))</f>
        <v/>
      </c>
    </row>
    <row r="13304" spans="6:7">
      <c r="F13304" s="6">
        <f>IF($M13304="PADD I","PADD 1",IF($M13304="PADD II","PADD 2",IF($M13304="PADD III","PADD 3",IF($M13304="PADD IV","PADD 4",IF($M13304="PADD V","PADD 5","")))))</f>
        <v/>
      </c>
      <c r="G13304" s="6">
        <f>IF(AND($H13304="ATMOS DISTILLATION",ISNUMBER(SEARCH("VPS",$I13304))=FALSE,LEFT($I13304,6)&lt;&gt;"VACUUM"),"CDU",IF($H13304="FLUID CAT CRACKING","FCC",IF(OR($H13304="HYDROCRACKING",$H13304="RESID_HYDROCRACKING"),"Hydrocracker",IF($H13304="REFORMING","Reformer",""))))</f>
        <v/>
      </c>
    </row>
    <row r="13305" spans="6:7">
      <c r="F13305" s="6">
        <f>IF($M13305="PADD I","PADD 1",IF($M13305="PADD II","PADD 2",IF($M13305="PADD III","PADD 3",IF($M13305="PADD IV","PADD 4",IF($M13305="PADD V","PADD 5","")))))</f>
        <v/>
      </c>
      <c r="G13305" s="6">
        <f>IF(AND($H13305="ATMOS DISTILLATION",ISNUMBER(SEARCH("VPS",$I13305))=FALSE,LEFT($I13305,6)&lt;&gt;"VACUUM"),"CDU",IF($H13305="FLUID CAT CRACKING","FCC",IF(OR($H13305="HYDROCRACKING",$H13305="RESID_HYDROCRACKING"),"Hydrocracker",IF($H13305="REFORMING","Reformer",""))))</f>
        <v/>
      </c>
    </row>
    <row r="13306" spans="6:7">
      <c r="F13306" s="6">
        <f>IF($M13306="PADD I","PADD 1",IF($M13306="PADD II","PADD 2",IF($M13306="PADD III","PADD 3",IF($M13306="PADD IV","PADD 4",IF($M13306="PADD V","PADD 5","")))))</f>
        <v/>
      </c>
      <c r="G13306" s="6">
        <f>IF(AND($H13306="ATMOS DISTILLATION",ISNUMBER(SEARCH("VPS",$I13306))=FALSE,LEFT($I13306,6)&lt;&gt;"VACUUM"),"CDU",IF($H13306="FLUID CAT CRACKING","FCC",IF(OR($H13306="HYDROCRACKING",$H13306="RESID_HYDROCRACKING"),"Hydrocracker",IF($H13306="REFORMING","Reformer",""))))</f>
        <v/>
      </c>
    </row>
    <row r="13307" spans="6:7">
      <c r="F13307" s="6">
        <f>IF($M13307="PADD I","PADD 1",IF($M13307="PADD II","PADD 2",IF($M13307="PADD III","PADD 3",IF($M13307="PADD IV","PADD 4",IF($M13307="PADD V","PADD 5","")))))</f>
        <v/>
      </c>
      <c r="G13307" s="6">
        <f>IF(AND($H13307="ATMOS DISTILLATION",ISNUMBER(SEARCH("VPS",$I13307))=FALSE,LEFT($I13307,6)&lt;&gt;"VACUUM"),"CDU",IF($H13307="FLUID CAT CRACKING","FCC",IF(OR($H13307="HYDROCRACKING",$H13307="RESID_HYDROCRACKING"),"Hydrocracker",IF($H13307="REFORMING","Reformer",""))))</f>
        <v/>
      </c>
    </row>
    <row r="13308" spans="6:7">
      <c r="F13308" s="6">
        <f>IF($M13308="PADD I","PADD 1",IF($M13308="PADD II","PADD 2",IF($M13308="PADD III","PADD 3",IF($M13308="PADD IV","PADD 4",IF($M13308="PADD V","PADD 5","")))))</f>
        <v/>
      </c>
      <c r="G13308" s="6">
        <f>IF(AND($H13308="ATMOS DISTILLATION",ISNUMBER(SEARCH("VPS",$I13308))=FALSE,LEFT($I13308,6)&lt;&gt;"VACUUM"),"CDU",IF($H13308="FLUID CAT CRACKING","FCC",IF(OR($H13308="HYDROCRACKING",$H13308="RESID_HYDROCRACKING"),"Hydrocracker",IF($H13308="REFORMING","Reformer",""))))</f>
        <v/>
      </c>
    </row>
    <row r="13309" spans="6:7">
      <c r="F13309" s="6">
        <f>IF($M13309="PADD I","PADD 1",IF($M13309="PADD II","PADD 2",IF($M13309="PADD III","PADD 3",IF($M13309="PADD IV","PADD 4",IF($M13309="PADD V","PADD 5","")))))</f>
        <v/>
      </c>
      <c r="G13309" s="6">
        <f>IF(AND($H13309="ATMOS DISTILLATION",ISNUMBER(SEARCH("VPS",$I13309))=FALSE,LEFT($I13309,6)&lt;&gt;"VACUUM"),"CDU",IF($H13309="FLUID CAT CRACKING","FCC",IF(OR($H13309="HYDROCRACKING",$H13309="RESID_HYDROCRACKING"),"Hydrocracker",IF($H13309="REFORMING","Reformer",""))))</f>
        <v/>
      </c>
    </row>
    <row r="13310" spans="6:7">
      <c r="F13310" s="6">
        <f>IF($M13310="PADD I","PADD 1",IF($M13310="PADD II","PADD 2",IF($M13310="PADD III","PADD 3",IF($M13310="PADD IV","PADD 4",IF($M13310="PADD V","PADD 5","")))))</f>
        <v/>
      </c>
      <c r="G13310" s="6">
        <f>IF(AND($H13310="ATMOS DISTILLATION",ISNUMBER(SEARCH("VPS",$I13310))=FALSE,LEFT($I13310,6)&lt;&gt;"VACUUM"),"CDU",IF($H13310="FLUID CAT CRACKING","FCC",IF(OR($H13310="HYDROCRACKING",$H13310="RESID_HYDROCRACKING"),"Hydrocracker",IF($H13310="REFORMING","Reformer",""))))</f>
        <v/>
      </c>
    </row>
    <row r="13311" spans="6:7">
      <c r="F13311" s="6">
        <f>IF($M13311="PADD I","PADD 1",IF($M13311="PADD II","PADD 2",IF($M13311="PADD III","PADD 3",IF($M13311="PADD IV","PADD 4",IF($M13311="PADD V","PADD 5","")))))</f>
        <v/>
      </c>
      <c r="G13311" s="6">
        <f>IF(AND($H13311="ATMOS DISTILLATION",ISNUMBER(SEARCH("VPS",$I13311))=FALSE,LEFT($I13311,6)&lt;&gt;"VACUUM"),"CDU",IF($H13311="FLUID CAT CRACKING","FCC",IF(OR($H13311="HYDROCRACKING",$H13311="RESID_HYDROCRACKING"),"Hydrocracker",IF($H13311="REFORMING","Reformer",""))))</f>
        <v/>
      </c>
    </row>
    <row r="13312" spans="6:7">
      <c r="F13312" s="6">
        <f>IF($M13312="PADD I","PADD 1",IF($M13312="PADD II","PADD 2",IF($M13312="PADD III","PADD 3",IF($M13312="PADD IV","PADD 4",IF($M13312="PADD V","PADD 5","")))))</f>
        <v/>
      </c>
      <c r="G13312" s="6">
        <f>IF(AND($H13312="ATMOS DISTILLATION",ISNUMBER(SEARCH("VPS",$I13312))=FALSE,LEFT($I13312,6)&lt;&gt;"VACUUM"),"CDU",IF($H13312="FLUID CAT CRACKING","FCC",IF(OR($H13312="HYDROCRACKING",$H13312="RESID_HYDROCRACKING"),"Hydrocracker",IF($H13312="REFORMING","Reformer",""))))</f>
        <v/>
      </c>
    </row>
    <row r="13313" spans="6:7">
      <c r="F13313" s="6">
        <f>IF($M13313="PADD I","PADD 1",IF($M13313="PADD II","PADD 2",IF($M13313="PADD III","PADD 3",IF($M13313="PADD IV","PADD 4",IF($M13313="PADD V","PADD 5","")))))</f>
        <v/>
      </c>
      <c r="G13313" s="6">
        <f>IF(AND($H13313="ATMOS DISTILLATION",ISNUMBER(SEARCH("VPS",$I13313))=FALSE,LEFT($I13313,6)&lt;&gt;"VACUUM"),"CDU",IF($H13313="FLUID CAT CRACKING","FCC",IF(OR($H13313="HYDROCRACKING",$H13313="RESID_HYDROCRACKING"),"Hydrocracker",IF($H13313="REFORMING","Reformer",""))))</f>
        <v/>
      </c>
    </row>
    <row r="13314" spans="6:7">
      <c r="F13314" s="6">
        <f>IF($M13314="PADD I","PADD 1",IF($M13314="PADD II","PADD 2",IF($M13314="PADD III","PADD 3",IF($M13314="PADD IV","PADD 4",IF($M13314="PADD V","PADD 5","")))))</f>
        <v/>
      </c>
      <c r="G13314" s="6">
        <f>IF(AND($H13314="ATMOS DISTILLATION",ISNUMBER(SEARCH("VPS",$I13314))=FALSE,LEFT($I13314,6)&lt;&gt;"VACUUM"),"CDU",IF($H13314="FLUID CAT CRACKING","FCC",IF(OR($H13314="HYDROCRACKING",$H13314="RESID_HYDROCRACKING"),"Hydrocracker",IF($H13314="REFORMING","Reformer",""))))</f>
        <v/>
      </c>
    </row>
    <row r="13315" spans="6:7">
      <c r="F13315" s="6">
        <f>IF($M13315="PADD I","PADD 1",IF($M13315="PADD II","PADD 2",IF($M13315="PADD III","PADD 3",IF($M13315="PADD IV","PADD 4",IF($M13315="PADD V","PADD 5","")))))</f>
        <v/>
      </c>
      <c r="G13315" s="6">
        <f>IF(AND($H13315="ATMOS DISTILLATION",ISNUMBER(SEARCH("VPS",$I13315))=FALSE,LEFT($I13315,6)&lt;&gt;"VACUUM"),"CDU",IF($H13315="FLUID CAT CRACKING","FCC",IF(OR($H13315="HYDROCRACKING",$H13315="RESID_HYDROCRACKING"),"Hydrocracker",IF($H13315="REFORMING","Reformer",""))))</f>
        <v/>
      </c>
    </row>
    <row r="13316" spans="6:7">
      <c r="F13316" s="6">
        <f>IF($M13316="PADD I","PADD 1",IF($M13316="PADD II","PADD 2",IF($M13316="PADD III","PADD 3",IF($M13316="PADD IV","PADD 4",IF($M13316="PADD V","PADD 5","")))))</f>
        <v/>
      </c>
      <c r="G13316" s="6">
        <f>IF(AND($H13316="ATMOS DISTILLATION",ISNUMBER(SEARCH("VPS",$I13316))=FALSE,LEFT($I13316,6)&lt;&gt;"VACUUM"),"CDU",IF($H13316="FLUID CAT CRACKING","FCC",IF(OR($H13316="HYDROCRACKING",$H13316="RESID_HYDROCRACKING"),"Hydrocracker",IF($H13316="REFORMING","Reformer",""))))</f>
        <v/>
      </c>
    </row>
    <row r="13317" spans="6:7">
      <c r="F13317" s="6">
        <f>IF($M13317="PADD I","PADD 1",IF($M13317="PADD II","PADD 2",IF($M13317="PADD III","PADD 3",IF($M13317="PADD IV","PADD 4",IF($M13317="PADD V","PADD 5","")))))</f>
        <v/>
      </c>
      <c r="G13317" s="6">
        <f>IF(AND($H13317="ATMOS DISTILLATION",ISNUMBER(SEARCH("VPS",$I13317))=FALSE,LEFT($I13317,6)&lt;&gt;"VACUUM"),"CDU",IF($H13317="FLUID CAT CRACKING","FCC",IF(OR($H13317="HYDROCRACKING",$H13317="RESID_HYDROCRACKING"),"Hydrocracker",IF($H13317="REFORMING","Reformer",""))))</f>
        <v/>
      </c>
    </row>
    <row r="13318" spans="6:7">
      <c r="F13318" s="6">
        <f>IF($M13318="PADD I","PADD 1",IF($M13318="PADD II","PADD 2",IF($M13318="PADD III","PADD 3",IF($M13318="PADD IV","PADD 4",IF($M13318="PADD V","PADD 5","")))))</f>
        <v/>
      </c>
      <c r="G13318" s="6">
        <f>IF(AND($H13318="ATMOS DISTILLATION",ISNUMBER(SEARCH("VPS",$I13318))=FALSE,LEFT($I13318,6)&lt;&gt;"VACUUM"),"CDU",IF($H13318="FLUID CAT CRACKING","FCC",IF(OR($H13318="HYDROCRACKING",$H13318="RESID_HYDROCRACKING"),"Hydrocracker",IF($H13318="REFORMING","Reformer",""))))</f>
        <v/>
      </c>
    </row>
    <row r="13319" spans="6:7">
      <c r="F13319" s="6">
        <f>IF($M13319="PADD I","PADD 1",IF($M13319="PADD II","PADD 2",IF($M13319="PADD III","PADD 3",IF($M13319="PADD IV","PADD 4",IF($M13319="PADD V","PADD 5","")))))</f>
        <v/>
      </c>
      <c r="G13319" s="6">
        <f>IF(AND($H13319="ATMOS DISTILLATION",ISNUMBER(SEARCH("VPS",$I13319))=FALSE,LEFT($I13319,6)&lt;&gt;"VACUUM"),"CDU",IF($H13319="FLUID CAT CRACKING","FCC",IF(OR($H13319="HYDROCRACKING",$H13319="RESID_HYDROCRACKING"),"Hydrocracker",IF($H13319="REFORMING","Reformer",""))))</f>
        <v/>
      </c>
    </row>
    <row r="13320" spans="6:7">
      <c r="F13320" s="6">
        <f>IF($M13320="PADD I","PADD 1",IF($M13320="PADD II","PADD 2",IF($M13320="PADD III","PADD 3",IF($M13320="PADD IV","PADD 4",IF($M13320="PADD V","PADD 5","")))))</f>
        <v/>
      </c>
      <c r="G13320" s="6">
        <f>IF(AND($H13320="ATMOS DISTILLATION",ISNUMBER(SEARCH("VPS",$I13320))=FALSE,LEFT($I13320,6)&lt;&gt;"VACUUM"),"CDU",IF($H13320="FLUID CAT CRACKING","FCC",IF(OR($H13320="HYDROCRACKING",$H13320="RESID_HYDROCRACKING"),"Hydrocracker",IF($H13320="REFORMING","Reformer",""))))</f>
        <v/>
      </c>
    </row>
    <row r="13321" spans="6:7">
      <c r="F13321" s="6">
        <f>IF($M13321="PADD I","PADD 1",IF($M13321="PADD II","PADD 2",IF($M13321="PADD III","PADD 3",IF($M13321="PADD IV","PADD 4",IF($M13321="PADD V","PADD 5","")))))</f>
        <v/>
      </c>
      <c r="G13321" s="6">
        <f>IF(AND($H13321="ATMOS DISTILLATION",ISNUMBER(SEARCH("VPS",$I13321))=FALSE,LEFT($I13321,6)&lt;&gt;"VACUUM"),"CDU",IF($H13321="FLUID CAT CRACKING","FCC",IF(OR($H13321="HYDROCRACKING",$H13321="RESID_HYDROCRACKING"),"Hydrocracker",IF($H13321="REFORMING","Reformer",""))))</f>
        <v/>
      </c>
    </row>
    <row r="13322" spans="6:7">
      <c r="F13322" s="6">
        <f>IF($M13322="PADD I","PADD 1",IF($M13322="PADD II","PADD 2",IF($M13322="PADD III","PADD 3",IF($M13322="PADD IV","PADD 4",IF($M13322="PADD V","PADD 5","")))))</f>
        <v/>
      </c>
      <c r="G13322" s="6">
        <f>IF(AND($H13322="ATMOS DISTILLATION",ISNUMBER(SEARCH("VPS",$I13322))=FALSE,LEFT($I13322,6)&lt;&gt;"VACUUM"),"CDU",IF($H13322="FLUID CAT CRACKING","FCC",IF(OR($H13322="HYDROCRACKING",$H13322="RESID_HYDROCRACKING"),"Hydrocracker",IF($H13322="REFORMING","Reformer",""))))</f>
        <v/>
      </c>
    </row>
    <row r="13323" spans="6:7">
      <c r="F13323" s="6">
        <f>IF($M13323="PADD I","PADD 1",IF($M13323="PADD II","PADD 2",IF($M13323="PADD III","PADD 3",IF($M13323="PADD IV","PADD 4",IF($M13323="PADD V","PADD 5","")))))</f>
        <v/>
      </c>
      <c r="G13323" s="6">
        <f>IF(AND($H13323="ATMOS DISTILLATION",ISNUMBER(SEARCH("VPS",$I13323))=FALSE,LEFT($I13323,6)&lt;&gt;"VACUUM"),"CDU",IF($H13323="FLUID CAT CRACKING","FCC",IF(OR($H13323="HYDROCRACKING",$H13323="RESID_HYDROCRACKING"),"Hydrocracker",IF($H13323="REFORMING","Reformer",""))))</f>
        <v/>
      </c>
    </row>
    <row r="13324" spans="6:7">
      <c r="F13324" s="6">
        <f>IF($M13324="PADD I","PADD 1",IF($M13324="PADD II","PADD 2",IF($M13324="PADD III","PADD 3",IF($M13324="PADD IV","PADD 4",IF($M13324="PADD V","PADD 5","")))))</f>
        <v/>
      </c>
      <c r="G13324" s="6">
        <f>IF(AND($H13324="ATMOS DISTILLATION",ISNUMBER(SEARCH("VPS",$I13324))=FALSE,LEFT($I13324,6)&lt;&gt;"VACUUM"),"CDU",IF($H13324="FLUID CAT CRACKING","FCC",IF(OR($H13324="HYDROCRACKING",$H13324="RESID_HYDROCRACKING"),"Hydrocracker",IF($H13324="REFORMING","Reformer",""))))</f>
        <v/>
      </c>
    </row>
    <row r="13325" spans="6:7">
      <c r="F13325" s="6">
        <f>IF($M13325="PADD I","PADD 1",IF($M13325="PADD II","PADD 2",IF($M13325="PADD III","PADD 3",IF($M13325="PADD IV","PADD 4",IF($M13325="PADD V","PADD 5","")))))</f>
        <v/>
      </c>
      <c r="G13325" s="6">
        <f>IF(AND($H13325="ATMOS DISTILLATION",ISNUMBER(SEARCH("VPS",$I13325))=FALSE,LEFT($I13325,6)&lt;&gt;"VACUUM"),"CDU",IF($H13325="FLUID CAT CRACKING","FCC",IF(OR($H13325="HYDROCRACKING",$H13325="RESID_HYDROCRACKING"),"Hydrocracker",IF($H13325="REFORMING","Reformer",""))))</f>
        <v/>
      </c>
    </row>
    <row r="13326" spans="6:7">
      <c r="F13326" s="6">
        <f>IF($M13326="PADD I","PADD 1",IF($M13326="PADD II","PADD 2",IF($M13326="PADD III","PADD 3",IF($M13326="PADD IV","PADD 4",IF($M13326="PADD V","PADD 5","")))))</f>
        <v/>
      </c>
      <c r="G13326" s="6">
        <f>IF(AND($H13326="ATMOS DISTILLATION",ISNUMBER(SEARCH("VPS",$I13326))=FALSE,LEFT($I13326,6)&lt;&gt;"VACUUM"),"CDU",IF($H13326="FLUID CAT CRACKING","FCC",IF(OR($H13326="HYDROCRACKING",$H13326="RESID_HYDROCRACKING"),"Hydrocracker",IF($H13326="REFORMING","Reformer",""))))</f>
        <v/>
      </c>
    </row>
    <row r="13327" spans="6:7">
      <c r="F13327" s="6">
        <f>IF($M13327="PADD I","PADD 1",IF($M13327="PADD II","PADD 2",IF($M13327="PADD III","PADD 3",IF($M13327="PADD IV","PADD 4",IF($M13327="PADD V","PADD 5","")))))</f>
        <v/>
      </c>
      <c r="G13327" s="6">
        <f>IF(AND($H13327="ATMOS DISTILLATION",ISNUMBER(SEARCH("VPS",$I13327))=FALSE,LEFT($I13327,6)&lt;&gt;"VACUUM"),"CDU",IF($H13327="FLUID CAT CRACKING","FCC",IF(OR($H13327="HYDROCRACKING",$H13327="RESID_HYDROCRACKING"),"Hydrocracker",IF($H13327="REFORMING","Reformer",""))))</f>
        <v/>
      </c>
    </row>
    <row r="13328" spans="6:7">
      <c r="F13328" s="6">
        <f>IF($M13328="PADD I","PADD 1",IF($M13328="PADD II","PADD 2",IF($M13328="PADD III","PADD 3",IF($M13328="PADD IV","PADD 4",IF($M13328="PADD V","PADD 5","")))))</f>
        <v/>
      </c>
      <c r="G13328" s="6">
        <f>IF(AND($H13328="ATMOS DISTILLATION",ISNUMBER(SEARCH("VPS",$I13328))=FALSE,LEFT($I13328,6)&lt;&gt;"VACUUM"),"CDU",IF($H13328="FLUID CAT CRACKING","FCC",IF(OR($H13328="HYDROCRACKING",$H13328="RESID_HYDROCRACKING"),"Hydrocracker",IF($H13328="REFORMING","Reformer",""))))</f>
        <v/>
      </c>
    </row>
    <row r="13329" spans="6:7">
      <c r="F13329" s="6">
        <f>IF($M13329="PADD I","PADD 1",IF($M13329="PADD II","PADD 2",IF($M13329="PADD III","PADD 3",IF($M13329="PADD IV","PADD 4",IF($M13329="PADD V","PADD 5","")))))</f>
        <v/>
      </c>
      <c r="G13329" s="6">
        <f>IF(AND($H13329="ATMOS DISTILLATION",ISNUMBER(SEARCH("VPS",$I13329))=FALSE,LEFT($I13329,6)&lt;&gt;"VACUUM"),"CDU",IF($H13329="FLUID CAT CRACKING","FCC",IF(OR($H13329="HYDROCRACKING",$H13329="RESID_HYDROCRACKING"),"Hydrocracker",IF($H13329="REFORMING","Reformer",""))))</f>
        <v/>
      </c>
    </row>
    <row r="13330" spans="6:7">
      <c r="F13330" s="6">
        <f>IF($M13330="PADD I","PADD 1",IF($M13330="PADD II","PADD 2",IF($M13330="PADD III","PADD 3",IF($M13330="PADD IV","PADD 4",IF($M13330="PADD V","PADD 5","")))))</f>
        <v/>
      </c>
      <c r="G13330" s="6">
        <f>IF(AND($H13330="ATMOS DISTILLATION",ISNUMBER(SEARCH("VPS",$I13330))=FALSE,LEFT($I13330,6)&lt;&gt;"VACUUM"),"CDU",IF($H13330="FLUID CAT CRACKING","FCC",IF(OR($H13330="HYDROCRACKING",$H13330="RESID_HYDROCRACKING"),"Hydrocracker",IF($H13330="REFORMING","Reformer",""))))</f>
        <v/>
      </c>
    </row>
    <row r="13331" spans="6:7">
      <c r="F13331" s="6">
        <f>IF($M13331="PADD I","PADD 1",IF($M13331="PADD II","PADD 2",IF($M13331="PADD III","PADD 3",IF($M13331="PADD IV","PADD 4",IF($M13331="PADD V","PADD 5","")))))</f>
        <v/>
      </c>
      <c r="G13331" s="6">
        <f>IF(AND($H13331="ATMOS DISTILLATION",ISNUMBER(SEARCH("VPS",$I13331))=FALSE,LEFT($I13331,6)&lt;&gt;"VACUUM"),"CDU",IF($H13331="FLUID CAT CRACKING","FCC",IF(OR($H13331="HYDROCRACKING",$H13331="RESID_HYDROCRACKING"),"Hydrocracker",IF($H13331="REFORMING","Reformer",""))))</f>
        <v/>
      </c>
    </row>
    <row r="13332" spans="6:7">
      <c r="F13332" s="6">
        <f>IF($M13332="PADD I","PADD 1",IF($M13332="PADD II","PADD 2",IF($M13332="PADD III","PADD 3",IF($M13332="PADD IV","PADD 4",IF($M13332="PADD V","PADD 5","")))))</f>
        <v/>
      </c>
      <c r="G13332" s="6">
        <f>IF(AND($H13332="ATMOS DISTILLATION",ISNUMBER(SEARCH("VPS",$I13332))=FALSE,LEFT($I13332,6)&lt;&gt;"VACUUM"),"CDU",IF($H13332="FLUID CAT CRACKING","FCC",IF(OR($H13332="HYDROCRACKING",$H13332="RESID_HYDROCRACKING"),"Hydrocracker",IF($H13332="REFORMING","Reformer",""))))</f>
        <v/>
      </c>
    </row>
    <row r="13333" spans="6:7">
      <c r="F13333" s="6">
        <f>IF($M13333="PADD I","PADD 1",IF($M13333="PADD II","PADD 2",IF($M13333="PADD III","PADD 3",IF($M13333="PADD IV","PADD 4",IF($M13333="PADD V","PADD 5","")))))</f>
        <v/>
      </c>
      <c r="G13333" s="6">
        <f>IF(AND($H13333="ATMOS DISTILLATION",ISNUMBER(SEARCH("VPS",$I13333))=FALSE,LEFT($I13333,6)&lt;&gt;"VACUUM"),"CDU",IF($H13333="FLUID CAT CRACKING","FCC",IF(OR($H13333="HYDROCRACKING",$H13333="RESID_HYDROCRACKING"),"Hydrocracker",IF($H13333="REFORMING","Reformer",""))))</f>
        <v/>
      </c>
    </row>
    <row r="13334" spans="6:7">
      <c r="F13334" s="6">
        <f>IF($M13334="PADD I","PADD 1",IF($M13334="PADD II","PADD 2",IF($M13334="PADD III","PADD 3",IF($M13334="PADD IV","PADD 4",IF($M13334="PADD V","PADD 5","")))))</f>
        <v/>
      </c>
      <c r="G13334" s="6">
        <f>IF(AND($H13334="ATMOS DISTILLATION",ISNUMBER(SEARCH("VPS",$I13334))=FALSE,LEFT($I13334,6)&lt;&gt;"VACUUM"),"CDU",IF($H13334="FLUID CAT CRACKING","FCC",IF(OR($H13334="HYDROCRACKING",$H13334="RESID_HYDROCRACKING"),"Hydrocracker",IF($H13334="REFORMING","Reformer",""))))</f>
        <v/>
      </c>
    </row>
    <row r="13335" spans="6:7">
      <c r="F13335" s="6">
        <f>IF($M13335="PADD I","PADD 1",IF($M13335="PADD II","PADD 2",IF($M13335="PADD III","PADD 3",IF($M13335="PADD IV","PADD 4",IF($M13335="PADD V","PADD 5","")))))</f>
        <v/>
      </c>
      <c r="G13335" s="6">
        <f>IF(AND($H13335="ATMOS DISTILLATION",ISNUMBER(SEARCH("VPS",$I13335))=FALSE,LEFT($I13335,6)&lt;&gt;"VACUUM"),"CDU",IF($H13335="FLUID CAT CRACKING","FCC",IF(OR($H13335="HYDROCRACKING",$H13335="RESID_HYDROCRACKING"),"Hydrocracker",IF($H13335="REFORMING","Reformer",""))))</f>
        <v/>
      </c>
    </row>
    <row r="13336" spans="6:7">
      <c r="F13336" s="6">
        <f>IF($M13336="PADD I","PADD 1",IF($M13336="PADD II","PADD 2",IF($M13336="PADD III","PADD 3",IF($M13336="PADD IV","PADD 4",IF($M13336="PADD V","PADD 5","")))))</f>
        <v/>
      </c>
      <c r="G13336" s="6">
        <f>IF(AND($H13336="ATMOS DISTILLATION",ISNUMBER(SEARCH("VPS",$I13336))=FALSE,LEFT($I13336,6)&lt;&gt;"VACUUM"),"CDU",IF($H13336="FLUID CAT CRACKING","FCC",IF(OR($H13336="HYDROCRACKING",$H13336="RESID_HYDROCRACKING"),"Hydrocracker",IF($H13336="REFORMING","Reformer",""))))</f>
        <v/>
      </c>
    </row>
    <row r="13337" spans="6:7">
      <c r="F13337" s="6">
        <f>IF($M13337="PADD I","PADD 1",IF($M13337="PADD II","PADD 2",IF($M13337="PADD III","PADD 3",IF($M13337="PADD IV","PADD 4",IF($M13337="PADD V","PADD 5","")))))</f>
        <v/>
      </c>
      <c r="G13337" s="6">
        <f>IF(AND($H13337="ATMOS DISTILLATION",ISNUMBER(SEARCH("VPS",$I13337))=FALSE,LEFT($I13337,6)&lt;&gt;"VACUUM"),"CDU",IF($H13337="FLUID CAT CRACKING","FCC",IF(OR($H13337="HYDROCRACKING",$H13337="RESID_HYDROCRACKING"),"Hydrocracker",IF($H13337="REFORMING","Reformer",""))))</f>
        <v/>
      </c>
    </row>
    <row r="13338" spans="6:7">
      <c r="F13338" s="6">
        <f>IF($M13338="PADD I","PADD 1",IF($M13338="PADD II","PADD 2",IF($M13338="PADD III","PADD 3",IF($M13338="PADD IV","PADD 4",IF($M13338="PADD V","PADD 5","")))))</f>
        <v/>
      </c>
      <c r="G13338" s="6">
        <f>IF(AND($H13338="ATMOS DISTILLATION",ISNUMBER(SEARCH("VPS",$I13338))=FALSE,LEFT($I13338,6)&lt;&gt;"VACUUM"),"CDU",IF($H13338="FLUID CAT CRACKING","FCC",IF(OR($H13338="HYDROCRACKING",$H13338="RESID_HYDROCRACKING"),"Hydrocracker",IF($H13338="REFORMING","Reformer",""))))</f>
        <v/>
      </c>
    </row>
    <row r="13339" spans="6:7">
      <c r="F13339" s="6">
        <f>IF($M13339="PADD I","PADD 1",IF($M13339="PADD II","PADD 2",IF($M13339="PADD III","PADD 3",IF($M13339="PADD IV","PADD 4",IF($M13339="PADD V","PADD 5","")))))</f>
        <v/>
      </c>
      <c r="G13339" s="6">
        <f>IF(AND($H13339="ATMOS DISTILLATION",ISNUMBER(SEARCH("VPS",$I13339))=FALSE,LEFT($I13339,6)&lt;&gt;"VACUUM"),"CDU",IF($H13339="FLUID CAT CRACKING","FCC",IF(OR($H13339="HYDROCRACKING",$H13339="RESID_HYDROCRACKING"),"Hydrocracker",IF($H13339="REFORMING","Reformer",""))))</f>
        <v/>
      </c>
    </row>
    <row r="13340" spans="6:7">
      <c r="F13340" s="6">
        <f>IF($M13340="PADD I","PADD 1",IF($M13340="PADD II","PADD 2",IF($M13340="PADD III","PADD 3",IF($M13340="PADD IV","PADD 4",IF($M13340="PADD V","PADD 5","")))))</f>
        <v/>
      </c>
      <c r="G13340" s="6">
        <f>IF(AND($H13340="ATMOS DISTILLATION",ISNUMBER(SEARCH("VPS",$I13340))=FALSE,LEFT($I13340,6)&lt;&gt;"VACUUM"),"CDU",IF($H13340="FLUID CAT CRACKING","FCC",IF(OR($H13340="HYDROCRACKING",$H13340="RESID_HYDROCRACKING"),"Hydrocracker",IF($H13340="REFORMING","Reformer",""))))</f>
        <v/>
      </c>
    </row>
    <row r="13341" spans="6:7">
      <c r="F13341" s="6">
        <f>IF($M13341="PADD I","PADD 1",IF($M13341="PADD II","PADD 2",IF($M13341="PADD III","PADD 3",IF($M13341="PADD IV","PADD 4",IF($M13341="PADD V","PADD 5","")))))</f>
        <v/>
      </c>
      <c r="G13341" s="6">
        <f>IF(AND($H13341="ATMOS DISTILLATION",ISNUMBER(SEARCH("VPS",$I13341))=FALSE,LEFT($I13341,6)&lt;&gt;"VACUUM"),"CDU",IF($H13341="FLUID CAT CRACKING","FCC",IF(OR($H13341="HYDROCRACKING",$H13341="RESID_HYDROCRACKING"),"Hydrocracker",IF($H13341="REFORMING","Reformer",""))))</f>
        <v/>
      </c>
    </row>
    <row r="13342" spans="6:7">
      <c r="F13342" s="6">
        <f>IF($M13342="PADD I","PADD 1",IF($M13342="PADD II","PADD 2",IF($M13342="PADD III","PADD 3",IF($M13342="PADD IV","PADD 4",IF($M13342="PADD V","PADD 5","")))))</f>
        <v/>
      </c>
      <c r="G13342" s="6">
        <f>IF(AND($H13342="ATMOS DISTILLATION",ISNUMBER(SEARCH("VPS",$I13342))=FALSE,LEFT($I13342,6)&lt;&gt;"VACUUM"),"CDU",IF($H13342="FLUID CAT CRACKING","FCC",IF(OR($H13342="HYDROCRACKING",$H13342="RESID_HYDROCRACKING"),"Hydrocracker",IF($H13342="REFORMING","Reformer",""))))</f>
        <v/>
      </c>
    </row>
    <row r="13343" spans="6:7">
      <c r="F13343" s="6">
        <f>IF($M13343="PADD I","PADD 1",IF($M13343="PADD II","PADD 2",IF($M13343="PADD III","PADD 3",IF($M13343="PADD IV","PADD 4",IF($M13343="PADD V","PADD 5","")))))</f>
        <v/>
      </c>
      <c r="G13343" s="6">
        <f>IF(AND($H13343="ATMOS DISTILLATION",ISNUMBER(SEARCH("VPS",$I13343))=FALSE,LEFT($I13343,6)&lt;&gt;"VACUUM"),"CDU",IF($H13343="FLUID CAT CRACKING","FCC",IF(OR($H13343="HYDROCRACKING",$H13343="RESID_HYDROCRACKING"),"Hydrocracker",IF($H13343="REFORMING","Reformer",""))))</f>
        <v/>
      </c>
    </row>
    <row r="13344" spans="6:7">
      <c r="F13344" s="6">
        <f>IF($M13344="PADD I","PADD 1",IF($M13344="PADD II","PADD 2",IF($M13344="PADD III","PADD 3",IF($M13344="PADD IV","PADD 4",IF($M13344="PADD V","PADD 5","")))))</f>
        <v/>
      </c>
      <c r="G13344" s="6">
        <f>IF(AND($H13344="ATMOS DISTILLATION",ISNUMBER(SEARCH("VPS",$I13344))=FALSE,LEFT($I13344,6)&lt;&gt;"VACUUM"),"CDU",IF($H13344="FLUID CAT CRACKING","FCC",IF(OR($H13344="HYDROCRACKING",$H13344="RESID_HYDROCRACKING"),"Hydrocracker",IF($H13344="REFORMING","Reformer",""))))</f>
        <v/>
      </c>
    </row>
    <row r="13345" spans="6:7">
      <c r="F13345" s="6">
        <f>IF($M13345="PADD I","PADD 1",IF($M13345="PADD II","PADD 2",IF($M13345="PADD III","PADD 3",IF($M13345="PADD IV","PADD 4",IF($M13345="PADD V","PADD 5","")))))</f>
        <v/>
      </c>
      <c r="G13345" s="6">
        <f>IF(AND($H13345="ATMOS DISTILLATION",ISNUMBER(SEARCH("VPS",$I13345))=FALSE,LEFT($I13345,6)&lt;&gt;"VACUUM"),"CDU",IF($H13345="FLUID CAT CRACKING","FCC",IF(OR($H13345="HYDROCRACKING",$H13345="RESID_HYDROCRACKING"),"Hydrocracker",IF($H13345="REFORMING","Reformer",""))))</f>
        <v/>
      </c>
    </row>
    <row r="13346" spans="6:7">
      <c r="F13346" s="6">
        <f>IF($M13346="PADD I","PADD 1",IF($M13346="PADD II","PADD 2",IF($M13346="PADD III","PADD 3",IF($M13346="PADD IV","PADD 4",IF($M13346="PADD V","PADD 5","")))))</f>
        <v/>
      </c>
      <c r="G13346" s="6">
        <f>IF(AND($H13346="ATMOS DISTILLATION",ISNUMBER(SEARCH("VPS",$I13346))=FALSE,LEFT($I13346,6)&lt;&gt;"VACUUM"),"CDU",IF($H13346="FLUID CAT CRACKING","FCC",IF(OR($H13346="HYDROCRACKING",$H13346="RESID_HYDROCRACKING"),"Hydrocracker",IF($H13346="REFORMING","Reformer",""))))</f>
        <v/>
      </c>
    </row>
    <row r="13347" spans="6:7">
      <c r="F13347" s="6">
        <f>IF($M13347="PADD I","PADD 1",IF($M13347="PADD II","PADD 2",IF($M13347="PADD III","PADD 3",IF($M13347="PADD IV","PADD 4",IF($M13347="PADD V","PADD 5","")))))</f>
        <v/>
      </c>
      <c r="G13347" s="6">
        <f>IF(AND($H13347="ATMOS DISTILLATION",ISNUMBER(SEARCH("VPS",$I13347))=FALSE,LEFT($I13347,6)&lt;&gt;"VACUUM"),"CDU",IF($H13347="FLUID CAT CRACKING","FCC",IF(OR($H13347="HYDROCRACKING",$H13347="RESID_HYDROCRACKING"),"Hydrocracker",IF($H13347="REFORMING","Reformer",""))))</f>
        <v/>
      </c>
    </row>
    <row r="13348" spans="6:7">
      <c r="F13348" s="6">
        <f>IF($M13348="PADD I","PADD 1",IF($M13348="PADD II","PADD 2",IF($M13348="PADD III","PADD 3",IF($M13348="PADD IV","PADD 4",IF($M13348="PADD V","PADD 5","")))))</f>
        <v/>
      </c>
      <c r="G13348" s="6">
        <f>IF(AND($H13348="ATMOS DISTILLATION",ISNUMBER(SEARCH("VPS",$I13348))=FALSE,LEFT($I13348,6)&lt;&gt;"VACUUM"),"CDU",IF($H13348="FLUID CAT CRACKING","FCC",IF(OR($H13348="HYDROCRACKING",$H13348="RESID_HYDROCRACKING"),"Hydrocracker",IF($H13348="REFORMING","Reformer",""))))</f>
        <v/>
      </c>
    </row>
    <row r="13349" spans="6:7">
      <c r="F13349" s="6">
        <f>IF($M13349="PADD I","PADD 1",IF($M13349="PADD II","PADD 2",IF($M13349="PADD III","PADD 3",IF($M13349="PADD IV","PADD 4",IF($M13349="PADD V","PADD 5","")))))</f>
        <v/>
      </c>
      <c r="G13349" s="6">
        <f>IF(AND($H13349="ATMOS DISTILLATION",ISNUMBER(SEARCH("VPS",$I13349))=FALSE,LEFT($I13349,6)&lt;&gt;"VACUUM"),"CDU",IF($H13349="FLUID CAT CRACKING","FCC",IF(OR($H13349="HYDROCRACKING",$H13349="RESID_HYDROCRACKING"),"Hydrocracker",IF($H13349="REFORMING","Reformer",""))))</f>
        <v/>
      </c>
    </row>
    <row r="13350" spans="6:7">
      <c r="F13350" s="6">
        <f>IF($M13350="PADD I","PADD 1",IF($M13350="PADD II","PADD 2",IF($M13350="PADD III","PADD 3",IF($M13350="PADD IV","PADD 4",IF($M13350="PADD V","PADD 5","")))))</f>
        <v/>
      </c>
      <c r="G13350" s="6">
        <f>IF(AND($H13350="ATMOS DISTILLATION",ISNUMBER(SEARCH("VPS",$I13350))=FALSE,LEFT($I13350,6)&lt;&gt;"VACUUM"),"CDU",IF($H13350="FLUID CAT CRACKING","FCC",IF(OR($H13350="HYDROCRACKING",$H13350="RESID_HYDROCRACKING"),"Hydrocracker",IF($H13350="REFORMING","Reformer",""))))</f>
        <v/>
      </c>
    </row>
    <row r="13351" spans="6:7">
      <c r="F13351" s="6">
        <f>IF($M13351="PADD I","PADD 1",IF($M13351="PADD II","PADD 2",IF($M13351="PADD III","PADD 3",IF($M13351="PADD IV","PADD 4",IF($M13351="PADD V","PADD 5","")))))</f>
        <v/>
      </c>
      <c r="G13351" s="6">
        <f>IF(AND($H13351="ATMOS DISTILLATION",ISNUMBER(SEARCH("VPS",$I13351))=FALSE,LEFT($I13351,6)&lt;&gt;"VACUUM"),"CDU",IF($H13351="FLUID CAT CRACKING","FCC",IF(OR($H13351="HYDROCRACKING",$H13351="RESID_HYDROCRACKING"),"Hydrocracker",IF($H13351="REFORMING","Reformer",""))))</f>
        <v/>
      </c>
    </row>
    <row r="13352" spans="6:7">
      <c r="F13352" s="6">
        <f>IF($M13352="PADD I","PADD 1",IF($M13352="PADD II","PADD 2",IF($M13352="PADD III","PADD 3",IF($M13352="PADD IV","PADD 4",IF($M13352="PADD V","PADD 5","")))))</f>
        <v/>
      </c>
      <c r="G13352" s="6">
        <f>IF(AND($H13352="ATMOS DISTILLATION",ISNUMBER(SEARCH("VPS",$I13352))=FALSE,LEFT($I13352,6)&lt;&gt;"VACUUM"),"CDU",IF($H13352="FLUID CAT CRACKING","FCC",IF(OR($H13352="HYDROCRACKING",$H13352="RESID_HYDROCRACKING"),"Hydrocracker",IF($H13352="REFORMING","Reformer",""))))</f>
        <v/>
      </c>
    </row>
    <row r="13353" spans="6:7">
      <c r="F13353" s="6">
        <f>IF($M13353="PADD I","PADD 1",IF($M13353="PADD II","PADD 2",IF($M13353="PADD III","PADD 3",IF($M13353="PADD IV","PADD 4",IF($M13353="PADD V","PADD 5","")))))</f>
        <v/>
      </c>
      <c r="G13353" s="6">
        <f>IF(AND($H13353="ATMOS DISTILLATION",ISNUMBER(SEARCH("VPS",$I13353))=FALSE,LEFT($I13353,6)&lt;&gt;"VACUUM"),"CDU",IF($H13353="FLUID CAT CRACKING","FCC",IF(OR($H13353="HYDROCRACKING",$H13353="RESID_HYDROCRACKING"),"Hydrocracker",IF($H13353="REFORMING","Reformer",""))))</f>
        <v/>
      </c>
    </row>
    <row r="13354" spans="6:7">
      <c r="F13354" s="6">
        <f>IF($M13354="PADD I","PADD 1",IF($M13354="PADD II","PADD 2",IF($M13354="PADD III","PADD 3",IF($M13354="PADD IV","PADD 4",IF($M13354="PADD V","PADD 5","")))))</f>
        <v/>
      </c>
      <c r="G13354" s="6">
        <f>IF(AND($H13354="ATMOS DISTILLATION",ISNUMBER(SEARCH("VPS",$I13354))=FALSE,LEFT($I13354,6)&lt;&gt;"VACUUM"),"CDU",IF($H13354="FLUID CAT CRACKING","FCC",IF(OR($H13354="HYDROCRACKING",$H13354="RESID_HYDROCRACKING"),"Hydrocracker",IF($H13354="REFORMING","Reformer",""))))</f>
        <v/>
      </c>
    </row>
    <row r="13355" spans="6:7">
      <c r="F13355" s="6">
        <f>IF($M13355="PADD I","PADD 1",IF($M13355="PADD II","PADD 2",IF($M13355="PADD III","PADD 3",IF($M13355="PADD IV","PADD 4",IF($M13355="PADD V","PADD 5","")))))</f>
        <v/>
      </c>
      <c r="G13355" s="6">
        <f>IF(AND($H13355="ATMOS DISTILLATION",ISNUMBER(SEARCH("VPS",$I13355))=FALSE,LEFT($I13355,6)&lt;&gt;"VACUUM"),"CDU",IF($H13355="FLUID CAT CRACKING","FCC",IF(OR($H13355="HYDROCRACKING",$H13355="RESID_HYDROCRACKING"),"Hydrocracker",IF($H13355="REFORMING","Reformer",""))))</f>
        <v/>
      </c>
    </row>
    <row r="13356" spans="6:7">
      <c r="F13356" s="6">
        <f>IF($M13356="PADD I","PADD 1",IF($M13356="PADD II","PADD 2",IF($M13356="PADD III","PADD 3",IF($M13356="PADD IV","PADD 4",IF($M13356="PADD V","PADD 5","")))))</f>
        <v/>
      </c>
      <c r="G13356" s="6">
        <f>IF(AND($H13356="ATMOS DISTILLATION",ISNUMBER(SEARCH("VPS",$I13356))=FALSE,LEFT($I13356,6)&lt;&gt;"VACUUM"),"CDU",IF($H13356="FLUID CAT CRACKING","FCC",IF(OR($H13356="HYDROCRACKING",$H13356="RESID_HYDROCRACKING"),"Hydrocracker",IF($H13356="REFORMING","Reformer",""))))</f>
        <v/>
      </c>
    </row>
    <row r="13357" spans="6:7">
      <c r="F13357" s="6">
        <f>IF($M13357="PADD I","PADD 1",IF($M13357="PADD II","PADD 2",IF($M13357="PADD III","PADD 3",IF($M13357="PADD IV","PADD 4",IF($M13357="PADD V","PADD 5","")))))</f>
        <v/>
      </c>
      <c r="G13357" s="6">
        <f>IF(AND($H13357="ATMOS DISTILLATION",ISNUMBER(SEARCH("VPS",$I13357))=FALSE,LEFT($I13357,6)&lt;&gt;"VACUUM"),"CDU",IF($H13357="FLUID CAT CRACKING","FCC",IF(OR($H13357="HYDROCRACKING",$H13357="RESID_HYDROCRACKING"),"Hydrocracker",IF($H13357="REFORMING","Reformer",""))))</f>
        <v/>
      </c>
    </row>
    <row r="13358" spans="6:7">
      <c r="F13358" s="6">
        <f>IF($M13358="PADD I","PADD 1",IF($M13358="PADD II","PADD 2",IF($M13358="PADD III","PADD 3",IF($M13358="PADD IV","PADD 4",IF($M13358="PADD V","PADD 5","")))))</f>
        <v/>
      </c>
      <c r="G13358" s="6">
        <f>IF(AND($H13358="ATMOS DISTILLATION",ISNUMBER(SEARCH("VPS",$I13358))=FALSE,LEFT($I13358,6)&lt;&gt;"VACUUM"),"CDU",IF($H13358="FLUID CAT CRACKING","FCC",IF(OR($H13358="HYDROCRACKING",$H13358="RESID_HYDROCRACKING"),"Hydrocracker",IF($H13358="REFORMING","Reformer",""))))</f>
        <v/>
      </c>
    </row>
    <row r="13359" spans="6:7">
      <c r="F13359" s="6">
        <f>IF($M13359="PADD I","PADD 1",IF($M13359="PADD II","PADD 2",IF($M13359="PADD III","PADD 3",IF($M13359="PADD IV","PADD 4",IF($M13359="PADD V","PADD 5","")))))</f>
        <v/>
      </c>
      <c r="G13359" s="6">
        <f>IF(AND($H13359="ATMOS DISTILLATION",ISNUMBER(SEARCH("VPS",$I13359))=FALSE,LEFT($I13359,6)&lt;&gt;"VACUUM"),"CDU",IF($H13359="FLUID CAT CRACKING","FCC",IF(OR($H13359="HYDROCRACKING",$H13359="RESID_HYDROCRACKING"),"Hydrocracker",IF($H13359="REFORMING","Reformer",""))))</f>
        <v/>
      </c>
    </row>
    <row r="13360" spans="6:7">
      <c r="F13360" s="6">
        <f>IF($M13360="PADD I","PADD 1",IF($M13360="PADD II","PADD 2",IF($M13360="PADD III","PADD 3",IF($M13360="PADD IV","PADD 4",IF($M13360="PADD V","PADD 5","")))))</f>
        <v/>
      </c>
      <c r="G13360" s="6">
        <f>IF(AND($H13360="ATMOS DISTILLATION",ISNUMBER(SEARCH("VPS",$I13360))=FALSE,LEFT($I13360,6)&lt;&gt;"VACUUM"),"CDU",IF($H13360="FLUID CAT CRACKING","FCC",IF(OR($H13360="HYDROCRACKING",$H13360="RESID_HYDROCRACKING"),"Hydrocracker",IF($H13360="REFORMING","Reformer",""))))</f>
        <v/>
      </c>
    </row>
    <row r="13361" spans="6:7">
      <c r="F13361" s="6">
        <f>IF($M13361="PADD I","PADD 1",IF($M13361="PADD II","PADD 2",IF($M13361="PADD III","PADD 3",IF($M13361="PADD IV","PADD 4",IF($M13361="PADD V","PADD 5","")))))</f>
        <v/>
      </c>
      <c r="G13361" s="6">
        <f>IF(AND($H13361="ATMOS DISTILLATION",ISNUMBER(SEARCH("VPS",$I13361))=FALSE,LEFT($I13361,6)&lt;&gt;"VACUUM"),"CDU",IF($H13361="FLUID CAT CRACKING","FCC",IF(OR($H13361="HYDROCRACKING",$H13361="RESID_HYDROCRACKING"),"Hydrocracker",IF($H13361="REFORMING","Reformer",""))))</f>
        <v/>
      </c>
    </row>
    <row r="13362" spans="6:7">
      <c r="F13362" s="6">
        <f>IF($M13362="PADD I","PADD 1",IF($M13362="PADD II","PADD 2",IF($M13362="PADD III","PADD 3",IF($M13362="PADD IV","PADD 4",IF($M13362="PADD V","PADD 5","")))))</f>
        <v/>
      </c>
      <c r="G13362" s="6">
        <f>IF(AND($H13362="ATMOS DISTILLATION",ISNUMBER(SEARCH("VPS",$I13362))=FALSE,LEFT($I13362,6)&lt;&gt;"VACUUM"),"CDU",IF($H13362="FLUID CAT CRACKING","FCC",IF(OR($H13362="HYDROCRACKING",$H13362="RESID_HYDROCRACKING"),"Hydrocracker",IF($H13362="REFORMING","Reformer",""))))</f>
        <v/>
      </c>
    </row>
    <row r="13363" spans="6:7">
      <c r="F13363" s="6">
        <f>IF($M13363="PADD I","PADD 1",IF($M13363="PADD II","PADD 2",IF($M13363="PADD III","PADD 3",IF($M13363="PADD IV","PADD 4",IF($M13363="PADD V","PADD 5","")))))</f>
        <v/>
      </c>
      <c r="G13363" s="6">
        <f>IF(AND($H13363="ATMOS DISTILLATION",ISNUMBER(SEARCH("VPS",$I13363))=FALSE,LEFT($I13363,6)&lt;&gt;"VACUUM"),"CDU",IF($H13363="FLUID CAT CRACKING","FCC",IF(OR($H13363="HYDROCRACKING",$H13363="RESID_HYDROCRACKING"),"Hydrocracker",IF($H13363="REFORMING","Reformer",""))))</f>
        <v/>
      </c>
    </row>
    <row r="13364" spans="6:7">
      <c r="F13364" s="6">
        <f>IF($M13364="PADD I","PADD 1",IF($M13364="PADD II","PADD 2",IF($M13364="PADD III","PADD 3",IF($M13364="PADD IV","PADD 4",IF($M13364="PADD V","PADD 5","")))))</f>
        <v/>
      </c>
      <c r="G13364" s="6">
        <f>IF(AND($H13364="ATMOS DISTILLATION",ISNUMBER(SEARCH("VPS",$I13364))=FALSE,LEFT($I13364,6)&lt;&gt;"VACUUM"),"CDU",IF($H13364="FLUID CAT CRACKING","FCC",IF(OR($H13364="HYDROCRACKING",$H13364="RESID_HYDROCRACKING"),"Hydrocracker",IF($H13364="REFORMING","Reformer",""))))</f>
        <v/>
      </c>
    </row>
    <row r="13365" spans="6:7">
      <c r="F13365" s="6">
        <f>IF($M13365="PADD I","PADD 1",IF($M13365="PADD II","PADD 2",IF($M13365="PADD III","PADD 3",IF($M13365="PADD IV","PADD 4",IF($M13365="PADD V","PADD 5","")))))</f>
        <v/>
      </c>
      <c r="G13365" s="6">
        <f>IF(AND($H13365="ATMOS DISTILLATION",ISNUMBER(SEARCH("VPS",$I13365))=FALSE,LEFT($I13365,6)&lt;&gt;"VACUUM"),"CDU",IF($H13365="FLUID CAT CRACKING","FCC",IF(OR($H13365="HYDROCRACKING",$H13365="RESID_HYDROCRACKING"),"Hydrocracker",IF($H13365="REFORMING","Reformer",""))))</f>
        <v/>
      </c>
    </row>
    <row r="13366" spans="6:7">
      <c r="F13366" s="6">
        <f>IF($M13366="PADD I","PADD 1",IF($M13366="PADD II","PADD 2",IF($M13366="PADD III","PADD 3",IF($M13366="PADD IV","PADD 4",IF($M13366="PADD V","PADD 5","")))))</f>
        <v/>
      </c>
      <c r="G13366" s="6">
        <f>IF(AND($H13366="ATMOS DISTILLATION",ISNUMBER(SEARCH("VPS",$I13366))=FALSE,LEFT($I13366,6)&lt;&gt;"VACUUM"),"CDU",IF($H13366="FLUID CAT CRACKING","FCC",IF(OR($H13366="HYDROCRACKING",$H13366="RESID_HYDROCRACKING"),"Hydrocracker",IF($H13366="REFORMING","Reformer",""))))</f>
        <v/>
      </c>
    </row>
    <row r="13367" spans="6:7">
      <c r="F13367" s="6">
        <f>IF($M13367="PADD I","PADD 1",IF($M13367="PADD II","PADD 2",IF($M13367="PADD III","PADD 3",IF($M13367="PADD IV","PADD 4",IF($M13367="PADD V","PADD 5","")))))</f>
        <v/>
      </c>
      <c r="G13367" s="6">
        <f>IF(AND($H13367="ATMOS DISTILLATION",ISNUMBER(SEARCH("VPS",$I13367))=FALSE,LEFT($I13367,6)&lt;&gt;"VACUUM"),"CDU",IF($H13367="FLUID CAT CRACKING","FCC",IF(OR($H13367="HYDROCRACKING",$H13367="RESID_HYDROCRACKING"),"Hydrocracker",IF($H13367="REFORMING","Reformer",""))))</f>
        <v/>
      </c>
    </row>
    <row r="13368" spans="6:7">
      <c r="F13368" s="6">
        <f>IF($M13368="PADD I","PADD 1",IF($M13368="PADD II","PADD 2",IF($M13368="PADD III","PADD 3",IF($M13368="PADD IV","PADD 4",IF($M13368="PADD V","PADD 5","")))))</f>
        <v/>
      </c>
      <c r="G13368" s="6">
        <f>IF(AND($H13368="ATMOS DISTILLATION",ISNUMBER(SEARCH("VPS",$I13368))=FALSE,LEFT($I13368,6)&lt;&gt;"VACUUM"),"CDU",IF($H13368="FLUID CAT CRACKING","FCC",IF(OR($H13368="HYDROCRACKING",$H13368="RESID_HYDROCRACKING"),"Hydrocracker",IF($H13368="REFORMING","Reformer",""))))</f>
        <v/>
      </c>
    </row>
    <row r="13369" spans="6:7">
      <c r="F13369" s="6">
        <f>IF($M13369="PADD I","PADD 1",IF($M13369="PADD II","PADD 2",IF($M13369="PADD III","PADD 3",IF($M13369="PADD IV","PADD 4",IF($M13369="PADD V","PADD 5","")))))</f>
        <v/>
      </c>
      <c r="G13369" s="6">
        <f>IF(AND($H13369="ATMOS DISTILLATION",ISNUMBER(SEARCH("VPS",$I13369))=FALSE,LEFT($I13369,6)&lt;&gt;"VACUUM"),"CDU",IF($H13369="FLUID CAT CRACKING","FCC",IF(OR($H13369="HYDROCRACKING",$H13369="RESID_HYDROCRACKING"),"Hydrocracker",IF($H13369="REFORMING","Reformer",""))))</f>
        <v/>
      </c>
    </row>
    <row r="13370" spans="6:7">
      <c r="F13370" s="6">
        <f>IF($M13370="PADD I","PADD 1",IF($M13370="PADD II","PADD 2",IF($M13370="PADD III","PADD 3",IF($M13370="PADD IV","PADD 4",IF($M13370="PADD V","PADD 5","")))))</f>
        <v/>
      </c>
      <c r="G13370" s="6">
        <f>IF(AND($H13370="ATMOS DISTILLATION",ISNUMBER(SEARCH("VPS",$I13370))=FALSE,LEFT($I13370,6)&lt;&gt;"VACUUM"),"CDU",IF($H13370="FLUID CAT CRACKING","FCC",IF(OR($H13370="HYDROCRACKING",$H13370="RESID_HYDROCRACKING"),"Hydrocracker",IF($H13370="REFORMING","Reformer",""))))</f>
        <v/>
      </c>
    </row>
    <row r="13371" spans="6:7">
      <c r="F13371" s="6">
        <f>IF($M13371="PADD I","PADD 1",IF($M13371="PADD II","PADD 2",IF($M13371="PADD III","PADD 3",IF($M13371="PADD IV","PADD 4",IF($M13371="PADD V","PADD 5","")))))</f>
        <v/>
      </c>
      <c r="G13371" s="6">
        <f>IF(AND($H13371="ATMOS DISTILLATION",ISNUMBER(SEARCH("VPS",$I13371))=FALSE,LEFT($I13371,6)&lt;&gt;"VACUUM"),"CDU",IF($H13371="FLUID CAT CRACKING","FCC",IF(OR($H13371="HYDROCRACKING",$H13371="RESID_HYDROCRACKING"),"Hydrocracker",IF($H13371="REFORMING","Reformer",""))))</f>
        <v/>
      </c>
    </row>
    <row r="13372" spans="6:7">
      <c r="F13372" s="6">
        <f>IF($M13372="PADD I","PADD 1",IF($M13372="PADD II","PADD 2",IF($M13372="PADD III","PADD 3",IF($M13372="PADD IV","PADD 4",IF($M13372="PADD V","PADD 5","")))))</f>
        <v/>
      </c>
      <c r="G13372" s="6">
        <f>IF(AND($H13372="ATMOS DISTILLATION",ISNUMBER(SEARCH("VPS",$I13372))=FALSE,LEFT($I13372,6)&lt;&gt;"VACUUM"),"CDU",IF($H13372="FLUID CAT CRACKING","FCC",IF(OR($H13372="HYDROCRACKING",$H13372="RESID_HYDROCRACKING"),"Hydrocracker",IF($H13372="REFORMING","Reformer",""))))</f>
        <v/>
      </c>
    </row>
    <row r="13373" spans="6:7">
      <c r="F13373" s="6">
        <f>IF($M13373="PADD I","PADD 1",IF($M13373="PADD II","PADD 2",IF($M13373="PADD III","PADD 3",IF($M13373="PADD IV","PADD 4",IF($M13373="PADD V","PADD 5","")))))</f>
        <v/>
      </c>
      <c r="G13373" s="6">
        <f>IF(AND($H13373="ATMOS DISTILLATION",ISNUMBER(SEARCH("VPS",$I13373))=FALSE,LEFT($I13373,6)&lt;&gt;"VACUUM"),"CDU",IF($H13373="FLUID CAT CRACKING","FCC",IF(OR($H13373="HYDROCRACKING",$H13373="RESID_HYDROCRACKING"),"Hydrocracker",IF($H13373="REFORMING","Reformer",""))))</f>
        <v/>
      </c>
    </row>
    <row r="13374" spans="6:7">
      <c r="F13374" s="6">
        <f>IF($M13374="PADD I","PADD 1",IF($M13374="PADD II","PADD 2",IF($M13374="PADD III","PADD 3",IF($M13374="PADD IV","PADD 4",IF($M13374="PADD V","PADD 5","")))))</f>
        <v/>
      </c>
      <c r="G13374" s="6">
        <f>IF(AND($H13374="ATMOS DISTILLATION",ISNUMBER(SEARCH("VPS",$I13374))=FALSE,LEFT($I13374,6)&lt;&gt;"VACUUM"),"CDU",IF($H13374="FLUID CAT CRACKING","FCC",IF(OR($H13374="HYDROCRACKING",$H13374="RESID_HYDROCRACKING"),"Hydrocracker",IF($H13374="REFORMING","Reformer",""))))</f>
        <v/>
      </c>
    </row>
    <row r="13375" spans="6:7">
      <c r="F13375" s="6">
        <f>IF($M13375="PADD I","PADD 1",IF($M13375="PADD II","PADD 2",IF($M13375="PADD III","PADD 3",IF($M13375="PADD IV","PADD 4",IF($M13375="PADD V","PADD 5","")))))</f>
        <v/>
      </c>
      <c r="G13375" s="6">
        <f>IF(AND($H13375="ATMOS DISTILLATION",ISNUMBER(SEARCH("VPS",$I13375))=FALSE,LEFT($I13375,6)&lt;&gt;"VACUUM"),"CDU",IF($H13375="FLUID CAT CRACKING","FCC",IF(OR($H13375="HYDROCRACKING",$H13375="RESID_HYDROCRACKING"),"Hydrocracker",IF($H13375="REFORMING","Reformer",""))))</f>
        <v/>
      </c>
    </row>
    <row r="13376" spans="6:7">
      <c r="F13376" s="6">
        <f>IF($M13376="PADD I","PADD 1",IF($M13376="PADD II","PADD 2",IF($M13376="PADD III","PADD 3",IF($M13376="PADD IV","PADD 4",IF($M13376="PADD V","PADD 5","")))))</f>
        <v/>
      </c>
      <c r="G13376" s="6">
        <f>IF(AND($H13376="ATMOS DISTILLATION",ISNUMBER(SEARCH("VPS",$I13376))=FALSE,LEFT($I13376,6)&lt;&gt;"VACUUM"),"CDU",IF($H13376="FLUID CAT CRACKING","FCC",IF(OR($H13376="HYDROCRACKING",$H13376="RESID_HYDROCRACKING"),"Hydrocracker",IF($H13376="REFORMING","Reformer",""))))</f>
        <v/>
      </c>
    </row>
    <row r="13377" spans="6:7">
      <c r="F13377" s="6">
        <f>IF($M13377="PADD I","PADD 1",IF($M13377="PADD II","PADD 2",IF($M13377="PADD III","PADD 3",IF($M13377="PADD IV","PADD 4",IF($M13377="PADD V","PADD 5","")))))</f>
        <v/>
      </c>
      <c r="G13377" s="6">
        <f>IF(AND($H13377="ATMOS DISTILLATION",ISNUMBER(SEARCH("VPS",$I13377))=FALSE,LEFT($I13377,6)&lt;&gt;"VACUUM"),"CDU",IF($H13377="FLUID CAT CRACKING","FCC",IF(OR($H13377="HYDROCRACKING",$H13377="RESID_HYDROCRACKING"),"Hydrocracker",IF($H13377="REFORMING","Reformer",""))))</f>
        <v/>
      </c>
    </row>
    <row r="13378" spans="6:7">
      <c r="F13378" s="6">
        <f>IF($M13378="PADD I","PADD 1",IF($M13378="PADD II","PADD 2",IF($M13378="PADD III","PADD 3",IF($M13378="PADD IV","PADD 4",IF($M13378="PADD V","PADD 5","")))))</f>
        <v/>
      </c>
      <c r="G13378" s="6">
        <f>IF(AND($H13378="ATMOS DISTILLATION",ISNUMBER(SEARCH("VPS",$I13378))=FALSE,LEFT($I13378,6)&lt;&gt;"VACUUM"),"CDU",IF($H13378="FLUID CAT CRACKING","FCC",IF(OR($H13378="HYDROCRACKING",$H13378="RESID_HYDROCRACKING"),"Hydrocracker",IF($H13378="REFORMING","Reformer",""))))</f>
        <v/>
      </c>
    </row>
    <row r="13379" spans="6:7">
      <c r="F13379" s="6">
        <f>IF($M13379="PADD I","PADD 1",IF($M13379="PADD II","PADD 2",IF($M13379="PADD III","PADD 3",IF($M13379="PADD IV","PADD 4",IF($M13379="PADD V","PADD 5","")))))</f>
        <v/>
      </c>
      <c r="G13379" s="6">
        <f>IF(AND($H13379="ATMOS DISTILLATION",ISNUMBER(SEARCH("VPS",$I13379))=FALSE,LEFT($I13379,6)&lt;&gt;"VACUUM"),"CDU",IF($H13379="FLUID CAT CRACKING","FCC",IF(OR($H13379="HYDROCRACKING",$H13379="RESID_HYDROCRACKING"),"Hydrocracker",IF($H13379="REFORMING","Reformer",""))))</f>
        <v/>
      </c>
    </row>
    <row r="13380" spans="6:7">
      <c r="F13380" s="6">
        <f>IF($M13380="PADD I","PADD 1",IF($M13380="PADD II","PADD 2",IF($M13380="PADD III","PADD 3",IF($M13380="PADD IV","PADD 4",IF($M13380="PADD V","PADD 5","")))))</f>
        <v/>
      </c>
      <c r="G13380" s="6">
        <f>IF(AND($H13380="ATMOS DISTILLATION",ISNUMBER(SEARCH("VPS",$I13380))=FALSE,LEFT($I13380,6)&lt;&gt;"VACUUM"),"CDU",IF($H13380="FLUID CAT CRACKING","FCC",IF(OR($H13380="HYDROCRACKING",$H13380="RESID_HYDROCRACKING"),"Hydrocracker",IF($H13380="REFORMING","Reformer",""))))</f>
        <v/>
      </c>
    </row>
    <row r="13381" spans="6:7">
      <c r="F13381" s="6">
        <f>IF($M13381="PADD I","PADD 1",IF($M13381="PADD II","PADD 2",IF($M13381="PADD III","PADD 3",IF($M13381="PADD IV","PADD 4",IF($M13381="PADD V","PADD 5","")))))</f>
        <v/>
      </c>
      <c r="G13381" s="6">
        <f>IF(AND($H13381="ATMOS DISTILLATION",ISNUMBER(SEARCH("VPS",$I13381))=FALSE,LEFT($I13381,6)&lt;&gt;"VACUUM"),"CDU",IF($H13381="FLUID CAT CRACKING","FCC",IF(OR($H13381="HYDROCRACKING",$H13381="RESID_HYDROCRACKING"),"Hydrocracker",IF($H13381="REFORMING","Reformer",""))))</f>
        <v/>
      </c>
    </row>
    <row r="13382" spans="6:7">
      <c r="F13382" s="6">
        <f>IF($M13382="PADD I","PADD 1",IF($M13382="PADD II","PADD 2",IF($M13382="PADD III","PADD 3",IF($M13382="PADD IV","PADD 4",IF($M13382="PADD V","PADD 5","")))))</f>
        <v/>
      </c>
      <c r="G13382" s="6">
        <f>IF(AND($H13382="ATMOS DISTILLATION",ISNUMBER(SEARCH("VPS",$I13382))=FALSE,LEFT($I13382,6)&lt;&gt;"VACUUM"),"CDU",IF($H13382="FLUID CAT CRACKING","FCC",IF(OR($H13382="HYDROCRACKING",$H13382="RESID_HYDROCRACKING"),"Hydrocracker",IF($H13382="REFORMING","Reformer",""))))</f>
        <v/>
      </c>
    </row>
    <row r="13383" spans="6:7">
      <c r="F13383" s="6">
        <f>IF($M13383="PADD I","PADD 1",IF($M13383="PADD II","PADD 2",IF($M13383="PADD III","PADD 3",IF($M13383="PADD IV","PADD 4",IF($M13383="PADD V","PADD 5","")))))</f>
        <v/>
      </c>
      <c r="G13383" s="6">
        <f>IF(AND($H13383="ATMOS DISTILLATION",ISNUMBER(SEARCH("VPS",$I13383))=FALSE,LEFT($I13383,6)&lt;&gt;"VACUUM"),"CDU",IF($H13383="FLUID CAT CRACKING","FCC",IF(OR($H13383="HYDROCRACKING",$H13383="RESID_HYDROCRACKING"),"Hydrocracker",IF($H13383="REFORMING","Reformer",""))))</f>
        <v/>
      </c>
    </row>
    <row r="13384" spans="6:7">
      <c r="F13384" s="6">
        <f>IF($M13384="PADD I","PADD 1",IF($M13384="PADD II","PADD 2",IF($M13384="PADD III","PADD 3",IF($M13384="PADD IV","PADD 4",IF($M13384="PADD V","PADD 5","")))))</f>
        <v/>
      </c>
      <c r="G13384" s="6">
        <f>IF(AND($H13384="ATMOS DISTILLATION",ISNUMBER(SEARCH("VPS",$I13384))=FALSE,LEFT($I13384,6)&lt;&gt;"VACUUM"),"CDU",IF($H13384="FLUID CAT CRACKING","FCC",IF(OR($H13384="HYDROCRACKING",$H13384="RESID_HYDROCRACKING"),"Hydrocracker",IF($H13384="REFORMING","Reformer",""))))</f>
        <v/>
      </c>
    </row>
    <row r="13385" spans="6:7">
      <c r="F13385" s="6">
        <f>IF($M13385="PADD I","PADD 1",IF($M13385="PADD II","PADD 2",IF($M13385="PADD III","PADD 3",IF($M13385="PADD IV","PADD 4",IF($M13385="PADD V","PADD 5","")))))</f>
        <v/>
      </c>
      <c r="G13385" s="6">
        <f>IF(AND($H13385="ATMOS DISTILLATION",ISNUMBER(SEARCH("VPS",$I13385))=FALSE,LEFT($I13385,6)&lt;&gt;"VACUUM"),"CDU",IF($H13385="FLUID CAT CRACKING","FCC",IF(OR($H13385="HYDROCRACKING",$H13385="RESID_HYDROCRACKING"),"Hydrocracker",IF($H13385="REFORMING","Reformer",""))))</f>
        <v/>
      </c>
    </row>
    <row r="13386" spans="6:7">
      <c r="F13386" s="6">
        <f>IF($M13386="PADD I","PADD 1",IF($M13386="PADD II","PADD 2",IF($M13386="PADD III","PADD 3",IF($M13386="PADD IV","PADD 4",IF($M13386="PADD V","PADD 5","")))))</f>
        <v/>
      </c>
      <c r="G13386" s="6">
        <f>IF(AND($H13386="ATMOS DISTILLATION",ISNUMBER(SEARCH("VPS",$I13386))=FALSE,LEFT($I13386,6)&lt;&gt;"VACUUM"),"CDU",IF($H13386="FLUID CAT CRACKING","FCC",IF(OR($H13386="HYDROCRACKING",$H13386="RESID_HYDROCRACKING"),"Hydrocracker",IF($H13386="REFORMING","Reformer",""))))</f>
        <v/>
      </c>
    </row>
    <row r="13387" spans="6:7">
      <c r="F13387" s="6">
        <f>IF($M13387="PADD I","PADD 1",IF($M13387="PADD II","PADD 2",IF($M13387="PADD III","PADD 3",IF($M13387="PADD IV","PADD 4",IF($M13387="PADD V","PADD 5","")))))</f>
        <v/>
      </c>
      <c r="G13387" s="6">
        <f>IF(AND($H13387="ATMOS DISTILLATION",ISNUMBER(SEARCH("VPS",$I13387))=FALSE,LEFT($I13387,6)&lt;&gt;"VACUUM"),"CDU",IF($H13387="FLUID CAT CRACKING","FCC",IF(OR($H13387="HYDROCRACKING",$H13387="RESID_HYDROCRACKING"),"Hydrocracker",IF($H13387="REFORMING","Reformer",""))))</f>
        <v/>
      </c>
    </row>
    <row r="13388" spans="6:7">
      <c r="F13388" s="6">
        <f>IF($M13388="PADD I","PADD 1",IF($M13388="PADD II","PADD 2",IF($M13388="PADD III","PADD 3",IF($M13388="PADD IV","PADD 4",IF($M13388="PADD V","PADD 5","")))))</f>
        <v/>
      </c>
      <c r="G13388" s="6">
        <f>IF(AND($H13388="ATMOS DISTILLATION",ISNUMBER(SEARCH("VPS",$I13388))=FALSE,LEFT($I13388,6)&lt;&gt;"VACUUM"),"CDU",IF($H13388="FLUID CAT CRACKING","FCC",IF(OR($H13388="HYDROCRACKING",$H13388="RESID_HYDROCRACKING"),"Hydrocracker",IF($H13388="REFORMING","Reformer",""))))</f>
        <v/>
      </c>
    </row>
    <row r="13389" spans="6:7">
      <c r="F13389" s="6">
        <f>IF($M13389="PADD I","PADD 1",IF($M13389="PADD II","PADD 2",IF($M13389="PADD III","PADD 3",IF($M13389="PADD IV","PADD 4",IF($M13389="PADD V","PADD 5","")))))</f>
        <v/>
      </c>
      <c r="G13389" s="6">
        <f>IF(AND($H13389="ATMOS DISTILLATION",ISNUMBER(SEARCH("VPS",$I13389))=FALSE,LEFT($I13389,6)&lt;&gt;"VACUUM"),"CDU",IF($H13389="FLUID CAT CRACKING","FCC",IF(OR($H13389="HYDROCRACKING",$H13389="RESID_HYDROCRACKING"),"Hydrocracker",IF($H13389="REFORMING","Reformer",""))))</f>
        <v/>
      </c>
    </row>
    <row r="13390" spans="6:7">
      <c r="F13390" s="6">
        <f>IF($M13390="PADD I","PADD 1",IF($M13390="PADD II","PADD 2",IF($M13390="PADD III","PADD 3",IF($M13390="PADD IV","PADD 4",IF($M13390="PADD V","PADD 5","")))))</f>
        <v/>
      </c>
      <c r="G13390" s="6">
        <f>IF(AND($H13390="ATMOS DISTILLATION",ISNUMBER(SEARCH("VPS",$I13390))=FALSE,LEFT($I13390,6)&lt;&gt;"VACUUM"),"CDU",IF($H13390="FLUID CAT CRACKING","FCC",IF(OR($H13390="HYDROCRACKING",$H13390="RESID_HYDROCRACKING"),"Hydrocracker",IF($H13390="REFORMING","Reformer",""))))</f>
        <v/>
      </c>
    </row>
    <row r="13391" spans="6:7">
      <c r="F13391" s="6">
        <f>IF($M13391="PADD I","PADD 1",IF($M13391="PADD II","PADD 2",IF($M13391="PADD III","PADD 3",IF($M13391="PADD IV","PADD 4",IF($M13391="PADD V","PADD 5","")))))</f>
        <v/>
      </c>
      <c r="G13391" s="6">
        <f>IF(AND($H13391="ATMOS DISTILLATION",ISNUMBER(SEARCH("VPS",$I13391))=FALSE,LEFT($I13391,6)&lt;&gt;"VACUUM"),"CDU",IF($H13391="FLUID CAT CRACKING","FCC",IF(OR($H13391="HYDROCRACKING",$H13391="RESID_HYDROCRACKING"),"Hydrocracker",IF($H13391="REFORMING","Reformer",""))))</f>
        <v/>
      </c>
    </row>
    <row r="13392" spans="6:7">
      <c r="F13392" s="6">
        <f>IF($M13392="PADD I","PADD 1",IF($M13392="PADD II","PADD 2",IF($M13392="PADD III","PADD 3",IF($M13392="PADD IV","PADD 4",IF($M13392="PADD V","PADD 5","")))))</f>
        <v/>
      </c>
      <c r="G13392" s="6">
        <f>IF(AND($H13392="ATMOS DISTILLATION",ISNUMBER(SEARCH("VPS",$I13392))=FALSE,LEFT($I13392,6)&lt;&gt;"VACUUM"),"CDU",IF($H13392="FLUID CAT CRACKING","FCC",IF(OR($H13392="HYDROCRACKING",$H13392="RESID_HYDROCRACKING"),"Hydrocracker",IF($H13392="REFORMING","Reformer",""))))</f>
        <v/>
      </c>
    </row>
    <row r="13393" spans="6:7">
      <c r="F13393" s="6">
        <f>IF($M13393="PADD I","PADD 1",IF($M13393="PADD II","PADD 2",IF($M13393="PADD III","PADD 3",IF($M13393="PADD IV","PADD 4",IF($M13393="PADD V","PADD 5","")))))</f>
        <v/>
      </c>
      <c r="G13393" s="6">
        <f>IF(AND($H13393="ATMOS DISTILLATION",ISNUMBER(SEARCH("VPS",$I13393))=FALSE,LEFT($I13393,6)&lt;&gt;"VACUUM"),"CDU",IF($H13393="FLUID CAT CRACKING","FCC",IF(OR($H13393="HYDROCRACKING",$H13393="RESID_HYDROCRACKING"),"Hydrocracker",IF($H13393="REFORMING","Reformer",""))))</f>
        <v/>
      </c>
    </row>
    <row r="13394" spans="6:7">
      <c r="F13394" s="6">
        <f>IF($M13394="PADD I","PADD 1",IF($M13394="PADD II","PADD 2",IF($M13394="PADD III","PADD 3",IF($M13394="PADD IV","PADD 4",IF($M13394="PADD V","PADD 5","")))))</f>
        <v/>
      </c>
      <c r="G13394" s="6">
        <f>IF(AND($H13394="ATMOS DISTILLATION",ISNUMBER(SEARCH("VPS",$I13394))=FALSE,LEFT($I13394,6)&lt;&gt;"VACUUM"),"CDU",IF($H13394="FLUID CAT CRACKING","FCC",IF(OR($H13394="HYDROCRACKING",$H13394="RESID_HYDROCRACKING"),"Hydrocracker",IF($H13394="REFORMING","Reformer",""))))</f>
        <v/>
      </c>
    </row>
    <row r="13395" spans="6:7">
      <c r="F13395" s="6">
        <f>IF($M13395="PADD I","PADD 1",IF($M13395="PADD II","PADD 2",IF($M13395="PADD III","PADD 3",IF($M13395="PADD IV","PADD 4",IF($M13395="PADD V","PADD 5","")))))</f>
        <v/>
      </c>
      <c r="G13395" s="6">
        <f>IF(AND($H13395="ATMOS DISTILLATION",ISNUMBER(SEARCH("VPS",$I13395))=FALSE,LEFT($I13395,6)&lt;&gt;"VACUUM"),"CDU",IF($H13395="FLUID CAT CRACKING","FCC",IF(OR($H13395="HYDROCRACKING",$H13395="RESID_HYDROCRACKING"),"Hydrocracker",IF($H13395="REFORMING","Reformer",""))))</f>
        <v/>
      </c>
    </row>
    <row r="13396" spans="6:7">
      <c r="F13396" s="6">
        <f>IF($M13396="PADD I","PADD 1",IF($M13396="PADD II","PADD 2",IF($M13396="PADD III","PADD 3",IF($M13396="PADD IV","PADD 4",IF($M13396="PADD V","PADD 5","")))))</f>
        <v/>
      </c>
      <c r="G13396" s="6">
        <f>IF(AND($H13396="ATMOS DISTILLATION",ISNUMBER(SEARCH("VPS",$I13396))=FALSE,LEFT($I13396,6)&lt;&gt;"VACUUM"),"CDU",IF($H13396="FLUID CAT CRACKING","FCC",IF(OR($H13396="HYDROCRACKING",$H13396="RESID_HYDROCRACKING"),"Hydrocracker",IF($H13396="REFORMING","Reformer",""))))</f>
        <v/>
      </c>
    </row>
    <row r="13397" spans="6:7">
      <c r="F13397" s="6">
        <f>IF($M13397="PADD I","PADD 1",IF($M13397="PADD II","PADD 2",IF($M13397="PADD III","PADD 3",IF($M13397="PADD IV","PADD 4",IF($M13397="PADD V","PADD 5","")))))</f>
        <v/>
      </c>
      <c r="G13397" s="6">
        <f>IF(AND($H13397="ATMOS DISTILLATION",ISNUMBER(SEARCH("VPS",$I13397))=FALSE,LEFT($I13397,6)&lt;&gt;"VACUUM"),"CDU",IF($H13397="FLUID CAT CRACKING","FCC",IF(OR($H13397="HYDROCRACKING",$H13397="RESID_HYDROCRACKING"),"Hydrocracker",IF($H13397="REFORMING","Reformer",""))))</f>
        <v/>
      </c>
    </row>
    <row r="13398" spans="6:7">
      <c r="F13398" s="6">
        <f>IF($M13398="PADD I","PADD 1",IF($M13398="PADD II","PADD 2",IF($M13398="PADD III","PADD 3",IF($M13398="PADD IV","PADD 4",IF($M13398="PADD V","PADD 5","")))))</f>
        <v/>
      </c>
      <c r="G13398" s="6">
        <f>IF(AND($H13398="ATMOS DISTILLATION",ISNUMBER(SEARCH("VPS",$I13398))=FALSE,LEFT($I13398,6)&lt;&gt;"VACUUM"),"CDU",IF($H13398="FLUID CAT CRACKING","FCC",IF(OR($H13398="HYDROCRACKING",$H13398="RESID_HYDROCRACKING"),"Hydrocracker",IF($H13398="REFORMING","Reformer",""))))</f>
        <v/>
      </c>
    </row>
    <row r="13399" spans="6:7">
      <c r="F13399" s="6">
        <f>IF($M13399="PADD I","PADD 1",IF($M13399="PADD II","PADD 2",IF($M13399="PADD III","PADD 3",IF($M13399="PADD IV","PADD 4",IF($M13399="PADD V","PADD 5","")))))</f>
        <v/>
      </c>
      <c r="G13399" s="6">
        <f>IF(AND($H13399="ATMOS DISTILLATION",ISNUMBER(SEARCH("VPS",$I13399))=FALSE,LEFT($I13399,6)&lt;&gt;"VACUUM"),"CDU",IF($H13399="FLUID CAT CRACKING","FCC",IF(OR($H13399="HYDROCRACKING",$H13399="RESID_HYDROCRACKING"),"Hydrocracker",IF($H13399="REFORMING","Reformer",""))))</f>
        <v/>
      </c>
    </row>
    <row r="13400" spans="6:7">
      <c r="F13400" s="6">
        <f>IF($M13400="PADD I","PADD 1",IF($M13400="PADD II","PADD 2",IF($M13400="PADD III","PADD 3",IF($M13400="PADD IV","PADD 4",IF($M13400="PADD V","PADD 5","")))))</f>
        <v/>
      </c>
      <c r="G13400" s="6">
        <f>IF(AND($H13400="ATMOS DISTILLATION",ISNUMBER(SEARCH("VPS",$I13400))=FALSE,LEFT($I13400,6)&lt;&gt;"VACUUM"),"CDU",IF($H13400="FLUID CAT CRACKING","FCC",IF(OR($H13400="HYDROCRACKING",$H13400="RESID_HYDROCRACKING"),"Hydrocracker",IF($H13400="REFORMING","Reformer",""))))</f>
        <v/>
      </c>
    </row>
    <row r="13401" spans="6:7">
      <c r="F13401" s="6">
        <f>IF($M13401="PADD I","PADD 1",IF($M13401="PADD II","PADD 2",IF($M13401="PADD III","PADD 3",IF($M13401="PADD IV","PADD 4",IF($M13401="PADD V","PADD 5","")))))</f>
        <v/>
      </c>
      <c r="G13401" s="6">
        <f>IF(AND($H13401="ATMOS DISTILLATION",ISNUMBER(SEARCH("VPS",$I13401))=FALSE,LEFT($I13401,6)&lt;&gt;"VACUUM"),"CDU",IF($H13401="FLUID CAT CRACKING","FCC",IF(OR($H13401="HYDROCRACKING",$H13401="RESID_HYDROCRACKING"),"Hydrocracker",IF($H13401="REFORMING","Reformer",""))))</f>
        <v/>
      </c>
    </row>
    <row r="13402" spans="6:7">
      <c r="F13402" s="6">
        <f>IF($M13402="PADD I","PADD 1",IF($M13402="PADD II","PADD 2",IF($M13402="PADD III","PADD 3",IF($M13402="PADD IV","PADD 4",IF($M13402="PADD V","PADD 5","")))))</f>
        <v/>
      </c>
      <c r="G13402" s="6">
        <f>IF(AND($H13402="ATMOS DISTILLATION",ISNUMBER(SEARCH("VPS",$I13402))=FALSE,LEFT($I13402,6)&lt;&gt;"VACUUM"),"CDU",IF($H13402="FLUID CAT CRACKING","FCC",IF(OR($H13402="HYDROCRACKING",$H13402="RESID_HYDROCRACKING"),"Hydrocracker",IF($H13402="REFORMING","Reformer",""))))</f>
        <v/>
      </c>
    </row>
    <row r="13403" spans="6:7">
      <c r="F13403" s="6">
        <f>IF($M13403="PADD I","PADD 1",IF($M13403="PADD II","PADD 2",IF($M13403="PADD III","PADD 3",IF($M13403="PADD IV","PADD 4",IF($M13403="PADD V","PADD 5","")))))</f>
        <v/>
      </c>
      <c r="G13403" s="6">
        <f>IF(AND($H13403="ATMOS DISTILLATION",ISNUMBER(SEARCH("VPS",$I13403))=FALSE,LEFT($I13403,6)&lt;&gt;"VACUUM"),"CDU",IF($H13403="FLUID CAT CRACKING","FCC",IF(OR($H13403="HYDROCRACKING",$H13403="RESID_HYDROCRACKING"),"Hydrocracker",IF($H13403="REFORMING","Reformer",""))))</f>
        <v/>
      </c>
    </row>
    <row r="13404" spans="6:7">
      <c r="F13404" s="6">
        <f>IF($M13404="PADD I","PADD 1",IF($M13404="PADD II","PADD 2",IF($M13404="PADD III","PADD 3",IF($M13404="PADD IV","PADD 4",IF($M13404="PADD V","PADD 5","")))))</f>
        <v/>
      </c>
      <c r="G13404" s="6">
        <f>IF(AND($H13404="ATMOS DISTILLATION",ISNUMBER(SEARCH("VPS",$I13404))=FALSE,LEFT($I13404,6)&lt;&gt;"VACUUM"),"CDU",IF($H13404="FLUID CAT CRACKING","FCC",IF(OR($H13404="HYDROCRACKING",$H13404="RESID_HYDROCRACKING"),"Hydrocracker",IF($H13404="REFORMING","Reformer",""))))</f>
        <v/>
      </c>
    </row>
    <row r="13405" spans="6:7">
      <c r="F13405" s="6">
        <f>IF($M13405="PADD I","PADD 1",IF($M13405="PADD II","PADD 2",IF($M13405="PADD III","PADD 3",IF($M13405="PADD IV","PADD 4",IF($M13405="PADD V","PADD 5","")))))</f>
        <v/>
      </c>
      <c r="G13405" s="6">
        <f>IF(AND($H13405="ATMOS DISTILLATION",ISNUMBER(SEARCH("VPS",$I13405))=FALSE,LEFT($I13405,6)&lt;&gt;"VACUUM"),"CDU",IF($H13405="FLUID CAT CRACKING","FCC",IF(OR($H13405="HYDROCRACKING",$H13405="RESID_HYDROCRACKING"),"Hydrocracker",IF($H13405="REFORMING","Reformer",""))))</f>
        <v/>
      </c>
    </row>
    <row r="13406" spans="6:7">
      <c r="F13406" s="6">
        <f>IF($M13406="PADD I","PADD 1",IF($M13406="PADD II","PADD 2",IF($M13406="PADD III","PADD 3",IF($M13406="PADD IV","PADD 4",IF($M13406="PADD V","PADD 5","")))))</f>
        <v/>
      </c>
      <c r="G13406" s="6">
        <f>IF(AND($H13406="ATMOS DISTILLATION",ISNUMBER(SEARCH("VPS",$I13406))=FALSE,LEFT($I13406,6)&lt;&gt;"VACUUM"),"CDU",IF($H13406="FLUID CAT CRACKING","FCC",IF(OR($H13406="HYDROCRACKING",$H13406="RESID_HYDROCRACKING"),"Hydrocracker",IF($H13406="REFORMING","Reformer",""))))</f>
        <v/>
      </c>
    </row>
    <row r="13407" spans="6:7">
      <c r="F13407" s="6">
        <f>IF($M13407="PADD I","PADD 1",IF($M13407="PADD II","PADD 2",IF($M13407="PADD III","PADD 3",IF($M13407="PADD IV","PADD 4",IF($M13407="PADD V","PADD 5","")))))</f>
        <v/>
      </c>
      <c r="G13407" s="6">
        <f>IF(AND($H13407="ATMOS DISTILLATION",ISNUMBER(SEARCH("VPS",$I13407))=FALSE,LEFT($I13407,6)&lt;&gt;"VACUUM"),"CDU",IF($H13407="FLUID CAT CRACKING","FCC",IF(OR($H13407="HYDROCRACKING",$H13407="RESID_HYDROCRACKING"),"Hydrocracker",IF($H13407="REFORMING","Reformer",""))))</f>
        <v/>
      </c>
    </row>
    <row r="13408" spans="6:7">
      <c r="F13408" s="6">
        <f>IF($M13408="PADD I","PADD 1",IF($M13408="PADD II","PADD 2",IF($M13408="PADD III","PADD 3",IF($M13408="PADD IV","PADD 4",IF($M13408="PADD V","PADD 5","")))))</f>
        <v/>
      </c>
      <c r="G13408" s="6">
        <f>IF(AND($H13408="ATMOS DISTILLATION",ISNUMBER(SEARCH("VPS",$I13408))=FALSE,LEFT($I13408,6)&lt;&gt;"VACUUM"),"CDU",IF($H13408="FLUID CAT CRACKING","FCC",IF(OR($H13408="HYDROCRACKING",$H13408="RESID_HYDROCRACKING"),"Hydrocracker",IF($H13408="REFORMING","Reformer",""))))</f>
        <v/>
      </c>
    </row>
    <row r="13409" spans="6:7">
      <c r="F13409" s="6">
        <f>IF($M13409="PADD I","PADD 1",IF($M13409="PADD II","PADD 2",IF($M13409="PADD III","PADD 3",IF($M13409="PADD IV","PADD 4",IF($M13409="PADD V","PADD 5","")))))</f>
        <v/>
      </c>
      <c r="G13409" s="6">
        <f>IF(AND($H13409="ATMOS DISTILLATION",ISNUMBER(SEARCH("VPS",$I13409))=FALSE,LEFT($I13409,6)&lt;&gt;"VACUUM"),"CDU",IF($H13409="FLUID CAT CRACKING","FCC",IF(OR($H13409="HYDROCRACKING",$H13409="RESID_HYDROCRACKING"),"Hydrocracker",IF($H13409="REFORMING","Reformer",""))))</f>
        <v/>
      </c>
    </row>
    <row r="13410" spans="6:7">
      <c r="F13410" s="6">
        <f>IF($M13410="PADD I","PADD 1",IF($M13410="PADD II","PADD 2",IF($M13410="PADD III","PADD 3",IF($M13410="PADD IV","PADD 4",IF($M13410="PADD V","PADD 5","")))))</f>
        <v/>
      </c>
      <c r="G13410" s="6">
        <f>IF(AND($H13410="ATMOS DISTILLATION",ISNUMBER(SEARCH("VPS",$I13410))=FALSE,LEFT($I13410,6)&lt;&gt;"VACUUM"),"CDU",IF($H13410="FLUID CAT CRACKING","FCC",IF(OR($H13410="HYDROCRACKING",$H13410="RESID_HYDROCRACKING"),"Hydrocracker",IF($H13410="REFORMING","Reformer",""))))</f>
        <v/>
      </c>
    </row>
    <row r="13411" spans="6:7">
      <c r="F13411" s="6">
        <f>IF($M13411="PADD I","PADD 1",IF($M13411="PADD II","PADD 2",IF($M13411="PADD III","PADD 3",IF($M13411="PADD IV","PADD 4",IF($M13411="PADD V","PADD 5","")))))</f>
        <v/>
      </c>
      <c r="G13411" s="6">
        <f>IF(AND($H13411="ATMOS DISTILLATION",ISNUMBER(SEARCH("VPS",$I13411))=FALSE,LEFT($I13411,6)&lt;&gt;"VACUUM"),"CDU",IF($H13411="FLUID CAT CRACKING","FCC",IF(OR($H13411="HYDROCRACKING",$H13411="RESID_HYDROCRACKING"),"Hydrocracker",IF($H13411="REFORMING","Reformer",""))))</f>
        <v/>
      </c>
    </row>
    <row r="13412" spans="6:7">
      <c r="F13412" s="6">
        <f>IF($M13412="PADD I","PADD 1",IF($M13412="PADD II","PADD 2",IF($M13412="PADD III","PADD 3",IF($M13412="PADD IV","PADD 4",IF($M13412="PADD V","PADD 5","")))))</f>
        <v/>
      </c>
      <c r="G13412" s="6">
        <f>IF(AND($H13412="ATMOS DISTILLATION",ISNUMBER(SEARCH("VPS",$I13412))=FALSE,LEFT($I13412,6)&lt;&gt;"VACUUM"),"CDU",IF($H13412="FLUID CAT CRACKING","FCC",IF(OR($H13412="HYDROCRACKING",$H13412="RESID_HYDROCRACKING"),"Hydrocracker",IF($H13412="REFORMING","Reformer",""))))</f>
        <v/>
      </c>
    </row>
    <row r="13413" spans="6:7">
      <c r="F13413" s="6">
        <f>IF($M13413="PADD I","PADD 1",IF($M13413="PADD II","PADD 2",IF($M13413="PADD III","PADD 3",IF($M13413="PADD IV","PADD 4",IF($M13413="PADD V","PADD 5","")))))</f>
        <v/>
      </c>
      <c r="G13413" s="6">
        <f>IF(AND($H13413="ATMOS DISTILLATION",ISNUMBER(SEARCH("VPS",$I13413))=FALSE,LEFT($I13413,6)&lt;&gt;"VACUUM"),"CDU",IF($H13413="FLUID CAT CRACKING","FCC",IF(OR($H13413="HYDROCRACKING",$H13413="RESID_HYDROCRACKING"),"Hydrocracker",IF($H13413="REFORMING","Reformer",""))))</f>
        <v/>
      </c>
    </row>
    <row r="13414" spans="6:7">
      <c r="F13414" s="6">
        <f>IF($M13414="PADD I","PADD 1",IF($M13414="PADD II","PADD 2",IF($M13414="PADD III","PADD 3",IF($M13414="PADD IV","PADD 4",IF($M13414="PADD V","PADD 5","")))))</f>
        <v/>
      </c>
      <c r="G13414" s="6">
        <f>IF(AND($H13414="ATMOS DISTILLATION",ISNUMBER(SEARCH("VPS",$I13414))=FALSE,LEFT($I13414,6)&lt;&gt;"VACUUM"),"CDU",IF($H13414="FLUID CAT CRACKING","FCC",IF(OR($H13414="HYDROCRACKING",$H13414="RESID_HYDROCRACKING"),"Hydrocracker",IF($H13414="REFORMING","Reformer",""))))</f>
        <v/>
      </c>
    </row>
    <row r="13415" spans="6:7">
      <c r="F13415" s="6">
        <f>IF($M13415="PADD I","PADD 1",IF($M13415="PADD II","PADD 2",IF($M13415="PADD III","PADD 3",IF($M13415="PADD IV","PADD 4",IF($M13415="PADD V","PADD 5","")))))</f>
        <v/>
      </c>
      <c r="G13415" s="6">
        <f>IF(AND($H13415="ATMOS DISTILLATION",ISNUMBER(SEARCH("VPS",$I13415))=FALSE,LEFT($I13415,6)&lt;&gt;"VACUUM"),"CDU",IF($H13415="FLUID CAT CRACKING","FCC",IF(OR($H13415="HYDROCRACKING",$H13415="RESID_HYDROCRACKING"),"Hydrocracker",IF($H13415="REFORMING","Reformer",""))))</f>
        <v/>
      </c>
    </row>
    <row r="13416" spans="6:7">
      <c r="F13416" s="6">
        <f>IF($M13416="PADD I","PADD 1",IF($M13416="PADD II","PADD 2",IF($M13416="PADD III","PADD 3",IF($M13416="PADD IV","PADD 4",IF($M13416="PADD V","PADD 5","")))))</f>
        <v/>
      </c>
      <c r="G13416" s="6">
        <f>IF(AND($H13416="ATMOS DISTILLATION",ISNUMBER(SEARCH("VPS",$I13416))=FALSE,LEFT($I13416,6)&lt;&gt;"VACUUM"),"CDU",IF($H13416="FLUID CAT CRACKING","FCC",IF(OR($H13416="HYDROCRACKING",$H13416="RESID_HYDROCRACKING"),"Hydrocracker",IF($H13416="REFORMING","Reformer",""))))</f>
        <v/>
      </c>
    </row>
    <row r="13417" spans="6:7">
      <c r="F13417" s="6">
        <f>IF($M13417="PADD I","PADD 1",IF($M13417="PADD II","PADD 2",IF($M13417="PADD III","PADD 3",IF($M13417="PADD IV","PADD 4",IF($M13417="PADD V","PADD 5","")))))</f>
        <v/>
      </c>
      <c r="G13417" s="6">
        <f>IF(AND($H13417="ATMOS DISTILLATION",ISNUMBER(SEARCH("VPS",$I13417))=FALSE,LEFT($I13417,6)&lt;&gt;"VACUUM"),"CDU",IF($H13417="FLUID CAT CRACKING","FCC",IF(OR($H13417="HYDROCRACKING",$H13417="RESID_HYDROCRACKING"),"Hydrocracker",IF($H13417="REFORMING","Reformer",""))))</f>
        <v/>
      </c>
    </row>
    <row r="13418" spans="6:7">
      <c r="F13418" s="6">
        <f>IF($M13418="PADD I","PADD 1",IF($M13418="PADD II","PADD 2",IF($M13418="PADD III","PADD 3",IF($M13418="PADD IV","PADD 4",IF($M13418="PADD V","PADD 5","")))))</f>
        <v/>
      </c>
      <c r="G13418" s="6">
        <f>IF(AND($H13418="ATMOS DISTILLATION",ISNUMBER(SEARCH("VPS",$I13418))=FALSE,LEFT($I13418,6)&lt;&gt;"VACUUM"),"CDU",IF($H13418="FLUID CAT CRACKING","FCC",IF(OR($H13418="HYDROCRACKING",$H13418="RESID_HYDROCRACKING"),"Hydrocracker",IF($H13418="REFORMING","Reformer",""))))</f>
        <v/>
      </c>
    </row>
    <row r="13419" spans="6:7">
      <c r="F13419" s="6">
        <f>IF($M13419="PADD I","PADD 1",IF($M13419="PADD II","PADD 2",IF($M13419="PADD III","PADD 3",IF($M13419="PADD IV","PADD 4",IF($M13419="PADD V","PADD 5","")))))</f>
        <v/>
      </c>
      <c r="G13419" s="6">
        <f>IF(AND($H13419="ATMOS DISTILLATION",ISNUMBER(SEARCH("VPS",$I13419))=FALSE,LEFT($I13419,6)&lt;&gt;"VACUUM"),"CDU",IF($H13419="FLUID CAT CRACKING","FCC",IF(OR($H13419="HYDROCRACKING",$H13419="RESID_HYDROCRACKING"),"Hydrocracker",IF($H13419="REFORMING","Reformer",""))))</f>
        <v/>
      </c>
    </row>
    <row r="13420" spans="6:7">
      <c r="F13420" s="6">
        <f>IF($M13420="PADD I","PADD 1",IF($M13420="PADD II","PADD 2",IF($M13420="PADD III","PADD 3",IF($M13420="PADD IV","PADD 4",IF($M13420="PADD V","PADD 5","")))))</f>
        <v/>
      </c>
      <c r="G13420" s="6">
        <f>IF(AND($H13420="ATMOS DISTILLATION",ISNUMBER(SEARCH("VPS",$I13420))=FALSE,LEFT($I13420,6)&lt;&gt;"VACUUM"),"CDU",IF($H13420="FLUID CAT CRACKING","FCC",IF(OR($H13420="HYDROCRACKING",$H13420="RESID_HYDROCRACKING"),"Hydrocracker",IF($H13420="REFORMING","Reformer",""))))</f>
        <v/>
      </c>
    </row>
    <row r="13421" spans="6:7">
      <c r="F13421" s="6">
        <f>IF($M13421="PADD I","PADD 1",IF($M13421="PADD II","PADD 2",IF($M13421="PADD III","PADD 3",IF($M13421="PADD IV","PADD 4",IF($M13421="PADD V","PADD 5","")))))</f>
        <v/>
      </c>
      <c r="G13421" s="6">
        <f>IF(AND($H13421="ATMOS DISTILLATION",ISNUMBER(SEARCH("VPS",$I13421))=FALSE,LEFT($I13421,6)&lt;&gt;"VACUUM"),"CDU",IF($H13421="FLUID CAT CRACKING","FCC",IF(OR($H13421="HYDROCRACKING",$H13421="RESID_HYDROCRACKING"),"Hydrocracker",IF($H13421="REFORMING","Reformer",""))))</f>
        <v/>
      </c>
    </row>
    <row r="13422" spans="6:7">
      <c r="F13422" s="6">
        <f>IF($M13422="PADD I","PADD 1",IF($M13422="PADD II","PADD 2",IF($M13422="PADD III","PADD 3",IF($M13422="PADD IV","PADD 4",IF($M13422="PADD V","PADD 5","")))))</f>
        <v/>
      </c>
      <c r="G13422" s="6">
        <f>IF(AND($H13422="ATMOS DISTILLATION",ISNUMBER(SEARCH("VPS",$I13422))=FALSE,LEFT($I13422,6)&lt;&gt;"VACUUM"),"CDU",IF($H13422="FLUID CAT CRACKING","FCC",IF(OR($H13422="HYDROCRACKING",$H13422="RESID_HYDROCRACKING"),"Hydrocracker",IF($H13422="REFORMING","Reformer",""))))</f>
        <v/>
      </c>
    </row>
    <row r="13423" spans="6:7">
      <c r="F13423" s="6">
        <f>IF($M13423="PADD I","PADD 1",IF($M13423="PADD II","PADD 2",IF($M13423="PADD III","PADD 3",IF($M13423="PADD IV","PADD 4",IF($M13423="PADD V","PADD 5","")))))</f>
        <v/>
      </c>
      <c r="G13423" s="6">
        <f>IF(AND($H13423="ATMOS DISTILLATION",ISNUMBER(SEARCH("VPS",$I13423))=FALSE,LEFT($I13423,6)&lt;&gt;"VACUUM"),"CDU",IF($H13423="FLUID CAT CRACKING","FCC",IF(OR($H13423="HYDROCRACKING",$H13423="RESID_HYDROCRACKING"),"Hydrocracker",IF($H13423="REFORMING","Reformer",""))))</f>
        <v/>
      </c>
    </row>
    <row r="13424" spans="6:7">
      <c r="F13424" s="6">
        <f>IF($M13424="PADD I","PADD 1",IF($M13424="PADD II","PADD 2",IF($M13424="PADD III","PADD 3",IF($M13424="PADD IV","PADD 4",IF($M13424="PADD V","PADD 5","")))))</f>
        <v/>
      </c>
      <c r="G13424" s="6">
        <f>IF(AND($H13424="ATMOS DISTILLATION",ISNUMBER(SEARCH("VPS",$I13424))=FALSE,LEFT($I13424,6)&lt;&gt;"VACUUM"),"CDU",IF($H13424="FLUID CAT CRACKING","FCC",IF(OR($H13424="HYDROCRACKING",$H13424="RESID_HYDROCRACKING"),"Hydrocracker",IF($H13424="REFORMING","Reformer",""))))</f>
        <v/>
      </c>
    </row>
    <row r="13425" spans="6:7">
      <c r="F13425" s="6">
        <f>IF($M13425="PADD I","PADD 1",IF($M13425="PADD II","PADD 2",IF($M13425="PADD III","PADD 3",IF($M13425="PADD IV","PADD 4",IF($M13425="PADD V","PADD 5","")))))</f>
        <v/>
      </c>
      <c r="G13425" s="6">
        <f>IF(AND($H13425="ATMOS DISTILLATION",ISNUMBER(SEARCH("VPS",$I13425))=FALSE,LEFT($I13425,6)&lt;&gt;"VACUUM"),"CDU",IF($H13425="FLUID CAT CRACKING","FCC",IF(OR($H13425="HYDROCRACKING",$H13425="RESID_HYDROCRACKING"),"Hydrocracker",IF($H13425="REFORMING","Reformer",""))))</f>
        <v/>
      </c>
    </row>
    <row r="13426" spans="6:7">
      <c r="F13426" s="6">
        <f>IF($M13426="PADD I","PADD 1",IF($M13426="PADD II","PADD 2",IF($M13426="PADD III","PADD 3",IF($M13426="PADD IV","PADD 4",IF($M13426="PADD V","PADD 5","")))))</f>
        <v/>
      </c>
      <c r="G13426" s="6">
        <f>IF(AND($H13426="ATMOS DISTILLATION",ISNUMBER(SEARCH("VPS",$I13426))=FALSE,LEFT($I13426,6)&lt;&gt;"VACUUM"),"CDU",IF($H13426="FLUID CAT CRACKING","FCC",IF(OR($H13426="HYDROCRACKING",$H13426="RESID_HYDROCRACKING"),"Hydrocracker",IF($H13426="REFORMING","Reformer",""))))</f>
        <v/>
      </c>
    </row>
    <row r="13427" spans="6:7">
      <c r="F13427" s="6">
        <f>IF($M13427="PADD I","PADD 1",IF($M13427="PADD II","PADD 2",IF($M13427="PADD III","PADD 3",IF($M13427="PADD IV","PADD 4",IF($M13427="PADD V","PADD 5","")))))</f>
        <v/>
      </c>
      <c r="G13427" s="6">
        <f>IF(AND($H13427="ATMOS DISTILLATION",ISNUMBER(SEARCH("VPS",$I13427))=FALSE,LEFT($I13427,6)&lt;&gt;"VACUUM"),"CDU",IF($H13427="FLUID CAT CRACKING","FCC",IF(OR($H13427="HYDROCRACKING",$H13427="RESID_HYDROCRACKING"),"Hydrocracker",IF($H13427="REFORMING","Reformer",""))))</f>
        <v/>
      </c>
    </row>
    <row r="13428" spans="6:7">
      <c r="F13428" s="6">
        <f>IF($M13428="PADD I","PADD 1",IF($M13428="PADD II","PADD 2",IF($M13428="PADD III","PADD 3",IF($M13428="PADD IV","PADD 4",IF($M13428="PADD V","PADD 5","")))))</f>
        <v/>
      </c>
      <c r="G13428" s="6">
        <f>IF(AND($H13428="ATMOS DISTILLATION",ISNUMBER(SEARCH("VPS",$I13428))=FALSE,LEFT($I13428,6)&lt;&gt;"VACUUM"),"CDU",IF($H13428="FLUID CAT CRACKING","FCC",IF(OR($H13428="HYDROCRACKING",$H13428="RESID_HYDROCRACKING"),"Hydrocracker",IF($H13428="REFORMING","Reformer",""))))</f>
        <v/>
      </c>
    </row>
    <row r="13429" spans="6:7">
      <c r="F13429" s="6">
        <f>IF($M13429="PADD I","PADD 1",IF($M13429="PADD II","PADD 2",IF($M13429="PADD III","PADD 3",IF($M13429="PADD IV","PADD 4",IF($M13429="PADD V","PADD 5","")))))</f>
        <v/>
      </c>
      <c r="G13429" s="6">
        <f>IF(AND($H13429="ATMOS DISTILLATION",ISNUMBER(SEARCH("VPS",$I13429))=FALSE,LEFT($I13429,6)&lt;&gt;"VACUUM"),"CDU",IF($H13429="FLUID CAT CRACKING","FCC",IF(OR($H13429="HYDROCRACKING",$H13429="RESID_HYDROCRACKING"),"Hydrocracker",IF($H13429="REFORMING","Reformer",""))))</f>
        <v/>
      </c>
    </row>
    <row r="13430" spans="6:7">
      <c r="F13430" s="6">
        <f>IF($M13430="PADD I","PADD 1",IF($M13430="PADD II","PADD 2",IF($M13430="PADD III","PADD 3",IF($M13430="PADD IV","PADD 4",IF($M13430="PADD V","PADD 5","")))))</f>
        <v/>
      </c>
      <c r="G13430" s="6">
        <f>IF(AND($H13430="ATMOS DISTILLATION",ISNUMBER(SEARCH("VPS",$I13430))=FALSE,LEFT($I13430,6)&lt;&gt;"VACUUM"),"CDU",IF($H13430="FLUID CAT CRACKING","FCC",IF(OR($H13430="HYDROCRACKING",$H13430="RESID_HYDROCRACKING"),"Hydrocracker",IF($H13430="REFORMING","Reformer",""))))</f>
        <v/>
      </c>
    </row>
    <row r="13431" spans="6:7">
      <c r="F13431" s="6">
        <f>IF($M13431="PADD I","PADD 1",IF($M13431="PADD II","PADD 2",IF($M13431="PADD III","PADD 3",IF($M13431="PADD IV","PADD 4",IF($M13431="PADD V","PADD 5","")))))</f>
        <v/>
      </c>
      <c r="G13431" s="6">
        <f>IF(AND($H13431="ATMOS DISTILLATION",ISNUMBER(SEARCH("VPS",$I13431))=FALSE,LEFT($I13431,6)&lt;&gt;"VACUUM"),"CDU",IF($H13431="FLUID CAT CRACKING","FCC",IF(OR($H13431="HYDROCRACKING",$H13431="RESID_HYDROCRACKING"),"Hydrocracker",IF($H13431="REFORMING","Reformer",""))))</f>
        <v/>
      </c>
    </row>
    <row r="13432" spans="6:7">
      <c r="F13432" s="6">
        <f>IF($M13432="PADD I","PADD 1",IF($M13432="PADD II","PADD 2",IF($M13432="PADD III","PADD 3",IF($M13432="PADD IV","PADD 4",IF($M13432="PADD V","PADD 5","")))))</f>
        <v/>
      </c>
      <c r="G13432" s="6">
        <f>IF(AND($H13432="ATMOS DISTILLATION",ISNUMBER(SEARCH("VPS",$I13432))=FALSE,LEFT($I13432,6)&lt;&gt;"VACUUM"),"CDU",IF($H13432="FLUID CAT CRACKING","FCC",IF(OR($H13432="HYDROCRACKING",$H13432="RESID_HYDROCRACKING"),"Hydrocracker",IF($H13432="REFORMING","Reformer",""))))</f>
        <v/>
      </c>
    </row>
    <row r="13433" spans="6:7">
      <c r="F13433" s="6">
        <f>IF($M13433="PADD I","PADD 1",IF($M13433="PADD II","PADD 2",IF($M13433="PADD III","PADD 3",IF($M13433="PADD IV","PADD 4",IF($M13433="PADD V","PADD 5","")))))</f>
        <v/>
      </c>
      <c r="G13433" s="6">
        <f>IF(AND($H13433="ATMOS DISTILLATION",ISNUMBER(SEARCH("VPS",$I13433))=FALSE,LEFT($I13433,6)&lt;&gt;"VACUUM"),"CDU",IF($H13433="FLUID CAT CRACKING","FCC",IF(OR($H13433="HYDROCRACKING",$H13433="RESID_HYDROCRACKING"),"Hydrocracker",IF($H13433="REFORMING","Reformer",""))))</f>
        <v/>
      </c>
    </row>
    <row r="13434" spans="6:7">
      <c r="F13434" s="6">
        <f>IF($M13434="PADD I","PADD 1",IF($M13434="PADD II","PADD 2",IF($M13434="PADD III","PADD 3",IF($M13434="PADD IV","PADD 4",IF($M13434="PADD V","PADD 5","")))))</f>
        <v/>
      </c>
      <c r="G13434" s="6">
        <f>IF(AND($H13434="ATMOS DISTILLATION",ISNUMBER(SEARCH("VPS",$I13434))=FALSE,LEFT($I13434,6)&lt;&gt;"VACUUM"),"CDU",IF($H13434="FLUID CAT CRACKING","FCC",IF(OR($H13434="HYDROCRACKING",$H13434="RESID_HYDROCRACKING"),"Hydrocracker",IF($H13434="REFORMING","Reformer",""))))</f>
        <v/>
      </c>
    </row>
    <row r="13435" spans="6:7">
      <c r="F13435" s="6">
        <f>IF($M13435="PADD I","PADD 1",IF($M13435="PADD II","PADD 2",IF($M13435="PADD III","PADD 3",IF($M13435="PADD IV","PADD 4",IF($M13435="PADD V","PADD 5","")))))</f>
        <v/>
      </c>
      <c r="G13435" s="6">
        <f>IF(AND($H13435="ATMOS DISTILLATION",ISNUMBER(SEARCH("VPS",$I13435))=FALSE,LEFT($I13435,6)&lt;&gt;"VACUUM"),"CDU",IF($H13435="FLUID CAT CRACKING","FCC",IF(OR($H13435="HYDROCRACKING",$H13435="RESID_HYDROCRACKING"),"Hydrocracker",IF($H13435="REFORMING","Reformer",""))))</f>
        <v/>
      </c>
    </row>
    <row r="13436" spans="6:7">
      <c r="F13436" s="6">
        <f>IF($M13436="PADD I","PADD 1",IF($M13436="PADD II","PADD 2",IF($M13436="PADD III","PADD 3",IF($M13436="PADD IV","PADD 4",IF($M13436="PADD V","PADD 5","")))))</f>
        <v/>
      </c>
      <c r="G13436" s="6">
        <f>IF(AND($H13436="ATMOS DISTILLATION",ISNUMBER(SEARCH("VPS",$I13436))=FALSE,LEFT($I13436,6)&lt;&gt;"VACUUM"),"CDU",IF($H13436="FLUID CAT CRACKING","FCC",IF(OR($H13436="HYDROCRACKING",$H13436="RESID_HYDROCRACKING"),"Hydrocracker",IF($H13436="REFORMING","Reformer",""))))</f>
        <v/>
      </c>
    </row>
    <row r="13437" spans="6:7">
      <c r="F13437" s="6">
        <f>IF($M13437="PADD I","PADD 1",IF($M13437="PADD II","PADD 2",IF($M13437="PADD III","PADD 3",IF($M13437="PADD IV","PADD 4",IF($M13437="PADD V","PADD 5","")))))</f>
        <v/>
      </c>
      <c r="G13437" s="6">
        <f>IF(AND($H13437="ATMOS DISTILLATION",ISNUMBER(SEARCH("VPS",$I13437))=FALSE,LEFT($I13437,6)&lt;&gt;"VACUUM"),"CDU",IF($H13437="FLUID CAT CRACKING","FCC",IF(OR($H13437="HYDROCRACKING",$H13437="RESID_HYDROCRACKING"),"Hydrocracker",IF($H13437="REFORMING","Reformer",""))))</f>
        <v/>
      </c>
    </row>
    <row r="13438" spans="6:7">
      <c r="F13438" s="6">
        <f>IF($M13438="PADD I","PADD 1",IF($M13438="PADD II","PADD 2",IF($M13438="PADD III","PADD 3",IF($M13438="PADD IV","PADD 4",IF($M13438="PADD V","PADD 5","")))))</f>
        <v/>
      </c>
      <c r="G13438" s="6">
        <f>IF(AND($H13438="ATMOS DISTILLATION",ISNUMBER(SEARCH("VPS",$I13438))=FALSE,LEFT($I13438,6)&lt;&gt;"VACUUM"),"CDU",IF($H13438="FLUID CAT CRACKING","FCC",IF(OR($H13438="HYDROCRACKING",$H13438="RESID_HYDROCRACKING"),"Hydrocracker",IF($H13438="REFORMING","Reformer",""))))</f>
        <v/>
      </c>
    </row>
    <row r="13439" spans="6:7">
      <c r="F13439" s="6">
        <f>IF($M13439="PADD I","PADD 1",IF($M13439="PADD II","PADD 2",IF($M13439="PADD III","PADD 3",IF($M13439="PADD IV","PADD 4",IF($M13439="PADD V","PADD 5","")))))</f>
        <v/>
      </c>
      <c r="G13439" s="6">
        <f>IF(AND($H13439="ATMOS DISTILLATION",ISNUMBER(SEARCH("VPS",$I13439))=FALSE,LEFT($I13439,6)&lt;&gt;"VACUUM"),"CDU",IF($H13439="FLUID CAT CRACKING","FCC",IF(OR($H13439="HYDROCRACKING",$H13439="RESID_HYDROCRACKING"),"Hydrocracker",IF($H13439="REFORMING","Reformer",""))))</f>
        <v/>
      </c>
    </row>
    <row r="13440" spans="6:7">
      <c r="F13440" s="6">
        <f>IF($M13440="PADD I","PADD 1",IF($M13440="PADD II","PADD 2",IF($M13440="PADD III","PADD 3",IF($M13440="PADD IV","PADD 4",IF($M13440="PADD V","PADD 5","")))))</f>
        <v/>
      </c>
      <c r="G13440" s="6">
        <f>IF(AND($H13440="ATMOS DISTILLATION",ISNUMBER(SEARCH("VPS",$I13440))=FALSE,LEFT($I13440,6)&lt;&gt;"VACUUM"),"CDU",IF($H13440="FLUID CAT CRACKING","FCC",IF(OR($H13440="HYDROCRACKING",$H13440="RESID_HYDROCRACKING"),"Hydrocracker",IF($H13440="REFORMING","Reformer",""))))</f>
        <v/>
      </c>
    </row>
    <row r="13441" spans="6:7">
      <c r="F13441" s="6">
        <f>IF($M13441="PADD I","PADD 1",IF($M13441="PADD II","PADD 2",IF($M13441="PADD III","PADD 3",IF($M13441="PADD IV","PADD 4",IF($M13441="PADD V","PADD 5","")))))</f>
        <v/>
      </c>
      <c r="G13441" s="6">
        <f>IF(AND($H13441="ATMOS DISTILLATION",ISNUMBER(SEARCH("VPS",$I13441))=FALSE,LEFT($I13441,6)&lt;&gt;"VACUUM"),"CDU",IF($H13441="FLUID CAT CRACKING","FCC",IF(OR($H13441="HYDROCRACKING",$H13441="RESID_HYDROCRACKING"),"Hydrocracker",IF($H13441="REFORMING","Reformer",""))))</f>
        <v/>
      </c>
    </row>
    <row r="13442" spans="6:7">
      <c r="F13442" s="6">
        <f>IF($M13442="PADD I","PADD 1",IF($M13442="PADD II","PADD 2",IF($M13442="PADD III","PADD 3",IF($M13442="PADD IV","PADD 4",IF($M13442="PADD V","PADD 5","")))))</f>
        <v/>
      </c>
      <c r="G13442" s="6">
        <f>IF(AND($H13442="ATMOS DISTILLATION",ISNUMBER(SEARCH("VPS",$I13442))=FALSE,LEFT($I13442,6)&lt;&gt;"VACUUM"),"CDU",IF($H13442="FLUID CAT CRACKING","FCC",IF(OR($H13442="HYDROCRACKING",$H13442="RESID_HYDROCRACKING"),"Hydrocracker",IF($H13442="REFORMING","Reformer",""))))</f>
        <v/>
      </c>
    </row>
    <row r="13443" spans="6:7">
      <c r="F13443" s="6">
        <f>IF($M13443="PADD I","PADD 1",IF($M13443="PADD II","PADD 2",IF($M13443="PADD III","PADD 3",IF($M13443="PADD IV","PADD 4",IF($M13443="PADD V","PADD 5","")))))</f>
        <v/>
      </c>
      <c r="G13443" s="6">
        <f>IF(AND($H13443="ATMOS DISTILLATION",ISNUMBER(SEARCH("VPS",$I13443))=FALSE,LEFT($I13443,6)&lt;&gt;"VACUUM"),"CDU",IF($H13443="FLUID CAT CRACKING","FCC",IF(OR($H13443="HYDROCRACKING",$H13443="RESID_HYDROCRACKING"),"Hydrocracker",IF($H13443="REFORMING","Reformer",""))))</f>
        <v/>
      </c>
    </row>
    <row r="13444" spans="6:7">
      <c r="F13444" s="6">
        <f>IF($M13444="PADD I","PADD 1",IF($M13444="PADD II","PADD 2",IF($M13444="PADD III","PADD 3",IF($M13444="PADD IV","PADD 4",IF($M13444="PADD V","PADD 5","")))))</f>
        <v/>
      </c>
      <c r="G13444" s="6">
        <f>IF(AND($H13444="ATMOS DISTILLATION",ISNUMBER(SEARCH("VPS",$I13444))=FALSE,LEFT($I13444,6)&lt;&gt;"VACUUM"),"CDU",IF($H13444="FLUID CAT CRACKING","FCC",IF(OR($H13444="HYDROCRACKING",$H13444="RESID_HYDROCRACKING"),"Hydrocracker",IF($H13444="REFORMING","Reformer",""))))</f>
        <v/>
      </c>
    </row>
    <row r="13445" spans="6:7">
      <c r="F13445" s="6">
        <f>IF($M13445="PADD I","PADD 1",IF($M13445="PADD II","PADD 2",IF($M13445="PADD III","PADD 3",IF($M13445="PADD IV","PADD 4",IF($M13445="PADD V","PADD 5","")))))</f>
        <v/>
      </c>
      <c r="G13445" s="6">
        <f>IF(AND($H13445="ATMOS DISTILLATION",ISNUMBER(SEARCH("VPS",$I13445))=FALSE,LEFT($I13445,6)&lt;&gt;"VACUUM"),"CDU",IF($H13445="FLUID CAT CRACKING","FCC",IF(OR($H13445="HYDROCRACKING",$H13445="RESID_HYDROCRACKING"),"Hydrocracker",IF($H13445="REFORMING","Reformer",""))))</f>
        <v/>
      </c>
    </row>
    <row r="13446" spans="6:7">
      <c r="F13446" s="6">
        <f>IF($M13446="PADD I","PADD 1",IF($M13446="PADD II","PADD 2",IF($M13446="PADD III","PADD 3",IF($M13446="PADD IV","PADD 4",IF($M13446="PADD V","PADD 5","")))))</f>
        <v/>
      </c>
      <c r="G13446" s="6">
        <f>IF(AND($H13446="ATMOS DISTILLATION",ISNUMBER(SEARCH("VPS",$I13446))=FALSE,LEFT($I13446,6)&lt;&gt;"VACUUM"),"CDU",IF($H13446="FLUID CAT CRACKING","FCC",IF(OR($H13446="HYDROCRACKING",$H13446="RESID_HYDROCRACKING"),"Hydrocracker",IF($H13446="REFORMING","Reformer",""))))</f>
        <v/>
      </c>
    </row>
    <row r="13447" spans="6:7">
      <c r="F13447" s="6">
        <f>IF($M13447="PADD I","PADD 1",IF($M13447="PADD II","PADD 2",IF($M13447="PADD III","PADD 3",IF($M13447="PADD IV","PADD 4",IF($M13447="PADD V","PADD 5","")))))</f>
        <v/>
      </c>
      <c r="G13447" s="6">
        <f>IF(AND($H13447="ATMOS DISTILLATION",ISNUMBER(SEARCH("VPS",$I13447))=FALSE,LEFT($I13447,6)&lt;&gt;"VACUUM"),"CDU",IF($H13447="FLUID CAT CRACKING","FCC",IF(OR($H13447="HYDROCRACKING",$H13447="RESID_HYDROCRACKING"),"Hydrocracker",IF($H13447="REFORMING","Reformer",""))))</f>
        <v/>
      </c>
    </row>
    <row r="13448" spans="6:7">
      <c r="F13448" s="6">
        <f>IF($M13448="PADD I","PADD 1",IF($M13448="PADD II","PADD 2",IF($M13448="PADD III","PADD 3",IF($M13448="PADD IV","PADD 4",IF($M13448="PADD V","PADD 5","")))))</f>
        <v/>
      </c>
      <c r="G13448" s="6">
        <f>IF(AND($H13448="ATMOS DISTILLATION",ISNUMBER(SEARCH("VPS",$I13448))=FALSE,LEFT($I13448,6)&lt;&gt;"VACUUM"),"CDU",IF($H13448="FLUID CAT CRACKING","FCC",IF(OR($H13448="HYDROCRACKING",$H13448="RESID_HYDROCRACKING"),"Hydrocracker",IF($H13448="REFORMING","Reformer",""))))</f>
        <v/>
      </c>
    </row>
    <row r="13449" spans="6:7">
      <c r="F13449" s="6">
        <f>IF($M13449="PADD I","PADD 1",IF($M13449="PADD II","PADD 2",IF($M13449="PADD III","PADD 3",IF($M13449="PADD IV","PADD 4",IF($M13449="PADD V","PADD 5","")))))</f>
        <v/>
      </c>
      <c r="G13449" s="6">
        <f>IF(AND($H13449="ATMOS DISTILLATION",ISNUMBER(SEARCH("VPS",$I13449))=FALSE,LEFT($I13449,6)&lt;&gt;"VACUUM"),"CDU",IF($H13449="FLUID CAT CRACKING","FCC",IF(OR($H13449="HYDROCRACKING",$H13449="RESID_HYDROCRACKING"),"Hydrocracker",IF($H13449="REFORMING","Reformer",""))))</f>
        <v/>
      </c>
    </row>
    <row r="13450" spans="6:7">
      <c r="F13450" s="6">
        <f>IF($M13450="PADD I","PADD 1",IF($M13450="PADD II","PADD 2",IF($M13450="PADD III","PADD 3",IF($M13450="PADD IV","PADD 4",IF($M13450="PADD V","PADD 5","")))))</f>
        <v/>
      </c>
      <c r="G13450" s="6">
        <f>IF(AND($H13450="ATMOS DISTILLATION",ISNUMBER(SEARCH("VPS",$I13450))=FALSE,LEFT($I13450,6)&lt;&gt;"VACUUM"),"CDU",IF($H13450="FLUID CAT CRACKING","FCC",IF(OR($H13450="HYDROCRACKING",$H13450="RESID_HYDROCRACKING"),"Hydrocracker",IF($H13450="REFORMING","Reformer",""))))</f>
        <v/>
      </c>
    </row>
    <row r="13451" spans="6:7">
      <c r="F13451" s="6">
        <f>IF($M13451="PADD I","PADD 1",IF($M13451="PADD II","PADD 2",IF($M13451="PADD III","PADD 3",IF($M13451="PADD IV","PADD 4",IF($M13451="PADD V","PADD 5","")))))</f>
        <v/>
      </c>
      <c r="G13451" s="6">
        <f>IF(AND($H13451="ATMOS DISTILLATION",ISNUMBER(SEARCH("VPS",$I13451))=FALSE,LEFT($I13451,6)&lt;&gt;"VACUUM"),"CDU",IF($H13451="FLUID CAT CRACKING","FCC",IF(OR($H13451="HYDROCRACKING",$H13451="RESID_HYDROCRACKING"),"Hydrocracker",IF($H13451="REFORMING","Reformer",""))))</f>
        <v/>
      </c>
    </row>
    <row r="13452" spans="6:7">
      <c r="F13452" s="6">
        <f>IF($M13452="PADD I","PADD 1",IF($M13452="PADD II","PADD 2",IF($M13452="PADD III","PADD 3",IF($M13452="PADD IV","PADD 4",IF($M13452="PADD V","PADD 5","")))))</f>
        <v/>
      </c>
      <c r="G13452" s="6">
        <f>IF(AND($H13452="ATMOS DISTILLATION",ISNUMBER(SEARCH("VPS",$I13452))=FALSE,LEFT($I13452,6)&lt;&gt;"VACUUM"),"CDU",IF($H13452="FLUID CAT CRACKING","FCC",IF(OR($H13452="HYDROCRACKING",$H13452="RESID_HYDROCRACKING"),"Hydrocracker",IF($H13452="REFORMING","Reformer",""))))</f>
        <v/>
      </c>
    </row>
    <row r="13453" spans="6:7">
      <c r="F13453" s="6">
        <f>IF($M13453="PADD I","PADD 1",IF($M13453="PADD II","PADD 2",IF($M13453="PADD III","PADD 3",IF($M13453="PADD IV","PADD 4",IF($M13453="PADD V","PADD 5","")))))</f>
        <v/>
      </c>
      <c r="G13453" s="6">
        <f>IF(AND($H13453="ATMOS DISTILLATION",ISNUMBER(SEARCH("VPS",$I13453))=FALSE,LEFT($I13453,6)&lt;&gt;"VACUUM"),"CDU",IF($H13453="FLUID CAT CRACKING","FCC",IF(OR($H13453="HYDROCRACKING",$H13453="RESID_HYDROCRACKING"),"Hydrocracker",IF($H13453="REFORMING","Reformer",""))))</f>
        <v/>
      </c>
    </row>
    <row r="13454" spans="6:7">
      <c r="F13454" s="6">
        <f>IF($M13454="PADD I","PADD 1",IF($M13454="PADD II","PADD 2",IF($M13454="PADD III","PADD 3",IF($M13454="PADD IV","PADD 4",IF($M13454="PADD V","PADD 5","")))))</f>
        <v/>
      </c>
      <c r="G13454" s="6">
        <f>IF(AND($H13454="ATMOS DISTILLATION",ISNUMBER(SEARCH("VPS",$I13454))=FALSE,LEFT($I13454,6)&lt;&gt;"VACUUM"),"CDU",IF($H13454="FLUID CAT CRACKING","FCC",IF(OR($H13454="HYDROCRACKING",$H13454="RESID_HYDROCRACKING"),"Hydrocracker",IF($H13454="REFORMING","Reformer",""))))</f>
        <v/>
      </c>
    </row>
    <row r="13455" spans="6:7">
      <c r="F13455" s="6">
        <f>IF($M13455="PADD I","PADD 1",IF($M13455="PADD II","PADD 2",IF($M13455="PADD III","PADD 3",IF($M13455="PADD IV","PADD 4",IF($M13455="PADD V","PADD 5","")))))</f>
        <v/>
      </c>
      <c r="G13455" s="6">
        <f>IF(AND($H13455="ATMOS DISTILLATION",ISNUMBER(SEARCH("VPS",$I13455))=FALSE,LEFT($I13455,6)&lt;&gt;"VACUUM"),"CDU",IF($H13455="FLUID CAT CRACKING","FCC",IF(OR($H13455="HYDROCRACKING",$H13455="RESID_HYDROCRACKING"),"Hydrocracker",IF($H13455="REFORMING","Reformer",""))))</f>
        <v/>
      </c>
    </row>
    <row r="13456" spans="6:7">
      <c r="F13456" s="6">
        <f>IF($M13456="PADD I","PADD 1",IF($M13456="PADD II","PADD 2",IF($M13456="PADD III","PADD 3",IF($M13456="PADD IV","PADD 4",IF($M13456="PADD V","PADD 5","")))))</f>
        <v/>
      </c>
      <c r="G13456" s="6">
        <f>IF(AND($H13456="ATMOS DISTILLATION",ISNUMBER(SEARCH("VPS",$I13456))=FALSE,LEFT($I13456,6)&lt;&gt;"VACUUM"),"CDU",IF($H13456="FLUID CAT CRACKING","FCC",IF(OR($H13456="HYDROCRACKING",$H13456="RESID_HYDROCRACKING"),"Hydrocracker",IF($H13456="REFORMING","Reformer",""))))</f>
        <v/>
      </c>
    </row>
    <row r="13457" spans="6:7">
      <c r="F13457" s="6">
        <f>IF($M13457="PADD I","PADD 1",IF($M13457="PADD II","PADD 2",IF($M13457="PADD III","PADD 3",IF($M13457="PADD IV","PADD 4",IF($M13457="PADD V","PADD 5","")))))</f>
        <v/>
      </c>
      <c r="G13457" s="6">
        <f>IF(AND($H13457="ATMOS DISTILLATION",ISNUMBER(SEARCH("VPS",$I13457))=FALSE,LEFT($I13457,6)&lt;&gt;"VACUUM"),"CDU",IF($H13457="FLUID CAT CRACKING","FCC",IF(OR($H13457="HYDROCRACKING",$H13457="RESID_HYDROCRACKING"),"Hydrocracker",IF($H13457="REFORMING","Reformer",""))))</f>
        <v/>
      </c>
    </row>
    <row r="13458" spans="6:7">
      <c r="F13458" s="6">
        <f>IF($M13458="PADD I","PADD 1",IF($M13458="PADD II","PADD 2",IF($M13458="PADD III","PADD 3",IF($M13458="PADD IV","PADD 4",IF($M13458="PADD V","PADD 5","")))))</f>
        <v/>
      </c>
      <c r="G13458" s="6">
        <f>IF(AND($H13458="ATMOS DISTILLATION",ISNUMBER(SEARCH("VPS",$I13458))=FALSE,LEFT($I13458,6)&lt;&gt;"VACUUM"),"CDU",IF($H13458="FLUID CAT CRACKING","FCC",IF(OR($H13458="HYDROCRACKING",$H13458="RESID_HYDROCRACKING"),"Hydrocracker",IF($H13458="REFORMING","Reformer",""))))</f>
        <v/>
      </c>
    </row>
    <row r="13459" spans="6:7">
      <c r="F13459" s="6">
        <f>IF($M13459="PADD I","PADD 1",IF($M13459="PADD II","PADD 2",IF($M13459="PADD III","PADD 3",IF($M13459="PADD IV","PADD 4",IF($M13459="PADD V","PADD 5","")))))</f>
        <v/>
      </c>
      <c r="G13459" s="6">
        <f>IF(AND($H13459="ATMOS DISTILLATION",ISNUMBER(SEARCH("VPS",$I13459))=FALSE,LEFT($I13459,6)&lt;&gt;"VACUUM"),"CDU",IF($H13459="FLUID CAT CRACKING","FCC",IF(OR($H13459="HYDROCRACKING",$H13459="RESID_HYDROCRACKING"),"Hydrocracker",IF($H13459="REFORMING","Reformer",""))))</f>
        <v/>
      </c>
    </row>
    <row r="13460" spans="6:7">
      <c r="F13460" s="6">
        <f>IF($M13460="PADD I","PADD 1",IF($M13460="PADD II","PADD 2",IF($M13460="PADD III","PADD 3",IF($M13460="PADD IV","PADD 4",IF($M13460="PADD V","PADD 5","")))))</f>
        <v/>
      </c>
      <c r="G13460" s="6">
        <f>IF(AND($H13460="ATMOS DISTILLATION",ISNUMBER(SEARCH("VPS",$I13460))=FALSE,LEFT($I13460,6)&lt;&gt;"VACUUM"),"CDU",IF($H13460="FLUID CAT CRACKING","FCC",IF(OR($H13460="HYDROCRACKING",$H13460="RESID_HYDROCRACKING"),"Hydrocracker",IF($H13460="REFORMING","Reformer",""))))</f>
        <v/>
      </c>
    </row>
    <row r="13461" spans="6:7">
      <c r="F13461" s="6">
        <f>IF($M13461="PADD I","PADD 1",IF($M13461="PADD II","PADD 2",IF($M13461="PADD III","PADD 3",IF($M13461="PADD IV","PADD 4",IF($M13461="PADD V","PADD 5","")))))</f>
        <v/>
      </c>
      <c r="G13461" s="6">
        <f>IF(AND($H13461="ATMOS DISTILLATION",ISNUMBER(SEARCH("VPS",$I13461))=FALSE,LEFT($I13461,6)&lt;&gt;"VACUUM"),"CDU",IF($H13461="FLUID CAT CRACKING","FCC",IF(OR($H13461="HYDROCRACKING",$H13461="RESID_HYDROCRACKING"),"Hydrocracker",IF($H13461="REFORMING","Reformer",""))))</f>
        <v/>
      </c>
    </row>
    <row r="13462" spans="6:7">
      <c r="F13462" s="6">
        <f>IF($M13462="PADD I","PADD 1",IF($M13462="PADD II","PADD 2",IF($M13462="PADD III","PADD 3",IF($M13462="PADD IV","PADD 4",IF($M13462="PADD V","PADD 5","")))))</f>
        <v/>
      </c>
      <c r="G13462" s="6">
        <f>IF(AND($H13462="ATMOS DISTILLATION",ISNUMBER(SEARCH("VPS",$I13462))=FALSE,LEFT($I13462,6)&lt;&gt;"VACUUM"),"CDU",IF($H13462="FLUID CAT CRACKING","FCC",IF(OR($H13462="HYDROCRACKING",$H13462="RESID_HYDROCRACKING"),"Hydrocracker",IF($H13462="REFORMING","Reformer",""))))</f>
        <v/>
      </c>
    </row>
    <row r="13463" spans="6:7">
      <c r="F13463" s="6">
        <f>IF($M13463="PADD I","PADD 1",IF($M13463="PADD II","PADD 2",IF($M13463="PADD III","PADD 3",IF($M13463="PADD IV","PADD 4",IF($M13463="PADD V","PADD 5","")))))</f>
        <v/>
      </c>
      <c r="G13463" s="6">
        <f>IF(AND($H13463="ATMOS DISTILLATION",ISNUMBER(SEARCH("VPS",$I13463))=FALSE,LEFT($I13463,6)&lt;&gt;"VACUUM"),"CDU",IF($H13463="FLUID CAT CRACKING","FCC",IF(OR($H13463="HYDROCRACKING",$H13463="RESID_HYDROCRACKING"),"Hydrocracker",IF($H13463="REFORMING","Reformer",""))))</f>
        <v/>
      </c>
    </row>
    <row r="13464" spans="6:7">
      <c r="F13464" s="6">
        <f>IF($M13464="PADD I","PADD 1",IF($M13464="PADD II","PADD 2",IF($M13464="PADD III","PADD 3",IF($M13464="PADD IV","PADD 4",IF($M13464="PADD V","PADD 5","")))))</f>
        <v/>
      </c>
      <c r="G13464" s="6">
        <f>IF(AND($H13464="ATMOS DISTILLATION",ISNUMBER(SEARCH("VPS",$I13464))=FALSE,LEFT($I13464,6)&lt;&gt;"VACUUM"),"CDU",IF($H13464="FLUID CAT CRACKING","FCC",IF(OR($H13464="HYDROCRACKING",$H13464="RESID_HYDROCRACKING"),"Hydrocracker",IF($H13464="REFORMING","Reformer",""))))</f>
        <v/>
      </c>
    </row>
    <row r="13465" spans="6:7">
      <c r="F13465" s="6">
        <f>IF($M13465="PADD I","PADD 1",IF($M13465="PADD II","PADD 2",IF($M13465="PADD III","PADD 3",IF($M13465="PADD IV","PADD 4",IF($M13465="PADD V","PADD 5","")))))</f>
        <v/>
      </c>
      <c r="G13465" s="6">
        <f>IF(AND($H13465="ATMOS DISTILLATION",ISNUMBER(SEARCH("VPS",$I13465))=FALSE,LEFT($I13465,6)&lt;&gt;"VACUUM"),"CDU",IF($H13465="FLUID CAT CRACKING","FCC",IF(OR($H13465="HYDROCRACKING",$H13465="RESID_HYDROCRACKING"),"Hydrocracker",IF($H13465="REFORMING","Reformer",""))))</f>
        <v/>
      </c>
    </row>
    <row r="13466" spans="6:7">
      <c r="F13466" s="6">
        <f>IF($M13466="PADD I","PADD 1",IF($M13466="PADD II","PADD 2",IF($M13466="PADD III","PADD 3",IF($M13466="PADD IV","PADD 4",IF($M13466="PADD V","PADD 5","")))))</f>
        <v/>
      </c>
      <c r="G13466" s="6">
        <f>IF(AND($H13466="ATMOS DISTILLATION",ISNUMBER(SEARCH("VPS",$I13466))=FALSE,LEFT($I13466,6)&lt;&gt;"VACUUM"),"CDU",IF($H13466="FLUID CAT CRACKING","FCC",IF(OR($H13466="HYDROCRACKING",$H13466="RESID_HYDROCRACKING"),"Hydrocracker",IF($H13466="REFORMING","Reformer",""))))</f>
        <v/>
      </c>
    </row>
    <row r="13467" spans="6:7">
      <c r="F13467" s="6">
        <f>IF($M13467="PADD I","PADD 1",IF($M13467="PADD II","PADD 2",IF($M13467="PADD III","PADD 3",IF($M13467="PADD IV","PADD 4",IF($M13467="PADD V","PADD 5","")))))</f>
        <v/>
      </c>
      <c r="G13467" s="6">
        <f>IF(AND($H13467="ATMOS DISTILLATION",ISNUMBER(SEARCH("VPS",$I13467))=FALSE,LEFT($I13467,6)&lt;&gt;"VACUUM"),"CDU",IF($H13467="FLUID CAT CRACKING","FCC",IF(OR($H13467="HYDROCRACKING",$H13467="RESID_HYDROCRACKING"),"Hydrocracker",IF($H13467="REFORMING","Reformer",""))))</f>
        <v/>
      </c>
    </row>
    <row r="13468" spans="6:7">
      <c r="F13468" s="6">
        <f>IF($M13468="PADD I","PADD 1",IF($M13468="PADD II","PADD 2",IF($M13468="PADD III","PADD 3",IF($M13468="PADD IV","PADD 4",IF($M13468="PADD V","PADD 5","")))))</f>
        <v/>
      </c>
      <c r="G13468" s="6">
        <f>IF(AND($H13468="ATMOS DISTILLATION",ISNUMBER(SEARCH("VPS",$I13468))=FALSE,LEFT($I13468,6)&lt;&gt;"VACUUM"),"CDU",IF($H13468="FLUID CAT CRACKING","FCC",IF(OR($H13468="HYDROCRACKING",$H13468="RESID_HYDROCRACKING"),"Hydrocracker",IF($H13468="REFORMING","Reformer",""))))</f>
        <v/>
      </c>
    </row>
    <row r="13469" spans="6:7">
      <c r="F13469" s="6">
        <f>IF($M13469="PADD I","PADD 1",IF($M13469="PADD II","PADD 2",IF($M13469="PADD III","PADD 3",IF($M13469="PADD IV","PADD 4",IF($M13469="PADD V","PADD 5","")))))</f>
        <v/>
      </c>
      <c r="G13469" s="6">
        <f>IF(AND($H13469="ATMOS DISTILLATION",ISNUMBER(SEARCH("VPS",$I13469))=FALSE,LEFT($I13469,6)&lt;&gt;"VACUUM"),"CDU",IF($H13469="FLUID CAT CRACKING","FCC",IF(OR($H13469="HYDROCRACKING",$H13469="RESID_HYDROCRACKING"),"Hydrocracker",IF($H13469="REFORMING","Reformer",""))))</f>
        <v/>
      </c>
    </row>
    <row r="13470" spans="6:7">
      <c r="F13470" s="6">
        <f>IF($M13470="PADD I","PADD 1",IF($M13470="PADD II","PADD 2",IF($M13470="PADD III","PADD 3",IF($M13470="PADD IV","PADD 4",IF($M13470="PADD V","PADD 5","")))))</f>
        <v/>
      </c>
      <c r="G13470" s="6">
        <f>IF(AND($H13470="ATMOS DISTILLATION",ISNUMBER(SEARCH("VPS",$I13470))=FALSE,LEFT($I13470,6)&lt;&gt;"VACUUM"),"CDU",IF($H13470="FLUID CAT CRACKING","FCC",IF(OR($H13470="HYDROCRACKING",$H13470="RESID_HYDROCRACKING"),"Hydrocracker",IF($H13470="REFORMING","Reformer",""))))</f>
        <v/>
      </c>
    </row>
    <row r="13471" spans="6:7">
      <c r="F13471" s="6">
        <f>IF($M13471="PADD I","PADD 1",IF($M13471="PADD II","PADD 2",IF($M13471="PADD III","PADD 3",IF($M13471="PADD IV","PADD 4",IF($M13471="PADD V","PADD 5","")))))</f>
        <v/>
      </c>
      <c r="G13471" s="6">
        <f>IF(AND($H13471="ATMOS DISTILLATION",ISNUMBER(SEARCH("VPS",$I13471))=FALSE,LEFT($I13471,6)&lt;&gt;"VACUUM"),"CDU",IF($H13471="FLUID CAT CRACKING","FCC",IF(OR($H13471="HYDROCRACKING",$H13471="RESID_HYDROCRACKING"),"Hydrocracker",IF($H13471="REFORMING","Reformer",""))))</f>
        <v/>
      </c>
    </row>
    <row r="13472" spans="6:7">
      <c r="F13472" s="6">
        <f>IF($M13472="PADD I","PADD 1",IF($M13472="PADD II","PADD 2",IF($M13472="PADD III","PADD 3",IF($M13472="PADD IV","PADD 4",IF($M13472="PADD V","PADD 5","")))))</f>
        <v/>
      </c>
      <c r="G13472" s="6">
        <f>IF(AND($H13472="ATMOS DISTILLATION",ISNUMBER(SEARCH("VPS",$I13472))=FALSE,LEFT($I13472,6)&lt;&gt;"VACUUM"),"CDU",IF($H13472="FLUID CAT CRACKING","FCC",IF(OR($H13472="HYDROCRACKING",$H13472="RESID_HYDROCRACKING"),"Hydrocracker",IF($H13472="REFORMING","Reformer",""))))</f>
        <v/>
      </c>
    </row>
    <row r="13473" spans="6:7">
      <c r="F13473" s="6">
        <f>IF($M13473="PADD I","PADD 1",IF($M13473="PADD II","PADD 2",IF($M13473="PADD III","PADD 3",IF($M13473="PADD IV","PADD 4",IF($M13473="PADD V","PADD 5","")))))</f>
        <v/>
      </c>
      <c r="G13473" s="6">
        <f>IF(AND($H13473="ATMOS DISTILLATION",ISNUMBER(SEARCH("VPS",$I13473))=FALSE,LEFT($I13473,6)&lt;&gt;"VACUUM"),"CDU",IF($H13473="FLUID CAT CRACKING","FCC",IF(OR($H13473="HYDROCRACKING",$H13473="RESID_HYDROCRACKING"),"Hydrocracker",IF($H13473="REFORMING","Reformer",""))))</f>
        <v/>
      </c>
    </row>
    <row r="13474" spans="6:7">
      <c r="F13474" s="6">
        <f>IF($M13474="PADD I","PADD 1",IF($M13474="PADD II","PADD 2",IF($M13474="PADD III","PADD 3",IF($M13474="PADD IV","PADD 4",IF($M13474="PADD V","PADD 5","")))))</f>
        <v/>
      </c>
      <c r="G13474" s="6">
        <f>IF(AND($H13474="ATMOS DISTILLATION",ISNUMBER(SEARCH("VPS",$I13474))=FALSE,LEFT($I13474,6)&lt;&gt;"VACUUM"),"CDU",IF($H13474="FLUID CAT CRACKING","FCC",IF(OR($H13474="HYDROCRACKING",$H13474="RESID_HYDROCRACKING"),"Hydrocracker",IF($H13474="REFORMING","Reformer",""))))</f>
        <v/>
      </c>
    </row>
    <row r="13475" spans="6:7">
      <c r="F13475" s="6">
        <f>IF($M13475="PADD I","PADD 1",IF($M13475="PADD II","PADD 2",IF($M13475="PADD III","PADD 3",IF($M13475="PADD IV","PADD 4",IF($M13475="PADD V","PADD 5","")))))</f>
        <v/>
      </c>
      <c r="G13475" s="6">
        <f>IF(AND($H13475="ATMOS DISTILLATION",ISNUMBER(SEARCH("VPS",$I13475))=FALSE,LEFT($I13475,6)&lt;&gt;"VACUUM"),"CDU",IF($H13475="FLUID CAT CRACKING","FCC",IF(OR($H13475="HYDROCRACKING",$H13475="RESID_HYDROCRACKING"),"Hydrocracker",IF($H13475="REFORMING","Reformer",""))))</f>
        <v/>
      </c>
    </row>
    <row r="13476" spans="6:7">
      <c r="F13476" s="6">
        <f>IF($M13476="PADD I","PADD 1",IF($M13476="PADD II","PADD 2",IF($M13476="PADD III","PADD 3",IF($M13476="PADD IV","PADD 4",IF($M13476="PADD V","PADD 5","")))))</f>
        <v/>
      </c>
      <c r="G13476" s="6">
        <f>IF(AND($H13476="ATMOS DISTILLATION",ISNUMBER(SEARCH("VPS",$I13476))=FALSE,LEFT($I13476,6)&lt;&gt;"VACUUM"),"CDU",IF($H13476="FLUID CAT CRACKING","FCC",IF(OR($H13476="HYDROCRACKING",$H13476="RESID_HYDROCRACKING"),"Hydrocracker",IF($H13476="REFORMING","Reformer",""))))</f>
        <v/>
      </c>
    </row>
    <row r="13477" spans="6:7">
      <c r="F13477" s="6">
        <f>IF($M13477="PADD I","PADD 1",IF($M13477="PADD II","PADD 2",IF($M13477="PADD III","PADD 3",IF($M13477="PADD IV","PADD 4",IF($M13477="PADD V","PADD 5","")))))</f>
        <v/>
      </c>
      <c r="G13477" s="6">
        <f>IF(AND($H13477="ATMOS DISTILLATION",ISNUMBER(SEARCH("VPS",$I13477))=FALSE,LEFT($I13477,6)&lt;&gt;"VACUUM"),"CDU",IF($H13477="FLUID CAT CRACKING","FCC",IF(OR($H13477="HYDROCRACKING",$H13477="RESID_HYDROCRACKING"),"Hydrocracker",IF($H13477="REFORMING","Reformer",""))))</f>
        <v/>
      </c>
    </row>
    <row r="13478" spans="6:7">
      <c r="F13478" s="6">
        <f>IF($M13478="PADD I","PADD 1",IF($M13478="PADD II","PADD 2",IF($M13478="PADD III","PADD 3",IF($M13478="PADD IV","PADD 4",IF($M13478="PADD V","PADD 5","")))))</f>
        <v/>
      </c>
      <c r="G13478" s="6">
        <f>IF(AND($H13478="ATMOS DISTILLATION",ISNUMBER(SEARCH("VPS",$I13478))=FALSE,LEFT($I13478,6)&lt;&gt;"VACUUM"),"CDU",IF($H13478="FLUID CAT CRACKING","FCC",IF(OR($H13478="HYDROCRACKING",$H13478="RESID_HYDROCRACKING"),"Hydrocracker",IF($H13478="REFORMING","Reformer",""))))</f>
        <v/>
      </c>
    </row>
    <row r="13479" spans="6:7">
      <c r="F13479" s="6">
        <f>IF($M13479="PADD I","PADD 1",IF($M13479="PADD II","PADD 2",IF($M13479="PADD III","PADD 3",IF($M13479="PADD IV","PADD 4",IF($M13479="PADD V","PADD 5","")))))</f>
        <v/>
      </c>
      <c r="G13479" s="6">
        <f>IF(AND($H13479="ATMOS DISTILLATION",ISNUMBER(SEARCH("VPS",$I13479))=FALSE,LEFT($I13479,6)&lt;&gt;"VACUUM"),"CDU",IF($H13479="FLUID CAT CRACKING","FCC",IF(OR($H13479="HYDROCRACKING",$H13479="RESID_HYDROCRACKING"),"Hydrocracker",IF($H13479="REFORMING","Reformer",""))))</f>
        <v/>
      </c>
    </row>
    <row r="13480" spans="6:7">
      <c r="F13480" s="6">
        <f>IF($M13480="PADD I","PADD 1",IF($M13480="PADD II","PADD 2",IF($M13480="PADD III","PADD 3",IF($M13480="PADD IV","PADD 4",IF($M13480="PADD V","PADD 5","")))))</f>
        <v/>
      </c>
      <c r="G13480" s="6">
        <f>IF(AND($H13480="ATMOS DISTILLATION",ISNUMBER(SEARCH("VPS",$I13480))=FALSE,LEFT($I13480,6)&lt;&gt;"VACUUM"),"CDU",IF($H13480="FLUID CAT CRACKING","FCC",IF(OR($H13480="HYDROCRACKING",$H13480="RESID_HYDROCRACKING"),"Hydrocracker",IF($H13480="REFORMING","Reformer",""))))</f>
        <v/>
      </c>
    </row>
    <row r="13481" spans="6:7">
      <c r="F13481" s="6">
        <f>IF($M13481="PADD I","PADD 1",IF($M13481="PADD II","PADD 2",IF($M13481="PADD III","PADD 3",IF($M13481="PADD IV","PADD 4",IF($M13481="PADD V","PADD 5","")))))</f>
        <v/>
      </c>
      <c r="G13481" s="6">
        <f>IF(AND($H13481="ATMOS DISTILLATION",ISNUMBER(SEARCH("VPS",$I13481))=FALSE,LEFT($I13481,6)&lt;&gt;"VACUUM"),"CDU",IF($H13481="FLUID CAT CRACKING","FCC",IF(OR($H13481="HYDROCRACKING",$H13481="RESID_HYDROCRACKING"),"Hydrocracker",IF($H13481="REFORMING","Reformer",""))))</f>
        <v/>
      </c>
    </row>
    <row r="13482" spans="6:7">
      <c r="F13482" s="6">
        <f>IF($M13482="PADD I","PADD 1",IF($M13482="PADD II","PADD 2",IF($M13482="PADD III","PADD 3",IF($M13482="PADD IV","PADD 4",IF($M13482="PADD V","PADD 5","")))))</f>
        <v/>
      </c>
      <c r="G13482" s="6">
        <f>IF(AND($H13482="ATMOS DISTILLATION",ISNUMBER(SEARCH("VPS",$I13482))=FALSE,LEFT($I13482,6)&lt;&gt;"VACUUM"),"CDU",IF($H13482="FLUID CAT CRACKING","FCC",IF(OR($H13482="HYDROCRACKING",$H13482="RESID_HYDROCRACKING"),"Hydrocracker",IF($H13482="REFORMING","Reformer",""))))</f>
        <v/>
      </c>
    </row>
    <row r="13483" spans="6:7">
      <c r="F13483" s="6">
        <f>IF($M13483="PADD I","PADD 1",IF($M13483="PADD II","PADD 2",IF($M13483="PADD III","PADD 3",IF($M13483="PADD IV","PADD 4",IF($M13483="PADD V","PADD 5","")))))</f>
        <v/>
      </c>
      <c r="G13483" s="6">
        <f>IF(AND($H13483="ATMOS DISTILLATION",ISNUMBER(SEARCH("VPS",$I13483))=FALSE,LEFT($I13483,6)&lt;&gt;"VACUUM"),"CDU",IF($H13483="FLUID CAT CRACKING","FCC",IF(OR($H13483="HYDROCRACKING",$H13483="RESID_HYDROCRACKING"),"Hydrocracker",IF($H13483="REFORMING","Reformer",""))))</f>
        <v/>
      </c>
    </row>
    <row r="13484" spans="6:7">
      <c r="F13484" s="6">
        <f>IF($M13484="PADD I","PADD 1",IF($M13484="PADD II","PADD 2",IF($M13484="PADD III","PADD 3",IF($M13484="PADD IV","PADD 4",IF($M13484="PADD V","PADD 5","")))))</f>
        <v/>
      </c>
      <c r="G13484" s="6">
        <f>IF(AND($H13484="ATMOS DISTILLATION",ISNUMBER(SEARCH("VPS",$I13484))=FALSE,LEFT($I13484,6)&lt;&gt;"VACUUM"),"CDU",IF($H13484="FLUID CAT CRACKING","FCC",IF(OR($H13484="HYDROCRACKING",$H13484="RESID_HYDROCRACKING"),"Hydrocracker",IF($H13484="REFORMING","Reformer",""))))</f>
        <v/>
      </c>
    </row>
    <row r="13485" spans="6:7">
      <c r="F13485" s="6">
        <f>IF($M13485="PADD I","PADD 1",IF($M13485="PADD II","PADD 2",IF($M13485="PADD III","PADD 3",IF($M13485="PADD IV","PADD 4",IF($M13485="PADD V","PADD 5","")))))</f>
        <v/>
      </c>
      <c r="G13485" s="6">
        <f>IF(AND($H13485="ATMOS DISTILLATION",ISNUMBER(SEARCH("VPS",$I13485))=FALSE,LEFT($I13485,6)&lt;&gt;"VACUUM"),"CDU",IF($H13485="FLUID CAT CRACKING","FCC",IF(OR($H13485="HYDROCRACKING",$H13485="RESID_HYDROCRACKING"),"Hydrocracker",IF($H13485="REFORMING","Reformer",""))))</f>
        <v/>
      </c>
    </row>
    <row r="13486" spans="6:7">
      <c r="F13486" s="6">
        <f>IF($M13486="PADD I","PADD 1",IF($M13486="PADD II","PADD 2",IF($M13486="PADD III","PADD 3",IF($M13486="PADD IV","PADD 4",IF($M13486="PADD V","PADD 5","")))))</f>
        <v/>
      </c>
      <c r="G13486" s="6">
        <f>IF(AND($H13486="ATMOS DISTILLATION",ISNUMBER(SEARCH("VPS",$I13486))=FALSE,LEFT($I13486,6)&lt;&gt;"VACUUM"),"CDU",IF($H13486="FLUID CAT CRACKING","FCC",IF(OR($H13486="HYDROCRACKING",$H13486="RESID_HYDROCRACKING"),"Hydrocracker",IF($H13486="REFORMING","Reformer",""))))</f>
        <v/>
      </c>
    </row>
    <row r="13487" spans="6:7">
      <c r="F13487" s="6">
        <f>IF($M13487="PADD I","PADD 1",IF($M13487="PADD II","PADD 2",IF($M13487="PADD III","PADD 3",IF($M13487="PADD IV","PADD 4",IF($M13487="PADD V","PADD 5","")))))</f>
        <v/>
      </c>
      <c r="G13487" s="6">
        <f>IF(AND($H13487="ATMOS DISTILLATION",ISNUMBER(SEARCH("VPS",$I13487))=FALSE,LEFT($I13487,6)&lt;&gt;"VACUUM"),"CDU",IF($H13487="FLUID CAT CRACKING","FCC",IF(OR($H13487="HYDROCRACKING",$H13487="RESID_HYDROCRACKING"),"Hydrocracker",IF($H13487="REFORMING","Reformer",""))))</f>
        <v/>
      </c>
    </row>
    <row r="13488" spans="6:7">
      <c r="F13488" s="6">
        <f>IF($M13488="PADD I","PADD 1",IF($M13488="PADD II","PADD 2",IF($M13488="PADD III","PADD 3",IF($M13488="PADD IV","PADD 4",IF($M13488="PADD V","PADD 5","")))))</f>
        <v/>
      </c>
      <c r="G13488" s="6">
        <f>IF(AND($H13488="ATMOS DISTILLATION",ISNUMBER(SEARCH("VPS",$I13488))=FALSE,LEFT($I13488,6)&lt;&gt;"VACUUM"),"CDU",IF($H13488="FLUID CAT CRACKING","FCC",IF(OR($H13488="HYDROCRACKING",$H13488="RESID_HYDROCRACKING"),"Hydrocracker",IF($H13488="REFORMING","Reformer",""))))</f>
        <v/>
      </c>
    </row>
    <row r="13489" spans="6:7">
      <c r="F13489" s="6">
        <f>IF($M13489="PADD I","PADD 1",IF($M13489="PADD II","PADD 2",IF($M13489="PADD III","PADD 3",IF($M13489="PADD IV","PADD 4",IF($M13489="PADD V","PADD 5","")))))</f>
        <v/>
      </c>
      <c r="G13489" s="6">
        <f>IF(AND($H13489="ATMOS DISTILLATION",ISNUMBER(SEARCH("VPS",$I13489))=FALSE,LEFT($I13489,6)&lt;&gt;"VACUUM"),"CDU",IF($H13489="FLUID CAT CRACKING","FCC",IF(OR($H13489="HYDROCRACKING",$H13489="RESID_HYDROCRACKING"),"Hydrocracker",IF($H13489="REFORMING","Reformer",""))))</f>
        <v/>
      </c>
    </row>
    <row r="13490" spans="6:7">
      <c r="F13490" s="6">
        <f>IF($M13490="PADD I","PADD 1",IF($M13490="PADD II","PADD 2",IF($M13490="PADD III","PADD 3",IF($M13490="PADD IV","PADD 4",IF($M13490="PADD V","PADD 5","")))))</f>
        <v/>
      </c>
      <c r="G13490" s="6">
        <f>IF(AND($H13490="ATMOS DISTILLATION",ISNUMBER(SEARCH("VPS",$I13490))=FALSE,LEFT($I13490,6)&lt;&gt;"VACUUM"),"CDU",IF($H13490="FLUID CAT CRACKING","FCC",IF(OR($H13490="HYDROCRACKING",$H13490="RESID_HYDROCRACKING"),"Hydrocracker",IF($H13490="REFORMING","Reformer",""))))</f>
        <v/>
      </c>
    </row>
    <row r="13491" spans="6:7">
      <c r="F13491" s="6">
        <f>IF($M13491="PADD I","PADD 1",IF($M13491="PADD II","PADD 2",IF($M13491="PADD III","PADD 3",IF($M13491="PADD IV","PADD 4",IF($M13491="PADD V","PADD 5","")))))</f>
        <v/>
      </c>
      <c r="G13491" s="6">
        <f>IF(AND($H13491="ATMOS DISTILLATION",ISNUMBER(SEARCH("VPS",$I13491))=FALSE,LEFT($I13491,6)&lt;&gt;"VACUUM"),"CDU",IF($H13491="FLUID CAT CRACKING","FCC",IF(OR($H13491="HYDROCRACKING",$H13491="RESID_HYDROCRACKING"),"Hydrocracker",IF($H13491="REFORMING","Reformer",""))))</f>
        <v/>
      </c>
    </row>
    <row r="13492" spans="6:7">
      <c r="F13492" s="6">
        <f>IF($M13492="PADD I","PADD 1",IF($M13492="PADD II","PADD 2",IF($M13492="PADD III","PADD 3",IF($M13492="PADD IV","PADD 4",IF($M13492="PADD V","PADD 5","")))))</f>
        <v/>
      </c>
      <c r="G13492" s="6">
        <f>IF(AND($H13492="ATMOS DISTILLATION",ISNUMBER(SEARCH("VPS",$I13492))=FALSE,LEFT($I13492,6)&lt;&gt;"VACUUM"),"CDU",IF($H13492="FLUID CAT CRACKING","FCC",IF(OR($H13492="HYDROCRACKING",$H13492="RESID_HYDROCRACKING"),"Hydrocracker",IF($H13492="REFORMING","Reformer",""))))</f>
        <v/>
      </c>
    </row>
    <row r="13493" spans="6:7">
      <c r="F13493" s="6">
        <f>IF($M13493="PADD I","PADD 1",IF($M13493="PADD II","PADD 2",IF($M13493="PADD III","PADD 3",IF($M13493="PADD IV","PADD 4",IF($M13493="PADD V","PADD 5","")))))</f>
        <v/>
      </c>
      <c r="G13493" s="6">
        <f>IF(AND($H13493="ATMOS DISTILLATION",ISNUMBER(SEARCH("VPS",$I13493))=FALSE,LEFT($I13493,6)&lt;&gt;"VACUUM"),"CDU",IF($H13493="FLUID CAT CRACKING","FCC",IF(OR($H13493="HYDROCRACKING",$H13493="RESID_HYDROCRACKING"),"Hydrocracker",IF($H13493="REFORMING","Reformer",""))))</f>
        <v/>
      </c>
    </row>
    <row r="13494" spans="6:7">
      <c r="F13494" s="6">
        <f>IF($M13494="PADD I","PADD 1",IF($M13494="PADD II","PADD 2",IF($M13494="PADD III","PADD 3",IF($M13494="PADD IV","PADD 4",IF($M13494="PADD V","PADD 5","")))))</f>
        <v/>
      </c>
      <c r="G13494" s="6">
        <f>IF(AND($H13494="ATMOS DISTILLATION",ISNUMBER(SEARCH("VPS",$I13494))=FALSE,LEFT($I13494,6)&lt;&gt;"VACUUM"),"CDU",IF($H13494="FLUID CAT CRACKING","FCC",IF(OR($H13494="HYDROCRACKING",$H13494="RESID_HYDROCRACKING"),"Hydrocracker",IF($H13494="REFORMING","Reformer",""))))</f>
        <v/>
      </c>
    </row>
    <row r="13495" spans="6:7">
      <c r="F13495" s="6">
        <f>IF($M13495="PADD I","PADD 1",IF($M13495="PADD II","PADD 2",IF($M13495="PADD III","PADD 3",IF($M13495="PADD IV","PADD 4",IF($M13495="PADD V","PADD 5","")))))</f>
        <v/>
      </c>
      <c r="G13495" s="6">
        <f>IF(AND($H13495="ATMOS DISTILLATION",ISNUMBER(SEARCH("VPS",$I13495))=FALSE,LEFT($I13495,6)&lt;&gt;"VACUUM"),"CDU",IF($H13495="FLUID CAT CRACKING","FCC",IF(OR($H13495="HYDROCRACKING",$H13495="RESID_HYDROCRACKING"),"Hydrocracker",IF($H13495="REFORMING","Reformer",""))))</f>
        <v/>
      </c>
    </row>
    <row r="13496" spans="6:7">
      <c r="F13496" s="6">
        <f>IF($M13496="PADD I","PADD 1",IF($M13496="PADD II","PADD 2",IF($M13496="PADD III","PADD 3",IF($M13496="PADD IV","PADD 4",IF($M13496="PADD V","PADD 5","")))))</f>
        <v/>
      </c>
      <c r="G13496" s="6">
        <f>IF(AND($H13496="ATMOS DISTILLATION",ISNUMBER(SEARCH("VPS",$I13496))=FALSE,LEFT($I13496,6)&lt;&gt;"VACUUM"),"CDU",IF($H13496="FLUID CAT CRACKING","FCC",IF(OR($H13496="HYDROCRACKING",$H13496="RESID_HYDROCRACKING"),"Hydrocracker",IF($H13496="REFORMING","Reformer",""))))</f>
        <v/>
      </c>
    </row>
    <row r="13497" spans="6:7">
      <c r="F13497" s="6">
        <f>IF($M13497="PADD I","PADD 1",IF($M13497="PADD II","PADD 2",IF($M13497="PADD III","PADD 3",IF($M13497="PADD IV","PADD 4",IF($M13497="PADD V","PADD 5","")))))</f>
        <v/>
      </c>
      <c r="G13497" s="6">
        <f>IF(AND($H13497="ATMOS DISTILLATION",ISNUMBER(SEARCH("VPS",$I13497))=FALSE,LEFT($I13497,6)&lt;&gt;"VACUUM"),"CDU",IF($H13497="FLUID CAT CRACKING","FCC",IF(OR($H13497="HYDROCRACKING",$H13497="RESID_HYDROCRACKING"),"Hydrocracker",IF($H13497="REFORMING","Reformer",""))))</f>
        <v/>
      </c>
    </row>
    <row r="13498" spans="6:7">
      <c r="F13498" s="6">
        <f>IF($M13498="PADD I","PADD 1",IF($M13498="PADD II","PADD 2",IF($M13498="PADD III","PADD 3",IF($M13498="PADD IV","PADD 4",IF($M13498="PADD V","PADD 5","")))))</f>
        <v/>
      </c>
      <c r="G13498" s="6">
        <f>IF(AND($H13498="ATMOS DISTILLATION",ISNUMBER(SEARCH("VPS",$I13498))=FALSE,LEFT($I13498,6)&lt;&gt;"VACUUM"),"CDU",IF($H13498="FLUID CAT CRACKING","FCC",IF(OR($H13498="HYDROCRACKING",$H13498="RESID_HYDROCRACKING"),"Hydrocracker",IF($H13498="REFORMING","Reformer",""))))</f>
        <v/>
      </c>
    </row>
    <row r="13499" spans="6:7">
      <c r="F13499" s="6">
        <f>IF($M13499="PADD I","PADD 1",IF($M13499="PADD II","PADD 2",IF($M13499="PADD III","PADD 3",IF($M13499="PADD IV","PADD 4",IF($M13499="PADD V","PADD 5","")))))</f>
        <v/>
      </c>
      <c r="G13499" s="6">
        <f>IF(AND($H13499="ATMOS DISTILLATION",ISNUMBER(SEARCH("VPS",$I13499))=FALSE,LEFT($I13499,6)&lt;&gt;"VACUUM"),"CDU",IF($H13499="FLUID CAT CRACKING","FCC",IF(OR($H13499="HYDROCRACKING",$H13499="RESID_HYDROCRACKING"),"Hydrocracker",IF($H13499="REFORMING","Reformer",""))))</f>
        <v/>
      </c>
    </row>
    <row r="13500" spans="6:7">
      <c r="F13500" s="6">
        <f>IF($M13500="PADD I","PADD 1",IF($M13500="PADD II","PADD 2",IF($M13500="PADD III","PADD 3",IF($M13500="PADD IV","PADD 4",IF($M13500="PADD V","PADD 5","")))))</f>
        <v/>
      </c>
      <c r="G13500" s="6">
        <f>IF(AND($H13500="ATMOS DISTILLATION",ISNUMBER(SEARCH("VPS",$I13500))=FALSE,LEFT($I13500,6)&lt;&gt;"VACUUM"),"CDU",IF($H13500="FLUID CAT CRACKING","FCC",IF(OR($H13500="HYDROCRACKING",$H13500="RESID_HYDROCRACKING"),"Hydrocracker",IF($H13500="REFORMING","Reformer",""))))</f>
        <v/>
      </c>
    </row>
    <row r="13501" spans="6:7">
      <c r="F13501" s="6">
        <f>IF($M13501="PADD I","PADD 1",IF($M13501="PADD II","PADD 2",IF($M13501="PADD III","PADD 3",IF($M13501="PADD IV","PADD 4",IF($M13501="PADD V","PADD 5","")))))</f>
        <v/>
      </c>
      <c r="G13501" s="6">
        <f>IF(AND($H13501="ATMOS DISTILLATION",ISNUMBER(SEARCH("VPS",$I13501))=FALSE,LEFT($I13501,6)&lt;&gt;"VACUUM"),"CDU",IF($H13501="FLUID CAT CRACKING","FCC",IF(OR($H13501="HYDROCRACKING",$H13501="RESID_HYDROCRACKING"),"Hydrocracker",IF($H13501="REFORMING","Reformer",""))))</f>
        <v/>
      </c>
    </row>
    <row r="13502" spans="6:7">
      <c r="F13502" s="6">
        <f>IF($M13502="PADD I","PADD 1",IF($M13502="PADD II","PADD 2",IF($M13502="PADD III","PADD 3",IF($M13502="PADD IV","PADD 4",IF($M13502="PADD V","PADD 5","")))))</f>
        <v/>
      </c>
      <c r="G13502" s="6">
        <f>IF(AND($H13502="ATMOS DISTILLATION",ISNUMBER(SEARCH("VPS",$I13502))=FALSE,LEFT($I13502,6)&lt;&gt;"VACUUM"),"CDU",IF($H13502="FLUID CAT CRACKING","FCC",IF(OR($H13502="HYDROCRACKING",$H13502="RESID_HYDROCRACKING"),"Hydrocracker",IF($H13502="REFORMING","Reformer",""))))</f>
        <v/>
      </c>
    </row>
    <row r="13503" spans="6:7">
      <c r="F13503" s="6">
        <f>IF($M13503="PADD I","PADD 1",IF($M13503="PADD II","PADD 2",IF($M13503="PADD III","PADD 3",IF($M13503="PADD IV","PADD 4",IF($M13503="PADD V","PADD 5","")))))</f>
        <v/>
      </c>
      <c r="G13503" s="6">
        <f>IF(AND($H13503="ATMOS DISTILLATION",ISNUMBER(SEARCH("VPS",$I13503))=FALSE,LEFT($I13503,6)&lt;&gt;"VACUUM"),"CDU",IF($H13503="FLUID CAT CRACKING","FCC",IF(OR($H13503="HYDROCRACKING",$H13503="RESID_HYDROCRACKING"),"Hydrocracker",IF($H13503="REFORMING","Reformer",""))))</f>
        <v/>
      </c>
    </row>
    <row r="13504" spans="6:7">
      <c r="F13504" s="6">
        <f>IF($M13504="PADD I","PADD 1",IF($M13504="PADD II","PADD 2",IF($M13504="PADD III","PADD 3",IF($M13504="PADD IV","PADD 4",IF($M13504="PADD V","PADD 5","")))))</f>
        <v/>
      </c>
      <c r="G13504" s="6">
        <f>IF(AND($H13504="ATMOS DISTILLATION",ISNUMBER(SEARCH("VPS",$I13504))=FALSE,LEFT($I13504,6)&lt;&gt;"VACUUM"),"CDU",IF($H13504="FLUID CAT CRACKING","FCC",IF(OR($H13504="HYDROCRACKING",$H13504="RESID_HYDROCRACKING"),"Hydrocracker",IF($H13504="REFORMING","Reformer",""))))</f>
        <v/>
      </c>
    </row>
    <row r="13505" spans="6:7">
      <c r="F13505" s="6">
        <f>IF($M13505="PADD I","PADD 1",IF($M13505="PADD II","PADD 2",IF($M13505="PADD III","PADD 3",IF($M13505="PADD IV","PADD 4",IF($M13505="PADD V","PADD 5","")))))</f>
        <v/>
      </c>
      <c r="G13505" s="6">
        <f>IF(AND($H13505="ATMOS DISTILLATION",ISNUMBER(SEARCH("VPS",$I13505))=FALSE,LEFT($I13505,6)&lt;&gt;"VACUUM"),"CDU",IF($H13505="FLUID CAT CRACKING","FCC",IF(OR($H13505="HYDROCRACKING",$H13505="RESID_HYDROCRACKING"),"Hydrocracker",IF($H13505="REFORMING","Reformer",""))))</f>
        <v/>
      </c>
    </row>
    <row r="13506" spans="6:7">
      <c r="F13506" s="6">
        <f>IF($M13506="PADD I","PADD 1",IF($M13506="PADD II","PADD 2",IF($M13506="PADD III","PADD 3",IF($M13506="PADD IV","PADD 4",IF($M13506="PADD V","PADD 5","")))))</f>
        <v/>
      </c>
      <c r="G13506" s="6">
        <f>IF(AND($H13506="ATMOS DISTILLATION",ISNUMBER(SEARCH("VPS",$I13506))=FALSE,LEFT($I13506,6)&lt;&gt;"VACUUM"),"CDU",IF($H13506="FLUID CAT CRACKING","FCC",IF(OR($H13506="HYDROCRACKING",$H13506="RESID_HYDROCRACKING"),"Hydrocracker",IF($H13506="REFORMING","Reformer",""))))</f>
        <v/>
      </c>
    </row>
    <row r="13507" spans="6:7">
      <c r="F13507" s="6">
        <f>IF($M13507="PADD I","PADD 1",IF($M13507="PADD II","PADD 2",IF($M13507="PADD III","PADD 3",IF($M13507="PADD IV","PADD 4",IF($M13507="PADD V","PADD 5","")))))</f>
        <v/>
      </c>
      <c r="G13507" s="6">
        <f>IF(AND($H13507="ATMOS DISTILLATION",ISNUMBER(SEARCH("VPS",$I13507))=FALSE,LEFT($I13507,6)&lt;&gt;"VACUUM"),"CDU",IF($H13507="FLUID CAT CRACKING","FCC",IF(OR($H13507="HYDROCRACKING",$H13507="RESID_HYDROCRACKING"),"Hydrocracker",IF($H13507="REFORMING","Reformer",""))))</f>
        <v/>
      </c>
    </row>
    <row r="13508" spans="6:7">
      <c r="F13508" s="6">
        <f>IF($M13508="PADD I","PADD 1",IF($M13508="PADD II","PADD 2",IF($M13508="PADD III","PADD 3",IF($M13508="PADD IV","PADD 4",IF($M13508="PADD V","PADD 5","")))))</f>
        <v/>
      </c>
      <c r="G13508" s="6">
        <f>IF(AND($H13508="ATMOS DISTILLATION",ISNUMBER(SEARCH("VPS",$I13508))=FALSE,LEFT($I13508,6)&lt;&gt;"VACUUM"),"CDU",IF($H13508="FLUID CAT CRACKING","FCC",IF(OR($H13508="HYDROCRACKING",$H13508="RESID_HYDROCRACKING"),"Hydrocracker",IF($H13508="REFORMING","Reformer",""))))</f>
        <v/>
      </c>
    </row>
    <row r="13509" spans="6:7">
      <c r="F13509" s="6">
        <f>IF($M13509="PADD I","PADD 1",IF($M13509="PADD II","PADD 2",IF($M13509="PADD III","PADD 3",IF($M13509="PADD IV","PADD 4",IF($M13509="PADD V","PADD 5","")))))</f>
        <v/>
      </c>
      <c r="G13509" s="6">
        <f>IF(AND($H13509="ATMOS DISTILLATION",ISNUMBER(SEARCH("VPS",$I13509))=FALSE,LEFT($I13509,6)&lt;&gt;"VACUUM"),"CDU",IF($H13509="FLUID CAT CRACKING","FCC",IF(OR($H13509="HYDROCRACKING",$H13509="RESID_HYDROCRACKING"),"Hydrocracker",IF($H13509="REFORMING","Reformer",""))))</f>
        <v/>
      </c>
    </row>
    <row r="13510" spans="6:7">
      <c r="F13510" s="6">
        <f>IF($M13510="PADD I","PADD 1",IF($M13510="PADD II","PADD 2",IF($M13510="PADD III","PADD 3",IF($M13510="PADD IV","PADD 4",IF($M13510="PADD V","PADD 5","")))))</f>
        <v/>
      </c>
      <c r="G13510" s="6">
        <f>IF(AND($H13510="ATMOS DISTILLATION",ISNUMBER(SEARCH("VPS",$I13510))=FALSE,LEFT($I13510,6)&lt;&gt;"VACUUM"),"CDU",IF($H13510="FLUID CAT CRACKING","FCC",IF(OR($H13510="HYDROCRACKING",$H13510="RESID_HYDROCRACKING"),"Hydrocracker",IF($H13510="REFORMING","Reformer",""))))</f>
        <v/>
      </c>
    </row>
    <row r="13511" spans="6:7">
      <c r="F13511" s="6">
        <f>IF($M13511="PADD I","PADD 1",IF($M13511="PADD II","PADD 2",IF($M13511="PADD III","PADD 3",IF($M13511="PADD IV","PADD 4",IF($M13511="PADD V","PADD 5","")))))</f>
        <v/>
      </c>
      <c r="G13511" s="6">
        <f>IF(AND($H13511="ATMOS DISTILLATION",ISNUMBER(SEARCH("VPS",$I13511))=FALSE,LEFT($I13511,6)&lt;&gt;"VACUUM"),"CDU",IF($H13511="FLUID CAT CRACKING","FCC",IF(OR($H13511="HYDROCRACKING",$H13511="RESID_HYDROCRACKING"),"Hydrocracker",IF($H13511="REFORMING","Reformer",""))))</f>
        <v/>
      </c>
    </row>
    <row r="13512" spans="6:7">
      <c r="F13512" s="6">
        <f>IF($M13512="PADD I","PADD 1",IF($M13512="PADD II","PADD 2",IF($M13512="PADD III","PADD 3",IF($M13512="PADD IV","PADD 4",IF($M13512="PADD V","PADD 5","")))))</f>
        <v/>
      </c>
      <c r="G13512" s="6">
        <f>IF(AND($H13512="ATMOS DISTILLATION",ISNUMBER(SEARCH("VPS",$I13512))=FALSE,LEFT($I13512,6)&lt;&gt;"VACUUM"),"CDU",IF($H13512="FLUID CAT CRACKING","FCC",IF(OR($H13512="HYDROCRACKING",$H13512="RESID_HYDROCRACKING"),"Hydrocracker",IF($H13512="REFORMING","Reformer",""))))</f>
        <v/>
      </c>
    </row>
    <row r="13513" spans="6:7">
      <c r="F13513" s="6">
        <f>IF($M13513="PADD I","PADD 1",IF($M13513="PADD II","PADD 2",IF($M13513="PADD III","PADD 3",IF($M13513="PADD IV","PADD 4",IF($M13513="PADD V","PADD 5","")))))</f>
        <v/>
      </c>
      <c r="G13513" s="6">
        <f>IF(AND($H13513="ATMOS DISTILLATION",ISNUMBER(SEARCH("VPS",$I13513))=FALSE,LEFT($I13513,6)&lt;&gt;"VACUUM"),"CDU",IF($H13513="FLUID CAT CRACKING","FCC",IF(OR($H13513="HYDROCRACKING",$H13513="RESID_HYDROCRACKING"),"Hydrocracker",IF($H13513="REFORMING","Reformer",""))))</f>
        <v/>
      </c>
    </row>
    <row r="13514" spans="6:7">
      <c r="F13514" s="6">
        <f>IF($M13514="PADD I","PADD 1",IF($M13514="PADD II","PADD 2",IF($M13514="PADD III","PADD 3",IF($M13514="PADD IV","PADD 4",IF($M13514="PADD V","PADD 5","")))))</f>
        <v/>
      </c>
      <c r="G13514" s="6">
        <f>IF(AND($H13514="ATMOS DISTILLATION",ISNUMBER(SEARCH("VPS",$I13514))=FALSE,LEFT($I13514,6)&lt;&gt;"VACUUM"),"CDU",IF($H13514="FLUID CAT CRACKING","FCC",IF(OR($H13514="HYDROCRACKING",$H13514="RESID_HYDROCRACKING"),"Hydrocracker",IF($H13514="REFORMING","Reformer",""))))</f>
        <v/>
      </c>
    </row>
    <row r="13515" spans="6:7">
      <c r="F13515" s="6">
        <f>IF($M13515="PADD I","PADD 1",IF($M13515="PADD II","PADD 2",IF($M13515="PADD III","PADD 3",IF($M13515="PADD IV","PADD 4",IF($M13515="PADD V","PADD 5","")))))</f>
        <v/>
      </c>
      <c r="G13515" s="6">
        <f>IF(AND($H13515="ATMOS DISTILLATION",ISNUMBER(SEARCH("VPS",$I13515))=FALSE,LEFT($I13515,6)&lt;&gt;"VACUUM"),"CDU",IF($H13515="FLUID CAT CRACKING","FCC",IF(OR($H13515="HYDROCRACKING",$H13515="RESID_HYDROCRACKING"),"Hydrocracker",IF($H13515="REFORMING","Reformer",""))))</f>
        <v/>
      </c>
    </row>
    <row r="13516" spans="6:7">
      <c r="F13516" s="6">
        <f>IF($M13516="PADD I","PADD 1",IF($M13516="PADD II","PADD 2",IF($M13516="PADD III","PADD 3",IF($M13516="PADD IV","PADD 4",IF($M13516="PADD V","PADD 5","")))))</f>
        <v/>
      </c>
      <c r="G13516" s="6">
        <f>IF(AND($H13516="ATMOS DISTILLATION",ISNUMBER(SEARCH("VPS",$I13516))=FALSE,LEFT($I13516,6)&lt;&gt;"VACUUM"),"CDU",IF($H13516="FLUID CAT CRACKING","FCC",IF(OR($H13516="HYDROCRACKING",$H13516="RESID_HYDROCRACKING"),"Hydrocracker",IF($H13516="REFORMING","Reformer",""))))</f>
        <v/>
      </c>
    </row>
    <row r="13517" spans="6:7">
      <c r="F13517" s="6">
        <f>IF($M13517="PADD I","PADD 1",IF($M13517="PADD II","PADD 2",IF($M13517="PADD III","PADD 3",IF($M13517="PADD IV","PADD 4",IF($M13517="PADD V","PADD 5","")))))</f>
        <v/>
      </c>
      <c r="G13517" s="6">
        <f>IF(AND($H13517="ATMOS DISTILLATION",ISNUMBER(SEARCH("VPS",$I13517))=FALSE,LEFT($I13517,6)&lt;&gt;"VACUUM"),"CDU",IF($H13517="FLUID CAT CRACKING","FCC",IF(OR($H13517="HYDROCRACKING",$H13517="RESID_HYDROCRACKING"),"Hydrocracker",IF($H13517="REFORMING","Reformer",""))))</f>
        <v/>
      </c>
    </row>
    <row r="13518" spans="6:7">
      <c r="F13518" s="6">
        <f>IF($M13518="PADD I","PADD 1",IF($M13518="PADD II","PADD 2",IF($M13518="PADD III","PADD 3",IF($M13518="PADD IV","PADD 4",IF($M13518="PADD V","PADD 5","")))))</f>
        <v/>
      </c>
      <c r="G13518" s="6">
        <f>IF(AND($H13518="ATMOS DISTILLATION",ISNUMBER(SEARCH("VPS",$I13518))=FALSE,LEFT($I13518,6)&lt;&gt;"VACUUM"),"CDU",IF($H13518="FLUID CAT CRACKING","FCC",IF(OR($H13518="HYDROCRACKING",$H13518="RESID_HYDROCRACKING"),"Hydrocracker",IF($H13518="REFORMING","Reformer",""))))</f>
        <v/>
      </c>
    </row>
    <row r="13519" spans="6:7">
      <c r="F13519" s="6">
        <f>IF($M13519="PADD I","PADD 1",IF($M13519="PADD II","PADD 2",IF($M13519="PADD III","PADD 3",IF($M13519="PADD IV","PADD 4",IF($M13519="PADD V","PADD 5","")))))</f>
        <v/>
      </c>
      <c r="G13519" s="6">
        <f>IF(AND($H13519="ATMOS DISTILLATION",ISNUMBER(SEARCH("VPS",$I13519))=FALSE,LEFT($I13519,6)&lt;&gt;"VACUUM"),"CDU",IF($H13519="FLUID CAT CRACKING","FCC",IF(OR($H13519="HYDROCRACKING",$H13519="RESID_HYDROCRACKING"),"Hydrocracker",IF($H13519="REFORMING","Reformer",""))))</f>
        <v/>
      </c>
    </row>
    <row r="13520" spans="6:7">
      <c r="F13520" s="6">
        <f>IF($M13520="PADD I","PADD 1",IF($M13520="PADD II","PADD 2",IF($M13520="PADD III","PADD 3",IF($M13520="PADD IV","PADD 4",IF($M13520="PADD V","PADD 5","")))))</f>
        <v/>
      </c>
      <c r="G13520" s="6">
        <f>IF(AND($H13520="ATMOS DISTILLATION",ISNUMBER(SEARCH("VPS",$I13520))=FALSE,LEFT($I13520,6)&lt;&gt;"VACUUM"),"CDU",IF($H13520="FLUID CAT CRACKING","FCC",IF(OR($H13520="HYDROCRACKING",$H13520="RESID_HYDROCRACKING"),"Hydrocracker",IF($H13520="REFORMING","Reformer",""))))</f>
        <v/>
      </c>
    </row>
    <row r="13521" spans="6:7">
      <c r="F13521" s="6">
        <f>IF($M13521="PADD I","PADD 1",IF($M13521="PADD II","PADD 2",IF($M13521="PADD III","PADD 3",IF($M13521="PADD IV","PADD 4",IF($M13521="PADD V","PADD 5","")))))</f>
        <v/>
      </c>
      <c r="G13521" s="6">
        <f>IF(AND($H13521="ATMOS DISTILLATION",ISNUMBER(SEARCH("VPS",$I13521))=FALSE,LEFT($I13521,6)&lt;&gt;"VACUUM"),"CDU",IF($H13521="FLUID CAT CRACKING","FCC",IF(OR($H13521="HYDROCRACKING",$H13521="RESID_HYDROCRACKING"),"Hydrocracker",IF($H13521="REFORMING","Reformer",""))))</f>
        <v/>
      </c>
    </row>
    <row r="13522" spans="6:7">
      <c r="F13522" s="6">
        <f>IF($M13522="PADD I","PADD 1",IF($M13522="PADD II","PADD 2",IF($M13522="PADD III","PADD 3",IF($M13522="PADD IV","PADD 4",IF($M13522="PADD V","PADD 5","")))))</f>
        <v/>
      </c>
      <c r="G13522" s="6">
        <f>IF(AND($H13522="ATMOS DISTILLATION",ISNUMBER(SEARCH("VPS",$I13522))=FALSE,LEFT($I13522,6)&lt;&gt;"VACUUM"),"CDU",IF($H13522="FLUID CAT CRACKING","FCC",IF(OR($H13522="HYDROCRACKING",$H13522="RESID_HYDROCRACKING"),"Hydrocracker",IF($H13522="REFORMING","Reformer",""))))</f>
        <v/>
      </c>
    </row>
    <row r="13523" spans="6:7">
      <c r="F13523" s="6">
        <f>IF($M13523="PADD I","PADD 1",IF($M13523="PADD II","PADD 2",IF($M13523="PADD III","PADD 3",IF($M13523="PADD IV","PADD 4",IF($M13523="PADD V","PADD 5","")))))</f>
        <v/>
      </c>
      <c r="G13523" s="6">
        <f>IF(AND($H13523="ATMOS DISTILLATION",ISNUMBER(SEARCH("VPS",$I13523))=FALSE,LEFT($I13523,6)&lt;&gt;"VACUUM"),"CDU",IF($H13523="FLUID CAT CRACKING","FCC",IF(OR($H13523="HYDROCRACKING",$H13523="RESID_HYDROCRACKING"),"Hydrocracker",IF($H13523="REFORMING","Reformer",""))))</f>
        <v/>
      </c>
    </row>
    <row r="13524" spans="6:7">
      <c r="F13524" s="6">
        <f>IF($M13524="PADD I","PADD 1",IF($M13524="PADD II","PADD 2",IF($M13524="PADD III","PADD 3",IF($M13524="PADD IV","PADD 4",IF($M13524="PADD V","PADD 5","")))))</f>
        <v/>
      </c>
      <c r="G13524" s="6">
        <f>IF(AND($H13524="ATMOS DISTILLATION",ISNUMBER(SEARCH("VPS",$I13524))=FALSE,LEFT($I13524,6)&lt;&gt;"VACUUM"),"CDU",IF($H13524="FLUID CAT CRACKING","FCC",IF(OR($H13524="HYDROCRACKING",$H13524="RESID_HYDROCRACKING"),"Hydrocracker",IF($H13524="REFORMING","Reformer",""))))</f>
        <v/>
      </c>
    </row>
    <row r="13525" spans="6:7">
      <c r="F13525" s="6">
        <f>IF($M13525="PADD I","PADD 1",IF($M13525="PADD II","PADD 2",IF($M13525="PADD III","PADD 3",IF($M13525="PADD IV","PADD 4",IF($M13525="PADD V","PADD 5","")))))</f>
        <v/>
      </c>
      <c r="G13525" s="6">
        <f>IF(AND($H13525="ATMOS DISTILLATION",ISNUMBER(SEARCH("VPS",$I13525))=FALSE,LEFT($I13525,6)&lt;&gt;"VACUUM"),"CDU",IF($H13525="FLUID CAT CRACKING","FCC",IF(OR($H13525="HYDROCRACKING",$H13525="RESID_HYDROCRACKING"),"Hydrocracker",IF($H13525="REFORMING","Reformer",""))))</f>
        <v/>
      </c>
    </row>
    <row r="13526" spans="6:7">
      <c r="F13526" s="6">
        <f>IF($M13526="PADD I","PADD 1",IF($M13526="PADD II","PADD 2",IF($M13526="PADD III","PADD 3",IF($M13526="PADD IV","PADD 4",IF($M13526="PADD V","PADD 5","")))))</f>
        <v/>
      </c>
      <c r="G13526" s="6">
        <f>IF(AND($H13526="ATMOS DISTILLATION",ISNUMBER(SEARCH("VPS",$I13526))=FALSE,LEFT($I13526,6)&lt;&gt;"VACUUM"),"CDU",IF($H13526="FLUID CAT CRACKING","FCC",IF(OR($H13526="HYDROCRACKING",$H13526="RESID_HYDROCRACKING"),"Hydrocracker",IF($H13526="REFORMING","Reformer",""))))</f>
        <v/>
      </c>
    </row>
    <row r="13527" spans="6:7">
      <c r="F13527" s="6">
        <f>IF($M13527="PADD I","PADD 1",IF($M13527="PADD II","PADD 2",IF($M13527="PADD III","PADD 3",IF($M13527="PADD IV","PADD 4",IF($M13527="PADD V","PADD 5","")))))</f>
        <v/>
      </c>
      <c r="G13527" s="6">
        <f>IF(AND($H13527="ATMOS DISTILLATION",ISNUMBER(SEARCH("VPS",$I13527))=FALSE,LEFT($I13527,6)&lt;&gt;"VACUUM"),"CDU",IF($H13527="FLUID CAT CRACKING","FCC",IF(OR($H13527="HYDROCRACKING",$H13527="RESID_HYDROCRACKING"),"Hydrocracker",IF($H13527="REFORMING","Reformer",""))))</f>
        <v/>
      </c>
    </row>
    <row r="13528" spans="6:7">
      <c r="F13528" s="6">
        <f>IF($M13528="PADD I","PADD 1",IF($M13528="PADD II","PADD 2",IF($M13528="PADD III","PADD 3",IF($M13528="PADD IV","PADD 4",IF($M13528="PADD V","PADD 5","")))))</f>
        <v/>
      </c>
      <c r="G13528" s="6">
        <f>IF(AND($H13528="ATMOS DISTILLATION",ISNUMBER(SEARCH("VPS",$I13528))=FALSE,LEFT($I13528,6)&lt;&gt;"VACUUM"),"CDU",IF($H13528="FLUID CAT CRACKING","FCC",IF(OR($H13528="HYDROCRACKING",$H13528="RESID_HYDROCRACKING"),"Hydrocracker",IF($H13528="REFORMING","Reformer",""))))</f>
        <v/>
      </c>
    </row>
    <row r="13529" spans="6:7">
      <c r="F13529" s="6">
        <f>IF($M13529="PADD I","PADD 1",IF($M13529="PADD II","PADD 2",IF($M13529="PADD III","PADD 3",IF($M13529="PADD IV","PADD 4",IF($M13529="PADD V","PADD 5","")))))</f>
        <v/>
      </c>
      <c r="G13529" s="6">
        <f>IF(AND($H13529="ATMOS DISTILLATION",ISNUMBER(SEARCH("VPS",$I13529))=FALSE,LEFT($I13529,6)&lt;&gt;"VACUUM"),"CDU",IF($H13529="FLUID CAT CRACKING","FCC",IF(OR($H13529="HYDROCRACKING",$H13529="RESID_HYDROCRACKING"),"Hydrocracker",IF($H13529="REFORMING","Reformer",""))))</f>
        <v/>
      </c>
    </row>
    <row r="13530" spans="6:7">
      <c r="F13530" s="6">
        <f>IF($M13530="PADD I","PADD 1",IF($M13530="PADD II","PADD 2",IF($M13530="PADD III","PADD 3",IF($M13530="PADD IV","PADD 4",IF($M13530="PADD V","PADD 5","")))))</f>
        <v/>
      </c>
      <c r="G13530" s="6">
        <f>IF(AND($H13530="ATMOS DISTILLATION",ISNUMBER(SEARCH("VPS",$I13530))=FALSE,LEFT($I13530,6)&lt;&gt;"VACUUM"),"CDU",IF($H13530="FLUID CAT CRACKING","FCC",IF(OR($H13530="HYDROCRACKING",$H13530="RESID_HYDROCRACKING"),"Hydrocracker",IF($H13530="REFORMING","Reformer",""))))</f>
        <v/>
      </c>
    </row>
    <row r="13531" spans="6:7">
      <c r="F13531" s="6">
        <f>IF($M13531="PADD I","PADD 1",IF($M13531="PADD II","PADD 2",IF($M13531="PADD III","PADD 3",IF($M13531="PADD IV","PADD 4",IF($M13531="PADD V","PADD 5","")))))</f>
        <v/>
      </c>
      <c r="G13531" s="6">
        <f>IF(AND($H13531="ATMOS DISTILLATION",ISNUMBER(SEARCH("VPS",$I13531))=FALSE,LEFT($I13531,6)&lt;&gt;"VACUUM"),"CDU",IF($H13531="FLUID CAT CRACKING","FCC",IF(OR($H13531="HYDROCRACKING",$H13531="RESID_HYDROCRACKING"),"Hydrocracker",IF($H13531="REFORMING","Reformer",""))))</f>
        <v/>
      </c>
    </row>
    <row r="13532" spans="6:7">
      <c r="F13532" s="6">
        <f>IF($M13532="PADD I","PADD 1",IF($M13532="PADD II","PADD 2",IF($M13532="PADD III","PADD 3",IF($M13532="PADD IV","PADD 4",IF($M13532="PADD V","PADD 5","")))))</f>
        <v/>
      </c>
      <c r="G13532" s="6">
        <f>IF(AND($H13532="ATMOS DISTILLATION",ISNUMBER(SEARCH("VPS",$I13532))=FALSE,LEFT($I13532,6)&lt;&gt;"VACUUM"),"CDU",IF($H13532="FLUID CAT CRACKING","FCC",IF(OR($H13532="HYDROCRACKING",$H13532="RESID_HYDROCRACKING"),"Hydrocracker",IF($H13532="REFORMING","Reformer",""))))</f>
        <v/>
      </c>
    </row>
    <row r="13533" spans="6:7">
      <c r="F13533" s="6">
        <f>IF($M13533="PADD I","PADD 1",IF($M13533="PADD II","PADD 2",IF($M13533="PADD III","PADD 3",IF($M13533="PADD IV","PADD 4",IF($M13533="PADD V","PADD 5","")))))</f>
        <v/>
      </c>
      <c r="G13533" s="6">
        <f>IF(AND($H13533="ATMOS DISTILLATION",ISNUMBER(SEARCH("VPS",$I13533))=FALSE,LEFT($I13533,6)&lt;&gt;"VACUUM"),"CDU",IF($H13533="FLUID CAT CRACKING","FCC",IF(OR($H13533="HYDROCRACKING",$H13533="RESID_HYDROCRACKING"),"Hydrocracker",IF($H13533="REFORMING","Reformer",""))))</f>
        <v/>
      </c>
    </row>
    <row r="13534" spans="6:7">
      <c r="F13534" s="6">
        <f>IF($M13534="PADD I","PADD 1",IF($M13534="PADD II","PADD 2",IF($M13534="PADD III","PADD 3",IF($M13534="PADD IV","PADD 4",IF($M13534="PADD V","PADD 5","")))))</f>
        <v/>
      </c>
      <c r="G13534" s="6">
        <f>IF(AND($H13534="ATMOS DISTILLATION",ISNUMBER(SEARCH("VPS",$I13534))=FALSE,LEFT($I13534,6)&lt;&gt;"VACUUM"),"CDU",IF($H13534="FLUID CAT CRACKING","FCC",IF(OR($H13534="HYDROCRACKING",$H13534="RESID_HYDROCRACKING"),"Hydrocracker",IF($H13534="REFORMING","Reformer",""))))</f>
        <v/>
      </c>
    </row>
    <row r="13535" spans="6:7">
      <c r="F13535" s="6">
        <f>IF($M13535="PADD I","PADD 1",IF($M13535="PADD II","PADD 2",IF($M13535="PADD III","PADD 3",IF($M13535="PADD IV","PADD 4",IF($M13535="PADD V","PADD 5","")))))</f>
        <v/>
      </c>
      <c r="G13535" s="6">
        <f>IF(AND($H13535="ATMOS DISTILLATION",ISNUMBER(SEARCH("VPS",$I13535))=FALSE,LEFT($I13535,6)&lt;&gt;"VACUUM"),"CDU",IF($H13535="FLUID CAT CRACKING","FCC",IF(OR($H13535="HYDROCRACKING",$H13535="RESID_HYDROCRACKING"),"Hydrocracker",IF($H13535="REFORMING","Reformer",""))))</f>
        <v/>
      </c>
    </row>
    <row r="13536" spans="6:7">
      <c r="F13536" s="6">
        <f>IF($M13536="PADD I","PADD 1",IF($M13536="PADD II","PADD 2",IF($M13536="PADD III","PADD 3",IF($M13536="PADD IV","PADD 4",IF($M13536="PADD V","PADD 5","")))))</f>
        <v/>
      </c>
      <c r="G13536" s="6">
        <f>IF(AND($H13536="ATMOS DISTILLATION",ISNUMBER(SEARCH("VPS",$I13536))=FALSE,LEFT($I13536,6)&lt;&gt;"VACUUM"),"CDU",IF($H13536="FLUID CAT CRACKING","FCC",IF(OR($H13536="HYDROCRACKING",$H13536="RESID_HYDROCRACKING"),"Hydrocracker",IF($H13536="REFORMING","Reformer",""))))</f>
        <v/>
      </c>
    </row>
    <row r="13537" spans="6:7">
      <c r="F13537" s="6">
        <f>IF($M13537="PADD I","PADD 1",IF($M13537="PADD II","PADD 2",IF($M13537="PADD III","PADD 3",IF($M13537="PADD IV","PADD 4",IF($M13537="PADD V","PADD 5","")))))</f>
        <v/>
      </c>
      <c r="G13537" s="6">
        <f>IF(AND($H13537="ATMOS DISTILLATION",ISNUMBER(SEARCH("VPS",$I13537))=FALSE,LEFT($I13537,6)&lt;&gt;"VACUUM"),"CDU",IF($H13537="FLUID CAT CRACKING","FCC",IF(OR($H13537="HYDROCRACKING",$H13537="RESID_HYDROCRACKING"),"Hydrocracker",IF($H13537="REFORMING","Reformer",""))))</f>
        <v/>
      </c>
    </row>
    <row r="13538" spans="6:7">
      <c r="F13538" s="6">
        <f>IF($M13538="PADD I","PADD 1",IF($M13538="PADD II","PADD 2",IF($M13538="PADD III","PADD 3",IF($M13538="PADD IV","PADD 4",IF($M13538="PADD V","PADD 5","")))))</f>
        <v/>
      </c>
      <c r="G13538" s="6">
        <f>IF(AND($H13538="ATMOS DISTILLATION",ISNUMBER(SEARCH("VPS",$I13538))=FALSE,LEFT($I13538,6)&lt;&gt;"VACUUM"),"CDU",IF($H13538="FLUID CAT CRACKING","FCC",IF(OR($H13538="HYDROCRACKING",$H13538="RESID_HYDROCRACKING"),"Hydrocracker",IF($H13538="REFORMING","Reformer",""))))</f>
        <v/>
      </c>
    </row>
    <row r="13539" spans="6:7">
      <c r="F13539" s="6">
        <f>IF($M13539="PADD I","PADD 1",IF($M13539="PADD II","PADD 2",IF($M13539="PADD III","PADD 3",IF($M13539="PADD IV","PADD 4",IF($M13539="PADD V","PADD 5","")))))</f>
        <v/>
      </c>
      <c r="G13539" s="6">
        <f>IF(AND($H13539="ATMOS DISTILLATION",ISNUMBER(SEARCH("VPS",$I13539))=FALSE,LEFT($I13539,6)&lt;&gt;"VACUUM"),"CDU",IF($H13539="FLUID CAT CRACKING","FCC",IF(OR($H13539="HYDROCRACKING",$H13539="RESID_HYDROCRACKING"),"Hydrocracker",IF($H13539="REFORMING","Reformer",""))))</f>
        <v/>
      </c>
    </row>
    <row r="13540" spans="6:7">
      <c r="F13540" s="6">
        <f>IF($M13540="PADD I","PADD 1",IF($M13540="PADD II","PADD 2",IF($M13540="PADD III","PADD 3",IF($M13540="PADD IV","PADD 4",IF($M13540="PADD V","PADD 5","")))))</f>
        <v/>
      </c>
      <c r="G13540" s="6">
        <f>IF(AND($H13540="ATMOS DISTILLATION",ISNUMBER(SEARCH("VPS",$I13540))=FALSE,LEFT($I13540,6)&lt;&gt;"VACUUM"),"CDU",IF($H13540="FLUID CAT CRACKING","FCC",IF(OR($H13540="HYDROCRACKING",$H13540="RESID_HYDROCRACKING"),"Hydrocracker",IF($H13540="REFORMING","Reformer",""))))</f>
        <v/>
      </c>
    </row>
    <row r="13541" spans="6:7">
      <c r="F13541" s="6">
        <f>IF($M13541="PADD I","PADD 1",IF($M13541="PADD II","PADD 2",IF($M13541="PADD III","PADD 3",IF($M13541="PADD IV","PADD 4",IF($M13541="PADD V","PADD 5","")))))</f>
        <v/>
      </c>
      <c r="G13541" s="6">
        <f>IF(AND($H13541="ATMOS DISTILLATION",ISNUMBER(SEARCH("VPS",$I13541))=FALSE,LEFT($I13541,6)&lt;&gt;"VACUUM"),"CDU",IF($H13541="FLUID CAT CRACKING","FCC",IF(OR($H13541="HYDROCRACKING",$H13541="RESID_HYDROCRACKING"),"Hydrocracker",IF($H13541="REFORMING","Reformer",""))))</f>
        <v/>
      </c>
    </row>
    <row r="13542" spans="6:7">
      <c r="F13542" s="6">
        <f>IF($M13542="PADD I","PADD 1",IF($M13542="PADD II","PADD 2",IF($M13542="PADD III","PADD 3",IF($M13542="PADD IV","PADD 4",IF($M13542="PADD V","PADD 5","")))))</f>
        <v/>
      </c>
      <c r="G13542" s="6">
        <f>IF(AND($H13542="ATMOS DISTILLATION",ISNUMBER(SEARCH("VPS",$I13542))=FALSE,LEFT($I13542,6)&lt;&gt;"VACUUM"),"CDU",IF($H13542="FLUID CAT CRACKING","FCC",IF(OR($H13542="HYDROCRACKING",$H13542="RESID_HYDROCRACKING"),"Hydrocracker",IF($H13542="REFORMING","Reformer",""))))</f>
        <v/>
      </c>
    </row>
    <row r="13543" spans="6:7">
      <c r="F13543" s="6">
        <f>IF($M13543="PADD I","PADD 1",IF($M13543="PADD II","PADD 2",IF($M13543="PADD III","PADD 3",IF($M13543="PADD IV","PADD 4",IF($M13543="PADD V","PADD 5","")))))</f>
        <v/>
      </c>
      <c r="G13543" s="6">
        <f>IF(AND($H13543="ATMOS DISTILLATION",ISNUMBER(SEARCH("VPS",$I13543))=FALSE,LEFT($I13543,6)&lt;&gt;"VACUUM"),"CDU",IF($H13543="FLUID CAT CRACKING","FCC",IF(OR($H13543="HYDROCRACKING",$H13543="RESID_HYDROCRACKING"),"Hydrocracker",IF($H13543="REFORMING","Reformer",""))))</f>
        <v/>
      </c>
    </row>
    <row r="13544" spans="6:7">
      <c r="F13544" s="6">
        <f>IF($M13544="PADD I","PADD 1",IF($M13544="PADD II","PADD 2",IF($M13544="PADD III","PADD 3",IF($M13544="PADD IV","PADD 4",IF($M13544="PADD V","PADD 5","")))))</f>
        <v/>
      </c>
      <c r="G13544" s="6">
        <f>IF(AND($H13544="ATMOS DISTILLATION",ISNUMBER(SEARCH("VPS",$I13544))=FALSE,LEFT($I13544,6)&lt;&gt;"VACUUM"),"CDU",IF($H13544="FLUID CAT CRACKING","FCC",IF(OR($H13544="HYDROCRACKING",$H13544="RESID_HYDROCRACKING"),"Hydrocracker",IF($H13544="REFORMING","Reformer",""))))</f>
        <v/>
      </c>
    </row>
    <row r="13545" spans="6:7">
      <c r="F13545" s="6">
        <f>IF($M13545="PADD I","PADD 1",IF($M13545="PADD II","PADD 2",IF($M13545="PADD III","PADD 3",IF($M13545="PADD IV","PADD 4",IF($M13545="PADD V","PADD 5","")))))</f>
        <v/>
      </c>
      <c r="G13545" s="6">
        <f>IF(AND($H13545="ATMOS DISTILLATION",ISNUMBER(SEARCH("VPS",$I13545))=FALSE,LEFT($I13545,6)&lt;&gt;"VACUUM"),"CDU",IF($H13545="FLUID CAT CRACKING","FCC",IF(OR($H13545="HYDROCRACKING",$H13545="RESID_HYDROCRACKING"),"Hydrocracker",IF($H13545="REFORMING","Reformer",""))))</f>
        <v/>
      </c>
    </row>
    <row r="13546" spans="6:7">
      <c r="F13546" s="6">
        <f>IF($M13546="PADD I","PADD 1",IF($M13546="PADD II","PADD 2",IF($M13546="PADD III","PADD 3",IF($M13546="PADD IV","PADD 4",IF($M13546="PADD V","PADD 5","")))))</f>
        <v/>
      </c>
      <c r="G13546" s="6">
        <f>IF(AND($H13546="ATMOS DISTILLATION",ISNUMBER(SEARCH("VPS",$I13546))=FALSE,LEFT($I13546,6)&lt;&gt;"VACUUM"),"CDU",IF($H13546="FLUID CAT CRACKING","FCC",IF(OR($H13546="HYDROCRACKING",$H13546="RESID_HYDROCRACKING"),"Hydrocracker",IF($H13546="REFORMING","Reformer",""))))</f>
        <v/>
      </c>
    </row>
    <row r="13547" spans="6:7">
      <c r="F13547" s="6">
        <f>IF($M13547="PADD I","PADD 1",IF($M13547="PADD II","PADD 2",IF($M13547="PADD III","PADD 3",IF($M13547="PADD IV","PADD 4",IF($M13547="PADD V","PADD 5","")))))</f>
        <v/>
      </c>
      <c r="G13547" s="6">
        <f>IF(AND($H13547="ATMOS DISTILLATION",ISNUMBER(SEARCH("VPS",$I13547))=FALSE,LEFT($I13547,6)&lt;&gt;"VACUUM"),"CDU",IF($H13547="FLUID CAT CRACKING","FCC",IF(OR($H13547="HYDROCRACKING",$H13547="RESID_HYDROCRACKING"),"Hydrocracker",IF($H13547="REFORMING","Reformer",""))))</f>
        <v/>
      </c>
    </row>
    <row r="13548" spans="6:7">
      <c r="F13548" s="6">
        <f>IF($M13548="PADD I","PADD 1",IF($M13548="PADD II","PADD 2",IF($M13548="PADD III","PADD 3",IF($M13548="PADD IV","PADD 4",IF($M13548="PADD V","PADD 5","")))))</f>
        <v/>
      </c>
      <c r="G13548" s="6">
        <f>IF(AND($H13548="ATMOS DISTILLATION",ISNUMBER(SEARCH("VPS",$I13548))=FALSE,LEFT($I13548,6)&lt;&gt;"VACUUM"),"CDU",IF($H13548="FLUID CAT CRACKING","FCC",IF(OR($H13548="HYDROCRACKING",$H13548="RESID_HYDROCRACKING"),"Hydrocracker",IF($H13548="REFORMING","Reformer",""))))</f>
        <v/>
      </c>
    </row>
    <row r="13549" spans="6:7">
      <c r="F13549" s="6">
        <f>IF($M13549="PADD I","PADD 1",IF($M13549="PADD II","PADD 2",IF($M13549="PADD III","PADD 3",IF($M13549="PADD IV","PADD 4",IF($M13549="PADD V","PADD 5","")))))</f>
        <v/>
      </c>
      <c r="G13549" s="6">
        <f>IF(AND($H13549="ATMOS DISTILLATION",ISNUMBER(SEARCH("VPS",$I13549))=FALSE,LEFT($I13549,6)&lt;&gt;"VACUUM"),"CDU",IF($H13549="FLUID CAT CRACKING","FCC",IF(OR($H13549="HYDROCRACKING",$H13549="RESID_HYDROCRACKING"),"Hydrocracker",IF($H13549="REFORMING","Reformer",""))))</f>
        <v/>
      </c>
    </row>
    <row r="13550" spans="6:7">
      <c r="F13550" s="6">
        <f>IF($M13550="PADD I","PADD 1",IF($M13550="PADD II","PADD 2",IF($M13550="PADD III","PADD 3",IF($M13550="PADD IV","PADD 4",IF($M13550="PADD V","PADD 5","")))))</f>
        <v/>
      </c>
      <c r="G13550" s="6">
        <f>IF(AND($H13550="ATMOS DISTILLATION",ISNUMBER(SEARCH("VPS",$I13550))=FALSE,LEFT($I13550,6)&lt;&gt;"VACUUM"),"CDU",IF($H13550="FLUID CAT CRACKING","FCC",IF(OR($H13550="HYDROCRACKING",$H13550="RESID_HYDROCRACKING"),"Hydrocracker",IF($H13550="REFORMING","Reformer",""))))</f>
        <v/>
      </c>
    </row>
    <row r="13551" spans="6:7">
      <c r="F13551" s="6">
        <f>IF($M13551="PADD I","PADD 1",IF($M13551="PADD II","PADD 2",IF($M13551="PADD III","PADD 3",IF($M13551="PADD IV","PADD 4",IF($M13551="PADD V","PADD 5","")))))</f>
        <v/>
      </c>
      <c r="G13551" s="6">
        <f>IF(AND($H13551="ATMOS DISTILLATION",ISNUMBER(SEARCH("VPS",$I13551))=FALSE,LEFT($I13551,6)&lt;&gt;"VACUUM"),"CDU",IF($H13551="FLUID CAT CRACKING","FCC",IF(OR($H13551="HYDROCRACKING",$H13551="RESID_HYDROCRACKING"),"Hydrocracker",IF($H13551="REFORMING","Reformer",""))))</f>
        <v/>
      </c>
    </row>
    <row r="13552" spans="6:7">
      <c r="F13552" s="6">
        <f>IF($M13552="PADD I","PADD 1",IF($M13552="PADD II","PADD 2",IF($M13552="PADD III","PADD 3",IF($M13552="PADD IV","PADD 4",IF($M13552="PADD V","PADD 5","")))))</f>
        <v/>
      </c>
      <c r="G13552" s="6">
        <f>IF(AND($H13552="ATMOS DISTILLATION",ISNUMBER(SEARCH("VPS",$I13552))=FALSE,LEFT($I13552,6)&lt;&gt;"VACUUM"),"CDU",IF($H13552="FLUID CAT CRACKING","FCC",IF(OR($H13552="HYDROCRACKING",$H13552="RESID_HYDROCRACKING"),"Hydrocracker",IF($H13552="REFORMING","Reformer",""))))</f>
        <v/>
      </c>
    </row>
    <row r="13553" spans="6:7">
      <c r="F13553" s="6">
        <f>IF($M13553="PADD I","PADD 1",IF($M13553="PADD II","PADD 2",IF($M13553="PADD III","PADD 3",IF($M13553="PADD IV","PADD 4",IF($M13553="PADD V","PADD 5","")))))</f>
        <v/>
      </c>
      <c r="G13553" s="6">
        <f>IF(AND($H13553="ATMOS DISTILLATION",ISNUMBER(SEARCH("VPS",$I13553))=FALSE,LEFT($I13553,6)&lt;&gt;"VACUUM"),"CDU",IF($H13553="FLUID CAT CRACKING","FCC",IF(OR($H13553="HYDROCRACKING",$H13553="RESID_HYDROCRACKING"),"Hydrocracker",IF($H13553="REFORMING","Reformer",""))))</f>
        <v/>
      </c>
    </row>
    <row r="13554" spans="6:7">
      <c r="F13554" s="6">
        <f>IF($M13554="PADD I","PADD 1",IF($M13554="PADD II","PADD 2",IF($M13554="PADD III","PADD 3",IF($M13554="PADD IV","PADD 4",IF($M13554="PADD V","PADD 5","")))))</f>
        <v/>
      </c>
      <c r="G13554" s="6">
        <f>IF(AND($H13554="ATMOS DISTILLATION",ISNUMBER(SEARCH("VPS",$I13554))=FALSE,LEFT($I13554,6)&lt;&gt;"VACUUM"),"CDU",IF($H13554="FLUID CAT CRACKING","FCC",IF(OR($H13554="HYDROCRACKING",$H13554="RESID_HYDROCRACKING"),"Hydrocracker",IF($H13554="REFORMING","Reformer",""))))</f>
        <v/>
      </c>
    </row>
    <row r="13555" spans="6:7">
      <c r="F13555" s="6">
        <f>IF($M13555="PADD I","PADD 1",IF($M13555="PADD II","PADD 2",IF($M13555="PADD III","PADD 3",IF($M13555="PADD IV","PADD 4",IF($M13555="PADD V","PADD 5","")))))</f>
        <v/>
      </c>
      <c r="G13555" s="6">
        <f>IF(AND($H13555="ATMOS DISTILLATION",ISNUMBER(SEARCH("VPS",$I13555))=FALSE,LEFT($I13555,6)&lt;&gt;"VACUUM"),"CDU",IF($H13555="FLUID CAT CRACKING","FCC",IF(OR($H13555="HYDROCRACKING",$H13555="RESID_HYDROCRACKING"),"Hydrocracker",IF($H13555="REFORMING","Reformer",""))))</f>
        <v/>
      </c>
    </row>
    <row r="13556" spans="6:7">
      <c r="F13556" s="6">
        <f>IF($M13556="PADD I","PADD 1",IF($M13556="PADD II","PADD 2",IF($M13556="PADD III","PADD 3",IF($M13556="PADD IV","PADD 4",IF($M13556="PADD V","PADD 5","")))))</f>
        <v/>
      </c>
      <c r="G13556" s="6">
        <f>IF(AND($H13556="ATMOS DISTILLATION",ISNUMBER(SEARCH("VPS",$I13556))=FALSE,LEFT($I13556,6)&lt;&gt;"VACUUM"),"CDU",IF($H13556="FLUID CAT CRACKING","FCC",IF(OR($H13556="HYDROCRACKING",$H13556="RESID_HYDROCRACKING"),"Hydrocracker",IF($H13556="REFORMING","Reformer",""))))</f>
        <v/>
      </c>
    </row>
    <row r="13557" spans="6:7">
      <c r="F13557" s="6">
        <f>IF($M13557="PADD I","PADD 1",IF($M13557="PADD II","PADD 2",IF($M13557="PADD III","PADD 3",IF($M13557="PADD IV","PADD 4",IF($M13557="PADD V","PADD 5","")))))</f>
        <v/>
      </c>
      <c r="G13557" s="6">
        <f>IF(AND($H13557="ATMOS DISTILLATION",ISNUMBER(SEARCH("VPS",$I13557))=FALSE,LEFT($I13557,6)&lt;&gt;"VACUUM"),"CDU",IF($H13557="FLUID CAT CRACKING","FCC",IF(OR($H13557="HYDROCRACKING",$H13557="RESID_HYDROCRACKING"),"Hydrocracker",IF($H13557="REFORMING","Reformer",""))))</f>
        <v/>
      </c>
    </row>
    <row r="13558" spans="6:7">
      <c r="F13558" s="6">
        <f>IF($M13558="PADD I","PADD 1",IF($M13558="PADD II","PADD 2",IF($M13558="PADD III","PADD 3",IF($M13558="PADD IV","PADD 4",IF($M13558="PADD V","PADD 5","")))))</f>
        <v/>
      </c>
      <c r="G13558" s="6">
        <f>IF(AND($H13558="ATMOS DISTILLATION",ISNUMBER(SEARCH("VPS",$I13558))=FALSE,LEFT($I13558,6)&lt;&gt;"VACUUM"),"CDU",IF($H13558="FLUID CAT CRACKING","FCC",IF(OR($H13558="HYDROCRACKING",$H13558="RESID_HYDROCRACKING"),"Hydrocracker",IF($H13558="REFORMING","Reformer",""))))</f>
        <v/>
      </c>
    </row>
    <row r="13559" spans="6:7">
      <c r="F13559" s="6">
        <f>IF($M13559="PADD I","PADD 1",IF($M13559="PADD II","PADD 2",IF($M13559="PADD III","PADD 3",IF($M13559="PADD IV","PADD 4",IF($M13559="PADD V","PADD 5","")))))</f>
        <v/>
      </c>
      <c r="G13559" s="6">
        <f>IF(AND($H13559="ATMOS DISTILLATION",ISNUMBER(SEARCH("VPS",$I13559))=FALSE,LEFT($I13559,6)&lt;&gt;"VACUUM"),"CDU",IF($H13559="FLUID CAT CRACKING","FCC",IF(OR($H13559="HYDROCRACKING",$H13559="RESID_HYDROCRACKING"),"Hydrocracker",IF($H13559="REFORMING","Reformer",""))))</f>
        <v/>
      </c>
    </row>
    <row r="13560" spans="6:7">
      <c r="F13560" s="6">
        <f>IF($M13560="PADD I","PADD 1",IF($M13560="PADD II","PADD 2",IF($M13560="PADD III","PADD 3",IF($M13560="PADD IV","PADD 4",IF($M13560="PADD V","PADD 5","")))))</f>
        <v/>
      </c>
      <c r="G13560" s="6">
        <f>IF(AND($H13560="ATMOS DISTILLATION",ISNUMBER(SEARCH("VPS",$I13560))=FALSE,LEFT($I13560,6)&lt;&gt;"VACUUM"),"CDU",IF($H13560="FLUID CAT CRACKING","FCC",IF(OR($H13560="HYDROCRACKING",$H13560="RESID_HYDROCRACKING"),"Hydrocracker",IF($H13560="REFORMING","Reformer",""))))</f>
        <v/>
      </c>
    </row>
    <row r="13561" spans="6:7">
      <c r="F13561" s="6">
        <f>IF($M13561="PADD I","PADD 1",IF($M13561="PADD II","PADD 2",IF($M13561="PADD III","PADD 3",IF($M13561="PADD IV","PADD 4",IF($M13561="PADD V","PADD 5","")))))</f>
        <v/>
      </c>
      <c r="G13561" s="6">
        <f>IF(AND($H13561="ATMOS DISTILLATION",ISNUMBER(SEARCH("VPS",$I13561))=FALSE,LEFT($I13561,6)&lt;&gt;"VACUUM"),"CDU",IF($H13561="FLUID CAT CRACKING","FCC",IF(OR($H13561="HYDROCRACKING",$H13561="RESID_HYDROCRACKING"),"Hydrocracker",IF($H13561="REFORMING","Reformer",""))))</f>
        <v/>
      </c>
    </row>
    <row r="13562" spans="6:7">
      <c r="F13562" s="6">
        <f>IF($M13562="PADD I","PADD 1",IF($M13562="PADD II","PADD 2",IF($M13562="PADD III","PADD 3",IF($M13562="PADD IV","PADD 4",IF($M13562="PADD V","PADD 5","")))))</f>
        <v/>
      </c>
      <c r="G13562" s="6">
        <f>IF(AND($H13562="ATMOS DISTILLATION",ISNUMBER(SEARCH("VPS",$I13562))=FALSE,LEFT($I13562,6)&lt;&gt;"VACUUM"),"CDU",IF($H13562="FLUID CAT CRACKING","FCC",IF(OR($H13562="HYDROCRACKING",$H13562="RESID_HYDROCRACKING"),"Hydrocracker",IF($H13562="REFORMING","Reformer",""))))</f>
        <v/>
      </c>
    </row>
    <row r="13563" spans="6:7">
      <c r="F13563" s="6">
        <f>IF($M13563="PADD I","PADD 1",IF($M13563="PADD II","PADD 2",IF($M13563="PADD III","PADD 3",IF($M13563="PADD IV","PADD 4",IF($M13563="PADD V","PADD 5","")))))</f>
        <v/>
      </c>
      <c r="G13563" s="6">
        <f>IF(AND($H13563="ATMOS DISTILLATION",ISNUMBER(SEARCH("VPS",$I13563))=FALSE,LEFT($I13563,6)&lt;&gt;"VACUUM"),"CDU",IF($H13563="FLUID CAT CRACKING","FCC",IF(OR($H13563="HYDROCRACKING",$H13563="RESID_HYDROCRACKING"),"Hydrocracker",IF($H13563="REFORMING","Reformer",""))))</f>
        <v/>
      </c>
    </row>
    <row r="13564" spans="6:7">
      <c r="F13564" s="6">
        <f>IF($M13564="PADD I","PADD 1",IF($M13564="PADD II","PADD 2",IF($M13564="PADD III","PADD 3",IF($M13564="PADD IV","PADD 4",IF($M13564="PADD V","PADD 5","")))))</f>
        <v/>
      </c>
      <c r="G13564" s="6">
        <f>IF(AND($H13564="ATMOS DISTILLATION",ISNUMBER(SEARCH("VPS",$I13564))=FALSE,LEFT($I13564,6)&lt;&gt;"VACUUM"),"CDU",IF($H13564="FLUID CAT CRACKING","FCC",IF(OR($H13564="HYDROCRACKING",$H13564="RESID_HYDROCRACKING"),"Hydrocracker",IF($H13564="REFORMING","Reformer",""))))</f>
        <v/>
      </c>
    </row>
    <row r="13565" spans="6:7">
      <c r="F13565" s="6">
        <f>IF($M13565="PADD I","PADD 1",IF($M13565="PADD II","PADD 2",IF($M13565="PADD III","PADD 3",IF($M13565="PADD IV","PADD 4",IF($M13565="PADD V","PADD 5","")))))</f>
        <v/>
      </c>
      <c r="G13565" s="6">
        <f>IF(AND($H13565="ATMOS DISTILLATION",ISNUMBER(SEARCH("VPS",$I13565))=FALSE,LEFT($I13565,6)&lt;&gt;"VACUUM"),"CDU",IF($H13565="FLUID CAT CRACKING","FCC",IF(OR($H13565="HYDROCRACKING",$H13565="RESID_HYDROCRACKING"),"Hydrocracker",IF($H13565="REFORMING","Reformer",""))))</f>
        <v/>
      </c>
    </row>
    <row r="13566" spans="6:7">
      <c r="F13566" s="6">
        <f>IF($M13566="PADD I","PADD 1",IF($M13566="PADD II","PADD 2",IF($M13566="PADD III","PADD 3",IF($M13566="PADD IV","PADD 4",IF($M13566="PADD V","PADD 5","")))))</f>
        <v/>
      </c>
      <c r="G13566" s="6">
        <f>IF(AND($H13566="ATMOS DISTILLATION",ISNUMBER(SEARCH("VPS",$I13566))=FALSE,LEFT($I13566,6)&lt;&gt;"VACUUM"),"CDU",IF($H13566="FLUID CAT CRACKING","FCC",IF(OR($H13566="HYDROCRACKING",$H13566="RESID_HYDROCRACKING"),"Hydrocracker",IF($H13566="REFORMING","Reformer",""))))</f>
        <v/>
      </c>
    </row>
    <row r="13567" spans="6:7">
      <c r="F13567" s="6">
        <f>IF($M13567="PADD I","PADD 1",IF($M13567="PADD II","PADD 2",IF($M13567="PADD III","PADD 3",IF($M13567="PADD IV","PADD 4",IF($M13567="PADD V","PADD 5","")))))</f>
        <v/>
      </c>
      <c r="G13567" s="6">
        <f>IF(AND($H13567="ATMOS DISTILLATION",ISNUMBER(SEARCH("VPS",$I13567))=FALSE,LEFT($I13567,6)&lt;&gt;"VACUUM"),"CDU",IF($H13567="FLUID CAT CRACKING","FCC",IF(OR($H13567="HYDROCRACKING",$H13567="RESID_HYDROCRACKING"),"Hydrocracker",IF($H13567="REFORMING","Reformer",""))))</f>
        <v/>
      </c>
    </row>
    <row r="13568" spans="6:7">
      <c r="F13568" s="6">
        <f>IF($M13568="PADD I","PADD 1",IF($M13568="PADD II","PADD 2",IF($M13568="PADD III","PADD 3",IF($M13568="PADD IV","PADD 4",IF($M13568="PADD V","PADD 5","")))))</f>
        <v/>
      </c>
      <c r="G13568" s="6">
        <f>IF(AND($H13568="ATMOS DISTILLATION",ISNUMBER(SEARCH("VPS",$I13568))=FALSE,LEFT($I13568,6)&lt;&gt;"VACUUM"),"CDU",IF($H13568="FLUID CAT CRACKING","FCC",IF(OR($H13568="HYDROCRACKING",$H13568="RESID_HYDROCRACKING"),"Hydrocracker",IF($H13568="REFORMING","Reformer",""))))</f>
        <v/>
      </c>
    </row>
    <row r="13569" spans="6:7">
      <c r="F13569" s="6">
        <f>IF($M13569="PADD I","PADD 1",IF($M13569="PADD II","PADD 2",IF($M13569="PADD III","PADD 3",IF($M13569="PADD IV","PADD 4",IF($M13569="PADD V","PADD 5","")))))</f>
        <v/>
      </c>
      <c r="G13569" s="6">
        <f>IF(AND($H13569="ATMOS DISTILLATION",ISNUMBER(SEARCH("VPS",$I13569))=FALSE,LEFT($I13569,6)&lt;&gt;"VACUUM"),"CDU",IF($H13569="FLUID CAT CRACKING","FCC",IF(OR($H13569="HYDROCRACKING",$H13569="RESID_HYDROCRACKING"),"Hydrocracker",IF($H13569="REFORMING","Reformer",""))))</f>
        <v/>
      </c>
    </row>
    <row r="13570" spans="6:7">
      <c r="F13570" s="6">
        <f>IF($M13570="PADD I","PADD 1",IF($M13570="PADD II","PADD 2",IF($M13570="PADD III","PADD 3",IF($M13570="PADD IV","PADD 4",IF($M13570="PADD V","PADD 5","")))))</f>
        <v/>
      </c>
      <c r="G13570" s="6">
        <f>IF(AND($H13570="ATMOS DISTILLATION",ISNUMBER(SEARCH("VPS",$I13570))=FALSE,LEFT($I13570,6)&lt;&gt;"VACUUM"),"CDU",IF($H13570="FLUID CAT CRACKING","FCC",IF(OR($H13570="HYDROCRACKING",$H13570="RESID_HYDROCRACKING"),"Hydrocracker",IF($H13570="REFORMING","Reformer",""))))</f>
        <v/>
      </c>
    </row>
    <row r="13571" spans="6:7">
      <c r="F13571" s="6">
        <f>IF($M13571="PADD I","PADD 1",IF($M13571="PADD II","PADD 2",IF($M13571="PADD III","PADD 3",IF($M13571="PADD IV","PADD 4",IF($M13571="PADD V","PADD 5","")))))</f>
        <v/>
      </c>
      <c r="G13571" s="6">
        <f>IF(AND($H13571="ATMOS DISTILLATION",ISNUMBER(SEARCH("VPS",$I13571))=FALSE,LEFT($I13571,6)&lt;&gt;"VACUUM"),"CDU",IF($H13571="FLUID CAT CRACKING","FCC",IF(OR($H13571="HYDROCRACKING",$H13571="RESID_HYDROCRACKING"),"Hydrocracker",IF($H13571="REFORMING","Reformer",""))))</f>
        <v/>
      </c>
    </row>
    <row r="13572" spans="6:7">
      <c r="F13572" s="6">
        <f>IF($M13572="PADD I","PADD 1",IF($M13572="PADD II","PADD 2",IF($M13572="PADD III","PADD 3",IF($M13572="PADD IV","PADD 4",IF($M13572="PADD V","PADD 5","")))))</f>
        <v/>
      </c>
      <c r="G13572" s="6">
        <f>IF(AND($H13572="ATMOS DISTILLATION",ISNUMBER(SEARCH("VPS",$I13572))=FALSE,LEFT($I13572,6)&lt;&gt;"VACUUM"),"CDU",IF($H13572="FLUID CAT CRACKING","FCC",IF(OR($H13572="HYDROCRACKING",$H13572="RESID_HYDROCRACKING"),"Hydrocracker",IF($H13572="REFORMING","Reformer",""))))</f>
        <v/>
      </c>
    </row>
    <row r="13573" spans="6:7">
      <c r="F13573" s="6">
        <f>IF($M13573="PADD I","PADD 1",IF($M13573="PADD II","PADD 2",IF($M13573="PADD III","PADD 3",IF($M13573="PADD IV","PADD 4",IF($M13573="PADD V","PADD 5","")))))</f>
        <v/>
      </c>
      <c r="G13573" s="6">
        <f>IF(AND($H13573="ATMOS DISTILLATION",ISNUMBER(SEARCH("VPS",$I13573))=FALSE,LEFT($I13573,6)&lt;&gt;"VACUUM"),"CDU",IF($H13573="FLUID CAT CRACKING","FCC",IF(OR($H13573="HYDROCRACKING",$H13573="RESID_HYDROCRACKING"),"Hydrocracker",IF($H13573="REFORMING","Reformer",""))))</f>
        <v/>
      </c>
    </row>
    <row r="13574" spans="6:7">
      <c r="F13574" s="6">
        <f>IF($M13574="PADD I","PADD 1",IF($M13574="PADD II","PADD 2",IF($M13574="PADD III","PADD 3",IF($M13574="PADD IV","PADD 4",IF($M13574="PADD V","PADD 5","")))))</f>
        <v/>
      </c>
      <c r="G13574" s="6">
        <f>IF(AND($H13574="ATMOS DISTILLATION",ISNUMBER(SEARCH("VPS",$I13574))=FALSE,LEFT($I13574,6)&lt;&gt;"VACUUM"),"CDU",IF($H13574="FLUID CAT CRACKING","FCC",IF(OR($H13574="HYDROCRACKING",$H13574="RESID_HYDROCRACKING"),"Hydrocracker",IF($H13574="REFORMING","Reformer",""))))</f>
        <v/>
      </c>
    </row>
    <row r="13575" spans="6:7">
      <c r="F13575" s="6">
        <f>IF($M13575="PADD I","PADD 1",IF($M13575="PADD II","PADD 2",IF($M13575="PADD III","PADD 3",IF($M13575="PADD IV","PADD 4",IF($M13575="PADD V","PADD 5","")))))</f>
        <v/>
      </c>
      <c r="G13575" s="6">
        <f>IF(AND($H13575="ATMOS DISTILLATION",ISNUMBER(SEARCH("VPS",$I13575))=FALSE,LEFT($I13575,6)&lt;&gt;"VACUUM"),"CDU",IF($H13575="FLUID CAT CRACKING","FCC",IF(OR($H13575="HYDROCRACKING",$H13575="RESID_HYDROCRACKING"),"Hydrocracker",IF($H13575="REFORMING","Reformer",""))))</f>
        <v/>
      </c>
    </row>
    <row r="13576" spans="6:7">
      <c r="F13576" s="6">
        <f>IF($M13576="PADD I","PADD 1",IF($M13576="PADD II","PADD 2",IF($M13576="PADD III","PADD 3",IF($M13576="PADD IV","PADD 4",IF($M13576="PADD V","PADD 5","")))))</f>
        <v/>
      </c>
      <c r="G13576" s="6">
        <f>IF(AND($H13576="ATMOS DISTILLATION",ISNUMBER(SEARCH("VPS",$I13576))=FALSE,LEFT($I13576,6)&lt;&gt;"VACUUM"),"CDU",IF($H13576="FLUID CAT CRACKING","FCC",IF(OR($H13576="HYDROCRACKING",$H13576="RESID_HYDROCRACKING"),"Hydrocracker",IF($H13576="REFORMING","Reformer",""))))</f>
        <v/>
      </c>
    </row>
    <row r="13577" spans="6:7">
      <c r="F13577" s="6">
        <f>IF($M13577="PADD I","PADD 1",IF($M13577="PADD II","PADD 2",IF($M13577="PADD III","PADD 3",IF($M13577="PADD IV","PADD 4",IF($M13577="PADD V","PADD 5","")))))</f>
        <v/>
      </c>
      <c r="G13577" s="6">
        <f>IF(AND($H13577="ATMOS DISTILLATION",ISNUMBER(SEARCH("VPS",$I13577))=FALSE,LEFT($I13577,6)&lt;&gt;"VACUUM"),"CDU",IF($H13577="FLUID CAT CRACKING","FCC",IF(OR($H13577="HYDROCRACKING",$H13577="RESID_HYDROCRACKING"),"Hydrocracker",IF($H13577="REFORMING","Reformer",""))))</f>
        <v/>
      </c>
    </row>
    <row r="13578" spans="6:7">
      <c r="F13578" s="6">
        <f>IF($M13578="PADD I","PADD 1",IF($M13578="PADD II","PADD 2",IF($M13578="PADD III","PADD 3",IF($M13578="PADD IV","PADD 4",IF($M13578="PADD V","PADD 5","")))))</f>
        <v/>
      </c>
      <c r="G13578" s="6">
        <f>IF(AND($H13578="ATMOS DISTILLATION",ISNUMBER(SEARCH("VPS",$I13578))=FALSE,LEFT($I13578,6)&lt;&gt;"VACUUM"),"CDU",IF($H13578="FLUID CAT CRACKING","FCC",IF(OR($H13578="HYDROCRACKING",$H13578="RESID_HYDROCRACKING"),"Hydrocracker",IF($H13578="REFORMING","Reformer",""))))</f>
        <v/>
      </c>
    </row>
    <row r="13579" spans="6:7">
      <c r="F13579" s="6">
        <f>IF($M13579="PADD I","PADD 1",IF($M13579="PADD II","PADD 2",IF($M13579="PADD III","PADD 3",IF($M13579="PADD IV","PADD 4",IF($M13579="PADD V","PADD 5","")))))</f>
        <v/>
      </c>
      <c r="G13579" s="6">
        <f>IF(AND($H13579="ATMOS DISTILLATION",ISNUMBER(SEARCH("VPS",$I13579))=FALSE,LEFT($I13579,6)&lt;&gt;"VACUUM"),"CDU",IF($H13579="FLUID CAT CRACKING","FCC",IF(OR($H13579="HYDROCRACKING",$H13579="RESID_HYDROCRACKING"),"Hydrocracker",IF($H13579="REFORMING","Reformer",""))))</f>
        <v/>
      </c>
    </row>
    <row r="13580" spans="6:7">
      <c r="F13580" s="6">
        <f>IF($M13580="PADD I","PADD 1",IF($M13580="PADD II","PADD 2",IF($M13580="PADD III","PADD 3",IF($M13580="PADD IV","PADD 4",IF($M13580="PADD V","PADD 5","")))))</f>
        <v/>
      </c>
      <c r="G13580" s="6">
        <f>IF(AND($H13580="ATMOS DISTILLATION",ISNUMBER(SEARCH("VPS",$I13580))=FALSE,LEFT($I13580,6)&lt;&gt;"VACUUM"),"CDU",IF($H13580="FLUID CAT CRACKING","FCC",IF(OR($H13580="HYDROCRACKING",$H13580="RESID_HYDROCRACKING"),"Hydrocracker",IF($H13580="REFORMING","Reformer",""))))</f>
        <v/>
      </c>
    </row>
    <row r="13581" spans="6:7">
      <c r="F13581" s="6">
        <f>IF($M13581="PADD I","PADD 1",IF($M13581="PADD II","PADD 2",IF($M13581="PADD III","PADD 3",IF($M13581="PADD IV","PADD 4",IF($M13581="PADD V","PADD 5","")))))</f>
        <v/>
      </c>
      <c r="G13581" s="6">
        <f>IF(AND($H13581="ATMOS DISTILLATION",ISNUMBER(SEARCH("VPS",$I13581))=FALSE,LEFT($I13581,6)&lt;&gt;"VACUUM"),"CDU",IF($H13581="FLUID CAT CRACKING","FCC",IF(OR($H13581="HYDROCRACKING",$H13581="RESID_HYDROCRACKING"),"Hydrocracker",IF($H13581="REFORMING","Reformer",""))))</f>
        <v/>
      </c>
    </row>
    <row r="13582" spans="6:7">
      <c r="F13582" s="6">
        <f>IF($M13582="PADD I","PADD 1",IF($M13582="PADD II","PADD 2",IF($M13582="PADD III","PADD 3",IF($M13582="PADD IV","PADD 4",IF($M13582="PADD V","PADD 5","")))))</f>
        <v/>
      </c>
      <c r="G13582" s="6">
        <f>IF(AND($H13582="ATMOS DISTILLATION",ISNUMBER(SEARCH("VPS",$I13582))=FALSE,LEFT($I13582,6)&lt;&gt;"VACUUM"),"CDU",IF($H13582="FLUID CAT CRACKING","FCC",IF(OR($H13582="HYDROCRACKING",$H13582="RESID_HYDROCRACKING"),"Hydrocracker",IF($H13582="REFORMING","Reformer",""))))</f>
        <v/>
      </c>
    </row>
    <row r="13583" spans="6:7">
      <c r="F13583" s="6">
        <f>IF($M13583="PADD I","PADD 1",IF($M13583="PADD II","PADD 2",IF($M13583="PADD III","PADD 3",IF($M13583="PADD IV","PADD 4",IF($M13583="PADD V","PADD 5","")))))</f>
        <v/>
      </c>
      <c r="G13583" s="6">
        <f>IF(AND($H13583="ATMOS DISTILLATION",ISNUMBER(SEARCH("VPS",$I13583))=FALSE,LEFT($I13583,6)&lt;&gt;"VACUUM"),"CDU",IF($H13583="FLUID CAT CRACKING","FCC",IF(OR($H13583="HYDROCRACKING",$H13583="RESID_HYDROCRACKING"),"Hydrocracker",IF($H13583="REFORMING","Reformer",""))))</f>
        <v/>
      </c>
    </row>
    <row r="13584" spans="6:7">
      <c r="F13584" s="6">
        <f>IF($M13584="PADD I","PADD 1",IF($M13584="PADD II","PADD 2",IF($M13584="PADD III","PADD 3",IF($M13584="PADD IV","PADD 4",IF($M13584="PADD V","PADD 5","")))))</f>
        <v/>
      </c>
      <c r="G13584" s="6">
        <f>IF(AND($H13584="ATMOS DISTILLATION",ISNUMBER(SEARCH("VPS",$I13584))=FALSE,LEFT($I13584,6)&lt;&gt;"VACUUM"),"CDU",IF($H13584="FLUID CAT CRACKING","FCC",IF(OR($H13584="HYDROCRACKING",$H13584="RESID_HYDROCRACKING"),"Hydrocracker",IF($H13584="REFORMING","Reformer",""))))</f>
        <v/>
      </c>
    </row>
    <row r="13585" spans="6:7">
      <c r="F13585" s="6">
        <f>IF($M13585="PADD I","PADD 1",IF($M13585="PADD II","PADD 2",IF($M13585="PADD III","PADD 3",IF($M13585="PADD IV","PADD 4",IF($M13585="PADD V","PADD 5","")))))</f>
        <v/>
      </c>
      <c r="G13585" s="6">
        <f>IF(AND($H13585="ATMOS DISTILLATION",ISNUMBER(SEARCH("VPS",$I13585))=FALSE,LEFT($I13585,6)&lt;&gt;"VACUUM"),"CDU",IF($H13585="FLUID CAT CRACKING","FCC",IF(OR($H13585="HYDROCRACKING",$H13585="RESID_HYDROCRACKING"),"Hydrocracker",IF($H13585="REFORMING","Reformer",""))))</f>
        <v/>
      </c>
    </row>
    <row r="13586" spans="6:7">
      <c r="F13586" s="6">
        <f>IF($M13586="PADD I","PADD 1",IF($M13586="PADD II","PADD 2",IF($M13586="PADD III","PADD 3",IF($M13586="PADD IV","PADD 4",IF($M13586="PADD V","PADD 5","")))))</f>
        <v/>
      </c>
      <c r="G13586" s="6">
        <f>IF(AND($H13586="ATMOS DISTILLATION",ISNUMBER(SEARCH("VPS",$I13586))=FALSE,LEFT($I13586,6)&lt;&gt;"VACUUM"),"CDU",IF($H13586="FLUID CAT CRACKING","FCC",IF(OR($H13586="HYDROCRACKING",$H13586="RESID_HYDROCRACKING"),"Hydrocracker",IF($H13586="REFORMING","Reformer",""))))</f>
        <v/>
      </c>
    </row>
    <row r="13587" spans="6:7">
      <c r="F13587" s="6">
        <f>IF($M13587="PADD I","PADD 1",IF($M13587="PADD II","PADD 2",IF($M13587="PADD III","PADD 3",IF($M13587="PADD IV","PADD 4",IF($M13587="PADD V","PADD 5","")))))</f>
        <v/>
      </c>
      <c r="G13587" s="6">
        <f>IF(AND($H13587="ATMOS DISTILLATION",ISNUMBER(SEARCH("VPS",$I13587))=FALSE,LEFT($I13587,6)&lt;&gt;"VACUUM"),"CDU",IF($H13587="FLUID CAT CRACKING","FCC",IF(OR($H13587="HYDROCRACKING",$H13587="RESID_HYDROCRACKING"),"Hydrocracker",IF($H13587="REFORMING","Reformer",""))))</f>
        <v/>
      </c>
    </row>
    <row r="13588" spans="6:7">
      <c r="F13588" s="6">
        <f>IF($M13588="PADD I","PADD 1",IF($M13588="PADD II","PADD 2",IF($M13588="PADD III","PADD 3",IF($M13588="PADD IV","PADD 4",IF($M13588="PADD V","PADD 5","")))))</f>
        <v/>
      </c>
      <c r="G13588" s="6">
        <f>IF(AND($H13588="ATMOS DISTILLATION",ISNUMBER(SEARCH("VPS",$I13588))=FALSE,LEFT($I13588,6)&lt;&gt;"VACUUM"),"CDU",IF($H13588="FLUID CAT CRACKING","FCC",IF(OR($H13588="HYDROCRACKING",$H13588="RESID_HYDROCRACKING"),"Hydrocracker",IF($H13588="REFORMING","Reformer",""))))</f>
        <v/>
      </c>
    </row>
    <row r="13589" spans="6:7">
      <c r="F13589" s="6">
        <f>IF($M13589="PADD I","PADD 1",IF($M13589="PADD II","PADD 2",IF($M13589="PADD III","PADD 3",IF($M13589="PADD IV","PADD 4",IF($M13589="PADD V","PADD 5","")))))</f>
        <v/>
      </c>
      <c r="G13589" s="6">
        <f>IF(AND($H13589="ATMOS DISTILLATION",ISNUMBER(SEARCH("VPS",$I13589))=FALSE,LEFT($I13589,6)&lt;&gt;"VACUUM"),"CDU",IF($H13589="FLUID CAT CRACKING","FCC",IF(OR($H13589="HYDROCRACKING",$H13589="RESID_HYDROCRACKING"),"Hydrocracker",IF($H13589="REFORMING","Reformer",""))))</f>
        <v/>
      </c>
    </row>
    <row r="13590" spans="6:7">
      <c r="F13590" s="6">
        <f>IF($M13590="PADD I","PADD 1",IF($M13590="PADD II","PADD 2",IF($M13590="PADD III","PADD 3",IF($M13590="PADD IV","PADD 4",IF($M13590="PADD V","PADD 5","")))))</f>
        <v/>
      </c>
      <c r="G13590" s="6">
        <f>IF(AND($H13590="ATMOS DISTILLATION",ISNUMBER(SEARCH("VPS",$I13590))=FALSE,LEFT($I13590,6)&lt;&gt;"VACUUM"),"CDU",IF($H13590="FLUID CAT CRACKING","FCC",IF(OR($H13590="HYDROCRACKING",$H13590="RESID_HYDROCRACKING"),"Hydrocracker",IF($H13590="REFORMING","Reformer",""))))</f>
        <v/>
      </c>
    </row>
    <row r="13591" spans="6:7">
      <c r="F13591" s="6">
        <f>IF($M13591="PADD I","PADD 1",IF($M13591="PADD II","PADD 2",IF($M13591="PADD III","PADD 3",IF($M13591="PADD IV","PADD 4",IF($M13591="PADD V","PADD 5","")))))</f>
        <v/>
      </c>
      <c r="G13591" s="6">
        <f>IF(AND($H13591="ATMOS DISTILLATION",ISNUMBER(SEARCH("VPS",$I13591))=FALSE,LEFT($I13591,6)&lt;&gt;"VACUUM"),"CDU",IF($H13591="FLUID CAT CRACKING","FCC",IF(OR($H13591="HYDROCRACKING",$H13591="RESID_HYDROCRACKING"),"Hydrocracker",IF($H13591="REFORMING","Reformer",""))))</f>
        <v/>
      </c>
    </row>
    <row r="13592" spans="6:7">
      <c r="F13592" s="6">
        <f>IF($M13592="PADD I","PADD 1",IF($M13592="PADD II","PADD 2",IF($M13592="PADD III","PADD 3",IF($M13592="PADD IV","PADD 4",IF($M13592="PADD V","PADD 5","")))))</f>
        <v/>
      </c>
      <c r="G13592" s="6">
        <f>IF(AND($H13592="ATMOS DISTILLATION",ISNUMBER(SEARCH("VPS",$I13592))=FALSE,LEFT($I13592,6)&lt;&gt;"VACUUM"),"CDU",IF($H13592="FLUID CAT CRACKING","FCC",IF(OR($H13592="HYDROCRACKING",$H13592="RESID_HYDROCRACKING"),"Hydrocracker",IF($H13592="REFORMING","Reformer",""))))</f>
        <v/>
      </c>
    </row>
    <row r="13593" spans="6:7">
      <c r="F13593" s="6">
        <f>IF($M13593="PADD I","PADD 1",IF($M13593="PADD II","PADD 2",IF($M13593="PADD III","PADD 3",IF($M13593="PADD IV","PADD 4",IF($M13593="PADD V","PADD 5","")))))</f>
        <v/>
      </c>
      <c r="G13593" s="6">
        <f>IF(AND($H13593="ATMOS DISTILLATION",ISNUMBER(SEARCH("VPS",$I13593))=FALSE,LEFT($I13593,6)&lt;&gt;"VACUUM"),"CDU",IF($H13593="FLUID CAT CRACKING","FCC",IF(OR($H13593="HYDROCRACKING",$H13593="RESID_HYDROCRACKING"),"Hydrocracker",IF($H13593="REFORMING","Reformer",""))))</f>
        <v/>
      </c>
    </row>
    <row r="13594" spans="6:7">
      <c r="F13594" s="6">
        <f>IF($M13594="PADD I","PADD 1",IF($M13594="PADD II","PADD 2",IF($M13594="PADD III","PADD 3",IF($M13594="PADD IV","PADD 4",IF($M13594="PADD V","PADD 5","")))))</f>
        <v/>
      </c>
      <c r="G13594" s="6">
        <f>IF(AND($H13594="ATMOS DISTILLATION",ISNUMBER(SEARCH("VPS",$I13594))=FALSE,LEFT($I13594,6)&lt;&gt;"VACUUM"),"CDU",IF($H13594="FLUID CAT CRACKING","FCC",IF(OR($H13594="HYDROCRACKING",$H13594="RESID_HYDROCRACKING"),"Hydrocracker",IF($H13594="REFORMING","Reformer",""))))</f>
        <v/>
      </c>
    </row>
    <row r="13595" spans="6:7">
      <c r="F13595" s="6">
        <f>IF($M13595="PADD I","PADD 1",IF($M13595="PADD II","PADD 2",IF($M13595="PADD III","PADD 3",IF($M13595="PADD IV","PADD 4",IF($M13595="PADD V","PADD 5","")))))</f>
        <v/>
      </c>
      <c r="G13595" s="6">
        <f>IF(AND($H13595="ATMOS DISTILLATION",ISNUMBER(SEARCH("VPS",$I13595))=FALSE,LEFT($I13595,6)&lt;&gt;"VACUUM"),"CDU",IF($H13595="FLUID CAT CRACKING","FCC",IF(OR($H13595="HYDROCRACKING",$H13595="RESID_HYDROCRACKING"),"Hydrocracker",IF($H13595="REFORMING","Reformer",""))))</f>
        <v/>
      </c>
    </row>
    <row r="13596" spans="6:7">
      <c r="F13596" s="6">
        <f>IF($M13596="PADD I","PADD 1",IF($M13596="PADD II","PADD 2",IF($M13596="PADD III","PADD 3",IF($M13596="PADD IV","PADD 4",IF($M13596="PADD V","PADD 5","")))))</f>
        <v/>
      </c>
      <c r="G13596" s="6">
        <f>IF(AND($H13596="ATMOS DISTILLATION",ISNUMBER(SEARCH("VPS",$I13596))=FALSE,LEFT($I13596,6)&lt;&gt;"VACUUM"),"CDU",IF($H13596="FLUID CAT CRACKING","FCC",IF(OR($H13596="HYDROCRACKING",$H13596="RESID_HYDROCRACKING"),"Hydrocracker",IF($H13596="REFORMING","Reformer",""))))</f>
        <v/>
      </c>
    </row>
    <row r="13597" spans="6:7">
      <c r="F13597" s="6">
        <f>IF($M13597="PADD I","PADD 1",IF($M13597="PADD II","PADD 2",IF($M13597="PADD III","PADD 3",IF($M13597="PADD IV","PADD 4",IF($M13597="PADD V","PADD 5","")))))</f>
        <v/>
      </c>
      <c r="G13597" s="6">
        <f>IF(AND($H13597="ATMOS DISTILLATION",ISNUMBER(SEARCH("VPS",$I13597))=FALSE,LEFT($I13597,6)&lt;&gt;"VACUUM"),"CDU",IF($H13597="FLUID CAT CRACKING","FCC",IF(OR($H13597="HYDROCRACKING",$H13597="RESID_HYDROCRACKING"),"Hydrocracker",IF($H13597="REFORMING","Reformer",""))))</f>
        <v/>
      </c>
    </row>
    <row r="13598" spans="6:7">
      <c r="F13598" s="6">
        <f>IF($M13598="PADD I","PADD 1",IF($M13598="PADD II","PADD 2",IF($M13598="PADD III","PADD 3",IF($M13598="PADD IV","PADD 4",IF($M13598="PADD V","PADD 5","")))))</f>
        <v/>
      </c>
      <c r="G13598" s="6">
        <f>IF(AND($H13598="ATMOS DISTILLATION",ISNUMBER(SEARCH("VPS",$I13598))=FALSE,LEFT($I13598,6)&lt;&gt;"VACUUM"),"CDU",IF($H13598="FLUID CAT CRACKING","FCC",IF(OR($H13598="HYDROCRACKING",$H13598="RESID_HYDROCRACKING"),"Hydrocracker",IF($H13598="REFORMING","Reformer",""))))</f>
        <v/>
      </c>
    </row>
    <row r="13599" spans="6:7">
      <c r="F13599" s="6">
        <f>IF($M13599="PADD I","PADD 1",IF($M13599="PADD II","PADD 2",IF($M13599="PADD III","PADD 3",IF($M13599="PADD IV","PADD 4",IF($M13599="PADD V","PADD 5","")))))</f>
        <v/>
      </c>
      <c r="G13599" s="6">
        <f>IF(AND($H13599="ATMOS DISTILLATION",ISNUMBER(SEARCH("VPS",$I13599))=FALSE,LEFT($I13599,6)&lt;&gt;"VACUUM"),"CDU",IF($H13599="FLUID CAT CRACKING","FCC",IF(OR($H13599="HYDROCRACKING",$H13599="RESID_HYDROCRACKING"),"Hydrocracker",IF($H13599="REFORMING","Reformer",""))))</f>
        <v/>
      </c>
    </row>
    <row r="13600" spans="6:7">
      <c r="F13600" s="6">
        <f>IF($M13600="PADD I","PADD 1",IF($M13600="PADD II","PADD 2",IF($M13600="PADD III","PADD 3",IF($M13600="PADD IV","PADD 4",IF($M13600="PADD V","PADD 5","")))))</f>
        <v/>
      </c>
      <c r="G13600" s="6">
        <f>IF(AND($H13600="ATMOS DISTILLATION",ISNUMBER(SEARCH("VPS",$I13600))=FALSE,LEFT($I13600,6)&lt;&gt;"VACUUM"),"CDU",IF($H13600="FLUID CAT CRACKING","FCC",IF(OR($H13600="HYDROCRACKING",$H13600="RESID_HYDROCRACKING"),"Hydrocracker",IF($H13600="REFORMING","Reformer",""))))</f>
        <v/>
      </c>
    </row>
    <row r="13601" spans="6:7">
      <c r="F13601" s="6">
        <f>IF($M13601="PADD I","PADD 1",IF($M13601="PADD II","PADD 2",IF($M13601="PADD III","PADD 3",IF($M13601="PADD IV","PADD 4",IF($M13601="PADD V","PADD 5","")))))</f>
        <v/>
      </c>
      <c r="G13601" s="6">
        <f>IF(AND($H13601="ATMOS DISTILLATION",ISNUMBER(SEARCH("VPS",$I13601))=FALSE,LEFT($I13601,6)&lt;&gt;"VACUUM"),"CDU",IF($H13601="FLUID CAT CRACKING","FCC",IF(OR($H13601="HYDROCRACKING",$H13601="RESID_HYDROCRACKING"),"Hydrocracker",IF($H13601="REFORMING","Reformer",""))))</f>
        <v/>
      </c>
    </row>
    <row r="13602" spans="6:7">
      <c r="F13602" s="6">
        <f>IF($M13602="PADD I","PADD 1",IF($M13602="PADD II","PADD 2",IF($M13602="PADD III","PADD 3",IF($M13602="PADD IV","PADD 4",IF($M13602="PADD V","PADD 5","")))))</f>
        <v/>
      </c>
      <c r="G13602" s="6">
        <f>IF(AND($H13602="ATMOS DISTILLATION",ISNUMBER(SEARCH("VPS",$I13602))=FALSE,LEFT($I13602,6)&lt;&gt;"VACUUM"),"CDU",IF($H13602="FLUID CAT CRACKING","FCC",IF(OR($H13602="HYDROCRACKING",$H13602="RESID_HYDROCRACKING"),"Hydrocracker",IF($H13602="REFORMING","Reformer",""))))</f>
        <v/>
      </c>
    </row>
    <row r="13603" spans="6:7">
      <c r="F13603" s="6">
        <f>IF($M13603="PADD I","PADD 1",IF($M13603="PADD II","PADD 2",IF($M13603="PADD III","PADD 3",IF($M13603="PADD IV","PADD 4",IF($M13603="PADD V","PADD 5","")))))</f>
        <v/>
      </c>
      <c r="G13603" s="6">
        <f>IF(AND($H13603="ATMOS DISTILLATION",ISNUMBER(SEARCH("VPS",$I13603))=FALSE,LEFT($I13603,6)&lt;&gt;"VACUUM"),"CDU",IF($H13603="FLUID CAT CRACKING","FCC",IF(OR($H13603="HYDROCRACKING",$H13603="RESID_HYDROCRACKING"),"Hydrocracker",IF($H13603="REFORMING","Reformer",""))))</f>
        <v/>
      </c>
    </row>
    <row r="13604" spans="6:7">
      <c r="F13604" s="6">
        <f>IF($M13604="PADD I","PADD 1",IF($M13604="PADD II","PADD 2",IF($M13604="PADD III","PADD 3",IF($M13604="PADD IV","PADD 4",IF($M13604="PADD V","PADD 5","")))))</f>
        <v/>
      </c>
      <c r="G13604" s="6">
        <f>IF(AND($H13604="ATMOS DISTILLATION",ISNUMBER(SEARCH("VPS",$I13604))=FALSE,LEFT($I13604,6)&lt;&gt;"VACUUM"),"CDU",IF($H13604="FLUID CAT CRACKING","FCC",IF(OR($H13604="HYDROCRACKING",$H13604="RESID_HYDROCRACKING"),"Hydrocracker",IF($H13604="REFORMING","Reformer",""))))</f>
        <v/>
      </c>
    </row>
    <row r="13605" spans="6:7">
      <c r="F13605" s="6">
        <f>IF($M13605="PADD I","PADD 1",IF($M13605="PADD II","PADD 2",IF($M13605="PADD III","PADD 3",IF($M13605="PADD IV","PADD 4",IF($M13605="PADD V","PADD 5","")))))</f>
        <v/>
      </c>
      <c r="G13605" s="6">
        <f>IF(AND($H13605="ATMOS DISTILLATION",ISNUMBER(SEARCH("VPS",$I13605))=FALSE,LEFT($I13605,6)&lt;&gt;"VACUUM"),"CDU",IF($H13605="FLUID CAT CRACKING","FCC",IF(OR($H13605="HYDROCRACKING",$H13605="RESID_HYDROCRACKING"),"Hydrocracker",IF($H13605="REFORMING","Reformer",""))))</f>
        <v/>
      </c>
    </row>
    <row r="13606" spans="6:7">
      <c r="F13606" s="6">
        <f>IF($M13606="PADD I","PADD 1",IF($M13606="PADD II","PADD 2",IF($M13606="PADD III","PADD 3",IF($M13606="PADD IV","PADD 4",IF($M13606="PADD V","PADD 5","")))))</f>
        <v/>
      </c>
      <c r="G13606" s="6">
        <f>IF(AND($H13606="ATMOS DISTILLATION",ISNUMBER(SEARCH("VPS",$I13606))=FALSE,LEFT($I13606,6)&lt;&gt;"VACUUM"),"CDU",IF($H13606="FLUID CAT CRACKING","FCC",IF(OR($H13606="HYDROCRACKING",$H13606="RESID_HYDROCRACKING"),"Hydrocracker",IF($H13606="REFORMING","Reformer",""))))</f>
        <v/>
      </c>
    </row>
    <row r="13607" spans="6:7">
      <c r="F13607" s="6">
        <f>IF($M13607="PADD I","PADD 1",IF($M13607="PADD II","PADD 2",IF($M13607="PADD III","PADD 3",IF($M13607="PADD IV","PADD 4",IF($M13607="PADD V","PADD 5","")))))</f>
        <v/>
      </c>
      <c r="G13607" s="6">
        <f>IF(AND($H13607="ATMOS DISTILLATION",ISNUMBER(SEARCH("VPS",$I13607))=FALSE,LEFT($I13607,6)&lt;&gt;"VACUUM"),"CDU",IF($H13607="FLUID CAT CRACKING","FCC",IF(OR($H13607="HYDROCRACKING",$H13607="RESID_HYDROCRACKING"),"Hydrocracker",IF($H13607="REFORMING","Reformer",""))))</f>
        <v/>
      </c>
    </row>
    <row r="13608" spans="6:7">
      <c r="F13608" s="6">
        <f>IF($M13608="PADD I","PADD 1",IF($M13608="PADD II","PADD 2",IF($M13608="PADD III","PADD 3",IF($M13608="PADD IV","PADD 4",IF($M13608="PADD V","PADD 5","")))))</f>
        <v/>
      </c>
      <c r="G13608" s="6">
        <f>IF(AND($H13608="ATMOS DISTILLATION",ISNUMBER(SEARCH("VPS",$I13608))=FALSE,LEFT($I13608,6)&lt;&gt;"VACUUM"),"CDU",IF($H13608="FLUID CAT CRACKING","FCC",IF(OR($H13608="HYDROCRACKING",$H13608="RESID_HYDROCRACKING"),"Hydrocracker",IF($H13608="REFORMING","Reformer",""))))</f>
        <v/>
      </c>
    </row>
    <row r="13609" spans="6:7">
      <c r="F13609" s="6">
        <f>IF($M13609="PADD I","PADD 1",IF($M13609="PADD II","PADD 2",IF($M13609="PADD III","PADD 3",IF($M13609="PADD IV","PADD 4",IF($M13609="PADD V","PADD 5","")))))</f>
        <v/>
      </c>
      <c r="G13609" s="6">
        <f>IF(AND($H13609="ATMOS DISTILLATION",ISNUMBER(SEARCH("VPS",$I13609))=FALSE,LEFT($I13609,6)&lt;&gt;"VACUUM"),"CDU",IF($H13609="FLUID CAT CRACKING","FCC",IF(OR($H13609="HYDROCRACKING",$H13609="RESID_HYDROCRACKING"),"Hydrocracker",IF($H13609="REFORMING","Reformer",""))))</f>
        <v/>
      </c>
    </row>
    <row r="13610" spans="6:7">
      <c r="F13610" s="6">
        <f>IF($M13610="PADD I","PADD 1",IF($M13610="PADD II","PADD 2",IF($M13610="PADD III","PADD 3",IF($M13610="PADD IV","PADD 4",IF($M13610="PADD V","PADD 5","")))))</f>
        <v/>
      </c>
      <c r="G13610" s="6">
        <f>IF(AND($H13610="ATMOS DISTILLATION",ISNUMBER(SEARCH("VPS",$I13610))=FALSE,LEFT($I13610,6)&lt;&gt;"VACUUM"),"CDU",IF($H13610="FLUID CAT CRACKING","FCC",IF(OR($H13610="HYDROCRACKING",$H13610="RESID_HYDROCRACKING"),"Hydrocracker",IF($H13610="REFORMING","Reformer",""))))</f>
        <v/>
      </c>
    </row>
    <row r="13611" spans="6:7">
      <c r="F13611" s="6">
        <f>IF($M13611="PADD I","PADD 1",IF($M13611="PADD II","PADD 2",IF($M13611="PADD III","PADD 3",IF($M13611="PADD IV","PADD 4",IF($M13611="PADD V","PADD 5","")))))</f>
        <v/>
      </c>
      <c r="G13611" s="6">
        <f>IF(AND($H13611="ATMOS DISTILLATION",ISNUMBER(SEARCH("VPS",$I13611))=FALSE,LEFT($I13611,6)&lt;&gt;"VACUUM"),"CDU",IF($H13611="FLUID CAT CRACKING","FCC",IF(OR($H13611="HYDROCRACKING",$H13611="RESID_HYDROCRACKING"),"Hydrocracker",IF($H13611="REFORMING","Reformer",""))))</f>
        <v/>
      </c>
    </row>
    <row r="13612" spans="6:7">
      <c r="F13612" s="6">
        <f>IF($M13612="PADD I","PADD 1",IF($M13612="PADD II","PADD 2",IF($M13612="PADD III","PADD 3",IF($M13612="PADD IV","PADD 4",IF($M13612="PADD V","PADD 5","")))))</f>
        <v/>
      </c>
      <c r="G13612" s="6">
        <f>IF(AND($H13612="ATMOS DISTILLATION",ISNUMBER(SEARCH("VPS",$I13612))=FALSE,LEFT($I13612,6)&lt;&gt;"VACUUM"),"CDU",IF($H13612="FLUID CAT CRACKING","FCC",IF(OR($H13612="HYDROCRACKING",$H13612="RESID_HYDROCRACKING"),"Hydrocracker",IF($H13612="REFORMING","Reformer",""))))</f>
        <v/>
      </c>
    </row>
    <row r="13613" spans="6:7">
      <c r="F13613" s="6">
        <f>IF($M13613="PADD I","PADD 1",IF($M13613="PADD II","PADD 2",IF($M13613="PADD III","PADD 3",IF($M13613="PADD IV","PADD 4",IF($M13613="PADD V","PADD 5","")))))</f>
        <v/>
      </c>
      <c r="G13613" s="6">
        <f>IF(AND($H13613="ATMOS DISTILLATION",ISNUMBER(SEARCH("VPS",$I13613))=FALSE,LEFT($I13613,6)&lt;&gt;"VACUUM"),"CDU",IF($H13613="FLUID CAT CRACKING","FCC",IF(OR($H13613="HYDROCRACKING",$H13613="RESID_HYDROCRACKING"),"Hydrocracker",IF($H13613="REFORMING","Reformer",""))))</f>
        <v/>
      </c>
    </row>
    <row r="13614" spans="6:7">
      <c r="F13614" s="6">
        <f>IF($M13614="PADD I","PADD 1",IF($M13614="PADD II","PADD 2",IF($M13614="PADD III","PADD 3",IF($M13614="PADD IV","PADD 4",IF($M13614="PADD V","PADD 5","")))))</f>
        <v/>
      </c>
      <c r="G13614" s="6">
        <f>IF(AND($H13614="ATMOS DISTILLATION",ISNUMBER(SEARCH("VPS",$I13614))=FALSE,LEFT($I13614,6)&lt;&gt;"VACUUM"),"CDU",IF($H13614="FLUID CAT CRACKING","FCC",IF(OR($H13614="HYDROCRACKING",$H13614="RESID_HYDROCRACKING"),"Hydrocracker",IF($H13614="REFORMING","Reformer",""))))</f>
        <v/>
      </c>
    </row>
    <row r="13615" spans="6:7">
      <c r="F13615" s="6">
        <f>IF($M13615="PADD I","PADD 1",IF($M13615="PADD II","PADD 2",IF($M13615="PADD III","PADD 3",IF($M13615="PADD IV","PADD 4",IF($M13615="PADD V","PADD 5","")))))</f>
        <v/>
      </c>
      <c r="G13615" s="6">
        <f>IF(AND($H13615="ATMOS DISTILLATION",ISNUMBER(SEARCH("VPS",$I13615))=FALSE,LEFT($I13615,6)&lt;&gt;"VACUUM"),"CDU",IF($H13615="FLUID CAT CRACKING","FCC",IF(OR($H13615="HYDROCRACKING",$H13615="RESID_HYDROCRACKING"),"Hydrocracker",IF($H13615="REFORMING","Reformer",""))))</f>
        <v/>
      </c>
    </row>
    <row r="13616" spans="6:7">
      <c r="F13616" s="6">
        <f>IF($M13616="PADD I","PADD 1",IF($M13616="PADD II","PADD 2",IF($M13616="PADD III","PADD 3",IF($M13616="PADD IV","PADD 4",IF($M13616="PADD V","PADD 5","")))))</f>
        <v/>
      </c>
      <c r="G13616" s="6">
        <f>IF(AND($H13616="ATMOS DISTILLATION",ISNUMBER(SEARCH("VPS",$I13616))=FALSE,LEFT($I13616,6)&lt;&gt;"VACUUM"),"CDU",IF($H13616="FLUID CAT CRACKING","FCC",IF(OR($H13616="HYDROCRACKING",$H13616="RESID_HYDROCRACKING"),"Hydrocracker",IF($H13616="REFORMING","Reformer",""))))</f>
        <v/>
      </c>
    </row>
    <row r="13617" spans="6:7">
      <c r="F13617" s="6">
        <f>IF($M13617="PADD I","PADD 1",IF($M13617="PADD II","PADD 2",IF($M13617="PADD III","PADD 3",IF($M13617="PADD IV","PADD 4",IF($M13617="PADD V","PADD 5","")))))</f>
        <v/>
      </c>
      <c r="G13617" s="6">
        <f>IF(AND($H13617="ATMOS DISTILLATION",ISNUMBER(SEARCH("VPS",$I13617))=FALSE,LEFT($I13617,6)&lt;&gt;"VACUUM"),"CDU",IF($H13617="FLUID CAT CRACKING","FCC",IF(OR($H13617="HYDROCRACKING",$H13617="RESID_HYDROCRACKING"),"Hydrocracker",IF($H13617="REFORMING","Reformer",""))))</f>
        <v/>
      </c>
    </row>
    <row r="13618" spans="6:7">
      <c r="F13618" s="6">
        <f>IF($M13618="PADD I","PADD 1",IF($M13618="PADD II","PADD 2",IF($M13618="PADD III","PADD 3",IF($M13618="PADD IV","PADD 4",IF($M13618="PADD V","PADD 5","")))))</f>
        <v/>
      </c>
      <c r="G13618" s="6">
        <f>IF(AND($H13618="ATMOS DISTILLATION",ISNUMBER(SEARCH("VPS",$I13618))=FALSE,LEFT($I13618,6)&lt;&gt;"VACUUM"),"CDU",IF($H13618="FLUID CAT CRACKING","FCC",IF(OR($H13618="HYDROCRACKING",$H13618="RESID_HYDROCRACKING"),"Hydrocracker",IF($H13618="REFORMING","Reformer",""))))</f>
        <v/>
      </c>
    </row>
    <row r="13619" spans="6:7">
      <c r="F13619" s="6">
        <f>IF($M13619="PADD I","PADD 1",IF($M13619="PADD II","PADD 2",IF($M13619="PADD III","PADD 3",IF($M13619="PADD IV","PADD 4",IF($M13619="PADD V","PADD 5","")))))</f>
        <v/>
      </c>
      <c r="G13619" s="6">
        <f>IF(AND($H13619="ATMOS DISTILLATION",ISNUMBER(SEARCH("VPS",$I13619))=FALSE,LEFT($I13619,6)&lt;&gt;"VACUUM"),"CDU",IF($H13619="FLUID CAT CRACKING","FCC",IF(OR($H13619="HYDROCRACKING",$H13619="RESID_HYDROCRACKING"),"Hydrocracker",IF($H13619="REFORMING","Reformer",""))))</f>
        <v/>
      </c>
    </row>
    <row r="13620" spans="6:7">
      <c r="F13620" s="6">
        <f>IF($M13620="PADD I","PADD 1",IF($M13620="PADD II","PADD 2",IF($M13620="PADD III","PADD 3",IF($M13620="PADD IV","PADD 4",IF($M13620="PADD V","PADD 5","")))))</f>
        <v/>
      </c>
      <c r="G13620" s="6">
        <f>IF(AND($H13620="ATMOS DISTILLATION",ISNUMBER(SEARCH("VPS",$I13620))=FALSE,LEFT($I13620,6)&lt;&gt;"VACUUM"),"CDU",IF($H13620="FLUID CAT CRACKING","FCC",IF(OR($H13620="HYDROCRACKING",$H13620="RESID_HYDROCRACKING"),"Hydrocracker",IF($H13620="REFORMING","Reformer",""))))</f>
        <v/>
      </c>
    </row>
    <row r="13621" spans="6:7">
      <c r="F13621" s="6">
        <f>IF($M13621="PADD I","PADD 1",IF($M13621="PADD II","PADD 2",IF($M13621="PADD III","PADD 3",IF($M13621="PADD IV","PADD 4",IF($M13621="PADD V","PADD 5","")))))</f>
        <v/>
      </c>
      <c r="G13621" s="6">
        <f>IF(AND($H13621="ATMOS DISTILLATION",ISNUMBER(SEARCH("VPS",$I13621))=FALSE,LEFT($I13621,6)&lt;&gt;"VACUUM"),"CDU",IF($H13621="FLUID CAT CRACKING","FCC",IF(OR($H13621="HYDROCRACKING",$H13621="RESID_HYDROCRACKING"),"Hydrocracker",IF($H13621="REFORMING","Reformer",""))))</f>
        <v/>
      </c>
    </row>
    <row r="13622" spans="6:7">
      <c r="F13622" s="6">
        <f>IF($M13622="PADD I","PADD 1",IF($M13622="PADD II","PADD 2",IF($M13622="PADD III","PADD 3",IF($M13622="PADD IV","PADD 4",IF($M13622="PADD V","PADD 5","")))))</f>
        <v/>
      </c>
      <c r="G13622" s="6">
        <f>IF(AND($H13622="ATMOS DISTILLATION",ISNUMBER(SEARCH("VPS",$I13622))=FALSE,LEFT($I13622,6)&lt;&gt;"VACUUM"),"CDU",IF($H13622="FLUID CAT CRACKING","FCC",IF(OR($H13622="HYDROCRACKING",$H13622="RESID_HYDROCRACKING"),"Hydrocracker",IF($H13622="REFORMING","Reformer",""))))</f>
        <v/>
      </c>
    </row>
    <row r="13623" spans="6:7">
      <c r="F13623" s="6">
        <f>IF($M13623="PADD I","PADD 1",IF($M13623="PADD II","PADD 2",IF($M13623="PADD III","PADD 3",IF($M13623="PADD IV","PADD 4",IF($M13623="PADD V","PADD 5","")))))</f>
        <v/>
      </c>
      <c r="G13623" s="6">
        <f>IF(AND($H13623="ATMOS DISTILLATION",ISNUMBER(SEARCH("VPS",$I13623))=FALSE,LEFT($I13623,6)&lt;&gt;"VACUUM"),"CDU",IF($H13623="FLUID CAT CRACKING","FCC",IF(OR($H13623="HYDROCRACKING",$H13623="RESID_HYDROCRACKING"),"Hydrocracker",IF($H13623="REFORMING","Reformer",""))))</f>
        <v/>
      </c>
    </row>
    <row r="13624" spans="6:7">
      <c r="F13624" s="6">
        <f>IF($M13624="PADD I","PADD 1",IF($M13624="PADD II","PADD 2",IF($M13624="PADD III","PADD 3",IF($M13624="PADD IV","PADD 4",IF($M13624="PADD V","PADD 5","")))))</f>
        <v/>
      </c>
      <c r="G13624" s="6">
        <f>IF(AND($H13624="ATMOS DISTILLATION",ISNUMBER(SEARCH("VPS",$I13624))=FALSE,LEFT($I13624,6)&lt;&gt;"VACUUM"),"CDU",IF($H13624="FLUID CAT CRACKING","FCC",IF(OR($H13624="HYDROCRACKING",$H13624="RESID_HYDROCRACKING"),"Hydrocracker",IF($H13624="REFORMING","Reformer",""))))</f>
        <v/>
      </c>
    </row>
    <row r="13625" spans="6:7">
      <c r="F13625" s="6">
        <f>IF($M13625="PADD I","PADD 1",IF($M13625="PADD II","PADD 2",IF($M13625="PADD III","PADD 3",IF($M13625="PADD IV","PADD 4",IF($M13625="PADD V","PADD 5","")))))</f>
        <v/>
      </c>
      <c r="G13625" s="6">
        <f>IF(AND($H13625="ATMOS DISTILLATION",ISNUMBER(SEARCH("VPS",$I13625))=FALSE,LEFT($I13625,6)&lt;&gt;"VACUUM"),"CDU",IF($H13625="FLUID CAT CRACKING","FCC",IF(OR($H13625="HYDROCRACKING",$H13625="RESID_HYDROCRACKING"),"Hydrocracker",IF($H13625="REFORMING","Reformer",""))))</f>
        <v/>
      </c>
    </row>
    <row r="13626" spans="6:7">
      <c r="F13626" s="6">
        <f>IF($M13626="PADD I","PADD 1",IF($M13626="PADD II","PADD 2",IF($M13626="PADD III","PADD 3",IF($M13626="PADD IV","PADD 4",IF($M13626="PADD V","PADD 5","")))))</f>
        <v/>
      </c>
      <c r="G13626" s="6">
        <f>IF(AND($H13626="ATMOS DISTILLATION",ISNUMBER(SEARCH("VPS",$I13626))=FALSE,LEFT($I13626,6)&lt;&gt;"VACUUM"),"CDU",IF($H13626="FLUID CAT CRACKING","FCC",IF(OR($H13626="HYDROCRACKING",$H13626="RESID_HYDROCRACKING"),"Hydrocracker",IF($H13626="REFORMING","Reformer",""))))</f>
        <v/>
      </c>
    </row>
    <row r="13627" spans="6:7">
      <c r="F13627" s="6">
        <f>IF($M13627="PADD I","PADD 1",IF($M13627="PADD II","PADD 2",IF($M13627="PADD III","PADD 3",IF($M13627="PADD IV","PADD 4",IF($M13627="PADD V","PADD 5","")))))</f>
        <v/>
      </c>
      <c r="G13627" s="6">
        <f>IF(AND($H13627="ATMOS DISTILLATION",ISNUMBER(SEARCH("VPS",$I13627))=FALSE,LEFT($I13627,6)&lt;&gt;"VACUUM"),"CDU",IF($H13627="FLUID CAT CRACKING","FCC",IF(OR($H13627="HYDROCRACKING",$H13627="RESID_HYDROCRACKING"),"Hydrocracker",IF($H13627="REFORMING","Reformer",""))))</f>
        <v/>
      </c>
    </row>
    <row r="13628" spans="6:7">
      <c r="F13628" s="6">
        <f>IF($M13628="PADD I","PADD 1",IF($M13628="PADD II","PADD 2",IF($M13628="PADD III","PADD 3",IF($M13628="PADD IV","PADD 4",IF($M13628="PADD V","PADD 5","")))))</f>
        <v/>
      </c>
      <c r="G13628" s="6">
        <f>IF(AND($H13628="ATMOS DISTILLATION",ISNUMBER(SEARCH("VPS",$I13628))=FALSE,LEFT($I13628,6)&lt;&gt;"VACUUM"),"CDU",IF($H13628="FLUID CAT CRACKING","FCC",IF(OR($H13628="HYDROCRACKING",$H13628="RESID_HYDROCRACKING"),"Hydrocracker",IF($H13628="REFORMING","Reformer",""))))</f>
        <v/>
      </c>
    </row>
    <row r="13629" spans="6:7">
      <c r="F13629" s="6">
        <f>IF($M13629="PADD I","PADD 1",IF($M13629="PADD II","PADD 2",IF($M13629="PADD III","PADD 3",IF($M13629="PADD IV","PADD 4",IF($M13629="PADD V","PADD 5","")))))</f>
        <v/>
      </c>
      <c r="G13629" s="6">
        <f>IF(AND($H13629="ATMOS DISTILLATION",ISNUMBER(SEARCH("VPS",$I13629))=FALSE,LEFT($I13629,6)&lt;&gt;"VACUUM"),"CDU",IF($H13629="FLUID CAT CRACKING","FCC",IF(OR($H13629="HYDROCRACKING",$H13629="RESID_HYDROCRACKING"),"Hydrocracker",IF($H13629="REFORMING","Reformer",""))))</f>
        <v/>
      </c>
    </row>
    <row r="13630" spans="6:7">
      <c r="F13630" s="6">
        <f>IF($M13630="PADD I","PADD 1",IF($M13630="PADD II","PADD 2",IF($M13630="PADD III","PADD 3",IF($M13630="PADD IV","PADD 4",IF($M13630="PADD V","PADD 5","")))))</f>
        <v/>
      </c>
      <c r="G13630" s="6">
        <f>IF(AND($H13630="ATMOS DISTILLATION",ISNUMBER(SEARCH("VPS",$I13630))=FALSE,LEFT($I13630,6)&lt;&gt;"VACUUM"),"CDU",IF($H13630="FLUID CAT CRACKING","FCC",IF(OR($H13630="HYDROCRACKING",$H13630="RESID_HYDROCRACKING"),"Hydrocracker",IF($H13630="REFORMING","Reformer",""))))</f>
        <v/>
      </c>
    </row>
    <row r="13631" spans="6:7">
      <c r="F13631" s="6">
        <f>IF($M13631="PADD I","PADD 1",IF($M13631="PADD II","PADD 2",IF($M13631="PADD III","PADD 3",IF($M13631="PADD IV","PADD 4",IF($M13631="PADD V","PADD 5","")))))</f>
        <v/>
      </c>
      <c r="G13631" s="6">
        <f>IF(AND($H13631="ATMOS DISTILLATION",ISNUMBER(SEARCH("VPS",$I13631))=FALSE,LEFT($I13631,6)&lt;&gt;"VACUUM"),"CDU",IF($H13631="FLUID CAT CRACKING","FCC",IF(OR($H13631="HYDROCRACKING",$H13631="RESID_HYDROCRACKING"),"Hydrocracker",IF($H13631="REFORMING","Reformer",""))))</f>
        <v/>
      </c>
    </row>
    <row r="13632" spans="6:7">
      <c r="F13632" s="6">
        <f>IF($M13632="PADD I","PADD 1",IF($M13632="PADD II","PADD 2",IF($M13632="PADD III","PADD 3",IF($M13632="PADD IV","PADD 4",IF($M13632="PADD V","PADD 5","")))))</f>
        <v/>
      </c>
      <c r="G13632" s="6">
        <f>IF(AND($H13632="ATMOS DISTILLATION",ISNUMBER(SEARCH("VPS",$I13632))=FALSE,LEFT($I13632,6)&lt;&gt;"VACUUM"),"CDU",IF($H13632="FLUID CAT CRACKING","FCC",IF(OR($H13632="HYDROCRACKING",$H13632="RESID_HYDROCRACKING"),"Hydrocracker",IF($H13632="REFORMING","Reformer",""))))</f>
        <v/>
      </c>
    </row>
    <row r="13633" spans="6:7">
      <c r="F13633" s="6">
        <f>IF($M13633="PADD I","PADD 1",IF($M13633="PADD II","PADD 2",IF($M13633="PADD III","PADD 3",IF($M13633="PADD IV","PADD 4",IF($M13633="PADD V","PADD 5","")))))</f>
        <v/>
      </c>
      <c r="G13633" s="6">
        <f>IF(AND($H13633="ATMOS DISTILLATION",ISNUMBER(SEARCH("VPS",$I13633))=FALSE,LEFT($I13633,6)&lt;&gt;"VACUUM"),"CDU",IF($H13633="FLUID CAT CRACKING","FCC",IF(OR($H13633="HYDROCRACKING",$H13633="RESID_HYDROCRACKING"),"Hydrocracker",IF($H13633="REFORMING","Reformer",""))))</f>
        <v/>
      </c>
    </row>
    <row r="13634" spans="6:7">
      <c r="F13634" s="6">
        <f>IF($M13634="PADD I","PADD 1",IF($M13634="PADD II","PADD 2",IF($M13634="PADD III","PADD 3",IF($M13634="PADD IV","PADD 4",IF($M13634="PADD V","PADD 5","")))))</f>
        <v/>
      </c>
      <c r="G13634" s="6">
        <f>IF(AND($H13634="ATMOS DISTILLATION",ISNUMBER(SEARCH("VPS",$I13634))=FALSE,LEFT($I13634,6)&lt;&gt;"VACUUM"),"CDU",IF($H13634="FLUID CAT CRACKING","FCC",IF(OR($H13634="HYDROCRACKING",$H13634="RESID_HYDROCRACKING"),"Hydrocracker",IF($H13634="REFORMING","Reformer",""))))</f>
        <v/>
      </c>
    </row>
    <row r="13635" spans="6:7">
      <c r="F13635" s="6">
        <f>IF($M13635="PADD I","PADD 1",IF($M13635="PADD II","PADD 2",IF($M13635="PADD III","PADD 3",IF($M13635="PADD IV","PADD 4",IF($M13635="PADD V","PADD 5","")))))</f>
        <v/>
      </c>
      <c r="G13635" s="6">
        <f>IF(AND($H13635="ATMOS DISTILLATION",ISNUMBER(SEARCH("VPS",$I13635))=FALSE,LEFT($I13635,6)&lt;&gt;"VACUUM"),"CDU",IF($H13635="FLUID CAT CRACKING","FCC",IF(OR($H13635="HYDROCRACKING",$H13635="RESID_HYDROCRACKING"),"Hydrocracker",IF($H13635="REFORMING","Reformer",""))))</f>
        <v/>
      </c>
    </row>
    <row r="13636" spans="6:7">
      <c r="F13636" s="6">
        <f>IF($M13636="PADD I","PADD 1",IF($M13636="PADD II","PADD 2",IF($M13636="PADD III","PADD 3",IF($M13636="PADD IV","PADD 4",IF($M13636="PADD V","PADD 5","")))))</f>
        <v/>
      </c>
      <c r="G13636" s="6">
        <f>IF(AND($H13636="ATMOS DISTILLATION",ISNUMBER(SEARCH("VPS",$I13636))=FALSE,LEFT($I13636,6)&lt;&gt;"VACUUM"),"CDU",IF($H13636="FLUID CAT CRACKING","FCC",IF(OR($H13636="HYDROCRACKING",$H13636="RESID_HYDROCRACKING"),"Hydrocracker",IF($H13636="REFORMING","Reformer",""))))</f>
        <v/>
      </c>
    </row>
    <row r="13637" spans="6:7">
      <c r="F13637" s="6">
        <f>IF($M13637="PADD I","PADD 1",IF($M13637="PADD II","PADD 2",IF($M13637="PADD III","PADD 3",IF($M13637="PADD IV","PADD 4",IF($M13637="PADD V","PADD 5","")))))</f>
        <v/>
      </c>
      <c r="G13637" s="6">
        <f>IF(AND($H13637="ATMOS DISTILLATION",ISNUMBER(SEARCH("VPS",$I13637))=FALSE,LEFT($I13637,6)&lt;&gt;"VACUUM"),"CDU",IF($H13637="FLUID CAT CRACKING","FCC",IF(OR($H13637="HYDROCRACKING",$H13637="RESID_HYDROCRACKING"),"Hydrocracker",IF($H13637="REFORMING","Reformer",""))))</f>
        <v/>
      </c>
    </row>
    <row r="13638" spans="6:7">
      <c r="F13638" s="6">
        <f>IF($M13638="PADD I","PADD 1",IF($M13638="PADD II","PADD 2",IF($M13638="PADD III","PADD 3",IF($M13638="PADD IV","PADD 4",IF($M13638="PADD V","PADD 5","")))))</f>
        <v/>
      </c>
      <c r="G13638" s="6">
        <f>IF(AND($H13638="ATMOS DISTILLATION",ISNUMBER(SEARCH("VPS",$I13638))=FALSE,LEFT($I13638,6)&lt;&gt;"VACUUM"),"CDU",IF($H13638="FLUID CAT CRACKING","FCC",IF(OR($H13638="HYDROCRACKING",$H13638="RESID_HYDROCRACKING"),"Hydrocracker",IF($H13638="REFORMING","Reformer",""))))</f>
        <v/>
      </c>
    </row>
    <row r="13639" spans="6:7">
      <c r="F13639" s="6">
        <f>IF($M13639="PADD I","PADD 1",IF($M13639="PADD II","PADD 2",IF($M13639="PADD III","PADD 3",IF($M13639="PADD IV","PADD 4",IF($M13639="PADD V","PADD 5","")))))</f>
        <v/>
      </c>
      <c r="G13639" s="6">
        <f>IF(AND($H13639="ATMOS DISTILLATION",ISNUMBER(SEARCH("VPS",$I13639))=FALSE,LEFT($I13639,6)&lt;&gt;"VACUUM"),"CDU",IF($H13639="FLUID CAT CRACKING","FCC",IF(OR($H13639="HYDROCRACKING",$H13639="RESID_HYDROCRACKING"),"Hydrocracker",IF($H13639="REFORMING","Reformer",""))))</f>
        <v/>
      </c>
    </row>
    <row r="13640" spans="6:7">
      <c r="F13640" s="6">
        <f>IF($M13640="PADD I","PADD 1",IF($M13640="PADD II","PADD 2",IF($M13640="PADD III","PADD 3",IF($M13640="PADD IV","PADD 4",IF($M13640="PADD V","PADD 5","")))))</f>
        <v/>
      </c>
      <c r="G13640" s="6">
        <f>IF(AND($H13640="ATMOS DISTILLATION",ISNUMBER(SEARCH("VPS",$I13640))=FALSE,LEFT($I13640,6)&lt;&gt;"VACUUM"),"CDU",IF($H13640="FLUID CAT CRACKING","FCC",IF(OR($H13640="HYDROCRACKING",$H13640="RESID_HYDROCRACKING"),"Hydrocracker",IF($H13640="REFORMING","Reformer",""))))</f>
        <v/>
      </c>
    </row>
    <row r="13641" spans="6:7">
      <c r="F13641" s="6">
        <f>IF($M13641="PADD I","PADD 1",IF($M13641="PADD II","PADD 2",IF($M13641="PADD III","PADD 3",IF($M13641="PADD IV","PADD 4",IF($M13641="PADD V","PADD 5","")))))</f>
        <v/>
      </c>
      <c r="G13641" s="6">
        <f>IF(AND($H13641="ATMOS DISTILLATION",ISNUMBER(SEARCH("VPS",$I13641))=FALSE,LEFT($I13641,6)&lt;&gt;"VACUUM"),"CDU",IF($H13641="FLUID CAT CRACKING","FCC",IF(OR($H13641="HYDROCRACKING",$H13641="RESID_HYDROCRACKING"),"Hydrocracker",IF($H13641="REFORMING","Reformer",""))))</f>
        <v/>
      </c>
    </row>
    <row r="13642" spans="6:7">
      <c r="F13642" s="6">
        <f>IF($M13642="PADD I","PADD 1",IF($M13642="PADD II","PADD 2",IF($M13642="PADD III","PADD 3",IF($M13642="PADD IV","PADD 4",IF($M13642="PADD V","PADD 5","")))))</f>
        <v/>
      </c>
      <c r="G13642" s="6">
        <f>IF(AND($H13642="ATMOS DISTILLATION",ISNUMBER(SEARCH("VPS",$I13642))=FALSE,LEFT($I13642,6)&lt;&gt;"VACUUM"),"CDU",IF($H13642="FLUID CAT CRACKING","FCC",IF(OR($H13642="HYDROCRACKING",$H13642="RESID_HYDROCRACKING"),"Hydrocracker",IF($H13642="REFORMING","Reformer",""))))</f>
        <v/>
      </c>
    </row>
    <row r="13643" spans="6:7">
      <c r="F13643" s="6">
        <f>IF($M13643="PADD I","PADD 1",IF($M13643="PADD II","PADD 2",IF($M13643="PADD III","PADD 3",IF($M13643="PADD IV","PADD 4",IF($M13643="PADD V","PADD 5","")))))</f>
        <v/>
      </c>
      <c r="G13643" s="6">
        <f>IF(AND($H13643="ATMOS DISTILLATION",ISNUMBER(SEARCH("VPS",$I13643))=FALSE,LEFT($I13643,6)&lt;&gt;"VACUUM"),"CDU",IF($H13643="FLUID CAT CRACKING","FCC",IF(OR($H13643="HYDROCRACKING",$H13643="RESID_HYDROCRACKING"),"Hydrocracker",IF($H13643="REFORMING","Reformer",""))))</f>
        <v/>
      </c>
    </row>
    <row r="13644" spans="6:7">
      <c r="F13644" s="6">
        <f>IF($M13644="PADD I","PADD 1",IF($M13644="PADD II","PADD 2",IF($M13644="PADD III","PADD 3",IF($M13644="PADD IV","PADD 4",IF($M13644="PADD V","PADD 5","")))))</f>
        <v/>
      </c>
      <c r="G13644" s="6">
        <f>IF(AND($H13644="ATMOS DISTILLATION",ISNUMBER(SEARCH("VPS",$I13644))=FALSE,LEFT($I13644,6)&lt;&gt;"VACUUM"),"CDU",IF($H13644="FLUID CAT CRACKING","FCC",IF(OR($H13644="HYDROCRACKING",$H13644="RESID_HYDROCRACKING"),"Hydrocracker",IF($H13644="REFORMING","Reformer",""))))</f>
        <v/>
      </c>
    </row>
    <row r="13645" spans="6:7">
      <c r="F13645" s="6">
        <f>IF($M13645="PADD I","PADD 1",IF($M13645="PADD II","PADD 2",IF($M13645="PADD III","PADD 3",IF($M13645="PADD IV","PADD 4",IF($M13645="PADD V","PADD 5","")))))</f>
        <v/>
      </c>
      <c r="G13645" s="6">
        <f>IF(AND($H13645="ATMOS DISTILLATION",ISNUMBER(SEARCH("VPS",$I13645))=FALSE,LEFT($I13645,6)&lt;&gt;"VACUUM"),"CDU",IF($H13645="FLUID CAT CRACKING","FCC",IF(OR($H13645="HYDROCRACKING",$H13645="RESID_HYDROCRACKING"),"Hydrocracker",IF($H13645="REFORMING","Reformer",""))))</f>
        <v/>
      </c>
    </row>
    <row r="13646" spans="6:7">
      <c r="F13646" s="6">
        <f>IF($M13646="PADD I","PADD 1",IF($M13646="PADD II","PADD 2",IF($M13646="PADD III","PADD 3",IF($M13646="PADD IV","PADD 4",IF($M13646="PADD V","PADD 5","")))))</f>
        <v/>
      </c>
      <c r="G13646" s="6">
        <f>IF(AND($H13646="ATMOS DISTILLATION",ISNUMBER(SEARCH("VPS",$I13646))=FALSE,LEFT($I13646,6)&lt;&gt;"VACUUM"),"CDU",IF($H13646="FLUID CAT CRACKING","FCC",IF(OR($H13646="HYDROCRACKING",$H13646="RESID_HYDROCRACKING"),"Hydrocracker",IF($H13646="REFORMING","Reformer",""))))</f>
        <v/>
      </c>
    </row>
    <row r="13647" spans="6:7">
      <c r="F13647" s="6">
        <f>IF($M13647="PADD I","PADD 1",IF($M13647="PADD II","PADD 2",IF($M13647="PADD III","PADD 3",IF($M13647="PADD IV","PADD 4",IF($M13647="PADD V","PADD 5","")))))</f>
        <v/>
      </c>
      <c r="G13647" s="6">
        <f>IF(AND($H13647="ATMOS DISTILLATION",ISNUMBER(SEARCH("VPS",$I13647))=FALSE,LEFT($I13647,6)&lt;&gt;"VACUUM"),"CDU",IF($H13647="FLUID CAT CRACKING","FCC",IF(OR($H13647="HYDROCRACKING",$H13647="RESID_HYDROCRACKING"),"Hydrocracker",IF($H13647="REFORMING","Reformer",""))))</f>
        <v/>
      </c>
    </row>
    <row r="13648" spans="6:7">
      <c r="F13648" s="6">
        <f>IF($M13648="PADD I","PADD 1",IF($M13648="PADD II","PADD 2",IF($M13648="PADD III","PADD 3",IF($M13648="PADD IV","PADD 4",IF($M13648="PADD V","PADD 5","")))))</f>
        <v/>
      </c>
      <c r="G13648" s="6">
        <f>IF(AND($H13648="ATMOS DISTILLATION",ISNUMBER(SEARCH("VPS",$I13648))=FALSE,LEFT($I13648,6)&lt;&gt;"VACUUM"),"CDU",IF($H13648="FLUID CAT CRACKING","FCC",IF(OR($H13648="HYDROCRACKING",$H13648="RESID_HYDROCRACKING"),"Hydrocracker",IF($H13648="REFORMING","Reformer",""))))</f>
        <v/>
      </c>
    </row>
    <row r="13649" spans="6:7">
      <c r="F13649" s="6">
        <f>IF($M13649="PADD I","PADD 1",IF($M13649="PADD II","PADD 2",IF($M13649="PADD III","PADD 3",IF($M13649="PADD IV","PADD 4",IF($M13649="PADD V","PADD 5","")))))</f>
        <v/>
      </c>
      <c r="G13649" s="6">
        <f>IF(AND($H13649="ATMOS DISTILLATION",ISNUMBER(SEARCH("VPS",$I13649))=FALSE,LEFT($I13649,6)&lt;&gt;"VACUUM"),"CDU",IF($H13649="FLUID CAT CRACKING","FCC",IF(OR($H13649="HYDROCRACKING",$H13649="RESID_HYDROCRACKING"),"Hydrocracker",IF($H13649="REFORMING","Reformer",""))))</f>
        <v/>
      </c>
    </row>
    <row r="13650" spans="6:7">
      <c r="F13650" s="6">
        <f>IF($M13650="PADD I","PADD 1",IF($M13650="PADD II","PADD 2",IF($M13650="PADD III","PADD 3",IF($M13650="PADD IV","PADD 4",IF($M13650="PADD V","PADD 5","")))))</f>
        <v/>
      </c>
      <c r="G13650" s="6">
        <f>IF(AND($H13650="ATMOS DISTILLATION",ISNUMBER(SEARCH("VPS",$I13650))=FALSE,LEFT($I13650,6)&lt;&gt;"VACUUM"),"CDU",IF($H13650="FLUID CAT CRACKING","FCC",IF(OR($H13650="HYDROCRACKING",$H13650="RESID_HYDROCRACKING"),"Hydrocracker",IF($H13650="REFORMING","Reformer",""))))</f>
        <v/>
      </c>
    </row>
    <row r="13651" spans="6:7">
      <c r="F13651" s="6">
        <f>IF($M13651="PADD I","PADD 1",IF($M13651="PADD II","PADD 2",IF($M13651="PADD III","PADD 3",IF($M13651="PADD IV","PADD 4",IF($M13651="PADD V","PADD 5","")))))</f>
        <v/>
      </c>
      <c r="G13651" s="6">
        <f>IF(AND($H13651="ATMOS DISTILLATION",ISNUMBER(SEARCH("VPS",$I13651))=FALSE,LEFT($I13651,6)&lt;&gt;"VACUUM"),"CDU",IF($H13651="FLUID CAT CRACKING","FCC",IF(OR($H13651="HYDROCRACKING",$H13651="RESID_HYDROCRACKING"),"Hydrocracker",IF($H13651="REFORMING","Reformer",""))))</f>
        <v/>
      </c>
    </row>
    <row r="13652" spans="6:7">
      <c r="F13652" s="6">
        <f>IF($M13652="PADD I","PADD 1",IF($M13652="PADD II","PADD 2",IF($M13652="PADD III","PADD 3",IF($M13652="PADD IV","PADD 4",IF($M13652="PADD V","PADD 5","")))))</f>
        <v/>
      </c>
      <c r="G13652" s="6">
        <f>IF(AND($H13652="ATMOS DISTILLATION",ISNUMBER(SEARCH("VPS",$I13652))=FALSE,LEFT($I13652,6)&lt;&gt;"VACUUM"),"CDU",IF($H13652="FLUID CAT CRACKING","FCC",IF(OR($H13652="HYDROCRACKING",$H13652="RESID_HYDROCRACKING"),"Hydrocracker",IF($H13652="REFORMING","Reformer",""))))</f>
        <v/>
      </c>
    </row>
    <row r="13653" spans="6:7">
      <c r="F13653" s="6">
        <f>IF($M13653="PADD I","PADD 1",IF($M13653="PADD II","PADD 2",IF($M13653="PADD III","PADD 3",IF($M13653="PADD IV","PADD 4",IF($M13653="PADD V","PADD 5","")))))</f>
        <v/>
      </c>
      <c r="G13653" s="6">
        <f>IF(AND($H13653="ATMOS DISTILLATION",ISNUMBER(SEARCH("VPS",$I13653))=FALSE,LEFT($I13653,6)&lt;&gt;"VACUUM"),"CDU",IF($H13653="FLUID CAT CRACKING","FCC",IF(OR($H13653="HYDROCRACKING",$H13653="RESID_HYDROCRACKING"),"Hydrocracker",IF($H13653="REFORMING","Reformer",""))))</f>
        <v/>
      </c>
    </row>
    <row r="13654" spans="6:7">
      <c r="F13654" s="6">
        <f>IF($M13654="PADD I","PADD 1",IF($M13654="PADD II","PADD 2",IF($M13654="PADD III","PADD 3",IF($M13654="PADD IV","PADD 4",IF($M13654="PADD V","PADD 5","")))))</f>
        <v/>
      </c>
      <c r="G13654" s="6">
        <f>IF(AND($H13654="ATMOS DISTILLATION",ISNUMBER(SEARCH("VPS",$I13654))=FALSE,LEFT($I13654,6)&lt;&gt;"VACUUM"),"CDU",IF($H13654="FLUID CAT CRACKING","FCC",IF(OR($H13654="HYDROCRACKING",$H13654="RESID_HYDROCRACKING"),"Hydrocracker",IF($H13654="REFORMING","Reformer",""))))</f>
        <v/>
      </c>
    </row>
    <row r="13655" spans="6:7">
      <c r="F13655" s="6">
        <f>IF($M13655="PADD I","PADD 1",IF($M13655="PADD II","PADD 2",IF($M13655="PADD III","PADD 3",IF($M13655="PADD IV","PADD 4",IF($M13655="PADD V","PADD 5","")))))</f>
        <v/>
      </c>
      <c r="G13655" s="6">
        <f>IF(AND($H13655="ATMOS DISTILLATION",ISNUMBER(SEARCH("VPS",$I13655))=FALSE,LEFT($I13655,6)&lt;&gt;"VACUUM"),"CDU",IF($H13655="FLUID CAT CRACKING","FCC",IF(OR($H13655="HYDROCRACKING",$H13655="RESID_HYDROCRACKING"),"Hydrocracker",IF($H13655="REFORMING","Reformer",""))))</f>
        <v/>
      </c>
    </row>
    <row r="13656" spans="6:7">
      <c r="F13656" s="6">
        <f>IF($M13656="PADD I","PADD 1",IF($M13656="PADD II","PADD 2",IF($M13656="PADD III","PADD 3",IF($M13656="PADD IV","PADD 4",IF($M13656="PADD V","PADD 5","")))))</f>
        <v/>
      </c>
      <c r="G13656" s="6">
        <f>IF(AND($H13656="ATMOS DISTILLATION",ISNUMBER(SEARCH("VPS",$I13656))=FALSE,LEFT($I13656,6)&lt;&gt;"VACUUM"),"CDU",IF($H13656="FLUID CAT CRACKING","FCC",IF(OR($H13656="HYDROCRACKING",$H13656="RESID_HYDROCRACKING"),"Hydrocracker",IF($H13656="REFORMING","Reformer",""))))</f>
        <v/>
      </c>
    </row>
    <row r="13657" spans="6:7">
      <c r="F13657" s="6">
        <f>IF($M13657="PADD I","PADD 1",IF($M13657="PADD II","PADD 2",IF($M13657="PADD III","PADD 3",IF($M13657="PADD IV","PADD 4",IF($M13657="PADD V","PADD 5","")))))</f>
        <v/>
      </c>
      <c r="G13657" s="6">
        <f>IF(AND($H13657="ATMOS DISTILLATION",ISNUMBER(SEARCH("VPS",$I13657))=FALSE,LEFT($I13657,6)&lt;&gt;"VACUUM"),"CDU",IF($H13657="FLUID CAT CRACKING","FCC",IF(OR($H13657="HYDROCRACKING",$H13657="RESID_HYDROCRACKING"),"Hydrocracker",IF($H13657="REFORMING","Reformer",""))))</f>
        <v/>
      </c>
    </row>
    <row r="13658" spans="6:7">
      <c r="F13658" s="6">
        <f>IF($M13658="PADD I","PADD 1",IF($M13658="PADD II","PADD 2",IF($M13658="PADD III","PADD 3",IF($M13658="PADD IV","PADD 4",IF($M13658="PADD V","PADD 5","")))))</f>
        <v/>
      </c>
      <c r="G13658" s="6">
        <f>IF(AND($H13658="ATMOS DISTILLATION",ISNUMBER(SEARCH("VPS",$I13658))=FALSE,LEFT($I13658,6)&lt;&gt;"VACUUM"),"CDU",IF($H13658="FLUID CAT CRACKING","FCC",IF(OR($H13658="HYDROCRACKING",$H13658="RESID_HYDROCRACKING"),"Hydrocracker",IF($H13658="REFORMING","Reformer",""))))</f>
        <v/>
      </c>
    </row>
    <row r="13659" spans="6:7">
      <c r="F13659" s="6">
        <f>IF($M13659="PADD I","PADD 1",IF($M13659="PADD II","PADD 2",IF($M13659="PADD III","PADD 3",IF($M13659="PADD IV","PADD 4",IF($M13659="PADD V","PADD 5","")))))</f>
        <v/>
      </c>
      <c r="G13659" s="6">
        <f>IF(AND($H13659="ATMOS DISTILLATION",ISNUMBER(SEARCH("VPS",$I13659))=FALSE,LEFT($I13659,6)&lt;&gt;"VACUUM"),"CDU",IF($H13659="FLUID CAT CRACKING","FCC",IF(OR($H13659="HYDROCRACKING",$H13659="RESID_HYDROCRACKING"),"Hydrocracker",IF($H13659="REFORMING","Reformer",""))))</f>
        <v/>
      </c>
    </row>
    <row r="13660" spans="6:7">
      <c r="F13660" s="6">
        <f>IF($M13660="PADD I","PADD 1",IF($M13660="PADD II","PADD 2",IF($M13660="PADD III","PADD 3",IF($M13660="PADD IV","PADD 4",IF($M13660="PADD V","PADD 5","")))))</f>
        <v/>
      </c>
      <c r="G13660" s="6">
        <f>IF(AND($H13660="ATMOS DISTILLATION",ISNUMBER(SEARCH("VPS",$I13660))=FALSE,LEFT($I13660,6)&lt;&gt;"VACUUM"),"CDU",IF($H13660="FLUID CAT CRACKING","FCC",IF(OR($H13660="HYDROCRACKING",$H13660="RESID_HYDROCRACKING"),"Hydrocracker",IF($H13660="REFORMING","Reformer",""))))</f>
        <v/>
      </c>
    </row>
    <row r="13661" spans="6:7">
      <c r="F13661" s="6">
        <f>IF($M13661="PADD I","PADD 1",IF($M13661="PADD II","PADD 2",IF($M13661="PADD III","PADD 3",IF($M13661="PADD IV","PADD 4",IF($M13661="PADD V","PADD 5","")))))</f>
        <v/>
      </c>
      <c r="G13661" s="6">
        <f>IF(AND($H13661="ATMOS DISTILLATION",ISNUMBER(SEARCH("VPS",$I13661))=FALSE,LEFT($I13661,6)&lt;&gt;"VACUUM"),"CDU",IF($H13661="FLUID CAT CRACKING","FCC",IF(OR($H13661="HYDROCRACKING",$H13661="RESID_HYDROCRACKING"),"Hydrocracker",IF($H13661="REFORMING","Reformer",""))))</f>
        <v/>
      </c>
    </row>
    <row r="13662" spans="6:7">
      <c r="F13662" s="6">
        <f>IF($M13662="PADD I","PADD 1",IF($M13662="PADD II","PADD 2",IF($M13662="PADD III","PADD 3",IF($M13662="PADD IV","PADD 4",IF($M13662="PADD V","PADD 5","")))))</f>
        <v/>
      </c>
      <c r="G13662" s="6">
        <f>IF(AND($H13662="ATMOS DISTILLATION",ISNUMBER(SEARCH("VPS",$I13662))=FALSE,LEFT($I13662,6)&lt;&gt;"VACUUM"),"CDU",IF($H13662="FLUID CAT CRACKING","FCC",IF(OR($H13662="HYDROCRACKING",$H13662="RESID_HYDROCRACKING"),"Hydrocracker",IF($H13662="REFORMING","Reformer",""))))</f>
        <v/>
      </c>
    </row>
    <row r="13663" spans="6:7">
      <c r="F13663" s="6">
        <f>IF($M13663="PADD I","PADD 1",IF($M13663="PADD II","PADD 2",IF($M13663="PADD III","PADD 3",IF($M13663="PADD IV","PADD 4",IF($M13663="PADD V","PADD 5","")))))</f>
        <v/>
      </c>
      <c r="G13663" s="6">
        <f>IF(AND($H13663="ATMOS DISTILLATION",ISNUMBER(SEARCH("VPS",$I13663))=FALSE,LEFT($I13663,6)&lt;&gt;"VACUUM"),"CDU",IF($H13663="FLUID CAT CRACKING","FCC",IF(OR($H13663="HYDROCRACKING",$H13663="RESID_HYDROCRACKING"),"Hydrocracker",IF($H13663="REFORMING","Reformer",""))))</f>
        <v/>
      </c>
    </row>
    <row r="13664" spans="6:7">
      <c r="F13664" s="6">
        <f>IF($M13664="PADD I","PADD 1",IF($M13664="PADD II","PADD 2",IF($M13664="PADD III","PADD 3",IF($M13664="PADD IV","PADD 4",IF($M13664="PADD V","PADD 5","")))))</f>
        <v/>
      </c>
      <c r="G13664" s="6">
        <f>IF(AND($H13664="ATMOS DISTILLATION",ISNUMBER(SEARCH("VPS",$I13664))=FALSE,LEFT($I13664,6)&lt;&gt;"VACUUM"),"CDU",IF($H13664="FLUID CAT CRACKING","FCC",IF(OR($H13664="HYDROCRACKING",$H13664="RESID_HYDROCRACKING"),"Hydrocracker",IF($H13664="REFORMING","Reformer",""))))</f>
        <v/>
      </c>
    </row>
    <row r="13665" spans="6:7">
      <c r="F13665" s="6">
        <f>IF($M13665="PADD I","PADD 1",IF($M13665="PADD II","PADD 2",IF($M13665="PADD III","PADD 3",IF($M13665="PADD IV","PADD 4",IF($M13665="PADD V","PADD 5","")))))</f>
        <v/>
      </c>
      <c r="G13665" s="6">
        <f>IF(AND($H13665="ATMOS DISTILLATION",ISNUMBER(SEARCH("VPS",$I13665))=FALSE,LEFT($I13665,6)&lt;&gt;"VACUUM"),"CDU",IF($H13665="FLUID CAT CRACKING","FCC",IF(OR($H13665="HYDROCRACKING",$H13665="RESID_HYDROCRACKING"),"Hydrocracker",IF($H13665="REFORMING","Reformer",""))))</f>
        <v/>
      </c>
    </row>
    <row r="13666" spans="6:7">
      <c r="F13666" s="6">
        <f>IF($M13666="PADD I","PADD 1",IF($M13666="PADD II","PADD 2",IF($M13666="PADD III","PADD 3",IF($M13666="PADD IV","PADD 4",IF($M13666="PADD V","PADD 5","")))))</f>
        <v/>
      </c>
      <c r="G13666" s="6">
        <f>IF(AND($H13666="ATMOS DISTILLATION",ISNUMBER(SEARCH("VPS",$I13666))=FALSE,LEFT($I13666,6)&lt;&gt;"VACUUM"),"CDU",IF($H13666="FLUID CAT CRACKING","FCC",IF(OR($H13666="HYDROCRACKING",$H13666="RESID_HYDROCRACKING"),"Hydrocracker",IF($H13666="REFORMING","Reformer",""))))</f>
        <v/>
      </c>
    </row>
    <row r="13667" spans="6:7">
      <c r="F13667" s="6">
        <f>IF($M13667="PADD I","PADD 1",IF($M13667="PADD II","PADD 2",IF($M13667="PADD III","PADD 3",IF($M13667="PADD IV","PADD 4",IF($M13667="PADD V","PADD 5","")))))</f>
        <v/>
      </c>
      <c r="G13667" s="6">
        <f>IF(AND($H13667="ATMOS DISTILLATION",ISNUMBER(SEARCH("VPS",$I13667))=FALSE,LEFT($I13667,6)&lt;&gt;"VACUUM"),"CDU",IF($H13667="FLUID CAT CRACKING","FCC",IF(OR($H13667="HYDROCRACKING",$H13667="RESID_HYDROCRACKING"),"Hydrocracker",IF($H13667="REFORMING","Reformer",""))))</f>
        <v/>
      </c>
    </row>
    <row r="13668" spans="6:7">
      <c r="F13668" s="6">
        <f>IF($M13668="PADD I","PADD 1",IF($M13668="PADD II","PADD 2",IF($M13668="PADD III","PADD 3",IF($M13668="PADD IV","PADD 4",IF($M13668="PADD V","PADD 5","")))))</f>
        <v/>
      </c>
      <c r="G13668" s="6">
        <f>IF(AND($H13668="ATMOS DISTILLATION",ISNUMBER(SEARCH("VPS",$I13668))=FALSE,LEFT($I13668,6)&lt;&gt;"VACUUM"),"CDU",IF($H13668="FLUID CAT CRACKING","FCC",IF(OR($H13668="HYDROCRACKING",$H13668="RESID_HYDROCRACKING"),"Hydrocracker",IF($H13668="REFORMING","Reformer",""))))</f>
        <v/>
      </c>
    </row>
    <row r="13669" spans="6:7">
      <c r="F13669" s="6">
        <f>IF($M13669="PADD I","PADD 1",IF($M13669="PADD II","PADD 2",IF($M13669="PADD III","PADD 3",IF($M13669="PADD IV","PADD 4",IF($M13669="PADD V","PADD 5","")))))</f>
        <v/>
      </c>
      <c r="G13669" s="6">
        <f>IF(AND($H13669="ATMOS DISTILLATION",ISNUMBER(SEARCH("VPS",$I13669))=FALSE,LEFT($I13669,6)&lt;&gt;"VACUUM"),"CDU",IF($H13669="FLUID CAT CRACKING","FCC",IF(OR($H13669="HYDROCRACKING",$H13669="RESID_HYDROCRACKING"),"Hydrocracker",IF($H13669="REFORMING","Reformer",""))))</f>
        <v/>
      </c>
    </row>
    <row r="13670" spans="6:7">
      <c r="F13670" s="6">
        <f>IF($M13670="PADD I","PADD 1",IF($M13670="PADD II","PADD 2",IF($M13670="PADD III","PADD 3",IF($M13670="PADD IV","PADD 4",IF($M13670="PADD V","PADD 5","")))))</f>
        <v/>
      </c>
      <c r="G13670" s="6">
        <f>IF(AND($H13670="ATMOS DISTILLATION",ISNUMBER(SEARCH("VPS",$I13670))=FALSE,LEFT($I13670,6)&lt;&gt;"VACUUM"),"CDU",IF($H13670="FLUID CAT CRACKING","FCC",IF(OR($H13670="HYDROCRACKING",$H13670="RESID_HYDROCRACKING"),"Hydrocracker",IF($H13670="REFORMING","Reformer",""))))</f>
        <v/>
      </c>
    </row>
    <row r="13671" spans="6:7">
      <c r="F13671" s="6">
        <f>IF($M13671="PADD I","PADD 1",IF($M13671="PADD II","PADD 2",IF($M13671="PADD III","PADD 3",IF($M13671="PADD IV","PADD 4",IF($M13671="PADD V","PADD 5","")))))</f>
        <v/>
      </c>
      <c r="G13671" s="6">
        <f>IF(AND($H13671="ATMOS DISTILLATION",ISNUMBER(SEARCH("VPS",$I13671))=FALSE,LEFT($I13671,6)&lt;&gt;"VACUUM"),"CDU",IF($H13671="FLUID CAT CRACKING","FCC",IF(OR($H13671="HYDROCRACKING",$H13671="RESID_HYDROCRACKING"),"Hydrocracker",IF($H13671="REFORMING","Reformer",""))))</f>
        <v/>
      </c>
    </row>
    <row r="13672" spans="6:7">
      <c r="F13672" s="6">
        <f>IF($M13672="PADD I","PADD 1",IF($M13672="PADD II","PADD 2",IF($M13672="PADD III","PADD 3",IF($M13672="PADD IV","PADD 4",IF($M13672="PADD V","PADD 5","")))))</f>
        <v/>
      </c>
      <c r="G13672" s="6">
        <f>IF(AND($H13672="ATMOS DISTILLATION",ISNUMBER(SEARCH("VPS",$I13672))=FALSE,LEFT($I13672,6)&lt;&gt;"VACUUM"),"CDU",IF($H13672="FLUID CAT CRACKING","FCC",IF(OR($H13672="HYDROCRACKING",$H13672="RESID_HYDROCRACKING"),"Hydrocracker",IF($H13672="REFORMING","Reformer",""))))</f>
        <v/>
      </c>
    </row>
    <row r="13673" spans="6:7">
      <c r="F13673" s="6">
        <f>IF($M13673="PADD I","PADD 1",IF($M13673="PADD II","PADD 2",IF($M13673="PADD III","PADD 3",IF($M13673="PADD IV","PADD 4",IF($M13673="PADD V","PADD 5","")))))</f>
        <v/>
      </c>
      <c r="G13673" s="6">
        <f>IF(AND($H13673="ATMOS DISTILLATION",ISNUMBER(SEARCH("VPS",$I13673))=FALSE,LEFT($I13673,6)&lt;&gt;"VACUUM"),"CDU",IF($H13673="FLUID CAT CRACKING","FCC",IF(OR($H13673="HYDROCRACKING",$H13673="RESID_HYDROCRACKING"),"Hydrocracker",IF($H13673="REFORMING","Reformer",""))))</f>
        <v/>
      </c>
    </row>
    <row r="13674" spans="6:7">
      <c r="F13674" s="6">
        <f>IF($M13674="PADD I","PADD 1",IF($M13674="PADD II","PADD 2",IF($M13674="PADD III","PADD 3",IF($M13674="PADD IV","PADD 4",IF($M13674="PADD V","PADD 5","")))))</f>
        <v/>
      </c>
      <c r="G13674" s="6">
        <f>IF(AND($H13674="ATMOS DISTILLATION",ISNUMBER(SEARCH("VPS",$I13674))=FALSE,LEFT($I13674,6)&lt;&gt;"VACUUM"),"CDU",IF($H13674="FLUID CAT CRACKING","FCC",IF(OR($H13674="HYDROCRACKING",$H13674="RESID_HYDROCRACKING"),"Hydrocracker",IF($H13674="REFORMING","Reformer",""))))</f>
        <v/>
      </c>
    </row>
    <row r="13675" spans="6:7">
      <c r="F13675" s="6">
        <f>IF($M13675="PADD I","PADD 1",IF($M13675="PADD II","PADD 2",IF($M13675="PADD III","PADD 3",IF($M13675="PADD IV","PADD 4",IF($M13675="PADD V","PADD 5","")))))</f>
        <v/>
      </c>
      <c r="G13675" s="6">
        <f>IF(AND($H13675="ATMOS DISTILLATION",ISNUMBER(SEARCH("VPS",$I13675))=FALSE,LEFT($I13675,6)&lt;&gt;"VACUUM"),"CDU",IF($H13675="FLUID CAT CRACKING","FCC",IF(OR($H13675="HYDROCRACKING",$H13675="RESID_HYDROCRACKING"),"Hydrocracker",IF($H13675="REFORMING","Reformer",""))))</f>
        <v/>
      </c>
    </row>
    <row r="13676" spans="6:7">
      <c r="F13676" s="6">
        <f>IF($M13676="PADD I","PADD 1",IF($M13676="PADD II","PADD 2",IF($M13676="PADD III","PADD 3",IF($M13676="PADD IV","PADD 4",IF($M13676="PADD V","PADD 5","")))))</f>
        <v/>
      </c>
      <c r="G13676" s="6">
        <f>IF(AND($H13676="ATMOS DISTILLATION",ISNUMBER(SEARCH("VPS",$I13676))=FALSE,LEFT($I13676,6)&lt;&gt;"VACUUM"),"CDU",IF($H13676="FLUID CAT CRACKING","FCC",IF(OR($H13676="HYDROCRACKING",$H13676="RESID_HYDROCRACKING"),"Hydrocracker",IF($H13676="REFORMING","Reformer",""))))</f>
        <v/>
      </c>
    </row>
    <row r="13677" spans="6:7">
      <c r="F13677" s="6">
        <f>IF($M13677="PADD I","PADD 1",IF($M13677="PADD II","PADD 2",IF($M13677="PADD III","PADD 3",IF($M13677="PADD IV","PADD 4",IF($M13677="PADD V","PADD 5","")))))</f>
        <v/>
      </c>
      <c r="G13677" s="6">
        <f>IF(AND($H13677="ATMOS DISTILLATION",ISNUMBER(SEARCH("VPS",$I13677))=FALSE,LEFT($I13677,6)&lt;&gt;"VACUUM"),"CDU",IF($H13677="FLUID CAT CRACKING","FCC",IF(OR($H13677="HYDROCRACKING",$H13677="RESID_HYDROCRACKING"),"Hydrocracker",IF($H13677="REFORMING","Reformer",""))))</f>
        <v/>
      </c>
    </row>
    <row r="13678" spans="6:7">
      <c r="F13678" s="6">
        <f>IF($M13678="PADD I","PADD 1",IF($M13678="PADD II","PADD 2",IF($M13678="PADD III","PADD 3",IF($M13678="PADD IV","PADD 4",IF($M13678="PADD V","PADD 5","")))))</f>
        <v/>
      </c>
      <c r="G13678" s="6">
        <f>IF(AND($H13678="ATMOS DISTILLATION",ISNUMBER(SEARCH("VPS",$I13678))=FALSE,LEFT($I13678,6)&lt;&gt;"VACUUM"),"CDU",IF($H13678="FLUID CAT CRACKING","FCC",IF(OR($H13678="HYDROCRACKING",$H13678="RESID_HYDROCRACKING"),"Hydrocracker",IF($H13678="REFORMING","Reformer",""))))</f>
        <v/>
      </c>
    </row>
    <row r="13679" spans="6:7">
      <c r="F13679" s="6">
        <f>IF($M13679="PADD I","PADD 1",IF($M13679="PADD II","PADD 2",IF($M13679="PADD III","PADD 3",IF($M13679="PADD IV","PADD 4",IF($M13679="PADD V","PADD 5","")))))</f>
        <v/>
      </c>
      <c r="G13679" s="6">
        <f>IF(AND($H13679="ATMOS DISTILLATION",ISNUMBER(SEARCH("VPS",$I13679))=FALSE,LEFT($I13679,6)&lt;&gt;"VACUUM"),"CDU",IF($H13679="FLUID CAT CRACKING","FCC",IF(OR($H13679="HYDROCRACKING",$H13679="RESID_HYDROCRACKING"),"Hydrocracker",IF($H13679="REFORMING","Reformer",""))))</f>
        <v/>
      </c>
    </row>
    <row r="13680" spans="6:7">
      <c r="F13680" s="6">
        <f>IF($M13680="PADD I","PADD 1",IF($M13680="PADD II","PADD 2",IF($M13680="PADD III","PADD 3",IF($M13680="PADD IV","PADD 4",IF($M13680="PADD V","PADD 5","")))))</f>
        <v/>
      </c>
      <c r="G13680" s="6">
        <f>IF(AND($H13680="ATMOS DISTILLATION",ISNUMBER(SEARCH("VPS",$I13680))=FALSE,LEFT($I13680,6)&lt;&gt;"VACUUM"),"CDU",IF($H13680="FLUID CAT CRACKING","FCC",IF(OR($H13680="HYDROCRACKING",$H13680="RESID_HYDROCRACKING"),"Hydrocracker",IF($H13680="REFORMING","Reformer",""))))</f>
        <v/>
      </c>
    </row>
    <row r="13681" spans="6:7">
      <c r="F13681" s="6">
        <f>IF($M13681="PADD I","PADD 1",IF($M13681="PADD II","PADD 2",IF($M13681="PADD III","PADD 3",IF($M13681="PADD IV","PADD 4",IF($M13681="PADD V","PADD 5","")))))</f>
        <v/>
      </c>
      <c r="G13681" s="6">
        <f>IF(AND($H13681="ATMOS DISTILLATION",ISNUMBER(SEARCH("VPS",$I13681))=FALSE,LEFT($I13681,6)&lt;&gt;"VACUUM"),"CDU",IF($H13681="FLUID CAT CRACKING","FCC",IF(OR($H13681="HYDROCRACKING",$H13681="RESID_HYDROCRACKING"),"Hydrocracker",IF($H13681="REFORMING","Reformer",""))))</f>
        <v/>
      </c>
    </row>
    <row r="13682" spans="6:7">
      <c r="F13682" s="6">
        <f>IF($M13682="PADD I","PADD 1",IF($M13682="PADD II","PADD 2",IF($M13682="PADD III","PADD 3",IF($M13682="PADD IV","PADD 4",IF($M13682="PADD V","PADD 5","")))))</f>
        <v/>
      </c>
      <c r="G13682" s="6">
        <f>IF(AND($H13682="ATMOS DISTILLATION",ISNUMBER(SEARCH("VPS",$I13682))=FALSE,LEFT($I13682,6)&lt;&gt;"VACUUM"),"CDU",IF($H13682="FLUID CAT CRACKING","FCC",IF(OR($H13682="HYDROCRACKING",$H13682="RESID_HYDROCRACKING"),"Hydrocracker",IF($H13682="REFORMING","Reformer",""))))</f>
        <v/>
      </c>
    </row>
    <row r="13683" spans="6:7">
      <c r="F13683" s="6">
        <f>IF($M13683="PADD I","PADD 1",IF($M13683="PADD II","PADD 2",IF($M13683="PADD III","PADD 3",IF($M13683="PADD IV","PADD 4",IF($M13683="PADD V","PADD 5","")))))</f>
        <v/>
      </c>
      <c r="G13683" s="6">
        <f>IF(AND($H13683="ATMOS DISTILLATION",ISNUMBER(SEARCH("VPS",$I13683))=FALSE,LEFT($I13683,6)&lt;&gt;"VACUUM"),"CDU",IF($H13683="FLUID CAT CRACKING","FCC",IF(OR($H13683="HYDROCRACKING",$H13683="RESID_HYDROCRACKING"),"Hydrocracker",IF($H13683="REFORMING","Reformer",""))))</f>
        <v/>
      </c>
    </row>
    <row r="13684" spans="6:7">
      <c r="F13684" s="6">
        <f>IF($M13684="PADD I","PADD 1",IF($M13684="PADD II","PADD 2",IF($M13684="PADD III","PADD 3",IF($M13684="PADD IV","PADD 4",IF($M13684="PADD V","PADD 5","")))))</f>
        <v/>
      </c>
      <c r="G13684" s="6">
        <f>IF(AND($H13684="ATMOS DISTILLATION",ISNUMBER(SEARCH("VPS",$I13684))=FALSE,LEFT($I13684,6)&lt;&gt;"VACUUM"),"CDU",IF($H13684="FLUID CAT CRACKING","FCC",IF(OR($H13684="HYDROCRACKING",$H13684="RESID_HYDROCRACKING"),"Hydrocracker",IF($H13684="REFORMING","Reformer",""))))</f>
        <v/>
      </c>
    </row>
    <row r="13685" spans="6:7">
      <c r="F13685" s="6">
        <f>IF($M13685="PADD I","PADD 1",IF($M13685="PADD II","PADD 2",IF($M13685="PADD III","PADD 3",IF($M13685="PADD IV","PADD 4",IF($M13685="PADD V","PADD 5","")))))</f>
        <v/>
      </c>
      <c r="G13685" s="6">
        <f>IF(AND($H13685="ATMOS DISTILLATION",ISNUMBER(SEARCH("VPS",$I13685))=FALSE,LEFT($I13685,6)&lt;&gt;"VACUUM"),"CDU",IF($H13685="FLUID CAT CRACKING","FCC",IF(OR($H13685="HYDROCRACKING",$H13685="RESID_HYDROCRACKING"),"Hydrocracker",IF($H13685="REFORMING","Reformer",""))))</f>
        <v/>
      </c>
    </row>
    <row r="13686" spans="6:7">
      <c r="F13686" s="6">
        <f>IF($M13686="PADD I","PADD 1",IF($M13686="PADD II","PADD 2",IF($M13686="PADD III","PADD 3",IF($M13686="PADD IV","PADD 4",IF($M13686="PADD V","PADD 5","")))))</f>
        <v/>
      </c>
      <c r="G13686" s="6">
        <f>IF(AND($H13686="ATMOS DISTILLATION",ISNUMBER(SEARCH("VPS",$I13686))=FALSE,LEFT($I13686,6)&lt;&gt;"VACUUM"),"CDU",IF($H13686="FLUID CAT CRACKING","FCC",IF(OR($H13686="HYDROCRACKING",$H13686="RESID_HYDROCRACKING"),"Hydrocracker",IF($H13686="REFORMING","Reformer",""))))</f>
        <v/>
      </c>
    </row>
    <row r="13687" spans="6:7">
      <c r="F13687" s="6">
        <f>IF($M13687="PADD I","PADD 1",IF($M13687="PADD II","PADD 2",IF($M13687="PADD III","PADD 3",IF($M13687="PADD IV","PADD 4",IF($M13687="PADD V","PADD 5","")))))</f>
        <v/>
      </c>
      <c r="G13687" s="6">
        <f>IF(AND($H13687="ATMOS DISTILLATION",ISNUMBER(SEARCH("VPS",$I13687))=FALSE,LEFT($I13687,6)&lt;&gt;"VACUUM"),"CDU",IF($H13687="FLUID CAT CRACKING","FCC",IF(OR($H13687="HYDROCRACKING",$H13687="RESID_HYDROCRACKING"),"Hydrocracker",IF($H13687="REFORMING","Reformer",""))))</f>
        <v/>
      </c>
    </row>
    <row r="13688" spans="6:7">
      <c r="F13688" s="6">
        <f>IF($M13688="PADD I","PADD 1",IF($M13688="PADD II","PADD 2",IF($M13688="PADD III","PADD 3",IF($M13688="PADD IV","PADD 4",IF($M13688="PADD V","PADD 5","")))))</f>
        <v/>
      </c>
      <c r="G13688" s="6">
        <f>IF(AND($H13688="ATMOS DISTILLATION",ISNUMBER(SEARCH("VPS",$I13688))=FALSE,LEFT($I13688,6)&lt;&gt;"VACUUM"),"CDU",IF($H13688="FLUID CAT CRACKING","FCC",IF(OR($H13688="HYDROCRACKING",$H13688="RESID_HYDROCRACKING"),"Hydrocracker",IF($H13688="REFORMING","Reformer",""))))</f>
        <v/>
      </c>
    </row>
    <row r="13689" spans="6:7">
      <c r="F13689" s="6">
        <f>IF($M13689="PADD I","PADD 1",IF($M13689="PADD II","PADD 2",IF($M13689="PADD III","PADD 3",IF($M13689="PADD IV","PADD 4",IF($M13689="PADD V","PADD 5","")))))</f>
        <v/>
      </c>
      <c r="G13689" s="6">
        <f>IF(AND($H13689="ATMOS DISTILLATION",ISNUMBER(SEARCH("VPS",$I13689))=FALSE,LEFT($I13689,6)&lt;&gt;"VACUUM"),"CDU",IF($H13689="FLUID CAT CRACKING","FCC",IF(OR($H13689="HYDROCRACKING",$H13689="RESID_HYDROCRACKING"),"Hydrocracker",IF($H13689="REFORMING","Reformer",""))))</f>
        <v/>
      </c>
    </row>
    <row r="13690" spans="6:7">
      <c r="F13690" s="6">
        <f>IF($M13690="PADD I","PADD 1",IF($M13690="PADD II","PADD 2",IF($M13690="PADD III","PADD 3",IF($M13690="PADD IV","PADD 4",IF($M13690="PADD V","PADD 5","")))))</f>
        <v/>
      </c>
      <c r="G13690" s="6">
        <f>IF(AND($H13690="ATMOS DISTILLATION",ISNUMBER(SEARCH("VPS",$I13690))=FALSE,LEFT($I13690,6)&lt;&gt;"VACUUM"),"CDU",IF($H13690="FLUID CAT CRACKING","FCC",IF(OR($H13690="HYDROCRACKING",$H13690="RESID_HYDROCRACKING"),"Hydrocracker",IF($H13690="REFORMING","Reformer",""))))</f>
        <v/>
      </c>
    </row>
    <row r="13691" spans="6:7">
      <c r="F13691" s="6">
        <f>IF($M13691="PADD I","PADD 1",IF($M13691="PADD II","PADD 2",IF($M13691="PADD III","PADD 3",IF($M13691="PADD IV","PADD 4",IF($M13691="PADD V","PADD 5","")))))</f>
        <v/>
      </c>
      <c r="G13691" s="6">
        <f>IF(AND($H13691="ATMOS DISTILLATION",ISNUMBER(SEARCH("VPS",$I13691))=FALSE,LEFT($I13691,6)&lt;&gt;"VACUUM"),"CDU",IF($H13691="FLUID CAT CRACKING","FCC",IF(OR($H13691="HYDROCRACKING",$H13691="RESID_HYDROCRACKING"),"Hydrocracker",IF($H13691="REFORMING","Reformer",""))))</f>
        <v/>
      </c>
    </row>
    <row r="13692" spans="6:7">
      <c r="F13692" s="6">
        <f>IF($M13692="PADD I","PADD 1",IF($M13692="PADD II","PADD 2",IF($M13692="PADD III","PADD 3",IF($M13692="PADD IV","PADD 4",IF($M13692="PADD V","PADD 5","")))))</f>
        <v/>
      </c>
      <c r="G13692" s="6">
        <f>IF(AND($H13692="ATMOS DISTILLATION",ISNUMBER(SEARCH("VPS",$I13692))=FALSE,LEFT($I13692,6)&lt;&gt;"VACUUM"),"CDU",IF($H13692="FLUID CAT CRACKING","FCC",IF(OR($H13692="HYDROCRACKING",$H13692="RESID_HYDROCRACKING"),"Hydrocracker",IF($H13692="REFORMING","Reformer",""))))</f>
        <v/>
      </c>
    </row>
    <row r="13693" spans="6:7">
      <c r="F13693" s="6">
        <f>IF($M13693="PADD I","PADD 1",IF($M13693="PADD II","PADD 2",IF($M13693="PADD III","PADD 3",IF($M13693="PADD IV","PADD 4",IF($M13693="PADD V","PADD 5","")))))</f>
        <v/>
      </c>
      <c r="G13693" s="6">
        <f>IF(AND($H13693="ATMOS DISTILLATION",ISNUMBER(SEARCH("VPS",$I13693))=FALSE,LEFT($I13693,6)&lt;&gt;"VACUUM"),"CDU",IF($H13693="FLUID CAT CRACKING","FCC",IF(OR($H13693="HYDROCRACKING",$H13693="RESID_HYDROCRACKING"),"Hydrocracker",IF($H13693="REFORMING","Reformer",""))))</f>
        <v/>
      </c>
    </row>
    <row r="13694" spans="6:7">
      <c r="F13694" s="6">
        <f>IF($M13694="PADD I","PADD 1",IF($M13694="PADD II","PADD 2",IF($M13694="PADD III","PADD 3",IF($M13694="PADD IV","PADD 4",IF($M13694="PADD V","PADD 5","")))))</f>
        <v/>
      </c>
      <c r="G13694" s="6">
        <f>IF(AND($H13694="ATMOS DISTILLATION",ISNUMBER(SEARCH("VPS",$I13694))=FALSE,LEFT($I13694,6)&lt;&gt;"VACUUM"),"CDU",IF($H13694="FLUID CAT CRACKING","FCC",IF(OR($H13694="HYDROCRACKING",$H13694="RESID_HYDROCRACKING"),"Hydrocracker",IF($H13694="REFORMING","Reformer",""))))</f>
        <v/>
      </c>
    </row>
    <row r="13695" spans="6:7">
      <c r="F13695" s="6">
        <f>IF($M13695="PADD I","PADD 1",IF($M13695="PADD II","PADD 2",IF($M13695="PADD III","PADD 3",IF($M13695="PADD IV","PADD 4",IF($M13695="PADD V","PADD 5","")))))</f>
        <v/>
      </c>
      <c r="G13695" s="6">
        <f>IF(AND($H13695="ATMOS DISTILLATION",ISNUMBER(SEARCH("VPS",$I13695))=FALSE,LEFT($I13695,6)&lt;&gt;"VACUUM"),"CDU",IF($H13695="FLUID CAT CRACKING","FCC",IF(OR($H13695="HYDROCRACKING",$H13695="RESID_HYDROCRACKING"),"Hydrocracker",IF($H13695="REFORMING","Reformer",""))))</f>
        <v/>
      </c>
    </row>
    <row r="13696" spans="6:7">
      <c r="F13696" s="6">
        <f>IF($M13696="PADD I","PADD 1",IF($M13696="PADD II","PADD 2",IF($M13696="PADD III","PADD 3",IF($M13696="PADD IV","PADD 4",IF($M13696="PADD V","PADD 5","")))))</f>
        <v/>
      </c>
      <c r="G13696" s="6">
        <f>IF(AND($H13696="ATMOS DISTILLATION",ISNUMBER(SEARCH("VPS",$I13696))=FALSE,LEFT($I13696,6)&lt;&gt;"VACUUM"),"CDU",IF($H13696="FLUID CAT CRACKING","FCC",IF(OR($H13696="HYDROCRACKING",$H13696="RESID_HYDROCRACKING"),"Hydrocracker",IF($H13696="REFORMING","Reformer",""))))</f>
        <v/>
      </c>
    </row>
    <row r="13697" spans="6:7">
      <c r="F13697" s="6">
        <f>IF($M13697="PADD I","PADD 1",IF($M13697="PADD II","PADD 2",IF($M13697="PADD III","PADD 3",IF($M13697="PADD IV","PADD 4",IF($M13697="PADD V","PADD 5","")))))</f>
        <v/>
      </c>
      <c r="G13697" s="6">
        <f>IF(AND($H13697="ATMOS DISTILLATION",ISNUMBER(SEARCH("VPS",$I13697))=FALSE,LEFT($I13697,6)&lt;&gt;"VACUUM"),"CDU",IF($H13697="FLUID CAT CRACKING","FCC",IF(OR($H13697="HYDROCRACKING",$H13697="RESID_HYDROCRACKING"),"Hydrocracker",IF($H13697="REFORMING","Reformer",""))))</f>
        <v/>
      </c>
    </row>
    <row r="13698" spans="6:7">
      <c r="F13698" s="6">
        <f>IF($M13698="PADD I","PADD 1",IF($M13698="PADD II","PADD 2",IF($M13698="PADD III","PADD 3",IF($M13698="PADD IV","PADD 4",IF($M13698="PADD V","PADD 5","")))))</f>
        <v/>
      </c>
      <c r="G13698" s="6">
        <f>IF(AND($H13698="ATMOS DISTILLATION",ISNUMBER(SEARCH("VPS",$I13698))=FALSE,LEFT($I13698,6)&lt;&gt;"VACUUM"),"CDU",IF($H13698="FLUID CAT CRACKING","FCC",IF(OR($H13698="HYDROCRACKING",$H13698="RESID_HYDROCRACKING"),"Hydrocracker",IF($H13698="REFORMING","Reformer",""))))</f>
        <v/>
      </c>
    </row>
    <row r="13699" spans="6:7">
      <c r="F13699" s="6">
        <f>IF($M13699="PADD I","PADD 1",IF($M13699="PADD II","PADD 2",IF($M13699="PADD III","PADD 3",IF($M13699="PADD IV","PADD 4",IF($M13699="PADD V","PADD 5","")))))</f>
        <v/>
      </c>
      <c r="G13699" s="6">
        <f>IF(AND($H13699="ATMOS DISTILLATION",ISNUMBER(SEARCH("VPS",$I13699))=FALSE,LEFT($I13699,6)&lt;&gt;"VACUUM"),"CDU",IF($H13699="FLUID CAT CRACKING","FCC",IF(OR($H13699="HYDROCRACKING",$H13699="RESID_HYDROCRACKING"),"Hydrocracker",IF($H13699="REFORMING","Reformer",""))))</f>
        <v/>
      </c>
    </row>
    <row r="13700" spans="6:7">
      <c r="F13700" s="6">
        <f>IF($M13700="PADD I","PADD 1",IF($M13700="PADD II","PADD 2",IF($M13700="PADD III","PADD 3",IF($M13700="PADD IV","PADD 4",IF($M13700="PADD V","PADD 5","")))))</f>
        <v/>
      </c>
      <c r="G13700" s="6">
        <f>IF(AND($H13700="ATMOS DISTILLATION",ISNUMBER(SEARCH("VPS",$I13700))=FALSE,LEFT($I13700,6)&lt;&gt;"VACUUM"),"CDU",IF($H13700="FLUID CAT CRACKING","FCC",IF(OR($H13700="HYDROCRACKING",$H13700="RESID_HYDROCRACKING"),"Hydrocracker",IF($H13700="REFORMING","Reformer",""))))</f>
        <v/>
      </c>
    </row>
    <row r="13701" spans="6:7">
      <c r="F13701" s="6">
        <f>IF($M13701="PADD I","PADD 1",IF($M13701="PADD II","PADD 2",IF($M13701="PADD III","PADD 3",IF($M13701="PADD IV","PADD 4",IF($M13701="PADD V","PADD 5","")))))</f>
        <v/>
      </c>
      <c r="G13701" s="6">
        <f>IF(AND($H13701="ATMOS DISTILLATION",ISNUMBER(SEARCH("VPS",$I13701))=FALSE,LEFT($I13701,6)&lt;&gt;"VACUUM"),"CDU",IF($H13701="FLUID CAT CRACKING","FCC",IF(OR($H13701="HYDROCRACKING",$H13701="RESID_HYDROCRACKING"),"Hydrocracker",IF($H13701="REFORMING","Reformer",""))))</f>
        <v/>
      </c>
    </row>
    <row r="13702" spans="6:7">
      <c r="F13702" s="6">
        <f>IF($M13702="PADD I","PADD 1",IF($M13702="PADD II","PADD 2",IF($M13702="PADD III","PADD 3",IF($M13702="PADD IV","PADD 4",IF($M13702="PADD V","PADD 5","")))))</f>
        <v/>
      </c>
      <c r="G13702" s="6">
        <f>IF(AND($H13702="ATMOS DISTILLATION",ISNUMBER(SEARCH("VPS",$I13702))=FALSE,LEFT($I13702,6)&lt;&gt;"VACUUM"),"CDU",IF($H13702="FLUID CAT CRACKING","FCC",IF(OR($H13702="HYDROCRACKING",$H13702="RESID_HYDROCRACKING"),"Hydrocracker",IF($H13702="REFORMING","Reformer",""))))</f>
        <v/>
      </c>
    </row>
    <row r="13703" spans="6:7">
      <c r="F13703" s="6">
        <f>IF($M13703="PADD I","PADD 1",IF($M13703="PADD II","PADD 2",IF($M13703="PADD III","PADD 3",IF($M13703="PADD IV","PADD 4",IF($M13703="PADD V","PADD 5","")))))</f>
        <v/>
      </c>
      <c r="G13703" s="6">
        <f>IF(AND($H13703="ATMOS DISTILLATION",ISNUMBER(SEARCH("VPS",$I13703))=FALSE,LEFT($I13703,6)&lt;&gt;"VACUUM"),"CDU",IF($H13703="FLUID CAT CRACKING","FCC",IF(OR($H13703="HYDROCRACKING",$H13703="RESID_HYDROCRACKING"),"Hydrocracker",IF($H13703="REFORMING","Reformer",""))))</f>
        <v/>
      </c>
    </row>
    <row r="13704" spans="6:7">
      <c r="F13704" s="6">
        <f>IF($M13704="PADD I","PADD 1",IF($M13704="PADD II","PADD 2",IF($M13704="PADD III","PADD 3",IF($M13704="PADD IV","PADD 4",IF($M13704="PADD V","PADD 5","")))))</f>
        <v/>
      </c>
      <c r="G13704" s="6">
        <f>IF(AND($H13704="ATMOS DISTILLATION",ISNUMBER(SEARCH("VPS",$I13704))=FALSE,LEFT($I13704,6)&lt;&gt;"VACUUM"),"CDU",IF($H13704="FLUID CAT CRACKING","FCC",IF(OR($H13704="HYDROCRACKING",$H13704="RESID_HYDROCRACKING"),"Hydrocracker",IF($H13704="REFORMING","Reformer",""))))</f>
        <v/>
      </c>
    </row>
    <row r="13705" spans="6:7">
      <c r="F13705" s="6">
        <f>IF($M13705="PADD I","PADD 1",IF($M13705="PADD II","PADD 2",IF($M13705="PADD III","PADD 3",IF($M13705="PADD IV","PADD 4",IF($M13705="PADD V","PADD 5","")))))</f>
        <v/>
      </c>
      <c r="G13705" s="6">
        <f>IF(AND($H13705="ATMOS DISTILLATION",ISNUMBER(SEARCH("VPS",$I13705))=FALSE,LEFT($I13705,6)&lt;&gt;"VACUUM"),"CDU",IF($H13705="FLUID CAT CRACKING","FCC",IF(OR($H13705="HYDROCRACKING",$H13705="RESID_HYDROCRACKING"),"Hydrocracker",IF($H13705="REFORMING","Reformer",""))))</f>
        <v/>
      </c>
    </row>
    <row r="13706" spans="6:7">
      <c r="F13706" s="6">
        <f>IF($M13706="PADD I","PADD 1",IF($M13706="PADD II","PADD 2",IF($M13706="PADD III","PADD 3",IF($M13706="PADD IV","PADD 4",IF($M13706="PADD V","PADD 5","")))))</f>
        <v/>
      </c>
      <c r="G13706" s="6">
        <f>IF(AND($H13706="ATMOS DISTILLATION",ISNUMBER(SEARCH("VPS",$I13706))=FALSE,LEFT($I13706,6)&lt;&gt;"VACUUM"),"CDU",IF($H13706="FLUID CAT CRACKING","FCC",IF(OR($H13706="HYDROCRACKING",$H13706="RESID_HYDROCRACKING"),"Hydrocracker",IF($H13706="REFORMING","Reformer",""))))</f>
        <v/>
      </c>
    </row>
    <row r="13707" spans="6:7">
      <c r="F13707" s="6">
        <f>IF($M13707="PADD I","PADD 1",IF($M13707="PADD II","PADD 2",IF($M13707="PADD III","PADD 3",IF($M13707="PADD IV","PADD 4",IF($M13707="PADD V","PADD 5","")))))</f>
        <v/>
      </c>
      <c r="G13707" s="6">
        <f>IF(AND($H13707="ATMOS DISTILLATION",ISNUMBER(SEARCH("VPS",$I13707))=FALSE,LEFT($I13707,6)&lt;&gt;"VACUUM"),"CDU",IF($H13707="FLUID CAT CRACKING","FCC",IF(OR($H13707="HYDROCRACKING",$H13707="RESID_HYDROCRACKING"),"Hydrocracker",IF($H13707="REFORMING","Reformer",""))))</f>
        <v/>
      </c>
    </row>
    <row r="13708" spans="6:7">
      <c r="F13708" s="6">
        <f>IF($M13708="PADD I","PADD 1",IF($M13708="PADD II","PADD 2",IF($M13708="PADD III","PADD 3",IF($M13708="PADD IV","PADD 4",IF($M13708="PADD V","PADD 5","")))))</f>
        <v/>
      </c>
      <c r="G13708" s="6">
        <f>IF(AND($H13708="ATMOS DISTILLATION",ISNUMBER(SEARCH("VPS",$I13708))=FALSE,LEFT($I13708,6)&lt;&gt;"VACUUM"),"CDU",IF($H13708="FLUID CAT CRACKING","FCC",IF(OR($H13708="HYDROCRACKING",$H13708="RESID_HYDROCRACKING"),"Hydrocracker",IF($H13708="REFORMING","Reformer",""))))</f>
        <v/>
      </c>
    </row>
    <row r="13709" spans="6:7">
      <c r="F13709" s="6">
        <f>IF($M13709="PADD I","PADD 1",IF($M13709="PADD II","PADD 2",IF($M13709="PADD III","PADD 3",IF($M13709="PADD IV","PADD 4",IF($M13709="PADD V","PADD 5","")))))</f>
        <v/>
      </c>
      <c r="G13709" s="6">
        <f>IF(AND($H13709="ATMOS DISTILLATION",ISNUMBER(SEARCH("VPS",$I13709))=FALSE,LEFT($I13709,6)&lt;&gt;"VACUUM"),"CDU",IF($H13709="FLUID CAT CRACKING","FCC",IF(OR($H13709="HYDROCRACKING",$H13709="RESID_HYDROCRACKING"),"Hydrocracker",IF($H13709="REFORMING","Reformer",""))))</f>
        <v/>
      </c>
    </row>
    <row r="13710" spans="6:7">
      <c r="F13710" s="6">
        <f>IF($M13710="PADD I","PADD 1",IF($M13710="PADD II","PADD 2",IF($M13710="PADD III","PADD 3",IF($M13710="PADD IV","PADD 4",IF($M13710="PADD V","PADD 5","")))))</f>
        <v/>
      </c>
      <c r="G13710" s="6">
        <f>IF(AND($H13710="ATMOS DISTILLATION",ISNUMBER(SEARCH("VPS",$I13710))=FALSE,LEFT($I13710,6)&lt;&gt;"VACUUM"),"CDU",IF($H13710="FLUID CAT CRACKING","FCC",IF(OR($H13710="HYDROCRACKING",$H13710="RESID_HYDROCRACKING"),"Hydrocracker",IF($H13710="REFORMING","Reformer",""))))</f>
        <v/>
      </c>
    </row>
    <row r="13711" spans="6:7">
      <c r="F13711" s="6">
        <f>IF($M13711="PADD I","PADD 1",IF($M13711="PADD II","PADD 2",IF($M13711="PADD III","PADD 3",IF($M13711="PADD IV","PADD 4",IF($M13711="PADD V","PADD 5","")))))</f>
        <v/>
      </c>
      <c r="G13711" s="6">
        <f>IF(AND($H13711="ATMOS DISTILLATION",ISNUMBER(SEARCH("VPS",$I13711))=FALSE,LEFT($I13711,6)&lt;&gt;"VACUUM"),"CDU",IF($H13711="FLUID CAT CRACKING","FCC",IF(OR($H13711="HYDROCRACKING",$H13711="RESID_HYDROCRACKING"),"Hydrocracker",IF($H13711="REFORMING","Reformer",""))))</f>
        <v/>
      </c>
    </row>
    <row r="13712" spans="6:7">
      <c r="F13712" s="6">
        <f>IF($M13712="PADD I","PADD 1",IF($M13712="PADD II","PADD 2",IF($M13712="PADD III","PADD 3",IF($M13712="PADD IV","PADD 4",IF($M13712="PADD V","PADD 5","")))))</f>
        <v/>
      </c>
      <c r="G13712" s="6">
        <f>IF(AND($H13712="ATMOS DISTILLATION",ISNUMBER(SEARCH("VPS",$I13712))=FALSE,LEFT($I13712,6)&lt;&gt;"VACUUM"),"CDU",IF($H13712="FLUID CAT CRACKING","FCC",IF(OR($H13712="HYDROCRACKING",$H13712="RESID_HYDROCRACKING"),"Hydrocracker",IF($H13712="REFORMING","Reformer",""))))</f>
        <v/>
      </c>
    </row>
    <row r="13713" spans="6:7">
      <c r="F13713" s="6">
        <f>IF($M13713="PADD I","PADD 1",IF($M13713="PADD II","PADD 2",IF($M13713="PADD III","PADD 3",IF($M13713="PADD IV","PADD 4",IF($M13713="PADD V","PADD 5","")))))</f>
        <v/>
      </c>
      <c r="G13713" s="6">
        <f>IF(AND($H13713="ATMOS DISTILLATION",ISNUMBER(SEARCH("VPS",$I13713))=FALSE,LEFT($I13713,6)&lt;&gt;"VACUUM"),"CDU",IF($H13713="FLUID CAT CRACKING","FCC",IF(OR($H13713="HYDROCRACKING",$H13713="RESID_HYDROCRACKING"),"Hydrocracker",IF($H13713="REFORMING","Reformer",""))))</f>
        <v/>
      </c>
    </row>
    <row r="13714" spans="6:7">
      <c r="F13714" s="6">
        <f>IF($M13714="PADD I","PADD 1",IF($M13714="PADD II","PADD 2",IF($M13714="PADD III","PADD 3",IF($M13714="PADD IV","PADD 4",IF($M13714="PADD V","PADD 5","")))))</f>
        <v/>
      </c>
      <c r="G13714" s="6">
        <f>IF(AND($H13714="ATMOS DISTILLATION",ISNUMBER(SEARCH("VPS",$I13714))=FALSE,LEFT($I13714,6)&lt;&gt;"VACUUM"),"CDU",IF($H13714="FLUID CAT CRACKING","FCC",IF(OR($H13714="HYDROCRACKING",$H13714="RESID_HYDROCRACKING"),"Hydrocracker",IF($H13714="REFORMING","Reformer",""))))</f>
        <v/>
      </c>
    </row>
    <row r="13715" spans="6:7">
      <c r="F13715" s="6">
        <f>IF($M13715="PADD I","PADD 1",IF($M13715="PADD II","PADD 2",IF($M13715="PADD III","PADD 3",IF($M13715="PADD IV","PADD 4",IF($M13715="PADD V","PADD 5","")))))</f>
        <v/>
      </c>
      <c r="G13715" s="6">
        <f>IF(AND($H13715="ATMOS DISTILLATION",ISNUMBER(SEARCH("VPS",$I13715))=FALSE,LEFT($I13715,6)&lt;&gt;"VACUUM"),"CDU",IF($H13715="FLUID CAT CRACKING","FCC",IF(OR($H13715="HYDROCRACKING",$H13715="RESID_HYDROCRACKING"),"Hydrocracker",IF($H13715="REFORMING","Reformer",""))))</f>
        <v/>
      </c>
    </row>
    <row r="13716" spans="6:7">
      <c r="F13716" s="6">
        <f>IF($M13716="PADD I","PADD 1",IF($M13716="PADD II","PADD 2",IF($M13716="PADD III","PADD 3",IF($M13716="PADD IV","PADD 4",IF($M13716="PADD V","PADD 5","")))))</f>
        <v/>
      </c>
      <c r="G13716" s="6">
        <f>IF(AND($H13716="ATMOS DISTILLATION",ISNUMBER(SEARCH("VPS",$I13716))=FALSE,LEFT($I13716,6)&lt;&gt;"VACUUM"),"CDU",IF($H13716="FLUID CAT CRACKING","FCC",IF(OR($H13716="HYDROCRACKING",$H13716="RESID_HYDROCRACKING"),"Hydrocracker",IF($H13716="REFORMING","Reformer",""))))</f>
        <v/>
      </c>
    </row>
    <row r="13717" spans="6:7">
      <c r="F13717" s="6">
        <f>IF($M13717="PADD I","PADD 1",IF($M13717="PADD II","PADD 2",IF($M13717="PADD III","PADD 3",IF($M13717="PADD IV","PADD 4",IF($M13717="PADD V","PADD 5","")))))</f>
        <v/>
      </c>
      <c r="G13717" s="6">
        <f>IF(AND($H13717="ATMOS DISTILLATION",ISNUMBER(SEARCH("VPS",$I13717))=FALSE,LEFT($I13717,6)&lt;&gt;"VACUUM"),"CDU",IF($H13717="FLUID CAT CRACKING","FCC",IF(OR($H13717="HYDROCRACKING",$H13717="RESID_HYDROCRACKING"),"Hydrocracker",IF($H13717="REFORMING","Reformer",""))))</f>
        <v/>
      </c>
    </row>
    <row r="13718" spans="6:7">
      <c r="F13718" s="6">
        <f>IF($M13718="PADD I","PADD 1",IF($M13718="PADD II","PADD 2",IF($M13718="PADD III","PADD 3",IF($M13718="PADD IV","PADD 4",IF($M13718="PADD V","PADD 5","")))))</f>
        <v/>
      </c>
      <c r="G13718" s="6">
        <f>IF(AND($H13718="ATMOS DISTILLATION",ISNUMBER(SEARCH("VPS",$I13718))=FALSE,LEFT($I13718,6)&lt;&gt;"VACUUM"),"CDU",IF($H13718="FLUID CAT CRACKING","FCC",IF(OR($H13718="HYDROCRACKING",$H13718="RESID_HYDROCRACKING"),"Hydrocracker",IF($H13718="REFORMING","Reformer",""))))</f>
        <v/>
      </c>
    </row>
    <row r="13719" spans="6:7">
      <c r="F13719" s="6">
        <f>IF($M13719="PADD I","PADD 1",IF($M13719="PADD II","PADD 2",IF($M13719="PADD III","PADD 3",IF($M13719="PADD IV","PADD 4",IF($M13719="PADD V","PADD 5","")))))</f>
        <v/>
      </c>
      <c r="G13719" s="6">
        <f>IF(AND($H13719="ATMOS DISTILLATION",ISNUMBER(SEARCH("VPS",$I13719))=FALSE,LEFT($I13719,6)&lt;&gt;"VACUUM"),"CDU",IF($H13719="FLUID CAT CRACKING","FCC",IF(OR($H13719="HYDROCRACKING",$H13719="RESID_HYDROCRACKING"),"Hydrocracker",IF($H13719="REFORMING","Reformer",""))))</f>
        <v/>
      </c>
    </row>
    <row r="13720" spans="6:7">
      <c r="F13720" s="6">
        <f>IF($M13720="PADD I","PADD 1",IF($M13720="PADD II","PADD 2",IF($M13720="PADD III","PADD 3",IF($M13720="PADD IV","PADD 4",IF($M13720="PADD V","PADD 5","")))))</f>
        <v/>
      </c>
      <c r="G13720" s="6">
        <f>IF(AND($H13720="ATMOS DISTILLATION",ISNUMBER(SEARCH("VPS",$I13720))=FALSE,LEFT($I13720,6)&lt;&gt;"VACUUM"),"CDU",IF($H13720="FLUID CAT CRACKING","FCC",IF(OR($H13720="HYDROCRACKING",$H13720="RESID_HYDROCRACKING"),"Hydrocracker",IF($H13720="REFORMING","Reformer",""))))</f>
        <v/>
      </c>
    </row>
    <row r="13721" spans="6:7">
      <c r="F13721" s="6">
        <f>IF($M13721="PADD I","PADD 1",IF($M13721="PADD II","PADD 2",IF($M13721="PADD III","PADD 3",IF($M13721="PADD IV","PADD 4",IF($M13721="PADD V","PADD 5","")))))</f>
        <v/>
      </c>
      <c r="G13721" s="6">
        <f>IF(AND($H13721="ATMOS DISTILLATION",ISNUMBER(SEARCH("VPS",$I13721))=FALSE,LEFT($I13721,6)&lt;&gt;"VACUUM"),"CDU",IF($H13721="FLUID CAT CRACKING","FCC",IF(OR($H13721="HYDROCRACKING",$H13721="RESID_HYDROCRACKING"),"Hydrocracker",IF($H13721="REFORMING","Reformer",""))))</f>
        <v/>
      </c>
    </row>
    <row r="13722" spans="6:7">
      <c r="F13722" s="6">
        <f>IF($M13722="PADD I","PADD 1",IF($M13722="PADD II","PADD 2",IF($M13722="PADD III","PADD 3",IF($M13722="PADD IV","PADD 4",IF($M13722="PADD V","PADD 5","")))))</f>
        <v/>
      </c>
      <c r="G13722" s="6">
        <f>IF(AND($H13722="ATMOS DISTILLATION",ISNUMBER(SEARCH("VPS",$I13722))=FALSE,LEFT($I13722,6)&lt;&gt;"VACUUM"),"CDU",IF($H13722="FLUID CAT CRACKING","FCC",IF(OR($H13722="HYDROCRACKING",$H13722="RESID_HYDROCRACKING"),"Hydrocracker",IF($H13722="REFORMING","Reformer",""))))</f>
        <v/>
      </c>
    </row>
    <row r="13723" spans="6:7">
      <c r="F13723" s="6">
        <f>IF($M13723="PADD I","PADD 1",IF($M13723="PADD II","PADD 2",IF($M13723="PADD III","PADD 3",IF($M13723="PADD IV","PADD 4",IF($M13723="PADD V","PADD 5","")))))</f>
        <v/>
      </c>
      <c r="G13723" s="6">
        <f>IF(AND($H13723="ATMOS DISTILLATION",ISNUMBER(SEARCH("VPS",$I13723))=FALSE,LEFT($I13723,6)&lt;&gt;"VACUUM"),"CDU",IF($H13723="FLUID CAT CRACKING","FCC",IF(OR($H13723="HYDROCRACKING",$H13723="RESID_HYDROCRACKING"),"Hydrocracker",IF($H13723="REFORMING","Reformer",""))))</f>
        <v/>
      </c>
    </row>
    <row r="13724" spans="6:7">
      <c r="F13724" s="6">
        <f>IF($M13724="PADD I","PADD 1",IF($M13724="PADD II","PADD 2",IF($M13724="PADD III","PADD 3",IF($M13724="PADD IV","PADD 4",IF($M13724="PADD V","PADD 5","")))))</f>
        <v/>
      </c>
      <c r="G13724" s="6">
        <f>IF(AND($H13724="ATMOS DISTILLATION",ISNUMBER(SEARCH("VPS",$I13724))=FALSE,LEFT($I13724,6)&lt;&gt;"VACUUM"),"CDU",IF($H13724="FLUID CAT CRACKING","FCC",IF(OR($H13724="HYDROCRACKING",$H13724="RESID_HYDROCRACKING"),"Hydrocracker",IF($H13724="REFORMING","Reformer",""))))</f>
        <v/>
      </c>
    </row>
    <row r="13725" spans="6:7">
      <c r="F13725" s="6">
        <f>IF($M13725="PADD I","PADD 1",IF($M13725="PADD II","PADD 2",IF($M13725="PADD III","PADD 3",IF($M13725="PADD IV","PADD 4",IF($M13725="PADD V","PADD 5","")))))</f>
        <v/>
      </c>
      <c r="G13725" s="6">
        <f>IF(AND($H13725="ATMOS DISTILLATION",ISNUMBER(SEARCH("VPS",$I13725))=FALSE,LEFT($I13725,6)&lt;&gt;"VACUUM"),"CDU",IF($H13725="FLUID CAT CRACKING","FCC",IF(OR($H13725="HYDROCRACKING",$H13725="RESID_HYDROCRACKING"),"Hydrocracker",IF($H13725="REFORMING","Reformer",""))))</f>
        <v/>
      </c>
    </row>
    <row r="13726" spans="6:7">
      <c r="F13726" s="6">
        <f>IF($M13726="PADD I","PADD 1",IF($M13726="PADD II","PADD 2",IF($M13726="PADD III","PADD 3",IF($M13726="PADD IV","PADD 4",IF($M13726="PADD V","PADD 5","")))))</f>
        <v/>
      </c>
      <c r="G13726" s="6">
        <f>IF(AND($H13726="ATMOS DISTILLATION",ISNUMBER(SEARCH("VPS",$I13726))=FALSE,LEFT($I13726,6)&lt;&gt;"VACUUM"),"CDU",IF($H13726="FLUID CAT CRACKING","FCC",IF(OR($H13726="HYDROCRACKING",$H13726="RESID_HYDROCRACKING"),"Hydrocracker",IF($H13726="REFORMING","Reformer",""))))</f>
        <v/>
      </c>
    </row>
    <row r="13727" spans="6:7">
      <c r="F13727" s="6">
        <f>IF($M13727="PADD I","PADD 1",IF($M13727="PADD II","PADD 2",IF($M13727="PADD III","PADD 3",IF($M13727="PADD IV","PADD 4",IF($M13727="PADD V","PADD 5","")))))</f>
        <v/>
      </c>
      <c r="G13727" s="6">
        <f>IF(AND($H13727="ATMOS DISTILLATION",ISNUMBER(SEARCH("VPS",$I13727))=FALSE,LEFT($I13727,6)&lt;&gt;"VACUUM"),"CDU",IF($H13727="FLUID CAT CRACKING","FCC",IF(OR($H13727="HYDROCRACKING",$H13727="RESID_HYDROCRACKING"),"Hydrocracker",IF($H13727="REFORMING","Reformer",""))))</f>
        <v/>
      </c>
    </row>
    <row r="13728" spans="6:7">
      <c r="F13728" s="6">
        <f>IF($M13728="PADD I","PADD 1",IF($M13728="PADD II","PADD 2",IF($M13728="PADD III","PADD 3",IF($M13728="PADD IV","PADD 4",IF($M13728="PADD V","PADD 5","")))))</f>
        <v/>
      </c>
      <c r="G13728" s="6">
        <f>IF(AND($H13728="ATMOS DISTILLATION",ISNUMBER(SEARCH("VPS",$I13728))=FALSE,LEFT($I13728,6)&lt;&gt;"VACUUM"),"CDU",IF($H13728="FLUID CAT CRACKING","FCC",IF(OR($H13728="HYDROCRACKING",$H13728="RESID_HYDROCRACKING"),"Hydrocracker",IF($H13728="REFORMING","Reformer",""))))</f>
        <v/>
      </c>
    </row>
    <row r="13729" spans="6:7">
      <c r="F13729" s="6">
        <f>IF($M13729="PADD I","PADD 1",IF($M13729="PADD II","PADD 2",IF($M13729="PADD III","PADD 3",IF($M13729="PADD IV","PADD 4",IF($M13729="PADD V","PADD 5","")))))</f>
        <v/>
      </c>
      <c r="G13729" s="6">
        <f>IF(AND($H13729="ATMOS DISTILLATION",ISNUMBER(SEARCH("VPS",$I13729))=FALSE,LEFT($I13729,6)&lt;&gt;"VACUUM"),"CDU",IF($H13729="FLUID CAT CRACKING","FCC",IF(OR($H13729="HYDROCRACKING",$H13729="RESID_HYDROCRACKING"),"Hydrocracker",IF($H13729="REFORMING","Reformer",""))))</f>
        <v/>
      </c>
    </row>
    <row r="13730" spans="6:7">
      <c r="F13730" s="6">
        <f>IF($M13730="PADD I","PADD 1",IF($M13730="PADD II","PADD 2",IF($M13730="PADD III","PADD 3",IF($M13730="PADD IV","PADD 4",IF($M13730="PADD V","PADD 5","")))))</f>
        <v/>
      </c>
      <c r="G13730" s="6">
        <f>IF(AND($H13730="ATMOS DISTILLATION",ISNUMBER(SEARCH("VPS",$I13730))=FALSE,LEFT($I13730,6)&lt;&gt;"VACUUM"),"CDU",IF($H13730="FLUID CAT CRACKING","FCC",IF(OR($H13730="HYDROCRACKING",$H13730="RESID_HYDROCRACKING"),"Hydrocracker",IF($H13730="REFORMING","Reformer",""))))</f>
        <v/>
      </c>
    </row>
    <row r="13731" spans="6:7">
      <c r="F13731" s="6">
        <f>IF($M13731="PADD I","PADD 1",IF($M13731="PADD II","PADD 2",IF($M13731="PADD III","PADD 3",IF($M13731="PADD IV","PADD 4",IF($M13731="PADD V","PADD 5","")))))</f>
        <v/>
      </c>
      <c r="G13731" s="6">
        <f>IF(AND($H13731="ATMOS DISTILLATION",ISNUMBER(SEARCH("VPS",$I13731))=FALSE,LEFT($I13731,6)&lt;&gt;"VACUUM"),"CDU",IF($H13731="FLUID CAT CRACKING","FCC",IF(OR($H13731="HYDROCRACKING",$H13731="RESID_HYDROCRACKING"),"Hydrocracker",IF($H13731="REFORMING","Reformer",""))))</f>
        <v/>
      </c>
    </row>
    <row r="13732" spans="6:7">
      <c r="F13732" s="6">
        <f>IF($M13732="PADD I","PADD 1",IF($M13732="PADD II","PADD 2",IF($M13732="PADD III","PADD 3",IF($M13732="PADD IV","PADD 4",IF($M13732="PADD V","PADD 5","")))))</f>
        <v/>
      </c>
      <c r="G13732" s="6">
        <f>IF(AND($H13732="ATMOS DISTILLATION",ISNUMBER(SEARCH("VPS",$I13732))=FALSE,LEFT($I13732,6)&lt;&gt;"VACUUM"),"CDU",IF($H13732="FLUID CAT CRACKING","FCC",IF(OR($H13732="HYDROCRACKING",$H13732="RESID_HYDROCRACKING"),"Hydrocracker",IF($H13732="REFORMING","Reformer",""))))</f>
        <v/>
      </c>
    </row>
    <row r="13733" spans="6:7">
      <c r="F13733" s="6">
        <f>IF($M13733="PADD I","PADD 1",IF($M13733="PADD II","PADD 2",IF($M13733="PADD III","PADD 3",IF($M13733="PADD IV","PADD 4",IF($M13733="PADD V","PADD 5","")))))</f>
        <v/>
      </c>
      <c r="G13733" s="6">
        <f>IF(AND($H13733="ATMOS DISTILLATION",ISNUMBER(SEARCH("VPS",$I13733))=FALSE,LEFT($I13733,6)&lt;&gt;"VACUUM"),"CDU",IF($H13733="FLUID CAT CRACKING","FCC",IF(OR($H13733="HYDROCRACKING",$H13733="RESID_HYDROCRACKING"),"Hydrocracker",IF($H13733="REFORMING","Reformer",""))))</f>
        <v/>
      </c>
    </row>
    <row r="13734" spans="6:7">
      <c r="F13734" s="6">
        <f>IF($M13734="PADD I","PADD 1",IF($M13734="PADD II","PADD 2",IF($M13734="PADD III","PADD 3",IF($M13734="PADD IV","PADD 4",IF($M13734="PADD V","PADD 5","")))))</f>
        <v/>
      </c>
      <c r="G13734" s="6">
        <f>IF(AND($H13734="ATMOS DISTILLATION",ISNUMBER(SEARCH("VPS",$I13734))=FALSE,LEFT($I13734,6)&lt;&gt;"VACUUM"),"CDU",IF($H13734="FLUID CAT CRACKING","FCC",IF(OR($H13734="HYDROCRACKING",$H13734="RESID_HYDROCRACKING"),"Hydrocracker",IF($H13734="REFORMING","Reformer",""))))</f>
        <v/>
      </c>
    </row>
    <row r="13735" spans="6:7">
      <c r="F13735" s="6">
        <f>IF($M13735="PADD I","PADD 1",IF($M13735="PADD II","PADD 2",IF($M13735="PADD III","PADD 3",IF($M13735="PADD IV","PADD 4",IF($M13735="PADD V","PADD 5","")))))</f>
        <v/>
      </c>
      <c r="G13735" s="6">
        <f>IF(AND($H13735="ATMOS DISTILLATION",ISNUMBER(SEARCH("VPS",$I13735))=FALSE,LEFT($I13735,6)&lt;&gt;"VACUUM"),"CDU",IF($H13735="FLUID CAT CRACKING","FCC",IF(OR($H13735="HYDROCRACKING",$H13735="RESID_HYDROCRACKING"),"Hydrocracker",IF($H13735="REFORMING","Reformer",""))))</f>
        <v/>
      </c>
    </row>
    <row r="13736" spans="6:7">
      <c r="F13736" s="6">
        <f>IF($M13736="PADD I","PADD 1",IF($M13736="PADD II","PADD 2",IF($M13736="PADD III","PADD 3",IF($M13736="PADD IV","PADD 4",IF($M13736="PADD V","PADD 5","")))))</f>
        <v/>
      </c>
      <c r="G13736" s="6">
        <f>IF(AND($H13736="ATMOS DISTILLATION",ISNUMBER(SEARCH("VPS",$I13736))=FALSE,LEFT($I13736,6)&lt;&gt;"VACUUM"),"CDU",IF($H13736="FLUID CAT CRACKING","FCC",IF(OR($H13736="HYDROCRACKING",$H13736="RESID_HYDROCRACKING"),"Hydrocracker",IF($H13736="REFORMING","Reformer",""))))</f>
        <v/>
      </c>
    </row>
    <row r="13737" spans="6:7">
      <c r="F13737" s="6">
        <f>IF($M13737="PADD I","PADD 1",IF($M13737="PADD II","PADD 2",IF($M13737="PADD III","PADD 3",IF($M13737="PADD IV","PADD 4",IF($M13737="PADD V","PADD 5","")))))</f>
        <v/>
      </c>
      <c r="G13737" s="6">
        <f>IF(AND($H13737="ATMOS DISTILLATION",ISNUMBER(SEARCH("VPS",$I13737))=FALSE,LEFT($I13737,6)&lt;&gt;"VACUUM"),"CDU",IF($H13737="FLUID CAT CRACKING","FCC",IF(OR($H13737="HYDROCRACKING",$H13737="RESID_HYDROCRACKING"),"Hydrocracker",IF($H13737="REFORMING","Reformer",""))))</f>
        <v/>
      </c>
    </row>
    <row r="13738" spans="6:7">
      <c r="F13738" s="6">
        <f>IF($M13738="PADD I","PADD 1",IF($M13738="PADD II","PADD 2",IF($M13738="PADD III","PADD 3",IF($M13738="PADD IV","PADD 4",IF($M13738="PADD V","PADD 5","")))))</f>
        <v/>
      </c>
      <c r="G13738" s="6">
        <f>IF(AND($H13738="ATMOS DISTILLATION",ISNUMBER(SEARCH("VPS",$I13738))=FALSE,LEFT($I13738,6)&lt;&gt;"VACUUM"),"CDU",IF($H13738="FLUID CAT CRACKING","FCC",IF(OR($H13738="HYDROCRACKING",$H13738="RESID_HYDROCRACKING"),"Hydrocracker",IF($H13738="REFORMING","Reformer",""))))</f>
        <v/>
      </c>
    </row>
    <row r="13739" spans="6:7">
      <c r="F13739" s="6">
        <f>IF($M13739="PADD I","PADD 1",IF($M13739="PADD II","PADD 2",IF($M13739="PADD III","PADD 3",IF($M13739="PADD IV","PADD 4",IF($M13739="PADD V","PADD 5","")))))</f>
        <v/>
      </c>
      <c r="G13739" s="6">
        <f>IF(AND($H13739="ATMOS DISTILLATION",ISNUMBER(SEARCH("VPS",$I13739))=FALSE,LEFT($I13739,6)&lt;&gt;"VACUUM"),"CDU",IF($H13739="FLUID CAT CRACKING","FCC",IF(OR($H13739="HYDROCRACKING",$H13739="RESID_HYDROCRACKING"),"Hydrocracker",IF($H13739="REFORMING","Reformer",""))))</f>
        <v/>
      </c>
    </row>
    <row r="13740" spans="6:7">
      <c r="F13740" s="6">
        <f>IF($M13740="PADD I","PADD 1",IF($M13740="PADD II","PADD 2",IF($M13740="PADD III","PADD 3",IF($M13740="PADD IV","PADD 4",IF($M13740="PADD V","PADD 5","")))))</f>
        <v/>
      </c>
      <c r="G13740" s="6">
        <f>IF(AND($H13740="ATMOS DISTILLATION",ISNUMBER(SEARCH("VPS",$I13740))=FALSE,LEFT($I13740,6)&lt;&gt;"VACUUM"),"CDU",IF($H13740="FLUID CAT CRACKING","FCC",IF(OR($H13740="HYDROCRACKING",$H13740="RESID_HYDROCRACKING"),"Hydrocracker",IF($H13740="REFORMING","Reformer",""))))</f>
        <v/>
      </c>
    </row>
    <row r="13741" spans="6:7">
      <c r="F13741" s="6">
        <f>IF($M13741="PADD I","PADD 1",IF($M13741="PADD II","PADD 2",IF($M13741="PADD III","PADD 3",IF($M13741="PADD IV","PADD 4",IF($M13741="PADD V","PADD 5","")))))</f>
        <v/>
      </c>
      <c r="G13741" s="6">
        <f>IF(AND($H13741="ATMOS DISTILLATION",ISNUMBER(SEARCH("VPS",$I13741))=FALSE,LEFT($I13741,6)&lt;&gt;"VACUUM"),"CDU",IF($H13741="FLUID CAT CRACKING","FCC",IF(OR($H13741="HYDROCRACKING",$H13741="RESID_HYDROCRACKING"),"Hydrocracker",IF($H13741="REFORMING","Reformer",""))))</f>
        <v/>
      </c>
    </row>
    <row r="13742" spans="6:7">
      <c r="F13742" s="6">
        <f>IF($M13742="PADD I","PADD 1",IF($M13742="PADD II","PADD 2",IF($M13742="PADD III","PADD 3",IF($M13742="PADD IV","PADD 4",IF($M13742="PADD V","PADD 5","")))))</f>
        <v/>
      </c>
      <c r="G13742" s="6">
        <f>IF(AND($H13742="ATMOS DISTILLATION",ISNUMBER(SEARCH("VPS",$I13742))=FALSE,LEFT($I13742,6)&lt;&gt;"VACUUM"),"CDU",IF($H13742="FLUID CAT CRACKING","FCC",IF(OR($H13742="HYDROCRACKING",$H13742="RESID_HYDROCRACKING"),"Hydrocracker",IF($H13742="REFORMING","Reformer",""))))</f>
        <v/>
      </c>
    </row>
    <row r="13743" spans="6:7">
      <c r="F13743" s="6">
        <f>IF($M13743="PADD I","PADD 1",IF($M13743="PADD II","PADD 2",IF($M13743="PADD III","PADD 3",IF($M13743="PADD IV","PADD 4",IF($M13743="PADD V","PADD 5","")))))</f>
        <v/>
      </c>
      <c r="G13743" s="6">
        <f>IF(AND($H13743="ATMOS DISTILLATION",ISNUMBER(SEARCH("VPS",$I13743))=FALSE,LEFT($I13743,6)&lt;&gt;"VACUUM"),"CDU",IF($H13743="FLUID CAT CRACKING","FCC",IF(OR($H13743="HYDROCRACKING",$H13743="RESID_HYDROCRACKING"),"Hydrocracker",IF($H13743="REFORMING","Reformer",""))))</f>
        <v/>
      </c>
    </row>
    <row r="13744" spans="6:7">
      <c r="F13744" s="6">
        <f>IF($M13744="PADD I","PADD 1",IF($M13744="PADD II","PADD 2",IF($M13744="PADD III","PADD 3",IF($M13744="PADD IV","PADD 4",IF($M13744="PADD V","PADD 5","")))))</f>
        <v/>
      </c>
      <c r="G13744" s="6">
        <f>IF(AND($H13744="ATMOS DISTILLATION",ISNUMBER(SEARCH("VPS",$I13744))=FALSE,LEFT($I13744,6)&lt;&gt;"VACUUM"),"CDU",IF($H13744="FLUID CAT CRACKING","FCC",IF(OR($H13744="HYDROCRACKING",$H13744="RESID_HYDROCRACKING"),"Hydrocracker",IF($H13744="REFORMING","Reformer",""))))</f>
        <v/>
      </c>
    </row>
    <row r="13745" spans="6:7">
      <c r="F13745" s="6">
        <f>IF($M13745="PADD I","PADD 1",IF($M13745="PADD II","PADD 2",IF($M13745="PADD III","PADD 3",IF($M13745="PADD IV","PADD 4",IF($M13745="PADD V","PADD 5","")))))</f>
        <v/>
      </c>
      <c r="G13745" s="6">
        <f>IF(AND($H13745="ATMOS DISTILLATION",ISNUMBER(SEARCH("VPS",$I13745))=FALSE,LEFT($I13745,6)&lt;&gt;"VACUUM"),"CDU",IF($H13745="FLUID CAT CRACKING","FCC",IF(OR($H13745="HYDROCRACKING",$H13745="RESID_HYDROCRACKING"),"Hydrocracker",IF($H13745="REFORMING","Reformer",""))))</f>
        <v/>
      </c>
    </row>
    <row r="13746" spans="6:7">
      <c r="F13746" s="6">
        <f>IF($M13746="PADD I","PADD 1",IF($M13746="PADD II","PADD 2",IF($M13746="PADD III","PADD 3",IF($M13746="PADD IV","PADD 4",IF($M13746="PADD V","PADD 5","")))))</f>
        <v/>
      </c>
      <c r="G13746" s="6">
        <f>IF(AND($H13746="ATMOS DISTILLATION",ISNUMBER(SEARCH("VPS",$I13746))=FALSE,LEFT($I13746,6)&lt;&gt;"VACUUM"),"CDU",IF($H13746="FLUID CAT CRACKING","FCC",IF(OR($H13746="HYDROCRACKING",$H13746="RESID_HYDROCRACKING"),"Hydrocracker",IF($H13746="REFORMING","Reformer",""))))</f>
        <v/>
      </c>
    </row>
    <row r="13747" spans="6:7">
      <c r="F13747" s="6">
        <f>IF($M13747="PADD I","PADD 1",IF($M13747="PADD II","PADD 2",IF($M13747="PADD III","PADD 3",IF($M13747="PADD IV","PADD 4",IF($M13747="PADD V","PADD 5","")))))</f>
        <v/>
      </c>
      <c r="G13747" s="6">
        <f>IF(AND($H13747="ATMOS DISTILLATION",ISNUMBER(SEARCH("VPS",$I13747))=FALSE,LEFT($I13747,6)&lt;&gt;"VACUUM"),"CDU",IF($H13747="FLUID CAT CRACKING","FCC",IF(OR($H13747="HYDROCRACKING",$H13747="RESID_HYDROCRACKING"),"Hydrocracker",IF($H13747="REFORMING","Reformer",""))))</f>
        <v/>
      </c>
    </row>
    <row r="13748" spans="6:7">
      <c r="F13748" s="6">
        <f>IF($M13748="PADD I","PADD 1",IF($M13748="PADD II","PADD 2",IF($M13748="PADD III","PADD 3",IF($M13748="PADD IV","PADD 4",IF($M13748="PADD V","PADD 5","")))))</f>
        <v/>
      </c>
      <c r="G13748" s="6">
        <f>IF(AND($H13748="ATMOS DISTILLATION",ISNUMBER(SEARCH("VPS",$I13748))=FALSE,LEFT($I13748,6)&lt;&gt;"VACUUM"),"CDU",IF($H13748="FLUID CAT CRACKING","FCC",IF(OR($H13748="HYDROCRACKING",$H13748="RESID_HYDROCRACKING"),"Hydrocracker",IF($H13748="REFORMING","Reformer",""))))</f>
        <v/>
      </c>
    </row>
    <row r="13749" spans="6:7">
      <c r="F13749" s="6">
        <f>IF($M13749="PADD I","PADD 1",IF($M13749="PADD II","PADD 2",IF($M13749="PADD III","PADD 3",IF($M13749="PADD IV","PADD 4",IF($M13749="PADD V","PADD 5","")))))</f>
        <v/>
      </c>
      <c r="G13749" s="6">
        <f>IF(AND($H13749="ATMOS DISTILLATION",ISNUMBER(SEARCH("VPS",$I13749))=FALSE,LEFT($I13749,6)&lt;&gt;"VACUUM"),"CDU",IF($H13749="FLUID CAT CRACKING","FCC",IF(OR($H13749="HYDROCRACKING",$H13749="RESID_HYDROCRACKING"),"Hydrocracker",IF($H13749="REFORMING","Reformer",""))))</f>
        <v/>
      </c>
    </row>
    <row r="13750" spans="6:7">
      <c r="F13750" s="6">
        <f>IF($M13750="PADD I","PADD 1",IF($M13750="PADD II","PADD 2",IF($M13750="PADD III","PADD 3",IF($M13750="PADD IV","PADD 4",IF($M13750="PADD V","PADD 5","")))))</f>
        <v/>
      </c>
      <c r="G13750" s="6">
        <f>IF(AND($H13750="ATMOS DISTILLATION",ISNUMBER(SEARCH("VPS",$I13750))=FALSE,LEFT($I13750,6)&lt;&gt;"VACUUM"),"CDU",IF($H13750="FLUID CAT CRACKING","FCC",IF(OR($H13750="HYDROCRACKING",$H13750="RESID_HYDROCRACKING"),"Hydrocracker",IF($H13750="REFORMING","Reformer",""))))</f>
        <v/>
      </c>
    </row>
    <row r="13751" spans="6:7">
      <c r="F13751" s="6">
        <f>IF($M13751="PADD I","PADD 1",IF($M13751="PADD II","PADD 2",IF($M13751="PADD III","PADD 3",IF($M13751="PADD IV","PADD 4",IF($M13751="PADD V","PADD 5","")))))</f>
        <v/>
      </c>
      <c r="G13751" s="6">
        <f>IF(AND($H13751="ATMOS DISTILLATION",ISNUMBER(SEARCH("VPS",$I13751))=FALSE,LEFT($I13751,6)&lt;&gt;"VACUUM"),"CDU",IF($H13751="FLUID CAT CRACKING","FCC",IF(OR($H13751="HYDROCRACKING",$H13751="RESID_HYDROCRACKING"),"Hydrocracker",IF($H13751="REFORMING","Reformer",""))))</f>
        <v/>
      </c>
    </row>
    <row r="13752" spans="6:7">
      <c r="F13752" s="6">
        <f>IF($M13752="PADD I","PADD 1",IF($M13752="PADD II","PADD 2",IF($M13752="PADD III","PADD 3",IF($M13752="PADD IV","PADD 4",IF($M13752="PADD V","PADD 5","")))))</f>
        <v/>
      </c>
      <c r="G13752" s="6">
        <f>IF(AND($H13752="ATMOS DISTILLATION",ISNUMBER(SEARCH("VPS",$I13752))=FALSE,LEFT($I13752,6)&lt;&gt;"VACUUM"),"CDU",IF($H13752="FLUID CAT CRACKING","FCC",IF(OR($H13752="HYDROCRACKING",$H13752="RESID_HYDROCRACKING"),"Hydrocracker",IF($H13752="REFORMING","Reformer",""))))</f>
        <v/>
      </c>
    </row>
    <row r="13753" spans="6:7">
      <c r="F13753" s="6">
        <f>IF($M13753="PADD I","PADD 1",IF($M13753="PADD II","PADD 2",IF($M13753="PADD III","PADD 3",IF($M13753="PADD IV","PADD 4",IF($M13753="PADD V","PADD 5","")))))</f>
        <v/>
      </c>
      <c r="G13753" s="6">
        <f>IF(AND($H13753="ATMOS DISTILLATION",ISNUMBER(SEARCH("VPS",$I13753))=FALSE,LEFT($I13753,6)&lt;&gt;"VACUUM"),"CDU",IF($H13753="FLUID CAT CRACKING","FCC",IF(OR($H13753="HYDROCRACKING",$H13753="RESID_HYDROCRACKING"),"Hydrocracker",IF($H13753="REFORMING","Reformer",""))))</f>
        <v/>
      </c>
    </row>
    <row r="13754" spans="6:7">
      <c r="F13754" s="6">
        <f>IF($M13754="PADD I","PADD 1",IF($M13754="PADD II","PADD 2",IF($M13754="PADD III","PADD 3",IF($M13754="PADD IV","PADD 4",IF($M13754="PADD V","PADD 5","")))))</f>
        <v/>
      </c>
      <c r="G13754" s="6">
        <f>IF(AND($H13754="ATMOS DISTILLATION",ISNUMBER(SEARCH("VPS",$I13754))=FALSE,LEFT($I13754,6)&lt;&gt;"VACUUM"),"CDU",IF($H13754="FLUID CAT CRACKING","FCC",IF(OR($H13754="HYDROCRACKING",$H13754="RESID_HYDROCRACKING"),"Hydrocracker",IF($H13754="REFORMING","Reformer",""))))</f>
        <v/>
      </c>
    </row>
    <row r="13755" spans="6:7">
      <c r="F13755" s="6">
        <f>IF($M13755="PADD I","PADD 1",IF($M13755="PADD II","PADD 2",IF($M13755="PADD III","PADD 3",IF($M13755="PADD IV","PADD 4",IF($M13755="PADD V","PADD 5","")))))</f>
        <v/>
      </c>
      <c r="G13755" s="6">
        <f>IF(AND($H13755="ATMOS DISTILLATION",ISNUMBER(SEARCH("VPS",$I13755))=FALSE,LEFT($I13755,6)&lt;&gt;"VACUUM"),"CDU",IF($H13755="FLUID CAT CRACKING","FCC",IF(OR($H13755="HYDROCRACKING",$H13755="RESID_HYDROCRACKING"),"Hydrocracker",IF($H13755="REFORMING","Reformer",""))))</f>
        <v/>
      </c>
    </row>
    <row r="13756" spans="6:7">
      <c r="F13756" s="6">
        <f>IF($M13756="PADD I","PADD 1",IF($M13756="PADD II","PADD 2",IF($M13756="PADD III","PADD 3",IF($M13756="PADD IV","PADD 4",IF($M13756="PADD V","PADD 5","")))))</f>
        <v/>
      </c>
      <c r="G13756" s="6">
        <f>IF(AND($H13756="ATMOS DISTILLATION",ISNUMBER(SEARCH("VPS",$I13756))=FALSE,LEFT($I13756,6)&lt;&gt;"VACUUM"),"CDU",IF($H13756="FLUID CAT CRACKING","FCC",IF(OR($H13756="HYDROCRACKING",$H13756="RESID_HYDROCRACKING"),"Hydrocracker",IF($H13756="REFORMING","Reformer",""))))</f>
        <v/>
      </c>
    </row>
    <row r="13757" spans="6:7">
      <c r="F13757" s="6">
        <f>IF($M13757="PADD I","PADD 1",IF($M13757="PADD II","PADD 2",IF($M13757="PADD III","PADD 3",IF($M13757="PADD IV","PADD 4",IF($M13757="PADD V","PADD 5","")))))</f>
        <v/>
      </c>
      <c r="G13757" s="6">
        <f>IF(AND($H13757="ATMOS DISTILLATION",ISNUMBER(SEARCH("VPS",$I13757))=FALSE,LEFT($I13757,6)&lt;&gt;"VACUUM"),"CDU",IF($H13757="FLUID CAT CRACKING","FCC",IF(OR($H13757="HYDROCRACKING",$H13757="RESID_HYDROCRACKING"),"Hydrocracker",IF($H13757="REFORMING","Reformer",""))))</f>
        <v/>
      </c>
    </row>
    <row r="13758" spans="6:7">
      <c r="F13758" s="6">
        <f>IF($M13758="PADD I","PADD 1",IF($M13758="PADD II","PADD 2",IF($M13758="PADD III","PADD 3",IF($M13758="PADD IV","PADD 4",IF($M13758="PADD V","PADD 5","")))))</f>
        <v/>
      </c>
      <c r="G13758" s="6">
        <f>IF(AND($H13758="ATMOS DISTILLATION",ISNUMBER(SEARCH("VPS",$I13758))=FALSE,LEFT($I13758,6)&lt;&gt;"VACUUM"),"CDU",IF($H13758="FLUID CAT CRACKING","FCC",IF(OR($H13758="HYDROCRACKING",$H13758="RESID_HYDROCRACKING"),"Hydrocracker",IF($H13758="REFORMING","Reformer",""))))</f>
        <v/>
      </c>
    </row>
    <row r="13759" spans="6:7">
      <c r="F13759" s="6">
        <f>IF($M13759="PADD I","PADD 1",IF($M13759="PADD II","PADD 2",IF($M13759="PADD III","PADD 3",IF($M13759="PADD IV","PADD 4",IF($M13759="PADD V","PADD 5","")))))</f>
        <v/>
      </c>
      <c r="G13759" s="6">
        <f>IF(AND($H13759="ATMOS DISTILLATION",ISNUMBER(SEARCH("VPS",$I13759))=FALSE,LEFT($I13759,6)&lt;&gt;"VACUUM"),"CDU",IF($H13759="FLUID CAT CRACKING","FCC",IF(OR($H13759="HYDROCRACKING",$H13759="RESID_HYDROCRACKING"),"Hydrocracker",IF($H13759="REFORMING","Reformer",""))))</f>
        <v/>
      </c>
    </row>
    <row r="13760" spans="6:7">
      <c r="F13760" s="6">
        <f>IF($M13760="PADD I","PADD 1",IF($M13760="PADD II","PADD 2",IF($M13760="PADD III","PADD 3",IF($M13760="PADD IV","PADD 4",IF($M13760="PADD V","PADD 5","")))))</f>
        <v/>
      </c>
      <c r="G13760" s="6">
        <f>IF(AND($H13760="ATMOS DISTILLATION",ISNUMBER(SEARCH("VPS",$I13760))=FALSE,LEFT($I13760,6)&lt;&gt;"VACUUM"),"CDU",IF($H13760="FLUID CAT CRACKING","FCC",IF(OR($H13760="HYDROCRACKING",$H13760="RESID_HYDROCRACKING"),"Hydrocracker",IF($H13760="REFORMING","Reformer",""))))</f>
        <v/>
      </c>
    </row>
    <row r="13761" spans="6:7">
      <c r="F13761" s="6">
        <f>IF($M13761="PADD I","PADD 1",IF($M13761="PADD II","PADD 2",IF($M13761="PADD III","PADD 3",IF($M13761="PADD IV","PADD 4",IF($M13761="PADD V","PADD 5","")))))</f>
        <v/>
      </c>
      <c r="G13761" s="6">
        <f>IF(AND($H13761="ATMOS DISTILLATION",ISNUMBER(SEARCH("VPS",$I13761))=FALSE,LEFT($I13761,6)&lt;&gt;"VACUUM"),"CDU",IF($H13761="FLUID CAT CRACKING","FCC",IF(OR($H13761="HYDROCRACKING",$H13761="RESID_HYDROCRACKING"),"Hydrocracker",IF($H13761="REFORMING","Reformer",""))))</f>
        <v/>
      </c>
    </row>
    <row r="13762" spans="6:7">
      <c r="F13762" s="6">
        <f>IF($M13762="PADD I","PADD 1",IF($M13762="PADD II","PADD 2",IF($M13762="PADD III","PADD 3",IF($M13762="PADD IV","PADD 4",IF($M13762="PADD V","PADD 5","")))))</f>
        <v/>
      </c>
      <c r="G13762" s="6">
        <f>IF(AND($H13762="ATMOS DISTILLATION",ISNUMBER(SEARCH("VPS",$I13762))=FALSE,LEFT($I13762,6)&lt;&gt;"VACUUM"),"CDU",IF($H13762="FLUID CAT CRACKING","FCC",IF(OR($H13762="HYDROCRACKING",$H13762="RESID_HYDROCRACKING"),"Hydrocracker",IF($H13762="REFORMING","Reformer",""))))</f>
        <v/>
      </c>
    </row>
    <row r="13763" spans="6:7">
      <c r="F13763" s="6">
        <f>IF($M13763="PADD I","PADD 1",IF($M13763="PADD II","PADD 2",IF($M13763="PADD III","PADD 3",IF($M13763="PADD IV","PADD 4",IF($M13763="PADD V","PADD 5","")))))</f>
        <v/>
      </c>
      <c r="G13763" s="6">
        <f>IF(AND($H13763="ATMOS DISTILLATION",ISNUMBER(SEARCH("VPS",$I13763))=FALSE,LEFT($I13763,6)&lt;&gt;"VACUUM"),"CDU",IF($H13763="FLUID CAT CRACKING","FCC",IF(OR($H13763="HYDROCRACKING",$H13763="RESID_HYDROCRACKING"),"Hydrocracker",IF($H13763="REFORMING","Reformer",""))))</f>
        <v/>
      </c>
    </row>
    <row r="13764" spans="6:7">
      <c r="F13764" s="6">
        <f>IF($M13764="PADD I","PADD 1",IF($M13764="PADD II","PADD 2",IF($M13764="PADD III","PADD 3",IF($M13764="PADD IV","PADD 4",IF($M13764="PADD V","PADD 5","")))))</f>
        <v/>
      </c>
      <c r="G13764" s="6">
        <f>IF(AND($H13764="ATMOS DISTILLATION",ISNUMBER(SEARCH("VPS",$I13764))=FALSE,LEFT($I13764,6)&lt;&gt;"VACUUM"),"CDU",IF($H13764="FLUID CAT CRACKING","FCC",IF(OR($H13764="HYDROCRACKING",$H13764="RESID_HYDROCRACKING"),"Hydrocracker",IF($H13764="REFORMING","Reformer",""))))</f>
        <v/>
      </c>
    </row>
    <row r="13765" spans="6:7">
      <c r="F13765" s="6">
        <f>IF($M13765="PADD I","PADD 1",IF($M13765="PADD II","PADD 2",IF($M13765="PADD III","PADD 3",IF($M13765="PADD IV","PADD 4",IF($M13765="PADD V","PADD 5","")))))</f>
        <v/>
      </c>
      <c r="G13765" s="6">
        <f>IF(AND($H13765="ATMOS DISTILLATION",ISNUMBER(SEARCH("VPS",$I13765))=FALSE,LEFT($I13765,6)&lt;&gt;"VACUUM"),"CDU",IF($H13765="FLUID CAT CRACKING","FCC",IF(OR($H13765="HYDROCRACKING",$H13765="RESID_HYDROCRACKING"),"Hydrocracker",IF($H13765="REFORMING","Reformer",""))))</f>
        <v/>
      </c>
    </row>
    <row r="13766" spans="6:7">
      <c r="F13766" s="6">
        <f>IF($M13766="PADD I","PADD 1",IF($M13766="PADD II","PADD 2",IF($M13766="PADD III","PADD 3",IF($M13766="PADD IV","PADD 4",IF($M13766="PADD V","PADD 5","")))))</f>
        <v/>
      </c>
      <c r="G13766" s="6">
        <f>IF(AND($H13766="ATMOS DISTILLATION",ISNUMBER(SEARCH("VPS",$I13766))=FALSE,LEFT($I13766,6)&lt;&gt;"VACUUM"),"CDU",IF($H13766="FLUID CAT CRACKING","FCC",IF(OR($H13766="HYDROCRACKING",$H13766="RESID_HYDROCRACKING"),"Hydrocracker",IF($H13766="REFORMING","Reformer",""))))</f>
        <v/>
      </c>
    </row>
    <row r="13767" spans="6:7">
      <c r="F13767" s="6">
        <f>IF($M13767="PADD I","PADD 1",IF($M13767="PADD II","PADD 2",IF($M13767="PADD III","PADD 3",IF($M13767="PADD IV","PADD 4",IF($M13767="PADD V","PADD 5","")))))</f>
        <v/>
      </c>
      <c r="G13767" s="6">
        <f>IF(AND($H13767="ATMOS DISTILLATION",ISNUMBER(SEARCH("VPS",$I13767))=FALSE,LEFT($I13767,6)&lt;&gt;"VACUUM"),"CDU",IF($H13767="FLUID CAT CRACKING","FCC",IF(OR($H13767="HYDROCRACKING",$H13767="RESID_HYDROCRACKING"),"Hydrocracker",IF($H13767="REFORMING","Reformer",""))))</f>
        <v/>
      </c>
    </row>
    <row r="13768" spans="6:7">
      <c r="F13768" s="6">
        <f>IF($M13768="PADD I","PADD 1",IF($M13768="PADD II","PADD 2",IF($M13768="PADD III","PADD 3",IF($M13768="PADD IV","PADD 4",IF($M13768="PADD V","PADD 5","")))))</f>
        <v/>
      </c>
      <c r="G13768" s="6">
        <f>IF(AND($H13768="ATMOS DISTILLATION",ISNUMBER(SEARCH("VPS",$I13768))=FALSE,LEFT($I13768,6)&lt;&gt;"VACUUM"),"CDU",IF($H13768="FLUID CAT CRACKING","FCC",IF(OR($H13768="HYDROCRACKING",$H13768="RESID_HYDROCRACKING"),"Hydrocracker",IF($H13768="REFORMING","Reformer",""))))</f>
        <v/>
      </c>
    </row>
    <row r="13769" spans="6:7">
      <c r="F13769" s="6">
        <f>IF($M13769="PADD I","PADD 1",IF($M13769="PADD II","PADD 2",IF($M13769="PADD III","PADD 3",IF($M13769="PADD IV","PADD 4",IF($M13769="PADD V","PADD 5","")))))</f>
        <v/>
      </c>
      <c r="G13769" s="6">
        <f>IF(AND($H13769="ATMOS DISTILLATION",ISNUMBER(SEARCH("VPS",$I13769))=FALSE,LEFT($I13769,6)&lt;&gt;"VACUUM"),"CDU",IF($H13769="FLUID CAT CRACKING","FCC",IF(OR($H13769="HYDROCRACKING",$H13769="RESID_HYDROCRACKING"),"Hydrocracker",IF($H13769="REFORMING","Reformer",""))))</f>
        <v/>
      </c>
    </row>
    <row r="13770" spans="6:7">
      <c r="F13770" s="6">
        <f>IF($M13770="PADD I","PADD 1",IF($M13770="PADD II","PADD 2",IF($M13770="PADD III","PADD 3",IF($M13770="PADD IV","PADD 4",IF($M13770="PADD V","PADD 5","")))))</f>
        <v/>
      </c>
      <c r="G13770" s="6">
        <f>IF(AND($H13770="ATMOS DISTILLATION",ISNUMBER(SEARCH("VPS",$I13770))=FALSE,LEFT($I13770,6)&lt;&gt;"VACUUM"),"CDU",IF($H13770="FLUID CAT CRACKING","FCC",IF(OR($H13770="HYDROCRACKING",$H13770="RESID_HYDROCRACKING"),"Hydrocracker",IF($H13770="REFORMING","Reformer",""))))</f>
        <v/>
      </c>
    </row>
    <row r="13771" spans="6:7">
      <c r="F13771" s="6">
        <f>IF($M13771="PADD I","PADD 1",IF($M13771="PADD II","PADD 2",IF($M13771="PADD III","PADD 3",IF($M13771="PADD IV","PADD 4",IF($M13771="PADD V","PADD 5","")))))</f>
        <v/>
      </c>
      <c r="G13771" s="6">
        <f>IF(AND($H13771="ATMOS DISTILLATION",ISNUMBER(SEARCH("VPS",$I13771))=FALSE,LEFT($I13771,6)&lt;&gt;"VACUUM"),"CDU",IF($H13771="FLUID CAT CRACKING","FCC",IF(OR($H13771="HYDROCRACKING",$H13771="RESID_HYDROCRACKING"),"Hydrocracker",IF($H13771="REFORMING","Reformer",""))))</f>
        <v/>
      </c>
    </row>
    <row r="13772" spans="6:7">
      <c r="F13772" s="6">
        <f>IF($M13772="PADD I","PADD 1",IF($M13772="PADD II","PADD 2",IF($M13772="PADD III","PADD 3",IF($M13772="PADD IV","PADD 4",IF($M13772="PADD V","PADD 5","")))))</f>
        <v/>
      </c>
      <c r="G13772" s="6">
        <f>IF(AND($H13772="ATMOS DISTILLATION",ISNUMBER(SEARCH("VPS",$I13772))=FALSE,LEFT($I13772,6)&lt;&gt;"VACUUM"),"CDU",IF($H13772="FLUID CAT CRACKING","FCC",IF(OR($H13772="HYDROCRACKING",$H13772="RESID_HYDROCRACKING"),"Hydrocracker",IF($H13772="REFORMING","Reformer",""))))</f>
        <v/>
      </c>
    </row>
    <row r="13773" spans="6:7">
      <c r="F13773" s="6">
        <f>IF($M13773="PADD I","PADD 1",IF($M13773="PADD II","PADD 2",IF($M13773="PADD III","PADD 3",IF($M13773="PADD IV","PADD 4",IF($M13773="PADD V","PADD 5","")))))</f>
        <v/>
      </c>
      <c r="G13773" s="6">
        <f>IF(AND($H13773="ATMOS DISTILLATION",ISNUMBER(SEARCH("VPS",$I13773))=FALSE,LEFT($I13773,6)&lt;&gt;"VACUUM"),"CDU",IF($H13773="FLUID CAT CRACKING","FCC",IF(OR($H13773="HYDROCRACKING",$H13773="RESID_HYDROCRACKING"),"Hydrocracker",IF($H13773="REFORMING","Reformer",""))))</f>
        <v/>
      </c>
    </row>
    <row r="13774" spans="6:7">
      <c r="F13774" s="6">
        <f>IF($M13774="PADD I","PADD 1",IF($M13774="PADD II","PADD 2",IF($M13774="PADD III","PADD 3",IF($M13774="PADD IV","PADD 4",IF($M13774="PADD V","PADD 5","")))))</f>
        <v/>
      </c>
      <c r="G13774" s="6">
        <f>IF(AND($H13774="ATMOS DISTILLATION",ISNUMBER(SEARCH("VPS",$I13774))=FALSE,LEFT($I13774,6)&lt;&gt;"VACUUM"),"CDU",IF($H13774="FLUID CAT CRACKING","FCC",IF(OR($H13774="HYDROCRACKING",$H13774="RESID_HYDROCRACKING"),"Hydrocracker",IF($H13774="REFORMING","Reformer",""))))</f>
        <v/>
      </c>
    </row>
    <row r="13775" spans="6:7">
      <c r="F13775" s="6">
        <f>IF($M13775="PADD I","PADD 1",IF($M13775="PADD II","PADD 2",IF($M13775="PADD III","PADD 3",IF($M13775="PADD IV","PADD 4",IF($M13775="PADD V","PADD 5","")))))</f>
        <v/>
      </c>
      <c r="G13775" s="6">
        <f>IF(AND($H13775="ATMOS DISTILLATION",ISNUMBER(SEARCH("VPS",$I13775))=FALSE,LEFT($I13775,6)&lt;&gt;"VACUUM"),"CDU",IF($H13775="FLUID CAT CRACKING","FCC",IF(OR($H13775="HYDROCRACKING",$H13775="RESID_HYDROCRACKING"),"Hydrocracker",IF($H13775="REFORMING","Reformer",""))))</f>
        <v/>
      </c>
    </row>
    <row r="13776" spans="6:7">
      <c r="F13776" s="6">
        <f>IF($M13776="PADD I","PADD 1",IF($M13776="PADD II","PADD 2",IF($M13776="PADD III","PADD 3",IF($M13776="PADD IV","PADD 4",IF($M13776="PADD V","PADD 5","")))))</f>
        <v/>
      </c>
      <c r="G13776" s="6">
        <f>IF(AND($H13776="ATMOS DISTILLATION",ISNUMBER(SEARCH("VPS",$I13776))=FALSE,LEFT($I13776,6)&lt;&gt;"VACUUM"),"CDU",IF($H13776="FLUID CAT CRACKING","FCC",IF(OR($H13776="HYDROCRACKING",$H13776="RESID_HYDROCRACKING"),"Hydrocracker",IF($H13776="REFORMING","Reformer",""))))</f>
        <v/>
      </c>
    </row>
    <row r="13777" spans="6:7">
      <c r="F13777" s="6">
        <f>IF($M13777="PADD I","PADD 1",IF($M13777="PADD II","PADD 2",IF($M13777="PADD III","PADD 3",IF($M13777="PADD IV","PADD 4",IF($M13777="PADD V","PADD 5","")))))</f>
        <v/>
      </c>
      <c r="G13777" s="6">
        <f>IF(AND($H13777="ATMOS DISTILLATION",ISNUMBER(SEARCH("VPS",$I13777))=FALSE,LEFT($I13777,6)&lt;&gt;"VACUUM"),"CDU",IF($H13777="FLUID CAT CRACKING","FCC",IF(OR($H13777="HYDROCRACKING",$H13777="RESID_HYDROCRACKING"),"Hydrocracker",IF($H13777="REFORMING","Reformer",""))))</f>
        <v/>
      </c>
    </row>
    <row r="13778" spans="6:7">
      <c r="F13778" s="6">
        <f>IF($M13778="PADD I","PADD 1",IF($M13778="PADD II","PADD 2",IF($M13778="PADD III","PADD 3",IF($M13778="PADD IV","PADD 4",IF($M13778="PADD V","PADD 5","")))))</f>
        <v/>
      </c>
      <c r="G13778" s="6">
        <f>IF(AND($H13778="ATMOS DISTILLATION",ISNUMBER(SEARCH("VPS",$I13778))=FALSE,LEFT($I13778,6)&lt;&gt;"VACUUM"),"CDU",IF($H13778="FLUID CAT CRACKING","FCC",IF(OR($H13778="HYDROCRACKING",$H13778="RESID_HYDROCRACKING"),"Hydrocracker",IF($H13778="REFORMING","Reformer",""))))</f>
        <v/>
      </c>
    </row>
    <row r="13779" spans="6:7">
      <c r="F13779" s="6">
        <f>IF($M13779="PADD I","PADD 1",IF($M13779="PADD II","PADD 2",IF($M13779="PADD III","PADD 3",IF($M13779="PADD IV","PADD 4",IF($M13779="PADD V","PADD 5","")))))</f>
        <v/>
      </c>
      <c r="G13779" s="6">
        <f>IF(AND($H13779="ATMOS DISTILLATION",ISNUMBER(SEARCH("VPS",$I13779))=FALSE,LEFT($I13779,6)&lt;&gt;"VACUUM"),"CDU",IF($H13779="FLUID CAT CRACKING","FCC",IF(OR($H13779="HYDROCRACKING",$H13779="RESID_HYDROCRACKING"),"Hydrocracker",IF($H13779="REFORMING","Reformer",""))))</f>
        <v/>
      </c>
    </row>
    <row r="13780" spans="6:7">
      <c r="F13780" s="6">
        <f>IF($M13780="PADD I","PADD 1",IF($M13780="PADD II","PADD 2",IF($M13780="PADD III","PADD 3",IF($M13780="PADD IV","PADD 4",IF($M13780="PADD V","PADD 5","")))))</f>
        <v/>
      </c>
      <c r="G13780" s="6">
        <f>IF(AND($H13780="ATMOS DISTILLATION",ISNUMBER(SEARCH("VPS",$I13780))=FALSE,LEFT($I13780,6)&lt;&gt;"VACUUM"),"CDU",IF($H13780="FLUID CAT CRACKING","FCC",IF(OR($H13780="HYDROCRACKING",$H13780="RESID_HYDROCRACKING"),"Hydrocracker",IF($H13780="REFORMING","Reformer",""))))</f>
        <v/>
      </c>
    </row>
    <row r="13781" spans="6:7">
      <c r="F13781" s="6">
        <f>IF($M13781="PADD I","PADD 1",IF($M13781="PADD II","PADD 2",IF($M13781="PADD III","PADD 3",IF($M13781="PADD IV","PADD 4",IF($M13781="PADD V","PADD 5","")))))</f>
        <v/>
      </c>
      <c r="G13781" s="6">
        <f>IF(AND($H13781="ATMOS DISTILLATION",ISNUMBER(SEARCH("VPS",$I13781))=FALSE,LEFT($I13781,6)&lt;&gt;"VACUUM"),"CDU",IF($H13781="FLUID CAT CRACKING","FCC",IF(OR($H13781="HYDROCRACKING",$H13781="RESID_HYDROCRACKING"),"Hydrocracker",IF($H13781="REFORMING","Reformer",""))))</f>
        <v/>
      </c>
    </row>
    <row r="13782" spans="6:7">
      <c r="F13782" s="6">
        <f>IF($M13782="PADD I","PADD 1",IF($M13782="PADD II","PADD 2",IF($M13782="PADD III","PADD 3",IF($M13782="PADD IV","PADD 4",IF($M13782="PADD V","PADD 5","")))))</f>
        <v/>
      </c>
      <c r="G13782" s="6">
        <f>IF(AND($H13782="ATMOS DISTILLATION",ISNUMBER(SEARCH("VPS",$I13782))=FALSE,LEFT($I13782,6)&lt;&gt;"VACUUM"),"CDU",IF($H13782="FLUID CAT CRACKING","FCC",IF(OR($H13782="HYDROCRACKING",$H13782="RESID_HYDROCRACKING"),"Hydrocracker",IF($H13782="REFORMING","Reformer",""))))</f>
        <v/>
      </c>
    </row>
    <row r="13783" spans="6:7">
      <c r="F13783" s="6">
        <f>IF($M13783="PADD I","PADD 1",IF($M13783="PADD II","PADD 2",IF($M13783="PADD III","PADD 3",IF($M13783="PADD IV","PADD 4",IF($M13783="PADD V","PADD 5","")))))</f>
        <v/>
      </c>
      <c r="G13783" s="6">
        <f>IF(AND($H13783="ATMOS DISTILLATION",ISNUMBER(SEARCH("VPS",$I13783))=FALSE,LEFT($I13783,6)&lt;&gt;"VACUUM"),"CDU",IF($H13783="FLUID CAT CRACKING","FCC",IF(OR($H13783="HYDROCRACKING",$H13783="RESID_HYDROCRACKING"),"Hydrocracker",IF($H13783="REFORMING","Reformer",""))))</f>
        <v/>
      </c>
    </row>
    <row r="13784" spans="6:7">
      <c r="F13784" s="6">
        <f>IF($M13784="PADD I","PADD 1",IF($M13784="PADD II","PADD 2",IF($M13784="PADD III","PADD 3",IF($M13784="PADD IV","PADD 4",IF($M13784="PADD V","PADD 5","")))))</f>
        <v/>
      </c>
      <c r="G13784" s="6">
        <f>IF(AND($H13784="ATMOS DISTILLATION",ISNUMBER(SEARCH("VPS",$I13784))=FALSE,LEFT($I13784,6)&lt;&gt;"VACUUM"),"CDU",IF($H13784="FLUID CAT CRACKING","FCC",IF(OR($H13784="HYDROCRACKING",$H13784="RESID_HYDROCRACKING"),"Hydrocracker",IF($H13784="REFORMING","Reformer",""))))</f>
        <v/>
      </c>
    </row>
    <row r="13785" spans="6:7">
      <c r="F13785" s="6">
        <f>IF($M13785="PADD I","PADD 1",IF($M13785="PADD II","PADD 2",IF($M13785="PADD III","PADD 3",IF($M13785="PADD IV","PADD 4",IF($M13785="PADD V","PADD 5","")))))</f>
        <v/>
      </c>
      <c r="G13785" s="6">
        <f>IF(AND($H13785="ATMOS DISTILLATION",ISNUMBER(SEARCH("VPS",$I13785))=FALSE,LEFT($I13785,6)&lt;&gt;"VACUUM"),"CDU",IF($H13785="FLUID CAT CRACKING","FCC",IF(OR($H13785="HYDROCRACKING",$H13785="RESID_HYDROCRACKING"),"Hydrocracker",IF($H13785="REFORMING","Reformer",""))))</f>
        <v/>
      </c>
    </row>
    <row r="13786" spans="6:7">
      <c r="F13786" s="6">
        <f>IF($M13786="PADD I","PADD 1",IF($M13786="PADD II","PADD 2",IF($M13786="PADD III","PADD 3",IF($M13786="PADD IV","PADD 4",IF($M13786="PADD V","PADD 5","")))))</f>
        <v/>
      </c>
      <c r="G13786" s="6">
        <f>IF(AND($H13786="ATMOS DISTILLATION",ISNUMBER(SEARCH("VPS",$I13786))=FALSE,LEFT($I13786,6)&lt;&gt;"VACUUM"),"CDU",IF($H13786="FLUID CAT CRACKING","FCC",IF(OR($H13786="HYDROCRACKING",$H13786="RESID_HYDROCRACKING"),"Hydrocracker",IF($H13786="REFORMING","Reformer",""))))</f>
        <v/>
      </c>
    </row>
    <row r="13787" spans="6:7">
      <c r="F13787" s="6">
        <f>IF($M13787="PADD I","PADD 1",IF($M13787="PADD II","PADD 2",IF($M13787="PADD III","PADD 3",IF($M13787="PADD IV","PADD 4",IF($M13787="PADD V","PADD 5","")))))</f>
        <v/>
      </c>
      <c r="G13787" s="6">
        <f>IF(AND($H13787="ATMOS DISTILLATION",ISNUMBER(SEARCH("VPS",$I13787))=FALSE,LEFT($I13787,6)&lt;&gt;"VACUUM"),"CDU",IF($H13787="FLUID CAT CRACKING","FCC",IF(OR($H13787="HYDROCRACKING",$H13787="RESID_HYDROCRACKING"),"Hydrocracker",IF($H13787="REFORMING","Reformer",""))))</f>
        <v/>
      </c>
    </row>
    <row r="13788" spans="6:7">
      <c r="F13788" s="6">
        <f>IF($M13788="PADD I","PADD 1",IF($M13788="PADD II","PADD 2",IF($M13788="PADD III","PADD 3",IF($M13788="PADD IV","PADD 4",IF($M13788="PADD V","PADD 5","")))))</f>
        <v/>
      </c>
      <c r="G13788" s="6">
        <f>IF(AND($H13788="ATMOS DISTILLATION",ISNUMBER(SEARCH("VPS",$I13788))=FALSE,LEFT($I13788,6)&lt;&gt;"VACUUM"),"CDU",IF($H13788="FLUID CAT CRACKING","FCC",IF(OR($H13788="HYDROCRACKING",$H13788="RESID_HYDROCRACKING"),"Hydrocracker",IF($H13788="REFORMING","Reformer",""))))</f>
        <v/>
      </c>
    </row>
    <row r="13789" spans="6:7">
      <c r="F13789" s="6">
        <f>IF($M13789="PADD I","PADD 1",IF($M13789="PADD II","PADD 2",IF($M13789="PADD III","PADD 3",IF($M13789="PADD IV","PADD 4",IF($M13789="PADD V","PADD 5","")))))</f>
        <v/>
      </c>
      <c r="G13789" s="6">
        <f>IF(AND($H13789="ATMOS DISTILLATION",ISNUMBER(SEARCH("VPS",$I13789))=FALSE,LEFT($I13789,6)&lt;&gt;"VACUUM"),"CDU",IF($H13789="FLUID CAT CRACKING","FCC",IF(OR($H13789="HYDROCRACKING",$H13789="RESID_HYDROCRACKING"),"Hydrocracker",IF($H13789="REFORMING","Reformer",""))))</f>
        <v/>
      </c>
    </row>
    <row r="13790" spans="6:7">
      <c r="F13790" s="6">
        <f>IF($M13790="PADD I","PADD 1",IF($M13790="PADD II","PADD 2",IF($M13790="PADD III","PADD 3",IF($M13790="PADD IV","PADD 4",IF($M13790="PADD V","PADD 5","")))))</f>
        <v/>
      </c>
      <c r="G13790" s="6">
        <f>IF(AND($H13790="ATMOS DISTILLATION",ISNUMBER(SEARCH("VPS",$I13790))=FALSE,LEFT($I13790,6)&lt;&gt;"VACUUM"),"CDU",IF($H13790="FLUID CAT CRACKING","FCC",IF(OR($H13790="HYDROCRACKING",$H13790="RESID_HYDROCRACKING"),"Hydrocracker",IF($H13790="REFORMING","Reformer",""))))</f>
        <v/>
      </c>
    </row>
    <row r="13791" spans="6:7">
      <c r="F13791" s="6">
        <f>IF($M13791="PADD I","PADD 1",IF($M13791="PADD II","PADD 2",IF($M13791="PADD III","PADD 3",IF($M13791="PADD IV","PADD 4",IF($M13791="PADD V","PADD 5","")))))</f>
        <v/>
      </c>
      <c r="G13791" s="6">
        <f>IF(AND($H13791="ATMOS DISTILLATION",ISNUMBER(SEARCH("VPS",$I13791))=FALSE,LEFT($I13791,6)&lt;&gt;"VACUUM"),"CDU",IF($H13791="FLUID CAT CRACKING","FCC",IF(OR($H13791="HYDROCRACKING",$H13791="RESID_HYDROCRACKING"),"Hydrocracker",IF($H13791="REFORMING","Reformer",""))))</f>
        <v/>
      </c>
    </row>
    <row r="13792" spans="6:7">
      <c r="F13792" s="6">
        <f>IF($M13792="PADD I","PADD 1",IF($M13792="PADD II","PADD 2",IF($M13792="PADD III","PADD 3",IF($M13792="PADD IV","PADD 4",IF($M13792="PADD V","PADD 5","")))))</f>
        <v/>
      </c>
      <c r="G13792" s="6">
        <f>IF(AND($H13792="ATMOS DISTILLATION",ISNUMBER(SEARCH("VPS",$I13792))=FALSE,LEFT($I13792,6)&lt;&gt;"VACUUM"),"CDU",IF($H13792="FLUID CAT CRACKING","FCC",IF(OR($H13792="HYDROCRACKING",$H13792="RESID_HYDROCRACKING"),"Hydrocracker",IF($H13792="REFORMING","Reformer",""))))</f>
        <v/>
      </c>
    </row>
    <row r="13793" spans="6:7">
      <c r="F13793" s="6">
        <f>IF($M13793="PADD I","PADD 1",IF($M13793="PADD II","PADD 2",IF($M13793="PADD III","PADD 3",IF($M13793="PADD IV","PADD 4",IF($M13793="PADD V","PADD 5","")))))</f>
        <v/>
      </c>
      <c r="G13793" s="6">
        <f>IF(AND($H13793="ATMOS DISTILLATION",ISNUMBER(SEARCH("VPS",$I13793))=FALSE,LEFT($I13793,6)&lt;&gt;"VACUUM"),"CDU",IF($H13793="FLUID CAT CRACKING","FCC",IF(OR($H13793="HYDROCRACKING",$H13793="RESID_HYDROCRACKING"),"Hydrocracker",IF($H13793="REFORMING","Reformer",""))))</f>
        <v/>
      </c>
    </row>
    <row r="13794" spans="6:7">
      <c r="F13794" s="6">
        <f>IF($M13794="PADD I","PADD 1",IF($M13794="PADD II","PADD 2",IF($M13794="PADD III","PADD 3",IF($M13794="PADD IV","PADD 4",IF($M13794="PADD V","PADD 5","")))))</f>
        <v/>
      </c>
      <c r="G13794" s="6">
        <f>IF(AND($H13794="ATMOS DISTILLATION",ISNUMBER(SEARCH("VPS",$I13794))=FALSE,LEFT($I13794,6)&lt;&gt;"VACUUM"),"CDU",IF($H13794="FLUID CAT CRACKING","FCC",IF(OR($H13794="HYDROCRACKING",$H13794="RESID_HYDROCRACKING"),"Hydrocracker",IF($H13794="REFORMING","Reformer",""))))</f>
        <v/>
      </c>
    </row>
    <row r="13795" spans="6:7">
      <c r="F13795" s="6">
        <f>IF($M13795="PADD I","PADD 1",IF($M13795="PADD II","PADD 2",IF($M13795="PADD III","PADD 3",IF($M13795="PADD IV","PADD 4",IF($M13795="PADD V","PADD 5","")))))</f>
        <v/>
      </c>
      <c r="G13795" s="6">
        <f>IF(AND($H13795="ATMOS DISTILLATION",ISNUMBER(SEARCH("VPS",$I13795))=FALSE,LEFT($I13795,6)&lt;&gt;"VACUUM"),"CDU",IF($H13795="FLUID CAT CRACKING","FCC",IF(OR($H13795="HYDROCRACKING",$H13795="RESID_HYDROCRACKING"),"Hydrocracker",IF($H13795="REFORMING","Reformer",""))))</f>
        <v/>
      </c>
    </row>
    <row r="13796" spans="6:7">
      <c r="F13796" s="6">
        <f>IF($M13796="PADD I","PADD 1",IF($M13796="PADD II","PADD 2",IF($M13796="PADD III","PADD 3",IF($M13796="PADD IV","PADD 4",IF($M13796="PADD V","PADD 5","")))))</f>
        <v/>
      </c>
      <c r="G13796" s="6">
        <f>IF(AND($H13796="ATMOS DISTILLATION",ISNUMBER(SEARCH("VPS",$I13796))=FALSE,LEFT($I13796,6)&lt;&gt;"VACUUM"),"CDU",IF($H13796="FLUID CAT CRACKING","FCC",IF(OR($H13796="HYDROCRACKING",$H13796="RESID_HYDROCRACKING"),"Hydrocracker",IF($H13796="REFORMING","Reformer",""))))</f>
        <v/>
      </c>
    </row>
    <row r="13797" spans="6:7">
      <c r="F13797" s="6">
        <f>IF($M13797="PADD I","PADD 1",IF($M13797="PADD II","PADD 2",IF($M13797="PADD III","PADD 3",IF($M13797="PADD IV","PADD 4",IF($M13797="PADD V","PADD 5","")))))</f>
        <v/>
      </c>
      <c r="G13797" s="6">
        <f>IF(AND($H13797="ATMOS DISTILLATION",ISNUMBER(SEARCH("VPS",$I13797))=FALSE,LEFT($I13797,6)&lt;&gt;"VACUUM"),"CDU",IF($H13797="FLUID CAT CRACKING","FCC",IF(OR($H13797="HYDROCRACKING",$H13797="RESID_HYDROCRACKING"),"Hydrocracker",IF($H13797="REFORMING","Reformer",""))))</f>
        <v/>
      </c>
    </row>
    <row r="13798" spans="6:7">
      <c r="F13798" s="6">
        <f>IF($M13798="PADD I","PADD 1",IF($M13798="PADD II","PADD 2",IF($M13798="PADD III","PADD 3",IF($M13798="PADD IV","PADD 4",IF($M13798="PADD V","PADD 5","")))))</f>
        <v/>
      </c>
      <c r="G13798" s="6">
        <f>IF(AND($H13798="ATMOS DISTILLATION",ISNUMBER(SEARCH("VPS",$I13798))=FALSE,LEFT($I13798,6)&lt;&gt;"VACUUM"),"CDU",IF($H13798="FLUID CAT CRACKING","FCC",IF(OR($H13798="HYDROCRACKING",$H13798="RESID_HYDROCRACKING"),"Hydrocracker",IF($H13798="REFORMING","Reformer",""))))</f>
        <v/>
      </c>
    </row>
    <row r="13799" spans="6:7">
      <c r="F13799" s="6">
        <f>IF($M13799="PADD I","PADD 1",IF($M13799="PADD II","PADD 2",IF($M13799="PADD III","PADD 3",IF($M13799="PADD IV","PADD 4",IF($M13799="PADD V","PADD 5","")))))</f>
        <v/>
      </c>
      <c r="G13799" s="6">
        <f>IF(AND($H13799="ATMOS DISTILLATION",ISNUMBER(SEARCH("VPS",$I13799))=FALSE,LEFT($I13799,6)&lt;&gt;"VACUUM"),"CDU",IF($H13799="FLUID CAT CRACKING","FCC",IF(OR($H13799="HYDROCRACKING",$H13799="RESID_HYDROCRACKING"),"Hydrocracker",IF($H13799="REFORMING","Reformer",""))))</f>
        <v/>
      </c>
    </row>
    <row r="13800" spans="6:7">
      <c r="F13800" s="6">
        <f>IF($M13800="PADD I","PADD 1",IF($M13800="PADD II","PADD 2",IF($M13800="PADD III","PADD 3",IF($M13800="PADD IV","PADD 4",IF($M13800="PADD V","PADD 5","")))))</f>
        <v/>
      </c>
      <c r="G13800" s="6">
        <f>IF(AND($H13800="ATMOS DISTILLATION",ISNUMBER(SEARCH("VPS",$I13800))=FALSE,LEFT($I13800,6)&lt;&gt;"VACUUM"),"CDU",IF($H13800="FLUID CAT CRACKING","FCC",IF(OR($H13800="HYDROCRACKING",$H13800="RESID_HYDROCRACKING"),"Hydrocracker",IF($H13800="REFORMING","Reformer",""))))</f>
        <v/>
      </c>
    </row>
    <row r="13801" spans="6:7">
      <c r="F13801" s="6">
        <f>IF($M13801="PADD I","PADD 1",IF($M13801="PADD II","PADD 2",IF($M13801="PADD III","PADD 3",IF($M13801="PADD IV","PADD 4",IF($M13801="PADD V","PADD 5","")))))</f>
        <v/>
      </c>
      <c r="G13801" s="6">
        <f>IF(AND($H13801="ATMOS DISTILLATION",ISNUMBER(SEARCH("VPS",$I13801))=FALSE,LEFT($I13801,6)&lt;&gt;"VACUUM"),"CDU",IF($H13801="FLUID CAT CRACKING","FCC",IF(OR($H13801="HYDROCRACKING",$H13801="RESID_HYDROCRACKING"),"Hydrocracker",IF($H13801="REFORMING","Reformer",""))))</f>
        <v/>
      </c>
    </row>
    <row r="13802" spans="6:7">
      <c r="F13802" s="6">
        <f>IF($M13802="PADD I","PADD 1",IF($M13802="PADD II","PADD 2",IF($M13802="PADD III","PADD 3",IF($M13802="PADD IV","PADD 4",IF($M13802="PADD V","PADD 5","")))))</f>
        <v/>
      </c>
      <c r="G13802" s="6">
        <f>IF(AND($H13802="ATMOS DISTILLATION",ISNUMBER(SEARCH("VPS",$I13802))=FALSE,LEFT($I13802,6)&lt;&gt;"VACUUM"),"CDU",IF($H13802="FLUID CAT CRACKING","FCC",IF(OR($H13802="HYDROCRACKING",$H13802="RESID_HYDROCRACKING"),"Hydrocracker",IF($H13802="REFORMING","Reformer",""))))</f>
        <v/>
      </c>
    </row>
    <row r="13803" spans="6:7">
      <c r="F13803" s="6">
        <f>IF($M13803="PADD I","PADD 1",IF($M13803="PADD II","PADD 2",IF($M13803="PADD III","PADD 3",IF($M13803="PADD IV","PADD 4",IF($M13803="PADD V","PADD 5","")))))</f>
        <v/>
      </c>
      <c r="G13803" s="6">
        <f>IF(AND($H13803="ATMOS DISTILLATION",ISNUMBER(SEARCH("VPS",$I13803))=FALSE,LEFT($I13803,6)&lt;&gt;"VACUUM"),"CDU",IF($H13803="FLUID CAT CRACKING","FCC",IF(OR($H13803="HYDROCRACKING",$H13803="RESID_HYDROCRACKING"),"Hydrocracker",IF($H13803="REFORMING","Reformer",""))))</f>
        <v/>
      </c>
    </row>
    <row r="13804" spans="6:7">
      <c r="F13804" s="6">
        <f>IF($M13804="PADD I","PADD 1",IF($M13804="PADD II","PADD 2",IF($M13804="PADD III","PADD 3",IF($M13804="PADD IV","PADD 4",IF($M13804="PADD V","PADD 5","")))))</f>
        <v/>
      </c>
      <c r="G13804" s="6">
        <f>IF(AND($H13804="ATMOS DISTILLATION",ISNUMBER(SEARCH("VPS",$I13804))=FALSE,LEFT($I13804,6)&lt;&gt;"VACUUM"),"CDU",IF($H13804="FLUID CAT CRACKING","FCC",IF(OR($H13804="HYDROCRACKING",$H13804="RESID_HYDROCRACKING"),"Hydrocracker",IF($H13804="REFORMING","Reformer",""))))</f>
        <v/>
      </c>
    </row>
    <row r="13805" spans="6:7">
      <c r="F13805" s="6">
        <f>IF($M13805="PADD I","PADD 1",IF($M13805="PADD II","PADD 2",IF($M13805="PADD III","PADD 3",IF($M13805="PADD IV","PADD 4",IF($M13805="PADD V","PADD 5","")))))</f>
        <v/>
      </c>
      <c r="G13805" s="6">
        <f>IF(AND($H13805="ATMOS DISTILLATION",ISNUMBER(SEARCH("VPS",$I13805))=FALSE,LEFT($I13805,6)&lt;&gt;"VACUUM"),"CDU",IF($H13805="FLUID CAT CRACKING","FCC",IF(OR($H13805="HYDROCRACKING",$H13805="RESID_HYDROCRACKING"),"Hydrocracker",IF($H13805="REFORMING","Reformer",""))))</f>
        <v/>
      </c>
    </row>
    <row r="13806" spans="6:7">
      <c r="F13806" s="6">
        <f>IF($M13806="PADD I","PADD 1",IF($M13806="PADD II","PADD 2",IF($M13806="PADD III","PADD 3",IF($M13806="PADD IV","PADD 4",IF($M13806="PADD V","PADD 5","")))))</f>
        <v/>
      </c>
      <c r="G13806" s="6">
        <f>IF(AND($H13806="ATMOS DISTILLATION",ISNUMBER(SEARCH("VPS",$I13806))=FALSE,LEFT($I13806,6)&lt;&gt;"VACUUM"),"CDU",IF($H13806="FLUID CAT CRACKING","FCC",IF(OR($H13806="HYDROCRACKING",$H13806="RESID_HYDROCRACKING"),"Hydrocracker",IF($H13806="REFORMING","Reformer",""))))</f>
        <v/>
      </c>
    </row>
    <row r="13807" spans="6:7">
      <c r="F13807" s="6">
        <f>IF($M13807="PADD I","PADD 1",IF($M13807="PADD II","PADD 2",IF($M13807="PADD III","PADD 3",IF($M13807="PADD IV","PADD 4",IF($M13807="PADD V","PADD 5","")))))</f>
        <v/>
      </c>
      <c r="G13807" s="6">
        <f>IF(AND($H13807="ATMOS DISTILLATION",ISNUMBER(SEARCH("VPS",$I13807))=FALSE,LEFT($I13807,6)&lt;&gt;"VACUUM"),"CDU",IF($H13807="FLUID CAT CRACKING","FCC",IF(OR($H13807="HYDROCRACKING",$H13807="RESID_HYDROCRACKING"),"Hydrocracker",IF($H13807="REFORMING","Reformer",""))))</f>
        <v/>
      </c>
    </row>
    <row r="13808" spans="6:7">
      <c r="F13808" s="6">
        <f>IF($M13808="PADD I","PADD 1",IF($M13808="PADD II","PADD 2",IF($M13808="PADD III","PADD 3",IF($M13808="PADD IV","PADD 4",IF($M13808="PADD V","PADD 5","")))))</f>
        <v/>
      </c>
      <c r="G13808" s="6">
        <f>IF(AND($H13808="ATMOS DISTILLATION",ISNUMBER(SEARCH("VPS",$I13808))=FALSE,LEFT($I13808,6)&lt;&gt;"VACUUM"),"CDU",IF($H13808="FLUID CAT CRACKING","FCC",IF(OR($H13808="HYDROCRACKING",$H13808="RESID_HYDROCRACKING"),"Hydrocracker",IF($H13808="REFORMING","Reformer",""))))</f>
        <v/>
      </c>
    </row>
    <row r="13809" spans="6:7">
      <c r="F13809" s="6">
        <f>IF($M13809="PADD I","PADD 1",IF($M13809="PADD II","PADD 2",IF($M13809="PADD III","PADD 3",IF($M13809="PADD IV","PADD 4",IF($M13809="PADD V","PADD 5","")))))</f>
        <v/>
      </c>
      <c r="G13809" s="6">
        <f>IF(AND($H13809="ATMOS DISTILLATION",ISNUMBER(SEARCH("VPS",$I13809))=FALSE,LEFT($I13809,6)&lt;&gt;"VACUUM"),"CDU",IF($H13809="FLUID CAT CRACKING","FCC",IF(OR($H13809="HYDROCRACKING",$H13809="RESID_HYDROCRACKING"),"Hydrocracker",IF($H13809="REFORMING","Reformer",""))))</f>
        <v/>
      </c>
    </row>
    <row r="13810" spans="6:7">
      <c r="F13810" s="6">
        <f>IF($M13810="PADD I","PADD 1",IF($M13810="PADD II","PADD 2",IF($M13810="PADD III","PADD 3",IF($M13810="PADD IV","PADD 4",IF($M13810="PADD V","PADD 5","")))))</f>
        <v/>
      </c>
      <c r="G13810" s="6">
        <f>IF(AND($H13810="ATMOS DISTILLATION",ISNUMBER(SEARCH("VPS",$I13810))=FALSE,LEFT($I13810,6)&lt;&gt;"VACUUM"),"CDU",IF($H13810="FLUID CAT CRACKING","FCC",IF(OR($H13810="HYDROCRACKING",$H13810="RESID_HYDROCRACKING"),"Hydrocracker",IF($H13810="REFORMING","Reformer",""))))</f>
        <v/>
      </c>
    </row>
    <row r="13811" spans="6:7">
      <c r="F13811" s="6">
        <f>IF($M13811="PADD I","PADD 1",IF($M13811="PADD II","PADD 2",IF($M13811="PADD III","PADD 3",IF($M13811="PADD IV","PADD 4",IF($M13811="PADD V","PADD 5","")))))</f>
        <v/>
      </c>
      <c r="G13811" s="6">
        <f>IF(AND($H13811="ATMOS DISTILLATION",ISNUMBER(SEARCH("VPS",$I13811))=FALSE,LEFT($I13811,6)&lt;&gt;"VACUUM"),"CDU",IF($H13811="FLUID CAT CRACKING","FCC",IF(OR($H13811="HYDROCRACKING",$H13811="RESID_HYDROCRACKING"),"Hydrocracker",IF($H13811="REFORMING","Reformer",""))))</f>
        <v/>
      </c>
    </row>
    <row r="13812" spans="6:7">
      <c r="F13812" s="6">
        <f>IF($M13812="PADD I","PADD 1",IF($M13812="PADD II","PADD 2",IF($M13812="PADD III","PADD 3",IF($M13812="PADD IV","PADD 4",IF($M13812="PADD V","PADD 5","")))))</f>
        <v/>
      </c>
      <c r="G13812" s="6">
        <f>IF(AND($H13812="ATMOS DISTILLATION",ISNUMBER(SEARCH("VPS",$I13812))=FALSE,LEFT($I13812,6)&lt;&gt;"VACUUM"),"CDU",IF($H13812="FLUID CAT CRACKING","FCC",IF(OR($H13812="HYDROCRACKING",$H13812="RESID_HYDROCRACKING"),"Hydrocracker",IF($H13812="REFORMING","Reformer",""))))</f>
        <v/>
      </c>
    </row>
    <row r="13813" spans="6:7">
      <c r="F13813" s="6">
        <f>IF($M13813="PADD I","PADD 1",IF($M13813="PADD II","PADD 2",IF($M13813="PADD III","PADD 3",IF($M13813="PADD IV","PADD 4",IF($M13813="PADD V","PADD 5","")))))</f>
        <v/>
      </c>
      <c r="G13813" s="6">
        <f>IF(AND($H13813="ATMOS DISTILLATION",ISNUMBER(SEARCH("VPS",$I13813))=FALSE,LEFT($I13813,6)&lt;&gt;"VACUUM"),"CDU",IF($H13813="FLUID CAT CRACKING","FCC",IF(OR($H13813="HYDROCRACKING",$H13813="RESID_HYDROCRACKING"),"Hydrocracker",IF($H13813="REFORMING","Reformer",""))))</f>
        <v/>
      </c>
    </row>
    <row r="13814" spans="6:7">
      <c r="F13814" s="6">
        <f>IF($M13814="PADD I","PADD 1",IF($M13814="PADD II","PADD 2",IF($M13814="PADD III","PADD 3",IF($M13814="PADD IV","PADD 4",IF($M13814="PADD V","PADD 5","")))))</f>
        <v/>
      </c>
      <c r="G13814" s="6">
        <f>IF(AND($H13814="ATMOS DISTILLATION",ISNUMBER(SEARCH("VPS",$I13814))=FALSE,LEFT($I13814,6)&lt;&gt;"VACUUM"),"CDU",IF($H13814="FLUID CAT CRACKING","FCC",IF(OR($H13814="HYDROCRACKING",$H13814="RESID_HYDROCRACKING"),"Hydrocracker",IF($H13814="REFORMING","Reformer",""))))</f>
        <v/>
      </c>
    </row>
    <row r="13815" spans="6:7">
      <c r="F13815" s="6">
        <f>IF($M13815="PADD I","PADD 1",IF($M13815="PADD II","PADD 2",IF($M13815="PADD III","PADD 3",IF($M13815="PADD IV","PADD 4",IF($M13815="PADD V","PADD 5","")))))</f>
        <v/>
      </c>
      <c r="G13815" s="6">
        <f>IF(AND($H13815="ATMOS DISTILLATION",ISNUMBER(SEARCH("VPS",$I13815))=FALSE,LEFT($I13815,6)&lt;&gt;"VACUUM"),"CDU",IF($H13815="FLUID CAT CRACKING","FCC",IF(OR($H13815="HYDROCRACKING",$H13815="RESID_HYDROCRACKING"),"Hydrocracker",IF($H13815="REFORMING","Reformer",""))))</f>
        <v/>
      </c>
    </row>
    <row r="13816" spans="6:7">
      <c r="F13816" s="6">
        <f>IF($M13816="PADD I","PADD 1",IF($M13816="PADD II","PADD 2",IF($M13816="PADD III","PADD 3",IF($M13816="PADD IV","PADD 4",IF($M13816="PADD V","PADD 5","")))))</f>
        <v/>
      </c>
      <c r="G13816" s="6">
        <f>IF(AND($H13816="ATMOS DISTILLATION",ISNUMBER(SEARCH("VPS",$I13816))=FALSE,LEFT($I13816,6)&lt;&gt;"VACUUM"),"CDU",IF($H13816="FLUID CAT CRACKING","FCC",IF(OR($H13816="HYDROCRACKING",$H13816="RESID_HYDROCRACKING"),"Hydrocracker",IF($H13816="REFORMING","Reformer",""))))</f>
        <v/>
      </c>
    </row>
    <row r="13817" spans="6:7">
      <c r="F13817" s="6">
        <f>IF($M13817="PADD I","PADD 1",IF($M13817="PADD II","PADD 2",IF($M13817="PADD III","PADD 3",IF($M13817="PADD IV","PADD 4",IF($M13817="PADD V","PADD 5","")))))</f>
        <v/>
      </c>
      <c r="G13817" s="6">
        <f>IF(AND($H13817="ATMOS DISTILLATION",ISNUMBER(SEARCH("VPS",$I13817))=FALSE,LEFT($I13817,6)&lt;&gt;"VACUUM"),"CDU",IF($H13817="FLUID CAT CRACKING","FCC",IF(OR($H13817="HYDROCRACKING",$H13817="RESID_HYDROCRACKING"),"Hydrocracker",IF($H13817="REFORMING","Reformer",""))))</f>
        <v/>
      </c>
    </row>
    <row r="13818" spans="6:7">
      <c r="F13818" s="6">
        <f>IF($M13818="PADD I","PADD 1",IF($M13818="PADD II","PADD 2",IF($M13818="PADD III","PADD 3",IF($M13818="PADD IV","PADD 4",IF($M13818="PADD V","PADD 5","")))))</f>
        <v/>
      </c>
      <c r="G13818" s="6">
        <f>IF(AND($H13818="ATMOS DISTILLATION",ISNUMBER(SEARCH("VPS",$I13818))=FALSE,LEFT($I13818,6)&lt;&gt;"VACUUM"),"CDU",IF($H13818="FLUID CAT CRACKING","FCC",IF(OR($H13818="HYDROCRACKING",$H13818="RESID_HYDROCRACKING"),"Hydrocracker",IF($H13818="REFORMING","Reformer",""))))</f>
        <v/>
      </c>
    </row>
    <row r="13819" spans="6:7">
      <c r="F13819" s="6">
        <f>IF($M13819="PADD I","PADD 1",IF($M13819="PADD II","PADD 2",IF($M13819="PADD III","PADD 3",IF($M13819="PADD IV","PADD 4",IF($M13819="PADD V","PADD 5","")))))</f>
        <v/>
      </c>
      <c r="G13819" s="6">
        <f>IF(AND($H13819="ATMOS DISTILLATION",ISNUMBER(SEARCH("VPS",$I13819))=FALSE,LEFT($I13819,6)&lt;&gt;"VACUUM"),"CDU",IF($H13819="FLUID CAT CRACKING","FCC",IF(OR($H13819="HYDROCRACKING",$H13819="RESID_HYDROCRACKING"),"Hydrocracker",IF($H13819="REFORMING","Reformer",""))))</f>
        <v/>
      </c>
    </row>
    <row r="13820" spans="6:7">
      <c r="F13820" s="6">
        <f>IF($M13820="PADD I","PADD 1",IF($M13820="PADD II","PADD 2",IF($M13820="PADD III","PADD 3",IF($M13820="PADD IV","PADD 4",IF($M13820="PADD V","PADD 5","")))))</f>
        <v/>
      </c>
      <c r="G13820" s="6">
        <f>IF(AND($H13820="ATMOS DISTILLATION",ISNUMBER(SEARCH("VPS",$I13820))=FALSE,LEFT($I13820,6)&lt;&gt;"VACUUM"),"CDU",IF($H13820="FLUID CAT CRACKING","FCC",IF(OR($H13820="HYDROCRACKING",$H13820="RESID_HYDROCRACKING"),"Hydrocracker",IF($H13820="REFORMING","Reformer",""))))</f>
        <v/>
      </c>
    </row>
    <row r="13821" spans="6:7">
      <c r="F13821" s="6">
        <f>IF($M13821="PADD I","PADD 1",IF($M13821="PADD II","PADD 2",IF($M13821="PADD III","PADD 3",IF($M13821="PADD IV","PADD 4",IF($M13821="PADD V","PADD 5","")))))</f>
        <v/>
      </c>
      <c r="G13821" s="6">
        <f>IF(AND($H13821="ATMOS DISTILLATION",ISNUMBER(SEARCH("VPS",$I13821))=FALSE,LEFT($I13821,6)&lt;&gt;"VACUUM"),"CDU",IF($H13821="FLUID CAT CRACKING","FCC",IF(OR($H13821="HYDROCRACKING",$H13821="RESID_HYDROCRACKING"),"Hydrocracker",IF($H13821="REFORMING","Reformer",""))))</f>
        <v/>
      </c>
    </row>
    <row r="13822" spans="6:7">
      <c r="F13822" s="6">
        <f>IF($M13822="PADD I","PADD 1",IF($M13822="PADD II","PADD 2",IF($M13822="PADD III","PADD 3",IF($M13822="PADD IV","PADD 4",IF($M13822="PADD V","PADD 5","")))))</f>
        <v/>
      </c>
      <c r="G13822" s="6">
        <f>IF(AND($H13822="ATMOS DISTILLATION",ISNUMBER(SEARCH("VPS",$I13822))=FALSE,LEFT($I13822,6)&lt;&gt;"VACUUM"),"CDU",IF($H13822="FLUID CAT CRACKING","FCC",IF(OR($H13822="HYDROCRACKING",$H13822="RESID_HYDROCRACKING"),"Hydrocracker",IF($H13822="REFORMING","Reformer",""))))</f>
        <v/>
      </c>
    </row>
    <row r="13823" spans="6:7">
      <c r="F13823" s="6">
        <f>IF($M13823="PADD I","PADD 1",IF($M13823="PADD II","PADD 2",IF($M13823="PADD III","PADD 3",IF($M13823="PADD IV","PADD 4",IF($M13823="PADD V","PADD 5","")))))</f>
        <v/>
      </c>
      <c r="G13823" s="6">
        <f>IF(AND($H13823="ATMOS DISTILLATION",ISNUMBER(SEARCH("VPS",$I13823))=FALSE,LEFT($I13823,6)&lt;&gt;"VACUUM"),"CDU",IF($H13823="FLUID CAT CRACKING","FCC",IF(OR($H13823="HYDROCRACKING",$H13823="RESID_HYDROCRACKING"),"Hydrocracker",IF($H13823="REFORMING","Reformer",""))))</f>
        <v/>
      </c>
    </row>
    <row r="13824" spans="6:7">
      <c r="F13824" s="6">
        <f>IF($M13824="PADD I","PADD 1",IF($M13824="PADD II","PADD 2",IF($M13824="PADD III","PADD 3",IF($M13824="PADD IV","PADD 4",IF($M13824="PADD V","PADD 5","")))))</f>
        <v/>
      </c>
      <c r="G13824" s="6">
        <f>IF(AND($H13824="ATMOS DISTILLATION",ISNUMBER(SEARCH("VPS",$I13824))=FALSE,LEFT($I13824,6)&lt;&gt;"VACUUM"),"CDU",IF($H13824="FLUID CAT CRACKING","FCC",IF(OR($H13824="HYDROCRACKING",$H13824="RESID_HYDROCRACKING"),"Hydrocracker",IF($H13824="REFORMING","Reformer",""))))</f>
        <v/>
      </c>
    </row>
    <row r="13825" spans="6:7">
      <c r="F13825" s="6">
        <f>IF($M13825="PADD I","PADD 1",IF($M13825="PADD II","PADD 2",IF($M13825="PADD III","PADD 3",IF($M13825="PADD IV","PADD 4",IF($M13825="PADD V","PADD 5","")))))</f>
        <v/>
      </c>
      <c r="G13825" s="6">
        <f>IF(AND($H13825="ATMOS DISTILLATION",ISNUMBER(SEARCH("VPS",$I13825))=FALSE,LEFT($I13825,6)&lt;&gt;"VACUUM"),"CDU",IF($H13825="FLUID CAT CRACKING","FCC",IF(OR($H13825="HYDROCRACKING",$H13825="RESID_HYDROCRACKING"),"Hydrocracker",IF($H13825="REFORMING","Reformer",""))))</f>
        <v/>
      </c>
    </row>
    <row r="13826" spans="6:7">
      <c r="F13826" s="6">
        <f>IF($M13826="PADD I","PADD 1",IF($M13826="PADD II","PADD 2",IF($M13826="PADD III","PADD 3",IF($M13826="PADD IV","PADD 4",IF($M13826="PADD V","PADD 5","")))))</f>
        <v/>
      </c>
      <c r="G13826" s="6">
        <f>IF(AND($H13826="ATMOS DISTILLATION",ISNUMBER(SEARCH("VPS",$I13826))=FALSE,LEFT($I13826,6)&lt;&gt;"VACUUM"),"CDU",IF($H13826="FLUID CAT CRACKING","FCC",IF(OR($H13826="HYDROCRACKING",$H13826="RESID_HYDROCRACKING"),"Hydrocracker",IF($H13826="REFORMING","Reformer",""))))</f>
        <v/>
      </c>
    </row>
    <row r="13827" spans="6:7">
      <c r="F13827" s="6">
        <f>IF($M13827="PADD I","PADD 1",IF($M13827="PADD II","PADD 2",IF($M13827="PADD III","PADD 3",IF($M13827="PADD IV","PADD 4",IF($M13827="PADD V","PADD 5","")))))</f>
        <v/>
      </c>
      <c r="G13827" s="6">
        <f>IF(AND($H13827="ATMOS DISTILLATION",ISNUMBER(SEARCH("VPS",$I13827))=FALSE,LEFT($I13827,6)&lt;&gt;"VACUUM"),"CDU",IF($H13827="FLUID CAT CRACKING","FCC",IF(OR($H13827="HYDROCRACKING",$H13827="RESID_HYDROCRACKING"),"Hydrocracker",IF($H13827="REFORMING","Reformer",""))))</f>
        <v/>
      </c>
    </row>
    <row r="13828" spans="6:7">
      <c r="F13828" s="6">
        <f>IF($M13828="PADD I","PADD 1",IF($M13828="PADD II","PADD 2",IF($M13828="PADD III","PADD 3",IF($M13828="PADD IV","PADD 4",IF($M13828="PADD V","PADD 5","")))))</f>
        <v/>
      </c>
      <c r="G13828" s="6">
        <f>IF(AND($H13828="ATMOS DISTILLATION",ISNUMBER(SEARCH("VPS",$I13828))=FALSE,LEFT($I13828,6)&lt;&gt;"VACUUM"),"CDU",IF($H13828="FLUID CAT CRACKING","FCC",IF(OR($H13828="HYDROCRACKING",$H13828="RESID_HYDROCRACKING"),"Hydrocracker",IF($H13828="REFORMING","Reformer",""))))</f>
        <v/>
      </c>
    </row>
    <row r="13829" spans="6:7">
      <c r="F13829" s="6">
        <f>IF($M13829="PADD I","PADD 1",IF($M13829="PADD II","PADD 2",IF($M13829="PADD III","PADD 3",IF($M13829="PADD IV","PADD 4",IF($M13829="PADD V","PADD 5","")))))</f>
        <v/>
      </c>
      <c r="G13829" s="6">
        <f>IF(AND($H13829="ATMOS DISTILLATION",ISNUMBER(SEARCH("VPS",$I13829))=FALSE,LEFT($I13829,6)&lt;&gt;"VACUUM"),"CDU",IF($H13829="FLUID CAT CRACKING","FCC",IF(OR($H13829="HYDROCRACKING",$H13829="RESID_HYDROCRACKING"),"Hydrocracker",IF($H13829="REFORMING","Reformer",""))))</f>
        <v/>
      </c>
    </row>
    <row r="13830" spans="6:7">
      <c r="F13830" s="6">
        <f>IF($M13830="PADD I","PADD 1",IF($M13830="PADD II","PADD 2",IF($M13830="PADD III","PADD 3",IF($M13830="PADD IV","PADD 4",IF($M13830="PADD V","PADD 5","")))))</f>
        <v/>
      </c>
      <c r="G13830" s="6">
        <f>IF(AND($H13830="ATMOS DISTILLATION",ISNUMBER(SEARCH("VPS",$I13830))=FALSE,LEFT($I13830,6)&lt;&gt;"VACUUM"),"CDU",IF($H13830="FLUID CAT CRACKING","FCC",IF(OR($H13830="HYDROCRACKING",$H13830="RESID_HYDROCRACKING"),"Hydrocracker",IF($H13830="REFORMING","Reformer",""))))</f>
        <v/>
      </c>
    </row>
    <row r="13831" spans="6:7">
      <c r="F13831" s="6">
        <f>IF($M13831="PADD I","PADD 1",IF($M13831="PADD II","PADD 2",IF($M13831="PADD III","PADD 3",IF($M13831="PADD IV","PADD 4",IF($M13831="PADD V","PADD 5","")))))</f>
        <v/>
      </c>
      <c r="G13831" s="6">
        <f>IF(AND($H13831="ATMOS DISTILLATION",ISNUMBER(SEARCH("VPS",$I13831))=FALSE,LEFT($I13831,6)&lt;&gt;"VACUUM"),"CDU",IF($H13831="FLUID CAT CRACKING","FCC",IF(OR($H13831="HYDROCRACKING",$H13831="RESID_HYDROCRACKING"),"Hydrocracker",IF($H13831="REFORMING","Reformer",""))))</f>
        <v/>
      </c>
    </row>
    <row r="13832" spans="6:7">
      <c r="F13832" s="6">
        <f>IF($M13832="PADD I","PADD 1",IF($M13832="PADD II","PADD 2",IF($M13832="PADD III","PADD 3",IF($M13832="PADD IV","PADD 4",IF($M13832="PADD V","PADD 5","")))))</f>
        <v/>
      </c>
      <c r="G13832" s="6">
        <f>IF(AND($H13832="ATMOS DISTILLATION",ISNUMBER(SEARCH("VPS",$I13832))=FALSE,LEFT($I13832,6)&lt;&gt;"VACUUM"),"CDU",IF($H13832="FLUID CAT CRACKING","FCC",IF(OR($H13832="HYDROCRACKING",$H13832="RESID_HYDROCRACKING"),"Hydrocracker",IF($H13832="REFORMING","Reformer",""))))</f>
        <v/>
      </c>
    </row>
    <row r="13833" spans="6:7">
      <c r="F13833" s="6">
        <f>IF($M13833="PADD I","PADD 1",IF($M13833="PADD II","PADD 2",IF($M13833="PADD III","PADD 3",IF($M13833="PADD IV","PADD 4",IF($M13833="PADD V","PADD 5","")))))</f>
        <v/>
      </c>
      <c r="G13833" s="6">
        <f>IF(AND($H13833="ATMOS DISTILLATION",ISNUMBER(SEARCH("VPS",$I13833))=FALSE,LEFT($I13833,6)&lt;&gt;"VACUUM"),"CDU",IF($H13833="FLUID CAT CRACKING","FCC",IF(OR($H13833="HYDROCRACKING",$H13833="RESID_HYDROCRACKING"),"Hydrocracker",IF($H13833="REFORMING","Reformer",""))))</f>
        <v/>
      </c>
    </row>
    <row r="13834" spans="6:7">
      <c r="F13834" s="6">
        <f>IF($M13834="PADD I","PADD 1",IF($M13834="PADD II","PADD 2",IF($M13834="PADD III","PADD 3",IF($M13834="PADD IV","PADD 4",IF($M13834="PADD V","PADD 5","")))))</f>
        <v/>
      </c>
      <c r="G13834" s="6">
        <f>IF(AND($H13834="ATMOS DISTILLATION",ISNUMBER(SEARCH("VPS",$I13834))=FALSE,LEFT($I13834,6)&lt;&gt;"VACUUM"),"CDU",IF($H13834="FLUID CAT CRACKING","FCC",IF(OR($H13834="HYDROCRACKING",$H13834="RESID_HYDROCRACKING"),"Hydrocracker",IF($H13834="REFORMING","Reformer",""))))</f>
        <v/>
      </c>
    </row>
    <row r="13835" spans="6:7">
      <c r="F13835" s="6">
        <f>IF($M13835="PADD I","PADD 1",IF($M13835="PADD II","PADD 2",IF($M13835="PADD III","PADD 3",IF($M13835="PADD IV","PADD 4",IF($M13835="PADD V","PADD 5","")))))</f>
        <v/>
      </c>
      <c r="G13835" s="6">
        <f>IF(AND($H13835="ATMOS DISTILLATION",ISNUMBER(SEARCH("VPS",$I13835))=FALSE,LEFT($I13835,6)&lt;&gt;"VACUUM"),"CDU",IF($H13835="FLUID CAT CRACKING","FCC",IF(OR($H13835="HYDROCRACKING",$H13835="RESID_HYDROCRACKING"),"Hydrocracker",IF($H13835="REFORMING","Reformer",""))))</f>
        <v/>
      </c>
    </row>
    <row r="13836" spans="6:7">
      <c r="F13836" s="6">
        <f>IF($M13836="PADD I","PADD 1",IF($M13836="PADD II","PADD 2",IF($M13836="PADD III","PADD 3",IF($M13836="PADD IV","PADD 4",IF($M13836="PADD V","PADD 5","")))))</f>
        <v/>
      </c>
      <c r="G13836" s="6">
        <f>IF(AND($H13836="ATMOS DISTILLATION",ISNUMBER(SEARCH("VPS",$I13836))=FALSE,LEFT($I13836,6)&lt;&gt;"VACUUM"),"CDU",IF($H13836="FLUID CAT CRACKING","FCC",IF(OR($H13836="HYDROCRACKING",$H13836="RESID_HYDROCRACKING"),"Hydrocracker",IF($H13836="REFORMING","Reformer",""))))</f>
        <v/>
      </c>
    </row>
    <row r="13837" spans="6:7">
      <c r="F13837" s="6">
        <f>IF($M13837="PADD I","PADD 1",IF($M13837="PADD II","PADD 2",IF($M13837="PADD III","PADD 3",IF($M13837="PADD IV","PADD 4",IF($M13837="PADD V","PADD 5","")))))</f>
        <v/>
      </c>
      <c r="G13837" s="6">
        <f>IF(AND($H13837="ATMOS DISTILLATION",ISNUMBER(SEARCH("VPS",$I13837))=FALSE,LEFT($I13837,6)&lt;&gt;"VACUUM"),"CDU",IF($H13837="FLUID CAT CRACKING","FCC",IF(OR($H13837="HYDROCRACKING",$H13837="RESID_HYDROCRACKING"),"Hydrocracker",IF($H13837="REFORMING","Reformer",""))))</f>
        <v/>
      </c>
    </row>
    <row r="13838" spans="6:7">
      <c r="F13838" s="6">
        <f>IF($M13838="PADD I","PADD 1",IF($M13838="PADD II","PADD 2",IF($M13838="PADD III","PADD 3",IF($M13838="PADD IV","PADD 4",IF($M13838="PADD V","PADD 5","")))))</f>
        <v/>
      </c>
      <c r="G13838" s="6">
        <f>IF(AND($H13838="ATMOS DISTILLATION",ISNUMBER(SEARCH("VPS",$I13838))=FALSE,LEFT($I13838,6)&lt;&gt;"VACUUM"),"CDU",IF($H13838="FLUID CAT CRACKING","FCC",IF(OR($H13838="HYDROCRACKING",$H13838="RESID_HYDROCRACKING"),"Hydrocracker",IF($H13838="REFORMING","Reformer",""))))</f>
        <v/>
      </c>
    </row>
    <row r="13839" spans="6:7">
      <c r="F13839" s="6">
        <f>IF($M13839="PADD I","PADD 1",IF($M13839="PADD II","PADD 2",IF($M13839="PADD III","PADD 3",IF($M13839="PADD IV","PADD 4",IF($M13839="PADD V","PADD 5","")))))</f>
        <v/>
      </c>
      <c r="G13839" s="6">
        <f>IF(AND($H13839="ATMOS DISTILLATION",ISNUMBER(SEARCH("VPS",$I13839))=FALSE,LEFT($I13839,6)&lt;&gt;"VACUUM"),"CDU",IF($H13839="FLUID CAT CRACKING","FCC",IF(OR($H13839="HYDROCRACKING",$H13839="RESID_HYDROCRACKING"),"Hydrocracker",IF($H13839="REFORMING","Reformer",""))))</f>
        <v/>
      </c>
    </row>
    <row r="13840" spans="6:7">
      <c r="F13840" s="6">
        <f>IF($M13840="PADD I","PADD 1",IF($M13840="PADD II","PADD 2",IF($M13840="PADD III","PADD 3",IF($M13840="PADD IV","PADD 4",IF($M13840="PADD V","PADD 5","")))))</f>
        <v/>
      </c>
      <c r="G13840" s="6">
        <f>IF(AND($H13840="ATMOS DISTILLATION",ISNUMBER(SEARCH("VPS",$I13840))=FALSE,LEFT($I13840,6)&lt;&gt;"VACUUM"),"CDU",IF($H13840="FLUID CAT CRACKING","FCC",IF(OR($H13840="HYDROCRACKING",$H13840="RESID_HYDROCRACKING"),"Hydrocracker",IF($H13840="REFORMING","Reformer",""))))</f>
        <v/>
      </c>
    </row>
    <row r="13841" spans="6:7">
      <c r="F13841" s="6">
        <f>IF($M13841="PADD I","PADD 1",IF($M13841="PADD II","PADD 2",IF($M13841="PADD III","PADD 3",IF($M13841="PADD IV","PADD 4",IF($M13841="PADD V","PADD 5","")))))</f>
        <v/>
      </c>
      <c r="G13841" s="6">
        <f>IF(AND($H13841="ATMOS DISTILLATION",ISNUMBER(SEARCH("VPS",$I13841))=FALSE,LEFT($I13841,6)&lt;&gt;"VACUUM"),"CDU",IF($H13841="FLUID CAT CRACKING","FCC",IF(OR($H13841="HYDROCRACKING",$H13841="RESID_HYDROCRACKING"),"Hydrocracker",IF($H13841="REFORMING","Reformer",""))))</f>
        <v/>
      </c>
    </row>
    <row r="13842" spans="6:7">
      <c r="F13842" s="6">
        <f>IF($M13842="PADD I","PADD 1",IF($M13842="PADD II","PADD 2",IF($M13842="PADD III","PADD 3",IF($M13842="PADD IV","PADD 4",IF($M13842="PADD V","PADD 5","")))))</f>
        <v/>
      </c>
      <c r="G13842" s="6">
        <f>IF(AND($H13842="ATMOS DISTILLATION",ISNUMBER(SEARCH("VPS",$I13842))=FALSE,LEFT($I13842,6)&lt;&gt;"VACUUM"),"CDU",IF($H13842="FLUID CAT CRACKING","FCC",IF(OR($H13842="HYDROCRACKING",$H13842="RESID_HYDROCRACKING"),"Hydrocracker",IF($H13842="REFORMING","Reformer",""))))</f>
        <v/>
      </c>
    </row>
    <row r="13843" spans="6:7">
      <c r="F13843" s="6">
        <f>IF($M13843="PADD I","PADD 1",IF($M13843="PADD II","PADD 2",IF($M13843="PADD III","PADD 3",IF($M13843="PADD IV","PADD 4",IF($M13843="PADD V","PADD 5","")))))</f>
        <v/>
      </c>
      <c r="G13843" s="6">
        <f>IF(AND($H13843="ATMOS DISTILLATION",ISNUMBER(SEARCH("VPS",$I13843))=FALSE,LEFT($I13843,6)&lt;&gt;"VACUUM"),"CDU",IF($H13843="FLUID CAT CRACKING","FCC",IF(OR($H13843="HYDROCRACKING",$H13843="RESID_HYDROCRACKING"),"Hydrocracker",IF($H13843="REFORMING","Reformer",""))))</f>
        <v/>
      </c>
    </row>
    <row r="13844" spans="6:7">
      <c r="F13844" s="6">
        <f>IF($M13844="PADD I","PADD 1",IF($M13844="PADD II","PADD 2",IF($M13844="PADD III","PADD 3",IF($M13844="PADD IV","PADD 4",IF($M13844="PADD V","PADD 5","")))))</f>
        <v/>
      </c>
      <c r="G13844" s="6">
        <f>IF(AND($H13844="ATMOS DISTILLATION",ISNUMBER(SEARCH("VPS",$I13844))=FALSE,LEFT($I13844,6)&lt;&gt;"VACUUM"),"CDU",IF($H13844="FLUID CAT CRACKING","FCC",IF(OR($H13844="HYDROCRACKING",$H13844="RESID_HYDROCRACKING"),"Hydrocracker",IF($H13844="REFORMING","Reformer",""))))</f>
        <v/>
      </c>
    </row>
    <row r="13845" spans="6:7">
      <c r="F13845" s="6">
        <f>IF($M13845="PADD I","PADD 1",IF($M13845="PADD II","PADD 2",IF($M13845="PADD III","PADD 3",IF($M13845="PADD IV","PADD 4",IF($M13845="PADD V","PADD 5","")))))</f>
        <v/>
      </c>
      <c r="G13845" s="6">
        <f>IF(AND($H13845="ATMOS DISTILLATION",ISNUMBER(SEARCH("VPS",$I13845))=FALSE,LEFT($I13845,6)&lt;&gt;"VACUUM"),"CDU",IF($H13845="FLUID CAT CRACKING","FCC",IF(OR($H13845="HYDROCRACKING",$H13845="RESID_HYDROCRACKING"),"Hydrocracker",IF($H13845="REFORMING","Reformer",""))))</f>
        <v/>
      </c>
    </row>
    <row r="13846" spans="6:7">
      <c r="F13846" s="6">
        <f>IF($M13846="PADD I","PADD 1",IF($M13846="PADD II","PADD 2",IF($M13846="PADD III","PADD 3",IF($M13846="PADD IV","PADD 4",IF($M13846="PADD V","PADD 5","")))))</f>
        <v/>
      </c>
      <c r="G13846" s="6">
        <f>IF(AND($H13846="ATMOS DISTILLATION",ISNUMBER(SEARCH("VPS",$I13846))=FALSE,LEFT($I13846,6)&lt;&gt;"VACUUM"),"CDU",IF($H13846="FLUID CAT CRACKING","FCC",IF(OR($H13846="HYDROCRACKING",$H13846="RESID_HYDROCRACKING"),"Hydrocracker",IF($H13846="REFORMING","Reformer",""))))</f>
        <v/>
      </c>
    </row>
    <row r="13847" spans="6:7">
      <c r="F13847" s="6">
        <f>IF($M13847="PADD I","PADD 1",IF($M13847="PADD II","PADD 2",IF($M13847="PADD III","PADD 3",IF($M13847="PADD IV","PADD 4",IF($M13847="PADD V","PADD 5","")))))</f>
        <v/>
      </c>
      <c r="G13847" s="6">
        <f>IF(AND($H13847="ATMOS DISTILLATION",ISNUMBER(SEARCH("VPS",$I13847))=FALSE,LEFT($I13847,6)&lt;&gt;"VACUUM"),"CDU",IF($H13847="FLUID CAT CRACKING","FCC",IF(OR($H13847="HYDROCRACKING",$H13847="RESID_HYDROCRACKING"),"Hydrocracker",IF($H13847="REFORMING","Reformer",""))))</f>
        <v/>
      </c>
    </row>
    <row r="13848" spans="6:7">
      <c r="F13848" s="6">
        <f>IF($M13848="PADD I","PADD 1",IF($M13848="PADD II","PADD 2",IF($M13848="PADD III","PADD 3",IF($M13848="PADD IV","PADD 4",IF($M13848="PADD V","PADD 5","")))))</f>
        <v/>
      </c>
      <c r="G13848" s="6">
        <f>IF(AND($H13848="ATMOS DISTILLATION",ISNUMBER(SEARCH("VPS",$I13848))=FALSE,LEFT($I13848,6)&lt;&gt;"VACUUM"),"CDU",IF($H13848="FLUID CAT CRACKING","FCC",IF(OR($H13848="HYDROCRACKING",$H13848="RESID_HYDROCRACKING"),"Hydrocracker",IF($H13848="REFORMING","Reformer",""))))</f>
        <v/>
      </c>
    </row>
    <row r="13849" spans="6:7">
      <c r="F13849" s="6">
        <f>IF($M13849="PADD I","PADD 1",IF($M13849="PADD II","PADD 2",IF($M13849="PADD III","PADD 3",IF($M13849="PADD IV","PADD 4",IF($M13849="PADD V","PADD 5","")))))</f>
        <v/>
      </c>
      <c r="G13849" s="6">
        <f>IF(AND($H13849="ATMOS DISTILLATION",ISNUMBER(SEARCH("VPS",$I13849))=FALSE,LEFT($I13849,6)&lt;&gt;"VACUUM"),"CDU",IF($H13849="FLUID CAT CRACKING","FCC",IF(OR($H13849="HYDROCRACKING",$H13849="RESID_HYDROCRACKING"),"Hydrocracker",IF($H13849="REFORMING","Reformer",""))))</f>
        <v/>
      </c>
    </row>
    <row r="13850" spans="6:7">
      <c r="F13850" s="6">
        <f>IF($M13850="PADD I","PADD 1",IF($M13850="PADD II","PADD 2",IF($M13850="PADD III","PADD 3",IF($M13850="PADD IV","PADD 4",IF($M13850="PADD V","PADD 5","")))))</f>
        <v/>
      </c>
      <c r="G13850" s="6">
        <f>IF(AND($H13850="ATMOS DISTILLATION",ISNUMBER(SEARCH("VPS",$I13850))=FALSE,LEFT($I13850,6)&lt;&gt;"VACUUM"),"CDU",IF($H13850="FLUID CAT CRACKING","FCC",IF(OR($H13850="HYDROCRACKING",$H13850="RESID_HYDROCRACKING"),"Hydrocracker",IF($H13850="REFORMING","Reformer",""))))</f>
        <v/>
      </c>
    </row>
    <row r="13851" spans="6:7">
      <c r="F13851" s="6">
        <f>IF($M13851="PADD I","PADD 1",IF($M13851="PADD II","PADD 2",IF($M13851="PADD III","PADD 3",IF($M13851="PADD IV","PADD 4",IF($M13851="PADD V","PADD 5","")))))</f>
        <v/>
      </c>
      <c r="G13851" s="6">
        <f>IF(AND($H13851="ATMOS DISTILLATION",ISNUMBER(SEARCH("VPS",$I13851))=FALSE,LEFT($I13851,6)&lt;&gt;"VACUUM"),"CDU",IF($H13851="FLUID CAT CRACKING","FCC",IF(OR($H13851="HYDROCRACKING",$H13851="RESID_HYDROCRACKING"),"Hydrocracker",IF($H13851="REFORMING","Reformer",""))))</f>
        <v/>
      </c>
    </row>
    <row r="13852" spans="6:7">
      <c r="F13852" s="6">
        <f>IF($M13852="PADD I","PADD 1",IF($M13852="PADD II","PADD 2",IF($M13852="PADD III","PADD 3",IF($M13852="PADD IV","PADD 4",IF($M13852="PADD V","PADD 5","")))))</f>
        <v/>
      </c>
      <c r="G13852" s="6">
        <f>IF(AND($H13852="ATMOS DISTILLATION",ISNUMBER(SEARCH("VPS",$I13852))=FALSE,LEFT($I13852,6)&lt;&gt;"VACUUM"),"CDU",IF($H13852="FLUID CAT CRACKING","FCC",IF(OR($H13852="HYDROCRACKING",$H13852="RESID_HYDROCRACKING"),"Hydrocracker",IF($H13852="REFORMING","Reformer",""))))</f>
        <v/>
      </c>
    </row>
    <row r="13853" spans="6:7">
      <c r="F13853" s="6">
        <f>IF($M13853="PADD I","PADD 1",IF($M13853="PADD II","PADD 2",IF($M13853="PADD III","PADD 3",IF($M13853="PADD IV","PADD 4",IF($M13853="PADD V","PADD 5","")))))</f>
        <v/>
      </c>
      <c r="G13853" s="6">
        <f>IF(AND($H13853="ATMOS DISTILLATION",ISNUMBER(SEARCH("VPS",$I13853))=FALSE,LEFT($I13853,6)&lt;&gt;"VACUUM"),"CDU",IF($H13853="FLUID CAT CRACKING","FCC",IF(OR($H13853="HYDROCRACKING",$H13853="RESID_HYDROCRACKING"),"Hydrocracker",IF($H13853="REFORMING","Reformer",""))))</f>
        <v/>
      </c>
    </row>
    <row r="13854" spans="6:7">
      <c r="F13854" s="6">
        <f>IF($M13854="PADD I","PADD 1",IF($M13854="PADD II","PADD 2",IF($M13854="PADD III","PADD 3",IF($M13854="PADD IV","PADD 4",IF($M13854="PADD V","PADD 5","")))))</f>
        <v/>
      </c>
      <c r="G13854" s="6">
        <f>IF(AND($H13854="ATMOS DISTILLATION",ISNUMBER(SEARCH("VPS",$I13854))=FALSE,LEFT($I13854,6)&lt;&gt;"VACUUM"),"CDU",IF($H13854="FLUID CAT CRACKING","FCC",IF(OR($H13854="HYDROCRACKING",$H13854="RESID_HYDROCRACKING"),"Hydrocracker",IF($H13854="REFORMING","Reformer",""))))</f>
        <v/>
      </c>
    </row>
    <row r="13855" spans="6:7">
      <c r="F13855" s="6">
        <f>IF($M13855="PADD I","PADD 1",IF($M13855="PADD II","PADD 2",IF($M13855="PADD III","PADD 3",IF($M13855="PADD IV","PADD 4",IF($M13855="PADD V","PADD 5","")))))</f>
        <v/>
      </c>
      <c r="G13855" s="6">
        <f>IF(AND($H13855="ATMOS DISTILLATION",ISNUMBER(SEARCH("VPS",$I13855))=FALSE,LEFT($I13855,6)&lt;&gt;"VACUUM"),"CDU",IF($H13855="FLUID CAT CRACKING","FCC",IF(OR($H13855="HYDROCRACKING",$H13855="RESID_HYDROCRACKING"),"Hydrocracker",IF($H13855="REFORMING","Reformer",""))))</f>
        <v/>
      </c>
    </row>
    <row r="13856" spans="6:7">
      <c r="F13856" s="6">
        <f>IF($M13856="PADD I","PADD 1",IF($M13856="PADD II","PADD 2",IF($M13856="PADD III","PADD 3",IF($M13856="PADD IV","PADD 4",IF($M13856="PADD V","PADD 5","")))))</f>
        <v/>
      </c>
      <c r="G13856" s="6">
        <f>IF(AND($H13856="ATMOS DISTILLATION",ISNUMBER(SEARCH("VPS",$I13856))=FALSE,LEFT($I13856,6)&lt;&gt;"VACUUM"),"CDU",IF($H13856="FLUID CAT CRACKING","FCC",IF(OR($H13856="HYDROCRACKING",$H13856="RESID_HYDROCRACKING"),"Hydrocracker",IF($H13856="REFORMING","Reformer",""))))</f>
        <v/>
      </c>
    </row>
    <row r="13857" spans="6:7">
      <c r="F13857" s="6">
        <f>IF($M13857="PADD I","PADD 1",IF($M13857="PADD II","PADD 2",IF($M13857="PADD III","PADD 3",IF($M13857="PADD IV","PADD 4",IF($M13857="PADD V","PADD 5","")))))</f>
        <v/>
      </c>
      <c r="G13857" s="6">
        <f>IF(AND($H13857="ATMOS DISTILLATION",ISNUMBER(SEARCH("VPS",$I13857))=FALSE,LEFT($I13857,6)&lt;&gt;"VACUUM"),"CDU",IF($H13857="FLUID CAT CRACKING","FCC",IF(OR($H13857="HYDROCRACKING",$H13857="RESID_HYDROCRACKING"),"Hydrocracker",IF($H13857="REFORMING","Reformer",""))))</f>
        <v/>
      </c>
    </row>
    <row r="13858" spans="6:7">
      <c r="F13858" s="6">
        <f>IF($M13858="PADD I","PADD 1",IF($M13858="PADD II","PADD 2",IF($M13858="PADD III","PADD 3",IF($M13858="PADD IV","PADD 4",IF($M13858="PADD V","PADD 5","")))))</f>
        <v/>
      </c>
      <c r="G13858" s="6">
        <f>IF(AND($H13858="ATMOS DISTILLATION",ISNUMBER(SEARCH("VPS",$I13858))=FALSE,LEFT($I13858,6)&lt;&gt;"VACUUM"),"CDU",IF($H13858="FLUID CAT CRACKING","FCC",IF(OR($H13858="HYDROCRACKING",$H13858="RESID_HYDROCRACKING"),"Hydrocracker",IF($H13858="REFORMING","Reformer",""))))</f>
        <v/>
      </c>
    </row>
    <row r="13859" spans="6:7">
      <c r="F13859" s="6">
        <f>IF($M13859="PADD I","PADD 1",IF($M13859="PADD II","PADD 2",IF($M13859="PADD III","PADD 3",IF($M13859="PADD IV","PADD 4",IF($M13859="PADD V","PADD 5","")))))</f>
        <v/>
      </c>
      <c r="G13859" s="6">
        <f>IF(AND($H13859="ATMOS DISTILLATION",ISNUMBER(SEARCH("VPS",$I13859))=FALSE,LEFT($I13859,6)&lt;&gt;"VACUUM"),"CDU",IF($H13859="FLUID CAT CRACKING","FCC",IF(OR($H13859="HYDROCRACKING",$H13859="RESID_HYDROCRACKING"),"Hydrocracker",IF($H13859="REFORMING","Reformer",""))))</f>
        <v/>
      </c>
    </row>
    <row r="13860" spans="6:7">
      <c r="F13860" s="6">
        <f>IF($M13860="PADD I","PADD 1",IF($M13860="PADD II","PADD 2",IF($M13860="PADD III","PADD 3",IF($M13860="PADD IV","PADD 4",IF($M13860="PADD V","PADD 5","")))))</f>
        <v/>
      </c>
      <c r="G13860" s="6">
        <f>IF(AND($H13860="ATMOS DISTILLATION",ISNUMBER(SEARCH("VPS",$I13860))=FALSE,LEFT($I13860,6)&lt;&gt;"VACUUM"),"CDU",IF($H13860="FLUID CAT CRACKING","FCC",IF(OR($H13860="HYDROCRACKING",$H13860="RESID_HYDROCRACKING"),"Hydrocracker",IF($H13860="REFORMING","Reformer",""))))</f>
        <v/>
      </c>
    </row>
    <row r="13861" spans="6:7">
      <c r="F13861" s="6">
        <f>IF($M13861="PADD I","PADD 1",IF($M13861="PADD II","PADD 2",IF($M13861="PADD III","PADD 3",IF($M13861="PADD IV","PADD 4",IF($M13861="PADD V","PADD 5","")))))</f>
        <v/>
      </c>
      <c r="G13861" s="6">
        <f>IF(AND($H13861="ATMOS DISTILLATION",ISNUMBER(SEARCH("VPS",$I13861))=FALSE,LEFT($I13861,6)&lt;&gt;"VACUUM"),"CDU",IF($H13861="FLUID CAT CRACKING","FCC",IF(OR($H13861="HYDROCRACKING",$H13861="RESID_HYDROCRACKING"),"Hydrocracker",IF($H13861="REFORMING","Reformer",""))))</f>
        <v/>
      </c>
    </row>
    <row r="13862" spans="6:7">
      <c r="F13862" s="6">
        <f>IF($M13862="PADD I","PADD 1",IF($M13862="PADD II","PADD 2",IF($M13862="PADD III","PADD 3",IF($M13862="PADD IV","PADD 4",IF($M13862="PADD V","PADD 5","")))))</f>
        <v/>
      </c>
      <c r="G13862" s="6">
        <f>IF(AND($H13862="ATMOS DISTILLATION",ISNUMBER(SEARCH("VPS",$I13862))=FALSE,LEFT($I13862,6)&lt;&gt;"VACUUM"),"CDU",IF($H13862="FLUID CAT CRACKING","FCC",IF(OR($H13862="HYDROCRACKING",$H13862="RESID_HYDROCRACKING"),"Hydrocracker",IF($H13862="REFORMING","Reformer",""))))</f>
        <v/>
      </c>
    </row>
    <row r="13863" spans="6:7">
      <c r="F13863" s="6">
        <f>IF($M13863="PADD I","PADD 1",IF($M13863="PADD II","PADD 2",IF($M13863="PADD III","PADD 3",IF($M13863="PADD IV","PADD 4",IF($M13863="PADD V","PADD 5","")))))</f>
        <v/>
      </c>
      <c r="G13863" s="6">
        <f>IF(AND($H13863="ATMOS DISTILLATION",ISNUMBER(SEARCH("VPS",$I13863))=FALSE,LEFT($I13863,6)&lt;&gt;"VACUUM"),"CDU",IF($H13863="FLUID CAT CRACKING","FCC",IF(OR($H13863="HYDROCRACKING",$H13863="RESID_HYDROCRACKING"),"Hydrocracker",IF($H13863="REFORMING","Reformer",""))))</f>
        <v/>
      </c>
    </row>
    <row r="13864" spans="6:7">
      <c r="F13864" s="6">
        <f>IF($M13864="PADD I","PADD 1",IF($M13864="PADD II","PADD 2",IF($M13864="PADD III","PADD 3",IF($M13864="PADD IV","PADD 4",IF($M13864="PADD V","PADD 5","")))))</f>
        <v/>
      </c>
      <c r="G13864" s="6">
        <f>IF(AND($H13864="ATMOS DISTILLATION",ISNUMBER(SEARCH("VPS",$I13864))=FALSE,LEFT($I13864,6)&lt;&gt;"VACUUM"),"CDU",IF($H13864="FLUID CAT CRACKING","FCC",IF(OR($H13864="HYDROCRACKING",$H13864="RESID_HYDROCRACKING"),"Hydrocracker",IF($H13864="REFORMING","Reformer",""))))</f>
        <v/>
      </c>
    </row>
    <row r="13865" spans="6:7">
      <c r="F13865" s="6">
        <f>IF($M13865="PADD I","PADD 1",IF($M13865="PADD II","PADD 2",IF($M13865="PADD III","PADD 3",IF($M13865="PADD IV","PADD 4",IF($M13865="PADD V","PADD 5","")))))</f>
        <v/>
      </c>
      <c r="G13865" s="6">
        <f>IF(AND($H13865="ATMOS DISTILLATION",ISNUMBER(SEARCH("VPS",$I13865))=FALSE,LEFT($I13865,6)&lt;&gt;"VACUUM"),"CDU",IF($H13865="FLUID CAT CRACKING","FCC",IF(OR($H13865="HYDROCRACKING",$H13865="RESID_HYDROCRACKING"),"Hydrocracker",IF($H13865="REFORMING","Reformer",""))))</f>
        <v/>
      </c>
    </row>
    <row r="13866" spans="6:7">
      <c r="F13866" s="6">
        <f>IF($M13866="PADD I","PADD 1",IF($M13866="PADD II","PADD 2",IF($M13866="PADD III","PADD 3",IF($M13866="PADD IV","PADD 4",IF($M13866="PADD V","PADD 5","")))))</f>
        <v/>
      </c>
      <c r="G13866" s="6">
        <f>IF(AND($H13866="ATMOS DISTILLATION",ISNUMBER(SEARCH("VPS",$I13866))=FALSE,LEFT($I13866,6)&lt;&gt;"VACUUM"),"CDU",IF($H13866="FLUID CAT CRACKING","FCC",IF(OR($H13866="HYDROCRACKING",$H13866="RESID_HYDROCRACKING"),"Hydrocracker",IF($H13866="REFORMING","Reformer",""))))</f>
        <v/>
      </c>
    </row>
    <row r="13867" spans="6:7">
      <c r="F13867" s="6">
        <f>IF($M13867="PADD I","PADD 1",IF($M13867="PADD II","PADD 2",IF($M13867="PADD III","PADD 3",IF($M13867="PADD IV","PADD 4",IF($M13867="PADD V","PADD 5","")))))</f>
        <v/>
      </c>
      <c r="G13867" s="6">
        <f>IF(AND($H13867="ATMOS DISTILLATION",ISNUMBER(SEARCH("VPS",$I13867))=FALSE,LEFT($I13867,6)&lt;&gt;"VACUUM"),"CDU",IF($H13867="FLUID CAT CRACKING","FCC",IF(OR($H13867="HYDROCRACKING",$H13867="RESID_HYDROCRACKING"),"Hydrocracker",IF($H13867="REFORMING","Reformer",""))))</f>
        <v/>
      </c>
    </row>
    <row r="13868" spans="6:7">
      <c r="F13868" s="6">
        <f>IF($M13868="PADD I","PADD 1",IF($M13868="PADD II","PADD 2",IF($M13868="PADD III","PADD 3",IF($M13868="PADD IV","PADD 4",IF($M13868="PADD V","PADD 5","")))))</f>
        <v/>
      </c>
      <c r="G13868" s="6">
        <f>IF(AND($H13868="ATMOS DISTILLATION",ISNUMBER(SEARCH("VPS",$I13868))=FALSE,LEFT($I13868,6)&lt;&gt;"VACUUM"),"CDU",IF($H13868="FLUID CAT CRACKING","FCC",IF(OR($H13868="HYDROCRACKING",$H13868="RESID_HYDROCRACKING"),"Hydrocracker",IF($H13868="REFORMING","Reformer",""))))</f>
        <v/>
      </c>
    </row>
    <row r="13869" spans="6:7">
      <c r="F13869" s="6">
        <f>IF($M13869="PADD I","PADD 1",IF($M13869="PADD II","PADD 2",IF($M13869="PADD III","PADD 3",IF($M13869="PADD IV","PADD 4",IF($M13869="PADD V","PADD 5","")))))</f>
        <v/>
      </c>
      <c r="G13869" s="6">
        <f>IF(AND($H13869="ATMOS DISTILLATION",ISNUMBER(SEARCH("VPS",$I13869))=FALSE,LEFT($I13869,6)&lt;&gt;"VACUUM"),"CDU",IF($H13869="FLUID CAT CRACKING","FCC",IF(OR($H13869="HYDROCRACKING",$H13869="RESID_HYDROCRACKING"),"Hydrocracker",IF($H13869="REFORMING","Reformer",""))))</f>
        <v/>
      </c>
    </row>
    <row r="13870" spans="6:7">
      <c r="F13870" s="6">
        <f>IF($M13870="PADD I","PADD 1",IF($M13870="PADD II","PADD 2",IF($M13870="PADD III","PADD 3",IF($M13870="PADD IV","PADD 4",IF($M13870="PADD V","PADD 5","")))))</f>
        <v/>
      </c>
      <c r="G13870" s="6">
        <f>IF(AND($H13870="ATMOS DISTILLATION",ISNUMBER(SEARCH("VPS",$I13870))=FALSE,LEFT($I13870,6)&lt;&gt;"VACUUM"),"CDU",IF($H13870="FLUID CAT CRACKING","FCC",IF(OR($H13870="HYDROCRACKING",$H13870="RESID_HYDROCRACKING"),"Hydrocracker",IF($H13870="REFORMING","Reformer",""))))</f>
        <v/>
      </c>
    </row>
    <row r="13871" spans="6:7">
      <c r="F13871" s="6">
        <f>IF($M13871="PADD I","PADD 1",IF($M13871="PADD II","PADD 2",IF($M13871="PADD III","PADD 3",IF($M13871="PADD IV","PADD 4",IF($M13871="PADD V","PADD 5","")))))</f>
        <v/>
      </c>
      <c r="G13871" s="6">
        <f>IF(AND($H13871="ATMOS DISTILLATION",ISNUMBER(SEARCH("VPS",$I13871))=FALSE,LEFT($I13871,6)&lt;&gt;"VACUUM"),"CDU",IF($H13871="FLUID CAT CRACKING","FCC",IF(OR($H13871="HYDROCRACKING",$H13871="RESID_HYDROCRACKING"),"Hydrocracker",IF($H13871="REFORMING","Reformer",""))))</f>
        <v/>
      </c>
    </row>
    <row r="13872" spans="6:7">
      <c r="F13872" s="6">
        <f>IF($M13872="PADD I","PADD 1",IF($M13872="PADD II","PADD 2",IF($M13872="PADD III","PADD 3",IF($M13872="PADD IV","PADD 4",IF($M13872="PADD V","PADD 5","")))))</f>
        <v/>
      </c>
      <c r="G13872" s="6">
        <f>IF(AND($H13872="ATMOS DISTILLATION",ISNUMBER(SEARCH("VPS",$I13872))=FALSE,LEFT($I13872,6)&lt;&gt;"VACUUM"),"CDU",IF($H13872="FLUID CAT CRACKING","FCC",IF(OR($H13872="HYDROCRACKING",$H13872="RESID_HYDROCRACKING"),"Hydrocracker",IF($H13872="REFORMING","Reformer",""))))</f>
        <v/>
      </c>
    </row>
    <row r="13873" spans="6:7">
      <c r="F13873" s="6">
        <f>IF($M13873="PADD I","PADD 1",IF($M13873="PADD II","PADD 2",IF($M13873="PADD III","PADD 3",IF($M13873="PADD IV","PADD 4",IF($M13873="PADD V","PADD 5","")))))</f>
        <v/>
      </c>
      <c r="G13873" s="6">
        <f>IF(AND($H13873="ATMOS DISTILLATION",ISNUMBER(SEARCH("VPS",$I13873))=FALSE,LEFT($I13873,6)&lt;&gt;"VACUUM"),"CDU",IF($H13873="FLUID CAT CRACKING","FCC",IF(OR($H13873="HYDROCRACKING",$H13873="RESID_HYDROCRACKING"),"Hydrocracker",IF($H13873="REFORMING","Reformer",""))))</f>
        <v/>
      </c>
    </row>
    <row r="13874" spans="6:7">
      <c r="F13874" s="6">
        <f>IF($M13874="PADD I","PADD 1",IF($M13874="PADD II","PADD 2",IF($M13874="PADD III","PADD 3",IF($M13874="PADD IV","PADD 4",IF($M13874="PADD V","PADD 5","")))))</f>
        <v/>
      </c>
      <c r="G13874" s="6">
        <f>IF(AND($H13874="ATMOS DISTILLATION",ISNUMBER(SEARCH("VPS",$I13874))=FALSE,LEFT($I13874,6)&lt;&gt;"VACUUM"),"CDU",IF($H13874="FLUID CAT CRACKING","FCC",IF(OR($H13874="HYDROCRACKING",$H13874="RESID_HYDROCRACKING"),"Hydrocracker",IF($H13874="REFORMING","Reformer",""))))</f>
        <v/>
      </c>
    </row>
    <row r="13875" spans="6:7">
      <c r="F13875" s="6">
        <f>IF($M13875="PADD I","PADD 1",IF($M13875="PADD II","PADD 2",IF($M13875="PADD III","PADD 3",IF($M13875="PADD IV","PADD 4",IF($M13875="PADD V","PADD 5","")))))</f>
        <v/>
      </c>
      <c r="G13875" s="6">
        <f>IF(AND($H13875="ATMOS DISTILLATION",ISNUMBER(SEARCH("VPS",$I13875))=FALSE,LEFT($I13875,6)&lt;&gt;"VACUUM"),"CDU",IF($H13875="FLUID CAT CRACKING","FCC",IF(OR($H13875="HYDROCRACKING",$H13875="RESID_HYDROCRACKING"),"Hydrocracker",IF($H13875="REFORMING","Reformer",""))))</f>
        <v/>
      </c>
    </row>
    <row r="13876" spans="6:7">
      <c r="F13876" s="6">
        <f>IF($M13876="PADD I","PADD 1",IF($M13876="PADD II","PADD 2",IF($M13876="PADD III","PADD 3",IF($M13876="PADD IV","PADD 4",IF($M13876="PADD V","PADD 5","")))))</f>
        <v/>
      </c>
      <c r="G13876" s="6">
        <f>IF(AND($H13876="ATMOS DISTILLATION",ISNUMBER(SEARCH("VPS",$I13876))=FALSE,LEFT($I13876,6)&lt;&gt;"VACUUM"),"CDU",IF($H13876="FLUID CAT CRACKING","FCC",IF(OR($H13876="HYDROCRACKING",$H13876="RESID_HYDROCRACKING"),"Hydrocracker",IF($H13876="REFORMING","Reformer",""))))</f>
        <v/>
      </c>
    </row>
    <row r="13877" spans="6:7">
      <c r="F13877" s="6">
        <f>IF($M13877="PADD I","PADD 1",IF($M13877="PADD II","PADD 2",IF($M13877="PADD III","PADD 3",IF($M13877="PADD IV","PADD 4",IF($M13877="PADD V","PADD 5","")))))</f>
        <v/>
      </c>
      <c r="G13877" s="6">
        <f>IF(AND($H13877="ATMOS DISTILLATION",ISNUMBER(SEARCH("VPS",$I13877))=FALSE,LEFT($I13877,6)&lt;&gt;"VACUUM"),"CDU",IF($H13877="FLUID CAT CRACKING","FCC",IF(OR($H13877="HYDROCRACKING",$H13877="RESID_HYDROCRACKING"),"Hydrocracker",IF($H13877="REFORMING","Reformer",""))))</f>
        <v/>
      </c>
    </row>
    <row r="13878" spans="6:7">
      <c r="F13878" s="6">
        <f>IF($M13878="PADD I","PADD 1",IF($M13878="PADD II","PADD 2",IF($M13878="PADD III","PADD 3",IF($M13878="PADD IV","PADD 4",IF($M13878="PADD V","PADD 5","")))))</f>
        <v/>
      </c>
      <c r="G13878" s="6">
        <f>IF(AND($H13878="ATMOS DISTILLATION",ISNUMBER(SEARCH("VPS",$I13878))=FALSE,LEFT($I13878,6)&lt;&gt;"VACUUM"),"CDU",IF($H13878="FLUID CAT CRACKING","FCC",IF(OR($H13878="HYDROCRACKING",$H13878="RESID_HYDROCRACKING"),"Hydrocracker",IF($H13878="REFORMING","Reformer",""))))</f>
        <v/>
      </c>
    </row>
    <row r="13879" spans="6:7">
      <c r="F13879" s="6">
        <f>IF($M13879="PADD I","PADD 1",IF($M13879="PADD II","PADD 2",IF($M13879="PADD III","PADD 3",IF($M13879="PADD IV","PADD 4",IF($M13879="PADD V","PADD 5","")))))</f>
        <v/>
      </c>
      <c r="G13879" s="6">
        <f>IF(AND($H13879="ATMOS DISTILLATION",ISNUMBER(SEARCH("VPS",$I13879))=FALSE,LEFT($I13879,6)&lt;&gt;"VACUUM"),"CDU",IF($H13879="FLUID CAT CRACKING","FCC",IF(OR($H13879="HYDROCRACKING",$H13879="RESID_HYDROCRACKING"),"Hydrocracker",IF($H13879="REFORMING","Reformer",""))))</f>
        <v/>
      </c>
    </row>
    <row r="13880" spans="6:7">
      <c r="F13880" s="6">
        <f>IF($M13880="PADD I","PADD 1",IF($M13880="PADD II","PADD 2",IF($M13880="PADD III","PADD 3",IF($M13880="PADD IV","PADD 4",IF($M13880="PADD V","PADD 5","")))))</f>
        <v/>
      </c>
      <c r="G13880" s="6">
        <f>IF(AND($H13880="ATMOS DISTILLATION",ISNUMBER(SEARCH("VPS",$I13880))=FALSE,LEFT($I13880,6)&lt;&gt;"VACUUM"),"CDU",IF($H13880="FLUID CAT CRACKING","FCC",IF(OR($H13880="HYDROCRACKING",$H13880="RESID_HYDROCRACKING"),"Hydrocracker",IF($H13880="REFORMING","Reformer",""))))</f>
        <v/>
      </c>
    </row>
    <row r="13881" spans="6:7">
      <c r="F13881" s="6">
        <f>IF($M13881="PADD I","PADD 1",IF($M13881="PADD II","PADD 2",IF($M13881="PADD III","PADD 3",IF($M13881="PADD IV","PADD 4",IF($M13881="PADD V","PADD 5","")))))</f>
        <v/>
      </c>
      <c r="G13881" s="6">
        <f>IF(AND($H13881="ATMOS DISTILLATION",ISNUMBER(SEARCH("VPS",$I13881))=FALSE,LEFT($I13881,6)&lt;&gt;"VACUUM"),"CDU",IF($H13881="FLUID CAT CRACKING","FCC",IF(OR($H13881="HYDROCRACKING",$H13881="RESID_HYDROCRACKING"),"Hydrocracker",IF($H13881="REFORMING","Reformer",""))))</f>
        <v/>
      </c>
    </row>
    <row r="13882" spans="6:7">
      <c r="F13882" s="6">
        <f>IF($M13882="PADD I","PADD 1",IF($M13882="PADD II","PADD 2",IF($M13882="PADD III","PADD 3",IF($M13882="PADD IV","PADD 4",IF($M13882="PADD V","PADD 5","")))))</f>
        <v/>
      </c>
      <c r="G13882" s="6">
        <f>IF(AND($H13882="ATMOS DISTILLATION",ISNUMBER(SEARCH("VPS",$I13882))=FALSE,LEFT($I13882,6)&lt;&gt;"VACUUM"),"CDU",IF($H13882="FLUID CAT CRACKING","FCC",IF(OR($H13882="HYDROCRACKING",$H13882="RESID_HYDROCRACKING"),"Hydrocracker",IF($H13882="REFORMING","Reformer",""))))</f>
        <v/>
      </c>
    </row>
    <row r="13883" spans="6:7">
      <c r="F13883" s="6">
        <f>IF($M13883="PADD I","PADD 1",IF($M13883="PADD II","PADD 2",IF($M13883="PADD III","PADD 3",IF($M13883="PADD IV","PADD 4",IF($M13883="PADD V","PADD 5","")))))</f>
        <v/>
      </c>
      <c r="G13883" s="6">
        <f>IF(AND($H13883="ATMOS DISTILLATION",ISNUMBER(SEARCH("VPS",$I13883))=FALSE,LEFT($I13883,6)&lt;&gt;"VACUUM"),"CDU",IF($H13883="FLUID CAT CRACKING","FCC",IF(OR($H13883="HYDROCRACKING",$H13883="RESID_HYDROCRACKING"),"Hydrocracker",IF($H13883="REFORMING","Reformer",""))))</f>
        <v/>
      </c>
    </row>
    <row r="13884" spans="6:7">
      <c r="F13884" s="6">
        <f>IF($M13884="PADD I","PADD 1",IF($M13884="PADD II","PADD 2",IF($M13884="PADD III","PADD 3",IF($M13884="PADD IV","PADD 4",IF($M13884="PADD V","PADD 5","")))))</f>
        <v/>
      </c>
      <c r="G13884" s="6">
        <f>IF(AND($H13884="ATMOS DISTILLATION",ISNUMBER(SEARCH("VPS",$I13884))=FALSE,LEFT($I13884,6)&lt;&gt;"VACUUM"),"CDU",IF($H13884="FLUID CAT CRACKING","FCC",IF(OR($H13884="HYDROCRACKING",$H13884="RESID_HYDROCRACKING"),"Hydrocracker",IF($H13884="REFORMING","Reformer",""))))</f>
        <v/>
      </c>
    </row>
    <row r="13885" spans="6:7">
      <c r="F13885" s="6">
        <f>IF($M13885="PADD I","PADD 1",IF($M13885="PADD II","PADD 2",IF($M13885="PADD III","PADD 3",IF($M13885="PADD IV","PADD 4",IF($M13885="PADD V","PADD 5","")))))</f>
        <v/>
      </c>
      <c r="G13885" s="6">
        <f>IF(AND($H13885="ATMOS DISTILLATION",ISNUMBER(SEARCH("VPS",$I13885))=FALSE,LEFT($I13885,6)&lt;&gt;"VACUUM"),"CDU",IF($H13885="FLUID CAT CRACKING","FCC",IF(OR($H13885="HYDROCRACKING",$H13885="RESID_HYDROCRACKING"),"Hydrocracker",IF($H13885="REFORMING","Reformer",""))))</f>
        <v/>
      </c>
    </row>
    <row r="13886" spans="6:7">
      <c r="F13886" s="6">
        <f>IF($M13886="PADD I","PADD 1",IF($M13886="PADD II","PADD 2",IF($M13886="PADD III","PADD 3",IF($M13886="PADD IV","PADD 4",IF($M13886="PADD V","PADD 5","")))))</f>
        <v/>
      </c>
      <c r="G13886" s="6">
        <f>IF(AND($H13886="ATMOS DISTILLATION",ISNUMBER(SEARCH("VPS",$I13886))=FALSE,LEFT($I13886,6)&lt;&gt;"VACUUM"),"CDU",IF($H13886="FLUID CAT CRACKING","FCC",IF(OR($H13886="HYDROCRACKING",$H13886="RESID_HYDROCRACKING"),"Hydrocracker",IF($H13886="REFORMING","Reformer",""))))</f>
        <v/>
      </c>
    </row>
    <row r="13887" spans="6:7">
      <c r="F13887" s="6">
        <f>IF($M13887="PADD I","PADD 1",IF($M13887="PADD II","PADD 2",IF($M13887="PADD III","PADD 3",IF($M13887="PADD IV","PADD 4",IF($M13887="PADD V","PADD 5","")))))</f>
        <v/>
      </c>
      <c r="G13887" s="6">
        <f>IF(AND($H13887="ATMOS DISTILLATION",ISNUMBER(SEARCH("VPS",$I13887))=FALSE,LEFT($I13887,6)&lt;&gt;"VACUUM"),"CDU",IF($H13887="FLUID CAT CRACKING","FCC",IF(OR($H13887="HYDROCRACKING",$H13887="RESID_HYDROCRACKING"),"Hydrocracker",IF($H13887="REFORMING","Reformer",""))))</f>
        <v/>
      </c>
    </row>
    <row r="13888" spans="6:7">
      <c r="F13888" s="6">
        <f>IF($M13888="PADD I","PADD 1",IF($M13888="PADD II","PADD 2",IF($M13888="PADD III","PADD 3",IF($M13888="PADD IV","PADD 4",IF($M13888="PADD V","PADD 5","")))))</f>
        <v/>
      </c>
      <c r="G13888" s="6">
        <f>IF(AND($H13888="ATMOS DISTILLATION",ISNUMBER(SEARCH("VPS",$I13888))=FALSE,LEFT($I13888,6)&lt;&gt;"VACUUM"),"CDU",IF($H13888="FLUID CAT CRACKING","FCC",IF(OR($H13888="HYDROCRACKING",$H13888="RESID_HYDROCRACKING"),"Hydrocracker",IF($H13888="REFORMING","Reformer",""))))</f>
        <v/>
      </c>
    </row>
    <row r="13889" spans="6:7">
      <c r="F13889" s="6">
        <f>IF($M13889="PADD I","PADD 1",IF($M13889="PADD II","PADD 2",IF($M13889="PADD III","PADD 3",IF($M13889="PADD IV","PADD 4",IF($M13889="PADD V","PADD 5","")))))</f>
        <v/>
      </c>
      <c r="G13889" s="6">
        <f>IF(AND($H13889="ATMOS DISTILLATION",ISNUMBER(SEARCH("VPS",$I13889))=FALSE,LEFT($I13889,6)&lt;&gt;"VACUUM"),"CDU",IF($H13889="FLUID CAT CRACKING","FCC",IF(OR($H13889="HYDROCRACKING",$H13889="RESID_HYDROCRACKING"),"Hydrocracker",IF($H13889="REFORMING","Reformer",""))))</f>
        <v/>
      </c>
    </row>
    <row r="13890" spans="6:7">
      <c r="F13890" s="6">
        <f>IF($M13890="PADD I","PADD 1",IF($M13890="PADD II","PADD 2",IF($M13890="PADD III","PADD 3",IF($M13890="PADD IV","PADD 4",IF($M13890="PADD V","PADD 5","")))))</f>
        <v/>
      </c>
      <c r="G13890" s="6">
        <f>IF(AND($H13890="ATMOS DISTILLATION",ISNUMBER(SEARCH("VPS",$I13890))=FALSE,LEFT($I13890,6)&lt;&gt;"VACUUM"),"CDU",IF($H13890="FLUID CAT CRACKING","FCC",IF(OR($H13890="HYDROCRACKING",$H13890="RESID_HYDROCRACKING"),"Hydrocracker",IF($H13890="REFORMING","Reformer",""))))</f>
        <v/>
      </c>
    </row>
    <row r="13891" spans="6:7">
      <c r="F13891" s="6">
        <f>IF($M13891="PADD I","PADD 1",IF($M13891="PADD II","PADD 2",IF($M13891="PADD III","PADD 3",IF($M13891="PADD IV","PADD 4",IF($M13891="PADD V","PADD 5","")))))</f>
        <v/>
      </c>
      <c r="G13891" s="6">
        <f>IF(AND($H13891="ATMOS DISTILLATION",ISNUMBER(SEARCH("VPS",$I13891))=FALSE,LEFT($I13891,6)&lt;&gt;"VACUUM"),"CDU",IF($H13891="FLUID CAT CRACKING","FCC",IF(OR($H13891="HYDROCRACKING",$H13891="RESID_HYDROCRACKING"),"Hydrocracker",IF($H13891="REFORMING","Reformer",""))))</f>
        <v/>
      </c>
    </row>
    <row r="13892" spans="6:7">
      <c r="F13892" s="6">
        <f>IF($M13892="PADD I","PADD 1",IF($M13892="PADD II","PADD 2",IF($M13892="PADD III","PADD 3",IF($M13892="PADD IV","PADD 4",IF($M13892="PADD V","PADD 5","")))))</f>
        <v/>
      </c>
      <c r="G13892" s="6">
        <f>IF(AND($H13892="ATMOS DISTILLATION",ISNUMBER(SEARCH("VPS",$I13892))=FALSE,LEFT($I13892,6)&lt;&gt;"VACUUM"),"CDU",IF($H13892="FLUID CAT CRACKING","FCC",IF(OR($H13892="HYDROCRACKING",$H13892="RESID_HYDROCRACKING"),"Hydrocracker",IF($H13892="REFORMING","Reformer",""))))</f>
        <v/>
      </c>
    </row>
    <row r="13893" spans="6:7">
      <c r="F13893" s="6">
        <f>IF($M13893="PADD I","PADD 1",IF($M13893="PADD II","PADD 2",IF($M13893="PADD III","PADD 3",IF($M13893="PADD IV","PADD 4",IF($M13893="PADD V","PADD 5","")))))</f>
        <v/>
      </c>
      <c r="G13893" s="6">
        <f>IF(AND($H13893="ATMOS DISTILLATION",ISNUMBER(SEARCH("VPS",$I13893))=FALSE,LEFT($I13893,6)&lt;&gt;"VACUUM"),"CDU",IF($H13893="FLUID CAT CRACKING","FCC",IF(OR($H13893="HYDROCRACKING",$H13893="RESID_HYDROCRACKING"),"Hydrocracker",IF($H13893="REFORMING","Reformer",""))))</f>
        <v/>
      </c>
    </row>
    <row r="13894" spans="6:7">
      <c r="F13894" s="6">
        <f>IF($M13894="PADD I","PADD 1",IF($M13894="PADD II","PADD 2",IF($M13894="PADD III","PADD 3",IF($M13894="PADD IV","PADD 4",IF($M13894="PADD V","PADD 5","")))))</f>
        <v/>
      </c>
      <c r="G13894" s="6">
        <f>IF(AND($H13894="ATMOS DISTILLATION",ISNUMBER(SEARCH("VPS",$I13894))=FALSE,LEFT($I13894,6)&lt;&gt;"VACUUM"),"CDU",IF($H13894="FLUID CAT CRACKING","FCC",IF(OR($H13894="HYDROCRACKING",$H13894="RESID_HYDROCRACKING"),"Hydrocracker",IF($H13894="REFORMING","Reformer",""))))</f>
        <v/>
      </c>
    </row>
    <row r="13895" spans="6:7">
      <c r="F13895" s="6">
        <f>IF($M13895="PADD I","PADD 1",IF($M13895="PADD II","PADD 2",IF($M13895="PADD III","PADD 3",IF($M13895="PADD IV","PADD 4",IF($M13895="PADD V","PADD 5","")))))</f>
        <v/>
      </c>
      <c r="G13895" s="6">
        <f>IF(AND($H13895="ATMOS DISTILLATION",ISNUMBER(SEARCH("VPS",$I13895))=FALSE,LEFT($I13895,6)&lt;&gt;"VACUUM"),"CDU",IF($H13895="FLUID CAT CRACKING","FCC",IF(OR($H13895="HYDROCRACKING",$H13895="RESID_HYDROCRACKING"),"Hydrocracker",IF($H13895="REFORMING","Reformer",""))))</f>
        <v/>
      </c>
    </row>
    <row r="13896" spans="6:7">
      <c r="F13896" s="6">
        <f>IF($M13896="PADD I","PADD 1",IF($M13896="PADD II","PADD 2",IF($M13896="PADD III","PADD 3",IF($M13896="PADD IV","PADD 4",IF($M13896="PADD V","PADD 5","")))))</f>
        <v/>
      </c>
      <c r="G13896" s="6">
        <f>IF(AND($H13896="ATMOS DISTILLATION",ISNUMBER(SEARCH("VPS",$I13896))=FALSE,LEFT($I13896,6)&lt;&gt;"VACUUM"),"CDU",IF($H13896="FLUID CAT CRACKING","FCC",IF(OR($H13896="HYDROCRACKING",$H13896="RESID_HYDROCRACKING"),"Hydrocracker",IF($H13896="REFORMING","Reformer",""))))</f>
        <v/>
      </c>
    </row>
    <row r="13897" spans="6:7">
      <c r="F13897" s="6">
        <f>IF($M13897="PADD I","PADD 1",IF($M13897="PADD II","PADD 2",IF($M13897="PADD III","PADD 3",IF($M13897="PADD IV","PADD 4",IF($M13897="PADD V","PADD 5","")))))</f>
        <v/>
      </c>
      <c r="G13897" s="6">
        <f>IF(AND($H13897="ATMOS DISTILLATION",ISNUMBER(SEARCH("VPS",$I13897))=FALSE,LEFT($I13897,6)&lt;&gt;"VACUUM"),"CDU",IF($H13897="FLUID CAT CRACKING","FCC",IF(OR($H13897="HYDROCRACKING",$H13897="RESID_HYDROCRACKING"),"Hydrocracker",IF($H13897="REFORMING","Reformer",""))))</f>
        <v/>
      </c>
    </row>
    <row r="13898" spans="6:7">
      <c r="F13898" s="6">
        <f>IF($M13898="PADD I","PADD 1",IF($M13898="PADD II","PADD 2",IF($M13898="PADD III","PADD 3",IF($M13898="PADD IV","PADD 4",IF($M13898="PADD V","PADD 5","")))))</f>
        <v/>
      </c>
      <c r="G13898" s="6">
        <f>IF(AND($H13898="ATMOS DISTILLATION",ISNUMBER(SEARCH("VPS",$I13898))=FALSE,LEFT($I13898,6)&lt;&gt;"VACUUM"),"CDU",IF($H13898="FLUID CAT CRACKING","FCC",IF(OR($H13898="HYDROCRACKING",$H13898="RESID_HYDROCRACKING"),"Hydrocracker",IF($H13898="REFORMING","Reformer",""))))</f>
        <v/>
      </c>
    </row>
    <row r="13899" spans="6:7">
      <c r="F13899" s="6">
        <f>IF($M13899="PADD I","PADD 1",IF($M13899="PADD II","PADD 2",IF($M13899="PADD III","PADD 3",IF($M13899="PADD IV","PADD 4",IF($M13899="PADD V","PADD 5","")))))</f>
        <v/>
      </c>
      <c r="G13899" s="6">
        <f>IF(AND($H13899="ATMOS DISTILLATION",ISNUMBER(SEARCH("VPS",$I13899))=FALSE,LEFT($I13899,6)&lt;&gt;"VACUUM"),"CDU",IF($H13899="FLUID CAT CRACKING","FCC",IF(OR($H13899="HYDROCRACKING",$H13899="RESID_HYDROCRACKING"),"Hydrocracker",IF($H13899="REFORMING","Reformer",""))))</f>
        <v/>
      </c>
    </row>
    <row r="13900" spans="6:7">
      <c r="F13900" s="6">
        <f>IF($M13900="PADD I","PADD 1",IF($M13900="PADD II","PADD 2",IF($M13900="PADD III","PADD 3",IF($M13900="PADD IV","PADD 4",IF($M13900="PADD V","PADD 5","")))))</f>
        <v/>
      </c>
      <c r="G13900" s="6">
        <f>IF(AND($H13900="ATMOS DISTILLATION",ISNUMBER(SEARCH("VPS",$I13900))=FALSE,LEFT($I13900,6)&lt;&gt;"VACUUM"),"CDU",IF($H13900="FLUID CAT CRACKING","FCC",IF(OR($H13900="HYDROCRACKING",$H13900="RESID_HYDROCRACKING"),"Hydrocracker",IF($H13900="REFORMING","Reformer",""))))</f>
        <v/>
      </c>
    </row>
    <row r="13901" spans="6:7">
      <c r="F13901" s="6">
        <f>IF($M13901="PADD I","PADD 1",IF($M13901="PADD II","PADD 2",IF($M13901="PADD III","PADD 3",IF($M13901="PADD IV","PADD 4",IF($M13901="PADD V","PADD 5","")))))</f>
        <v/>
      </c>
      <c r="G13901" s="6">
        <f>IF(AND($H13901="ATMOS DISTILLATION",ISNUMBER(SEARCH("VPS",$I13901))=FALSE,LEFT($I13901,6)&lt;&gt;"VACUUM"),"CDU",IF($H13901="FLUID CAT CRACKING","FCC",IF(OR($H13901="HYDROCRACKING",$H13901="RESID_HYDROCRACKING"),"Hydrocracker",IF($H13901="REFORMING","Reformer",""))))</f>
        <v/>
      </c>
    </row>
    <row r="13902" spans="6:7">
      <c r="F13902" s="6">
        <f>IF($M13902="PADD I","PADD 1",IF($M13902="PADD II","PADD 2",IF($M13902="PADD III","PADD 3",IF($M13902="PADD IV","PADD 4",IF($M13902="PADD V","PADD 5","")))))</f>
        <v/>
      </c>
      <c r="G13902" s="6">
        <f>IF(AND($H13902="ATMOS DISTILLATION",ISNUMBER(SEARCH("VPS",$I13902))=FALSE,LEFT($I13902,6)&lt;&gt;"VACUUM"),"CDU",IF($H13902="FLUID CAT CRACKING","FCC",IF(OR($H13902="HYDROCRACKING",$H13902="RESID_HYDROCRACKING"),"Hydrocracker",IF($H13902="REFORMING","Reformer",""))))</f>
        <v/>
      </c>
    </row>
    <row r="13903" spans="6:7">
      <c r="F13903" s="6">
        <f>IF($M13903="PADD I","PADD 1",IF($M13903="PADD II","PADD 2",IF($M13903="PADD III","PADD 3",IF($M13903="PADD IV","PADD 4",IF($M13903="PADD V","PADD 5","")))))</f>
        <v/>
      </c>
      <c r="G13903" s="6">
        <f>IF(AND($H13903="ATMOS DISTILLATION",ISNUMBER(SEARCH("VPS",$I13903))=FALSE,LEFT($I13903,6)&lt;&gt;"VACUUM"),"CDU",IF($H13903="FLUID CAT CRACKING","FCC",IF(OR($H13903="HYDROCRACKING",$H13903="RESID_HYDROCRACKING"),"Hydrocracker",IF($H13903="REFORMING","Reformer",""))))</f>
        <v/>
      </c>
    </row>
    <row r="13904" spans="6:7">
      <c r="F13904" s="6">
        <f>IF($M13904="PADD I","PADD 1",IF($M13904="PADD II","PADD 2",IF($M13904="PADD III","PADD 3",IF($M13904="PADD IV","PADD 4",IF($M13904="PADD V","PADD 5","")))))</f>
        <v/>
      </c>
      <c r="G13904" s="6">
        <f>IF(AND($H13904="ATMOS DISTILLATION",ISNUMBER(SEARCH("VPS",$I13904))=FALSE,LEFT($I13904,6)&lt;&gt;"VACUUM"),"CDU",IF($H13904="FLUID CAT CRACKING","FCC",IF(OR($H13904="HYDROCRACKING",$H13904="RESID_HYDROCRACKING"),"Hydrocracker",IF($H13904="REFORMING","Reformer",""))))</f>
        <v/>
      </c>
    </row>
    <row r="13905" spans="6:7">
      <c r="F13905" s="6">
        <f>IF($M13905="PADD I","PADD 1",IF($M13905="PADD II","PADD 2",IF($M13905="PADD III","PADD 3",IF($M13905="PADD IV","PADD 4",IF($M13905="PADD V","PADD 5","")))))</f>
        <v/>
      </c>
      <c r="G13905" s="6">
        <f>IF(AND($H13905="ATMOS DISTILLATION",ISNUMBER(SEARCH("VPS",$I13905))=FALSE,LEFT($I13905,6)&lt;&gt;"VACUUM"),"CDU",IF($H13905="FLUID CAT CRACKING","FCC",IF(OR($H13905="HYDROCRACKING",$H13905="RESID_HYDROCRACKING"),"Hydrocracker",IF($H13905="REFORMING","Reformer",""))))</f>
        <v/>
      </c>
    </row>
    <row r="13906" spans="6:7">
      <c r="F13906" s="6">
        <f>IF($M13906="PADD I","PADD 1",IF($M13906="PADD II","PADD 2",IF($M13906="PADD III","PADD 3",IF($M13906="PADD IV","PADD 4",IF($M13906="PADD V","PADD 5","")))))</f>
        <v/>
      </c>
      <c r="G13906" s="6">
        <f>IF(AND($H13906="ATMOS DISTILLATION",ISNUMBER(SEARCH("VPS",$I13906))=FALSE,LEFT($I13906,6)&lt;&gt;"VACUUM"),"CDU",IF($H13906="FLUID CAT CRACKING","FCC",IF(OR($H13906="HYDROCRACKING",$H13906="RESID_HYDROCRACKING"),"Hydrocracker",IF($H13906="REFORMING","Reformer",""))))</f>
        <v/>
      </c>
    </row>
    <row r="13907" spans="6:7">
      <c r="F13907" s="6">
        <f>IF($M13907="PADD I","PADD 1",IF($M13907="PADD II","PADD 2",IF($M13907="PADD III","PADD 3",IF($M13907="PADD IV","PADD 4",IF($M13907="PADD V","PADD 5","")))))</f>
        <v/>
      </c>
      <c r="G13907" s="6">
        <f>IF(AND($H13907="ATMOS DISTILLATION",ISNUMBER(SEARCH("VPS",$I13907))=FALSE,LEFT($I13907,6)&lt;&gt;"VACUUM"),"CDU",IF($H13907="FLUID CAT CRACKING","FCC",IF(OR($H13907="HYDROCRACKING",$H13907="RESID_HYDROCRACKING"),"Hydrocracker",IF($H13907="REFORMING","Reformer",""))))</f>
        <v/>
      </c>
    </row>
    <row r="13908" spans="6:7">
      <c r="F13908" s="6">
        <f>IF($M13908="PADD I","PADD 1",IF($M13908="PADD II","PADD 2",IF($M13908="PADD III","PADD 3",IF($M13908="PADD IV","PADD 4",IF($M13908="PADD V","PADD 5","")))))</f>
        <v/>
      </c>
      <c r="G13908" s="6">
        <f>IF(AND($H13908="ATMOS DISTILLATION",ISNUMBER(SEARCH("VPS",$I13908))=FALSE,LEFT($I13908,6)&lt;&gt;"VACUUM"),"CDU",IF($H13908="FLUID CAT CRACKING","FCC",IF(OR($H13908="HYDROCRACKING",$H13908="RESID_HYDROCRACKING"),"Hydrocracker",IF($H13908="REFORMING","Reformer",""))))</f>
        <v/>
      </c>
    </row>
    <row r="13909" spans="6:7">
      <c r="F13909" s="6">
        <f>IF($M13909="PADD I","PADD 1",IF($M13909="PADD II","PADD 2",IF($M13909="PADD III","PADD 3",IF($M13909="PADD IV","PADD 4",IF($M13909="PADD V","PADD 5","")))))</f>
        <v/>
      </c>
      <c r="G13909" s="6">
        <f>IF(AND($H13909="ATMOS DISTILLATION",ISNUMBER(SEARCH("VPS",$I13909))=FALSE,LEFT($I13909,6)&lt;&gt;"VACUUM"),"CDU",IF($H13909="FLUID CAT CRACKING","FCC",IF(OR($H13909="HYDROCRACKING",$H13909="RESID_HYDROCRACKING"),"Hydrocracker",IF($H13909="REFORMING","Reformer",""))))</f>
        <v/>
      </c>
    </row>
    <row r="13910" spans="6:7">
      <c r="F13910" s="6">
        <f>IF($M13910="PADD I","PADD 1",IF($M13910="PADD II","PADD 2",IF($M13910="PADD III","PADD 3",IF($M13910="PADD IV","PADD 4",IF($M13910="PADD V","PADD 5","")))))</f>
        <v/>
      </c>
      <c r="G13910" s="6">
        <f>IF(AND($H13910="ATMOS DISTILLATION",ISNUMBER(SEARCH("VPS",$I13910))=FALSE,LEFT($I13910,6)&lt;&gt;"VACUUM"),"CDU",IF($H13910="FLUID CAT CRACKING","FCC",IF(OR($H13910="HYDROCRACKING",$H13910="RESID_HYDROCRACKING"),"Hydrocracker",IF($H13910="REFORMING","Reformer",""))))</f>
        <v/>
      </c>
    </row>
    <row r="13911" spans="6:7">
      <c r="F13911" s="6">
        <f>IF($M13911="PADD I","PADD 1",IF($M13911="PADD II","PADD 2",IF($M13911="PADD III","PADD 3",IF($M13911="PADD IV","PADD 4",IF($M13911="PADD V","PADD 5","")))))</f>
        <v/>
      </c>
      <c r="G13911" s="6">
        <f>IF(AND($H13911="ATMOS DISTILLATION",ISNUMBER(SEARCH("VPS",$I13911))=FALSE,LEFT($I13911,6)&lt;&gt;"VACUUM"),"CDU",IF($H13911="FLUID CAT CRACKING","FCC",IF(OR($H13911="HYDROCRACKING",$H13911="RESID_HYDROCRACKING"),"Hydrocracker",IF($H13911="REFORMING","Reformer",""))))</f>
        <v/>
      </c>
    </row>
    <row r="13912" spans="6:7">
      <c r="F13912" s="6">
        <f>IF($M13912="PADD I","PADD 1",IF($M13912="PADD II","PADD 2",IF($M13912="PADD III","PADD 3",IF($M13912="PADD IV","PADD 4",IF($M13912="PADD V","PADD 5","")))))</f>
        <v/>
      </c>
      <c r="G13912" s="6">
        <f>IF(AND($H13912="ATMOS DISTILLATION",ISNUMBER(SEARCH("VPS",$I13912))=FALSE,LEFT($I13912,6)&lt;&gt;"VACUUM"),"CDU",IF($H13912="FLUID CAT CRACKING","FCC",IF(OR($H13912="HYDROCRACKING",$H13912="RESID_HYDROCRACKING"),"Hydrocracker",IF($H13912="REFORMING","Reformer",""))))</f>
        <v/>
      </c>
    </row>
    <row r="13913" spans="6:7">
      <c r="F13913" s="6">
        <f>IF($M13913="PADD I","PADD 1",IF($M13913="PADD II","PADD 2",IF($M13913="PADD III","PADD 3",IF($M13913="PADD IV","PADD 4",IF($M13913="PADD V","PADD 5","")))))</f>
        <v/>
      </c>
      <c r="G13913" s="6">
        <f>IF(AND($H13913="ATMOS DISTILLATION",ISNUMBER(SEARCH("VPS",$I13913))=FALSE,LEFT($I13913,6)&lt;&gt;"VACUUM"),"CDU",IF($H13913="FLUID CAT CRACKING","FCC",IF(OR($H13913="HYDROCRACKING",$H13913="RESID_HYDROCRACKING"),"Hydrocracker",IF($H13913="REFORMING","Reformer",""))))</f>
        <v/>
      </c>
    </row>
    <row r="13914" spans="6:7">
      <c r="F13914" s="6">
        <f>IF($M13914="PADD I","PADD 1",IF($M13914="PADD II","PADD 2",IF($M13914="PADD III","PADD 3",IF($M13914="PADD IV","PADD 4",IF($M13914="PADD V","PADD 5","")))))</f>
        <v/>
      </c>
      <c r="G13914" s="6">
        <f>IF(AND($H13914="ATMOS DISTILLATION",ISNUMBER(SEARCH("VPS",$I13914))=FALSE,LEFT($I13914,6)&lt;&gt;"VACUUM"),"CDU",IF($H13914="FLUID CAT CRACKING","FCC",IF(OR($H13914="HYDROCRACKING",$H13914="RESID_HYDROCRACKING"),"Hydrocracker",IF($H13914="REFORMING","Reformer",""))))</f>
        <v/>
      </c>
    </row>
    <row r="13915" spans="6:7">
      <c r="F13915" s="6">
        <f>IF($M13915="PADD I","PADD 1",IF($M13915="PADD II","PADD 2",IF($M13915="PADD III","PADD 3",IF($M13915="PADD IV","PADD 4",IF($M13915="PADD V","PADD 5","")))))</f>
        <v/>
      </c>
      <c r="G13915" s="6">
        <f>IF(AND($H13915="ATMOS DISTILLATION",ISNUMBER(SEARCH("VPS",$I13915))=FALSE,LEFT($I13915,6)&lt;&gt;"VACUUM"),"CDU",IF($H13915="FLUID CAT CRACKING","FCC",IF(OR($H13915="HYDROCRACKING",$H13915="RESID_HYDROCRACKING"),"Hydrocracker",IF($H13915="REFORMING","Reformer",""))))</f>
        <v/>
      </c>
    </row>
    <row r="13916" spans="6:7">
      <c r="F13916" s="6">
        <f>IF($M13916="PADD I","PADD 1",IF($M13916="PADD II","PADD 2",IF($M13916="PADD III","PADD 3",IF($M13916="PADD IV","PADD 4",IF($M13916="PADD V","PADD 5","")))))</f>
        <v/>
      </c>
      <c r="G13916" s="6">
        <f>IF(AND($H13916="ATMOS DISTILLATION",ISNUMBER(SEARCH("VPS",$I13916))=FALSE,LEFT($I13916,6)&lt;&gt;"VACUUM"),"CDU",IF($H13916="FLUID CAT CRACKING","FCC",IF(OR($H13916="HYDROCRACKING",$H13916="RESID_HYDROCRACKING"),"Hydrocracker",IF($H13916="REFORMING","Reformer",""))))</f>
        <v/>
      </c>
    </row>
    <row r="13917" spans="6:7">
      <c r="F13917" s="6">
        <f>IF($M13917="PADD I","PADD 1",IF($M13917="PADD II","PADD 2",IF($M13917="PADD III","PADD 3",IF($M13917="PADD IV","PADD 4",IF($M13917="PADD V","PADD 5","")))))</f>
        <v/>
      </c>
      <c r="G13917" s="6">
        <f>IF(AND($H13917="ATMOS DISTILLATION",ISNUMBER(SEARCH("VPS",$I13917))=FALSE,LEFT($I13917,6)&lt;&gt;"VACUUM"),"CDU",IF($H13917="FLUID CAT CRACKING","FCC",IF(OR($H13917="HYDROCRACKING",$H13917="RESID_HYDROCRACKING"),"Hydrocracker",IF($H13917="REFORMING","Reformer",""))))</f>
        <v/>
      </c>
    </row>
    <row r="13918" spans="6:7">
      <c r="F13918" s="6">
        <f>IF($M13918="PADD I","PADD 1",IF($M13918="PADD II","PADD 2",IF($M13918="PADD III","PADD 3",IF($M13918="PADD IV","PADD 4",IF($M13918="PADD V","PADD 5","")))))</f>
        <v/>
      </c>
      <c r="G13918" s="6">
        <f>IF(AND($H13918="ATMOS DISTILLATION",ISNUMBER(SEARCH("VPS",$I13918))=FALSE,LEFT($I13918,6)&lt;&gt;"VACUUM"),"CDU",IF($H13918="FLUID CAT CRACKING","FCC",IF(OR($H13918="HYDROCRACKING",$H13918="RESID_HYDROCRACKING"),"Hydrocracker",IF($H13918="REFORMING","Reformer",""))))</f>
        <v/>
      </c>
    </row>
    <row r="13919" spans="6:7">
      <c r="F13919" s="6">
        <f>IF($M13919="PADD I","PADD 1",IF($M13919="PADD II","PADD 2",IF($M13919="PADD III","PADD 3",IF($M13919="PADD IV","PADD 4",IF($M13919="PADD V","PADD 5","")))))</f>
        <v/>
      </c>
      <c r="G13919" s="6">
        <f>IF(AND($H13919="ATMOS DISTILLATION",ISNUMBER(SEARCH("VPS",$I13919))=FALSE,LEFT($I13919,6)&lt;&gt;"VACUUM"),"CDU",IF($H13919="FLUID CAT CRACKING","FCC",IF(OR($H13919="HYDROCRACKING",$H13919="RESID_HYDROCRACKING"),"Hydrocracker",IF($H13919="REFORMING","Reformer",""))))</f>
        <v/>
      </c>
    </row>
    <row r="13920" spans="6:7">
      <c r="F13920" s="6">
        <f>IF($M13920="PADD I","PADD 1",IF($M13920="PADD II","PADD 2",IF($M13920="PADD III","PADD 3",IF($M13920="PADD IV","PADD 4",IF($M13920="PADD V","PADD 5","")))))</f>
        <v/>
      </c>
      <c r="G13920" s="6">
        <f>IF(AND($H13920="ATMOS DISTILLATION",ISNUMBER(SEARCH("VPS",$I13920))=FALSE,LEFT($I13920,6)&lt;&gt;"VACUUM"),"CDU",IF($H13920="FLUID CAT CRACKING","FCC",IF(OR($H13920="HYDROCRACKING",$H13920="RESID_HYDROCRACKING"),"Hydrocracker",IF($H13920="REFORMING","Reformer",""))))</f>
        <v/>
      </c>
    </row>
    <row r="13921" spans="6:7">
      <c r="F13921" s="6">
        <f>IF($M13921="PADD I","PADD 1",IF($M13921="PADD II","PADD 2",IF($M13921="PADD III","PADD 3",IF($M13921="PADD IV","PADD 4",IF($M13921="PADD V","PADD 5","")))))</f>
        <v/>
      </c>
      <c r="G13921" s="6">
        <f>IF(AND($H13921="ATMOS DISTILLATION",ISNUMBER(SEARCH("VPS",$I13921))=FALSE,LEFT($I13921,6)&lt;&gt;"VACUUM"),"CDU",IF($H13921="FLUID CAT CRACKING","FCC",IF(OR($H13921="HYDROCRACKING",$H13921="RESID_HYDROCRACKING"),"Hydrocracker",IF($H13921="REFORMING","Reformer",""))))</f>
        <v/>
      </c>
    </row>
    <row r="13922" spans="6:7">
      <c r="F13922" s="6">
        <f>IF($M13922="PADD I","PADD 1",IF($M13922="PADD II","PADD 2",IF($M13922="PADD III","PADD 3",IF($M13922="PADD IV","PADD 4",IF($M13922="PADD V","PADD 5","")))))</f>
        <v/>
      </c>
      <c r="G13922" s="6">
        <f>IF(AND($H13922="ATMOS DISTILLATION",ISNUMBER(SEARCH("VPS",$I13922))=FALSE,LEFT($I13922,6)&lt;&gt;"VACUUM"),"CDU",IF($H13922="FLUID CAT CRACKING","FCC",IF(OR($H13922="HYDROCRACKING",$H13922="RESID_HYDROCRACKING"),"Hydrocracker",IF($H13922="REFORMING","Reformer",""))))</f>
        <v/>
      </c>
    </row>
    <row r="13923" spans="6:7">
      <c r="F13923" s="6">
        <f>IF($M13923="PADD I","PADD 1",IF($M13923="PADD II","PADD 2",IF($M13923="PADD III","PADD 3",IF($M13923="PADD IV","PADD 4",IF($M13923="PADD V","PADD 5","")))))</f>
        <v/>
      </c>
      <c r="G13923" s="6">
        <f>IF(AND($H13923="ATMOS DISTILLATION",ISNUMBER(SEARCH("VPS",$I13923))=FALSE,LEFT($I13923,6)&lt;&gt;"VACUUM"),"CDU",IF($H13923="FLUID CAT CRACKING","FCC",IF(OR($H13923="HYDROCRACKING",$H13923="RESID_HYDROCRACKING"),"Hydrocracker",IF($H13923="REFORMING","Reformer",""))))</f>
        <v/>
      </c>
    </row>
    <row r="13924" spans="6:7">
      <c r="F13924" s="6">
        <f>IF($M13924="PADD I","PADD 1",IF($M13924="PADD II","PADD 2",IF($M13924="PADD III","PADD 3",IF($M13924="PADD IV","PADD 4",IF($M13924="PADD V","PADD 5","")))))</f>
        <v/>
      </c>
      <c r="G13924" s="6">
        <f>IF(AND($H13924="ATMOS DISTILLATION",ISNUMBER(SEARCH("VPS",$I13924))=FALSE,LEFT($I13924,6)&lt;&gt;"VACUUM"),"CDU",IF($H13924="FLUID CAT CRACKING","FCC",IF(OR($H13924="HYDROCRACKING",$H13924="RESID_HYDROCRACKING"),"Hydrocracker",IF($H13924="REFORMING","Reformer",""))))</f>
        <v/>
      </c>
    </row>
    <row r="13925" spans="6:7">
      <c r="F13925" s="6">
        <f>IF($M13925="PADD I","PADD 1",IF($M13925="PADD II","PADD 2",IF($M13925="PADD III","PADD 3",IF($M13925="PADD IV","PADD 4",IF($M13925="PADD V","PADD 5","")))))</f>
        <v/>
      </c>
      <c r="G13925" s="6">
        <f>IF(AND($H13925="ATMOS DISTILLATION",ISNUMBER(SEARCH("VPS",$I13925))=FALSE,LEFT($I13925,6)&lt;&gt;"VACUUM"),"CDU",IF($H13925="FLUID CAT CRACKING","FCC",IF(OR($H13925="HYDROCRACKING",$H13925="RESID_HYDROCRACKING"),"Hydrocracker",IF($H13925="REFORMING","Reformer",""))))</f>
        <v/>
      </c>
    </row>
    <row r="13926" spans="6:7">
      <c r="F13926" s="6">
        <f>IF($M13926="PADD I","PADD 1",IF($M13926="PADD II","PADD 2",IF($M13926="PADD III","PADD 3",IF($M13926="PADD IV","PADD 4",IF($M13926="PADD V","PADD 5","")))))</f>
        <v/>
      </c>
      <c r="G13926" s="6">
        <f>IF(AND($H13926="ATMOS DISTILLATION",ISNUMBER(SEARCH("VPS",$I13926))=FALSE,LEFT($I13926,6)&lt;&gt;"VACUUM"),"CDU",IF($H13926="FLUID CAT CRACKING","FCC",IF(OR($H13926="HYDROCRACKING",$H13926="RESID_HYDROCRACKING"),"Hydrocracker",IF($H13926="REFORMING","Reformer",""))))</f>
        <v/>
      </c>
    </row>
    <row r="13927" spans="6:7">
      <c r="F13927" s="6">
        <f>IF($M13927="PADD I","PADD 1",IF($M13927="PADD II","PADD 2",IF($M13927="PADD III","PADD 3",IF($M13927="PADD IV","PADD 4",IF($M13927="PADD V","PADD 5","")))))</f>
        <v/>
      </c>
      <c r="G13927" s="6">
        <f>IF(AND($H13927="ATMOS DISTILLATION",ISNUMBER(SEARCH("VPS",$I13927))=FALSE,LEFT($I13927,6)&lt;&gt;"VACUUM"),"CDU",IF($H13927="FLUID CAT CRACKING","FCC",IF(OR($H13927="HYDROCRACKING",$H13927="RESID_HYDROCRACKING"),"Hydrocracker",IF($H13927="REFORMING","Reformer",""))))</f>
        <v/>
      </c>
    </row>
    <row r="13928" spans="6:7">
      <c r="F13928" s="6">
        <f>IF($M13928="PADD I","PADD 1",IF($M13928="PADD II","PADD 2",IF($M13928="PADD III","PADD 3",IF($M13928="PADD IV","PADD 4",IF($M13928="PADD V","PADD 5","")))))</f>
        <v/>
      </c>
      <c r="G13928" s="6">
        <f>IF(AND($H13928="ATMOS DISTILLATION",ISNUMBER(SEARCH("VPS",$I13928))=FALSE,LEFT($I13928,6)&lt;&gt;"VACUUM"),"CDU",IF($H13928="FLUID CAT CRACKING","FCC",IF(OR($H13928="HYDROCRACKING",$H13928="RESID_HYDROCRACKING"),"Hydrocracker",IF($H13928="REFORMING","Reformer",""))))</f>
        <v/>
      </c>
    </row>
    <row r="13929" spans="6:7">
      <c r="F13929" s="6">
        <f>IF($M13929="PADD I","PADD 1",IF($M13929="PADD II","PADD 2",IF($M13929="PADD III","PADD 3",IF($M13929="PADD IV","PADD 4",IF($M13929="PADD V","PADD 5","")))))</f>
        <v/>
      </c>
      <c r="G13929" s="6">
        <f>IF(AND($H13929="ATMOS DISTILLATION",ISNUMBER(SEARCH("VPS",$I13929))=FALSE,LEFT($I13929,6)&lt;&gt;"VACUUM"),"CDU",IF($H13929="FLUID CAT CRACKING","FCC",IF(OR($H13929="HYDROCRACKING",$H13929="RESID_HYDROCRACKING"),"Hydrocracker",IF($H13929="REFORMING","Reformer",""))))</f>
        <v/>
      </c>
    </row>
    <row r="13930" spans="6:7">
      <c r="F13930" s="6">
        <f>IF($M13930="PADD I","PADD 1",IF($M13930="PADD II","PADD 2",IF($M13930="PADD III","PADD 3",IF($M13930="PADD IV","PADD 4",IF($M13930="PADD V","PADD 5","")))))</f>
        <v/>
      </c>
      <c r="G13930" s="6">
        <f>IF(AND($H13930="ATMOS DISTILLATION",ISNUMBER(SEARCH("VPS",$I13930))=FALSE,LEFT($I13930,6)&lt;&gt;"VACUUM"),"CDU",IF($H13930="FLUID CAT CRACKING","FCC",IF(OR($H13930="HYDROCRACKING",$H13930="RESID_HYDROCRACKING"),"Hydrocracker",IF($H13930="REFORMING","Reformer",""))))</f>
        <v/>
      </c>
    </row>
    <row r="13931" spans="6:7">
      <c r="F13931" s="6">
        <f>IF($M13931="PADD I","PADD 1",IF($M13931="PADD II","PADD 2",IF($M13931="PADD III","PADD 3",IF($M13931="PADD IV","PADD 4",IF($M13931="PADD V","PADD 5","")))))</f>
        <v/>
      </c>
      <c r="G13931" s="6">
        <f>IF(AND($H13931="ATMOS DISTILLATION",ISNUMBER(SEARCH("VPS",$I13931))=FALSE,LEFT($I13931,6)&lt;&gt;"VACUUM"),"CDU",IF($H13931="FLUID CAT CRACKING","FCC",IF(OR($H13931="HYDROCRACKING",$H13931="RESID_HYDROCRACKING"),"Hydrocracker",IF($H13931="REFORMING","Reformer",""))))</f>
        <v/>
      </c>
    </row>
    <row r="13932" spans="6:7">
      <c r="F13932" s="6">
        <f>IF($M13932="PADD I","PADD 1",IF($M13932="PADD II","PADD 2",IF($M13932="PADD III","PADD 3",IF($M13932="PADD IV","PADD 4",IF($M13932="PADD V","PADD 5","")))))</f>
        <v/>
      </c>
      <c r="G13932" s="6">
        <f>IF(AND($H13932="ATMOS DISTILLATION",ISNUMBER(SEARCH("VPS",$I13932))=FALSE,LEFT($I13932,6)&lt;&gt;"VACUUM"),"CDU",IF($H13932="FLUID CAT CRACKING","FCC",IF(OR($H13932="HYDROCRACKING",$H13932="RESID_HYDROCRACKING"),"Hydrocracker",IF($H13932="REFORMING","Reformer",""))))</f>
        <v/>
      </c>
    </row>
    <row r="13933" spans="6:7">
      <c r="F13933" s="6">
        <f>IF($M13933="PADD I","PADD 1",IF($M13933="PADD II","PADD 2",IF($M13933="PADD III","PADD 3",IF($M13933="PADD IV","PADD 4",IF($M13933="PADD V","PADD 5","")))))</f>
        <v/>
      </c>
      <c r="G13933" s="6">
        <f>IF(AND($H13933="ATMOS DISTILLATION",ISNUMBER(SEARCH("VPS",$I13933))=FALSE,LEFT($I13933,6)&lt;&gt;"VACUUM"),"CDU",IF($H13933="FLUID CAT CRACKING","FCC",IF(OR($H13933="HYDROCRACKING",$H13933="RESID_HYDROCRACKING"),"Hydrocracker",IF($H13933="REFORMING","Reformer",""))))</f>
        <v/>
      </c>
    </row>
    <row r="13934" spans="6:7">
      <c r="F13934" s="6">
        <f>IF($M13934="PADD I","PADD 1",IF($M13934="PADD II","PADD 2",IF($M13934="PADD III","PADD 3",IF($M13934="PADD IV","PADD 4",IF($M13934="PADD V","PADD 5","")))))</f>
        <v/>
      </c>
      <c r="G13934" s="6">
        <f>IF(AND($H13934="ATMOS DISTILLATION",ISNUMBER(SEARCH("VPS",$I13934))=FALSE,LEFT($I13934,6)&lt;&gt;"VACUUM"),"CDU",IF($H13934="FLUID CAT CRACKING","FCC",IF(OR($H13934="HYDROCRACKING",$H13934="RESID_HYDROCRACKING"),"Hydrocracker",IF($H13934="REFORMING","Reformer",""))))</f>
        <v/>
      </c>
    </row>
    <row r="13935" spans="6:7">
      <c r="F13935" s="6">
        <f>IF($M13935="PADD I","PADD 1",IF($M13935="PADD II","PADD 2",IF($M13935="PADD III","PADD 3",IF($M13935="PADD IV","PADD 4",IF($M13935="PADD V","PADD 5","")))))</f>
        <v/>
      </c>
      <c r="G13935" s="6">
        <f>IF(AND($H13935="ATMOS DISTILLATION",ISNUMBER(SEARCH("VPS",$I13935))=FALSE,LEFT($I13935,6)&lt;&gt;"VACUUM"),"CDU",IF($H13935="FLUID CAT CRACKING","FCC",IF(OR($H13935="HYDROCRACKING",$H13935="RESID_HYDROCRACKING"),"Hydrocracker",IF($H13935="REFORMING","Reformer",""))))</f>
        <v/>
      </c>
    </row>
    <row r="13936" spans="6:7">
      <c r="F13936" s="6">
        <f>IF($M13936="PADD I","PADD 1",IF($M13936="PADD II","PADD 2",IF($M13936="PADD III","PADD 3",IF($M13936="PADD IV","PADD 4",IF($M13936="PADD V","PADD 5","")))))</f>
        <v/>
      </c>
      <c r="G13936" s="6">
        <f>IF(AND($H13936="ATMOS DISTILLATION",ISNUMBER(SEARCH("VPS",$I13936))=FALSE,LEFT($I13936,6)&lt;&gt;"VACUUM"),"CDU",IF($H13936="FLUID CAT CRACKING","FCC",IF(OR($H13936="HYDROCRACKING",$H13936="RESID_HYDROCRACKING"),"Hydrocracker",IF($H13936="REFORMING","Reformer",""))))</f>
        <v/>
      </c>
    </row>
    <row r="13937" spans="6:7">
      <c r="F13937" s="6">
        <f>IF($M13937="PADD I","PADD 1",IF($M13937="PADD II","PADD 2",IF($M13937="PADD III","PADD 3",IF($M13937="PADD IV","PADD 4",IF($M13937="PADD V","PADD 5","")))))</f>
        <v/>
      </c>
      <c r="G13937" s="6">
        <f>IF(AND($H13937="ATMOS DISTILLATION",ISNUMBER(SEARCH("VPS",$I13937))=FALSE,LEFT($I13937,6)&lt;&gt;"VACUUM"),"CDU",IF($H13937="FLUID CAT CRACKING","FCC",IF(OR($H13937="HYDROCRACKING",$H13937="RESID_HYDROCRACKING"),"Hydrocracker",IF($H13937="REFORMING","Reformer",""))))</f>
        <v/>
      </c>
    </row>
    <row r="13938" spans="6:7">
      <c r="F13938" s="6">
        <f>IF($M13938="PADD I","PADD 1",IF($M13938="PADD II","PADD 2",IF($M13938="PADD III","PADD 3",IF($M13938="PADD IV","PADD 4",IF($M13938="PADD V","PADD 5","")))))</f>
        <v/>
      </c>
      <c r="G13938" s="6">
        <f>IF(AND($H13938="ATMOS DISTILLATION",ISNUMBER(SEARCH("VPS",$I13938))=FALSE,LEFT($I13938,6)&lt;&gt;"VACUUM"),"CDU",IF($H13938="FLUID CAT CRACKING","FCC",IF(OR($H13938="HYDROCRACKING",$H13938="RESID_HYDROCRACKING"),"Hydrocracker",IF($H13938="REFORMING","Reformer",""))))</f>
        <v/>
      </c>
    </row>
    <row r="13939" spans="6:7">
      <c r="F13939" s="6">
        <f>IF($M13939="PADD I","PADD 1",IF($M13939="PADD II","PADD 2",IF($M13939="PADD III","PADD 3",IF($M13939="PADD IV","PADD 4",IF($M13939="PADD V","PADD 5","")))))</f>
        <v/>
      </c>
      <c r="G13939" s="6">
        <f>IF(AND($H13939="ATMOS DISTILLATION",ISNUMBER(SEARCH("VPS",$I13939))=FALSE,LEFT($I13939,6)&lt;&gt;"VACUUM"),"CDU",IF($H13939="FLUID CAT CRACKING","FCC",IF(OR($H13939="HYDROCRACKING",$H13939="RESID_HYDROCRACKING"),"Hydrocracker",IF($H13939="REFORMING","Reformer",""))))</f>
        <v/>
      </c>
    </row>
    <row r="13940" spans="6:7">
      <c r="F13940" s="6">
        <f>IF($M13940="PADD I","PADD 1",IF($M13940="PADD II","PADD 2",IF($M13940="PADD III","PADD 3",IF($M13940="PADD IV","PADD 4",IF($M13940="PADD V","PADD 5","")))))</f>
        <v/>
      </c>
      <c r="G13940" s="6">
        <f>IF(AND($H13940="ATMOS DISTILLATION",ISNUMBER(SEARCH("VPS",$I13940))=FALSE,LEFT($I13940,6)&lt;&gt;"VACUUM"),"CDU",IF($H13940="FLUID CAT CRACKING","FCC",IF(OR($H13940="HYDROCRACKING",$H13940="RESID_HYDROCRACKING"),"Hydrocracker",IF($H13940="REFORMING","Reformer",""))))</f>
        <v/>
      </c>
    </row>
    <row r="13941" spans="6:7">
      <c r="F13941" s="6">
        <f>IF($M13941="PADD I","PADD 1",IF($M13941="PADD II","PADD 2",IF($M13941="PADD III","PADD 3",IF($M13941="PADD IV","PADD 4",IF($M13941="PADD V","PADD 5","")))))</f>
        <v/>
      </c>
      <c r="G13941" s="6">
        <f>IF(AND($H13941="ATMOS DISTILLATION",ISNUMBER(SEARCH("VPS",$I13941))=FALSE,LEFT($I13941,6)&lt;&gt;"VACUUM"),"CDU",IF($H13941="FLUID CAT CRACKING","FCC",IF(OR($H13941="HYDROCRACKING",$H13941="RESID_HYDROCRACKING"),"Hydrocracker",IF($H13941="REFORMING","Reformer",""))))</f>
        <v/>
      </c>
    </row>
    <row r="13942" spans="6:7">
      <c r="F13942" s="6">
        <f>IF($M13942="PADD I","PADD 1",IF($M13942="PADD II","PADD 2",IF($M13942="PADD III","PADD 3",IF($M13942="PADD IV","PADD 4",IF($M13942="PADD V","PADD 5","")))))</f>
        <v/>
      </c>
      <c r="G13942" s="6">
        <f>IF(AND($H13942="ATMOS DISTILLATION",ISNUMBER(SEARCH("VPS",$I13942))=FALSE,LEFT($I13942,6)&lt;&gt;"VACUUM"),"CDU",IF($H13942="FLUID CAT CRACKING","FCC",IF(OR($H13942="HYDROCRACKING",$H13942="RESID_HYDROCRACKING"),"Hydrocracker",IF($H13942="REFORMING","Reformer",""))))</f>
        <v/>
      </c>
    </row>
    <row r="13943" spans="6:7">
      <c r="F13943" s="6">
        <f>IF($M13943="PADD I","PADD 1",IF($M13943="PADD II","PADD 2",IF($M13943="PADD III","PADD 3",IF($M13943="PADD IV","PADD 4",IF($M13943="PADD V","PADD 5","")))))</f>
        <v/>
      </c>
      <c r="G13943" s="6">
        <f>IF(AND($H13943="ATMOS DISTILLATION",ISNUMBER(SEARCH("VPS",$I13943))=FALSE,LEFT($I13943,6)&lt;&gt;"VACUUM"),"CDU",IF($H13943="FLUID CAT CRACKING","FCC",IF(OR($H13943="HYDROCRACKING",$H13943="RESID_HYDROCRACKING"),"Hydrocracker",IF($H13943="REFORMING","Reformer",""))))</f>
        <v/>
      </c>
    </row>
    <row r="13944" spans="6:7">
      <c r="F13944" s="6">
        <f>IF($M13944="PADD I","PADD 1",IF($M13944="PADD II","PADD 2",IF($M13944="PADD III","PADD 3",IF($M13944="PADD IV","PADD 4",IF($M13944="PADD V","PADD 5","")))))</f>
        <v/>
      </c>
      <c r="G13944" s="6">
        <f>IF(AND($H13944="ATMOS DISTILLATION",ISNUMBER(SEARCH("VPS",$I13944))=FALSE,LEFT($I13944,6)&lt;&gt;"VACUUM"),"CDU",IF($H13944="FLUID CAT CRACKING","FCC",IF(OR($H13944="HYDROCRACKING",$H13944="RESID_HYDROCRACKING"),"Hydrocracker",IF($H13944="REFORMING","Reformer",""))))</f>
        <v/>
      </c>
    </row>
    <row r="13945" spans="6:7">
      <c r="F13945" s="6">
        <f>IF($M13945="PADD I","PADD 1",IF($M13945="PADD II","PADD 2",IF($M13945="PADD III","PADD 3",IF($M13945="PADD IV","PADD 4",IF($M13945="PADD V","PADD 5","")))))</f>
        <v/>
      </c>
      <c r="G13945" s="6">
        <f>IF(AND($H13945="ATMOS DISTILLATION",ISNUMBER(SEARCH("VPS",$I13945))=FALSE,LEFT($I13945,6)&lt;&gt;"VACUUM"),"CDU",IF($H13945="FLUID CAT CRACKING","FCC",IF(OR($H13945="HYDROCRACKING",$H13945="RESID_HYDROCRACKING"),"Hydrocracker",IF($H13945="REFORMING","Reformer",""))))</f>
        <v/>
      </c>
    </row>
    <row r="13946" spans="6:7">
      <c r="F13946" s="6">
        <f>IF($M13946="PADD I","PADD 1",IF($M13946="PADD II","PADD 2",IF($M13946="PADD III","PADD 3",IF($M13946="PADD IV","PADD 4",IF($M13946="PADD V","PADD 5","")))))</f>
        <v/>
      </c>
      <c r="G13946" s="6">
        <f>IF(AND($H13946="ATMOS DISTILLATION",ISNUMBER(SEARCH("VPS",$I13946))=FALSE,LEFT($I13946,6)&lt;&gt;"VACUUM"),"CDU",IF($H13946="FLUID CAT CRACKING","FCC",IF(OR($H13946="HYDROCRACKING",$H13946="RESID_HYDROCRACKING"),"Hydrocracker",IF($H13946="REFORMING","Reformer",""))))</f>
        <v/>
      </c>
    </row>
    <row r="13947" spans="6:7">
      <c r="F13947" s="6">
        <f>IF($M13947="PADD I","PADD 1",IF($M13947="PADD II","PADD 2",IF($M13947="PADD III","PADD 3",IF($M13947="PADD IV","PADD 4",IF($M13947="PADD V","PADD 5","")))))</f>
        <v/>
      </c>
      <c r="G13947" s="6">
        <f>IF(AND($H13947="ATMOS DISTILLATION",ISNUMBER(SEARCH("VPS",$I13947))=FALSE,LEFT($I13947,6)&lt;&gt;"VACUUM"),"CDU",IF($H13947="FLUID CAT CRACKING","FCC",IF(OR($H13947="HYDROCRACKING",$H13947="RESID_HYDROCRACKING"),"Hydrocracker",IF($H13947="REFORMING","Reformer",""))))</f>
        <v/>
      </c>
    </row>
    <row r="13948" spans="6:7">
      <c r="F13948" s="6">
        <f>IF($M13948="PADD I","PADD 1",IF($M13948="PADD II","PADD 2",IF($M13948="PADD III","PADD 3",IF($M13948="PADD IV","PADD 4",IF($M13948="PADD V","PADD 5","")))))</f>
        <v/>
      </c>
      <c r="G13948" s="6">
        <f>IF(AND($H13948="ATMOS DISTILLATION",ISNUMBER(SEARCH("VPS",$I13948))=FALSE,LEFT($I13948,6)&lt;&gt;"VACUUM"),"CDU",IF($H13948="FLUID CAT CRACKING","FCC",IF(OR($H13948="HYDROCRACKING",$H13948="RESID_HYDROCRACKING"),"Hydrocracker",IF($H13948="REFORMING","Reformer",""))))</f>
        <v/>
      </c>
    </row>
    <row r="13949" spans="6:7">
      <c r="F13949" s="6">
        <f>IF($M13949="PADD I","PADD 1",IF($M13949="PADD II","PADD 2",IF($M13949="PADD III","PADD 3",IF($M13949="PADD IV","PADD 4",IF($M13949="PADD V","PADD 5","")))))</f>
        <v/>
      </c>
      <c r="G13949" s="6">
        <f>IF(AND($H13949="ATMOS DISTILLATION",ISNUMBER(SEARCH("VPS",$I13949))=FALSE,LEFT($I13949,6)&lt;&gt;"VACUUM"),"CDU",IF($H13949="FLUID CAT CRACKING","FCC",IF(OR($H13949="HYDROCRACKING",$H13949="RESID_HYDROCRACKING"),"Hydrocracker",IF($H13949="REFORMING","Reformer",""))))</f>
        <v/>
      </c>
    </row>
    <row r="13950" spans="6:7">
      <c r="F13950" s="6">
        <f>IF($M13950="PADD I","PADD 1",IF($M13950="PADD II","PADD 2",IF($M13950="PADD III","PADD 3",IF($M13950="PADD IV","PADD 4",IF($M13950="PADD V","PADD 5","")))))</f>
        <v/>
      </c>
      <c r="G13950" s="6">
        <f>IF(AND($H13950="ATMOS DISTILLATION",ISNUMBER(SEARCH("VPS",$I13950))=FALSE,LEFT($I13950,6)&lt;&gt;"VACUUM"),"CDU",IF($H13950="FLUID CAT CRACKING","FCC",IF(OR($H13950="HYDROCRACKING",$H13950="RESID_HYDROCRACKING"),"Hydrocracker",IF($H13950="REFORMING","Reformer",""))))</f>
        <v/>
      </c>
    </row>
    <row r="13951" spans="6:7">
      <c r="F13951" s="6">
        <f>IF($M13951="PADD I","PADD 1",IF($M13951="PADD II","PADD 2",IF($M13951="PADD III","PADD 3",IF($M13951="PADD IV","PADD 4",IF($M13951="PADD V","PADD 5","")))))</f>
        <v/>
      </c>
      <c r="G13951" s="6">
        <f>IF(AND($H13951="ATMOS DISTILLATION",ISNUMBER(SEARCH("VPS",$I13951))=FALSE,LEFT($I13951,6)&lt;&gt;"VACUUM"),"CDU",IF($H13951="FLUID CAT CRACKING","FCC",IF(OR($H13951="HYDROCRACKING",$H13951="RESID_HYDROCRACKING"),"Hydrocracker",IF($H13951="REFORMING","Reformer",""))))</f>
        <v/>
      </c>
    </row>
    <row r="13952" spans="6:7">
      <c r="F13952" s="6">
        <f>IF($M13952="PADD I","PADD 1",IF($M13952="PADD II","PADD 2",IF($M13952="PADD III","PADD 3",IF($M13952="PADD IV","PADD 4",IF($M13952="PADD V","PADD 5","")))))</f>
        <v/>
      </c>
      <c r="G13952" s="6">
        <f>IF(AND($H13952="ATMOS DISTILLATION",ISNUMBER(SEARCH("VPS",$I13952))=FALSE,LEFT($I13952,6)&lt;&gt;"VACUUM"),"CDU",IF($H13952="FLUID CAT CRACKING","FCC",IF(OR($H13952="HYDROCRACKING",$H13952="RESID_HYDROCRACKING"),"Hydrocracker",IF($H13952="REFORMING","Reformer",""))))</f>
        <v/>
      </c>
    </row>
    <row r="13953" spans="6:7">
      <c r="F13953" s="6">
        <f>IF($M13953="PADD I","PADD 1",IF($M13953="PADD II","PADD 2",IF($M13953="PADD III","PADD 3",IF($M13953="PADD IV","PADD 4",IF($M13953="PADD V","PADD 5","")))))</f>
        <v/>
      </c>
      <c r="G13953" s="6">
        <f>IF(AND($H13953="ATMOS DISTILLATION",ISNUMBER(SEARCH("VPS",$I13953))=FALSE,LEFT($I13953,6)&lt;&gt;"VACUUM"),"CDU",IF($H13953="FLUID CAT CRACKING","FCC",IF(OR($H13953="HYDROCRACKING",$H13953="RESID_HYDROCRACKING"),"Hydrocracker",IF($H13953="REFORMING","Reformer",""))))</f>
        <v/>
      </c>
    </row>
    <row r="13954" spans="6:7">
      <c r="F13954" s="6">
        <f>IF($M13954="PADD I","PADD 1",IF($M13954="PADD II","PADD 2",IF($M13954="PADD III","PADD 3",IF($M13954="PADD IV","PADD 4",IF($M13954="PADD V","PADD 5","")))))</f>
        <v/>
      </c>
      <c r="G13954" s="6">
        <f>IF(AND($H13954="ATMOS DISTILLATION",ISNUMBER(SEARCH("VPS",$I13954))=FALSE,LEFT($I13954,6)&lt;&gt;"VACUUM"),"CDU",IF($H13954="FLUID CAT CRACKING","FCC",IF(OR($H13954="HYDROCRACKING",$H13954="RESID_HYDROCRACKING"),"Hydrocracker",IF($H13954="REFORMING","Reformer",""))))</f>
        <v/>
      </c>
    </row>
    <row r="13955" spans="6:7">
      <c r="F13955" s="6">
        <f>IF($M13955="PADD I","PADD 1",IF($M13955="PADD II","PADD 2",IF($M13955="PADD III","PADD 3",IF($M13955="PADD IV","PADD 4",IF($M13955="PADD V","PADD 5","")))))</f>
        <v/>
      </c>
      <c r="G13955" s="6">
        <f>IF(AND($H13955="ATMOS DISTILLATION",ISNUMBER(SEARCH("VPS",$I13955))=FALSE,LEFT($I13955,6)&lt;&gt;"VACUUM"),"CDU",IF($H13955="FLUID CAT CRACKING","FCC",IF(OR($H13955="HYDROCRACKING",$H13955="RESID_HYDROCRACKING"),"Hydrocracker",IF($H13955="REFORMING","Reformer",""))))</f>
        <v/>
      </c>
    </row>
    <row r="13956" spans="6:7">
      <c r="F13956" s="6">
        <f>IF($M13956="PADD I","PADD 1",IF($M13956="PADD II","PADD 2",IF($M13956="PADD III","PADD 3",IF($M13956="PADD IV","PADD 4",IF($M13956="PADD V","PADD 5","")))))</f>
        <v/>
      </c>
      <c r="G13956" s="6">
        <f>IF(AND($H13956="ATMOS DISTILLATION",ISNUMBER(SEARCH("VPS",$I13956))=FALSE,LEFT($I13956,6)&lt;&gt;"VACUUM"),"CDU",IF($H13956="FLUID CAT CRACKING","FCC",IF(OR($H13956="HYDROCRACKING",$H13956="RESID_HYDROCRACKING"),"Hydrocracker",IF($H13956="REFORMING","Reformer",""))))</f>
        <v/>
      </c>
    </row>
    <row r="13957" spans="6:7">
      <c r="F13957" s="6">
        <f>IF($M13957="PADD I","PADD 1",IF($M13957="PADD II","PADD 2",IF($M13957="PADD III","PADD 3",IF($M13957="PADD IV","PADD 4",IF($M13957="PADD V","PADD 5","")))))</f>
        <v/>
      </c>
      <c r="G13957" s="6">
        <f>IF(AND($H13957="ATMOS DISTILLATION",ISNUMBER(SEARCH("VPS",$I13957))=FALSE,LEFT($I13957,6)&lt;&gt;"VACUUM"),"CDU",IF($H13957="FLUID CAT CRACKING","FCC",IF(OR($H13957="HYDROCRACKING",$H13957="RESID_HYDROCRACKING"),"Hydrocracker",IF($H13957="REFORMING","Reformer",""))))</f>
        <v/>
      </c>
    </row>
    <row r="13958" spans="6:7">
      <c r="F13958" s="6">
        <f>IF($M13958="PADD I","PADD 1",IF($M13958="PADD II","PADD 2",IF($M13958="PADD III","PADD 3",IF($M13958="PADD IV","PADD 4",IF($M13958="PADD V","PADD 5","")))))</f>
        <v/>
      </c>
      <c r="G13958" s="6">
        <f>IF(AND($H13958="ATMOS DISTILLATION",ISNUMBER(SEARCH("VPS",$I13958))=FALSE,LEFT($I13958,6)&lt;&gt;"VACUUM"),"CDU",IF($H13958="FLUID CAT CRACKING","FCC",IF(OR($H13958="HYDROCRACKING",$H13958="RESID_HYDROCRACKING"),"Hydrocracker",IF($H13958="REFORMING","Reformer",""))))</f>
        <v/>
      </c>
    </row>
    <row r="13959" spans="6:7">
      <c r="F13959" s="6">
        <f>IF($M13959="PADD I","PADD 1",IF($M13959="PADD II","PADD 2",IF($M13959="PADD III","PADD 3",IF($M13959="PADD IV","PADD 4",IF($M13959="PADD V","PADD 5","")))))</f>
        <v/>
      </c>
      <c r="G13959" s="6">
        <f>IF(AND($H13959="ATMOS DISTILLATION",ISNUMBER(SEARCH("VPS",$I13959))=FALSE,LEFT($I13959,6)&lt;&gt;"VACUUM"),"CDU",IF($H13959="FLUID CAT CRACKING","FCC",IF(OR($H13959="HYDROCRACKING",$H13959="RESID_HYDROCRACKING"),"Hydrocracker",IF($H13959="REFORMING","Reformer",""))))</f>
        <v/>
      </c>
    </row>
    <row r="13960" spans="6:7">
      <c r="F13960" s="6">
        <f>IF($M13960="PADD I","PADD 1",IF($M13960="PADD II","PADD 2",IF($M13960="PADD III","PADD 3",IF($M13960="PADD IV","PADD 4",IF($M13960="PADD V","PADD 5","")))))</f>
        <v/>
      </c>
      <c r="G13960" s="6">
        <f>IF(AND($H13960="ATMOS DISTILLATION",ISNUMBER(SEARCH("VPS",$I13960))=FALSE,LEFT($I13960,6)&lt;&gt;"VACUUM"),"CDU",IF($H13960="FLUID CAT CRACKING","FCC",IF(OR($H13960="HYDROCRACKING",$H13960="RESID_HYDROCRACKING"),"Hydrocracker",IF($H13960="REFORMING","Reformer",""))))</f>
        <v/>
      </c>
    </row>
    <row r="13961" spans="6:7">
      <c r="F13961" s="6">
        <f>IF($M13961="PADD I","PADD 1",IF($M13961="PADD II","PADD 2",IF($M13961="PADD III","PADD 3",IF($M13961="PADD IV","PADD 4",IF($M13961="PADD V","PADD 5","")))))</f>
        <v/>
      </c>
      <c r="G13961" s="6">
        <f>IF(AND($H13961="ATMOS DISTILLATION",ISNUMBER(SEARCH("VPS",$I13961))=FALSE,LEFT($I13961,6)&lt;&gt;"VACUUM"),"CDU",IF($H13961="FLUID CAT CRACKING","FCC",IF(OR($H13961="HYDROCRACKING",$H13961="RESID_HYDROCRACKING"),"Hydrocracker",IF($H13961="REFORMING","Reformer",""))))</f>
        <v/>
      </c>
    </row>
    <row r="13962" spans="6:7">
      <c r="F13962" s="6">
        <f>IF($M13962="PADD I","PADD 1",IF($M13962="PADD II","PADD 2",IF($M13962="PADD III","PADD 3",IF($M13962="PADD IV","PADD 4",IF($M13962="PADD V","PADD 5","")))))</f>
        <v/>
      </c>
      <c r="G13962" s="6">
        <f>IF(AND($H13962="ATMOS DISTILLATION",ISNUMBER(SEARCH("VPS",$I13962))=FALSE,LEFT($I13962,6)&lt;&gt;"VACUUM"),"CDU",IF($H13962="FLUID CAT CRACKING","FCC",IF(OR($H13962="HYDROCRACKING",$H13962="RESID_HYDROCRACKING"),"Hydrocracker",IF($H13962="REFORMING","Reformer",""))))</f>
        <v/>
      </c>
    </row>
    <row r="13963" spans="6:7">
      <c r="F13963" s="6">
        <f>IF($M13963="PADD I","PADD 1",IF($M13963="PADD II","PADD 2",IF($M13963="PADD III","PADD 3",IF($M13963="PADD IV","PADD 4",IF($M13963="PADD V","PADD 5","")))))</f>
        <v/>
      </c>
      <c r="G13963" s="6">
        <f>IF(AND($H13963="ATMOS DISTILLATION",ISNUMBER(SEARCH("VPS",$I13963))=FALSE,LEFT($I13963,6)&lt;&gt;"VACUUM"),"CDU",IF($H13963="FLUID CAT CRACKING","FCC",IF(OR($H13963="HYDROCRACKING",$H13963="RESID_HYDROCRACKING"),"Hydrocracker",IF($H13963="REFORMING","Reformer",""))))</f>
        <v/>
      </c>
    </row>
    <row r="13964" spans="6:7">
      <c r="F13964" s="6">
        <f>IF($M13964="PADD I","PADD 1",IF($M13964="PADD II","PADD 2",IF($M13964="PADD III","PADD 3",IF($M13964="PADD IV","PADD 4",IF($M13964="PADD V","PADD 5","")))))</f>
        <v/>
      </c>
      <c r="G13964" s="6">
        <f>IF(AND($H13964="ATMOS DISTILLATION",ISNUMBER(SEARCH("VPS",$I13964))=FALSE,LEFT($I13964,6)&lt;&gt;"VACUUM"),"CDU",IF($H13964="FLUID CAT CRACKING","FCC",IF(OR($H13964="HYDROCRACKING",$H13964="RESID_HYDROCRACKING"),"Hydrocracker",IF($H13964="REFORMING","Reformer",""))))</f>
        <v/>
      </c>
    </row>
    <row r="13965" spans="6:7">
      <c r="F13965" s="6">
        <f>IF($M13965="PADD I","PADD 1",IF($M13965="PADD II","PADD 2",IF($M13965="PADD III","PADD 3",IF($M13965="PADD IV","PADD 4",IF($M13965="PADD V","PADD 5","")))))</f>
        <v/>
      </c>
      <c r="G13965" s="6">
        <f>IF(AND($H13965="ATMOS DISTILLATION",ISNUMBER(SEARCH("VPS",$I13965))=FALSE,LEFT($I13965,6)&lt;&gt;"VACUUM"),"CDU",IF($H13965="FLUID CAT CRACKING","FCC",IF(OR($H13965="HYDROCRACKING",$H13965="RESID_HYDROCRACKING"),"Hydrocracker",IF($H13965="REFORMING","Reformer",""))))</f>
        <v/>
      </c>
    </row>
    <row r="13966" spans="6:7">
      <c r="F13966" s="6">
        <f>IF($M13966="PADD I","PADD 1",IF($M13966="PADD II","PADD 2",IF($M13966="PADD III","PADD 3",IF($M13966="PADD IV","PADD 4",IF($M13966="PADD V","PADD 5","")))))</f>
        <v/>
      </c>
      <c r="G13966" s="6">
        <f>IF(AND($H13966="ATMOS DISTILLATION",ISNUMBER(SEARCH("VPS",$I13966))=FALSE,LEFT($I13966,6)&lt;&gt;"VACUUM"),"CDU",IF($H13966="FLUID CAT CRACKING","FCC",IF(OR($H13966="HYDROCRACKING",$H13966="RESID_HYDROCRACKING"),"Hydrocracker",IF($H13966="REFORMING","Reformer",""))))</f>
        <v/>
      </c>
    </row>
    <row r="13967" spans="6:7">
      <c r="F13967" s="6">
        <f>IF($M13967="PADD I","PADD 1",IF($M13967="PADD II","PADD 2",IF($M13967="PADD III","PADD 3",IF($M13967="PADD IV","PADD 4",IF($M13967="PADD V","PADD 5","")))))</f>
        <v/>
      </c>
      <c r="G13967" s="6">
        <f>IF(AND($H13967="ATMOS DISTILLATION",ISNUMBER(SEARCH("VPS",$I13967))=FALSE,LEFT($I13967,6)&lt;&gt;"VACUUM"),"CDU",IF($H13967="FLUID CAT CRACKING","FCC",IF(OR($H13967="HYDROCRACKING",$H13967="RESID_HYDROCRACKING"),"Hydrocracker",IF($H13967="REFORMING","Reformer",""))))</f>
        <v/>
      </c>
    </row>
    <row r="13968" spans="6:7">
      <c r="F13968" s="6">
        <f>IF($M13968="PADD I","PADD 1",IF($M13968="PADD II","PADD 2",IF($M13968="PADD III","PADD 3",IF($M13968="PADD IV","PADD 4",IF($M13968="PADD V","PADD 5","")))))</f>
        <v/>
      </c>
      <c r="G13968" s="6">
        <f>IF(AND($H13968="ATMOS DISTILLATION",ISNUMBER(SEARCH("VPS",$I13968))=FALSE,LEFT($I13968,6)&lt;&gt;"VACUUM"),"CDU",IF($H13968="FLUID CAT CRACKING","FCC",IF(OR($H13968="HYDROCRACKING",$H13968="RESID_HYDROCRACKING"),"Hydrocracker",IF($H13968="REFORMING","Reformer",""))))</f>
        <v/>
      </c>
    </row>
    <row r="13969" spans="6:7">
      <c r="F13969" s="6">
        <f>IF($M13969="PADD I","PADD 1",IF($M13969="PADD II","PADD 2",IF($M13969="PADD III","PADD 3",IF($M13969="PADD IV","PADD 4",IF($M13969="PADD V","PADD 5","")))))</f>
        <v/>
      </c>
      <c r="G13969" s="6">
        <f>IF(AND($H13969="ATMOS DISTILLATION",ISNUMBER(SEARCH("VPS",$I13969))=FALSE,LEFT($I13969,6)&lt;&gt;"VACUUM"),"CDU",IF($H13969="FLUID CAT CRACKING","FCC",IF(OR($H13969="HYDROCRACKING",$H13969="RESID_HYDROCRACKING"),"Hydrocracker",IF($H13969="REFORMING","Reformer",""))))</f>
        <v/>
      </c>
    </row>
    <row r="13970" spans="6:7">
      <c r="F13970" s="6">
        <f>IF($M13970="PADD I","PADD 1",IF($M13970="PADD II","PADD 2",IF($M13970="PADD III","PADD 3",IF($M13970="PADD IV","PADD 4",IF($M13970="PADD V","PADD 5","")))))</f>
        <v/>
      </c>
      <c r="G13970" s="6">
        <f>IF(AND($H13970="ATMOS DISTILLATION",ISNUMBER(SEARCH("VPS",$I13970))=FALSE,LEFT($I13970,6)&lt;&gt;"VACUUM"),"CDU",IF($H13970="FLUID CAT CRACKING","FCC",IF(OR($H13970="HYDROCRACKING",$H13970="RESID_HYDROCRACKING"),"Hydrocracker",IF($H13970="REFORMING","Reformer",""))))</f>
        <v/>
      </c>
    </row>
    <row r="13971" spans="6:7">
      <c r="F13971" s="6">
        <f>IF($M13971="PADD I","PADD 1",IF($M13971="PADD II","PADD 2",IF($M13971="PADD III","PADD 3",IF($M13971="PADD IV","PADD 4",IF($M13971="PADD V","PADD 5","")))))</f>
        <v/>
      </c>
      <c r="G13971" s="6">
        <f>IF(AND($H13971="ATMOS DISTILLATION",ISNUMBER(SEARCH("VPS",$I13971))=FALSE,LEFT($I13971,6)&lt;&gt;"VACUUM"),"CDU",IF($H13971="FLUID CAT CRACKING","FCC",IF(OR($H13971="HYDROCRACKING",$H13971="RESID_HYDROCRACKING"),"Hydrocracker",IF($H13971="REFORMING","Reformer",""))))</f>
        <v/>
      </c>
    </row>
    <row r="13972" spans="6:7">
      <c r="F13972" s="6">
        <f>IF($M13972="PADD I","PADD 1",IF($M13972="PADD II","PADD 2",IF($M13972="PADD III","PADD 3",IF($M13972="PADD IV","PADD 4",IF($M13972="PADD V","PADD 5","")))))</f>
        <v/>
      </c>
      <c r="G13972" s="6">
        <f>IF(AND($H13972="ATMOS DISTILLATION",ISNUMBER(SEARCH("VPS",$I13972))=FALSE,LEFT($I13972,6)&lt;&gt;"VACUUM"),"CDU",IF($H13972="FLUID CAT CRACKING","FCC",IF(OR($H13972="HYDROCRACKING",$H13972="RESID_HYDROCRACKING"),"Hydrocracker",IF($H13972="REFORMING","Reformer",""))))</f>
        <v/>
      </c>
    </row>
    <row r="13973" spans="6:7">
      <c r="F13973" s="6">
        <f>IF($M13973="PADD I","PADD 1",IF($M13973="PADD II","PADD 2",IF($M13973="PADD III","PADD 3",IF($M13973="PADD IV","PADD 4",IF($M13973="PADD V","PADD 5","")))))</f>
        <v/>
      </c>
      <c r="G13973" s="6">
        <f>IF(AND($H13973="ATMOS DISTILLATION",ISNUMBER(SEARCH("VPS",$I13973))=FALSE,LEFT($I13973,6)&lt;&gt;"VACUUM"),"CDU",IF($H13973="FLUID CAT CRACKING","FCC",IF(OR($H13973="HYDROCRACKING",$H13973="RESID_HYDROCRACKING"),"Hydrocracker",IF($H13973="REFORMING","Reformer",""))))</f>
        <v/>
      </c>
    </row>
    <row r="13974" spans="6:7">
      <c r="F13974" s="6">
        <f>IF($M13974="PADD I","PADD 1",IF($M13974="PADD II","PADD 2",IF($M13974="PADD III","PADD 3",IF($M13974="PADD IV","PADD 4",IF($M13974="PADD V","PADD 5","")))))</f>
        <v/>
      </c>
      <c r="G13974" s="6">
        <f>IF(AND($H13974="ATMOS DISTILLATION",ISNUMBER(SEARCH("VPS",$I13974))=FALSE,LEFT($I13974,6)&lt;&gt;"VACUUM"),"CDU",IF($H13974="FLUID CAT CRACKING","FCC",IF(OR($H13974="HYDROCRACKING",$H13974="RESID_HYDROCRACKING"),"Hydrocracker",IF($H13974="REFORMING","Reformer",""))))</f>
        <v/>
      </c>
    </row>
    <row r="13975" spans="6:7">
      <c r="F13975" s="6">
        <f>IF($M13975="PADD I","PADD 1",IF($M13975="PADD II","PADD 2",IF($M13975="PADD III","PADD 3",IF($M13975="PADD IV","PADD 4",IF($M13975="PADD V","PADD 5","")))))</f>
        <v/>
      </c>
      <c r="G13975" s="6">
        <f>IF(AND($H13975="ATMOS DISTILLATION",ISNUMBER(SEARCH("VPS",$I13975))=FALSE,LEFT($I13975,6)&lt;&gt;"VACUUM"),"CDU",IF($H13975="FLUID CAT CRACKING","FCC",IF(OR($H13975="HYDROCRACKING",$H13975="RESID_HYDROCRACKING"),"Hydrocracker",IF($H13975="REFORMING","Reformer",""))))</f>
        <v/>
      </c>
    </row>
    <row r="13976" spans="6:7">
      <c r="F13976" s="6">
        <f>IF($M13976="PADD I","PADD 1",IF($M13976="PADD II","PADD 2",IF($M13976="PADD III","PADD 3",IF($M13976="PADD IV","PADD 4",IF($M13976="PADD V","PADD 5","")))))</f>
        <v/>
      </c>
      <c r="G13976" s="6">
        <f>IF(AND($H13976="ATMOS DISTILLATION",ISNUMBER(SEARCH("VPS",$I13976))=FALSE,LEFT($I13976,6)&lt;&gt;"VACUUM"),"CDU",IF($H13976="FLUID CAT CRACKING","FCC",IF(OR($H13976="HYDROCRACKING",$H13976="RESID_HYDROCRACKING"),"Hydrocracker",IF($H13976="REFORMING","Reformer",""))))</f>
        <v/>
      </c>
    </row>
    <row r="13977" spans="6:7">
      <c r="F13977" s="6">
        <f>IF($M13977="PADD I","PADD 1",IF($M13977="PADD II","PADD 2",IF($M13977="PADD III","PADD 3",IF($M13977="PADD IV","PADD 4",IF($M13977="PADD V","PADD 5","")))))</f>
        <v/>
      </c>
      <c r="G13977" s="6">
        <f>IF(AND($H13977="ATMOS DISTILLATION",ISNUMBER(SEARCH("VPS",$I13977))=FALSE,LEFT($I13977,6)&lt;&gt;"VACUUM"),"CDU",IF($H13977="FLUID CAT CRACKING","FCC",IF(OR($H13977="HYDROCRACKING",$H13977="RESID_HYDROCRACKING"),"Hydrocracker",IF($H13977="REFORMING","Reformer",""))))</f>
        <v/>
      </c>
    </row>
    <row r="13978" spans="6:7">
      <c r="F13978" s="6">
        <f>IF($M13978="PADD I","PADD 1",IF($M13978="PADD II","PADD 2",IF($M13978="PADD III","PADD 3",IF($M13978="PADD IV","PADD 4",IF($M13978="PADD V","PADD 5","")))))</f>
        <v/>
      </c>
      <c r="G13978" s="6">
        <f>IF(AND($H13978="ATMOS DISTILLATION",ISNUMBER(SEARCH("VPS",$I13978))=FALSE,LEFT($I13978,6)&lt;&gt;"VACUUM"),"CDU",IF($H13978="FLUID CAT CRACKING","FCC",IF(OR($H13978="HYDROCRACKING",$H13978="RESID_HYDROCRACKING"),"Hydrocracker",IF($H13978="REFORMING","Reformer",""))))</f>
        <v/>
      </c>
    </row>
    <row r="13979" spans="6:7">
      <c r="F13979" s="6">
        <f>IF($M13979="PADD I","PADD 1",IF($M13979="PADD II","PADD 2",IF($M13979="PADD III","PADD 3",IF($M13979="PADD IV","PADD 4",IF($M13979="PADD V","PADD 5","")))))</f>
        <v/>
      </c>
      <c r="G13979" s="6">
        <f>IF(AND($H13979="ATMOS DISTILLATION",ISNUMBER(SEARCH("VPS",$I13979))=FALSE,LEFT($I13979,6)&lt;&gt;"VACUUM"),"CDU",IF($H13979="FLUID CAT CRACKING","FCC",IF(OR($H13979="HYDROCRACKING",$H13979="RESID_HYDROCRACKING"),"Hydrocracker",IF($H13979="REFORMING","Reformer",""))))</f>
        <v/>
      </c>
    </row>
    <row r="13980" spans="6:7">
      <c r="F13980" s="6">
        <f>IF($M13980="PADD I","PADD 1",IF($M13980="PADD II","PADD 2",IF($M13980="PADD III","PADD 3",IF($M13980="PADD IV","PADD 4",IF($M13980="PADD V","PADD 5","")))))</f>
        <v/>
      </c>
      <c r="G13980" s="6">
        <f>IF(AND($H13980="ATMOS DISTILLATION",ISNUMBER(SEARCH("VPS",$I13980))=FALSE,LEFT($I13980,6)&lt;&gt;"VACUUM"),"CDU",IF($H13980="FLUID CAT CRACKING","FCC",IF(OR($H13980="HYDROCRACKING",$H13980="RESID_HYDROCRACKING"),"Hydrocracker",IF($H13980="REFORMING","Reformer",""))))</f>
        <v/>
      </c>
    </row>
    <row r="13981" spans="6:7">
      <c r="F13981" s="6">
        <f>IF($M13981="PADD I","PADD 1",IF($M13981="PADD II","PADD 2",IF($M13981="PADD III","PADD 3",IF($M13981="PADD IV","PADD 4",IF($M13981="PADD V","PADD 5","")))))</f>
        <v/>
      </c>
      <c r="G13981" s="6">
        <f>IF(AND($H13981="ATMOS DISTILLATION",ISNUMBER(SEARCH("VPS",$I13981))=FALSE,LEFT($I13981,6)&lt;&gt;"VACUUM"),"CDU",IF($H13981="FLUID CAT CRACKING","FCC",IF(OR($H13981="HYDROCRACKING",$H13981="RESID_HYDROCRACKING"),"Hydrocracker",IF($H13981="REFORMING","Reformer",""))))</f>
        <v/>
      </c>
    </row>
    <row r="13982" spans="6:7">
      <c r="F13982" s="6">
        <f>IF($M13982="PADD I","PADD 1",IF($M13982="PADD II","PADD 2",IF($M13982="PADD III","PADD 3",IF($M13982="PADD IV","PADD 4",IF($M13982="PADD V","PADD 5","")))))</f>
        <v/>
      </c>
      <c r="G13982" s="6">
        <f>IF(AND($H13982="ATMOS DISTILLATION",ISNUMBER(SEARCH("VPS",$I13982))=FALSE,LEFT($I13982,6)&lt;&gt;"VACUUM"),"CDU",IF($H13982="FLUID CAT CRACKING","FCC",IF(OR($H13982="HYDROCRACKING",$H13982="RESID_HYDROCRACKING"),"Hydrocracker",IF($H13982="REFORMING","Reformer",""))))</f>
        <v/>
      </c>
    </row>
    <row r="13983" spans="6:7">
      <c r="F13983" s="6">
        <f>IF($M13983="PADD I","PADD 1",IF($M13983="PADD II","PADD 2",IF($M13983="PADD III","PADD 3",IF($M13983="PADD IV","PADD 4",IF($M13983="PADD V","PADD 5","")))))</f>
        <v/>
      </c>
      <c r="G13983" s="6">
        <f>IF(AND($H13983="ATMOS DISTILLATION",ISNUMBER(SEARCH("VPS",$I13983))=FALSE,LEFT($I13983,6)&lt;&gt;"VACUUM"),"CDU",IF($H13983="FLUID CAT CRACKING","FCC",IF(OR($H13983="HYDROCRACKING",$H13983="RESID_HYDROCRACKING"),"Hydrocracker",IF($H13983="REFORMING","Reformer",""))))</f>
        <v/>
      </c>
    </row>
    <row r="13984" spans="6:7">
      <c r="F13984" s="6">
        <f>IF($M13984="PADD I","PADD 1",IF($M13984="PADD II","PADD 2",IF($M13984="PADD III","PADD 3",IF($M13984="PADD IV","PADD 4",IF($M13984="PADD V","PADD 5","")))))</f>
        <v/>
      </c>
      <c r="G13984" s="6">
        <f>IF(AND($H13984="ATMOS DISTILLATION",ISNUMBER(SEARCH("VPS",$I13984))=FALSE,LEFT($I13984,6)&lt;&gt;"VACUUM"),"CDU",IF($H13984="FLUID CAT CRACKING","FCC",IF(OR($H13984="HYDROCRACKING",$H13984="RESID_HYDROCRACKING"),"Hydrocracker",IF($H13984="REFORMING","Reformer",""))))</f>
        <v/>
      </c>
    </row>
    <row r="13985" spans="6:7">
      <c r="F13985" s="6">
        <f>IF($M13985="PADD I","PADD 1",IF($M13985="PADD II","PADD 2",IF($M13985="PADD III","PADD 3",IF($M13985="PADD IV","PADD 4",IF($M13985="PADD V","PADD 5","")))))</f>
        <v/>
      </c>
      <c r="G13985" s="6">
        <f>IF(AND($H13985="ATMOS DISTILLATION",ISNUMBER(SEARCH("VPS",$I13985))=FALSE,LEFT($I13985,6)&lt;&gt;"VACUUM"),"CDU",IF($H13985="FLUID CAT CRACKING","FCC",IF(OR($H13985="HYDROCRACKING",$H13985="RESID_HYDROCRACKING"),"Hydrocracker",IF($H13985="REFORMING","Reformer",""))))</f>
        <v/>
      </c>
    </row>
    <row r="13986" spans="6:7">
      <c r="F13986" s="6">
        <f>IF($M13986="PADD I","PADD 1",IF($M13986="PADD II","PADD 2",IF($M13986="PADD III","PADD 3",IF($M13986="PADD IV","PADD 4",IF($M13986="PADD V","PADD 5","")))))</f>
        <v/>
      </c>
      <c r="G13986" s="6">
        <f>IF(AND($H13986="ATMOS DISTILLATION",ISNUMBER(SEARCH("VPS",$I13986))=FALSE,LEFT($I13986,6)&lt;&gt;"VACUUM"),"CDU",IF($H13986="FLUID CAT CRACKING","FCC",IF(OR($H13986="HYDROCRACKING",$H13986="RESID_HYDROCRACKING"),"Hydrocracker",IF($H13986="REFORMING","Reformer",""))))</f>
        <v/>
      </c>
    </row>
    <row r="13987" spans="6:7">
      <c r="F13987" s="6">
        <f>IF($M13987="PADD I","PADD 1",IF($M13987="PADD II","PADD 2",IF($M13987="PADD III","PADD 3",IF($M13987="PADD IV","PADD 4",IF($M13987="PADD V","PADD 5","")))))</f>
        <v/>
      </c>
      <c r="G13987" s="6">
        <f>IF(AND($H13987="ATMOS DISTILLATION",ISNUMBER(SEARCH("VPS",$I13987))=FALSE,LEFT($I13987,6)&lt;&gt;"VACUUM"),"CDU",IF($H13987="FLUID CAT CRACKING","FCC",IF(OR($H13987="HYDROCRACKING",$H13987="RESID_HYDROCRACKING"),"Hydrocracker",IF($H13987="REFORMING","Reformer",""))))</f>
        <v/>
      </c>
    </row>
    <row r="13988" spans="6:7">
      <c r="F13988" s="6">
        <f>IF($M13988="PADD I","PADD 1",IF($M13988="PADD II","PADD 2",IF($M13988="PADD III","PADD 3",IF($M13988="PADD IV","PADD 4",IF($M13988="PADD V","PADD 5","")))))</f>
        <v/>
      </c>
      <c r="G13988" s="6">
        <f>IF(AND($H13988="ATMOS DISTILLATION",ISNUMBER(SEARCH("VPS",$I13988))=FALSE,LEFT($I13988,6)&lt;&gt;"VACUUM"),"CDU",IF($H13988="FLUID CAT CRACKING","FCC",IF(OR($H13988="HYDROCRACKING",$H13988="RESID_HYDROCRACKING"),"Hydrocracker",IF($H13988="REFORMING","Reformer",""))))</f>
        <v/>
      </c>
    </row>
    <row r="13989" spans="6:7">
      <c r="F13989" s="6">
        <f>IF($M13989="PADD I","PADD 1",IF($M13989="PADD II","PADD 2",IF($M13989="PADD III","PADD 3",IF($M13989="PADD IV","PADD 4",IF($M13989="PADD V","PADD 5","")))))</f>
        <v/>
      </c>
      <c r="G13989" s="6">
        <f>IF(AND($H13989="ATMOS DISTILLATION",ISNUMBER(SEARCH("VPS",$I13989))=FALSE,LEFT($I13989,6)&lt;&gt;"VACUUM"),"CDU",IF($H13989="FLUID CAT CRACKING","FCC",IF(OR($H13989="HYDROCRACKING",$H13989="RESID_HYDROCRACKING"),"Hydrocracker",IF($H13989="REFORMING","Reformer",""))))</f>
        <v/>
      </c>
    </row>
    <row r="13990" spans="6:7">
      <c r="F13990" s="6">
        <f>IF($M13990="PADD I","PADD 1",IF($M13990="PADD II","PADD 2",IF($M13990="PADD III","PADD 3",IF($M13990="PADD IV","PADD 4",IF($M13990="PADD V","PADD 5","")))))</f>
        <v/>
      </c>
      <c r="G13990" s="6">
        <f>IF(AND($H13990="ATMOS DISTILLATION",ISNUMBER(SEARCH("VPS",$I13990))=FALSE,LEFT($I13990,6)&lt;&gt;"VACUUM"),"CDU",IF($H13990="FLUID CAT CRACKING","FCC",IF(OR($H13990="HYDROCRACKING",$H13990="RESID_HYDROCRACKING"),"Hydrocracker",IF($H13990="REFORMING","Reformer",""))))</f>
        <v/>
      </c>
    </row>
    <row r="13991" spans="6:7">
      <c r="F13991" s="6">
        <f>IF($M13991="PADD I","PADD 1",IF($M13991="PADD II","PADD 2",IF($M13991="PADD III","PADD 3",IF($M13991="PADD IV","PADD 4",IF($M13991="PADD V","PADD 5","")))))</f>
        <v/>
      </c>
      <c r="G13991" s="6">
        <f>IF(AND($H13991="ATMOS DISTILLATION",ISNUMBER(SEARCH("VPS",$I13991))=FALSE,LEFT($I13991,6)&lt;&gt;"VACUUM"),"CDU",IF($H13991="FLUID CAT CRACKING","FCC",IF(OR($H13991="HYDROCRACKING",$H13991="RESID_HYDROCRACKING"),"Hydrocracker",IF($H13991="REFORMING","Reformer",""))))</f>
        <v/>
      </c>
    </row>
    <row r="13992" spans="6:7">
      <c r="F13992" s="6">
        <f>IF($M13992="PADD I","PADD 1",IF($M13992="PADD II","PADD 2",IF($M13992="PADD III","PADD 3",IF($M13992="PADD IV","PADD 4",IF($M13992="PADD V","PADD 5","")))))</f>
        <v/>
      </c>
      <c r="G13992" s="6">
        <f>IF(AND($H13992="ATMOS DISTILLATION",ISNUMBER(SEARCH("VPS",$I13992))=FALSE,LEFT($I13992,6)&lt;&gt;"VACUUM"),"CDU",IF($H13992="FLUID CAT CRACKING","FCC",IF(OR($H13992="HYDROCRACKING",$H13992="RESID_HYDROCRACKING"),"Hydrocracker",IF($H13992="REFORMING","Reformer",""))))</f>
        <v/>
      </c>
    </row>
    <row r="13993" spans="6:7">
      <c r="F13993" s="6">
        <f>IF($M13993="PADD I","PADD 1",IF($M13993="PADD II","PADD 2",IF($M13993="PADD III","PADD 3",IF($M13993="PADD IV","PADD 4",IF($M13993="PADD V","PADD 5","")))))</f>
        <v/>
      </c>
      <c r="G13993" s="6">
        <f>IF(AND($H13993="ATMOS DISTILLATION",ISNUMBER(SEARCH("VPS",$I13993))=FALSE,LEFT($I13993,6)&lt;&gt;"VACUUM"),"CDU",IF($H13993="FLUID CAT CRACKING","FCC",IF(OR($H13993="HYDROCRACKING",$H13993="RESID_HYDROCRACKING"),"Hydrocracker",IF($H13993="REFORMING","Reformer",""))))</f>
        <v/>
      </c>
    </row>
    <row r="13994" spans="6:7">
      <c r="F13994" s="6">
        <f>IF($M13994="PADD I","PADD 1",IF($M13994="PADD II","PADD 2",IF($M13994="PADD III","PADD 3",IF($M13994="PADD IV","PADD 4",IF($M13994="PADD V","PADD 5","")))))</f>
        <v/>
      </c>
      <c r="G13994" s="6">
        <f>IF(AND($H13994="ATMOS DISTILLATION",ISNUMBER(SEARCH("VPS",$I13994))=FALSE,LEFT($I13994,6)&lt;&gt;"VACUUM"),"CDU",IF($H13994="FLUID CAT CRACKING","FCC",IF(OR($H13994="HYDROCRACKING",$H13994="RESID_HYDROCRACKING"),"Hydrocracker",IF($H13994="REFORMING","Reformer",""))))</f>
        <v/>
      </c>
    </row>
    <row r="13995" spans="6:7">
      <c r="F13995" s="6">
        <f>IF($M13995="PADD I","PADD 1",IF($M13995="PADD II","PADD 2",IF($M13995="PADD III","PADD 3",IF($M13995="PADD IV","PADD 4",IF($M13995="PADD V","PADD 5","")))))</f>
        <v/>
      </c>
      <c r="G13995" s="6">
        <f>IF(AND($H13995="ATMOS DISTILLATION",ISNUMBER(SEARCH("VPS",$I13995))=FALSE,LEFT($I13995,6)&lt;&gt;"VACUUM"),"CDU",IF($H13995="FLUID CAT CRACKING","FCC",IF(OR($H13995="HYDROCRACKING",$H13995="RESID_HYDROCRACKING"),"Hydrocracker",IF($H13995="REFORMING","Reformer",""))))</f>
        <v/>
      </c>
    </row>
    <row r="13996" spans="6:7">
      <c r="F13996" s="6">
        <f>IF($M13996="PADD I","PADD 1",IF($M13996="PADD II","PADD 2",IF($M13996="PADD III","PADD 3",IF($M13996="PADD IV","PADD 4",IF($M13996="PADD V","PADD 5","")))))</f>
        <v/>
      </c>
      <c r="G13996" s="6">
        <f>IF(AND($H13996="ATMOS DISTILLATION",ISNUMBER(SEARCH("VPS",$I13996))=FALSE,LEFT($I13996,6)&lt;&gt;"VACUUM"),"CDU",IF($H13996="FLUID CAT CRACKING","FCC",IF(OR($H13996="HYDROCRACKING",$H13996="RESID_HYDROCRACKING"),"Hydrocracker",IF($H13996="REFORMING","Reformer",""))))</f>
        <v/>
      </c>
    </row>
    <row r="13997" spans="6:7">
      <c r="F13997" s="6">
        <f>IF($M13997="PADD I","PADD 1",IF($M13997="PADD II","PADD 2",IF($M13997="PADD III","PADD 3",IF($M13997="PADD IV","PADD 4",IF($M13997="PADD V","PADD 5","")))))</f>
        <v/>
      </c>
      <c r="G13997" s="6">
        <f>IF(AND($H13997="ATMOS DISTILLATION",ISNUMBER(SEARCH("VPS",$I13997))=FALSE,LEFT($I13997,6)&lt;&gt;"VACUUM"),"CDU",IF($H13997="FLUID CAT CRACKING","FCC",IF(OR($H13997="HYDROCRACKING",$H13997="RESID_HYDROCRACKING"),"Hydrocracker",IF($H13997="REFORMING","Reformer",""))))</f>
        <v/>
      </c>
    </row>
    <row r="13998" spans="6:7">
      <c r="F13998" s="6">
        <f>IF($M13998="PADD I","PADD 1",IF($M13998="PADD II","PADD 2",IF($M13998="PADD III","PADD 3",IF($M13998="PADD IV","PADD 4",IF($M13998="PADD V","PADD 5","")))))</f>
        <v/>
      </c>
      <c r="G13998" s="6">
        <f>IF(AND($H13998="ATMOS DISTILLATION",ISNUMBER(SEARCH("VPS",$I13998))=FALSE,LEFT($I13998,6)&lt;&gt;"VACUUM"),"CDU",IF($H13998="FLUID CAT CRACKING","FCC",IF(OR($H13998="HYDROCRACKING",$H13998="RESID_HYDROCRACKING"),"Hydrocracker",IF($H13998="REFORMING","Reformer",""))))</f>
        <v/>
      </c>
    </row>
    <row r="13999" spans="6:7">
      <c r="F13999" s="6">
        <f>IF($M13999="PADD I","PADD 1",IF($M13999="PADD II","PADD 2",IF($M13999="PADD III","PADD 3",IF($M13999="PADD IV","PADD 4",IF($M13999="PADD V","PADD 5","")))))</f>
        <v/>
      </c>
      <c r="G13999" s="6">
        <f>IF(AND($H13999="ATMOS DISTILLATION",ISNUMBER(SEARCH("VPS",$I13999))=FALSE,LEFT($I13999,6)&lt;&gt;"VACUUM"),"CDU",IF($H13999="FLUID CAT CRACKING","FCC",IF(OR($H13999="HYDROCRACKING",$H13999="RESID_HYDROCRACKING"),"Hydrocracker",IF($H13999="REFORMING","Reformer",""))))</f>
        <v/>
      </c>
    </row>
    <row r="14000" spans="6:7">
      <c r="F14000" s="6">
        <f>IF($M14000="PADD I","PADD 1",IF($M14000="PADD II","PADD 2",IF($M14000="PADD III","PADD 3",IF($M14000="PADD IV","PADD 4",IF($M14000="PADD V","PADD 5","")))))</f>
        <v/>
      </c>
      <c r="G14000" s="6">
        <f>IF(AND($H14000="ATMOS DISTILLATION",ISNUMBER(SEARCH("VPS",$I14000))=FALSE,LEFT($I14000,6)&lt;&gt;"VACUUM"),"CDU",IF($H14000="FLUID CAT CRACKING","FCC",IF(OR($H14000="HYDROCRACKING",$H14000="RESID_HYDROCRACKING"),"Hydrocracker",IF($H14000="REFORMING","Reformer",""))))</f>
        <v/>
      </c>
    </row>
    <row r="14001" spans="6:7">
      <c r="F14001" s="6">
        <f>IF($M14001="PADD I","PADD 1",IF($M14001="PADD II","PADD 2",IF($M14001="PADD III","PADD 3",IF($M14001="PADD IV","PADD 4",IF($M14001="PADD V","PADD 5","")))))</f>
        <v/>
      </c>
      <c r="G14001" s="6">
        <f>IF(AND($H14001="ATMOS DISTILLATION",ISNUMBER(SEARCH("VPS",$I14001))=FALSE,LEFT($I14001,6)&lt;&gt;"VACUUM"),"CDU",IF($H14001="FLUID CAT CRACKING","FCC",IF(OR($H14001="HYDROCRACKING",$H14001="RESID_HYDROCRACKING"),"Hydrocracker",IF($H14001="REFORMING","Reformer",""))))</f>
        <v/>
      </c>
    </row>
    <row r="14002" spans="6:7">
      <c r="F14002" s="6">
        <f>IF($M14002="PADD I","PADD 1",IF($M14002="PADD II","PADD 2",IF($M14002="PADD III","PADD 3",IF($M14002="PADD IV","PADD 4",IF($M14002="PADD V","PADD 5","")))))</f>
        <v/>
      </c>
      <c r="G14002" s="6">
        <f>IF(AND($H14002="ATMOS DISTILLATION",ISNUMBER(SEARCH("VPS",$I14002))=FALSE,LEFT($I14002,6)&lt;&gt;"VACUUM"),"CDU",IF($H14002="FLUID CAT CRACKING","FCC",IF(OR($H14002="HYDROCRACKING",$H14002="RESID_HYDROCRACKING"),"Hydrocracker",IF($H14002="REFORMING","Reformer",""))))</f>
        <v/>
      </c>
    </row>
    <row r="14003" spans="6:7">
      <c r="F14003" s="6">
        <f>IF($M14003="PADD I","PADD 1",IF($M14003="PADD II","PADD 2",IF($M14003="PADD III","PADD 3",IF($M14003="PADD IV","PADD 4",IF($M14003="PADD V","PADD 5","")))))</f>
        <v/>
      </c>
      <c r="G14003" s="6">
        <f>IF(AND($H14003="ATMOS DISTILLATION",ISNUMBER(SEARCH("VPS",$I14003))=FALSE,LEFT($I14003,6)&lt;&gt;"VACUUM"),"CDU",IF($H14003="FLUID CAT CRACKING","FCC",IF(OR($H14003="HYDROCRACKING",$H14003="RESID_HYDROCRACKING"),"Hydrocracker",IF($H14003="REFORMING","Reformer",""))))</f>
        <v/>
      </c>
    </row>
    <row r="14004" spans="6:7">
      <c r="F14004" s="6">
        <f>IF($M14004="PADD I","PADD 1",IF($M14004="PADD II","PADD 2",IF($M14004="PADD III","PADD 3",IF($M14004="PADD IV","PADD 4",IF($M14004="PADD V","PADD 5","")))))</f>
        <v/>
      </c>
      <c r="G14004" s="6">
        <f>IF(AND($H14004="ATMOS DISTILLATION",ISNUMBER(SEARCH("VPS",$I14004))=FALSE,LEFT($I14004,6)&lt;&gt;"VACUUM"),"CDU",IF($H14004="FLUID CAT CRACKING","FCC",IF(OR($H14004="HYDROCRACKING",$H14004="RESID_HYDROCRACKING"),"Hydrocracker",IF($H14004="REFORMING","Reformer",""))))</f>
        <v/>
      </c>
    </row>
    <row r="14005" spans="6:7">
      <c r="F14005" s="6">
        <f>IF($M14005="PADD I","PADD 1",IF($M14005="PADD II","PADD 2",IF($M14005="PADD III","PADD 3",IF($M14005="PADD IV","PADD 4",IF($M14005="PADD V","PADD 5","")))))</f>
        <v/>
      </c>
      <c r="G14005" s="6">
        <f>IF(AND($H14005="ATMOS DISTILLATION",ISNUMBER(SEARCH("VPS",$I14005))=FALSE,LEFT($I14005,6)&lt;&gt;"VACUUM"),"CDU",IF($H14005="FLUID CAT CRACKING","FCC",IF(OR($H14005="HYDROCRACKING",$H14005="RESID_HYDROCRACKING"),"Hydrocracker",IF($H14005="REFORMING","Reformer",""))))</f>
        <v/>
      </c>
    </row>
    <row r="14006" spans="6:7">
      <c r="F14006" s="6">
        <f>IF($M14006="PADD I","PADD 1",IF($M14006="PADD II","PADD 2",IF($M14006="PADD III","PADD 3",IF($M14006="PADD IV","PADD 4",IF($M14006="PADD V","PADD 5","")))))</f>
        <v/>
      </c>
      <c r="G14006" s="6">
        <f>IF(AND($H14006="ATMOS DISTILLATION",ISNUMBER(SEARCH("VPS",$I14006))=FALSE,LEFT($I14006,6)&lt;&gt;"VACUUM"),"CDU",IF($H14006="FLUID CAT CRACKING","FCC",IF(OR($H14006="HYDROCRACKING",$H14006="RESID_HYDROCRACKING"),"Hydrocracker",IF($H14006="REFORMING","Reformer",""))))</f>
        <v/>
      </c>
    </row>
    <row r="14007" spans="6:7">
      <c r="F14007" s="6">
        <f>IF($M14007="PADD I","PADD 1",IF($M14007="PADD II","PADD 2",IF($M14007="PADD III","PADD 3",IF($M14007="PADD IV","PADD 4",IF($M14007="PADD V","PADD 5","")))))</f>
        <v/>
      </c>
      <c r="G14007" s="6">
        <f>IF(AND($H14007="ATMOS DISTILLATION",ISNUMBER(SEARCH("VPS",$I14007))=FALSE,LEFT($I14007,6)&lt;&gt;"VACUUM"),"CDU",IF($H14007="FLUID CAT CRACKING","FCC",IF(OR($H14007="HYDROCRACKING",$H14007="RESID_HYDROCRACKING"),"Hydrocracker",IF($H14007="REFORMING","Reformer",""))))</f>
        <v/>
      </c>
    </row>
    <row r="14008" spans="6:7">
      <c r="F14008" s="6">
        <f>IF($M14008="PADD I","PADD 1",IF($M14008="PADD II","PADD 2",IF($M14008="PADD III","PADD 3",IF($M14008="PADD IV","PADD 4",IF($M14008="PADD V","PADD 5","")))))</f>
        <v/>
      </c>
      <c r="G14008" s="6">
        <f>IF(AND($H14008="ATMOS DISTILLATION",ISNUMBER(SEARCH("VPS",$I14008))=FALSE,LEFT($I14008,6)&lt;&gt;"VACUUM"),"CDU",IF($H14008="FLUID CAT CRACKING","FCC",IF(OR($H14008="HYDROCRACKING",$H14008="RESID_HYDROCRACKING"),"Hydrocracker",IF($H14008="REFORMING","Reformer",""))))</f>
        <v/>
      </c>
    </row>
    <row r="14009" spans="6:7">
      <c r="F14009" s="6">
        <f>IF($M14009="PADD I","PADD 1",IF($M14009="PADD II","PADD 2",IF($M14009="PADD III","PADD 3",IF($M14009="PADD IV","PADD 4",IF($M14009="PADD V","PADD 5","")))))</f>
        <v/>
      </c>
      <c r="G14009" s="6">
        <f>IF(AND($H14009="ATMOS DISTILLATION",ISNUMBER(SEARCH("VPS",$I14009))=FALSE,LEFT($I14009,6)&lt;&gt;"VACUUM"),"CDU",IF($H14009="FLUID CAT CRACKING","FCC",IF(OR($H14009="HYDROCRACKING",$H14009="RESID_HYDROCRACKING"),"Hydrocracker",IF($H14009="REFORMING","Reformer",""))))</f>
        <v/>
      </c>
    </row>
    <row r="14010" spans="6:7">
      <c r="F14010" s="6">
        <f>IF($M14010="PADD I","PADD 1",IF($M14010="PADD II","PADD 2",IF($M14010="PADD III","PADD 3",IF($M14010="PADD IV","PADD 4",IF($M14010="PADD V","PADD 5","")))))</f>
        <v/>
      </c>
      <c r="G14010" s="6">
        <f>IF(AND($H14010="ATMOS DISTILLATION",ISNUMBER(SEARCH("VPS",$I14010))=FALSE,LEFT($I14010,6)&lt;&gt;"VACUUM"),"CDU",IF($H14010="FLUID CAT CRACKING","FCC",IF(OR($H14010="HYDROCRACKING",$H14010="RESID_HYDROCRACKING"),"Hydrocracker",IF($H14010="REFORMING","Reformer",""))))</f>
        <v/>
      </c>
    </row>
    <row r="14011" spans="6:7">
      <c r="F14011" s="6">
        <f>IF($M14011="PADD I","PADD 1",IF($M14011="PADD II","PADD 2",IF($M14011="PADD III","PADD 3",IF($M14011="PADD IV","PADD 4",IF($M14011="PADD V","PADD 5","")))))</f>
        <v/>
      </c>
      <c r="G14011" s="6">
        <f>IF(AND($H14011="ATMOS DISTILLATION",ISNUMBER(SEARCH("VPS",$I14011))=FALSE,LEFT($I14011,6)&lt;&gt;"VACUUM"),"CDU",IF($H14011="FLUID CAT CRACKING","FCC",IF(OR($H14011="HYDROCRACKING",$H14011="RESID_HYDROCRACKING"),"Hydrocracker",IF($H14011="REFORMING","Reformer",""))))</f>
        <v/>
      </c>
    </row>
    <row r="14012" spans="6:7">
      <c r="F14012" s="6">
        <f>IF($M14012="PADD I","PADD 1",IF($M14012="PADD II","PADD 2",IF($M14012="PADD III","PADD 3",IF($M14012="PADD IV","PADD 4",IF($M14012="PADD V","PADD 5","")))))</f>
        <v/>
      </c>
      <c r="G14012" s="6">
        <f>IF(AND($H14012="ATMOS DISTILLATION",ISNUMBER(SEARCH("VPS",$I14012))=FALSE,LEFT($I14012,6)&lt;&gt;"VACUUM"),"CDU",IF($H14012="FLUID CAT CRACKING","FCC",IF(OR($H14012="HYDROCRACKING",$H14012="RESID_HYDROCRACKING"),"Hydrocracker",IF($H14012="REFORMING","Reformer",""))))</f>
        <v/>
      </c>
    </row>
    <row r="14013" spans="6:7">
      <c r="F14013" s="6">
        <f>IF($M14013="PADD I","PADD 1",IF($M14013="PADD II","PADD 2",IF($M14013="PADD III","PADD 3",IF($M14013="PADD IV","PADD 4",IF($M14013="PADD V","PADD 5","")))))</f>
        <v/>
      </c>
      <c r="G14013" s="6">
        <f>IF(AND($H14013="ATMOS DISTILLATION",ISNUMBER(SEARCH("VPS",$I14013))=FALSE,LEFT($I14013,6)&lt;&gt;"VACUUM"),"CDU",IF($H14013="FLUID CAT CRACKING","FCC",IF(OR($H14013="HYDROCRACKING",$H14013="RESID_HYDROCRACKING"),"Hydrocracker",IF($H14013="REFORMING","Reformer",""))))</f>
        <v/>
      </c>
    </row>
    <row r="14014" spans="6:7">
      <c r="F14014" s="6">
        <f>IF($M14014="PADD I","PADD 1",IF($M14014="PADD II","PADD 2",IF($M14014="PADD III","PADD 3",IF($M14014="PADD IV","PADD 4",IF($M14014="PADD V","PADD 5","")))))</f>
        <v/>
      </c>
      <c r="G14014" s="6">
        <f>IF(AND($H14014="ATMOS DISTILLATION",ISNUMBER(SEARCH("VPS",$I14014))=FALSE,LEFT($I14014,6)&lt;&gt;"VACUUM"),"CDU",IF($H14014="FLUID CAT CRACKING","FCC",IF(OR($H14014="HYDROCRACKING",$H14014="RESID_HYDROCRACKING"),"Hydrocracker",IF($H14014="REFORMING","Reformer",""))))</f>
        <v/>
      </c>
    </row>
    <row r="14015" spans="6:7">
      <c r="F14015" s="6">
        <f>IF($M14015="PADD I","PADD 1",IF($M14015="PADD II","PADD 2",IF($M14015="PADD III","PADD 3",IF($M14015="PADD IV","PADD 4",IF($M14015="PADD V","PADD 5","")))))</f>
        <v/>
      </c>
      <c r="G14015" s="6">
        <f>IF(AND($H14015="ATMOS DISTILLATION",ISNUMBER(SEARCH("VPS",$I14015))=FALSE,LEFT($I14015,6)&lt;&gt;"VACUUM"),"CDU",IF($H14015="FLUID CAT CRACKING","FCC",IF(OR($H14015="HYDROCRACKING",$H14015="RESID_HYDROCRACKING"),"Hydrocracker",IF($H14015="REFORMING","Reformer",""))))</f>
        <v/>
      </c>
    </row>
    <row r="14016" spans="6:7">
      <c r="F14016" s="6">
        <f>IF($M14016="PADD I","PADD 1",IF($M14016="PADD II","PADD 2",IF($M14016="PADD III","PADD 3",IF($M14016="PADD IV","PADD 4",IF($M14016="PADD V","PADD 5","")))))</f>
        <v/>
      </c>
      <c r="G14016" s="6">
        <f>IF(AND($H14016="ATMOS DISTILLATION",ISNUMBER(SEARCH("VPS",$I14016))=FALSE,LEFT($I14016,6)&lt;&gt;"VACUUM"),"CDU",IF($H14016="FLUID CAT CRACKING","FCC",IF(OR($H14016="HYDROCRACKING",$H14016="RESID_HYDROCRACKING"),"Hydrocracker",IF($H14016="REFORMING","Reformer",""))))</f>
        <v/>
      </c>
    </row>
    <row r="14017" spans="6:7">
      <c r="F14017" s="6">
        <f>IF($M14017="PADD I","PADD 1",IF($M14017="PADD II","PADD 2",IF($M14017="PADD III","PADD 3",IF($M14017="PADD IV","PADD 4",IF($M14017="PADD V","PADD 5","")))))</f>
        <v/>
      </c>
      <c r="G14017" s="6">
        <f>IF(AND($H14017="ATMOS DISTILLATION",ISNUMBER(SEARCH("VPS",$I14017))=FALSE,LEFT($I14017,6)&lt;&gt;"VACUUM"),"CDU",IF($H14017="FLUID CAT CRACKING","FCC",IF(OR($H14017="HYDROCRACKING",$H14017="RESID_HYDROCRACKING"),"Hydrocracker",IF($H14017="REFORMING","Reformer",""))))</f>
        <v/>
      </c>
    </row>
    <row r="14018" spans="6:7">
      <c r="F14018" s="6">
        <f>IF($M14018="PADD I","PADD 1",IF($M14018="PADD II","PADD 2",IF($M14018="PADD III","PADD 3",IF($M14018="PADD IV","PADD 4",IF($M14018="PADD V","PADD 5","")))))</f>
        <v/>
      </c>
      <c r="G14018" s="6">
        <f>IF(AND($H14018="ATMOS DISTILLATION",ISNUMBER(SEARCH("VPS",$I14018))=FALSE,LEFT($I14018,6)&lt;&gt;"VACUUM"),"CDU",IF($H14018="FLUID CAT CRACKING","FCC",IF(OR($H14018="HYDROCRACKING",$H14018="RESID_HYDROCRACKING"),"Hydrocracker",IF($H14018="REFORMING","Reformer",""))))</f>
        <v/>
      </c>
    </row>
    <row r="14019" spans="6:7">
      <c r="F14019" s="6">
        <f>IF($M14019="PADD I","PADD 1",IF($M14019="PADD II","PADD 2",IF($M14019="PADD III","PADD 3",IF($M14019="PADD IV","PADD 4",IF($M14019="PADD V","PADD 5","")))))</f>
        <v/>
      </c>
      <c r="G14019" s="6">
        <f>IF(AND($H14019="ATMOS DISTILLATION",ISNUMBER(SEARCH("VPS",$I14019))=FALSE,LEFT($I14019,6)&lt;&gt;"VACUUM"),"CDU",IF($H14019="FLUID CAT CRACKING","FCC",IF(OR($H14019="HYDROCRACKING",$H14019="RESID_HYDROCRACKING"),"Hydrocracker",IF($H14019="REFORMING","Reformer",""))))</f>
        <v/>
      </c>
    </row>
    <row r="14020" spans="6:7">
      <c r="F14020" s="6">
        <f>IF($M14020="PADD I","PADD 1",IF($M14020="PADD II","PADD 2",IF($M14020="PADD III","PADD 3",IF($M14020="PADD IV","PADD 4",IF($M14020="PADD V","PADD 5","")))))</f>
        <v/>
      </c>
      <c r="G14020" s="6">
        <f>IF(AND($H14020="ATMOS DISTILLATION",ISNUMBER(SEARCH("VPS",$I14020))=FALSE,LEFT($I14020,6)&lt;&gt;"VACUUM"),"CDU",IF($H14020="FLUID CAT CRACKING","FCC",IF(OR($H14020="HYDROCRACKING",$H14020="RESID_HYDROCRACKING"),"Hydrocracker",IF($H14020="REFORMING","Reformer",""))))</f>
        <v/>
      </c>
    </row>
    <row r="14021" spans="6:7">
      <c r="F14021" s="6">
        <f>IF($M14021="PADD I","PADD 1",IF($M14021="PADD II","PADD 2",IF($M14021="PADD III","PADD 3",IF($M14021="PADD IV","PADD 4",IF($M14021="PADD V","PADD 5","")))))</f>
        <v/>
      </c>
      <c r="G14021" s="6">
        <f>IF(AND($H14021="ATMOS DISTILLATION",ISNUMBER(SEARCH("VPS",$I14021))=FALSE,LEFT($I14021,6)&lt;&gt;"VACUUM"),"CDU",IF($H14021="FLUID CAT CRACKING","FCC",IF(OR($H14021="HYDROCRACKING",$H14021="RESID_HYDROCRACKING"),"Hydrocracker",IF($H14021="REFORMING","Reformer",""))))</f>
        <v/>
      </c>
    </row>
    <row r="14022" spans="6:7">
      <c r="F14022" s="6">
        <f>IF($M14022="PADD I","PADD 1",IF($M14022="PADD II","PADD 2",IF($M14022="PADD III","PADD 3",IF($M14022="PADD IV","PADD 4",IF($M14022="PADD V","PADD 5","")))))</f>
        <v/>
      </c>
      <c r="G14022" s="6">
        <f>IF(AND($H14022="ATMOS DISTILLATION",ISNUMBER(SEARCH("VPS",$I14022))=FALSE,LEFT($I14022,6)&lt;&gt;"VACUUM"),"CDU",IF($H14022="FLUID CAT CRACKING","FCC",IF(OR($H14022="HYDROCRACKING",$H14022="RESID_HYDROCRACKING"),"Hydrocracker",IF($H14022="REFORMING","Reformer",""))))</f>
        <v/>
      </c>
    </row>
    <row r="14023" spans="6:7">
      <c r="F14023" s="6">
        <f>IF($M14023="PADD I","PADD 1",IF($M14023="PADD II","PADD 2",IF($M14023="PADD III","PADD 3",IF($M14023="PADD IV","PADD 4",IF($M14023="PADD V","PADD 5","")))))</f>
        <v/>
      </c>
      <c r="G14023" s="6">
        <f>IF(AND($H14023="ATMOS DISTILLATION",ISNUMBER(SEARCH("VPS",$I14023))=FALSE,LEFT($I14023,6)&lt;&gt;"VACUUM"),"CDU",IF($H14023="FLUID CAT CRACKING","FCC",IF(OR($H14023="HYDROCRACKING",$H14023="RESID_HYDROCRACKING"),"Hydrocracker",IF($H14023="REFORMING","Reformer",""))))</f>
        <v/>
      </c>
    </row>
    <row r="14024" spans="6:7">
      <c r="F14024" s="6">
        <f>IF($M14024="PADD I","PADD 1",IF($M14024="PADD II","PADD 2",IF($M14024="PADD III","PADD 3",IF($M14024="PADD IV","PADD 4",IF($M14024="PADD V","PADD 5","")))))</f>
        <v/>
      </c>
      <c r="G14024" s="6">
        <f>IF(AND($H14024="ATMOS DISTILLATION",ISNUMBER(SEARCH("VPS",$I14024))=FALSE,LEFT($I14024,6)&lt;&gt;"VACUUM"),"CDU",IF($H14024="FLUID CAT CRACKING","FCC",IF(OR($H14024="HYDROCRACKING",$H14024="RESID_HYDROCRACKING"),"Hydrocracker",IF($H14024="REFORMING","Reformer",""))))</f>
        <v/>
      </c>
    </row>
    <row r="14025" spans="6:7">
      <c r="F14025" s="6">
        <f>IF($M14025="PADD I","PADD 1",IF($M14025="PADD II","PADD 2",IF($M14025="PADD III","PADD 3",IF($M14025="PADD IV","PADD 4",IF($M14025="PADD V","PADD 5","")))))</f>
        <v/>
      </c>
      <c r="G14025" s="6">
        <f>IF(AND($H14025="ATMOS DISTILLATION",ISNUMBER(SEARCH("VPS",$I14025))=FALSE,LEFT($I14025,6)&lt;&gt;"VACUUM"),"CDU",IF($H14025="FLUID CAT CRACKING","FCC",IF(OR($H14025="HYDROCRACKING",$H14025="RESID_HYDROCRACKING"),"Hydrocracker",IF($H14025="REFORMING","Reformer",""))))</f>
        <v/>
      </c>
    </row>
    <row r="14026" spans="6:7">
      <c r="F14026" s="6">
        <f>IF($M14026="PADD I","PADD 1",IF($M14026="PADD II","PADD 2",IF($M14026="PADD III","PADD 3",IF($M14026="PADD IV","PADD 4",IF($M14026="PADD V","PADD 5","")))))</f>
        <v/>
      </c>
      <c r="G14026" s="6">
        <f>IF(AND($H14026="ATMOS DISTILLATION",ISNUMBER(SEARCH("VPS",$I14026))=FALSE,LEFT($I14026,6)&lt;&gt;"VACUUM"),"CDU",IF($H14026="FLUID CAT CRACKING","FCC",IF(OR($H14026="HYDROCRACKING",$H14026="RESID_HYDROCRACKING"),"Hydrocracker",IF($H14026="REFORMING","Reformer",""))))</f>
        <v/>
      </c>
    </row>
    <row r="14027" spans="6:7">
      <c r="F14027" s="6">
        <f>IF($M14027="PADD I","PADD 1",IF($M14027="PADD II","PADD 2",IF($M14027="PADD III","PADD 3",IF($M14027="PADD IV","PADD 4",IF($M14027="PADD V","PADD 5","")))))</f>
        <v/>
      </c>
      <c r="G14027" s="6">
        <f>IF(AND($H14027="ATMOS DISTILLATION",ISNUMBER(SEARCH("VPS",$I14027))=FALSE,LEFT($I14027,6)&lt;&gt;"VACUUM"),"CDU",IF($H14027="FLUID CAT CRACKING","FCC",IF(OR($H14027="HYDROCRACKING",$H14027="RESID_HYDROCRACKING"),"Hydrocracker",IF($H14027="REFORMING","Reformer",""))))</f>
        <v/>
      </c>
    </row>
    <row r="14028" spans="6:7">
      <c r="F14028" s="6">
        <f>IF($M14028="PADD I","PADD 1",IF($M14028="PADD II","PADD 2",IF($M14028="PADD III","PADD 3",IF($M14028="PADD IV","PADD 4",IF($M14028="PADD V","PADD 5","")))))</f>
        <v/>
      </c>
      <c r="G14028" s="6">
        <f>IF(AND($H14028="ATMOS DISTILLATION",ISNUMBER(SEARCH("VPS",$I14028))=FALSE,LEFT($I14028,6)&lt;&gt;"VACUUM"),"CDU",IF($H14028="FLUID CAT CRACKING","FCC",IF(OR($H14028="HYDROCRACKING",$H14028="RESID_HYDROCRACKING"),"Hydrocracker",IF($H14028="REFORMING","Reformer",""))))</f>
        <v/>
      </c>
    </row>
    <row r="14029" spans="6:7">
      <c r="F14029" s="6">
        <f>IF($M14029="PADD I","PADD 1",IF($M14029="PADD II","PADD 2",IF($M14029="PADD III","PADD 3",IF($M14029="PADD IV","PADD 4",IF($M14029="PADD V","PADD 5","")))))</f>
        <v/>
      </c>
      <c r="G14029" s="6">
        <f>IF(AND($H14029="ATMOS DISTILLATION",ISNUMBER(SEARCH("VPS",$I14029))=FALSE,LEFT($I14029,6)&lt;&gt;"VACUUM"),"CDU",IF($H14029="FLUID CAT CRACKING","FCC",IF(OR($H14029="HYDROCRACKING",$H14029="RESID_HYDROCRACKING"),"Hydrocracker",IF($H14029="REFORMING","Reformer",""))))</f>
        <v/>
      </c>
    </row>
    <row r="14030" spans="6:7">
      <c r="F14030" s="6">
        <f>IF($M14030="PADD I","PADD 1",IF($M14030="PADD II","PADD 2",IF($M14030="PADD III","PADD 3",IF($M14030="PADD IV","PADD 4",IF($M14030="PADD V","PADD 5","")))))</f>
        <v/>
      </c>
      <c r="G14030" s="6">
        <f>IF(AND($H14030="ATMOS DISTILLATION",ISNUMBER(SEARCH("VPS",$I14030))=FALSE,LEFT($I14030,6)&lt;&gt;"VACUUM"),"CDU",IF($H14030="FLUID CAT CRACKING","FCC",IF(OR($H14030="HYDROCRACKING",$H14030="RESID_HYDROCRACKING"),"Hydrocracker",IF($H14030="REFORMING","Reformer",""))))</f>
        <v/>
      </c>
    </row>
    <row r="14031" spans="6:7">
      <c r="F14031" s="6">
        <f>IF($M14031="PADD I","PADD 1",IF($M14031="PADD II","PADD 2",IF($M14031="PADD III","PADD 3",IF($M14031="PADD IV","PADD 4",IF($M14031="PADD V","PADD 5","")))))</f>
        <v/>
      </c>
      <c r="G14031" s="6">
        <f>IF(AND($H14031="ATMOS DISTILLATION",ISNUMBER(SEARCH("VPS",$I14031))=FALSE,LEFT($I14031,6)&lt;&gt;"VACUUM"),"CDU",IF($H14031="FLUID CAT CRACKING","FCC",IF(OR($H14031="HYDROCRACKING",$H14031="RESID_HYDROCRACKING"),"Hydrocracker",IF($H14031="REFORMING","Reformer",""))))</f>
        <v/>
      </c>
    </row>
    <row r="14032" spans="6:7">
      <c r="F14032" s="6">
        <f>IF($M14032="PADD I","PADD 1",IF($M14032="PADD II","PADD 2",IF($M14032="PADD III","PADD 3",IF($M14032="PADD IV","PADD 4",IF($M14032="PADD V","PADD 5","")))))</f>
        <v/>
      </c>
      <c r="G14032" s="6">
        <f>IF(AND($H14032="ATMOS DISTILLATION",ISNUMBER(SEARCH("VPS",$I14032))=FALSE,LEFT($I14032,6)&lt;&gt;"VACUUM"),"CDU",IF($H14032="FLUID CAT CRACKING","FCC",IF(OR($H14032="HYDROCRACKING",$H14032="RESID_HYDROCRACKING"),"Hydrocracker",IF($H14032="REFORMING","Reformer",""))))</f>
        <v/>
      </c>
    </row>
    <row r="14033" spans="6:7">
      <c r="F14033" s="6">
        <f>IF($M14033="PADD I","PADD 1",IF($M14033="PADD II","PADD 2",IF($M14033="PADD III","PADD 3",IF($M14033="PADD IV","PADD 4",IF($M14033="PADD V","PADD 5","")))))</f>
        <v/>
      </c>
      <c r="G14033" s="6">
        <f>IF(AND($H14033="ATMOS DISTILLATION",ISNUMBER(SEARCH("VPS",$I14033))=FALSE,LEFT($I14033,6)&lt;&gt;"VACUUM"),"CDU",IF($H14033="FLUID CAT CRACKING","FCC",IF(OR($H14033="HYDROCRACKING",$H14033="RESID_HYDROCRACKING"),"Hydrocracker",IF($H14033="REFORMING","Reformer",""))))</f>
        <v/>
      </c>
    </row>
    <row r="14034" spans="6:7">
      <c r="F14034" s="6">
        <f>IF($M14034="PADD I","PADD 1",IF($M14034="PADD II","PADD 2",IF($M14034="PADD III","PADD 3",IF($M14034="PADD IV","PADD 4",IF($M14034="PADD V","PADD 5","")))))</f>
        <v/>
      </c>
      <c r="G14034" s="6">
        <f>IF(AND($H14034="ATMOS DISTILLATION",ISNUMBER(SEARCH("VPS",$I14034))=FALSE,LEFT($I14034,6)&lt;&gt;"VACUUM"),"CDU",IF($H14034="FLUID CAT CRACKING","FCC",IF(OR($H14034="HYDROCRACKING",$H14034="RESID_HYDROCRACKING"),"Hydrocracker",IF($H14034="REFORMING","Reformer",""))))</f>
        <v/>
      </c>
    </row>
    <row r="14035" spans="6:7">
      <c r="F14035" s="6">
        <f>IF($M14035="PADD I","PADD 1",IF($M14035="PADD II","PADD 2",IF($M14035="PADD III","PADD 3",IF($M14035="PADD IV","PADD 4",IF($M14035="PADD V","PADD 5","")))))</f>
        <v/>
      </c>
      <c r="G14035" s="6">
        <f>IF(AND($H14035="ATMOS DISTILLATION",ISNUMBER(SEARCH("VPS",$I14035))=FALSE,LEFT($I14035,6)&lt;&gt;"VACUUM"),"CDU",IF($H14035="FLUID CAT CRACKING","FCC",IF(OR($H14035="HYDROCRACKING",$H14035="RESID_HYDROCRACKING"),"Hydrocracker",IF($H14035="REFORMING","Reformer",""))))</f>
        <v/>
      </c>
    </row>
    <row r="14036" spans="6:7">
      <c r="F14036" s="6">
        <f>IF($M14036="PADD I","PADD 1",IF($M14036="PADD II","PADD 2",IF($M14036="PADD III","PADD 3",IF($M14036="PADD IV","PADD 4",IF($M14036="PADD V","PADD 5","")))))</f>
        <v/>
      </c>
      <c r="G14036" s="6">
        <f>IF(AND($H14036="ATMOS DISTILLATION",ISNUMBER(SEARCH("VPS",$I14036))=FALSE,LEFT($I14036,6)&lt;&gt;"VACUUM"),"CDU",IF($H14036="FLUID CAT CRACKING","FCC",IF(OR($H14036="HYDROCRACKING",$H14036="RESID_HYDROCRACKING"),"Hydrocracker",IF($H14036="REFORMING","Reformer",""))))</f>
        <v/>
      </c>
    </row>
    <row r="14037" spans="6:7">
      <c r="F14037" s="6">
        <f>IF($M14037="PADD I","PADD 1",IF($M14037="PADD II","PADD 2",IF($M14037="PADD III","PADD 3",IF($M14037="PADD IV","PADD 4",IF($M14037="PADD V","PADD 5","")))))</f>
        <v/>
      </c>
      <c r="G14037" s="6">
        <f>IF(AND($H14037="ATMOS DISTILLATION",ISNUMBER(SEARCH("VPS",$I14037))=FALSE,LEFT($I14037,6)&lt;&gt;"VACUUM"),"CDU",IF($H14037="FLUID CAT CRACKING","FCC",IF(OR($H14037="HYDROCRACKING",$H14037="RESID_HYDROCRACKING"),"Hydrocracker",IF($H14037="REFORMING","Reformer",""))))</f>
        <v/>
      </c>
    </row>
    <row r="14038" spans="6:7">
      <c r="F14038" s="6">
        <f>IF($M14038="PADD I","PADD 1",IF($M14038="PADD II","PADD 2",IF($M14038="PADD III","PADD 3",IF($M14038="PADD IV","PADD 4",IF($M14038="PADD V","PADD 5","")))))</f>
        <v/>
      </c>
      <c r="G14038" s="6">
        <f>IF(AND($H14038="ATMOS DISTILLATION",ISNUMBER(SEARCH("VPS",$I14038))=FALSE,LEFT($I14038,6)&lt;&gt;"VACUUM"),"CDU",IF($H14038="FLUID CAT CRACKING","FCC",IF(OR($H14038="HYDROCRACKING",$H14038="RESID_HYDROCRACKING"),"Hydrocracker",IF($H14038="REFORMING","Reformer",""))))</f>
        <v/>
      </c>
    </row>
    <row r="14039" spans="6:7">
      <c r="F14039" s="6">
        <f>IF($M14039="PADD I","PADD 1",IF($M14039="PADD II","PADD 2",IF($M14039="PADD III","PADD 3",IF($M14039="PADD IV","PADD 4",IF($M14039="PADD V","PADD 5","")))))</f>
        <v/>
      </c>
      <c r="G14039" s="6">
        <f>IF(AND($H14039="ATMOS DISTILLATION",ISNUMBER(SEARCH("VPS",$I14039))=FALSE,LEFT($I14039,6)&lt;&gt;"VACUUM"),"CDU",IF($H14039="FLUID CAT CRACKING","FCC",IF(OR($H14039="HYDROCRACKING",$H14039="RESID_HYDROCRACKING"),"Hydrocracker",IF($H14039="REFORMING","Reformer",""))))</f>
        <v/>
      </c>
    </row>
    <row r="14040" spans="6:7">
      <c r="F14040" s="6">
        <f>IF($M14040="PADD I","PADD 1",IF($M14040="PADD II","PADD 2",IF($M14040="PADD III","PADD 3",IF($M14040="PADD IV","PADD 4",IF($M14040="PADD V","PADD 5","")))))</f>
        <v/>
      </c>
      <c r="G14040" s="6">
        <f>IF(AND($H14040="ATMOS DISTILLATION",ISNUMBER(SEARCH("VPS",$I14040))=FALSE,LEFT($I14040,6)&lt;&gt;"VACUUM"),"CDU",IF($H14040="FLUID CAT CRACKING","FCC",IF(OR($H14040="HYDROCRACKING",$H14040="RESID_HYDROCRACKING"),"Hydrocracker",IF($H14040="REFORMING","Reformer",""))))</f>
        <v/>
      </c>
    </row>
    <row r="14041" spans="6:7">
      <c r="F14041" s="6">
        <f>IF($M14041="PADD I","PADD 1",IF($M14041="PADD II","PADD 2",IF($M14041="PADD III","PADD 3",IF($M14041="PADD IV","PADD 4",IF($M14041="PADD V","PADD 5","")))))</f>
        <v/>
      </c>
      <c r="G14041" s="6">
        <f>IF(AND($H14041="ATMOS DISTILLATION",ISNUMBER(SEARCH("VPS",$I14041))=FALSE,LEFT($I14041,6)&lt;&gt;"VACUUM"),"CDU",IF($H14041="FLUID CAT CRACKING","FCC",IF(OR($H14041="HYDROCRACKING",$H14041="RESID_HYDROCRACKING"),"Hydrocracker",IF($H14041="REFORMING","Reformer",""))))</f>
        <v/>
      </c>
    </row>
    <row r="14042" spans="6:7">
      <c r="F14042" s="6">
        <f>IF($M14042="PADD I","PADD 1",IF($M14042="PADD II","PADD 2",IF($M14042="PADD III","PADD 3",IF($M14042="PADD IV","PADD 4",IF($M14042="PADD V","PADD 5","")))))</f>
        <v/>
      </c>
      <c r="G14042" s="6">
        <f>IF(AND($H14042="ATMOS DISTILLATION",ISNUMBER(SEARCH("VPS",$I14042))=FALSE,LEFT($I14042,6)&lt;&gt;"VACUUM"),"CDU",IF($H14042="FLUID CAT CRACKING","FCC",IF(OR($H14042="HYDROCRACKING",$H14042="RESID_HYDROCRACKING"),"Hydrocracker",IF($H14042="REFORMING","Reformer",""))))</f>
        <v/>
      </c>
    </row>
    <row r="14043" spans="6:7">
      <c r="F14043" s="6">
        <f>IF($M14043="PADD I","PADD 1",IF($M14043="PADD II","PADD 2",IF($M14043="PADD III","PADD 3",IF($M14043="PADD IV","PADD 4",IF($M14043="PADD V","PADD 5","")))))</f>
        <v/>
      </c>
      <c r="G14043" s="6">
        <f>IF(AND($H14043="ATMOS DISTILLATION",ISNUMBER(SEARCH("VPS",$I14043))=FALSE,LEFT($I14043,6)&lt;&gt;"VACUUM"),"CDU",IF($H14043="FLUID CAT CRACKING","FCC",IF(OR($H14043="HYDROCRACKING",$H14043="RESID_HYDROCRACKING"),"Hydrocracker",IF($H14043="REFORMING","Reformer",""))))</f>
        <v/>
      </c>
    </row>
    <row r="14044" spans="6:7">
      <c r="F14044" s="6">
        <f>IF($M14044="PADD I","PADD 1",IF($M14044="PADD II","PADD 2",IF($M14044="PADD III","PADD 3",IF($M14044="PADD IV","PADD 4",IF($M14044="PADD V","PADD 5","")))))</f>
        <v/>
      </c>
      <c r="G14044" s="6">
        <f>IF(AND($H14044="ATMOS DISTILLATION",ISNUMBER(SEARCH("VPS",$I14044))=FALSE,LEFT($I14044,6)&lt;&gt;"VACUUM"),"CDU",IF($H14044="FLUID CAT CRACKING","FCC",IF(OR($H14044="HYDROCRACKING",$H14044="RESID_HYDROCRACKING"),"Hydrocracker",IF($H14044="REFORMING","Reformer",""))))</f>
        <v/>
      </c>
    </row>
    <row r="14045" spans="6:7">
      <c r="F14045" s="6">
        <f>IF($M14045="PADD I","PADD 1",IF($M14045="PADD II","PADD 2",IF($M14045="PADD III","PADD 3",IF($M14045="PADD IV","PADD 4",IF($M14045="PADD V","PADD 5","")))))</f>
        <v/>
      </c>
      <c r="G14045" s="6">
        <f>IF(AND($H14045="ATMOS DISTILLATION",ISNUMBER(SEARCH("VPS",$I14045))=FALSE,LEFT($I14045,6)&lt;&gt;"VACUUM"),"CDU",IF($H14045="FLUID CAT CRACKING","FCC",IF(OR($H14045="HYDROCRACKING",$H14045="RESID_HYDROCRACKING"),"Hydrocracker",IF($H14045="REFORMING","Reformer",""))))</f>
        <v/>
      </c>
    </row>
    <row r="14046" spans="6:7">
      <c r="F14046" s="6">
        <f>IF($M14046="PADD I","PADD 1",IF($M14046="PADD II","PADD 2",IF($M14046="PADD III","PADD 3",IF($M14046="PADD IV","PADD 4",IF($M14046="PADD V","PADD 5","")))))</f>
        <v/>
      </c>
      <c r="G14046" s="6">
        <f>IF(AND($H14046="ATMOS DISTILLATION",ISNUMBER(SEARCH("VPS",$I14046))=FALSE,LEFT($I14046,6)&lt;&gt;"VACUUM"),"CDU",IF($H14046="FLUID CAT CRACKING","FCC",IF(OR($H14046="HYDROCRACKING",$H14046="RESID_HYDROCRACKING"),"Hydrocracker",IF($H14046="REFORMING","Reformer",""))))</f>
        <v/>
      </c>
    </row>
    <row r="14047" spans="6:7">
      <c r="F14047" s="6">
        <f>IF($M14047="PADD I","PADD 1",IF($M14047="PADD II","PADD 2",IF($M14047="PADD III","PADD 3",IF($M14047="PADD IV","PADD 4",IF($M14047="PADD V","PADD 5","")))))</f>
        <v/>
      </c>
      <c r="G14047" s="6">
        <f>IF(AND($H14047="ATMOS DISTILLATION",ISNUMBER(SEARCH("VPS",$I14047))=FALSE,LEFT($I14047,6)&lt;&gt;"VACUUM"),"CDU",IF($H14047="FLUID CAT CRACKING","FCC",IF(OR($H14047="HYDROCRACKING",$H14047="RESID_HYDROCRACKING"),"Hydrocracker",IF($H14047="REFORMING","Reformer",""))))</f>
        <v/>
      </c>
    </row>
    <row r="14048" spans="6:7">
      <c r="F14048" s="6">
        <f>IF($M14048="PADD I","PADD 1",IF($M14048="PADD II","PADD 2",IF($M14048="PADD III","PADD 3",IF($M14048="PADD IV","PADD 4",IF($M14048="PADD V","PADD 5","")))))</f>
        <v/>
      </c>
      <c r="G14048" s="6">
        <f>IF(AND($H14048="ATMOS DISTILLATION",ISNUMBER(SEARCH("VPS",$I14048))=FALSE,LEFT($I14048,6)&lt;&gt;"VACUUM"),"CDU",IF($H14048="FLUID CAT CRACKING","FCC",IF(OR($H14048="HYDROCRACKING",$H14048="RESID_HYDROCRACKING"),"Hydrocracker",IF($H14048="REFORMING","Reformer",""))))</f>
        <v/>
      </c>
    </row>
    <row r="14049" spans="6:7">
      <c r="F14049" s="6">
        <f>IF($M14049="PADD I","PADD 1",IF($M14049="PADD II","PADD 2",IF($M14049="PADD III","PADD 3",IF($M14049="PADD IV","PADD 4",IF($M14049="PADD V","PADD 5","")))))</f>
        <v/>
      </c>
      <c r="G14049" s="6">
        <f>IF(AND($H14049="ATMOS DISTILLATION",ISNUMBER(SEARCH("VPS",$I14049))=FALSE,LEFT($I14049,6)&lt;&gt;"VACUUM"),"CDU",IF($H14049="FLUID CAT CRACKING","FCC",IF(OR($H14049="HYDROCRACKING",$H14049="RESID_HYDROCRACKING"),"Hydrocracker",IF($H14049="REFORMING","Reformer",""))))</f>
        <v/>
      </c>
    </row>
    <row r="14050" spans="6:7">
      <c r="F14050" s="6">
        <f>IF($M14050="PADD I","PADD 1",IF($M14050="PADD II","PADD 2",IF($M14050="PADD III","PADD 3",IF($M14050="PADD IV","PADD 4",IF($M14050="PADD V","PADD 5","")))))</f>
        <v/>
      </c>
      <c r="G14050" s="6">
        <f>IF(AND($H14050="ATMOS DISTILLATION",ISNUMBER(SEARCH("VPS",$I14050))=FALSE,LEFT($I14050,6)&lt;&gt;"VACUUM"),"CDU",IF($H14050="FLUID CAT CRACKING","FCC",IF(OR($H14050="HYDROCRACKING",$H14050="RESID_HYDROCRACKING"),"Hydrocracker",IF($H14050="REFORMING","Reformer",""))))</f>
        <v/>
      </c>
    </row>
    <row r="14051" spans="6:7">
      <c r="F14051" s="6">
        <f>IF($M14051="PADD I","PADD 1",IF($M14051="PADD II","PADD 2",IF($M14051="PADD III","PADD 3",IF($M14051="PADD IV","PADD 4",IF($M14051="PADD V","PADD 5","")))))</f>
        <v/>
      </c>
      <c r="G14051" s="6">
        <f>IF(AND($H14051="ATMOS DISTILLATION",ISNUMBER(SEARCH("VPS",$I14051))=FALSE,LEFT($I14051,6)&lt;&gt;"VACUUM"),"CDU",IF($H14051="FLUID CAT CRACKING","FCC",IF(OR($H14051="HYDROCRACKING",$H14051="RESID_HYDROCRACKING"),"Hydrocracker",IF($H14051="REFORMING","Reformer",""))))</f>
        <v/>
      </c>
    </row>
    <row r="14052" spans="6:7">
      <c r="F14052" s="6">
        <f>IF($M14052="PADD I","PADD 1",IF($M14052="PADD II","PADD 2",IF($M14052="PADD III","PADD 3",IF($M14052="PADD IV","PADD 4",IF($M14052="PADD V","PADD 5","")))))</f>
        <v/>
      </c>
      <c r="G14052" s="6">
        <f>IF(AND($H14052="ATMOS DISTILLATION",ISNUMBER(SEARCH("VPS",$I14052))=FALSE,LEFT($I14052,6)&lt;&gt;"VACUUM"),"CDU",IF($H14052="FLUID CAT CRACKING","FCC",IF(OR($H14052="HYDROCRACKING",$H14052="RESID_HYDROCRACKING"),"Hydrocracker",IF($H14052="REFORMING","Reformer",""))))</f>
        <v/>
      </c>
    </row>
    <row r="14053" spans="6:7">
      <c r="F14053" s="6">
        <f>IF($M14053="PADD I","PADD 1",IF($M14053="PADD II","PADD 2",IF($M14053="PADD III","PADD 3",IF($M14053="PADD IV","PADD 4",IF($M14053="PADD V","PADD 5","")))))</f>
        <v/>
      </c>
      <c r="G14053" s="6">
        <f>IF(AND($H14053="ATMOS DISTILLATION",ISNUMBER(SEARCH("VPS",$I14053))=FALSE,LEFT($I14053,6)&lt;&gt;"VACUUM"),"CDU",IF($H14053="FLUID CAT CRACKING","FCC",IF(OR($H14053="HYDROCRACKING",$H14053="RESID_HYDROCRACKING"),"Hydrocracker",IF($H14053="REFORMING","Reformer",""))))</f>
        <v/>
      </c>
    </row>
    <row r="14054" spans="6:7">
      <c r="F14054" s="6">
        <f>IF($M14054="PADD I","PADD 1",IF($M14054="PADD II","PADD 2",IF($M14054="PADD III","PADD 3",IF($M14054="PADD IV","PADD 4",IF($M14054="PADD V","PADD 5","")))))</f>
        <v/>
      </c>
      <c r="G14054" s="6">
        <f>IF(AND($H14054="ATMOS DISTILLATION",ISNUMBER(SEARCH("VPS",$I14054))=FALSE,LEFT($I14054,6)&lt;&gt;"VACUUM"),"CDU",IF($H14054="FLUID CAT CRACKING","FCC",IF(OR($H14054="HYDROCRACKING",$H14054="RESID_HYDROCRACKING"),"Hydrocracker",IF($H14054="REFORMING","Reformer",""))))</f>
        <v/>
      </c>
    </row>
    <row r="14055" spans="6:7">
      <c r="F14055" s="6">
        <f>IF($M14055="PADD I","PADD 1",IF($M14055="PADD II","PADD 2",IF($M14055="PADD III","PADD 3",IF($M14055="PADD IV","PADD 4",IF($M14055="PADD V","PADD 5","")))))</f>
        <v/>
      </c>
      <c r="G14055" s="6">
        <f>IF(AND($H14055="ATMOS DISTILLATION",ISNUMBER(SEARCH("VPS",$I14055))=FALSE,LEFT($I14055,6)&lt;&gt;"VACUUM"),"CDU",IF($H14055="FLUID CAT CRACKING","FCC",IF(OR($H14055="HYDROCRACKING",$H14055="RESID_HYDROCRACKING"),"Hydrocracker",IF($H14055="REFORMING","Reformer",""))))</f>
        <v/>
      </c>
    </row>
    <row r="14056" spans="6:7">
      <c r="F14056" s="6">
        <f>IF($M14056="PADD I","PADD 1",IF($M14056="PADD II","PADD 2",IF($M14056="PADD III","PADD 3",IF($M14056="PADD IV","PADD 4",IF($M14056="PADD V","PADD 5","")))))</f>
        <v/>
      </c>
      <c r="G14056" s="6">
        <f>IF(AND($H14056="ATMOS DISTILLATION",ISNUMBER(SEARCH("VPS",$I14056))=FALSE,LEFT($I14056,6)&lt;&gt;"VACUUM"),"CDU",IF($H14056="FLUID CAT CRACKING","FCC",IF(OR($H14056="HYDROCRACKING",$H14056="RESID_HYDROCRACKING"),"Hydrocracker",IF($H14056="REFORMING","Reformer",""))))</f>
        <v/>
      </c>
    </row>
    <row r="14057" spans="6:7">
      <c r="F14057" s="6">
        <f>IF($M14057="PADD I","PADD 1",IF($M14057="PADD II","PADD 2",IF($M14057="PADD III","PADD 3",IF($M14057="PADD IV","PADD 4",IF($M14057="PADD V","PADD 5","")))))</f>
        <v/>
      </c>
      <c r="G14057" s="6">
        <f>IF(AND($H14057="ATMOS DISTILLATION",ISNUMBER(SEARCH("VPS",$I14057))=FALSE,LEFT($I14057,6)&lt;&gt;"VACUUM"),"CDU",IF($H14057="FLUID CAT CRACKING","FCC",IF(OR($H14057="HYDROCRACKING",$H14057="RESID_HYDROCRACKING"),"Hydrocracker",IF($H14057="REFORMING","Reformer",""))))</f>
        <v/>
      </c>
    </row>
    <row r="14058" spans="6:7">
      <c r="F14058" s="6">
        <f>IF($M14058="PADD I","PADD 1",IF($M14058="PADD II","PADD 2",IF($M14058="PADD III","PADD 3",IF($M14058="PADD IV","PADD 4",IF($M14058="PADD V","PADD 5","")))))</f>
        <v/>
      </c>
      <c r="G14058" s="6">
        <f>IF(AND($H14058="ATMOS DISTILLATION",ISNUMBER(SEARCH("VPS",$I14058))=FALSE,LEFT($I14058,6)&lt;&gt;"VACUUM"),"CDU",IF($H14058="FLUID CAT CRACKING","FCC",IF(OR($H14058="HYDROCRACKING",$H14058="RESID_HYDROCRACKING"),"Hydrocracker",IF($H14058="REFORMING","Reformer",""))))</f>
        <v/>
      </c>
    </row>
    <row r="14059" spans="6:7">
      <c r="F14059" s="6">
        <f>IF($M14059="PADD I","PADD 1",IF($M14059="PADD II","PADD 2",IF($M14059="PADD III","PADD 3",IF($M14059="PADD IV","PADD 4",IF($M14059="PADD V","PADD 5","")))))</f>
        <v/>
      </c>
      <c r="G14059" s="6">
        <f>IF(AND($H14059="ATMOS DISTILLATION",ISNUMBER(SEARCH("VPS",$I14059))=FALSE,LEFT($I14059,6)&lt;&gt;"VACUUM"),"CDU",IF($H14059="FLUID CAT CRACKING","FCC",IF(OR($H14059="HYDROCRACKING",$H14059="RESID_HYDROCRACKING"),"Hydrocracker",IF($H14059="REFORMING","Reformer",""))))</f>
        <v/>
      </c>
    </row>
    <row r="14060" spans="6:7">
      <c r="F14060" s="6">
        <f>IF($M14060="PADD I","PADD 1",IF($M14060="PADD II","PADD 2",IF($M14060="PADD III","PADD 3",IF($M14060="PADD IV","PADD 4",IF($M14060="PADD V","PADD 5","")))))</f>
        <v/>
      </c>
      <c r="G14060" s="6">
        <f>IF(AND($H14060="ATMOS DISTILLATION",ISNUMBER(SEARCH("VPS",$I14060))=FALSE,LEFT($I14060,6)&lt;&gt;"VACUUM"),"CDU",IF($H14060="FLUID CAT CRACKING","FCC",IF(OR($H14060="HYDROCRACKING",$H14060="RESID_HYDROCRACKING"),"Hydrocracker",IF($H14060="REFORMING","Reformer",""))))</f>
        <v/>
      </c>
    </row>
    <row r="14061" spans="6:7">
      <c r="F14061" s="6">
        <f>IF($M14061="PADD I","PADD 1",IF($M14061="PADD II","PADD 2",IF($M14061="PADD III","PADD 3",IF($M14061="PADD IV","PADD 4",IF($M14061="PADD V","PADD 5","")))))</f>
        <v/>
      </c>
      <c r="G14061" s="6">
        <f>IF(AND($H14061="ATMOS DISTILLATION",ISNUMBER(SEARCH("VPS",$I14061))=FALSE,LEFT($I14061,6)&lt;&gt;"VACUUM"),"CDU",IF($H14061="FLUID CAT CRACKING","FCC",IF(OR($H14061="HYDROCRACKING",$H14061="RESID_HYDROCRACKING"),"Hydrocracker",IF($H14061="REFORMING","Reformer",""))))</f>
        <v/>
      </c>
    </row>
    <row r="14062" spans="6:7">
      <c r="F14062" s="6">
        <f>IF($M14062="PADD I","PADD 1",IF($M14062="PADD II","PADD 2",IF($M14062="PADD III","PADD 3",IF($M14062="PADD IV","PADD 4",IF($M14062="PADD V","PADD 5","")))))</f>
        <v/>
      </c>
      <c r="G14062" s="6">
        <f>IF(AND($H14062="ATMOS DISTILLATION",ISNUMBER(SEARCH("VPS",$I14062))=FALSE,LEFT($I14062,6)&lt;&gt;"VACUUM"),"CDU",IF($H14062="FLUID CAT CRACKING","FCC",IF(OR($H14062="HYDROCRACKING",$H14062="RESID_HYDROCRACKING"),"Hydrocracker",IF($H14062="REFORMING","Reformer",""))))</f>
        <v/>
      </c>
    </row>
    <row r="14063" spans="6:7">
      <c r="F14063" s="6">
        <f>IF($M14063="PADD I","PADD 1",IF($M14063="PADD II","PADD 2",IF($M14063="PADD III","PADD 3",IF($M14063="PADD IV","PADD 4",IF($M14063="PADD V","PADD 5","")))))</f>
        <v/>
      </c>
      <c r="G14063" s="6">
        <f>IF(AND($H14063="ATMOS DISTILLATION",ISNUMBER(SEARCH("VPS",$I14063))=FALSE,LEFT($I14063,6)&lt;&gt;"VACUUM"),"CDU",IF($H14063="FLUID CAT CRACKING","FCC",IF(OR($H14063="HYDROCRACKING",$H14063="RESID_HYDROCRACKING"),"Hydrocracker",IF($H14063="REFORMING","Reformer",""))))</f>
        <v/>
      </c>
    </row>
    <row r="14064" spans="6:7">
      <c r="F14064" s="6">
        <f>IF($M14064="PADD I","PADD 1",IF($M14064="PADD II","PADD 2",IF($M14064="PADD III","PADD 3",IF($M14064="PADD IV","PADD 4",IF($M14064="PADD V","PADD 5","")))))</f>
        <v/>
      </c>
      <c r="G14064" s="6">
        <f>IF(AND($H14064="ATMOS DISTILLATION",ISNUMBER(SEARCH("VPS",$I14064))=FALSE,LEFT($I14064,6)&lt;&gt;"VACUUM"),"CDU",IF($H14064="FLUID CAT CRACKING","FCC",IF(OR($H14064="HYDROCRACKING",$H14064="RESID_HYDROCRACKING"),"Hydrocracker",IF($H14064="REFORMING","Reformer",""))))</f>
        <v/>
      </c>
    </row>
    <row r="14065" spans="6:7">
      <c r="F14065" s="6">
        <f>IF($M14065="PADD I","PADD 1",IF($M14065="PADD II","PADD 2",IF($M14065="PADD III","PADD 3",IF($M14065="PADD IV","PADD 4",IF($M14065="PADD V","PADD 5","")))))</f>
        <v/>
      </c>
      <c r="G14065" s="6">
        <f>IF(AND($H14065="ATMOS DISTILLATION",ISNUMBER(SEARCH("VPS",$I14065))=FALSE,LEFT($I14065,6)&lt;&gt;"VACUUM"),"CDU",IF($H14065="FLUID CAT CRACKING","FCC",IF(OR($H14065="HYDROCRACKING",$H14065="RESID_HYDROCRACKING"),"Hydrocracker",IF($H14065="REFORMING","Reformer",""))))</f>
        <v/>
      </c>
    </row>
    <row r="14066" spans="6:7">
      <c r="F14066" s="6">
        <f>IF($M14066="PADD I","PADD 1",IF($M14066="PADD II","PADD 2",IF($M14066="PADD III","PADD 3",IF($M14066="PADD IV","PADD 4",IF($M14066="PADD V","PADD 5","")))))</f>
        <v/>
      </c>
      <c r="G14066" s="6">
        <f>IF(AND($H14066="ATMOS DISTILLATION",ISNUMBER(SEARCH("VPS",$I14066))=FALSE,LEFT($I14066,6)&lt;&gt;"VACUUM"),"CDU",IF($H14066="FLUID CAT CRACKING","FCC",IF(OR($H14066="HYDROCRACKING",$H14066="RESID_HYDROCRACKING"),"Hydrocracker",IF($H14066="REFORMING","Reformer",""))))</f>
        <v/>
      </c>
    </row>
    <row r="14067" spans="6:7">
      <c r="F14067" s="6">
        <f>IF($M14067="PADD I","PADD 1",IF($M14067="PADD II","PADD 2",IF($M14067="PADD III","PADD 3",IF($M14067="PADD IV","PADD 4",IF($M14067="PADD V","PADD 5","")))))</f>
        <v/>
      </c>
      <c r="G14067" s="6">
        <f>IF(AND($H14067="ATMOS DISTILLATION",ISNUMBER(SEARCH("VPS",$I14067))=FALSE,LEFT($I14067,6)&lt;&gt;"VACUUM"),"CDU",IF($H14067="FLUID CAT CRACKING","FCC",IF(OR($H14067="HYDROCRACKING",$H14067="RESID_HYDROCRACKING"),"Hydrocracker",IF($H14067="REFORMING","Reformer",""))))</f>
        <v/>
      </c>
    </row>
    <row r="14068" spans="6:7">
      <c r="F14068" s="6">
        <f>IF($M14068="PADD I","PADD 1",IF($M14068="PADD II","PADD 2",IF($M14068="PADD III","PADD 3",IF($M14068="PADD IV","PADD 4",IF($M14068="PADD V","PADD 5","")))))</f>
        <v/>
      </c>
      <c r="G14068" s="6">
        <f>IF(AND($H14068="ATMOS DISTILLATION",ISNUMBER(SEARCH("VPS",$I14068))=FALSE,LEFT($I14068,6)&lt;&gt;"VACUUM"),"CDU",IF($H14068="FLUID CAT CRACKING","FCC",IF(OR($H14068="HYDROCRACKING",$H14068="RESID_HYDROCRACKING"),"Hydrocracker",IF($H14068="REFORMING","Reformer",""))))</f>
        <v/>
      </c>
    </row>
    <row r="14069" spans="6:7">
      <c r="F14069" s="6">
        <f>IF($M14069="PADD I","PADD 1",IF($M14069="PADD II","PADD 2",IF($M14069="PADD III","PADD 3",IF($M14069="PADD IV","PADD 4",IF($M14069="PADD V","PADD 5","")))))</f>
        <v/>
      </c>
      <c r="G14069" s="6">
        <f>IF(AND($H14069="ATMOS DISTILLATION",ISNUMBER(SEARCH("VPS",$I14069))=FALSE,LEFT($I14069,6)&lt;&gt;"VACUUM"),"CDU",IF($H14069="FLUID CAT CRACKING","FCC",IF(OR($H14069="HYDROCRACKING",$H14069="RESID_HYDROCRACKING"),"Hydrocracker",IF($H14069="REFORMING","Reformer",""))))</f>
        <v/>
      </c>
    </row>
    <row r="14070" spans="6:7">
      <c r="F14070" s="6">
        <f>IF($M14070="PADD I","PADD 1",IF($M14070="PADD II","PADD 2",IF($M14070="PADD III","PADD 3",IF($M14070="PADD IV","PADD 4",IF($M14070="PADD V","PADD 5","")))))</f>
        <v/>
      </c>
      <c r="G14070" s="6">
        <f>IF(AND($H14070="ATMOS DISTILLATION",ISNUMBER(SEARCH("VPS",$I14070))=FALSE,LEFT($I14070,6)&lt;&gt;"VACUUM"),"CDU",IF($H14070="FLUID CAT CRACKING","FCC",IF(OR($H14070="HYDROCRACKING",$H14070="RESID_HYDROCRACKING"),"Hydrocracker",IF($H14070="REFORMING","Reformer",""))))</f>
        <v/>
      </c>
    </row>
    <row r="14071" spans="6:7">
      <c r="F14071" s="6">
        <f>IF($M14071="PADD I","PADD 1",IF($M14071="PADD II","PADD 2",IF($M14071="PADD III","PADD 3",IF($M14071="PADD IV","PADD 4",IF($M14071="PADD V","PADD 5","")))))</f>
        <v/>
      </c>
      <c r="G14071" s="6">
        <f>IF(AND($H14071="ATMOS DISTILLATION",ISNUMBER(SEARCH("VPS",$I14071))=FALSE,LEFT($I14071,6)&lt;&gt;"VACUUM"),"CDU",IF($H14071="FLUID CAT CRACKING","FCC",IF(OR($H14071="HYDROCRACKING",$H14071="RESID_HYDROCRACKING"),"Hydrocracker",IF($H14071="REFORMING","Reformer",""))))</f>
        <v/>
      </c>
    </row>
    <row r="14072" spans="6:7">
      <c r="F14072" s="6">
        <f>IF($M14072="PADD I","PADD 1",IF($M14072="PADD II","PADD 2",IF($M14072="PADD III","PADD 3",IF($M14072="PADD IV","PADD 4",IF($M14072="PADD V","PADD 5","")))))</f>
        <v/>
      </c>
      <c r="G14072" s="6">
        <f>IF(AND($H14072="ATMOS DISTILLATION",ISNUMBER(SEARCH("VPS",$I14072))=FALSE,LEFT($I14072,6)&lt;&gt;"VACUUM"),"CDU",IF($H14072="FLUID CAT CRACKING","FCC",IF(OR($H14072="HYDROCRACKING",$H14072="RESID_HYDROCRACKING"),"Hydrocracker",IF($H14072="REFORMING","Reformer",""))))</f>
        <v/>
      </c>
    </row>
    <row r="14073" spans="6:7">
      <c r="F14073" s="6">
        <f>IF($M14073="PADD I","PADD 1",IF($M14073="PADD II","PADD 2",IF($M14073="PADD III","PADD 3",IF($M14073="PADD IV","PADD 4",IF($M14073="PADD V","PADD 5","")))))</f>
        <v/>
      </c>
      <c r="G14073" s="6">
        <f>IF(AND($H14073="ATMOS DISTILLATION",ISNUMBER(SEARCH("VPS",$I14073))=FALSE,LEFT($I14073,6)&lt;&gt;"VACUUM"),"CDU",IF($H14073="FLUID CAT CRACKING","FCC",IF(OR($H14073="HYDROCRACKING",$H14073="RESID_HYDROCRACKING"),"Hydrocracker",IF($H14073="REFORMING","Reformer",""))))</f>
        <v/>
      </c>
    </row>
    <row r="14074" spans="6:7">
      <c r="F14074" s="6">
        <f>IF($M14074="PADD I","PADD 1",IF($M14074="PADD II","PADD 2",IF($M14074="PADD III","PADD 3",IF($M14074="PADD IV","PADD 4",IF($M14074="PADD V","PADD 5","")))))</f>
        <v/>
      </c>
      <c r="G14074" s="6">
        <f>IF(AND($H14074="ATMOS DISTILLATION",ISNUMBER(SEARCH("VPS",$I14074))=FALSE,LEFT($I14074,6)&lt;&gt;"VACUUM"),"CDU",IF($H14074="FLUID CAT CRACKING","FCC",IF(OR($H14074="HYDROCRACKING",$H14074="RESID_HYDROCRACKING"),"Hydrocracker",IF($H14074="REFORMING","Reformer",""))))</f>
        <v/>
      </c>
    </row>
    <row r="14075" spans="6:7">
      <c r="F14075" s="6">
        <f>IF($M14075="PADD I","PADD 1",IF($M14075="PADD II","PADD 2",IF($M14075="PADD III","PADD 3",IF($M14075="PADD IV","PADD 4",IF($M14075="PADD V","PADD 5","")))))</f>
        <v/>
      </c>
      <c r="G14075" s="6">
        <f>IF(AND($H14075="ATMOS DISTILLATION",ISNUMBER(SEARCH("VPS",$I14075))=FALSE,LEFT($I14075,6)&lt;&gt;"VACUUM"),"CDU",IF($H14075="FLUID CAT CRACKING","FCC",IF(OR($H14075="HYDROCRACKING",$H14075="RESID_HYDROCRACKING"),"Hydrocracker",IF($H14075="REFORMING","Reformer",""))))</f>
        <v/>
      </c>
    </row>
    <row r="14076" spans="6:7">
      <c r="F14076" s="6">
        <f>IF($M14076="PADD I","PADD 1",IF($M14076="PADD II","PADD 2",IF($M14076="PADD III","PADD 3",IF($M14076="PADD IV","PADD 4",IF($M14076="PADD V","PADD 5","")))))</f>
        <v/>
      </c>
      <c r="G14076" s="6">
        <f>IF(AND($H14076="ATMOS DISTILLATION",ISNUMBER(SEARCH("VPS",$I14076))=FALSE,LEFT($I14076,6)&lt;&gt;"VACUUM"),"CDU",IF($H14076="FLUID CAT CRACKING","FCC",IF(OR($H14076="HYDROCRACKING",$H14076="RESID_HYDROCRACKING"),"Hydrocracker",IF($H14076="REFORMING","Reformer",""))))</f>
        <v/>
      </c>
    </row>
    <row r="14077" spans="6:7">
      <c r="F14077" s="6">
        <f>IF($M14077="PADD I","PADD 1",IF($M14077="PADD II","PADD 2",IF($M14077="PADD III","PADD 3",IF($M14077="PADD IV","PADD 4",IF($M14077="PADD V","PADD 5","")))))</f>
        <v/>
      </c>
      <c r="G14077" s="6">
        <f>IF(AND($H14077="ATMOS DISTILLATION",ISNUMBER(SEARCH("VPS",$I14077))=FALSE,LEFT($I14077,6)&lt;&gt;"VACUUM"),"CDU",IF($H14077="FLUID CAT CRACKING","FCC",IF(OR($H14077="HYDROCRACKING",$H14077="RESID_HYDROCRACKING"),"Hydrocracker",IF($H14077="REFORMING","Reformer",""))))</f>
        <v/>
      </c>
    </row>
    <row r="14078" spans="6:7">
      <c r="F14078" s="6">
        <f>IF($M14078="PADD I","PADD 1",IF($M14078="PADD II","PADD 2",IF($M14078="PADD III","PADD 3",IF($M14078="PADD IV","PADD 4",IF($M14078="PADD V","PADD 5","")))))</f>
        <v/>
      </c>
      <c r="G14078" s="6">
        <f>IF(AND($H14078="ATMOS DISTILLATION",ISNUMBER(SEARCH("VPS",$I14078))=FALSE,LEFT($I14078,6)&lt;&gt;"VACUUM"),"CDU",IF($H14078="FLUID CAT CRACKING","FCC",IF(OR($H14078="HYDROCRACKING",$H14078="RESID_HYDROCRACKING"),"Hydrocracker",IF($H14078="REFORMING","Reformer",""))))</f>
        <v/>
      </c>
    </row>
    <row r="14079" spans="6:7">
      <c r="F14079" s="6">
        <f>IF($M14079="PADD I","PADD 1",IF($M14079="PADD II","PADD 2",IF($M14079="PADD III","PADD 3",IF($M14079="PADD IV","PADD 4",IF($M14079="PADD V","PADD 5","")))))</f>
        <v/>
      </c>
      <c r="G14079" s="6">
        <f>IF(AND($H14079="ATMOS DISTILLATION",ISNUMBER(SEARCH("VPS",$I14079))=FALSE,LEFT($I14079,6)&lt;&gt;"VACUUM"),"CDU",IF($H14079="FLUID CAT CRACKING","FCC",IF(OR($H14079="HYDROCRACKING",$H14079="RESID_HYDROCRACKING"),"Hydrocracker",IF($H14079="REFORMING","Reformer",""))))</f>
        <v/>
      </c>
    </row>
    <row r="14080" spans="6:7">
      <c r="F14080" s="6">
        <f>IF($M14080="PADD I","PADD 1",IF($M14080="PADD II","PADD 2",IF($M14080="PADD III","PADD 3",IF($M14080="PADD IV","PADD 4",IF($M14080="PADD V","PADD 5","")))))</f>
        <v/>
      </c>
      <c r="G14080" s="6">
        <f>IF(AND($H14080="ATMOS DISTILLATION",ISNUMBER(SEARCH("VPS",$I14080))=FALSE,LEFT($I14080,6)&lt;&gt;"VACUUM"),"CDU",IF($H14080="FLUID CAT CRACKING","FCC",IF(OR($H14080="HYDROCRACKING",$H14080="RESID_HYDROCRACKING"),"Hydrocracker",IF($H14080="REFORMING","Reformer",""))))</f>
        <v/>
      </c>
    </row>
    <row r="14081" spans="6:7">
      <c r="F14081" s="6">
        <f>IF($M14081="PADD I","PADD 1",IF($M14081="PADD II","PADD 2",IF($M14081="PADD III","PADD 3",IF($M14081="PADD IV","PADD 4",IF($M14081="PADD V","PADD 5","")))))</f>
        <v/>
      </c>
      <c r="G14081" s="6">
        <f>IF(AND($H14081="ATMOS DISTILLATION",ISNUMBER(SEARCH("VPS",$I14081))=FALSE,LEFT($I14081,6)&lt;&gt;"VACUUM"),"CDU",IF($H14081="FLUID CAT CRACKING","FCC",IF(OR($H14081="HYDROCRACKING",$H14081="RESID_HYDROCRACKING"),"Hydrocracker",IF($H14081="REFORMING","Reformer",""))))</f>
        <v/>
      </c>
    </row>
    <row r="14082" spans="6:7">
      <c r="F14082" s="6">
        <f>IF($M14082="PADD I","PADD 1",IF($M14082="PADD II","PADD 2",IF($M14082="PADD III","PADD 3",IF($M14082="PADD IV","PADD 4",IF($M14082="PADD V","PADD 5","")))))</f>
        <v/>
      </c>
      <c r="G14082" s="6">
        <f>IF(AND($H14082="ATMOS DISTILLATION",ISNUMBER(SEARCH("VPS",$I14082))=FALSE,LEFT($I14082,6)&lt;&gt;"VACUUM"),"CDU",IF($H14082="FLUID CAT CRACKING","FCC",IF(OR($H14082="HYDROCRACKING",$H14082="RESID_HYDROCRACKING"),"Hydrocracker",IF($H14082="REFORMING","Reformer",""))))</f>
        <v/>
      </c>
    </row>
    <row r="14083" spans="6:7">
      <c r="F14083" s="6">
        <f>IF($M14083="PADD I","PADD 1",IF($M14083="PADD II","PADD 2",IF($M14083="PADD III","PADD 3",IF($M14083="PADD IV","PADD 4",IF($M14083="PADD V","PADD 5","")))))</f>
        <v/>
      </c>
      <c r="G14083" s="6">
        <f>IF(AND($H14083="ATMOS DISTILLATION",ISNUMBER(SEARCH("VPS",$I14083))=FALSE,LEFT($I14083,6)&lt;&gt;"VACUUM"),"CDU",IF($H14083="FLUID CAT CRACKING","FCC",IF(OR($H14083="HYDROCRACKING",$H14083="RESID_HYDROCRACKING"),"Hydrocracker",IF($H14083="REFORMING","Reformer",""))))</f>
        <v/>
      </c>
    </row>
    <row r="14084" spans="6:7">
      <c r="F14084" s="6">
        <f>IF($M14084="PADD I","PADD 1",IF($M14084="PADD II","PADD 2",IF($M14084="PADD III","PADD 3",IF($M14084="PADD IV","PADD 4",IF($M14084="PADD V","PADD 5","")))))</f>
        <v/>
      </c>
      <c r="G14084" s="6">
        <f>IF(AND($H14084="ATMOS DISTILLATION",ISNUMBER(SEARCH("VPS",$I14084))=FALSE,LEFT($I14084,6)&lt;&gt;"VACUUM"),"CDU",IF($H14084="FLUID CAT CRACKING","FCC",IF(OR($H14084="HYDROCRACKING",$H14084="RESID_HYDROCRACKING"),"Hydrocracker",IF($H14084="REFORMING","Reformer",""))))</f>
        <v/>
      </c>
    </row>
    <row r="14085" spans="6:7">
      <c r="F14085" s="6">
        <f>IF($M14085="PADD I","PADD 1",IF($M14085="PADD II","PADD 2",IF($M14085="PADD III","PADD 3",IF($M14085="PADD IV","PADD 4",IF($M14085="PADD V","PADD 5","")))))</f>
        <v/>
      </c>
      <c r="G14085" s="6">
        <f>IF(AND($H14085="ATMOS DISTILLATION",ISNUMBER(SEARCH("VPS",$I14085))=FALSE,LEFT($I14085,6)&lt;&gt;"VACUUM"),"CDU",IF($H14085="FLUID CAT CRACKING","FCC",IF(OR($H14085="HYDROCRACKING",$H14085="RESID_HYDROCRACKING"),"Hydrocracker",IF($H14085="REFORMING","Reformer",""))))</f>
        <v/>
      </c>
    </row>
    <row r="14086" spans="6:7">
      <c r="F14086" s="6">
        <f>IF($M14086="PADD I","PADD 1",IF($M14086="PADD II","PADD 2",IF($M14086="PADD III","PADD 3",IF($M14086="PADD IV","PADD 4",IF($M14086="PADD V","PADD 5","")))))</f>
        <v/>
      </c>
      <c r="G14086" s="6">
        <f>IF(AND($H14086="ATMOS DISTILLATION",ISNUMBER(SEARCH("VPS",$I14086))=FALSE,LEFT($I14086,6)&lt;&gt;"VACUUM"),"CDU",IF($H14086="FLUID CAT CRACKING","FCC",IF(OR($H14086="HYDROCRACKING",$H14086="RESID_HYDROCRACKING"),"Hydrocracker",IF($H14086="REFORMING","Reformer",""))))</f>
        <v/>
      </c>
    </row>
    <row r="14087" spans="6:7">
      <c r="F14087" s="6">
        <f>IF($M14087="PADD I","PADD 1",IF($M14087="PADD II","PADD 2",IF($M14087="PADD III","PADD 3",IF($M14087="PADD IV","PADD 4",IF($M14087="PADD V","PADD 5","")))))</f>
        <v/>
      </c>
      <c r="G14087" s="6">
        <f>IF(AND($H14087="ATMOS DISTILLATION",ISNUMBER(SEARCH("VPS",$I14087))=FALSE,LEFT($I14087,6)&lt;&gt;"VACUUM"),"CDU",IF($H14087="FLUID CAT CRACKING","FCC",IF(OR($H14087="HYDROCRACKING",$H14087="RESID_HYDROCRACKING"),"Hydrocracker",IF($H14087="REFORMING","Reformer",""))))</f>
        <v/>
      </c>
    </row>
    <row r="14088" spans="6:7">
      <c r="F14088" s="6">
        <f>IF($M14088="PADD I","PADD 1",IF($M14088="PADD II","PADD 2",IF($M14088="PADD III","PADD 3",IF($M14088="PADD IV","PADD 4",IF($M14088="PADD V","PADD 5","")))))</f>
        <v/>
      </c>
      <c r="G14088" s="6">
        <f>IF(AND($H14088="ATMOS DISTILLATION",ISNUMBER(SEARCH("VPS",$I14088))=FALSE,LEFT($I14088,6)&lt;&gt;"VACUUM"),"CDU",IF($H14088="FLUID CAT CRACKING","FCC",IF(OR($H14088="HYDROCRACKING",$H14088="RESID_HYDROCRACKING"),"Hydrocracker",IF($H14088="REFORMING","Reformer",""))))</f>
        <v/>
      </c>
    </row>
    <row r="14089" spans="6:7">
      <c r="F14089" s="6">
        <f>IF($M14089="PADD I","PADD 1",IF($M14089="PADD II","PADD 2",IF($M14089="PADD III","PADD 3",IF($M14089="PADD IV","PADD 4",IF($M14089="PADD V","PADD 5","")))))</f>
        <v/>
      </c>
      <c r="G14089" s="6">
        <f>IF(AND($H14089="ATMOS DISTILLATION",ISNUMBER(SEARCH("VPS",$I14089))=FALSE,LEFT($I14089,6)&lt;&gt;"VACUUM"),"CDU",IF($H14089="FLUID CAT CRACKING","FCC",IF(OR($H14089="HYDROCRACKING",$H14089="RESID_HYDROCRACKING"),"Hydrocracker",IF($H14089="REFORMING","Reformer",""))))</f>
        <v/>
      </c>
    </row>
    <row r="14090" spans="6:7">
      <c r="F14090" s="6">
        <f>IF($M14090="PADD I","PADD 1",IF($M14090="PADD II","PADD 2",IF($M14090="PADD III","PADD 3",IF($M14090="PADD IV","PADD 4",IF($M14090="PADD V","PADD 5","")))))</f>
        <v/>
      </c>
      <c r="G14090" s="6">
        <f>IF(AND($H14090="ATMOS DISTILLATION",ISNUMBER(SEARCH("VPS",$I14090))=FALSE,LEFT($I14090,6)&lt;&gt;"VACUUM"),"CDU",IF($H14090="FLUID CAT CRACKING","FCC",IF(OR($H14090="HYDROCRACKING",$H14090="RESID_HYDROCRACKING"),"Hydrocracker",IF($H14090="REFORMING","Reformer",""))))</f>
        <v/>
      </c>
    </row>
    <row r="14091" spans="6:7">
      <c r="F14091" s="6">
        <f>IF($M14091="PADD I","PADD 1",IF($M14091="PADD II","PADD 2",IF($M14091="PADD III","PADD 3",IF($M14091="PADD IV","PADD 4",IF($M14091="PADD V","PADD 5","")))))</f>
        <v/>
      </c>
      <c r="G14091" s="6">
        <f>IF(AND($H14091="ATMOS DISTILLATION",ISNUMBER(SEARCH("VPS",$I14091))=FALSE,LEFT($I14091,6)&lt;&gt;"VACUUM"),"CDU",IF($H14091="FLUID CAT CRACKING","FCC",IF(OR($H14091="HYDROCRACKING",$H14091="RESID_HYDROCRACKING"),"Hydrocracker",IF($H14091="REFORMING","Reformer",""))))</f>
        <v/>
      </c>
    </row>
    <row r="14092" spans="6:7">
      <c r="F14092" s="6">
        <f>IF($M14092="PADD I","PADD 1",IF($M14092="PADD II","PADD 2",IF($M14092="PADD III","PADD 3",IF($M14092="PADD IV","PADD 4",IF($M14092="PADD V","PADD 5","")))))</f>
        <v/>
      </c>
      <c r="G14092" s="6">
        <f>IF(AND($H14092="ATMOS DISTILLATION",ISNUMBER(SEARCH("VPS",$I14092))=FALSE,LEFT($I14092,6)&lt;&gt;"VACUUM"),"CDU",IF($H14092="FLUID CAT CRACKING","FCC",IF(OR($H14092="HYDROCRACKING",$H14092="RESID_HYDROCRACKING"),"Hydrocracker",IF($H14092="REFORMING","Reformer",""))))</f>
        <v/>
      </c>
    </row>
    <row r="14093" spans="6:7">
      <c r="F14093" s="6">
        <f>IF($M14093="PADD I","PADD 1",IF($M14093="PADD II","PADD 2",IF($M14093="PADD III","PADD 3",IF($M14093="PADD IV","PADD 4",IF($M14093="PADD V","PADD 5","")))))</f>
        <v/>
      </c>
      <c r="G14093" s="6">
        <f>IF(AND($H14093="ATMOS DISTILLATION",ISNUMBER(SEARCH("VPS",$I14093))=FALSE,LEFT($I14093,6)&lt;&gt;"VACUUM"),"CDU",IF($H14093="FLUID CAT CRACKING","FCC",IF(OR($H14093="HYDROCRACKING",$H14093="RESID_HYDROCRACKING"),"Hydrocracker",IF($H14093="REFORMING","Reformer",""))))</f>
        <v/>
      </c>
    </row>
    <row r="14094" spans="6:7">
      <c r="F14094" s="6">
        <f>IF($M14094="PADD I","PADD 1",IF($M14094="PADD II","PADD 2",IF($M14094="PADD III","PADD 3",IF($M14094="PADD IV","PADD 4",IF($M14094="PADD V","PADD 5","")))))</f>
        <v/>
      </c>
      <c r="G14094" s="6">
        <f>IF(AND($H14094="ATMOS DISTILLATION",ISNUMBER(SEARCH("VPS",$I14094))=FALSE,LEFT($I14094,6)&lt;&gt;"VACUUM"),"CDU",IF($H14094="FLUID CAT CRACKING","FCC",IF(OR($H14094="HYDROCRACKING",$H14094="RESID_HYDROCRACKING"),"Hydrocracker",IF($H14094="REFORMING","Reformer",""))))</f>
        <v/>
      </c>
    </row>
    <row r="14095" spans="6:7">
      <c r="F14095" s="6">
        <f>IF($M14095="PADD I","PADD 1",IF($M14095="PADD II","PADD 2",IF($M14095="PADD III","PADD 3",IF($M14095="PADD IV","PADD 4",IF($M14095="PADD V","PADD 5","")))))</f>
        <v/>
      </c>
      <c r="G14095" s="6">
        <f>IF(AND($H14095="ATMOS DISTILLATION",ISNUMBER(SEARCH("VPS",$I14095))=FALSE,LEFT($I14095,6)&lt;&gt;"VACUUM"),"CDU",IF($H14095="FLUID CAT CRACKING","FCC",IF(OR($H14095="HYDROCRACKING",$H14095="RESID_HYDROCRACKING"),"Hydrocracker",IF($H14095="REFORMING","Reformer",""))))</f>
        <v/>
      </c>
    </row>
    <row r="14096" spans="6:7">
      <c r="F14096" s="6">
        <f>IF($M14096="PADD I","PADD 1",IF($M14096="PADD II","PADD 2",IF($M14096="PADD III","PADD 3",IF($M14096="PADD IV","PADD 4",IF($M14096="PADD V","PADD 5","")))))</f>
        <v/>
      </c>
      <c r="G14096" s="6">
        <f>IF(AND($H14096="ATMOS DISTILLATION",ISNUMBER(SEARCH("VPS",$I14096))=FALSE,LEFT($I14096,6)&lt;&gt;"VACUUM"),"CDU",IF($H14096="FLUID CAT CRACKING","FCC",IF(OR($H14096="HYDROCRACKING",$H14096="RESID_HYDROCRACKING"),"Hydrocracker",IF($H14096="REFORMING","Reformer",""))))</f>
        <v/>
      </c>
    </row>
    <row r="14097" spans="6:7">
      <c r="F14097" s="6">
        <f>IF($M14097="PADD I","PADD 1",IF($M14097="PADD II","PADD 2",IF($M14097="PADD III","PADD 3",IF($M14097="PADD IV","PADD 4",IF($M14097="PADD V","PADD 5","")))))</f>
        <v/>
      </c>
      <c r="G14097" s="6">
        <f>IF(AND($H14097="ATMOS DISTILLATION",ISNUMBER(SEARCH("VPS",$I14097))=FALSE,LEFT($I14097,6)&lt;&gt;"VACUUM"),"CDU",IF($H14097="FLUID CAT CRACKING","FCC",IF(OR($H14097="HYDROCRACKING",$H14097="RESID_HYDROCRACKING"),"Hydrocracker",IF($H14097="REFORMING","Reformer",""))))</f>
        <v/>
      </c>
    </row>
    <row r="14098" spans="6:7">
      <c r="F14098" s="6">
        <f>IF($M14098="PADD I","PADD 1",IF($M14098="PADD II","PADD 2",IF($M14098="PADD III","PADD 3",IF($M14098="PADD IV","PADD 4",IF($M14098="PADD V","PADD 5","")))))</f>
        <v/>
      </c>
      <c r="G14098" s="6">
        <f>IF(AND($H14098="ATMOS DISTILLATION",ISNUMBER(SEARCH("VPS",$I14098))=FALSE,LEFT($I14098,6)&lt;&gt;"VACUUM"),"CDU",IF($H14098="FLUID CAT CRACKING","FCC",IF(OR($H14098="HYDROCRACKING",$H14098="RESID_HYDROCRACKING"),"Hydrocracker",IF($H14098="REFORMING","Reformer",""))))</f>
        <v/>
      </c>
    </row>
    <row r="14099" spans="6:7">
      <c r="F14099" s="6">
        <f>IF($M14099="PADD I","PADD 1",IF($M14099="PADD II","PADD 2",IF($M14099="PADD III","PADD 3",IF($M14099="PADD IV","PADD 4",IF($M14099="PADD V","PADD 5","")))))</f>
        <v/>
      </c>
      <c r="G14099" s="6">
        <f>IF(AND($H14099="ATMOS DISTILLATION",ISNUMBER(SEARCH("VPS",$I14099))=FALSE,LEFT($I14099,6)&lt;&gt;"VACUUM"),"CDU",IF($H14099="FLUID CAT CRACKING","FCC",IF(OR($H14099="HYDROCRACKING",$H14099="RESID_HYDROCRACKING"),"Hydrocracker",IF($H14099="REFORMING","Reformer",""))))</f>
        <v/>
      </c>
    </row>
    <row r="14100" spans="6:7">
      <c r="F14100" s="6">
        <f>IF($M14100="PADD I","PADD 1",IF($M14100="PADD II","PADD 2",IF($M14100="PADD III","PADD 3",IF($M14100="PADD IV","PADD 4",IF($M14100="PADD V","PADD 5","")))))</f>
        <v/>
      </c>
      <c r="G14100" s="6">
        <f>IF(AND($H14100="ATMOS DISTILLATION",ISNUMBER(SEARCH("VPS",$I14100))=FALSE,LEFT($I14100,6)&lt;&gt;"VACUUM"),"CDU",IF($H14100="FLUID CAT CRACKING","FCC",IF(OR($H14100="HYDROCRACKING",$H14100="RESID_HYDROCRACKING"),"Hydrocracker",IF($H14100="REFORMING","Reformer",""))))</f>
        <v/>
      </c>
    </row>
    <row r="14101" spans="6:7">
      <c r="F14101" s="6">
        <f>IF($M14101="PADD I","PADD 1",IF($M14101="PADD II","PADD 2",IF($M14101="PADD III","PADD 3",IF($M14101="PADD IV","PADD 4",IF($M14101="PADD V","PADD 5","")))))</f>
        <v/>
      </c>
      <c r="G14101" s="6">
        <f>IF(AND($H14101="ATMOS DISTILLATION",ISNUMBER(SEARCH("VPS",$I14101))=FALSE,LEFT($I14101,6)&lt;&gt;"VACUUM"),"CDU",IF($H14101="FLUID CAT CRACKING","FCC",IF(OR($H14101="HYDROCRACKING",$H14101="RESID_HYDROCRACKING"),"Hydrocracker",IF($H14101="REFORMING","Reformer",""))))</f>
        <v/>
      </c>
    </row>
    <row r="14102" spans="6:7">
      <c r="F14102" s="6">
        <f>IF($M14102="PADD I","PADD 1",IF($M14102="PADD II","PADD 2",IF($M14102="PADD III","PADD 3",IF($M14102="PADD IV","PADD 4",IF($M14102="PADD V","PADD 5","")))))</f>
        <v/>
      </c>
      <c r="G14102" s="6">
        <f>IF(AND($H14102="ATMOS DISTILLATION",ISNUMBER(SEARCH("VPS",$I14102))=FALSE,LEFT($I14102,6)&lt;&gt;"VACUUM"),"CDU",IF($H14102="FLUID CAT CRACKING","FCC",IF(OR($H14102="HYDROCRACKING",$H14102="RESID_HYDROCRACKING"),"Hydrocracker",IF($H14102="REFORMING","Reformer",""))))</f>
        <v/>
      </c>
    </row>
    <row r="14103" spans="6:7">
      <c r="F14103" s="6">
        <f>IF($M14103="PADD I","PADD 1",IF($M14103="PADD II","PADD 2",IF($M14103="PADD III","PADD 3",IF($M14103="PADD IV","PADD 4",IF($M14103="PADD V","PADD 5","")))))</f>
        <v/>
      </c>
      <c r="G14103" s="6">
        <f>IF(AND($H14103="ATMOS DISTILLATION",ISNUMBER(SEARCH("VPS",$I14103))=FALSE,LEFT($I14103,6)&lt;&gt;"VACUUM"),"CDU",IF($H14103="FLUID CAT CRACKING","FCC",IF(OR($H14103="HYDROCRACKING",$H14103="RESID_HYDROCRACKING"),"Hydrocracker",IF($H14103="REFORMING","Reformer",""))))</f>
        <v/>
      </c>
    </row>
    <row r="14104" spans="6:7">
      <c r="F14104" s="6">
        <f>IF($M14104="PADD I","PADD 1",IF($M14104="PADD II","PADD 2",IF($M14104="PADD III","PADD 3",IF($M14104="PADD IV","PADD 4",IF($M14104="PADD V","PADD 5","")))))</f>
        <v/>
      </c>
      <c r="G14104" s="6">
        <f>IF(AND($H14104="ATMOS DISTILLATION",ISNUMBER(SEARCH("VPS",$I14104))=FALSE,LEFT($I14104,6)&lt;&gt;"VACUUM"),"CDU",IF($H14104="FLUID CAT CRACKING","FCC",IF(OR($H14104="HYDROCRACKING",$H14104="RESID_HYDROCRACKING"),"Hydrocracker",IF($H14104="REFORMING","Reformer",""))))</f>
        <v/>
      </c>
    </row>
    <row r="14105" spans="6:7">
      <c r="F14105" s="6">
        <f>IF($M14105="PADD I","PADD 1",IF($M14105="PADD II","PADD 2",IF($M14105="PADD III","PADD 3",IF($M14105="PADD IV","PADD 4",IF($M14105="PADD V","PADD 5","")))))</f>
        <v/>
      </c>
      <c r="G14105" s="6">
        <f>IF(AND($H14105="ATMOS DISTILLATION",ISNUMBER(SEARCH("VPS",$I14105))=FALSE,LEFT($I14105,6)&lt;&gt;"VACUUM"),"CDU",IF($H14105="FLUID CAT CRACKING","FCC",IF(OR($H14105="HYDROCRACKING",$H14105="RESID_HYDROCRACKING"),"Hydrocracker",IF($H14105="REFORMING","Reformer",""))))</f>
        <v/>
      </c>
    </row>
    <row r="14106" spans="6:7">
      <c r="F14106" s="6">
        <f>IF($M14106="PADD I","PADD 1",IF($M14106="PADD II","PADD 2",IF($M14106="PADD III","PADD 3",IF($M14106="PADD IV","PADD 4",IF($M14106="PADD V","PADD 5","")))))</f>
        <v/>
      </c>
      <c r="G14106" s="6">
        <f>IF(AND($H14106="ATMOS DISTILLATION",ISNUMBER(SEARCH("VPS",$I14106))=FALSE,LEFT($I14106,6)&lt;&gt;"VACUUM"),"CDU",IF($H14106="FLUID CAT CRACKING","FCC",IF(OR($H14106="HYDROCRACKING",$H14106="RESID_HYDROCRACKING"),"Hydrocracker",IF($H14106="REFORMING","Reformer",""))))</f>
        <v/>
      </c>
    </row>
    <row r="14107" spans="6:7">
      <c r="F14107" s="6">
        <f>IF($M14107="PADD I","PADD 1",IF($M14107="PADD II","PADD 2",IF($M14107="PADD III","PADD 3",IF($M14107="PADD IV","PADD 4",IF($M14107="PADD V","PADD 5","")))))</f>
        <v/>
      </c>
      <c r="G14107" s="6">
        <f>IF(AND($H14107="ATMOS DISTILLATION",ISNUMBER(SEARCH("VPS",$I14107))=FALSE,LEFT($I14107,6)&lt;&gt;"VACUUM"),"CDU",IF($H14107="FLUID CAT CRACKING","FCC",IF(OR($H14107="HYDROCRACKING",$H14107="RESID_HYDROCRACKING"),"Hydrocracker",IF($H14107="REFORMING","Reformer",""))))</f>
        <v/>
      </c>
    </row>
    <row r="14108" spans="6:7">
      <c r="F14108" s="6">
        <f>IF($M14108="PADD I","PADD 1",IF($M14108="PADD II","PADD 2",IF($M14108="PADD III","PADD 3",IF($M14108="PADD IV","PADD 4",IF($M14108="PADD V","PADD 5","")))))</f>
        <v/>
      </c>
      <c r="G14108" s="6">
        <f>IF(AND($H14108="ATMOS DISTILLATION",ISNUMBER(SEARCH("VPS",$I14108))=FALSE,LEFT($I14108,6)&lt;&gt;"VACUUM"),"CDU",IF($H14108="FLUID CAT CRACKING","FCC",IF(OR($H14108="HYDROCRACKING",$H14108="RESID_HYDROCRACKING"),"Hydrocracker",IF($H14108="REFORMING","Reformer",""))))</f>
        <v/>
      </c>
    </row>
    <row r="14109" spans="6:7">
      <c r="F14109" s="6">
        <f>IF($M14109="PADD I","PADD 1",IF($M14109="PADD II","PADD 2",IF($M14109="PADD III","PADD 3",IF($M14109="PADD IV","PADD 4",IF($M14109="PADD V","PADD 5","")))))</f>
        <v/>
      </c>
      <c r="G14109" s="6">
        <f>IF(AND($H14109="ATMOS DISTILLATION",ISNUMBER(SEARCH("VPS",$I14109))=FALSE,LEFT($I14109,6)&lt;&gt;"VACUUM"),"CDU",IF($H14109="FLUID CAT CRACKING","FCC",IF(OR($H14109="HYDROCRACKING",$H14109="RESID_HYDROCRACKING"),"Hydrocracker",IF($H14109="REFORMING","Reformer",""))))</f>
        <v/>
      </c>
    </row>
    <row r="14110" spans="6:7">
      <c r="F14110" s="6">
        <f>IF($M14110="PADD I","PADD 1",IF($M14110="PADD II","PADD 2",IF($M14110="PADD III","PADD 3",IF($M14110="PADD IV","PADD 4",IF($M14110="PADD V","PADD 5","")))))</f>
        <v/>
      </c>
      <c r="G14110" s="6">
        <f>IF(AND($H14110="ATMOS DISTILLATION",ISNUMBER(SEARCH("VPS",$I14110))=FALSE,LEFT($I14110,6)&lt;&gt;"VACUUM"),"CDU",IF($H14110="FLUID CAT CRACKING","FCC",IF(OR($H14110="HYDROCRACKING",$H14110="RESID_HYDROCRACKING"),"Hydrocracker",IF($H14110="REFORMING","Reformer",""))))</f>
        <v/>
      </c>
    </row>
    <row r="14111" spans="6:7">
      <c r="F14111" s="6">
        <f>IF($M14111="PADD I","PADD 1",IF($M14111="PADD II","PADD 2",IF($M14111="PADD III","PADD 3",IF($M14111="PADD IV","PADD 4",IF($M14111="PADD V","PADD 5","")))))</f>
        <v/>
      </c>
      <c r="G14111" s="6">
        <f>IF(AND($H14111="ATMOS DISTILLATION",ISNUMBER(SEARCH("VPS",$I14111))=FALSE,LEFT($I14111,6)&lt;&gt;"VACUUM"),"CDU",IF($H14111="FLUID CAT CRACKING","FCC",IF(OR($H14111="HYDROCRACKING",$H14111="RESID_HYDROCRACKING"),"Hydrocracker",IF($H14111="REFORMING","Reformer",""))))</f>
        <v/>
      </c>
    </row>
    <row r="14112" spans="6:7">
      <c r="F14112" s="6">
        <f>IF($M14112="PADD I","PADD 1",IF($M14112="PADD II","PADD 2",IF($M14112="PADD III","PADD 3",IF($M14112="PADD IV","PADD 4",IF($M14112="PADD V","PADD 5","")))))</f>
        <v/>
      </c>
      <c r="G14112" s="6">
        <f>IF(AND($H14112="ATMOS DISTILLATION",ISNUMBER(SEARCH("VPS",$I14112))=FALSE,LEFT($I14112,6)&lt;&gt;"VACUUM"),"CDU",IF($H14112="FLUID CAT CRACKING","FCC",IF(OR($H14112="HYDROCRACKING",$H14112="RESID_HYDROCRACKING"),"Hydrocracker",IF($H14112="REFORMING","Reformer",""))))</f>
        <v/>
      </c>
    </row>
    <row r="14113" spans="6:7">
      <c r="F14113" s="6">
        <f>IF($M14113="PADD I","PADD 1",IF($M14113="PADD II","PADD 2",IF($M14113="PADD III","PADD 3",IF($M14113="PADD IV","PADD 4",IF($M14113="PADD V","PADD 5","")))))</f>
        <v/>
      </c>
      <c r="G14113" s="6">
        <f>IF(AND($H14113="ATMOS DISTILLATION",ISNUMBER(SEARCH("VPS",$I14113))=FALSE,LEFT($I14113,6)&lt;&gt;"VACUUM"),"CDU",IF($H14113="FLUID CAT CRACKING","FCC",IF(OR($H14113="HYDROCRACKING",$H14113="RESID_HYDROCRACKING"),"Hydrocracker",IF($H14113="REFORMING","Reformer",""))))</f>
        <v/>
      </c>
    </row>
    <row r="14114" spans="6:7">
      <c r="F14114" s="6">
        <f>IF($M14114="PADD I","PADD 1",IF($M14114="PADD II","PADD 2",IF($M14114="PADD III","PADD 3",IF($M14114="PADD IV","PADD 4",IF($M14114="PADD V","PADD 5","")))))</f>
        <v/>
      </c>
      <c r="G14114" s="6">
        <f>IF(AND($H14114="ATMOS DISTILLATION",ISNUMBER(SEARCH("VPS",$I14114))=FALSE,LEFT($I14114,6)&lt;&gt;"VACUUM"),"CDU",IF($H14114="FLUID CAT CRACKING","FCC",IF(OR($H14114="HYDROCRACKING",$H14114="RESID_HYDROCRACKING"),"Hydrocracker",IF($H14114="REFORMING","Reformer",""))))</f>
        <v/>
      </c>
    </row>
    <row r="14115" spans="6:7">
      <c r="F14115" s="6">
        <f>IF($M14115="PADD I","PADD 1",IF($M14115="PADD II","PADD 2",IF($M14115="PADD III","PADD 3",IF($M14115="PADD IV","PADD 4",IF($M14115="PADD V","PADD 5","")))))</f>
        <v/>
      </c>
      <c r="G14115" s="6">
        <f>IF(AND($H14115="ATMOS DISTILLATION",ISNUMBER(SEARCH("VPS",$I14115))=FALSE,LEFT($I14115,6)&lt;&gt;"VACUUM"),"CDU",IF($H14115="FLUID CAT CRACKING","FCC",IF(OR($H14115="HYDROCRACKING",$H14115="RESID_HYDROCRACKING"),"Hydrocracker",IF($H14115="REFORMING","Reformer",""))))</f>
        <v/>
      </c>
    </row>
    <row r="14116" spans="6:7">
      <c r="F14116" s="6">
        <f>IF($M14116="PADD I","PADD 1",IF($M14116="PADD II","PADD 2",IF($M14116="PADD III","PADD 3",IF($M14116="PADD IV","PADD 4",IF($M14116="PADD V","PADD 5","")))))</f>
        <v/>
      </c>
      <c r="G14116" s="6">
        <f>IF(AND($H14116="ATMOS DISTILLATION",ISNUMBER(SEARCH("VPS",$I14116))=FALSE,LEFT($I14116,6)&lt;&gt;"VACUUM"),"CDU",IF($H14116="FLUID CAT CRACKING","FCC",IF(OR($H14116="HYDROCRACKING",$H14116="RESID_HYDROCRACKING"),"Hydrocracker",IF($H14116="REFORMING","Reformer",""))))</f>
        <v/>
      </c>
    </row>
    <row r="14117" spans="6:7">
      <c r="F14117" s="6">
        <f>IF($M14117="PADD I","PADD 1",IF($M14117="PADD II","PADD 2",IF($M14117="PADD III","PADD 3",IF($M14117="PADD IV","PADD 4",IF($M14117="PADD V","PADD 5","")))))</f>
        <v/>
      </c>
      <c r="G14117" s="6">
        <f>IF(AND($H14117="ATMOS DISTILLATION",ISNUMBER(SEARCH("VPS",$I14117))=FALSE,LEFT($I14117,6)&lt;&gt;"VACUUM"),"CDU",IF($H14117="FLUID CAT CRACKING","FCC",IF(OR($H14117="HYDROCRACKING",$H14117="RESID_HYDROCRACKING"),"Hydrocracker",IF($H14117="REFORMING","Reformer",""))))</f>
        <v/>
      </c>
    </row>
    <row r="14118" spans="6:7">
      <c r="F14118" s="6">
        <f>IF($M14118="PADD I","PADD 1",IF($M14118="PADD II","PADD 2",IF($M14118="PADD III","PADD 3",IF($M14118="PADD IV","PADD 4",IF($M14118="PADD V","PADD 5","")))))</f>
        <v/>
      </c>
      <c r="G14118" s="6">
        <f>IF(AND($H14118="ATMOS DISTILLATION",ISNUMBER(SEARCH("VPS",$I14118))=FALSE,LEFT($I14118,6)&lt;&gt;"VACUUM"),"CDU",IF($H14118="FLUID CAT CRACKING","FCC",IF(OR($H14118="HYDROCRACKING",$H14118="RESID_HYDROCRACKING"),"Hydrocracker",IF($H14118="REFORMING","Reformer",""))))</f>
        <v/>
      </c>
    </row>
    <row r="14119" spans="6:7">
      <c r="F14119" s="6">
        <f>IF($M14119="PADD I","PADD 1",IF($M14119="PADD II","PADD 2",IF($M14119="PADD III","PADD 3",IF($M14119="PADD IV","PADD 4",IF($M14119="PADD V","PADD 5","")))))</f>
        <v/>
      </c>
      <c r="G14119" s="6">
        <f>IF(AND($H14119="ATMOS DISTILLATION",ISNUMBER(SEARCH("VPS",$I14119))=FALSE,LEFT($I14119,6)&lt;&gt;"VACUUM"),"CDU",IF($H14119="FLUID CAT CRACKING","FCC",IF(OR($H14119="HYDROCRACKING",$H14119="RESID_HYDROCRACKING"),"Hydrocracker",IF($H14119="REFORMING","Reformer",""))))</f>
        <v/>
      </c>
    </row>
    <row r="14120" spans="6:7">
      <c r="F14120" s="6">
        <f>IF($M14120="PADD I","PADD 1",IF($M14120="PADD II","PADD 2",IF($M14120="PADD III","PADD 3",IF($M14120="PADD IV","PADD 4",IF($M14120="PADD V","PADD 5","")))))</f>
        <v/>
      </c>
      <c r="G14120" s="6">
        <f>IF(AND($H14120="ATMOS DISTILLATION",ISNUMBER(SEARCH("VPS",$I14120))=FALSE,LEFT($I14120,6)&lt;&gt;"VACUUM"),"CDU",IF($H14120="FLUID CAT CRACKING","FCC",IF(OR($H14120="HYDROCRACKING",$H14120="RESID_HYDROCRACKING"),"Hydrocracker",IF($H14120="REFORMING","Reformer",""))))</f>
        <v/>
      </c>
    </row>
    <row r="14121" spans="6:7">
      <c r="F14121" s="6">
        <f>IF($M14121="PADD I","PADD 1",IF($M14121="PADD II","PADD 2",IF($M14121="PADD III","PADD 3",IF($M14121="PADD IV","PADD 4",IF($M14121="PADD V","PADD 5","")))))</f>
        <v/>
      </c>
      <c r="G14121" s="6">
        <f>IF(AND($H14121="ATMOS DISTILLATION",ISNUMBER(SEARCH("VPS",$I14121))=FALSE,LEFT($I14121,6)&lt;&gt;"VACUUM"),"CDU",IF($H14121="FLUID CAT CRACKING","FCC",IF(OR($H14121="HYDROCRACKING",$H14121="RESID_HYDROCRACKING"),"Hydrocracker",IF($H14121="REFORMING","Reformer",""))))</f>
        <v/>
      </c>
    </row>
    <row r="14122" spans="6:7">
      <c r="F14122" s="6">
        <f>IF($M14122="PADD I","PADD 1",IF($M14122="PADD II","PADD 2",IF($M14122="PADD III","PADD 3",IF($M14122="PADD IV","PADD 4",IF($M14122="PADD V","PADD 5","")))))</f>
        <v/>
      </c>
      <c r="G14122" s="6">
        <f>IF(AND($H14122="ATMOS DISTILLATION",ISNUMBER(SEARCH("VPS",$I14122))=FALSE,LEFT($I14122,6)&lt;&gt;"VACUUM"),"CDU",IF($H14122="FLUID CAT CRACKING","FCC",IF(OR($H14122="HYDROCRACKING",$H14122="RESID_HYDROCRACKING"),"Hydrocracker",IF($H14122="REFORMING","Reformer",""))))</f>
        <v/>
      </c>
    </row>
    <row r="14123" spans="6:7">
      <c r="F14123" s="6">
        <f>IF($M14123="PADD I","PADD 1",IF($M14123="PADD II","PADD 2",IF($M14123="PADD III","PADD 3",IF($M14123="PADD IV","PADD 4",IF($M14123="PADD V","PADD 5","")))))</f>
        <v/>
      </c>
      <c r="G14123" s="6">
        <f>IF(AND($H14123="ATMOS DISTILLATION",ISNUMBER(SEARCH("VPS",$I14123))=FALSE,LEFT($I14123,6)&lt;&gt;"VACUUM"),"CDU",IF($H14123="FLUID CAT CRACKING","FCC",IF(OR($H14123="HYDROCRACKING",$H14123="RESID_HYDROCRACKING"),"Hydrocracker",IF($H14123="REFORMING","Reformer",""))))</f>
        <v/>
      </c>
    </row>
    <row r="14124" spans="6:7">
      <c r="F14124" s="6">
        <f>IF($M14124="PADD I","PADD 1",IF($M14124="PADD II","PADD 2",IF($M14124="PADD III","PADD 3",IF($M14124="PADD IV","PADD 4",IF($M14124="PADD V","PADD 5","")))))</f>
        <v/>
      </c>
      <c r="G14124" s="6">
        <f>IF(AND($H14124="ATMOS DISTILLATION",ISNUMBER(SEARCH("VPS",$I14124))=FALSE,LEFT($I14124,6)&lt;&gt;"VACUUM"),"CDU",IF($H14124="FLUID CAT CRACKING","FCC",IF(OR($H14124="HYDROCRACKING",$H14124="RESID_HYDROCRACKING"),"Hydrocracker",IF($H14124="REFORMING","Reformer",""))))</f>
        <v/>
      </c>
    </row>
    <row r="14125" spans="6:7">
      <c r="F14125" s="6">
        <f>IF($M14125="PADD I","PADD 1",IF($M14125="PADD II","PADD 2",IF($M14125="PADD III","PADD 3",IF($M14125="PADD IV","PADD 4",IF($M14125="PADD V","PADD 5","")))))</f>
        <v/>
      </c>
      <c r="G14125" s="6">
        <f>IF(AND($H14125="ATMOS DISTILLATION",ISNUMBER(SEARCH("VPS",$I14125))=FALSE,LEFT($I14125,6)&lt;&gt;"VACUUM"),"CDU",IF($H14125="FLUID CAT CRACKING","FCC",IF(OR($H14125="HYDROCRACKING",$H14125="RESID_HYDROCRACKING"),"Hydrocracker",IF($H14125="REFORMING","Reformer",""))))</f>
        <v/>
      </c>
    </row>
    <row r="14126" spans="6:7">
      <c r="F14126" s="6">
        <f>IF($M14126="PADD I","PADD 1",IF($M14126="PADD II","PADD 2",IF($M14126="PADD III","PADD 3",IF($M14126="PADD IV","PADD 4",IF($M14126="PADD V","PADD 5","")))))</f>
        <v/>
      </c>
      <c r="G14126" s="6">
        <f>IF(AND($H14126="ATMOS DISTILLATION",ISNUMBER(SEARCH("VPS",$I14126))=FALSE,LEFT($I14126,6)&lt;&gt;"VACUUM"),"CDU",IF($H14126="FLUID CAT CRACKING","FCC",IF(OR($H14126="HYDROCRACKING",$H14126="RESID_HYDROCRACKING"),"Hydrocracker",IF($H14126="REFORMING","Reformer",""))))</f>
        <v/>
      </c>
    </row>
    <row r="14127" spans="6:7">
      <c r="F14127" s="6">
        <f>IF($M14127="PADD I","PADD 1",IF($M14127="PADD II","PADD 2",IF($M14127="PADD III","PADD 3",IF($M14127="PADD IV","PADD 4",IF($M14127="PADD V","PADD 5","")))))</f>
        <v/>
      </c>
      <c r="G14127" s="6">
        <f>IF(AND($H14127="ATMOS DISTILLATION",ISNUMBER(SEARCH("VPS",$I14127))=FALSE,LEFT($I14127,6)&lt;&gt;"VACUUM"),"CDU",IF($H14127="FLUID CAT CRACKING","FCC",IF(OR($H14127="HYDROCRACKING",$H14127="RESID_HYDROCRACKING"),"Hydrocracker",IF($H14127="REFORMING","Reformer",""))))</f>
        <v/>
      </c>
    </row>
    <row r="14128" spans="6:7">
      <c r="F14128" s="6">
        <f>IF($M14128="PADD I","PADD 1",IF($M14128="PADD II","PADD 2",IF($M14128="PADD III","PADD 3",IF($M14128="PADD IV","PADD 4",IF($M14128="PADD V","PADD 5","")))))</f>
        <v/>
      </c>
      <c r="G14128" s="6">
        <f>IF(AND($H14128="ATMOS DISTILLATION",ISNUMBER(SEARCH("VPS",$I14128))=FALSE,LEFT($I14128,6)&lt;&gt;"VACUUM"),"CDU",IF($H14128="FLUID CAT CRACKING","FCC",IF(OR($H14128="HYDROCRACKING",$H14128="RESID_HYDROCRACKING"),"Hydrocracker",IF($H14128="REFORMING","Reformer",""))))</f>
        <v/>
      </c>
    </row>
    <row r="14129" spans="6:7">
      <c r="F14129" s="6">
        <f>IF($M14129="PADD I","PADD 1",IF($M14129="PADD II","PADD 2",IF($M14129="PADD III","PADD 3",IF($M14129="PADD IV","PADD 4",IF($M14129="PADD V","PADD 5","")))))</f>
        <v/>
      </c>
      <c r="G14129" s="6">
        <f>IF(AND($H14129="ATMOS DISTILLATION",ISNUMBER(SEARCH("VPS",$I14129))=FALSE,LEFT($I14129,6)&lt;&gt;"VACUUM"),"CDU",IF($H14129="FLUID CAT CRACKING","FCC",IF(OR($H14129="HYDROCRACKING",$H14129="RESID_HYDROCRACKING"),"Hydrocracker",IF($H14129="REFORMING","Reformer",""))))</f>
        <v/>
      </c>
    </row>
    <row r="14130" spans="6:7">
      <c r="F14130" s="6">
        <f>IF($M14130="PADD I","PADD 1",IF($M14130="PADD II","PADD 2",IF($M14130="PADD III","PADD 3",IF($M14130="PADD IV","PADD 4",IF($M14130="PADD V","PADD 5","")))))</f>
        <v/>
      </c>
      <c r="G14130" s="6">
        <f>IF(AND($H14130="ATMOS DISTILLATION",ISNUMBER(SEARCH("VPS",$I14130))=FALSE,LEFT($I14130,6)&lt;&gt;"VACUUM"),"CDU",IF($H14130="FLUID CAT CRACKING","FCC",IF(OR($H14130="HYDROCRACKING",$H14130="RESID_HYDROCRACKING"),"Hydrocracker",IF($H14130="REFORMING","Reformer",""))))</f>
        <v/>
      </c>
    </row>
    <row r="14131" spans="6:7">
      <c r="F14131" s="6">
        <f>IF($M14131="PADD I","PADD 1",IF($M14131="PADD II","PADD 2",IF($M14131="PADD III","PADD 3",IF($M14131="PADD IV","PADD 4",IF($M14131="PADD V","PADD 5","")))))</f>
        <v/>
      </c>
      <c r="G14131" s="6">
        <f>IF(AND($H14131="ATMOS DISTILLATION",ISNUMBER(SEARCH("VPS",$I14131))=FALSE,LEFT($I14131,6)&lt;&gt;"VACUUM"),"CDU",IF($H14131="FLUID CAT CRACKING","FCC",IF(OR($H14131="HYDROCRACKING",$H14131="RESID_HYDROCRACKING"),"Hydrocracker",IF($H14131="REFORMING","Reformer",""))))</f>
        <v/>
      </c>
    </row>
    <row r="14132" spans="6:7">
      <c r="F14132" s="6">
        <f>IF($M14132="PADD I","PADD 1",IF($M14132="PADD II","PADD 2",IF($M14132="PADD III","PADD 3",IF($M14132="PADD IV","PADD 4",IF($M14132="PADD V","PADD 5","")))))</f>
        <v/>
      </c>
      <c r="G14132" s="6">
        <f>IF(AND($H14132="ATMOS DISTILLATION",ISNUMBER(SEARCH("VPS",$I14132))=FALSE,LEFT($I14132,6)&lt;&gt;"VACUUM"),"CDU",IF($H14132="FLUID CAT CRACKING","FCC",IF(OR($H14132="HYDROCRACKING",$H14132="RESID_HYDROCRACKING"),"Hydrocracker",IF($H14132="REFORMING","Reformer",""))))</f>
        <v/>
      </c>
    </row>
    <row r="14133" spans="6:7">
      <c r="F14133" s="6">
        <f>IF($M14133="PADD I","PADD 1",IF($M14133="PADD II","PADD 2",IF($M14133="PADD III","PADD 3",IF($M14133="PADD IV","PADD 4",IF($M14133="PADD V","PADD 5","")))))</f>
        <v/>
      </c>
      <c r="G14133" s="6">
        <f>IF(AND($H14133="ATMOS DISTILLATION",ISNUMBER(SEARCH("VPS",$I14133))=FALSE,LEFT($I14133,6)&lt;&gt;"VACUUM"),"CDU",IF($H14133="FLUID CAT CRACKING","FCC",IF(OR($H14133="HYDROCRACKING",$H14133="RESID_HYDROCRACKING"),"Hydrocracker",IF($H14133="REFORMING","Reformer",""))))</f>
        <v/>
      </c>
    </row>
    <row r="14134" spans="6:7">
      <c r="F14134" s="6">
        <f>IF($M14134="PADD I","PADD 1",IF($M14134="PADD II","PADD 2",IF($M14134="PADD III","PADD 3",IF($M14134="PADD IV","PADD 4",IF($M14134="PADD V","PADD 5","")))))</f>
        <v/>
      </c>
      <c r="G14134" s="6">
        <f>IF(AND($H14134="ATMOS DISTILLATION",ISNUMBER(SEARCH("VPS",$I14134))=FALSE,LEFT($I14134,6)&lt;&gt;"VACUUM"),"CDU",IF($H14134="FLUID CAT CRACKING","FCC",IF(OR($H14134="HYDROCRACKING",$H14134="RESID_HYDROCRACKING"),"Hydrocracker",IF($H14134="REFORMING","Reformer",""))))</f>
        <v/>
      </c>
    </row>
    <row r="14135" spans="6:7">
      <c r="F14135" s="6">
        <f>IF($M14135="PADD I","PADD 1",IF($M14135="PADD II","PADD 2",IF($M14135="PADD III","PADD 3",IF($M14135="PADD IV","PADD 4",IF($M14135="PADD V","PADD 5","")))))</f>
        <v/>
      </c>
      <c r="G14135" s="6">
        <f>IF(AND($H14135="ATMOS DISTILLATION",ISNUMBER(SEARCH("VPS",$I14135))=FALSE,LEFT($I14135,6)&lt;&gt;"VACUUM"),"CDU",IF($H14135="FLUID CAT CRACKING","FCC",IF(OR($H14135="HYDROCRACKING",$H14135="RESID_HYDROCRACKING"),"Hydrocracker",IF($H14135="REFORMING","Reformer",""))))</f>
        <v/>
      </c>
    </row>
    <row r="14136" spans="6:7">
      <c r="F14136" s="6">
        <f>IF($M14136="PADD I","PADD 1",IF($M14136="PADD II","PADD 2",IF($M14136="PADD III","PADD 3",IF($M14136="PADD IV","PADD 4",IF($M14136="PADD V","PADD 5","")))))</f>
        <v/>
      </c>
      <c r="G14136" s="6">
        <f>IF(AND($H14136="ATMOS DISTILLATION",ISNUMBER(SEARCH("VPS",$I14136))=FALSE,LEFT($I14136,6)&lt;&gt;"VACUUM"),"CDU",IF($H14136="FLUID CAT CRACKING","FCC",IF(OR($H14136="HYDROCRACKING",$H14136="RESID_HYDROCRACKING"),"Hydrocracker",IF($H14136="REFORMING","Reformer",""))))</f>
        <v/>
      </c>
    </row>
    <row r="14137" spans="6:7">
      <c r="F14137" s="6">
        <f>IF($M14137="PADD I","PADD 1",IF($M14137="PADD II","PADD 2",IF($M14137="PADD III","PADD 3",IF($M14137="PADD IV","PADD 4",IF($M14137="PADD V","PADD 5","")))))</f>
        <v/>
      </c>
      <c r="G14137" s="6">
        <f>IF(AND($H14137="ATMOS DISTILLATION",ISNUMBER(SEARCH("VPS",$I14137))=FALSE,LEFT($I14137,6)&lt;&gt;"VACUUM"),"CDU",IF($H14137="FLUID CAT CRACKING","FCC",IF(OR($H14137="HYDROCRACKING",$H14137="RESID_HYDROCRACKING"),"Hydrocracker",IF($H14137="REFORMING","Reformer",""))))</f>
        <v/>
      </c>
    </row>
    <row r="14138" spans="6:7">
      <c r="F14138" s="6">
        <f>IF($M14138="PADD I","PADD 1",IF($M14138="PADD II","PADD 2",IF($M14138="PADD III","PADD 3",IF($M14138="PADD IV","PADD 4",IF($M14138="PADD V","PADD 5","")))))</f>
        <v/>
      </c>
      <c r="G14138" s="6">
        <f>IF(AND($H14138="ATMOS DISTILLATION",ISNUMBER(SEARCH("VPS",$I14138))=FALSE,LEFT($I14138,6)&lt;&gt;"VACUUM"),"CDU",IF($H14138="FLUID CAT CRACKING","FCC",IF(OR($H14138="HYDROCRACKING",$H14138="RESID_HYDROCRACKING"),"Hydrocracker",IF($H14138="REFORMING","Reformer",""))))</f>
        <v/>
      </c>
    </row>
    <row r="14139" spans="6:7">
      <c r="F14139" s="6">
        <f>IF($M14139="PADD I","PADD 1",IF($M14139="PADD II","PADD 2",IF($M14139="PADD III","PADD 3",IF($M14139="PADD IV","PADD 4",IF($M14139="PADD V","PADD 5","")))))</f>
        <v/>
      </c>
      <c r="G14139" s="6">
        <f>IF(AND($H14139="ATMOS DISTILLATION",ISNUMBER(SEARCH("VPS",$I14139))=FALSE,LEFT($I14139,6)&lt;&gt;"VACUUM"),"CDU",IF($H14139="FLUID CAT CRACKING","FCC",IF(OR($H14139="HYDROCRACKING",$H14139="RESID_HYDROCRACKING"),"Hydrocracker",IF($H14139="REFORMING","Reformer",""))))</f>
        <v/>
      </c>
    </row>
    <row r="14140" spans="6:7">
      <c r="F14140" s="6">
        <f>IF($M14140="PADD I","PADD 1",IF($M14140="PADD II","PADD 2",IF($M14140="PADD III","PADD 3",IF($M14140="PADD IV","PADD 4",IF($M14140="PADD V","PADD 5","")))))</f>
        <v/>
      </c>
      <c r="G14140" s="6">
        <f>IF(AND($H14140="ATMOS DISTILLATION",ISNUMBER(SEARCH("VPS",$I14140))=FALSE,LEFT($I14140,6)&lt;&gt;"VACUUM"),"CDU",IF($H14140="FLUID CAT CRACKING","FCC",IF(OR($H14140="HYDROCRACKING",$H14140="RESID_HYDROCRACKING"),"Hydrocracker",IF($H14140="REFORMING","Reformer",""))))</f>
        <v/>
      </c>
    </row>
    <row r="14141" spans="6:7">
      <c r="F14141" s="6">
        <f>IF($M14141="PADD I","PADD 1",IF($M14141="PADD II","PADD 2",IF($M14141="PADD III","PADD 3",IF($M14141="PADD IV","PADD 4",IF($M14141="PADD V","PADD 5","")))))</f>
        <v/>
      </c>
      <c r="G14141" s="6">
        <f>IF(AND($H14141="ATMOS DISTILLATION",ISNUMBER(SEARCH("VPS",$I14141))=FALSE,LEFT($I14141,6)&lt;&gt;"VACUUM"),"CDU",IF($H14141="FLUID CAT CRACKING","FCC",IF(OR($H14141="HYDROCRACKING",$H14141="RESID_HYDROCRACKING"),"Hydrocracker",IF($H14141="REFORMING","Reformer",""))))</f>
        <v/>
      </c>
    </row>
    <row r="14142" spans="6:7">
      <c r="F14142" s="6">
        <f>IF($M14142="PADD I","PADD 1",IF($M14142="PADD II","PADD 2",IF($M14142="PADD III","PADD 3",IF($M14142="PADD IV","PADD 4",IF($M14142="PADD V","PADD 5","")))))</f>
        <v/>
      </c>
      <c r="G14142" s="6">
        <f>IF(AND($H14142="ATMOS DISTILLATION",ISNUMBER(SEARCH("VPS",$I14142))=FALSE,LEFT($I14142,6)&lt;&gt;"VACUUM"),"CDU",IF($H14142="FLUID CAT CRACKING","FCC",IF(OR($H14142="HYDROCRACKING",$H14142="RESID_HYDROCRACKING"),"Hydrocracker",IF($H14142="REFORMING","Reformer",""))))</f>
        <v/>
      </c>
    </row>
    <row r="14143" spans="6:7">
      <c r="F14143" s="6">
        <f>IF($M14143="PADD I","PADD 1",IF($M14143="PADD II","PADD 2",IF($M14143="PADD III","PADD 3",IF($M14143="PADD IV","PADD 4",IF($M14143="PADD V","PADD 5","")))))</f>
        <v/>
      </c>
      <c r="G14143" s="6">
        <f>IF(AND($H14143="ATMOS DISTILLATION",ISNUMBER(SEARCH("VPS",$I14143))=FALSE,LEFT($I14143,6)&lt;&gt;"VACUUM"),"CDU",IF($H14143="FLUID CAT CRACKING","FCC",IF(OR($H14143="HYDROCRACKING",$H14143="RESID_HYDROCRACKING"),"Hydrocracker",IF($H14143="REFORMING","Reformer",""))))</f>
        <v/>
      </c>
    </row>
    <row r="14144" spans="6:7">
      <c r="F14144" s="6">
        <f>IF($M14144="PADD I","PADD 1",IF($M14144="PADD II","PADD 2",IF($M14144="PADD III","PADD 3",IF($M14144="PADD IV","PADD 4",IF($M14144="PADD V","PADD 5","")))))</f>
        <v/>
      </c>
      <c r="G14144" s="6">
        <f>IF(AND($H14144="ATMOS DISTILLATION",ISNUMBER(SEARCH("VPS",$I14144))=FALSE,LEFT($I14144,6)&lt;&gt;"VACUUM"),"CDU",IF($H14144="FLUID CAT CRACKING","FCC",IF(OR($H14144="HYDROCRACKING",$H14144="RESID_HYDROCRACKING"),"Hydrocracker",IF($H14144="REFORMING","Reformer",""))))</f>
        <v/>
      </c>
    </row>
    <row r="14145" spans="6:7">
      <c r="F14145" s="6">
        <f>IF($M14145="PADD I","PADD 1",IF($M14145="PADD II","PADD 2",IF($M14145="PADD III","PADD 3",IF($M14145="PADD IV","PADD 4",IF($M14145="PADD V","PADD 5","")))))</f>
        <v/>
      </c>
      <c r="G14145" s="6">
        <f>IF(AND($H14145="ATMOS DISTILLATION",ISNUMBER(SEARCH("VPS",$I14145))=FALSE,LEFT($I14145,6)&lt;&gt;"VACUUM"),"CDU",IF($H14145="FLUID CAT CRACKING","FCC",IF(OR($H14145="HYDROCRACKING",$H14145="RESID_HYDROCRACKING"),"Hydrocracker",IF($H14145="REFORMING","Reformer",""))))</f>
        <v/>
      </c>
    </row>
    <row r="14146" spans="6:7">
      <c r="F14146" s="6">
        <f>IF($M14146="PADD I","PADD 1",IF($M14146="PADD II","PADD 2",IF($M14146="PADD III","PADD 3",IF($M14146="PADD IV","PADD 4",IF($M14146="PADD V","PADD 5","")))))</f>
        <v/>
      </c>
      <c r="G14146" s="6">
        <f>IF(AND($H14146="ATMOS DISTILLATION",ISNUMBER(SEARCH("VPS",$I14146))=FALSE,LEFT($I14146,6)&lt;&gt;"VACUUM"),"CDU",IF($H14146="FLUID CAT CRACKING","FCC",IF(OR($H14146="HYDROCRACKING",$H14146="RESID_HYDROCRACKING"),"Hydrocracker",IF($H14146="REFORMING","Reformer",""))))</f>
        <v/>
      </c>
    </row>
    <row r="14147" spans="6:7">
      <c r="F14147" s="6">
        <f>IF($M14147="PADD I","PADD 1",IF($M14147="PADD II","PADD 2",IF($M14147="PADD III","PADD 3",IF($M14147="PADD IV","PADD 4",IF($M14147="PADD V","PADD 5","")))))</f>
        <v/>
      </c>
      <c r="G14147" s="6">
        <f>IF(AND($H14147="ATMOS DISTILLATION",ISNUMBER(SEARCH("VPS",$I14147))=FALSE,LEFT($I14147,6)&lt;&gt;"VACUUM"),"CDU",IF($H14147="FLUID CAT CRACKING","FCC",IF(OR($H14147="HYDROCRACKING",$H14147="RESID_HYDROCRACKING"),"Hydrocracker",IF($H14147="REFORMING","Reformer",""))))</f>
        <v/>
      </c>
    </row>
    <row r="14148" spans="6:7">
      <c r="F14148" s="6">
        <f>IF($M14148="PADD I","PADD 1",IF($M14148="PADD II","PADD 2",IF($M14148="PADD III","PADD 3",IF($M14148="PADD IV","PADD 4",IF($M14148="PADD V","PADD 5","")))))</f>
        <v/>
      </c>
      <c r="G14148" s="6">
        <f>IF(AND($H14148="ATMOS DISTILLATION",ISNUMBER(SEARCH("VPS",$I14148))=FALSE,LEFT($I14148,6)&lt;&gt;"VACUUM"),"CDU",IF($H14148="FLUID CAT CRACKING","FCC",IF(OR($H14148="HYDROCRACKING",$H14148="RESID_HYDROCRACKING"),"Hydrocracker",IF($H14148="REFORMING","Reformer",""))))</f>
        <v/>
      </c>
    </row>
    <row r="14149" spans="6:7">
      <c r="F14149" s="6">
        <f>IF($M14149="PADD I","PADD 1",IF($M14149="PADD II","PADD 2",IF($M14149="PADD III","PADD 3",IF($M14149="PADD IV","PADD 4",IF($M14149="PADD V","PADD 5","")))))</f>
        <v/>
      </c>
      <c r="G14149" s="6">
        <f>IF(AND($H14149="ATMOS DISTILLATION",ISNUMBER(SEARCH("VPS",$I14149))=FALSE,LEFT($I14149,6)&lt;&gt;"VACUUM"),"CDU",IF($H14149="FLUID CAT CRACKING","FCC",IF(OR($H14149="HYDROCRACKING",$H14149="RESID_HYDROCRACKING"),"Hydrocracker",IF($H14149="REFORMING","Reformer",""))))</f>
        <v/>
      </c>
    </row>
    <row r="14150" spans="6:7">
      <c r="F14150" s="6">
        <f>IF($M14150="PADD I","PADD 1",IF($M14150="PADD II","PADD 2",IF($M14150="PADD III","PADD 3",IF($M14150="PADD IV","PADD 4",IF($M14150="PADD V","PADD 5","")))))</f>
        <v/>
      </c>
      <c r="G14150" s="6">
        <f>IF(AND($H14150="ATMOS DISTILLATION",ISNUMBER(SEARCH("VPS",$I14150))=FALSE,LEFT($I14150,6)&lt;&gt;"VACUUM"),"CDU",IF($H14150="FLUID CAT CRACKING","FCC",IF(OR($H14150="HYDROCRACKING",$H14150="RESID_HYDROCRACKING"),"Hydrocracker",IF($H14150="REFORMING","Reformer",""))))</f>
        <v/>
      </c>
    </row>
    <row r="14151" spans="6:7">
      <c r="F14151" s="6">
        <f>IF($M14151="PADD I","PADD 1",IF($M14151="PADD II","PADD 2",IF($M14151="PADD III","PADD 3",IF($M14151="PADD IV","PADD 4",IF($M14151="PADD V","PADD 5","")))))</f>
        <v/>
      </c>
      <c r="G14151" s="6">
        <f>IF(AND($H14151="ATMOS DISTILLATION",ISNUMBER(SEARCH("VPS",$I14151))=FALSE,LEFT($I14151,6)&lt;&gt;"VACUUM"),"CDU",IF($H14151="FLUID CAT CRACKING","FCC",IF(OR($H14151="HYDROCRACKING",$H14151="RESID_HYDROCRACKING"),"Hydrocracker",IF($H14151="REFORMING","Reformer",""))))</f>
        <v/>
      </c>
    </row>
    <row r="14152" spans="6:7">
      <c r="F14152" s="6">
        <f>IF($M14152="PADD I","PADD 1",IF($M14152="PADD II","PADD 2",IF($M14152="PADD III","PADD 3",IF($M14152="PADD IV","PADD 4",IF($M14152="PADD V","PADD 5","")))))</f>
        <v/>
      </c>
      <c r="G14152" s="6">
        <f>IF(AND($H14152="ATMOS DISTILLATION",ISNUMBER(SEARCH("VPS",$I14152))=FALSE,LEFT($I14152,6)&lt;&gt;"VACUUM"),"CDU",IF($H14152="FLUID CAT CRACKING","FCC",IF(OR($H14152="HYDROCRACKING",$H14152="RESID_HYDROCRACKING"),"Hydrocracker",IF($H14152="REFORMING","Reformer",""))))</f>
        <v/>
      </c>
    </row>
    <row r="14153" spans="6:7">
      <c r="F14153" s="6">
        <f>IF($M14153="PADD I","PADD 1",IF($M14153="PADD II","PADD 2",IF($M14153="PADD III","PADD 3",IF($M14153="PADD IV","PADD 4",IF($M14153="PADD V","PADD 5","")))))</f>
        <v/>
      </c>
      <c r="G14153" s="6">
        <f>IF(AND($H14153="ATMOS DISTILLATION",ISNUMBER(SEARCH("VPS",$I14153))=FALSE,LEFT($I14153,6)&lt;&gt;"VACUUM"),"CDU",IF($H14153="FLUID CAT CRACKING","FCC",IF(OR($H14153="HYDROCRACKING",$H14153="RESID_HYDROCRACKING"),"Hydrocracker",IF($H14153="REFORMING","Reformer",""))))</f>
        <v/>
      </c>
    </row>
    <row r="14154" spans="6:7">
      <c r="F14154" s="6">
        <f>IF($M14154="PADD I","PADD 1",IF($M14154="PADD II","PADD 2",IF($M14154="PADD III","PADD 3",IF($M14154="PADD IV","PADD 4",IF($M14154="PADD V","PADD 5","")))))</f>
        <v/>
      </c>
      <c r="G14154" s="6">
        <f>IF(AND($H14154="ATMOS DISTILLATION",ISNUMBER(SEARCH("VPS",$I14154))=FALSE,LEFT($I14154,6)&lt;&gt;"VACUUM"),"CDU",IF($H14154="FLUID CAT CRACKING","FCC",IF(OR($H14154="HYDROCRACKING",$H14154="RESID_HYDROCRACKING"),"Hydrocracker",IF($H14154="REFORMING","Reformer",""))))</f>
        <v/>
      </c>
    </row>
    <row r="14155" spans="6:7">
      <c r="F14155" s="6">
        <f>IF($M14155="PADD I","PADD 1",IF($M14155="PADD II","PADD 2",IF($M14155="PADD III","PADD 3",IF($M14155="PADD IV","PADD 4",IF($M14155="PADD V","PADD 5","")))))</f>
        <v/>
      </c>
      <c r="G14155" s="6">
        <f>IF(AND($H14155="ATMOS DISTILLATION",ISNUMBER(SEARCH("VPS",$I14155))=FALSE,LEFT($I14155,6)&lt;&gt;"VACUUM"),"CDU",IF($H14155="FLUID CAT CRACKING","FCC",IF(OR($H14155="HYDROCRACKING",$H14155="RESID_HYDROCRACKING"),"Hydrocracker",IF($H14155="REFORMING","Reformer",""))))</f>
        <v/>
      </c>
    </row>
    <row r="14156" spans="6:7">
      <c r="F14156" s="6">
        <f>IF($M14156="PADD I","PADD 1",IF($M14156="PADD II","PADD 2",IF($M14156="PADD III","PADD 3",IF($M14156="PADD IV","PADD 4",IF($M14156="PADD V","PADD 5","")))))</f>
        <v/>
      </c>
      <c r="G14156" s="6">
        <f>IF(AND($H14156="ATMOS DISTILLATION",ISNUMBER(SEARCH("VPS",$I14156))=FALSE,LEFT($I14156,6)&lt;&gt;"VACUUM"),"CDU",IF($H14156="FLUID CAT CRACKING","FCC",IF(OR($H14156="HYDROCRACKING",$H14156="RESID_HYDROCRACKING"),"Hydrocracker",IF($H14156="REFORMING","Reformer",""))))</f>
        <v/>
      </c>
    </row>
    <row r="14157" spans="6:7">
      <c r="F14157" s="6">
        <f>IF($M14157="PADD I","PADD 1",IF($M14157="PADD II","PADD 2",IF($M14157="PADD III","PADD 3",IF($M14157="PADD IV","PADD 4",IF($M14157="PADD V","PADD 5","")))))</f>
        <v/>
      </c>
      <c r="G14157" s="6">
        <f>IF(AND($H14157="ATMOS DISTILLATION",ISNUMBER(SEARCH("VPS",$I14157))=FALSE,LEFT($I14157,6)&lt;&gt;"VACUUM"),"CDU",IF($H14157="FLUID CAT CRACKING","FCC",IF(OR($H14157="HYDROCRACKING",$H14157="RESID_HYDROCRACKING"),"Hydrocracker",IF($H14157="REFORMING","Reformer",""))))</f>
        <v/>
      </c>
    </row>
    <row r="14158" spans="6:7">
      <c r="F14158" s="6">
        <f>IF($M14158="PADD I","PADD 1",IF($M14158="PADD II","PADD 2",IF($M14158="PADD III","PADD 3",IF($M14158="PADD IV","PADD 4",IF($M14158="PADD V","PADD 5","")))))</f>
        <v/>
      </c>
      <c r="G14158" s="6">
        <f>IF(AND($H14158="ATMOS DISTILLATION",ISNUMBER(SEARCH("VPS",$I14158))=FALSE,LEFT($I14158,6)&lt;&gt;"VACUUM"),"CDU",IF($H14158="FLUID CAT CRACKING","FCC",IF(OR($H14158="HYDROCRACKING",$H14158="RESID_HYDROCRACKING"),"Hydrocracker",IF($H14158="REFORMING","Reformer",""))))</f>
        <v/>
      </c>
    </row>
    <row r="14159" spans="6:7">
      <c r="F14159" s="6">
        <f>IF($M14159="PADD I","PADD 1",IF($M14159="PADD II","PADD 2",IF($M14159="PADD III","PADD 3",IF($M14159="PADD IV","PADD 4",IF($M14159="PADD V","PADD 5","")))))</f>
        <v/>
      </c>
      <c r="G14159" s="6">
        <f>IF(AND($H14159="ATMOS DISTILLATION",ISNUMBER(SEARCH("VPS",$I14159))=FALSE,LEFT($I14159,6)&lt;&gt;"VACUUM"),"CDU",IF($H14159="FLUID CAT CRACKING","FCC",IF(OR($H14159="HYDROCRACKING",$H14159="RESID_HYDROCRACKING"),"Hydrocracker",IF($H14159="REFORMING","Reformer",""))))</f>
        <v/>
      </c>
    </row>
    <row r="14160" spans="6:7">
      <c r="F14160" s="6">
        <f>IF($M14160="PADD I","PADD 1",IF($M14160="PADD II","PADD 2",IF($M14160="PADD III","PADD 3",IF($M14160="PADD IV","PADD 4",IF($M14160="PADD V","PADD 5","")))))</f>
        <v/>
      </c>
      <c r="G14160" s="6">
        <f>IF(AND($H14160="ATMOS DISTILLATION",ISNUMBER(SEARCH("VPS",$I14160))=FALSE,LEFT($I14160,6)&lt;&gt;"VACUUM"),"CDU",IF($H14160="FLUID CAT CRACKING","FCC",IF(OR($H14160="HYDROCRACKING",$H14160="RESID_HYDROCRACKING"),"Hydrocracker",IF($H14160="REFORMING","Reformer",""))))</f>
        <v/>
      </c>
    </row>
    <row r="14161" spans="6:7">
      <c r="F14161" s="6">
        <f>IF($M14161="PADD I","PADD 1",IF($M14161="PADD II","PADD 2",IF($M14161="PADD III","PADD 3",IF($M14161="PADD IV","PADD 4",IF($M14161="PADD V","PADD 5","")))))</f>
        <v/>
      </c>
      <c r="G14161" s="6">
        <f>IF(AND($H14161="ATMOS DISTILLATION",ISNUMBER(SEARCH("VPS",$I14161))=FALSE,LEFT($I14161,6)&lt;&gt;"VACUUM"),"CDU",IF($H14161="FLUID CAT CRACKING","FCC",IF(OR($H14161="HYDROCRACKING",$H14161="RESID_HYDROCRACKING"),"Hydrocracker",IF($H14161="REFORMING","Reformer",""))))</f>
        <v/>
      </c>
    </row>
    <row r="14162" spans="6:7">
      <c r="F14162" s="6">
        <f>IF($M14162="PADD I","PADD 1",IF($M14162="PADD II","PADD 2",IF($M14162="PADD III","PADD 3",IF($M14162="PADD IV","PADD 4",IF($M14162="PADD V","PADD 5","")))))</f>
        <v/>
      </c>
      <c r="G14162" s="6">
        <f>IF(AND($H14162="ATMOS DISTILLATION",ISNUMBER(SEARCH("VPS",$I14162))=FALSE,LEFT($I14162,6)&lt;&gt;"VACUUM"),"CDU",IF($H14162="FLUID CAT CRACKING","FCC",IF(OR($H14162="HYDROCRACKING",$H14162="RESID_HYDROCRACKING"),"Hydrocracker",IF($H14162="REFORMING","Reformer",""))))</f>
        <v/>
      </c>
    </row>
    <row r="14163" spans="6:7">
      <c r="F14163" s="6">
        <f>IF($M14163="PADD I","PADD 1",IF($M14163="PADD II","PADD 2",IF($M14163="PADD III","PADD 3",IF($M14163="PADD IV","PADD 4",IF($M14163="PADD V","PADD 5","")))))</f>
        <v/>
      </c>
      <c r="G14163" s="6">
        <f>IF(AND($H14163="ATMOS DISTILLATION",ISNUMBER(SEARCH("VPS",$I14163))=FALSE,LEFT($I14163,6)&lt;&gt;"VACUUM"),"CDU",IF($H14163="FLUID CAT CRACKING","FCC",IF(OR($H14163="HYDROCRACKING",$H14163="RESID_HYDROCRACKING"),"Hydrocracker",IF($H14163="REFORMING","Reformer",""))))</f>
        <v/>
      </c>
    </row>
    <row r="14164" spans="6:7">
      <c r="F14164" s="6">
        <f>IF($M14164="PADD I","PADD 1",IF($M14164="PADD II","PADD 2",IF($M14164="PADD III","PADD 3",IF($M14164="PADD IV","PADD 4",IF($M14164="PADD V","PADD 5","")))))</f>
        <v/>
      </c>
      <c r="G14164" s="6">
        <f>IF(AND($H14164="ATMOS DISTILLATION",ISNUMBER(SEARCH("VPS",$I14164))=FALSE,LEFT($I14164,6)&lt;&gt;"VACUUM"),"CDU",IF($H14164="FLUID CAT CRACKING","FCC",IF(OR($H14164="HYDROCRACKING",$H14164="RESID_HYDROCRACKING"),"Hydrocracker",IF($H14164="REFORMING","Reformer",""))))</f>
        <v/>
      </c>
    </row>
    <row r="14165" spans="6:7">
      <c r="F14165" s="6">
        <f>IF($M14165="PADD I","PADD 1",IF($M14165="PADD II","PADD 2",IF($M14165="PADD III","PADD 3",IF($M14165="PADD IV","PADD 4",IF($M14165="PADD V","PADD 5","")))))</f>
        <v/>
      </c>
      <c r="G14165" s="6">
        <f>IF(AND($H14165="ATMOS DISTILLATION",ISNUMBER(SEARCH("VPS",$I14165))=FALSE,LEFT($I14165,6)&lt;&gt;"VACUUM"),"CDU",IF($H14165="FLUID CAT CRACKING","FCC",IF(OR($H14165="HYDROCRACKING",$H14165="RESID_HYDROCRACKING"),"Hydrocracker",IF($H14165="REFORMING","Reformer",""))))</f>
        <v/>
      </c>
    </row>
    <row r="14166" spans="6:7">
      <c r="F14166" s="6">
        <f>IF($M14166="PADD I","PADD 1",IF($M14166="PADD II","PADD 2",IF($M14166="PADD III","PADD 3",IF($M14166="PADD IV","PADD 4",IF($M14166="PADD V","PADD 5","")))))</f>
        <v/>
      </c>
      <c r="G14166" s="6">
        <f>IF(AND($H14166="ATMOS DISTILLATION",ISNUMBER(SEARCH("VPS",$I14166))=FALSE,LEFT($I14166,6)&lt;&gt;"VACUUM"),"CDU",IF($H14166="FLUID CAT CRACKING","FCC",IF(OR($H14166="HYDROCRACKING",$H14166="RESID_HYDROCRACKING"),"Hydrocracker",IF($H14166="REFORMING","Reformer",""))))</f>
        <v/>
      </c>
    </row>
    <row r="14167" spans="6:7">
      <c r="F14167" s="6">
        <f>IF($M14167="PADD I","PADD 1",IF($M14167="PADD II","PADD 2",IF($M14167="PADD III","PADD 3",IF($M14167="PADD IV","PADD 4",IF($M14167="PADD V","PADD 5","")))))</f>
        <v/>
      </c>
      <c r="G14167" s="6">
        <f>IF(AND($H14167="ATMOS DISTILLATION",ISNUMBER(SEARCH("VPS",$I14167))=FALSE,LEFT($I14167,6)&lt;&gt;"VACUUM"),"CDU",IF($H14167="FLUID CAT CRACKING","FCC",IF(OR($H14167="HYDROCRACKING",$H14167="RESID_HYDROCRACKING"),"Hydrocracker",IF($H14167="REFORMING","Reformer",""))))</f>
        <v/>
      </c>
    </row>
    <row r="14168" spans="6:7">
      <c r="F14168" s="6">
        <f>IF($M14168="PADD I","PADD 1",IF($M14168="PADD II","PADD 2",IF($M14168="PADD III","PADD 3",IF($M14168="PADD IV","PADD 4",IF($M14168="PADD V","PADD 5","")))))</f>
        <v/>
      </c>
      <c r="G14168" s="6">
        <f>IF(AND($H14168="ATMOS DISTILLATION",ISNUMBER(SEARCH("VPS",$I14168))=FALSE,LEFT($I14168,6)&lt;&gt;"VACUUM"),"CDU",IF($H14168="FLUID CAT CRACKING","FCC",IF(OR($H14168="HYDROCRACKING",$H14168="RESID_HYDROCRACKING"),"Hydrocracker",IF($H14168="REFORMING","Reformer",""))))</f>
        <v/>
      </c>
    </row>
    <row r="14169" spans="6:7">
      <c r="F14169" s="6">
        <f>IF($M14169="PADD I","PADD 1",IF($M14169="PADD II","PADD 2",IF($M14169="PADD III","PADD 3",IF($M14169="PADD IV","PADD 4",IF($M14169="PADD V","PADD 5","")))))</f>
        <v/>
      </c>
      <c r="G14169" s="6">
        <f>IF(AND($H14169="ATMOS DISTILLATION",ISNUMBER(SEARCH("VPS",$I14169))=FALSE,LEFT($I14169,6)&lt;&gt;"VACUUM"),"CDU",IF($H14169="FLUID CAT CRACKING","FCC",IF(OR($H14169="HYDROCRACKING",$H14169="RESID_HYDROCRACKING"),"Hydrocracker",IF($H14169="REFORMING","Reformer",""))))</f>
        <v/>
      </c>
    </row>
    <row r="14170" spans="6:7">
      <c r="F14170" s="6">
        <f>IF($M14170="PADD I","PADD 1",IF($M14170="PADD II","PADD 2",IF($M14170="PADD III","PADD 3",IF($M14170="PADD IV","PADD 4",IF($M14170="PADD V","PADD 5","")))))</f>
        <v/>
      </c>
      <c r="G14170" s="6">
        <f>IF(AND($H14170="ATMOS DISTILLATION",ISNUMBER(SEARCH("VPS",$I14170))=FALSE,LEFT($I14170,6)&lt;&gt;"VACUUM"),"CDU",IF($H14170="FLUID CAT CRACKING","FCC",IF(OR($H14170="HYDROCRACKING",$H14170="RESID_HYDROCRACKING"),"Hydrocracker",IF($H14170="REFORMING","Reformer",""))))</f>
        <v/>
      </c>
    </row>
    <row r="14171" spans="6:7">
      <c r="F14171" s="6">
        <f>IF($M14171="PADD I","PADD 1",IF($M14171="PADD II","PADD 2",IF($M14171="PADD III","PADD 3",IF($M14171="PADD IV","PADD 4",IF($M14171="PADD V","PADD 5","")))))</f>
        <v/>
      </c>
      <c r="G14171" s="6">
        <f>IF(AND($H14171="ATMOS DISTILLATION",ISNUMBER(SEARCH("VPS",$I14171))=FALSE,LEFT($I14171,6)&lt;&gt;"VACUUM"),"CDU",IF($H14171="FLUID CAT CRACKING","FCC",IF(OR($H14171="HYDROCRACKING",$H14171="RESID_HYDROCRACKING"),"Hydrocracker",IF($H14171="REFORMING","Reformer",""))))</f>
        <v/>
      </c>
    </row>
    <row r="14172" spans="6:7">
      <c r="F14172" s="6">
        <f>IF($M14172="PADD I","PADD 1",IF($M14172="PADD II","PADD 2",IF($M14172="PADD III","PADD 3",IF($M14172="PADD IV","PADD 4",IF($M14172="PADD V","PADD 5","")))))</f>
        <v/>
      </c>
      <c r="G14172" s="6">
        <f>IF(AND($H14172="ATMOS DISTILLATION",ISNUMBER(SEARCH("VPS",$I14172))=FALSE,LEFT($I14172,6)&lt;&gt;"VACUUM"),"CDU",IF($H14172="FLUID CAT CRACKING","FCC",IF(OR($H14172="HYDROCRACKING",$H14172="RESID_HYDROCRACKING"),"Hydrocracker",IF($H14172="REFORMING","Reformer",""))))</f>
        <v/>
      </c>
    </row>
    <row r="14173" spans="6:7">
      <c r="F14173" s="6">
        <f>IF($M14173="PADD I","PADD 1",IF($M14173="PADD II","PADD 2",IF($M14173="PADD III","PADD 3",IF($M14173="PADD IV","PADD 4",IF($M14173="PADD V","PADD 5","")))))</f>
        <v/>
      </c>
      <c r="G14173" s="6">
        <f>IF(AND($H14173="ATMOS DISTILLATION",ISNUMBER(SEARCH("VPS",$I14173))=FALSE,LEFT($I14173,6)&lt;&gt;"VACUUM"),"CDU",IF($H14173="FLUID CAT CRACKING","FCC",IF(OR($H14173="HYDROCRACKING",$H14173="RESID_HYDROCRACKING"),"Hydrocracker",IF($H14173="REFORMING","Reformer",""))))</f>
        <v/>
      </c>
    </row>
    <row r="14174" spans="6:7">
      <c r="F14174" s="6">
        <f>IF($M14174="PADD I","PADD 1",IF($M14174="PADD II","PADD 2",IF($M14174="PADD III","PADD 3",IF($M14174="PADD IV","PADD 4",IF($M14174="PADD V","PADD 5","")))))</f>
        <v/>
      </c>
      <c r="G14174" s="6">
        <f>IF(AND($H14174="ATMOS DISTILLATION",ISNUMBER(SEARCH("VPS",$I14174))=FALSE,LEFT($I14174,6)&lt;&gt;"VACUUM"),"CDU",IF($H14174="FLUID CAT CRACKING","FCC",IF(OR($H14174="HYDROCRACKING",$H14174="RESID_HYDROCRACKING"),"Hydrocracker",IF($H14174="REFORMING","Reformer",""))))</f>
        <v/>
      </c>
    </row>
    <row r="14175" spans="6:7">
      <c r="F14175" s="6">
        <f>IF($M14175="PADD I","PADD 1",IF($M14175="PADD II","PADD 2",IF($M14175="PADD III","PADD 3",IF($M14175="PADD IV","PADD 4",IF($M14175="PADD V","PADD 5","")))))</f>
        <v/>
      </c>
      <c r="G14175" s="6">
        <f>IF(AND($H14175="ATMOS DISTILLATION",ISNUMBER(SEARCH("VPS",$I14175))=FALSE,LEFT($I14175,6)&lt;&gt;"VACUUM"),"CDU",IF($H14175="FLUID CAT CRACKING","FCC",IF(OR($H14175="HYDROCRACKING",$H14175="RESID_HYDROCRACKING"),"Hydrocracker",IF($H14175="REFORMING","Reformer",""))))</f>
        <v/>
      </c>
    </row>
    <row r="14176" spans="6:7">
      <c r="F14176" s="6">
        <f>IF($M14176="PADD I","PADD 1",IF($M14176="PADD II","PADD 2",IF($M14176="PADD III","PADD 3",IF($M14176="PADD IV","PADD 4",IF($M14176="PADD V","PADD 5","")))))</f>
        <v/>
      </c>
      <c r="G14176" s="6">
        <f>IF(AND($H14176="ATMOS DISTILLATION",ISNUMBER(SEARCH("VPS",$I14176))=FALSE,LEFT($I14176,6)&lt;&gt;"VACUUM"),"CDU",IF($H14176="FLUID CAT CRACKING","FCC",IF(OR($H14176="HYDROCRACKING",$H14176="RESID_HYDROCRACKING"),"Hydrocracker",IF($H14176="REFORMING","Reformer",""))))</f>
        <v/>
      </c>
    </row>
    <row r="14177" spans="6:7">
      <c r="F14177" s="6">
        <f>IF($M14177="PADD I","PADD 1",IF($M14177="PADD II","PADD 2",IF($M14177="PADD III","PADD 3",IF($M14177="PADD IV","PADD 4",IF($M14177="PADD V","PADD 5","")))))</f>
        <v/>
      </c>
      <c r="G14177" s="6">
        <f>IF(AND($H14177="ATMOS DISTILLATION",ISNUMBER(SEARCH("VPS",$I14177))=FALSE,LEFT($I14177,6)&lt;&gt;"VACUUM"),"CDU",IF($H14177="FLUID CAT CRACKING","FCC",IF(OR($H14177="HYDROCRACKING",$H14177="RESID_HYDROCRACKING"),"Hydrocracker",IF($H14177="REFORMING","Reformer",""))))</f>
        <v/>
      </c>
    </row>
    <row r="14178" spans="6:7">
      <c r="F14178" s="6">
        <f>IF($M14178="PADD I","PADD 1",IF($M14178="PADD II","PADD 2",IF($M14178="PADD III","PADD 3",IF($M14178="PADD IV","PADD 4",IF($M14178="PADD V","PADD 5","")))))</f>
        <v/>
      </c>
      <c r="G14178" s="6">
        <f>IF(AND($H14178="ATMOS DISTILLATION",ISNUMBER(SEARCH("VPS",$I14178))=FALSE,LEFT($I14178,6)&lt;&gt;"VACUUM"),"CDU",IF($H14178="FLUID CAT CRACKING","FCC",IF(OR($H14178="HYDROCRACKING",$H14178="RESID_HYDROCRACKING"),"Hydrocracker",IF($H14178="REFORMING","Reformer",""))))</f>
        <v/>
      </c>
    </row>
    <row r="14179" spans="6:7">
      <c r="F14179" s="6">
        <f>IF($M14179="PADD I","PADD 1",IF($M14179="PADD II","PADD 2",IF($M14179="PADD III","PADD 3",IF($M14179="PADD IV","PADD 4",IF($M14179="PADD V","PADD 5","")))))</f>
        <v/>
      </c>
      <c r="G14179" s="6">
        <f>IF(AND($H14179="ATMOS DISTILLATION",ISNUMBER(SEARCH("VPS",$I14179))=FALSE,LEFT($I14179,6)&lt;&gt;"VACUUM"),"CDU",IF($H14179="FLUID CAT CRACKING","FCC",IF(OR($H14179="HYDROCRACKING",$H14179="RESID_HYDROCRACKING"),"Hydrocracker",IF($H14179="REFORMING","Reformer",""))))</f>
        <v/>
      </c>
    </row>
    <row r="14180" spans="6:7">
      <c r="F14180" s="6">
        <f>IF($M14180="PADD I","PADD 1",IF($M14180="PADD II","PADD 2",IF($M14180="PADD III","PADD 3",IF($M14180="PADD IV","PADD 4",IF($M14180="PADD V","PADD 5","")))))</f>
        <v/>
      </c>
      <c r="G14180" s="6">
        <f>IF(AND($H14180="ATMOS DISTILLATION",ISNUMBER(SEARCH("VPS",$I14180))=FALSE,LEFT($I14180,6)&lt;&gt;"VACUUM"),"CDU",IF($H14180="FLUID CAT CRACKING","FCC",IF(OR($H14180="HYDROCRACKING",$H14180="RESID_HYDROCRACKING"),"Hydrocracker",IF($H14180="REFORMING","Reformer",""))))</f>
        <v/>
      </c>
    </row>
    <row r="14181" spans="6:7">
      <c r="F14181" s="6">
        <f>IF($M14181="PADD I","PADD 1",IF($M14181="PADD II","PADD 2",IF($M14181="PADD III","PADD 3",IF($M14181="PADD IV","PADD 4",IF($M14181="PADD V","PADD 5","")))))</f>
        <v/>
      </c>
      <c r="G14181" s="6">
        <f>IF(AND($H14181="ATMOS DISTILLATION",ISNUMBER(SEARCH("VPS",$I14181))=FALSE,LEFT($I14181,6)&lt;&gt;"VACUUM"),"CDU",IF($H14181="FLUID CAT CRACKING","FCC",IF(OR($H14181="HYDROCRACKING",$H14181="RESID_HYDROCRACKING"),"Hydrocracker",IF($H14181="REFORMING","Reformer",""))))</f>
        <v/>
      </c>
    </row>
    <row r="14182" spans="6:7">
      <c r="F14182" s="6">
        <f>IF($M14182="PADD I","PADD 1",IF($M14182="PADD II","PADD 2",IF($M14182="PADD III","PADD 3",IF($M14182="PADD IV","PADD 4",IF($M14182="PADD V","PADD 5","")))))</f>
        <v/>
      </c>
      <c r="G14182" s="6">
        <f>IF(AND($H14182="ATMOS DISTILLATION",ISNUMBER(SEARCH("VPS",$I14182))=FALSE,LEFT($I14182,6)&lt;&gt;"VACUUM"),"CDU",IF($H14182="FLUID CAT CRACKING","FCC",IF(OR($H14182="HYDROCRACKING",$H14182="RESID_HYDROCRACKING"),"Hydrocracker",IF($H14182="REFORMING","Reformer",""))))</f>
        <v/>
      </c>
    </row>
    <row r="14183" spans="6:7">
      <c r="F14183" s="6">
        <f>IF($M14183="PADD I","PADD 1",IF($M14183="PADD II","PADD 2",IF($M14183="PADD III","PADD 3",IF($M14183="PADD IV","PADD 4",IF($M14183="PADD V","PADD 5","")))))</f>
        <v/>
      </c>
      <c r="G14183" s="6">
        <f>IF(AND($H14183="ATMOS DISTILLATION",ISNUMBER(SEARCH("VPS",$I14183))=FALSE,LEFT($I14183,6)&lt;&gt;"VACUUM"),"CDU",IF($H14183="FLUID CAT CRACKING","FCC",IF(OR($H14183="HYDROCRACKING",$H14183="RESID_HYDROCRACKING"),"Hydrocracker",IF($H14183="REFORMING","Reformer",""))))</f>
        <v/>
      </c>
    </row>
    <row r="14184" spans="6:7">
      <c r="F14184" s="6">
        <f>IF($M14184="PADD I","PADD 1",IF($M14184="PADD II","PADD 2",IF($M14184="PADD III","PADD 3",IF($M14184="PADD IV","PADD 4",IF($M14184="PADD V","PADD 5","")))))</f>
        <v/>
      </c>
      <c r="G14184" s="6">
        <f>IF(AND($H14184="ATMOS DISTILLATION",ISNUMBER(SEARCH("VPS",$I14184))=FALSE,LEFT($I14184,6)&lt;&gt;"VACUUM"),"CDU",IF($H14184="FLUID CAT CRACKING","FCC",IF(OR($H14184="HYDROCRACKING",$H14184="RESID_HYDROCRACKING"),"Hydrocracker",IF($H14184="REFORMING","Reformer",""))))</f>
        <v/>
      </c>
    </row>
    <row r="14185" spans="6:7">
      <c r="F14185" s="6">
        <f>IF($M14185="PADD I","PADD 1",IF($M14185="PADD II","PADD 2",IF($M14185="PADD III","PADD 3",IF($M14185="PADD IV","PADD 4",IF($M14185="PADD V","PADD 5","")))))</f>
        <v/>
      </c>
      <c r="G14185" s="6">
        <f>IF(AND($H14185="ATMOS DISTILLATION",ISNUMBER(SEARCH("VPS",$I14185))=FALSE,LEFT($I14185,6)&lt;&gt;"VACUUM"),"CDU",IF($H14185="FLUID CAT CRACKING","FCC",IF(OR($H14185="HYDROCRACKING",$H14185="RESID_HYDROCRACKING"),"Hydrocracker",IF($H14185="REFORMING","Reformer",""))))</f>
        <v/>
      </c>
    </row>
    <row r="14186" spans="6:7">
      <c r="F14186" s="6">
        <f>IF($M14186="PADD I","PADD 1",IF($M14186="PADD II","PADD 2",IF($M14186="PADD III","PADD 3",IF($M14186="PADD IV","PADD 4",IF($M14186="PADD V","PADD 5","")))))</f>
        <v/>
      </c>
      <c r="G14186" s="6">
        <f>IF(AND($H14186="ATMOS DISTILLATION",ISNUMBER(SEARCH("VPS",$I14186))=FALSE,LEFT($I14186,6)&lt;&gt;"VACUUM"),"CDU",IF($H14186="FLUID CAT CRACKING","FCC",IF(OR($H14186="HYDROCRACKING",$H14186="RESID_HYDROCRACKING"),"Hydrocracker",IF($H14186="REFORMING","Reformer",""))))</f>
        <v/>
      </c>
    </row>
    <row r="14187" spans="6:7">
      <c r="F14187" s="6">
        <f>IF($M14187="PADD I","PADD 1",IF($M14187="PADD II","PADD 2",IF($M14187="PADD III","PADD 3",IF($M14187="PADD IV","PADD 4",IF($M14187="PADD V","PADD 5","")))))</f>
        <v/>
      </c>
      <c r="G14187" s="6">
        <f>IF(AND($H14187="ATMOS DISTILLATION",ISNUMBER(SEARCH("VPS",$I14187))=FALSE,LEFT($I14187,6)&lt;&gt;"VACUUM"),"CDU",IF($H14187="FLUID CAT CRACKING","FCC",IF(OR($H14187="HYDROCRACKING",$H14187="RESID_HYDROCRACKING"),"Hydrocracker",IF($H14187="REFORMING","Reformer",""))))</f>
        <v/>
      </c>
    </row>
    <row r="14188" spans="6:7">
      <c r="F14188" s="6">
        <f>IF($M14188="PADD I","PADD 1",IF($M14188="PADD II","PADD 2",IF($M14188="PADD III","PADD 3",IF($M14188="PADD IV","PADD 4",IF($M14188="PADD V","PADD 5","")))))</f>
        <v/>
      </c>
      <c r="G14188" s="6">
        <f>IF(AND($H14188="ATMOS DISTILLATION",ISNUMBER(SEARCH("VPS",$I14188))=FALSE,LEFT($I14188,6)&lt;&gt;"VACUUM"),"CDU",IF($H14188="FLUID CAT CRACKING","FCC",IF(OR($H14188="HYDROCRACKING",$H14188="RESID_HYDROCRACKING"),"Hydrocracker",IF($H14188="REFORMING","Reformer",""))))</f>
        <v/>
      </c>
    </row>
    <row r="14189" spans="6:7">
      <c r="F14189" s="6">
        <f>IF($M14189="PADD I","PADD 1",IF($M14189="PADD II","PADD 2",IF($M14189="PADD III","PADD 3",IF($M14189="PADD IV","PADD 4",IF($M14189="PADD V","PADD 5","")))))</f>
        <v/>
      </c>
      <c r="G14189" s="6">
        <f>IF(AND($H14189="ATMOS DISTILLATION",ISNUMBER(SEARCH("VPS",$I14189))=FALSE,LEFT($I14189,6)&lt;&gt;"VACUUM"),"CDU",IF($H14189="FLUID CAT CRACKING","FCC",IF(OR($H14189="HYDROCRACKING",$H14189="RESID_HYDROCRACKING"),"Hydrocracker",IF($H14189="REFORMING","Reformer",""))))</f>
        <v/>
      </c>
    </row>
    <row r="14190" spans="6:7">
      <c r="F14190" s="6">
        <f>IF($M14190="PADD I","PADD 1",IF($M14190="PADD II","PADD 2",IF($M14190="PADD III","PADD 3",IF($M14190="PADD IV","PADD 4",IF($M14190="PADD V","PADD 5","")))))</f>
        <v/>
      </c>
      <c r="G14190" s="6">
        <f>IF(AND($H14190="ATMOS DISTILLATION",ISNUMBER(SEARCH("VPS",$I14190))=FALSE,LEFT($I14190,6)&lt;&gt;"VACUUM"),"CDU",IF($H14190="FLUID CAT CRACKING","FCC",IF(OR($H14190="HYDROCRACKING",$H14190="RESID_HYDROCRACKING"),"Hydrocracker",IF($H14190="REFORMING","Reformer",""))))</f>
        <v/>
      </c>
    </row>
    <row r="14191" spans="6:7">
      <c r="F14191" s="6">
        <f>IF($M14191="PADD I","PADD 1",IF($M14191="PADD II","PADD 2",IF($M14191="PADD III","PADD 3",IF($M14191="PADD IV","PADD 4",IF($M14191="PADD V","PADD 5","")))))</f>
        <v/>
      </c>
      <c r="G14191" s="6">
        <f>IF(AND($H14191="ATMOS DISTILLATION",ISNUMBER(SEARCH("VPS",$I14191))=FALSE,LEFT($I14191,6)&lt;&gt;"VACUUM"),"CDU",IF($H14191="FLUID CAT CRACKING","FCC",IF(OR($H14191="HYDROCRACKING",$H14191="RESID_HYDROCRACKING"),"Hydrocracker",IF($H14191="REFORMING","Reformer",""))))</f>
        <v/>
      </c>
    </row>
    <row r="14192" spans="6:7">
      <c r="F14192" s="6">
        <f>IF($M14192="PADD I","PADD 1",IF($M14192="PADD II","PADD 2",IF($M14192="PADD III","PADD 3",IF($M14192="PADD IV","PADD 4",IF($M14192="PADD V","PADD 5","")))))</f>
        <v/>
      </c>
      <c r="G14192" s="6">
        <f>IF(AND($H14192="ATMOS DISTILLATION",ISNUMBER(SEARCH("VPS",$I14192))=FALSE,LEFT($I14192,6)&lt;&gt;"VACUUM"),"CDU",IF($H14192="FLUID CAT CRACKING","FCC",IF(OR($H14192="HYDROCRACKING",$H14192="RESID_HYDROCRACKING"),"Hydrocracker",IF($H14192="REFORMING","Reformer",""))))</f>
        <v/>
      </c>
    </row>
    <row r="14193" spans="6:7">
      <c r="F14193" s="6">
        <f>IF($M14193="PADD I","PADD 1",IF($M14193="PADD II","PADD 2",IF($M14193="PADD III","PADD 3",IF($M14193="PADD IV","PADD 4",IF($M14193="PADD V","PADD 5","")))))</f>
        <v/>
      </c>
      <c r="G14193" s="6">
        <f>IF(AND($H14193="ATMOS DISTILLATION",ISNUMBER(SEARCH("VPS",$I14193))=FALSE,LEFT($I14193,6)&lt;&gt;"VACUUM"),"CDU",IF($H14193="FLUID CAT CRACKING","FCC",IF(OR($H14193="HYDROCRACKING",$H14193="RESID_HYDROCRACKING"),"Hydrocracker",IF($H14193="REFORMING","Reformer",""))))</f>
        <v/>
      </c>
    </row>
    <row r="14194" spans="6:7">
      <c r="F14194" s="6">
        <f>IF($M14194="PADD I","PADD 1",IF($M14194="PADD II","PADD 2",IF($M14194="PADD III","PADD 3",IF($M14194="PADD IV","PADD 4",IF($M14194="PADD V","PADD 5","")))))</f>
        <v/>
      </c>
      <c r="G14194" s="6">
        <f>IF(AND($H14194="ATMOS DISTILLATION",ISNUMBER(SEARCH("VPS",$I14194))=FALSE,LEFT($I14194,6)&lt;&gt;"VACUUM"),"CDU",IF($H14194="FLUID CAT CRACKING","FCC",IF(OR($H14194="HYDROCRACKING",$H14194="RESID_HYDROCRACKING"),"Hydrocracker",IF($H14194="REFORMING","Reformer",""))))</f>
        <v/>
      </c>
    </row>
    <row r="14195" spans="6:7">
      <c r="F14195" s="6">
        <f>IF($M14195="PADD I","PADD 1",IF($M14195="PADD II","PADD 2",IF($M14195="PADD III","PADD 3",IF($M14195="PADD IV","PADD 4",IF($M14195="PADD V","PADD 5","")))))</f>
        <v/>
      </c>
      <c r="G14195" s="6">
        <f>IF(AND($H14195="ATMOS DISTILLATION",ISNUMBER(SEARCH("VPS",$I14195))=FALSE,LEFT($I14195,6)&lt;&gt;"VACUUM"),"CDU",IF($H14195="FLUID CAT CRACKING","FCC",IF(OR($H14195="HYDROCRACKING",$H14195="RESID_HYDROCRACKING"),"Hydrocracker",IF($H14195="REFORMING","Reformer",""))))</f>
        <v/>
      </c>
    </row>
    <row r="14196" spans="6:7">
      <c r="F14196" s="6">
        <f>IF($M14196="PADD I","PADD 1",IF($M14196="PADD II","PADD 2",IF($M14196="PADD III","PADD 3",IF($M14196="PADD IV","PADD 4",IF($M14196="PADD V","PADD 5","")))))</f>
        <v/>
      </c>
      <c r="G14196" s="6">
        <f>IF(AND($H14196="ATMOS DISTILLATION",ISNUMBER(SEARCH("VPS",$I14196))=FALSE,LEFT($I14196,6)&lt;&gt;"VACUUM"),"CDU",IF($H14196="FLUID CAT CRACKING","FCC",IF(OR($H14196="HYDROCRACKING",$H14196="RESID_HYDROCRACKING"),"Hydrocracker",IF($H14196="REFORMING","Reformer",""))))</f>
        <v/>
      </c>
    </row>
    <row r="14197" spans="6:7">
      <c r="F14197" s="6">
        <f>IF($M14197="PADD I","PADD 1",IF($M14197="PADD II","PADD 2",IF($M14197="PADD III","PADD 3",IF($M14197="PADD IV","PADD 4",IF($M14197="PADD V","PADD 5","")))))</f>
        <v/>
      </c>
      <c r="G14197" s="6">
        <f>IF(AND($H14197="ATMOS DISTILLATION",ISNUMBER(SEARCH("VPS",$I14197))=FALSE,LEFT($I14197,6)&lt;&gt;"VACUUM"),"CDU",IF($H14197="FLUID CAT CRACKING","FCC",IF(OR($H14197="HYDROCRACKING",$H14197="RESID_HYDROCRACKING"),"Hydrocracker",IF($H14197="REFORMING","Reformer",""))))</f>
        <v/>
      </c>
    </row>
    <row r="14198" spans="6:7">
      <c r="F14198" s="6">
        <f>IF($M14198="PADD I","PADD 1",IF($M14198="PADD II","PADD 2",IF($M14198="PADD III","PADD 3",IF($M14198="PADD IV","PADD 4",IF($M14198="PADD V","PADD 5","")))))</f>
        <v/>
      </c>
      <c r="G14198" s="6">
        <f>IF(AND($H14198="ATMOS DISTILLATION",ISNUMBER(SEARCH("VPS",$I14198))=FALSE,LEFT($I14198,6)&lt;&gt;"VACUUM"),"CDU",IF($H14198="FLUID CAT CRACKING","FCC",IF(OR($H14198="HYDROCRACKING",$H14198="RESID_HYDROCRACKING"),"Hydrocracker",IF($H14198="REFORMING","Reformer",""))))</f>
        <v/>
      </c>
    </row>
    <row r="14199" spans="6:7">
      <c r="F14199" s="6">
        <f>IF($M14199="PADD I","PADD 1",IF($M14199="PADD II","PADD 2",IF($M14199="PADD III","PADD 3",IF($M14199="PADD IV","PADD 4",IF($M14199="PADD V","PADD 5","")))))</f>
        <v/>
      </c>
      <c r="G14199" s="6">
        <f>IF(AND($H14199="ATMOS DISTILLATION",ISNUMBER(SEARCH("VPS",$I14199))=FALSE,LEFT($I14199,6)&lt;&gt;"VACUUM"),"CDU",IF($H14199="FLUID CAT CRACKING","FCC",IF(OR($H14199="HYDROCRACKING",$H14199="RESID_HYDROCRACKING"),"Hydrocracker",IF($H14199="REFORMING","Reformer",""))))</f>
        <v/>
      </c>
    </row>
    <row r="14200" spans="6:7">
      <c r="F14200" s="6">
        <f>IF($M14200="PADD I","PADD 1",IF($M14200="PADD II","PADD 2",IF($M14200="PADD III","PADD 3",IF($M14200="PADD IV","PADD 4",IF($M14200="PADD V","PADD 5","")))))</f>
        <v/>
      </c>
      <c r="G14200" s="6">
        <f>IF(AND($H14200="ATMOS DISTILLATION",ISNUMBER(SEARCH("VPS",$I14200))=FALSE,LEFT($I14200,6)&lt;&gt;"VACUUM"),"CDU",IF($H14200="FLUID CAT CRACKING","FCC",IF(OR($H14200="HYDROCRACKING",$H14200="RESID_HYDROCRACKING"),"Hydrocracker",IF($H14200="REFORMING","Reformer",""))))</f>
        <v/>
      </c>
    </row>
    <row r="14201" spans="6:7">
      <c r="F14201" s="6">
        <f>IF($M14201="PADD I","PADD 1",IF($M14201="PADD II","PADD 2",IF($M14201="PADD III","PADD 3",IF($M14201="PADD IV","PADD 4",IF($M14201="PADD V","PADD 5","")))))</f>
        <v/>
      </c>
      <c r="G14201" s="6">
        <f>IF(AND($H14201="ATMOS DISTILLATION",ISNUMBER(SEARCH("VPS",$I14201))=FALSE,LEFT($I14201,6)&lt;&gt;"VACUUM"),"CDU",IF($H14201="FLUID CAT CRACKING","FCC",IF(OR($H14201="HYDROCRACKING",$H14201="RESID_HYDROCRACKING"),"Hydrocracker",IF($H14201="REFORMING","Reformer",""))))</f>
        <v/>
      </c>
    </row>
    <row r="14202" spans="6:7">
      <c r="F14202" s="6">
        <f>IF($M14202="PADD I","PADD 1",IF($M14202="PADD II","PADD 2",IF($M14202="PADD III","PADD 3",IF($M14202="PADD IV","PADD 4",IF($M14202="PADD V","PADD 5","")))))</f>
        <v/>
      </c>
      <c r="G14202" s="6">
        <f>IF(AND($H14202="ATMOS DISTILLATION",ISNUMBER(SEARCH("VPS",$I14202))=FALSE,LEFT($I14202,6)&lt;&gt;"VACUUM"),"CDU",IF($H14202="FLUID CAT CRACKING","FCC",IF(OR($H14202="HYDROCRACKING",$H14202="RESID_HYDROCRACKING"),"Hydrocracker",IF($H14202="REFORMING","Reformer",""))))</f>
        <v/>
      </c>
    </row>
    <row r="14203" spans="6:7">
      <c r="F14203" s="6">
        <f>IF($M14203="PADD I","PADD 1",IF($M14203="PADD II","PADD 2",IF($M14203="PADD III","PADD 3",IF($M14203="PADD IV","PADD 4",IF($M14203="PADD V","PADD 5","")))))</f>
        <v/>
      </c>
      <c r="G14203" s="6">
        <f>IF(AND($H14203="ATMOS DISTILLATION",ISNUMBER(SEARCH("VPS",$I14203))=FALSE,LEFT($I14203,6)&lt;&gt;"VACUUM"),"CDU",IF($H14203="FLUID CAT CRACKING","FCC",IF(OR($H14203="HYDROCRACKING",$H14203="RESID_HYDROCRACKING"),"Hydrocracker",IF($H14203="REFORMING","Reformer",""))))</f>
        <v/>
      </c>
    </row>
    <row r="14204" spans="6:7">
      <c r="F14204" s="6">
        <f>IF($M14204="PADD I","PADD 1",IF($M14204="PADD II","PADD 2",IF($M14204="PADD III","PADD 3",IF($M14204="PADD IV","PADD 4",IF($M14204="PADD V","PADD 5","")))))</f>
        <v/>
      </c>
      <c r="G14204" s="6">
        <f>IF(AND($H14204="ATMOS DISTILLATION",ISNUMBER(SEARCH("VPS",$I14204))=FALSE,LEFT($I14204,6)&lt;&gt;"VACUUM"),"CDU",IF($H14204="FLUID CAT CRACKING","FCC",IF(OR($H14204="HYDROCRACKING",$H14204="RESID_HYDROCRACKING"),"Hydrocracker",IF($H14204="REFORMING","Reformer",""))))</f>
        <v/>
      </c>
    </row>
    <row r="14205" spans="6:7">
      <c r="F14205" s="6">
        <f>IF($M14205="PADD I","PADD 1",IF($M14205="PADD II","PADD 2",IF($M14205="PADD III","PADD 3",IF($M14205="PADD IV","PADD 4",IF($M14205="PADD V","PADD 5","")))))</f>
        <v/>
      </c>
      <c r="G14205" s="6">
        <f>IF(AND($H14205="ATMOS DISTILLATION",ISNUMBER(SEARCH("VPS",$I14205))=FALSE,LEFT($I14205,6)&lt;&gt;"VACUUM"),"CDU",IF($H14205="FLUID CAT CRACKING","FCC",IF(OR($H14205="HYDROCRACKING",$H14205="RESID_HYDROCRACKING"),"Hydrocracker",IF($H14205="REFORMING","Reformer",""))))</f>
        <v/>
      </c>
    </row>
    <row r="14206" spans="6:7">
      <c r="F14206" s="6">
        <f>IF($M14206="PADD I","PADD 1",IF($M14206="PADD II","PADD 2",IF($M14206="PADD III","PADD 3",IF($M14206="PADD IV","PADD 4",IF($M14206="PADD V","PADD 5","")))))</f>
        <v/>
      </c>
      <c r="G14206" s="6">
        <f>IF(AND($H14206="ATMOS DISTILLATION",ISNUMBER(SEARCH("VPS",$I14206))=FALSE,LEFT($I14206,6)&lt;&gt;"VACUUM"),"CDU",IF($H14206="FLUID CAT CRACKING","FCC",IF(OR($H14206="HYDROCRACKING",$H14206="RESID_HYDROCRACKING"),"Hydrocracker",IF($H14206="REFORMING","Reformer",""))))</f>
        <v/>
      </c>
    </row>
    <row r="14207" spans="6:7">
      <c r="F14207" s="6">
        <f>IF($M14207="PADD I","PADD 1",IF($M14207="PADD II","PADD 2",IF($M14207="PADD III","PADD 3",IF($M14207="PADD IV","PADD 4",IF($M14207="PADD V","PADD 5","")))))</f>
        <v/>
      </c>
      <c r="G14207" s="6">
        <f>IF(AND($H14207="ATMOS DISTILLATION",ISNUMBER(SEARCH("VPS",$I14207))=FALSE,LEFT($I14207,6)&lt;&gt;"VACUUM"),"CDU",IF($H14207="FLUID CAT CRACKING","FCC",IF(OR($H14207="HYDROCRACKING",$H14207="RESID_HYDROCRACKING"),"Hydrocracker",IF($H14207="REFORMING","Reformer",""))))</f>
        <v/>
      </c>
    </row>
    <row r="14208" spans="6:7">
      <c r="F14208" s="6">
        <f>IF($M14208="PADD I","PADD 1",IF($M14208="PADD II","PADD 2",IF($M14208="PADD III","PADD 3",IF($M14208="PADD IV","PADD 4",IF($M14208="PADD V","PADD 5","")))))</f>
        <v/>
      </c>
      <c r="G14208" s="6">
        <f>IF(AND($H14208="ATMOS DISTILLATION",ISNUMBER(SEARCH("VPS",$I14208))=FALSE,LEFT($I14208,6)&lt;&gt;"VACUUM"),"CDU",IF($H14208="FLUID CAT CRACKING","FCC",IF(OR($H14208="HYDROCRACKING",$H14208="RESID_HYDROCRACKING"),"Hydrocracker",IF($H14208="REFORMING","Reformer",""))))</f>
        <v/>
      </c>
    </row>
    <row r="14209" spans="6:7">
      <c r="F14209" s="6">
        <f>IF($M14209="PADD I","PADD 1",IF($M14209="PADD II","PADD 2",IF($M14209="PADD III","PADD 3",IF($M14209="PADD IV","PADD 4",IF($M14209="PADD V","PADD 5","")))))</f>
        <v/>
      </c>
      <c r="G14209" s="6">
        <f>IF(AND($H14209="ATMOS DISTILLATION",ISNUMBER(SEARCH("VPS",$I14209))=FALSE,LEFT($I14209,6)&lt;&gt;"VACUUM"),"CDU",IF($H14209="FLUID CAT CRACKING","FCC",IF(OR($H14209="HYDROCRACKING",$H14209="RESID_HYDROCRACKING"),"Hydrocracker",IF($H14209="REFORMING","Reformer",""))))</f>
        <v/>
      </c>
    </row>
    <row r="14210" spans="6:7">
      <c r="F14210" s="6">
        <f>IF($M14210="PADD I","PADD 1",IF($M14210="PADD II","PADD 2",IF($M14210="PADD III","PADD 3",IF($M14210="PADD IV","PADD 4",IF($M14210="PADD V","PADD 5","")))))</f>
        <v/>
      </c>
      <c r="G14210" s="6">
        <f>IF(AND($H14210="ATMOS DISTILLATION",ISNUMBER(SEARCH("VPS",$I14210))=FALSE,LEFT($I14210,6)&lt;&gt;"VACUUM"),"CDU",IF($H14210="FLUID CAT CRACKING","FCC",IF(OR($H14210="HYDROCRACKING",$H14210="RESID_HYDROCRACKING"),"Hydrocracker",IF($H14210="REFORMING","Reformer",""))))</f>
        <v/>
      </c>
    </row>
    <row r="14211" spans="6:7">
      <c r="F14211" s="6">
        <f>IF($M14211="PADD I","PADD 1",IF($M14211="PADD II","PADD 2",IF($M14211="PADD III","PADD 3",IF($M14211="PADD IV","PADD 4",IF($M14211="PADD V","PADD 5","")))))</f>
        <v/>
      </c>
      <c r="G14211" s="6">
        <f>IF(AND($H14211="ATMOS DISTILLATION",ISNUMBER(SEARCH("VPS",$I14211))=FALSE,LEFT($I14211,6)&lt;&gt;"VACUUM"),"CDU",IF($H14211="FLUID CAT CRACKING","FCC",IF(OR($H14211="HYDROCRACKING",$H14211="RESID_HYDROCRACKING"),"Hydrocracker",IF($H14211="REFORMING","Reformer",""))))</f>
        <v/>
      </c>
    </row>
    <row r="14212" spans="6:7">
      <c r="F14212" s="6">
        <f>IF($M14212="PADD I","PADD 1",IF($M14212="PADD II","PADD 2",IF($M14212="PADD III","PADD 3",IF($M14212="PADD IV","PADD 4",IF($M14212="PADD V","PADD 5","")))))</f>
        <v/>
      </c>
      <c r="G14212" s="6">
        <f>IF(AND($H14212="ATMOS DISTILLATION",ISNUMBER(SEARCH("VPS",$I14212))=FALSE,LEFT($I14212,6)&lt;&gt;"VACUUM"),"CDU",IF($H14212="FLUID CAT CRACKING","FCC",IF(OR($H14212="HYDROCRACKING",$H14212="RESID_HYDROCRACKING"),"Hydrocracker",IF($H14212="REFORMING","Reformer",""))))</f>
        <v/>
      </c>
    </row>
    <row r="14213" spans="6:7">
      <c r="F14213" s="6">
        <f>IF($M14213="PADD I","PADD 1",IF($M14213="PADD II","PADD 2",IF($M14213="PADD III","PADD 3",IF($M14213="PADD IV","PADD 4",IF($M14213="PADD V","PADD 5","")))))</f>
        <v/>
      </c>
      <c r="G14213" s="6">
        <f>IF(AND($H14213="ATMOS DISTILLATION",ISNUMBER(SEARCH("VPS",$I14213))=FALSE,LEFT($I14213,6)&lt;&gt;"VACUUM"),"CDU",IF($H14213="FLUID CAT CRACKING","FCC",IF(OR($H14213="HYDROCRACKING",$H14213="RESID_HYDROCRACKING"),"Hydrocracker",IF($H14213="REFORMING","Reformer",""))))</f>
        <v/>
      </c>
    </row>
    <row r="14214" spans="6:7">
      <c r="F14214" s="6">
        <f>IF($M14214="PADD I","PADD 1",IF($M14214="PADD II","PADD 2",IF($M14214="PADD III","PADD 3",IF($M14214="PADD IV","PADD 4",IF($M14214="PADD V","PADD 5","")))))</f>
        <v/>
      </c>
      <c r="G14214" s="6">
        <f>IF(AND($H14214="ATMOS DISTILLATION",ISNUMBER(SEARCH("VPS",$I14214))=FALSE,LEFT($I14214,6)&lt;&gt;"VACUUM"),"CDU",IF($H14214="FLUID CAT CRACKING","FCC",IF(OR($H14214="HYDROCRACKING",$H14214="RESID_HYDROCRACKING"),"Hydrocracker",IF($H14214="REFORMING","Reformer",""))))</f>
        <v/>
      </c>
    </row>
    <row r="14215" spans="6:7">
      <c r="F14215" s="6">
        <f>IF($M14215="PADD I","PADD 1",IF($M14215="PADD II","PADD 2",IF($M14215="PADD III","PADD 3",IF($M14215="PADD IV","PADD 4",IF($M14215="PADD V","PADD 5","")))))</f>
        <v/>
      </c>
      <c r="G14215" s="6">
        <f>IF(AND($H14215="ATMOS DISTILLATION",ISNUMBER(SEARCH("VPS",$I14215))=FALSE,LEFT($I14215,6)&lt;&gt;"VACUUM"),"CDU",IF($H14215="FLUID CAT CRACKING","FCC",IF(OR($H14215="HYDROCRACKING",$H14215="RESID_HYDROCRACKING"),"Hydrocracker",IF($H14215="REFORMING","Reformer",""))))</f>
        <v/>
      </c>
    </row>
    <row r="14216" spans="6:7">
      <c r="F14216" s="6">
        <f>IF($M14216="PADD I","PADD 1",IF($M14216="PADD II","PADD 2",IF($M14216="PADD III","PADD 3",IF($M14216="PADD IV","PADD 4",IF($M14216="PADD V","PADD 5","")))))</f>
        <v/>
      </c>
      <c r="G14216" s="6">
        <f>IF(AND($H14216="ATMOS DISTILLATION",ISNUMBER(SEARCH("VPS",$I14216))=FALSE,LEFT($I14216,6)&lt;&gt;"VACUUM"),"CDU",IF($H14216="FLUID CAT CRACKING","FCC",IF(OR($H14216="HYDROCRACKING",$H14216="RESID_HYDROCRACKING"),"Hydrocracker",IF($H14216="REFORMING","Reformer",""))))</f>
        <v/>
      </c>
    </row>
    <row r="14217" spans="6:7">
      <c r="F14217" s="6">
        <f>IF($M14217="PADD I","PADD 1",IF($M14217="PADD II","PADD 2",IF($M14217="PADD III","PADD 3",IF($M14217="PADD IV","PADD 4",IF($M14217="PADD V","PADD 5","")))))</f>
        <v/>
      </c>
      <c r="G14217" s="6">
        <f>IF(AND($H14217="ATMOS DISTILLATION",ISNUMBER(SEARCH("VPS",$I14217))=FALSE,LEFT($I14217,6)&lt;&gt;"VACUUM"),"CDU",IF($H14217="FLUID CAT CRACKING","FCC",IF(OR($H14217="HYDROCRACKING",$H14217="RESID_HYDROCRACKING"),"Hydrocracker",IF($H14217="REFORMING","Reformer",""))))</f>
        <v/>
      </c>
    </row>
    <row r="14218" spans="6:7">
      <c r="F14218" s="6">
        <f>IF($M14218="PADD I","PADD 1",IF($M14218="PADD II","PADD 2",IF($M14218="PADD III","PADD 3",IF($M14218="PADD IV","PADD 4",IF($M14218="PADD V","PADD 5","")))))</f>
        <v/>
      </c>
      <c r="G14218" s="6">
        <f>IF(AND($H14218="ATMOS DISTILLATION",ISNUMBER(SEARCH("VPS",$I14218))=FALSE,LEFT($I14218,6)&lt;&gt;"VACUUM"),"CDU",IF($H14218="FLUID CAT CRACKING","FCC",IF(OR($H14218="HYDROCRACKING",$H14218="RESID_HYDROCRACKING"),"Hydrocracker",IF($H14218="REFORMING","Reformer",""))))</f>
        <v/>
      </c>
    </row>
    <row r="14219" spans="6:7">
      <c r="F14219" s="6">
        <f>IF($M14219="PADD I","PADD 1",IF($M14219="PADD II","PADD 2",IF($M14219="PADD III","PADD 3",IF($M14219="PADD IV","PADD 4",IF($M14219="PADD V","PADD 5","")))))</f>
        <v/>
      </c>
      <c r="G14219" s="6">
        <f>IF(AND($H14219="ATMOS DISTILLATION",ISNUMBER(SEARCH("VPS",$I14219))=FALSE,LEFT($I14219,6)&lt;&gt;"VACUUM"),"CDU",IF($H14219="FLUID CAT CRACKING","FCC",IF(OR($H14219="HYDROCRACKING",$H14219="RESID_HYDROCRACKING"),"Hydrocracker",IF($H14219="REFORMING","Reformer",""))))</f>
        <v/>
      </c>
    </row>
    <row r="14220" spans="6:7">
      <c r="F14220" s="6">
        <f>IF($M14220="PADD I","PADD 1",IF($M14220="PADD II","PADD 2",IF($M14220="PADD III","PADD 3",IF($M14220="PADD IV","PADD 4",IF($M14220="PADD V","PADD 5","")))))</f>
        <v/>
      </c>
      <c r="G14220" s="6">
        <f>IF(AND($H14220="ATMOS DISTILLATION",ISNUMBER(SEARCH("VPS",$I14220))=FALSE,LEFT($I14220,6)&lt;&gt;"VACUUM"),"CDU",IF($H14220="FLUID CAT CRACKING","FCC",IF(OR($H14220="HYDROCRACKING",$H14220="RESID_HYDROCRACKING"),"Hydrocracker",IF($H14220="REFORMING","Reformer",""))))</f>
        <v/>
      </c>
    </row>
    <row r="14221" spans="6:7">
      <c r="F14221" s="6">
        <f>IF($M14221="PADD I","PADD 1",IF($M14221="PADD II","PADD 2",IF($M14221="PADD III","PADD 3",IF($M14221="PADD IV","PADD 4",IF($M14221="PADD V","PADD 5","")))))</f>
        <v/>
      </c>
      <c r="G14221" s="6">
        <f>IF(AND($H14221="ATMOS DISTILLATION",ISNUMBER(SEARCH("VPS",$I14221))=FALSE,LEFT($I14221,6)&lt;&gt;"VACUUM"),"CDU",IF($H14221="FLUID CAT CRACKING","FCC",IF(OR($H14221="HYDROCRACKING",$H14221="RESID_HYDROCRACKING"),"Hydrocracker",IF($H14221="REFORMING","Reformer",""))))</f>
        <v/>
      </c>
    </row>
    <row r="14222" spans="6:7">
      <c r="F14222" s="6">
        <f>IF($M14222="PADD I","PADD 1",IF($M14222="PADD II","PADD 2",IF($M14222="PADD III","PADD 3",IF($M14222="PADD IV","PADD 4",IF($M14222="PADD V","PADD 5","")))))</f>
        <v/>
      </c>
      <c r="G14222" s="6">
        <f>IF(AND($H14222="ATMOS DISTILLATION",ISNUMBER(SEARCH("VPS",$I14222))=FALSE,LEFT($I14222,6)&lt;&gt;"VACUUM"),"CDU",IF($H14222="FLUID CAT CRACKING","FCC",IF(OR($H14222="HYDROCRACKING",$H14222="RESID_HYDROCRACKING"),"Hydrocracker",IF($H14222="REFORMING","Reformer",""))))</f>
        <v/>
      </c>
    </row>
    <row r="14223" spans="6:7">
      <c r="F14223" s="6">
        <f>IF($M14223="PADD I","PADD 1",IF($M14223="PADD II","PADD 2",IF($M14223="PADD III","PADD 3",IF($M14223="PADD IV","PADD 4",IF($M14223="PADD V","PADD 5","")))))</f>
        <v/>
      </c>
      <c r="G14223" s="6">
        <f>IF(AND($H14223="ATMOS DISTILLATION",ISNUMBER(SEARCH("VPS",$I14223))=FALSE,LEFT($I14223,6)&lt;&gt;"VACUUM"),"CDU",IF($H14223="FLUID CAT CRACKING","FCC",IF(OR($H14223="HYDROCRACKING",$H14223="RESID_HYDROCRACKING"),"Hydrocracker",IF($H14223="REFORMING","Reformer",""))))</f>
        <v/>
      </c>
    </row>
    <row r="14224" spans="6:7">
      <c r="F14224" s="6">
        <f>IF($M14224="PADD I","PADD 1",IF($M14224="PADD II","PADD 2",IF($M14224="PADD III","PADD 3",IF($M14224="PADD IV","PADD 4",IF($M14224="PADD V","PADD 5","")))))</f>
        <v/>
      </c>
      <c r="G14224" s="6">
        <f>IF(AND($H14224="ATMOS DISTILLATION",ISNUMBER(SEARCH("VPS",$I14224))=FALSE,LEFT($I14224,6)&lt;&gt;"VACUUM"),"CDU",IF($H14224="FLUID CAT CRACKING","FCC",IF(OR($H14224="HYDROCRACKING",$H14224="RESID_HYDROCRACKING"),"Hydrocracker",IF($H14224="REFORMING","Reformer",""))))</f>
        <v/>
      </c>
    </row>
    <row r="14225" spans="6:7">
      <c r="F14225" s="6">
        <f>IF($M14225="PADD I","PADD 1",IF($M14225="PADD II","PADD 2",IF($M14225="PADD III","PADD 3",IF($M14225="PADD IV","PADD 4",IF($M14225="PADD V","PADD 5","")))))</f>
        <v/>
      </c>
      <c r="G14225" s="6">
        <f>IF(AND($H14225="ATMOS DISTILLATION",ISNUMBER(SEARCH("VPS",$I14225))=FALSE,LEFT($I14225,6)&lt;&gt;"VACUUM"),"CDU",IF($H14225="FLUID CAT CRACKING","FCC",IF(OR($H14225="HYDROCRACKING",$H14225="RESID_HYDROCRACKING"),"Hydrocracker",IF($H14225="REFORMING","Reformer",""))))</f>
        <v/>
      </c>
    </row>
    <row r="14226" spans="6:7">
      <c r="F14226" s="6">
        <f>IF($M14226="PADD I","PADD 1",IF($M14226="PADD II","PADD 2",IF($M14226="PADD III","PADD 3",IF($M14226="PADD IV","PADD 4",IF($M14226="PADD V","PADD 5","")))))</f>
        <v/>
      </c>
      <c r="G14226" s="6">
        <f>IF(AND($H14226="ATMOS DISTILLATION",ISNUMBER(SEARCH("VPS",$I14226))=FALSE,LEFT($I14226,6)&lt;&gt;"VACUUM"),"CDU",IF($H14226="FLUID CAT CRACKING","FCC",IF(OR($H14226="HYDROCRACKING",$H14226="RESID_HYDROCRACKING"),"Hydrocracker",IF($H14226="REFORMING","Reformer",""))))</f>
        <v/>
      </c>
    </row>
    <row r="14227" spans="6:7">
      <c r="F14227" s="6">
        <f>IF($M14227="PADD I","PADD 1",IF($M14227="PADD II","PADD 2",IF($M14227="PADD III","PADD 3",IF($M14227="PADD IV","PADD 4",IF($M14227="PADD V","PADD 5","")))))</f>
        <v/>
      </c>
      <c r="G14227" s="6">
        <f>IF(AND($H14227="ATMOS DISTILLATION",ISNUMBER(SEARCH("VPS",$I14227))=FALSE,LEFT($I14227,6)&lt;&gt;"VACUUM"),"CDU",IF($H14227="FLUID CAT CRACKING","FCC",IF(OR($H14227="HYDROCRACKING",$H14227="RESID_HYDROCRACKING"),"Hydrocracker",IF($H14227="REFORMING","Reformer",""))))</f>
        <v/>
      </c>
    </row>
    <row r="14228" spans="6:7">
      <c r="F14228" s="6">
        <f>IF($M14228="PADD I","PADD 1",IF($M14228="PADD II","PADD 2",IF($M14228="PADD III","PADD 3",IF($M14228="PADD IV","PADD 4",IF($M14228="PADD V","PADD 5","")))))</f>
        <v/>
      </c>
      <c r="G14228" s="6">
        <f>IF(AND($H14228="ATMOS DISTILLATION",ISNUMBER(SEARCH("VPS",$I14228))=FALSE,LEFT($I14228,6)&lt;&gt;"VACUUM"),"CDU",IF($H14228="FLUID CAT CRACKING","FCC",IF(OR($H14228="HYDROCRACKING",$H14228="RESID_HYDROCRACKING"),"Hydrocracker",IF($H14228="REFORMING","Reformer",""))))</f>
        <v/>
      </c>
    </row>
    <row r="14229" spans="6:7">
      <c r="F14229" s="6">
        <f>IF($M14229="PADD I","PADD 1",IF($M14229="PADD II","PADD 2",IF($M14229="PADD III","PADD 3",IF($M14229="PADD IV","PADD 4",IF($M14229="PADD V","PADD 5","")))))</f>
        <v/>
      </c>
      <c r="G14229" s="6">
        <f>IF(AND($H14229="ATMOS DISTILLATION",ISNUMBER(SEARCH("VPS",$I14229))=FALSE,LEFT($I14229,6)&lt;&gt;"VACUUM"),"CDU",IF($H14229="FLUID CAT CRACKING","FCC",IF(OR($H14229="HYDROCRACKING",$H14229="RESID_HYDROCRACKING"),"Hydrocracker",IF($H14229="REFORMING","Reformer",""))))</f>
        <v/>
      </c>
    </row>
    <row r="14230" spans="6:7">
      <c r="F14230" s="6">
        <f>IF($M14230="PADD I","PADD 1",IF($M14230="PADD II","PADD 2",IF($M14230="PADD III","PADD 3",IF($M14230="PADD IV","PADD 4",IF($M14230="PADD V","PADD 5","")))))</f>
        <v/>
      </c>
      <c r="G14230" s="6">
        <f>IF(AND($H14230="ATMOS DISTILLATION",ISNUMBER(SEARCH("VPS",$I14230))=FALSE,LEFT($I14230,6)&lt;&gt;"VACUUM"),"CDU",IF($H14230="FLUID CAT CRACKING","FCC",IF(OR($H14230="HYDROCRACKING",$H14230="RESID_HYDROCRACKING"),"Hydrocracker",IF($H14230="REFORMING","Reformer",""))))</f>
        <v/>
      </c>
    </row>
    <row r="14231" spans="6:7">
      <c r="F14231" s="6">
        <f>IF($M14231="PADD I","PADD 1",IF($M14231="PADD II","PADD 2",IF($M14231="PADD III","PADD 3",IF($M14231="PADD IV","PADD 4",IF($M14231="PADD V","PADD 5","")))))</f>
        <v/>
      </c>
      <c r="G14231" s="6">
        <f>IF(AND($H14231="ATMOS DISTILLATION",ISNUMBER(SEARCH("VPS",$I14231))=FALSE,LEFT($I14231,6)&lt;&gt;"VACUUM"),"CDU",IF($H14231="FLUID CAT CRACKING","FCC",IF(OR($H14231="HYDROCRACKING",$H14231="RESID_HYDROCRACKING"),"Hydrocracker",IF($H14231="REFORMING","Reformer",""))))</f>
        <v/>
      </c>
    </row>
    <row r="14232" spans="6:7">
      <c r="F14232" s="6">
        <f>IF($M14232="PADD I","PADD 1",IF($M14232="PADD II","PADD 2",IF($M14232="PADD III","PADD 3",IF($M14232="PADD IV","PADD 4",IF($M14232="PADD V","PADD 5","")))))</f>
        <v/>
      </c>
      <c r="G14232" s="6">
        <f>IF(AND($H14232="ATMOS DISTILLATION",ISNUMBER(SEARCH("VPS",$I14232))=FALSE,LEFT($I14232,6)&lt;&gt;"VACUUM"),"CDU",IF($H14232="FLUID CAT CRACKING","FCC",IF(OR($H14232="HYDROCRACKING",$H14232="RESID_HYDROCRACKING"),"Hydrocracker",IF($H14232="REFORMING","Reformer",""))))</f>
        <v/>
      </c>
    </row>
    <row r="14233" spans="6:7">
      <c r="F14233" s="6">
        <f>IF($M14233="PADD I","PADD 1",IF($M14233="PADD II","PADD 2",IF($M14233="PADD III","PADD 3",IF($M14233="PADD IV","PADD 4",IF($M14233="PADD V","PADD 5","")))))</f>
        <v/>
      </c>
      <c r="G14233" s="6">
        <f>IF(AND($H14233="ATMOS DISTILLATION",ISNUMBER(SEARCH("VPS",$I14233))=FALSE,LEFT($I14233,6)&lt;&gt;"VACUUM"),"CDU",IF($H14233="FLUID CAT CRACKING","FCC",IF(OR($H14233="HYDROCRACKING",$H14233="RESID_HYDROCRACKING"),"Hydrocracker",IF($H14233="REFORMING","Reformer",""))))</f>
        <v/>
      </c>
    </row>
    <row r="14234" spans="6:7">
      <c r="F14234" s="6">
        <f>IF($M14234="PADD I","PADD 1",IF($M14234="PADD II","PADD 2",IF($M14234="PADD III","PADD 3",IF($M14234="PADD IV","PADD 4",IF($M14234="PADD V","PADD 5","")))))</f>
        <v/>
      </c>
      <c r="G14234" s="6">
        <f>IF(AND($H14234="ATMOS DISTILLATION",ISNUMBER(SEARCH("VPS",$I14234))=FALSE,LEFT($I14234,6)&lt;&gt;"VACUUM"),"CDU",IF($H14234="FLUID CAT CRACKING","FCC",IF(OR($H14234="HYDROCRACKING",$H14234="RESID_HYDROCRACKING"),"Hydrocracker",IF($H14234="REFORMING","Reformer",""))))</f>
        <v/>
      </c>
    </row>
    <row r="14235" spans="6:7">
      <c r="F14235" s="6">
        <f>IF($M14235="PADD I","PADD 1",IF($M14235="PADD II","PADD 2",IF($M14235="PADD III","PADD 3",IF($M14235="PADD IV","PADD 4",IF($M14235="PADD V","PADD 5","")))))</f>
        <v/>
      </c>
      <c r="G14235" s="6">
        <f>IF(AND($H14235="ATMOS DISTILLATION",ISNUMBER(SEARCH("VPS",$I14235))=FALSE,LEFT($I14235,6)&lt;&gt;"VACUUM"),"CDU",IF($H14235="FLUID CAT CRACKING","FCC",IF(OR($H14235="HYDROCRACKING",$H14235="RESID_HYDROCRACKING"),"Hydrocracker",IF($H14235="REFORMING","Reformer",""))))</f>
        <v/>
      </c>
    </row>
    <row r="14236" spans="6:7">
      <c r="F14236" s="6">
        <f>IF($M14236="PADD I","PADD 1",IF($M14236="PADD II","PADD 2",IF($M14236="PADD III","PADD 3",IF($M14236="PADD IV","PADD 4",IF($M14236="PADD V","PADD 5","")))))</f>
        <v/>
      </c>
      <c r="G14236" s="6">
        <f>IF(AND($H14236="ATMOS DISTILLATION",ISNUMBER(SEARCH("VPS",$I14236))=FALSE,LEFT($I14236,6)&lt;&gt;"VACUUM"),"CDU",IF($H14236="FLUID CAT CRACKING","FCC",IF(OR($H14236="HYDROCRACKING",$H14236="RESID_HYDROCRACKING"),"Hydrocracker",IF($H14236="REFORMING","Reformer",""))))</f>
        <v/>
      </c>
    </row>
    <row r="14237" spans="6:7">
      <c r="F14237" s="6">
        <f>IF($M14237="PADD I","PADD 1",IF($M14237="PADD II","PADD 2",IF($M14237="PADD III","PADD 3",IF($M14237="PADD IV","PADD 4",IF($M14237="PADD V","PADD 5","")))))</f>
        <v/>
      </c>
      <c r="G14237" s="6">
        <f>IF(AND($H14237="ATMOS DISTILLATION",ISNUMBER(SEARCH("VPS",$I14237))=FALSE,LEFT($I14237,6)&lt;&gt;"VACUUM"),"CDU",IF($H14237="FLUID CAT CRACKING","FCC",IF(OR($H14237="HYDROCRACKING",$H14237="RESID_HYDROCRACKING"),"Hydrocracker",IF($H14237="REFORMING","Reformer",""))))</f>
        <v/>
      </c>
    </row>
    <row r="14238" spans="6:7">
      <c r="F14238" s="6">
        <f>IF($M14238="PADD I","PADD 1",IF($M14238="PADD II","PADD 2",IF($M14238="PADD III","PADD 3",IF($M14238="PADD IV","PADD 4",IF($M14238="PADD V","PADD 5","")))))</f>
        <v/>
      </c>
      <c r="G14238" s="6">
        <f>IF(AND($H14238="ATMOS DISTILLATION",ISNUMBER(SEARCH("VPS",$I14238))=FALSE,LEFT($I14238,6)&lt;&gt;"VACUUM"),"CDU",IF($H14238="FLUID CAT CRACKING","FCC",IF(OR($H14238="HYDROCRACKING",$H14238="RESID_HYDROCRACKING"),"Hydrocracker",IF($H14238="REFORMING","Reformer",""))))</f>
        <v/>
      </c>
    </row>
    <row r="14239" spans="6:7">
      <c r="F14239" s="6">
        <f>IF($M14239="PADD I","PADD 1",IF($M14239="PADD II","PADD 2",IF($M14239="PADD III","PADD 3",IF($M14239="PADD IV","PADD 4",IF($M14239="PADD V","PADD 5","")))))</f>
        <v/>
      </c>
      <c r="G14239" s="6">
        <f>IF(AND($H14239="ATMOS DISTILLATION",ISNUMBER(SEARCH("VPS",$I14239))=FALSE,LEFT($I14239,6)&lt;&gt;"VACUUM"),"CDU",IF($H14239="FLUID CAT CRACKING","FCC",IF(OR($H14239="HYDROCRACKING",$H14239="RESID_HYDROCRACKING"),"Hydrocracker",IF($H14239="REFORMING","Reformer",""))))</f>
        <v/>
      </c>
    </row>
    <row r="14240" spans="6:7">
      <c r="F14240" s="6">
        <f>IF($M14240="PADD I","PADD 1",IF($M14240="PADD II","PADD 2",IF($M14240="PADD III","PADD 3",IF($M14240="PADD IV","PADD 4",IF($M14240="PADD V","PADD 5","")))))</f>
        <v/>
      </c>
      <c r="G14240" s="6">
        <f>IF(AND($H14240="ATMOS DISTILLATION",ISNUMBER(SEARCH("VPS",$I14240))=FALSE,LEFT($I14240,6)&lt;&gt;"VACUUM"),"CDU",IF($H14240="FLUID CAT CRACKING","FCC",IF(OR($H14240="HYDROCRACKING",$H14240="RESID_HYDROCRACKING"),"Hydrocracker",IF($H14240="REFORMING","Reformer",""))))</f>
        <v/>
      </c>
    </row>
    <row r="14241" spans="6:7">
      <c r="F14241" s="6">
        <f>IF($M14241="PADD I","PADD 1",IF($M14241="PADD II","PADD 2",IF($M14241="PADD III","PADD 3",IF($M14241="PADD IV","PADD 4",IF($M14241="PADD V","PADD 5","")))))</f>
        <v/>
      </c>
      <c r="G14241" s="6">
        <f>IF(AND($H14241="ATMOS DISTILLATION",ISNUMBER(SEARCH("VPS",$I14241))=FALSE,LEFT($I14241,6)&lt;&gt;"VACUUM"),"CDU",IF($H14241="FLUID CAT CRACKING","FCC",IF(OR($H14241="HYDROCRACKING",$H14241="RESID_HYDROCRACKING"),"Hydrocracker",IF($H14241="REFORMING","Reformer",""))))</f>
        <v/>
      </c>
    </row>
    <row r="14242" spans="6:7">
      <c r="F14242" s="6">
        <f>IF($M14242="PADD I","PADD 1",IF($M14242="PADD II","PADD 2",IF($M14242="PADD III","PADD 3",IF($M14242="PADD IV","PADD 4",IF($M14242="PADD V","PADD 5","")))))</f>
        <v/>
      </c>
      <c r="G14242" s="6">
        <f>IF(AND($H14242="ATMOS DISTILLATION",ISNUMBER(SEARCH("VPS",$I14242))=FALSE,LEFT($I14242,6)&lt;&gt;"VACUUM"),"CDU",IF($H14242="FLUID CAT CRACKING","FCC",IF(OR($H14242="HYDROCRACKING",$H14242="RESID_HYDROCRACKING"),"Hydrocracker",IF($H14242="REFORMING","Reformer",""))))</f>
        <v/>
      </c>
    </row>
    <row r="14243" spans="6:7">
      <c r="F14243" s="6">
        <f>IF($M14243="PADD I","PADD 1",IF($M14243="PADD II","PADD 2",IF($M14243="PADD III","PADD 3",IF($M14243="PADD IV","PADD 4",IF($M14243="PADD V","PADD 5","")))))</f>
        <v/>
      </c>
      <c r="G14243" s="6">
        <f>IF(AND($H14243="ATMOS DISTILLATION",ISNUMBER(SEARCH("VPS",$I14243))=FALSE,LEFT($I14243,6)&lt;&gt;"VACUUM"),"CDU",IF($H14243="FLUID CAT CRACKING","FCC",IF(OR($H14243="HYDROCRACKING",$H14243="RESID_HYDROCRACKING"),"Hydrocracker",IF($H14243="REFORMING","Reformer",""))))</f>
        <v/>
      </c>
    </row>
    <row r="14244" spans="6:7">
      <c r="F14244" s="6">
        <f>IF($M14244="PADD I","PADD 1",IF($M14244="PADD II","PADD 2",IF($M14244="PADD III","PADD 3",IF($M14244="PADD IV","PADD 4",IF($M14244="PADD V","PADD 5","")))))</f>
        <v/>
      </c>
      <c r="G14244" s="6">
        <f>IF(AND($H14244="ATMOS DISTILLATION",ISNUMBER(SEARCH("VPS",$I14244))=FALSE,LEFT($I14244,6)&lt;&gt;"VACUUM"),"CDU",IF($H14244="FLUID CAT CRACKING","FCC",IF(OR($H14244="HYDROCRACKING",$H14244="RESID_HYDROCRACKING"),"Hydrocracker",IF($H14244="REFORMING","Reformer",""))))</f>
        <v/>
      </c>
    </row>
    <row r="14245" spans="6:7">
      <c r="F14245" s="6">
        <f>IF($M14245="PADD I","PADD 1",IF($M14245="PADD II","PADD 2",IF($M14245="PADD III","PADD 3",IF($M14245="PADD IV","PADD 4",IF($M14245="PADD V","PADD 5","")))))</f>
        <v/>
      </c>
      <c r="G14245" s="6">
        <f>IF(AND($H14245="ATMOS DISTILLATION",ISNUMBER(SEARCH("VPS",$I14245))=FALSE,LEFT($I14245,6)&lt;&gt;"VACUUM"),"CDU",IF($H14245="FLUID CAT CRACKING","FCC",IF(OR($H14245="HYDROCRACKING",$H14245="RESID_HYDROCRACKING"),"Hydrocracker",IF($H14245="REFORMING","Reformer",""))))</f>
        <v/>
      </c>
    </row>
    <row r="14246" spans="6:7">
      <c r="F14246" s="6">
        <f>IF($M14246="PADD I","PADD 1",IF($M14246="PADD II","PADD 2",IF($M14246="PADD III","PADD 3",IF($M14246="PADD IV","PADD 4",IF($M14246="PADD V","PADD 5","")))))</f>
        <v/>
      </c>
      <c r="G14246" s="6">
        <f>IF(AND($H14246="ATMOS DISTILLATION",ISNUMBER(SEARCH("VPS",$I14246))=FALSE,LEFT($I14246,6)&lt;&gt;"VACUUM"),"CDU",IF($H14246="FLUID CAT CRACKING","FCC",IF(OR($H14246="HYDROCRACKING",$H14246="RESID_HYDROCRACKING"),"Hydrocracker",IF($H14246="REFORMING","Reformer",""))))</f>
        <v/>
      </c>
    </row>
    <row r="14247" spans="6:7">
      <c r="F14247" s="6">
        <f>IF($M14247="PADD I","PADD 1",IF($M14247="PADD II","PADD 2",IF($M14247="PADD III","PADD 3",IF($M14247="PADD IV","PADD 4",IF($M14247="PADD V","PADD 5","")))))</f>
        <v/>
      </c>
      <c r="G14247" s="6">
        <f>IF(AND($H14247="ATMOS DISTILLATION",ISNUMBER(SEARCH("VPS",$I14247))=FALSE,LEFT($I14247,6)&lt;&gt;"VACUUM"),"CDU",IF($H14247="FLUID CAT CRACKING","FCC",IF(OR($H14247="HYDROCRACKING",$H14247="RESID_HYDROCRACKING"),"Hydrocracker",IF($H14247="REFORMING","Reformer",""))))</f>
        <v/>
      </c>
    </row>
    <row r="14248" spans="6:7">
      <c r="F14248" s="6">
        <f>IF($M14248="PADD I","PADD 1",IF($M14248="PADD II","PADD 2",IF($M14248="PADD III","PADD 3",IF($M14248="PADD IV","PADD 4",IF($M14248="PADD V","PADD 5","")))))</f>
        <v/>
      </c>
      <c r="G14248" s="6">
        <f>IF(AND($H14248="ATMOS DISTILLATION",ISNUMBER(SEARCH("VPS",$I14248))=FALSE,LEFT($I14248,6)&lt;&gt;"VACUUM"),"CDU",IF($H14248="FLUID CAT CRACKING","FCC",IF(OR($H14248="HYDROCRACKING",$H14248="RESID_HYDROCRACKING"),"Hydrocracker",IF($H14248="REFORMING","Reformer",""))))</f>
        <v/>
      </c>
    </row>
    <row r="14249" spans="6:7">
      <c r="F14249" s="6">
        <f>IF($M14249="PADD I","PADD 1",IF($M14249="PADD II","PADD 2",IF($M14249="PADD III","PADD 3",IF($M14249="PADD IV","PADD 4",IF($M14249="PADD V","PADD 5","")))))</f>
        <v/>
      </c>
      <c r="G14249" s="6">
        <f>IF(AND($H14249="ATMOS DISTILLATION",ISNUMBER(SEARCH("VPS",$I14249))=FALSE,LEFT($I14249,6)&lt;&gt;"VACUUM"),"CDU",IF($H14249="FLUID CAT CRACKING","FCC",IF(OR($H14249="HYDROCRACKING",$H14249="RESID_HYDROCRACKING"),"Hydrocracker",IF($H14249="REFORMING","Reformer",""))))</f>
        <v/>
      </c>
    </row>
    <row r="14250" spans="6:7">
      <c r="F14250" s="6">
        <f>IF($M14250="PADD I","PADD 1",IF($M14250="PADD II","PADD 2",IF($M14250="PADD III","PADD 3",IF($M14250="PADD IV","PADD 4",IF($M14250="PADD V","PADD 5","")))))</f>
        <v/>
      </c>
      <c r="G14250" s="6">
        <f>IF(AND($H14250="ATMOS DISTILLATION",ISNUMBER(SEARCH("VPS",$I14250))=FALSE,LEFT($I14250,6)&lt;&gt;"VACUUM"),"CDU",IF($H14250="FLUID CAT CRACKING","FCC",IF(OR($H14250="HYDROCRACKING",$H14250="RESID_HYDROCRACKING"),"Hydrocracker",IF($H14250="REFORMING","Reformer",""))))</f>
        <v/>
      </c>
    </row>
    <row r="14251" spans="6:7">
      <c r="F14251" s="6">
        <f>IF($M14251="PADD I","PADD 1",IF($M14251="PADD II","PADD 2",IF($M14251="PADD III","PADD 3",IF($M14251="PADD IV","PADD 4",IF($M14251="PADD V","PADD 5","")))))</f>
        <v/>
      </c>
      <c r="G14251" s="6">
        <f>IF(AND($H14251="ATMOS DISTILLATION",ISNUMBER(SEARCH("VPS",$I14251))=FALSE,LEFT($I14251,6)&lt;&gt;"VACUUM"),"CDU",IF($H14251="FLUID CAT CRACKING","FCC",IF(OR($H14251="HYDROCRACKING",$H14251="RESID_HYDROCRACKING"),"Hydrocracker",IF($H14251="REFORMING","Reformer",""))))</f>
        <v/>
      </c>
    </row>
    <row r="14252" spans="6:7">
      <c r="F14252" s="6">
        <f>IF($M14252="PADD I","PADD 1",IF($M14252="PADD II","PADD 2",IF($M14252="PADD III","PADD 3",IF($M14252="PADD IV","PADD 4",IF($M14252="PADD V","PADD 5","")))))</f>
        <v/>
      </c>
      <c r="G14252" s="6">
        <f>IF(AND($H14252="ATMOS DISTILLATION",ISNUMBER(SEARCH("VPS",$I14252))=FALSE,LEFT($I14252,6)&lt;&gt;"VACUUM"),"CDU",IF($H14252="FLUID CAT CRACKING","FCC",IF(OR($H14252="HYDROCRACKING",$H14252="RESID_HYDROCRACKING"),"Hydrocracker",IF($H14252="REFORMING","Reformer",""))))</f>
        <v/>
      </c>
    </row>
    <row r="14253" spans="6:7">
      <c r="F14253" s="6">
        <f>IF($M14253="PADD I","PADD 1",IF($M14253="PADD II","PADD 2",IF($M14253="PADD III","PADD 3",IF($M14253="PADD IV","PADD 4",IF($M14253="PADD V","PADD 5","")))))</f>
        <v/>
      </c>
      <c r="G14253" s="6">
        <f>IF(AND($H14253="ATMOS DISTILLATION",ISNUMBER(SEARCH("VPS",$I14253))=FALSE,LEFT($I14253,6)&lt;&gt;"VACUUM"),"CDU",IF($H14253="FLUID CAT CRACKING","FCC",IF(OR($H14253="HYDROCRACKING",$H14253="RESID_HYDROCRACKING"),"Hydrocracker",IF($H14253="REFORMING","Reformer",""))))</f>
        <v/>
      </c>
    </row>
    <row r="14254" spans="6:7">
      <c r="F14254" s="6">
        <f>IF($M14254="PADD I","PADD 1",IF($M14254="PADD II","PADD 2",IF($M14254="PADD III","PADD 3",IF($M14254="PADD IV","PADD 4",IF($M14254="PADD V","PADD 5","")))))</f>
        <v/>
      </c>
      <c r="G14254" s="6">
        <f>IF(AND($H14254="ATMOS DISTILLATION",ISNUMBER(SEARCH("VPS",$I14254))=FALSE,LEFT($I14254,6)&lt;&gt;"VACUUM"),"CDU",IF($H14254="FLUID CAT CRACKING","FCC",IF(OR($H14254="HYDROCRACKING",$H14254="RESID_HYDROCRACKING"),"Hydrocracker",IF($H14254="REFORMING","Reformer",""))))</f>
        <v/>
      </c>
    </row>
    <row r="14255" spans="6:7">
      <c r="F14255" s="6">
        <f>IF($M14255="PADD I","PADD 1",IF($M14255="PADD II","PADD 2",IF($M14255="PADD III","PADD 3",IF($M14255="PADD IV","PADD 4",IF($M14255="PADD V","PADD 5","")))))</f>
        <v/>
      </c>
      <c r="G14255" s="6">
        <f>IF(AND($H14255="ATMOS DISTILLATION",ISNUMBER(SEARCH("VPS",$I14255))=FALSE,LEFT($I14255,6)&lt;&gt;"VACUUM"),"CDU",IF($H14255="FLUID CAT CRACKING","FCC",IF(OR($H14255="HYDROCRACKING",$H14255="RESID_HYDROCRACKING"),"Hydrocracker",IF($H14255="REFORMING","Reformer",""))))</f>
        <v/>
      </c>
    </row>
    <row r="14256" spans="6:7">
      <c r="F14256" s="6">
        <f>IF($M14256="PADD I","PADD 1",IF($M14256="PADD II","PADD 2",IF($M14256="PADD III","PADD 3",IF($M14256="PADD IV","PADD 4",IF($M14256="PADD V","PADD 5","")))))</f>
        <v/>
      </c>
      <c r="G14256" s="6">
        <f>IF(AND($H14256="ATMOS DISTILLATION",ISNUMBER(SEARCH("VPS",$I14256))=FALSE,LEFT($I14256,6)&lt;&gt;"VACUUM"),"CDU",IF($H14256="FLUID CAT CRACKING","FCC",IF(OR($H14256="HYDROCRACKING",$H14256="RESID_HYDROCRACKING"),"Hydrocracker",IF($H14256="REFORMING","Reformer",""))))</f>
        <v/>
      </c>
    </row>
    <row r="14257" spans="6:7">
      <c r="F14257" s="6">
        <f>IF($M14257="PADD I","PADD 1",IF($M14257="PADD II","PADD 2",IF($M14257="PADD III","PADD 3",IF($M14257="PADD IV","PADD 4",IF($M14257="PADD V","PADD 5","")))))</f>
        <v/>
      </c>
      <c r="G14257" s="6">
        <f>IF(AND($H14257="ATMOS DISTILLATION",ISNUMBER(SEARCH("VPS",$I14257))=FALSE,LEFT($I14257,6)&lt;&gt;"VACUUM"),"CDU",IF($H14257="FLUID CAT CRACKING","FCC",IF(OR($H14257="HYDROCRACKING",$H14257="RESID_HYDROCRACKING"),"Hydrocracker",IF($H14257="REFORMING","Reformer",""))))</f>
        <v/>
      </c>
    </row>
    <row r="14258" spans="6:7">
      <c r="F14258" s="6">
        <f>IF($M14258="PADD I","PADD 1",IF($M14258="PADD II","PADD 2",IF($M14258="PADD III","PADD 3",IF($M14258="PADD IV","PADD 4",IF($M14258="PADD V","PADD 5","")))))</f>
        <v/>
      </c>
      <c r="G14258" s="6">
        <f>IF(AND($H14258="ATMOS DISTILLATION",ISNUMBER(SEARCH("VPS",$I14258))=FALSE,LEFT($I14258,6)&lt;&gt;"VACUUM"),"CDU",IF($H14258="FLUID CAT CRACKING","FCC",IF(OR($H14258="HYDROCRACKING",$H14258="RESID_HYDROCRACKING"),"Hydrocracker",IF($H14258="REFORMING","Reformer",""))))</f>
        <v/>
      </c>
    </row>
    <row r="14259" spans="6:7">
      <c r="F14259" s="6">
        <f>IF($M14259="PADD I","PADD 1",IF($M14259="PADD II","PADD 2",IF($M14259="PADD III","PADD 3",IF($M14259="PADD IV","PADD 4",IF($M14259="PADD V","PADD 5","")))))</f>
        <v/>
      </c>
      <c r="G14259" s="6">
        <f>IF(AND($H14259="ATMOS DISTILLATION",ISNUMBER(SEARCH("VPS",$I14259))=FALSE,LEFT($I14259,6)&lt;&gt;"VACUUM"),"CDU",IF($H14259="FLUID CAT CRACKING","FCC",IF(OR($H14259="HYDROCRACKING",$H14259="RESID_HYDROCRACKING"),"Hydrocracker",IF($H14259="REFORMING","Reformer",""))))</f>
        <v/>
      </c>
    </row>
    <row r="14260" spans="6:7">
      <c r="F14260" s="6">
        <f>IF($M14260="PADD I","PADD 1",IF($M14260="PADD II","PADD 2",IF($M14260="PADD III","PADD 3",IF($M14260="PADD IV","PADD 4",IF($M14260="PADD V","PADD 5","")))))</f>
        <v/>
      </c>
      <c r="G14260" s="6">
        <f>IF(AND($H14260="ATMOS DISTILLATION",ISNUMBER(SEARCH("VPS",$I14260))=FALSE,LEFT($I14260,6)&lt;&gt;"VACUUM"),"CDU",IF($H14260="FLUID CAT CRACKING","FCC",IF(OR($H14260="HYDROCRACKING",$H14260="RESID_HYDROCRACKING"),"Hydrocracker",IF($H14260="REFORMING","Reformer",""))))</f>
        <v/>
      </c>
    </row>
    <row r="14261" spans="6:7">
      <c r="F14261" s="6">
        <f>IF($M14261="PADD I","PADD 1",IF($M14261="PADD II","PADD 2",IF($M14261="PADD III","PADD 3",IF($M14261="PADD IV","PADD 4",IF($M14261="PADD V","PADD 5","")))))</f>
        <v/>
      </c>
      <c r="G14261" s="6">
        <f>IF(AND($H14261="ATMOS DISTILLATION",ISNUMBER(SEARCH("VPS",$I14261))=FALSE,LEFT($I14261,6)&lt;&gt;"VACUUM"),"CDU",IF($H14261="FLUID CAT CRACKING","FCC",IF(OR($H14261="HYDROCRACKING",$H14261="RESID_HYDROCRACKING"),"Hydrocracker",IF($H14261="REFORMING","Reformer",""))))</f>
        <v/>
      </c>
    </row>
    <row r="14262" spans="6:7">
      <c r="F14262" s="6">
        <f>IF($M14262="PADD I","PADD 1",IF($M14262="PADD II","PADD 2",IF($M14262="PADD III","PADD 3",IF($M14262="PADD IV","PADD 4",IF($M14262="PADD V","PADD 5","")))))</f>
        <v/>
      </c>
      <c r="G14262" s="6">
        <f>IF(AND($H14262="ATMOS DISTILLATION",ISNUMBER(SEARCH("VPS",$I14262))=FALSE,LEFT($I14262,6)&lt;&gt;"VACUUM"),"CDU",IF($H14262="FLUID CAT CRACKING","FCC",IF(OR($H14262="HYDROCRACKING",$H14262="RESID_HYDROCRACKING"),"Hydrocracker",IF($H14262="REFORMING","Reformer",""))))</f>
        <v/>
      </c>
    </row>
    <row r="14263" spans="6:7">
      <c r="F14263" s="6">
        <f>IF($M14263="PADD I","PADD 1",IF($M14263="PADD II","PADD 2",IF($M14263="PADD III","PADD 3",IF($M14263="PADD IV","PADD 4",IF($M14263="PADD V","PADD 5","")))))</f>
        <v/>
      </c>
      <c r="G14263" s="6">
        <f>IF(AND($H14263="ATMOS DISTILLATION",ISNUMBER(SEARCH("VPS",$I14263))=FALSE,LEFT($I14263,6)&lt;&gt;"VACUUM"),"CDU",IF($H14263="FLUID CAT CRACKING","FCC",IF(OR($H14263="HYDROCRACKING",$H14263="RESID_HYDROCRACKING"),"Hydrocracker",IF($H14263="REFORMING","Reformer",""))))</f>
        <v/>
      </c>
    </row>
    <row r="14264" spans="6:7">
      <c r="F14264" s="6">
        <f>IF($M14264="PADD I","PADD 1",IF($M14264="PADD II","PADD 2",IF($M14264="PADD III","PADD 3",IF($M14264="PADD IV","PADD 4",IF($M14264="PADD V","PADD 5","")))))</f>
        <v/>
      </c>
      <c r="G14264" s="6">
        <f>IF(AND($H14264="ATMOS DISTILLATION",ISNUMBER(SEARCH("VPS",$I14264))=FALSE,LEFT($I14264,6)&lt;&gt;"VACUUM"),"CDU",IF($H14264="FLUID CAT CRACKING","FCC",IF(OR($H14264="HYDROCRACKING",$H14264="RESID_HYDROCRACKING"),"Hydrocracker",IF($H14264="REFORMING","Reformer",""))))</f>
        <v/>
      </c>
    </row>
    <row r="14265" spans="6:7">
      <c r="F14265" s="6">
        <f>IF($M14265="PADD I","PADD 1",IF($M14265="PADD II","PADD 2",IF($M14265="PADD III","PADD 3",IF($M14265="PADD IV","PADD 4",IF($M14265="PADD V","PADD 5","")))))</f>
        <v/>
      </c>
      <c r="G14265" s="6">
        <f>IF(AND($H14265="ATMOS DISTILLATION",ISNUMBER(SEARCH("VPS",$I14265))=FALSE,LEFT($I14265,6)&lt;&gt;"VACUUM"),"CDU",IF($H14265="FLUID CAT CRACKING","FCC",IF(OR($H14265="HYDROCRACKING",$H14265="RESID_HYDROCRACKING"),"Hydrocracker",IF($H14265="REFORMING","Reformer",""))))</f>
        <v/>
      </c>
    </row>
    <row r="14266" spans="6:7">
      <c r="F14266" s="6">
        <f>IF($M14266="PADD I","PADD 1",IF($M14266="PADD II","PADD 2",IF($M14266="PADD III","PADD 3",IF($M14266="PADD IV","PADD 4",IF($M14266="PADD V","PADD 5","")))))</f>
        <v/>
      </c>
      <c r="G14266" s="6">
        <f>IF(AND($H14266="ATMOS DISTILLATION",ISNUMBER(SEARCH("VPS",$I14266))=FALSE,LEFT($I14266,6)&lt;&gt;"VACUUM"),"CDU",IF($H14266="FLUID CAT CRACKING","FCC",IF(OR($H14266="HYDROCRACKING",$H14266="RESID_HYDROCRACKING"),"Hydrocracker",IF($H14266="REFORMING","Reformer",""))))</f>
        <v/>
      </c>
    </row>
    <row r="14267" spans="6:7">
      <c r="F14267" s="6">
        <f>IF($M14267="PADD I","PADD 1",IF($M14267="PADD II","PADD 2",IF($M14267="PADD III","PADD 3",IF($M14267="PADD IV","PADD 4",IF($M14267="PADD V","PADD 5","")))))</f>
        <v/>
      </c>
      <c r="G14267" s="6">
        <f>IF(AND($H14267="ATMOS DISTILLATION",ISNUMBER(SEARCH("VPS",$I14267))=FALSE,LEFT($I14267,6)&lt;&gt;"VACUUM"),"CDU",IF($H14267="FLUID CAT CRACKING","FCC",IF(OR($H14267="HYDROCRACKING",$H14267="RESID_HYDROCRACKING"),"Hydrocracker",IF($H14267="REFORMING","Reformer",""))))</f>
        <v/>
      </c>
    </row>
    <row r="14268" spans="6:7">
      <c r="F14268" s="6">
        <f>IF($M14268="PADD I","PADD 1",IF($M14268="PADD II","PADD 2",IF($M14268="PADD III","PADD 3",IF($M14268="PADD IV","PADD 4",IF($M14268="PADD V","PADD 5","")))))</f>
        <v/>
      </c>
      <c r="G14268" s="6">
        <f>IF(AND($H14268="ATMOS DISTILLATION",ISNUMBER(SEARCH("VPS",$I14268))=FALSE,LEFT($I14268,6)&lt;&gt;"VACUUM"),"CDU",IF($H14268="FLUID CAT CRACKING","FCC",IF(OR($H14268="HYDROCRACKING",$H14268="RESID_HYDROCRACKING"),"Hydrocracker",IF($H14268="REFORMING","Reformer",""))))</f>
        <v/>
      </c>
    </row>
    <row r="14269" spans="6:7">
      <c r="F14269" s="6">
        <f>IF($M14269="PADD I","PADD 1",IF($M14269="PADD II","PADD 2",IF($M14269="PADD III","PADD 3",IF($M14269="PADD IV","PADD 4",IF($M14269="PADD V","PADD 5","")))))</f>
        <v/>
      </c>
      <c r="G14269" s="6">
        <f>IF(AND($H14269="ATMOS DISTILLATION",ISNUMBER(SEARCH("VPS",$I14269))=FALSE,LEFT($I14269,6)&lt;&gt;"VACUUM"),"CDU",IF($H14269="FLUID CAT CRACKING","FCC",IF(OR($H14269="HYDROCRACKING",$H14269="RESID_HYDROCRACKING"),"Hydrocracker",IF($H14269="REFORMING","Reformer",""))))</f>
        <v/>
      </c>
    </row>
    <row r="14270" spans="6:7">
      <c r="F14270" s="6">
        <f>IF($M14270="PADD I","PADD 1",IF($M14270="PADD II","PADD 2",IF($M14270="PADD III","PADD 3",IF($M14270="PADD IV","PADD 4",IF($M14270="PADD V","PADD 5","")))))</f>
        <v/>
      </c>
      <c r="G14270" s="6">
        <f>IF(AND($H14270="ATMOS DISTILLATION",ISNUMBER(SEARCH("VPS",$I14270))=FALSE,LEFT($I14270,6)&lt;&gt;"VACUUM"),"CDU",IF($H14270="FLUID CAT CRACKING","FCC",IF(OR($H14270="HYDROCRACKING",$H14270="RESID_HYDROCRACKING"),"Hydrocracker",IF($H14270="REFORMING","Reformer",""))))</f>
        <v/>
      </c>
    </row>
    <row r="14271" spans="6:7">
      <c r="F14271" s="6">
        <f>IF($M14271="PADD I","PADD 1",IF($M14271="PADD II","PADD 2",IF($M14271="PADD III","PADD 3",IF($M14271="PADD IV","PADD 4",IF($M14271="PADD V","PADD 5","")))))</f>
        <v/>
      </c>
      <c r="G14271" s="6">
        <f>IF(AND($H14271="ATMOS DISTILLATION",ISNUMBER(SEARCH("VPS",$I14271))=FALSE,LEFT($I14271,6)&lt;&gt;"VACUUM"),"CDU",IF($H14271="FLUID CAT CRACKING","FCC",IF(OR($H14271="HYDROCRACKING",$H14271="RESID_HYDROCRACKING"),"Hydrocracker",IF($H14271="REFORMING","Reformer",""))))</f>
        <v/>
      </c>
    </row>
    <row r="14272" spans="6:7">
      <c r="F14272" s="6">
        <f>IF($M14272="PADD I","PADD 1",IF($M14272="PADD II","PADD 2",IF($M14272="PADD III","PADD 3",IF($M14272="PADD IV","PADD 4",IF($M14272="PADD V","PADD 5","")))))</f>
        <v/>
      </c>
      <c r="G14272" s="6">
        <f>IF(AND($H14272="ATMOS DISTILLATION",ISNUMBER(SEARCH("VPS",$I14272))=FALSE,LEFT($I14272,6)&lt;&gt;"VACUUM"),"CDU",IF($H14272="FLUID CAT CRACKING","FCC",IF(OR($H14272="HYDROCRACKING",$H14272="RESID_HYDROCRACKING"),"Hydrocracker",IF($H14272="REFORMING","Reformer",""))))</f>
        <v/>
      </c>
    </row>
    <row r="14273" spans="6:7">
      <c r="F14273" s="6">
        <f>IF($M14273="PADD I","PADD 1",IF($M14273="PADD II","PADD 2",IF($M14273="PADD III","PADD 3",IF($M14273="PADD IV","PADD 4",IF($M14273="PADD V","PADD 5","")))))</f>
        <v/>
      </c>
      <c r="G14273" s="6">
        <f>IF(AND($H14273="ATMOS DISTILLATION",ISNUMBER(SEARCH("VPS",$I14273))=FALSE,LEFT($I14273,6)&lt;&gt;"VACUUM"),"CDU",IF($H14273="FLUID CAT CRACKING","FCC",IF(OR($H14273="HYDROCRACKING",$H14273="RESID_HYDROCRACKING"),"Hydrocracker",IF($H14273="REFORMING","Reformer",""))))</f>
        <v/>
      </c>
    </row>
    <row r="14274" spans="6:7">
      <c r="F14274" s="6">
        <f>IF($M14274="PADD I","PADD 1",IF($M14274="PADD II","PADD 2",IF($M14274="PADD III","PADD 3",IF($M14274="PADD IV","PADD 4",IF($M14274="PADD V","PADD 5","")))))</f>
        <v/>
      </c>
      <c r="G14274" s="6">
        <f>IF(AND($H14274="ATMOS DISTILLATION",ISNUMBER(SEARCH("VPS",$I14274))=FALSE,LEFT($I14274,6)&lt;&gt;"VACUUM"),"CDU",IF($H14274="FLUID CAT CRACKING","FCC",IF(OR($H14274="HYDROCRACKING",$H14274="RESID_HYDROCRACKING"),"Hydrocracker",IF($H14274="REFORMING","Reformer",""))))</f>
        <v/>
      </c>
    </row>
    <row r="14275" spans="6:7">
      <c r="F14275" s="6">
        <f>IF($M14275="PADD I","PADD 1",IF($M14275="PADD II","PADD 2",IF($M14275="PADD III","PADD 3",IF($M14275="PADD IV","PADD 4",IF($M14275="PADD V","PADD 5","")))))</f>
        <v/>
      </c>
      <c r="G14275" s="6">
        <f>IF(AND($H14275="ATMOS DISTILLATION",ISNUMBER(SEARCH("VPS",$I14275))=FALSE,LEFT($I14275,6)&lt;&gt;"VACUUM"),"CDU",IF($H14275="FLUID CAT CRACKING","FCC",IF(OR($H14275="HYDROCRACKING",$H14275="RESID_HYDROCRACKING"),"Hydrocracker",IF($H14275="REFORMING","Reformer",""))))</f>
        <v/>
      </c>
    </row>
    <row r="14276" spans="6:7">
      <c r="F14276" s="6">
        <f>IF($M14276="PADD I","PADD 1",IF($M14276="PADD II","PADD 2",IF($M14276="PADD III","PADD 3",IF($M14276="PADD IV","PADD 4",IF($M14276="PADD V","PADD 5","")))))</f>
        <v/>
      </c>
      <c r="G14276" s="6">
        <f>IF(AND($H14276="ATMOS DISTILLATION",ISNUMBER(SEARCH("VPS",$I14276))=FALSE,LEFT($I14276,6)&lt;&gt;"VACUUM"),"CDU",IF($H14276="FLUID CAT CRACKING","FCC",IF(OR($H14276="HYDROCRACKING",$H14276="RESID_HYDROCRACKING"),"Hydrocracker",IF($H14276="REFORMING","Reformer",""))))</f>
        <v/>
      </c>
    </row>
    <row r="14277" spans="6:7">
      <c r="F14277" s="6">
        <f>IF($M14277="PADD I","PADD 1",IF($M14277="PADD II","PADD 2",IF($M14277="PADD III","PADD 3",IF($M14277="PADD IV","PADD 4",IF($M14277="PADD V","PADD 5","")))))</f>
        <v/>
      </c>
      <c r="G14277" s="6">
        <f>IF(AND($H14277="ATMOS DISTILLATION",ISNUMBER(SEARCH("VPS",$I14277))=FALSE,LEFT($I14277,6)&lt;&gt;"VACUUM"),"CDU",IF($H14277="FLUID CAT CRACKING","FCC",IF(OR($H14277="HYDROCRACKING",$H14277="RESID_HYDROCRACKING"),"Hydrocracker",IF($H14277="REFORMING","Reformer",""))))</f>
        <v/>
      </c>
    </row>
    <row r="14278" spans="6:7">
      <c r="F14278" s="6">
        <f>IF($M14278="PADD I","PADD 1",IF($M14278="PADD II","PADD 2",IF($M14278="PADD III","PADD 3",IF($M14278="PADD IV","PADD 4",IF($M14278="PADD V","PADD 5","")))))</f>
        <v/>
      </c>
      <c r="G14278" s="6">
        <f>IF(AND($H14278="ATMOS DISTILLATION",ISNUMBER(SEARCH("VPS",$I14278))=FALSE,LEFT($I14278,6)&lt;&gt;"VACUUM"),"CDU",IF($H14278="FLUID CAT CRACKING","FCC",IF(OR($H14278="HYDROCRACKING",$H14278="RESID_HYDROCRACKING"),"Hydrocracker",IF($H14278="REFORMING","Reformer",""))))</f>
        <v/>
      </c>
    </row>
    <row r="14279" spans="6:7">
      <c r="F14279" s="6">
        <f>IF($M14279="PADD I","PADD 1",IF($M14279="PADD II","PADD 2",IF($M14279="PADD III","PADD 3",IF($M14279="PADD IV","PADD 4",IF($M14279="PADD V","PADD 5","")))))</f>
        <v/>
      </c>
      <c r="G14279" s="6">
        <f>IF(AND($H14279="ATMOS DISTILLATION",ISNUMBER(SEARCH("VPS",$I14279))=FALSE,LEFT($I14279,6)&lt;&gt;"VACUUM"),"CDU",IF($H14279="FLUID CAT CRACKING","FCC",IF(OR($H14279="HYDROCRACKING",$H14279="RESID_HYDROCRACKING"),"Hydrocracker",IF($H14279="REFORMING","Reformer",""))))</f>
        <v/>
      </c>
    </row>
    <row r="14280" spans="6:7">
      <c r="F14280" s="6">
        <f>IF($M14280="PADD I","PADD 1",IF($M14280="PADD II","PADD 2",IF($M14280="PADD III","PADD 3",IF($M14280="PADD IV","PADD 4",IF($M14280="PADD V","PADD 5","")))))</f>
        <v/>
      </c>
      <c r="G14280" s="6">
        <f>IF(AND($H14280="ATMOS DISTILLATION",ISNUMBER(SEARCH("VPS",$I14280))=FALSE,LEFT($I14280,6)&lt;&gt;"VACUUM"),"CDU",IF($H14280="FLUID CAT CRACKING","FCC",IF(OR($H14280="HYDROCRACKING",$H14280="RESID_HYDROCRACKING"),"Hydrocracker",IF($H14280="REFORMING","Reformer",""))))</f>
        <v/>
      </c>
    </row>
    <row r="14281" spans="6:7">
      <c r="F14281" s="6">
        <f>IF($M14281="PADD I","PADD 1",IF($M14281="PADD II","PADD 2",IF($M14281="PADD III","PADD 3",IF($M14281="PADD IV","PADD 4",IF($M14281="PADD V","PADD 5","")))))</f>
        <v/>
      </c>
      <c r="G14281" s="6">
        <f>IF(AND($H14281="ATMOS DISTILLATION",ISNUMBER(SEARCH("VPS",$I14281))=FALSE,LEFT($I14281,6)&lt;&gt;"VACUUM"),"CDU",IF($H14281="FLUID CAT CRACKING","FCC",IF(OR($H14281="HYDROCRACKING",$H14281="RESID_HYDROCRACKING"),"Hydrocracker",IF($H14281="REFORMING","Reformer",""))))</f>
        <v/>
      </c>
    </row>
    <row r="14282" spans="6:7">
      <c r="F14282" s="6">
        <f>IF($M14282="PADD I","PADD 1",IF($M14282="PADD II","PADD 2",IF($M14282="PADD III","PADD 3",IF($M14282="PADD IV","PADD 4",IF($M14282="PADD V","PADD 5","")))))</f>
        <v/>
      </c>
      <c r="G14282" s="6">
        <f>IF(AND($H14282="ATMOS DISTILLATION",ISNUMBER(SEARCH("VPS",$I14282))=FALSE,LEFT($I14282,6)&lt;&gt;"VACUUM"),"CDU",IF($H14282="FLUID CAT CRACKING","FCC",IF(OR($H14282="HYDROCRACKING",$H14282="RESID_HYDROCRACKING"),"Hydrocracker",IF($H14282="REFORMING","Reformer",""))))</f>
        <v/>
      </c>
    </row>
    <row r="14283" spans="6:7">
      <c r="F14283" s="6">
        <f>IF($M14283="PADD I","PADD 1",IF($M14283="PADD II","PADD 2",IF($M14283="PADD III","PADD 3",IF($M14283="PADD IV","PADD 4",IF($M14283="PADD V","PADD 5","")))))</f>
        <v/>
      </c>
      <c r="G14283" s="6">
        <f>IF(AND($H14283="ATMOS DISTILLATION",ISNUMBER(SEARCH("VPS",$I14283))=FALSE,LEFT($I14283,6)&lt;&gt;"VACUUM"),"CDU",IF($H14283="FLUID CAT CRACKING","FCC",IF(OR($H14283="HYDROCRACKING",$H14283="RESID_HYDROCRACKING"),"Hydrocracker",IF($H14283="REFORMING","Reformer",""))))</f>
        <v/>
      </c>
    </row>
    <row r="14284" spans="6:7">
      <c r="F14284" s="6">
        <f>IF($M14284="PADD I","PADD 1",IF($M14284="PADD II","PADD 2",IF($M14284="PADD III","PADD 3",IF($M14284="PADD IV","PADD 4",IF($M14284="PADD V","PADD 5","")))))</f>
        <v/>
      </c>
      <c r="G14284" s="6">
        <f>IF(AND($H14284="ATMOS DISTILLATION",ISNUMBER(SEARCH("VPS",$I14284))=FALSE,LEFT($I14284,6)&lt;&gt;"VACUUM"),"CDU",IF($H14284="FLUID CAT CRACKING","FCC",IF(OR($H14284="HYDROCRACKING",$H14284="RESID_HYDROCRACKING"),"Hydrocracker",IF($H14284="REFORMING","Reformer",""))))</f>
        <v/>
      </c>
    </row>
    <row r="14285" spans="6:7">
      <c r="F14285" s="6">
        <f>IF($M14285="PADD I","PADD 1",IF($M14285="PADD II","PADD 2",IF($M14285="PADD III","PADD 3",IF($M14285="PADD IV","PADD 4",IF($M14285="PADD V","PADD 5","")))))</f>
        <v/>
      </c>
      <c r="G14285" s="6">
        <f>IF(AND($H14285="ATMOS DISTILLATION",ISNUMBER(SEARCH("VPS",$I14285))=FALSE,LEFT($I14285,6)&lt;&gt;"VACUUM"),"CDU",IF($H14285="FLUID CAT CRACKING","FCC",IF(OR($H14285="HYDROCRACKING",$H14285="RESID_HYDROCRACKING"),"Hydrocracker",IF($H14285="REFORMING","Reformer",""))))</f>
        <v/>
      </c>
    </row>
    <row r="14286" spans="6:7">
      <c r="F14286" s="6">
        <f>IF($M14286="PADD I","PADD 1",IF($M14286="PADD II","PADD 2",IF($M14286="PADD III","PADD 3",IF($M14286="PADD IV","PADD 4",IF($M14286="PADD V","PADD 5","")))))</f>
        <v/>
      </c>
      <c r="G14286" s="6">
        <f>IF(AND($H14286="ATMOS DISTILLATION",ISNUMBER(SEARCH("VPS",$I14286))=FALSE,LEFT($I14286,6)&lt;&gt;"VACUUM"),"CDU",IF($H14286="FLUID CAT CRACKING","FCC",IF(OR($H14286="HYDROCRACKING",$H14286="RESID_HYDROCRACKING"),"Hydrocracker",IF($H14286="REFORMING","Reformer",""))))</f>
        <v/>
      </c>
    </row>
    <row r="14287" spans="6:7">
      <c r="F14287" s="6">
        <f>IF($M14287="PADD I","PADD 1",IF($M14287="PADD II","PADD 2",IF($M14287="PADD III","PADD 3",IF($M14287="PADD IV","PADD 4",IF($M14287="PADD V","PADD 5","")))))</f>
        <v/>
      </c>
      <c r="G14287" s="6">
        <f>IF(AND($H14287="ATMOS DISTILLATION",ISNUMBER(SEARCH("VPS",$I14287))=FALSE,LEFT($I14287,6)&lt;&gt;"VACUUM"),"CDU",IF($H14287="FLUID CAT CRACKING","FCC",IF(OR($H14287="HYDROCRACKING",$H14287="RESID_HYDROCRACKING"),"Hydrocracker",IF($H14287="REFORMING","Reformer",""))))</f>
        <v/>
      </c>
    </row>
    <row r="14288" spans="6:7">
      <c r="F14288" s="6">
        <f>IF($M14288="PADD I","PADD 1",IF($M14288="PADD II","PADD 2",IF($M14288="PADD III","PADD 3",IF($M14288="PADD IV","PADD 4",IF($M14288="PADD V","PADD 5","")))))</f>
        <v/>
      </c>
      <c r="G14288" s="6">
        <f>IF(AND($H14288="ATMOS DISTILLATION",ISNUMBER(SEARCH("VPS",$I14288))=FALSE,LEFT($I14288,6)&lt;&gt;"VACUUM"),"CDU",IF($H14288="FLUID CAT CRACKING","FCC",IF(OR($H14288="HYDROCRACKING",$H14288="RESID_HYDROCRACKING"),"Hydrocracker",IF($H14288="REFORMING","Reformer",""))))</f>
        <v/>
      </c>
    </row>
    <row r="14289" spans="6:7">
      <c r="F14289" s="6">
        <f>IF($M14289="PADD I","PADD 1",IF($M14289="PADD II","PADD 2",IF($M14289="PADD III","PADD 3",IF($M14289="PADD IV","PADD 4",IF($M14289="PADD V","PADD 5","")))))</f>
        <v/>
      </c>
      <c r="G14289" s="6">
        <f>IF(AND($H14289="ATMOS DISTILLATION",ISNUMBER(SEARCH("VPS",$I14289))=FALSE,LEFT($I14289,6)&lt;&gt;"VACUUM"),"CDU",IF($H14289="FLUID CAT CRACKING","FCC",IF(OR($H14289="HYDROCRACKING",$H14289="RESID_HYDROCRACKING"),"Hydrocracker",IF($H14289="REFORMING","Reformer",""))))</f>
        <v/>
      </c>
    </row>
    <row r="14290" spans="6:7">
      <c r="F14290" s="6">
        <f>IF($M14290="PADD I","PADD 1",IF($M14290="PADD II","PADD 2",IF($M14290="PADD III","PADD 3",IF($M14290="PADD IV","PADD 4",IF($M14290="PADD V","PADD 5","")))))</f>
        <v/>
      </c>
      <c r="G14290" s="6">
        <f>IF(AND($H14290="ATMOS DISTILLATION",ISNUMBER(SEARCH("VPS",$I14290))=FALSE,LEFT($I14290,6)&lt;&gt;"VACUUM"),"CDU",IF($H14290="FLUID CAT CRACKING","FCC",IF(OR($H14290="HYDROCRACKING",$H14290="RESID_HYDROCRACKING"),"Hydrocracker",IF($H14290="REFORMING","Reformer",""))))</f>
        <v/>
      </c>
    </row>
    <row r="14291" spans="6:7">
      <c r="F14291" s="6">
        <f>IF($M14291="PADD I","PADD 1",IF($M14291="PADD II","PADD 2",IF($M14291="PADD III","PADD 3",IF($M14291="PADD IV","PADD 4",IF($M14291="PADD V","PADD 5","")))))</f>
        <v/>
      </c>
      <c r="G14291" s="6">
        <f>IF(AND($H14291="ATMOS DISTILLATION",ISNUMBER(SEARCH("VPS",$I14291))=FALSE,LEFT($I14291,6)&lt;&gt;"VACUUM"),"CDU",IF($H14291="FLUID CAT CRACKING","FCC",IF(OR($H14291="HYDROCRACKING",$H14291="RESID_HYDROCRACKING"),"Hydrocracker",IF($H14291="REFORMING","Reformer",""))))</f>
        <v/>
      </c>
    </row>
    <row r="14292" spans="6:7">
      <c r="F14292" s="6">
        <f>IF($M14292="PADD I","PADD 1",IF($M14292="PADD II","PADD 2",IF($M14292="PADD III","PADD 3",IF($M14292="PADD IV","PADD 4",IF($M14292="PADD V","PADD 5","")))))</f>
        <v/>
      </c>
      <c r="G14292" s="6">
        <f>IF(AND($H14292="ATMOS DISTILLATION",ISNUMBER(SEARCH("VPS",$I14292))=FALSE,LEFT($I14292,6)&lt;&gt;"VACUUM"),"CDU",IF($H14292="FLUID CAT CRACKING","FCC",IF(OR($H14292="HYDROCRACKING",$H14292="RESID_HYDROCRACKING"),"Hydrocracker",IF($H14292="REFORMING","Reformer",""))))</f>
        <v/>
      </c>
    </row>
    <row r="14293" spans="6:7">
      <c r="F14293" s="6">
        <f>IF($M14293="PADD I","PADD 1",IF($M14293="PADD II","PADD 2",IF($M14293="PADD III","PADD 3",IF($M14293="PADD IV","PADD 4",IF($M14293="PADD V","PADD 5","")))))</f>
        <v/>
      </c>
      <c r="G14293" s="6">
        <f>IF(AND($H14293="ATMOS DISTILLATION",ISNUMBER(SEARCH("VPS",$I14293))=FALSE,LEFT($I14293,6)&lt;&gt;"VACUUM"),"CDU",IF($H14293="FLUID CAT CRACKING","FCC",IF(OR($H14293="HYDROCRACKING",$H14293="RESID_HYDROCRACKING"),"Hydrocracker",IF($H14293="REFORMING","Reformer",""))))</f>
        <v/>
      </c>
    </row>
    <row r="14294" spans="6:7">
      <c r="F14294" s="6">
        <f>IF($M14294="PADD I","PADD 1",IF($M14294="PADD II","PADD 2",IF($M14294="PADD III","PADD 3",IF($M14294="PADD IV","PADD 4",IF($M14294="PADD V","PADD 5","")))))</f>
        <v/>
      </c>
      <c r="G14294" s="6">
        <f>IF(AND($H14294="ATMOS DISTILLATION",ISNUMBER(SEARCH("VPS",$I14294))=FALSE,LEFT($I14294,6)&lt;&gt;"VACUUM"),"CDU",IF($H14294="FLUID CAT CRACKING","FCC",IF(OR($H14294="HYDROCRACKING",$H14294="RESID_HYDROCRACKING"),"Hydrocracker",IF($H14294="REFORMING","Reformer",""))))</f>
        <v/>
      </c>
    </row>
    <row r="14295" spans="6:7">
      <c r="F14295" s="6">
        <f>IF($M14295="PADD I","PADD 1",IF($M14295="PADD II","PADD 2",IF($M14295="PADD III","PADD 3",IF($M14295="PADD IV","PADD 4",IF($M14295="PADD V","PADD 5","")))))</f>
        <v/>
      </c>
      <c r="G14295" s="6">
        <f>IF(AND($H14295="ATMOS DISTILLATION",ISNUMBER(SEARCH("VPS",$I14295))=FALSE,LEFT($I14295,6)&lt;&gt;"VACUUM"),"CDU",IF($H14295="FLUID CAT CRACKING","FCC",IF(OR($H14295="HYDROCRACKING",$H14295="RESID_HYDROCRACKING"),"Hydrocracker",IF($H14295="REFORMING","Reformer",""))))</f>
        <v/>
      </c>
    </row>
    <row r="14296" spans="6:7">
      <c r="F14296" s="6">
        <f>IF($M14296="PADD I","PADD 1",IF($M14296="PADD II","PADD 2",IF($M14296="PADD III","PADD 3",IF($M14296="PADD IV","PADD 4",IF($M14296="PADD V","PADD 5","")))))</f>
        <v/>
      </c>
      <c r="G14296" s="6">
        <f>IF(AND($H14296="ATMOS DISTILLATION",ISNUMBER(SEARCH("VPS",$I14296))=FALSE,LEFT($I14296,6)&lt;&gt;"VACUUM"),"CDU",IF($H14296="FLUID CAT CRACKING","FCC",IF(OR($H14296="HYDROCRACKING",$H14296="RESID_HYDROCRACKING"),"Hydrocracker",IF($H14296="REFORMING","Reformer",""))))</f>
        <v/>
      </c>
    </row>
    <row r="14297" spans="6:7">
      <c r="F14297" s="6">
        <f>IF($M14297="PADD I","PADD 1",IF($M14297="PADD II","PADD 2",IF($M14297="PADD III","PADD 3",IF($M14297="PADD IV","PADD 4",IF($M14297="PADD V","PADD 5","")))))</f>
        <v/>
      </c>
      <c r="G14297" s="6">
        <f>IF(AND($H14297="ATMOS DISTILLATION",ISNUMBER(SEARCH("VPS",$I14297))=FALSE,LEFT($I14297,6)&lt;&gt;"VACUUM"),"CDU",IF($H14297="FLUID CAT CRACKING","FCC",IF(OR($H14297="HYDROCRACKING",$H14297="RESID_HYDROCRACKING"),"Hydrocracker",IF($H14297="REFORMING","Reformer",""))))</f>
        <v/>
      </c>
    </row>
    <row r="14298" spans="6:7">
      <c r="F14298" s="6">
        <f>IF($M14298="PADD I","PADD 1",IF($M14298="PADD II","PADD 2",IF($M14298="PADD III","PADD 3",IF($M14298="PADD IV","PADD 4",IF($M14298="PADD V","PADD 5","")))))</f>
        <v/>
      </c>
      <c r="G14298" s="6">
        <f>IF(AND($H14298="ATMOS DISTILLATION",ISNUMBER(SEARCH("VPS",$I14298))=FALSE,LEFT($I14298,6)&lt;&gt;"VACUUM"),"CDU",IF($H14298="FLUID CAT CRACKING","FCC",IF(OR($H14298="HYDROCRACKING",$H14298="RESID_HYDROCRACKING"),"Hydrocracker",IF($H14298="REFORMING","Reformer",""))))</f>
        <v/>
      </c>
    </row>
    <row r="14299" spans="6:7">
      <c r="F14299" s="6">
        <f>IF($M14299="PADD I","PADD 1",IF($M14299="PADD II","PADD 2",IF($M14299="PADD III","PADD 3",IF($M14299="PADD IV","PADD 4",IF($M14299="PADD V","PADD 5","")))))</f>
        <v/>
      </c>
      <c r="G14299" s="6">
        <f>IF(AND($H14299="ATMOS DISTILLATION",ISNUMBER(SEARCH("VPS",$I14299))=FALSE,LEFT($I14299,6)&lt;&gt;"VACUUM"),"CDU",IF($H14299="FLUID CAT CRACKING","FCC",IF(OR($H14299="HYDROCRACKING",$H14299="RESID_HYDROCRACKING"),"Hydrocracker",IF($H14299="REFORMING","Reformer",""))))</f>
        <v/>
      </c>
    </row>
    <row r="14300" spans="6:7">
      <c r="F14300" s="6">
        <f>IF($M14300="PADD I","PADD 1",IF($M14300="PADD II","PADD 2",IF($M14300="PADD III","PADD 3",IF($M14300="PADD IV","PADD 4",IF($M14300="PADD V","PADD 5","")))))</f>
        <v/>
      </c>
      <c r="G14300" s="6">
        <f>IF(AND($H14300="ATMOS DISTILLATION",ISNUMBER(SEARCH("VPS",$I14300))=FALSE,LEFT($I14300,6)&lt;&gt;"VACUUM"),"CDU",IF($H14300="FLUID CAT CRACKING","FCC",IF(OR($H14300="HYDROCRACKING",$H14300="RESID_HYDROCRACKING"),"Hydrocracker",IF($H14300="REFORMING","Reformer",""))))</f>
        <v/>
      </c>
    </row>
    <row r="14301" spans="6:7">
      <c r="F14301" s="6">
        <f>IF($M14301="PADD I","PADD 1",IF($M14301="PADD II","PADD 2",IF($M14301="PADD III","PADD 3",IF($M14301="PADD IV","PADD 4",IF($M14301="PADD V","PADD 5","")))))</f>
        <v/>
      </c>
      <c r="G14301" s="6">
        <f>IF(AND($H14301="ATMOS DISTILLATION",ISNUMBER(SEARCH("VPS",$I14301))=FALSE,LEFT($I14301,6)&lt;&gt;"VACUUM"),"CDU",IF($H14301="FLUID CAT CRACKING","FCC",IF(OR($H14301="HYDROCRACKING",$H14301="RESID_HYDROCRACKING"),"Hydrocracker",IF($H14301="REFORMING","Reformer",""))))</f>
        <v/>
      </c>
    </row>
    <row r="14302" spans="6:7">
      <c r="F14302" s="6">
        <f>IF($M14302="PADD I","PADD 1",IF($M14302="PADD II","PADD 2",IF($M14302="PADD III","PADD 3",IF($M14302="PADD IV","PADD 4",IF($M14302="PADD V","PADD 5","")))))</f>
        <v/>
      </c>
      <c r="G14302" s="6">
        <f>IF(AND($H14302="ATMOS DISTILLATION",ISNUMBER(SEARCH("VPS",$I14302))=FALSE,LEFT($I14302,6)&lt;&gt;"VACUUM"),"CDU",IF($H14302="FLUID CAT CRACKING","FCC",IF(OR($H14302="HYDROCRACKING",$H14302="RESID_HYDROCRACKING"),"Hydrocracker",IF($H14302="REFORMING","Reformer",""))))</f>
        <v/>
      </c>
    </row>
    <row r="14303" spans="6:7">
      <c r="F14303" s="6">
        <f>IF($M14303="PADD I","PADD 1",IF($M14303="PADD II","PADD 2",IF($M14303="PADD III","PADD 3",IF($M14303="PADD IV","PADD 4",IF($M14303="PADD V","PADD 5","")))))</f>
        <v/>
      </c>
      <c r="G14303" s="6">
        <f>IF(AND($H14303="ATMOS DISTILLATION",ISNUMBER(SEARCH("VPS",$I14303))=FALSE,LEFT($I14303,6)&lt;&gt;"VACUUM"),"CDU",IF($H14303="FLUID CAT CRACKING","FCC",IF(OR($H14303="HYDROCRACKING",$H14303="RESID_HYDROCRACKING"),"Hydrocracker",IF($H14303="REFORMING","Reformer",""))))</f>
        <v/>
      </c>
    </row>
    <row r="14304" spans="6:7">
      <c r="F14304" s="6">
        <f>IF($M14304="PADD I","PADD 1",IF($M14304="PADD II","PADD 2",IF($M14304="PADD III","PADD 3",IF($M14304="PADD IV","PADD 4",IF($M14304="PADD V","PADD 5","")))))</f>
        <v/>
      </c>
      <c r="G14304" s="6">
        <f>IF(AND($H14304="ATMOS DISTILLATION",ISNUMBER(SEARCH("VPS",$I14304))=FALSE,LEFT($I14304,6)&lt;&gt;"VACUUM"),"CDU",IF($H14304="FLUID CAT CRACKING","FCC",IF(OR($H14304="HYDROCRACKING",$H14304="RESID_HYDROCRACKING"),"Hydrocracker",IF($H14304="REFORMING","Reformer",""))))</f>
        <v/>
      </c>
    </row>
    <row r="14305" spans="6:7">
      <c r="F14305" s="6">
        <f>IF($M14305="PADD I","PADD 1",IF($M14305="PADD II","PADD 2",IF($M14305="PADD III","PADD 3",IF($M14305="PADD IV","PADD 4",IF($M14305="PADD V","PADD 5","")))))</f>
        <v/>
      </c>
      <c r="G14305" s="6">
        <f>IF(AND($H14305="ATMOS DISTILLATION",ISNUMBER(SEARCH("VPS",$I14305))=FALSE,LEFT($I14305,6)&lt;&gt;"VACUUM"),"CDU",IF($H14305="FLUID CAT CRACKING","FCC",IF(OR($H14305="HYDROCRACKING",$H14305="RESID_HYDROCRACKING"),"Hydrocracker",IF($H14305="REFORMING","Reformer",""))))</f>
        <v/>
      </c>
    </row>
    <row r="14306" spans="6:7">
      <c r="F14306" s="6">
        <f>IF($M14306="PADD I","PADD 1",IF($M14306="PADD II","PADD 2",IF($M14306="PADD III","PADD 3",IF($M14306="PADD IV","PADD 4",IF($M14306="PADD V","PADD 5","")))))</f>
        <v/>
      </c>
      <c r="G14306" s="6">
        <f>IF(AND($H14306="ATMOS DISTILLATION",ISNUMBER(SEARCH("VPS",$I14306))=FALSE,LEFT($I14306,6)&lt;&gt;"VACUUM"),"CDU",IF($H14306="FLUID CAT CRACKING","FCC",IF(OR($H14306="HYDROCRACKING",$H14306="RESID_HYDROCRACKING"),"Hydrocracker",IF($H14306="REFORMING","Reformer",""))))</f>
        <v/>
      </c>
    </row>
    <row r="14307" spans="6:7">
      <c r="F14307" s="6">
        <f>IF($M14307="PADD I","PADD 1",IF($M14307="PADD II","PADD 2",IF($M14307="PADD III","PADD 3",IF($M14307="PADD IV","PADD 4",IF($M14307="PADD V","PADD 5","")))))</f>
        <v/>
      </c>
      <c r="G14307" s="6">
        <f>IF(AND($H14307="ATMOS DISTILLATION",ISNUMBER(SEARCH("VPS",$I14307))=FALSE,LEFT($I14307,6)&lt;&gt;"VACUUM"),"CDU",IF($H14307="FLUID CAT CRACKING","FCC",IF(OR($H14307="HYDROCRACKING",$H14307="RESID_HYDROCRACKING"),"Hydrocracker",IF($H14307="REFORMING","Reformer",""))))</f>
        <v/>
      </c>
    </row>
    <row r="14308" spans="6:7">
      <c r="F14308" s="6">
        <f>IF($M14308="PADD I","PADD 1",IF($M14308="PADD II","PADD 2",IF($M14308="PADD III","PADD 3",IF($M14308="PADD IV","PADD 4",IF($M14308="PADD V","PADD 5","")))))</f>
        <v/>
      </c>
      <c r="G14308" s="6">
        <f>IF(AND($H14308="ATMOS DISTILLATION",ISNUMBER(SEARCH("VPS",$I14308))=FALSE,LEFT($I14308,6)&lt;&gt;"VACUUM"),"CDU",IF($H14308="FLUID CAT CRACKING","FCC",IF(OR($H14308="HYDROCRACKING",$H14308="RESID_HYDROCRACKING"),"Hydrocracker",IF($H14308="REFORMING","Reformer",""))))</f>
        <v/>
      </c>
    </row>
    <row r="14309" spans="6:7">
      <c r="F14309" s="6">
        <f>IF($M14309="PADD I","PADD 1",IF($M14309="PADD II","PADD 2",IF($M14309="PADD III","PADD 3",IF($M14309="PADD IV","PADD 4",IF($M14309="PADD V","PADD 5","")))))</f>
        <v/>
      </c>
      <c r="G14309" s="6">
        <f>IF(AND($H14309="ATMOS DISTILLATION",ISNUMBER(SEARCH("VPS",$I14309))=FALSE,LEFT($I14309,6)&lt;&gt;"VACUUM"),"CDU",IF($H14309="FLUID CAT CRACKING","FCC",IF(OR($H14309="HYDROCRACKING",$H14309="RESID_HYDROCRACKING"),"Hydrocracker",IF($H14309="REFORMING","Reformer",""))))</f>
        <v/>
      </c>
    </row>
    <row r="14310" spans="6:7">
      <c r="F14310" s="6">
        <f>IF($M14310="PADD I","PADD 1",IF($M14310="PADD II","PADD 2",IF($M14310="PADD III","PADD 3",IF($M14310="PADD IV","PADD 4",IF($M14310="PADD V","PADD 5","")))))</f>
        <v/>
      </c>
      <c r="G14310" s="6">
        <f>IF(AND($H14310="ATMOS DISTILLATION",ISNUMBER(SEARCH("VPS",$I14310))=FALSE,LEFT($I14310,6)&lt;&gt;"VACUUM"),"CDU",IF($H14310="FLUID CAT CRACKING","FCC",IF(OR($H14310="HYDROCRACKING",$H14310="RESID_HYDROCRACKING"),"Hydrocracker",IF($H14310="REFORMING","Reformer",""))))</f>
        <v/>
      </c>
    </row>
    <row r="14311" spans="6:7">
      <c r="F14311" s="6">
        <f>IF($M14311="PADD I","PADD 1",IF($M14311="PADD II","PADD 2",IF($M14311="PADD III","PADD 3",IF($M14311="PADD IV","PADD 4",IF($M14311="PADD V","PADD 5","")))))</f>
        <v/>
      </c>
      <c r="G14311" s="6">
        <f>IF(AND($H14311="ATMOS DISTILLATION",ISNUMBER(SEARCH("VPS",$I14311))=FALSE,LEFT($I14311,6)&lt;&gt;"VACUUM"),"CDU",IF($H14311="FLUID CAT CRACKING","FCC",IF(OR($H14311="HYDROCRACKING",$H14311="RESID_HYDROCRACKING"),"Hydrocracker",IF($H14311="REFORMING","Reformer",""))))</f>
        <v/>
      </c>
    </row>
    <row r="14312" spans="6:7">
      <c r="F14312" s="6">
        <f>IF($M14312="PADD I","PADD 1",IF($M14312="PADD II","PADD 2",IF($M14312="PADD III","PADD 3",IF($M14312="PADD IV","PADD 4",IF($M14312="PADD V","PADD 5","")))))</f>
        <v/>
      </c>
      <c r="G14312" s="6">
        <f>IF(AND($H14312="ATMOS DISTILLATION",ISNUMBER(SEARCH("VPS",$I14312))=FALSE,LEFT($I14312,6)&lt;&gt;"VACUUM"),"CDU",IF($H14312="FLUID CAT CRACKING","FCC",IF(OR($H14312="HYDROCRACKING",$H14312="RESID_HYDROCRACKING"),"Hydrocracker",IF($H14312="REFORMING","Reformer",""))))</f>
        <v/>
      </c>
    </row>
    <row r="14313" spans="6:7">
      <c r="F14313" s="6">
        <f>IF($M14313="PADD I","PADD 1",IF($M14313="PADD II","PADD 2",IF($M14313="PADD III","PADD 3",IF($M14313="PADD IV","PADD 4",IF($M14313="PADD V","PADD 5","")))))</f>
        <v/>
      </c>
      <c r="G14313" s="6">
        <f>IF(AND($H14313="ATMOS DISTILLATION",ISNUMBER(SEARCH("VPS",$I14313))=FALSE,LEFT($I14313,6)&lt;&gt;"VACUUM"),"CDU",IF($H14313="FLUID CAT CRACKING","FCC",IF(OR($H14313="HYDROCRACKING",$H14313="RESID_HYDROCRACKING"),"Hydrocracker",IF($H14313="REFORMING","Reformer",""))))</f>
        <v/>
      </c>
    </row>
    <row r="14314" spans="6:7">
      <c r="F14314" s="6">
        <f>IF($M14314="PADD I","PADD 1",IF($M14314="PADD II","PADD 2",IF($M14314="PADD III","PADD 3",IF($M14314="PADD IV","PADD 4",IF($M14314="PADD V","PADD 5","")))))</f>
        <v/>
      </c>
      <c r="G14314" s="6">
        <f>IF(AND($H14314="ATMOS DISTILLATION",ISNUMBER(SEARCH("VPS",$I14314))=FALSE,LEFT($I14314,6)&lt;&gt;"VACUUM"),"CDU",IF($H14314="FLUID CAT CRACKING","FCC",IF(OR($H14314="HYDROCRACKING",$H14314="RESID_HYDROCRACKING"),"Hydrocracker",IF($H14314="REFORMING","Reformer",""))))</f>
        <v/>
      </c>
    </row>
    <row r="14315" spans="6:7">
      <c r="F14315" s="6">
        <f>IF($M14315="PADD I","PADD 1",IF($M14315="PADD II","PADD 2",IF($M14315="PADD III","PADD 3",IF($M14315="PADD IV","PADD 4",IF($M14315="PADD V","PADD 5","")))))</f>
        <v/>
      </c>
      <c r="G14315" s="6">
        <f>IF(AND($H14315="ATMOS DISTILLATION",ISNUMBER(SEARCH("VPS",$I14315))=FALSE,LEFT($I14315,6)&lt;&gt;"VACUUM"),"CDU",IF($H14315="FLUID CAT CRACKING","FCC",IF(OR($H14315="HYDROCRACKING",$H14315="RESID_HYDROCRACKING"),"Hydrocracker",IF($H14315="REFORMING","Reformer",""))))</f>
        <v/>
      </c>
    </row>
    <row r="14316" spans="6:7">
      <c r="F14316" s="6">
        <f>IF($M14316="PADD I","PADD 1",IF($M14316="PADD II","PADD 2",IF($M14316="PADD III","PADD 3",IF($M14316="PADD IV","PADD 4",IF($M14316="PADD V","PADD 5","")))))</f>
        <v/>
      </c>
      <c r="G14316" s="6">
        <f>IF(AND($H14316="ATMOS DISTILLATION",ISNUMBER(SEARCH("VPS",$I14316))=FALSE,LEFT($I14316,6)&lt;&gt;"VACUUM"),"CDU",IF($H14316="FLUID CAT CRACKING","FCC",IF(OR($H14316="HYDROCRACKING",$H14316="RESID_HYDROCRACKING"),"Hydrocracker",IF($H14316="REFORMING","Reformer",""))))</f>
        <v/>
      </c>
    </row>
    <row r="14317" spans="6:7">
      <c r="F14317" s="6">
        <f>IF($M14317="PADD I","PADD 1",IF($M14317="PADD II","PADD 2",IF($M14317="PADD III","PADD 3",IF($M14317="PADD IV","PADD 4",IF($M14317="PADD V","PADD 5","")))))</f>
        <v/>
      </c>
      <c r="G14317" s="6">
        <f>IF(AND($H14317="ATMOS DISTILLATION",ISNUMBER(SEARCH("VPS",$I14317))=FALSE,LEFT($I14317,6)&lt;&gt;"VACUUM"),"CDU",IF($H14317="FLUID CAT CRACKING","FCC",IF(OR($H14317="HYDROCRACKING",$H14317="RESID_HYDROCRACKING"),"Hydrocracker",IF($H14317="REFORMING","Reformer",""))))</f>
        <v/>
      </c>
    </row>
    <row r="14318" spans="6:7">
      <c r="F14318" s="6">
        <f>IF($M14318="PADD I","PADD 1",IF($M14318="PADD II","PADD 2",IF($M14318="PADD III","PADD 3",IF($M14318="PADD IV","PADD 4",IF($M14318="PADD V","PADD 5","")))))</f>
        <v/>
      </c>
      <c r="G14318" s="6">
        <f>IF(AND($H14318="ATMOS DISTILLATION",ISNUMBER(SEARCH("VPS",$I14318))=FALSE,LEFT($I14318,6)&lt;&gt;"VACUUM"),"CDU",IF($H14318="FLUID CAT CRACKING","FCC",IF(OR($H14318="HYDROCRACKING",$H14318="RESID_HYDROCRACKING"),"Hydrocracker",IF($H14318="REFORMING","Reformer",""))))</f>
        <v/>
      </c>
    </row>
    <row r="14319" spans="6:7">
      <c r="F14319" s="6">
        <f>IF($M14319="PADD I","PADD 1",IF($M14319="PADD II","PADD 2",IF($M14319="PADD III","PADD 3",IF($M14319="PADD IV","PADD 4",IF($M14319="PADD V","PADD 5","")))))</f>
        <v/>
      </c>
      <c r="G14319" s="6">
        <f>IF(AND($H14319="ATMOS DISTILLATION",ISNUMBER(SEARCH("VPS",$I14319))=FALSE,LEFT($I14319,6)&lt;&gt;"VACUUM"),"CDU",IF($H14319="FLUID CAT CRACKING","FCC",IF(OR($H14319="HYDROCRACKING",$H14319="RESID_HYDROCRACKING"),"Hydrocracker",IF($H14319="REFORMING","Reformer",""))))</f>
        <v/>
      </c>
    </row>
    <row r="14320" spans="6:7">
      <c r="F14320" s="6">
        <f>IF($M14320="PADD I","PADD 1",IF($M14320="PADD II","PADD 2",IF($M14320="PADD III","PADD 3",IF($M14320="PADD IV","PADD 4",IF($M14320="PADD V","PADD 5","")))))</f>
        <v/>
      </c>
      <c r="G14320" s="6">
        <f>IF(AND($H14320="ATMOS DISTILLATION",ISNUMBER(SEARCH("VPS",$I14320))=FALSE,LEFT($I14320,6)&lt;&gt;"VACUUM"),"CDU",IF($H14320="FLUID CAT CRACKING","FCC",IF(OR($H14320="HYDROCRACKING",$H14320="RESID_HYDROCRACKING"),"Hydrocracker",IF($H14320="REFORMING","Reformer",""))))</f>
        <v/>
      </c>
    </row>
    <row r="14321" spans="6:7">
      <c r="F14321" s="6">
        <f>IF($M14321="PADD I","PADD 1",IF($M14321="PADD II","PADD 2",IF($M14321="PADD III","PADD 3",IF($M14321="PADD IV","PADD 4",IF($M14321="PADD V","PADD 5","")))))</f>
        <v/>
      </c>
      <c r="G14321" s="6">
        <f>IF(AND($H14321="ATMOS DISTILLATION",ISNUMBER(SEARCH("VPS",$I14321))=FALSE,LEFT($I14321,6)&lt;&gt;"VACUUM"),"CDU",IF($H14321="FLUID CAT CRACKING","FCC",IF(OR($H14321="HYDROCRACKING",$H14321="RESID_HYDROCRACKING"),"Hydrocracker",IF($H14321="REFORMING","Reformer",""))))</f>
        <v/>
      </c>
    </row>
    <row r="14322" spans="6:7">
      <c r="F14322" s="6">
        <f>IF($M14322="PADD I","PADD 1",IF($M14322="PADD II","PADD 2",IF($M14322="PADD III","PADD 3",IF($M14322="PADD IV","PADD 4",IF($M14322="PADD V","PADD 5","")))))</f>
        <v/>
      </c>
      <c r="G14322" s="6">
        <f>IF(AND($H14322="ATMOS DISTILLATION",ISNUMBER(SEARCH("VPS",$I14322))=FALSE,LEFT($I14322,6)&lt;&gt;"VACUUM"),"CDU",IF($H14322="FLUID CAT CRACKING","FCC",IF(OR($H14322="HYDROCRACKING",$H14322="RESID_HYDROCRACKING"),"Hydrocracker",IF($H14322="REFORMING","Reformer",""))))</f>
        <v/>
      </c>
    </row>
    <row r="14323" spans="6:7">
      <c r="F14323" s="6">
        <f>IF($M14323="PADD I","PADD 1",IF($M14323="PADD II","PADD 2",IF($M14323="PADD III","PADD 3",IF($M14323="PADD IV","PADD 4",IF($M14323="PADD V","PADD 5","")))))</f>
        <v/>
      </c>
      <c r="G14323" s="6">
        <f>IF(AND($H14323="ATMOS DISTILLATION",ISNUMBER(SEARCH("VPS",$I14323))=FALSE,LEFT($I14323,6)&lt;&gt;"VACUUM"),"CDU",IF($H14323="FLUID CAT CRACKING","FCC",IF(OR($H14323="HYDROCRACKING",$H14323="RESID_HYDROCRACKING"),"Hydrocracker",IF($H14323="REFORMING","Reformer",""))))</f>
        <v/>
      </c>
    </row>
    <row r="14324" spans="6:7">
      <c r="F14324" s="6">
        <f>IF($M14324="PADD I","PADD 1",IF($M14324="PADD II","PADD 2",IF($M14324="PADD III","PADD 3",IF($M14324="PADD IV","PADD 4",IF($M14324="PADD V","PADD 5","")))))</f>
        <v/>
      </c>
      <c r="G14324" s="6">
        <f>IF(AND($H14324="ATMOS DISTILLATION",ISNUMBER(SEARCH("VPS",$I14324))=FALSE,LEFT($I14324,6)&lt;&gt;"VACUUM"),"CDU",IF($H14324="FLUID CAT CRACKING","FCC",IF(OR($H14324="HYDROCRACKING",$H14324="RESID_HYDROCRACKING"),"Hydrocracker",IF($H14324="REFORMING","Reformer",""))))</f>
        <v/>
      </c>
    </row>
    <row r="14325" spans="6:7">
      <c r="F14325" s="6">
        <f>IF($M14325="PADD I","PADD 1",IF($M14325="PADD II","PADD 2",IF($M14325="PADD III","PADD 3",IF($M14325="PADD IV","PADD 4",IF($M14325="PADD V","PADD 5","")))))</f>
        <v/>
      </c>
      <c r="G14325" s="6">
        <f>IF(AND($H14325="ATMOS DISTILLATION",ISNUMBER(SEARCH("VPS",$I14325))=FALSE,LEFT($I14325,6)&lt;&gt;"VACUUM"),"CDU",IF($H14325="FLUID CAT CRACKING","FCC",IF(OR($H14325="HYDROCRACKING",$H14325="RESID_HYDROCRACKING"),"Hydrocracker",IF($H14325="REFORMING","Reformer",""))))</f>
        <v/>
      </c>
    </row>
    <row r="14326" spans="6:7">
      <c r="F14326" s="6">
        <f>IF($M14326="PADD I","PADD 1",IF($M14326="PADD II","PADD 2",IF($M14326="PADD III","PADD 3",IF($M14326="PADD IV","PADD 4",IF($M14326="PADD V","PADD 5","")))))</f>
        <v/>
      </c>
      <c r="G14326" s="6">
        <f>IF(AND($H14326="ATMOS DISTILLATION",ISNUMBER(SEARCH("VPS",$I14326))=FALSE,LEFT($I14326,6)&lt;&gt;"VACUUM"),"CDU",IF($H14326="FLUID CAT CRACKING","FCC",IF(OR($H14326="HYDROCRACKING",$H14326="RESID_HYDROCRACKING"),"Hydrocracker",IF($H14326="REFORMING","Reformer",""))))</f>
        <v/>
      </c>
    </row>
    <row r="14327" spans="6:7">
      <c r="F14327" s="6">
        <f>IF($M14327="PADD I","PADD 1",IF($M14327="PADD II","PADD 2",IF($M14327="PADD III","PADD 3",IF($M14327="PADD IV","PADD 4",IF($M14327="PADD V","PADD 5","")))))</f>
        <v/>
      </c>
      <c r="G14327" s="6">
        <f>IF(AND($H14327="ATMOS DISTILLATION",ISNUMBER(SEARCH("VPS",$I14327))=FALSE,LEFT($I14327,6)&lt;&gt;"VACUUM"),"CDU",IF($H14327="FLUID CAT CRACKING","FCC",IF(OR($H14327="HYDROCRACKING",$H14327="RESID_HYDROCRACKING"),"Hydrocracker",IF($H14327="REFORMING","Reformer",""))))</f>
        <v/>
      </c>
    </row>
    <row r="14328" spans="6:7">
      <c r="F14328" s="6">
        <f>IF($M14328="PADD I","PADD 1",IF($M14328="PADD II","PADD 2",IF($M14328="PADD III","PADD 3",IF($M14328="PADD IV","PADD 4",IF($M14328="PADD V","PADD 5","")))))</f>
        <v/>
      </c>
      <c r="G14328" s="6">
        <f>IF(AND($H14328="ATMOS DISTILLATION",ISNUMBER(SEARCH("VPS",$I14328))=FALSE,LEFT($I14328,6)&lt;&gt;"VACUUM"),"CDU",IF($H14328="FLUID CAT CRACKING","FCC",IF(OR($H14328="HYDROCRACKING",$H14328="RESID_HYDROCRACKING"),"Hydrocracker",IF($H14328="REFORMING","Reformer",""))))</f>
        <v/>
      </c>
    </row>
    <row r="14329" spans="6:7">
      <c r="F14329" s="6">
        <f>IF($M14329="PADD I","PADD 1",IF($M14329="PADD II","PADD 2",IF($M14329="PADD III","PADD 3",IF($M14329="PADD IV","PADD 4",IF($M14329="PADD V","PADD 5","")))))</f>
        <v/>
      </c>
      <c r="G14329" s="6">
        <f>IF(AND($H14329="ATMOS DISTILLATION",ISNUMBER(SEARCH("VPS",$I14329))=FALSE,LEFT($I14329,6)&lt;&gt;"VACUUM"),"CDU",IF($H14329="FLUID CAT CRACKING","FCC",IF(OR($H14329="HYDROCRACKING",$H14329="RESID_HYDROCRACKING"),"Hydrocracker",IF($H14329="REFORMING","Reformer",""))))</f>
        <v/>
      </c>
    </row>
    <row r="14330" spans="6:7">
      <c r="F14330" s="6">
        <f>IF($M14330="PADD I","PADD 1",IF($M14330="PADD II","PADD 2",IF($M14330="PADD III","PADD 3",IF($M14330="PADD IV","PADD 4",IF($M14330="PADD V","PADD 5","")))))</f>
        <v/>
      </c>
      <c r="G14330" s="6">
        <f>IF(AND($H14330="ATMOS DISTILLATION",ISNUMBER(SEARCH("VPS",$I14330))=FALSE,LEFT($I14330,6)&lt;&gt;"VACUUM"),"CDU",IF($H14330="FLUID CAT CRACKING","FCC",IF(OR($H14330="HYDROCRACKING",$H14330="RESID_HYDROCRACKING"),"Hydrocracker",IF($H14330="REFORMING","Reformer",""))))</f>
        <v/>
      </c>
    </row>
    <row r="14331" spans="6:7">
      <c r="F14331" s="6">
        <f>IF($M14331="PADD I","PADD 1",IF($M14331="PADD II","PADD 2",IF($M14331="PADD III","PADD 3",IF($M14331="PADD IV","PADD 4",IF($M14331="PADD V","PADD 5","")))))</f>
        <v/>
      </c>
      <c r="G14331" s="6">
        <f>IF(AND($H14331="ATMOS DISTILLATION",ISNUMBER(SEARCH("VPS",$I14331))=FALSE,LEFT($I14331,6)&lt;&gt;"VACUUM"),"CDU",IF($H14331="FLUID CAT CRACKING","FCC",IF(OR($H14331="HYDROCRACKING",$H14331="RESID_HYDROCRACKING"),"Hydrocracker",IF($H14331="REFORMING","Reformer",""))))</f>
        <v/>
      </c>
    </row>
    <row r="14332" spans="6:7">
      <c r="F14332" s="6">
        <f>IF($M14332="PADD I","PADD 1",IF($M14332="PADD II","PADD 2",IF($M14332="PADD III","PADD 3",IF($M14332="PADD IV","PADD 4",IF($M14332="PADD V","PADD 5","")))))</f>
        <v/>
      </c>
      <c r="G14332" s="6">
        <f>IF(AND($H14332="ATMOS DISTILLATION",ISNUMBER(SEARCH("VPS",$I14332))=FALSE,LEFT($I14332,6)&lt;&gt;"VACUUM"),"CDU",IF($H14332="FLUID CAT CRACKING","FCC",IF(OR($H14332="HYDROCRACKING",$H14332="RESID_HYDROCRACKING"),"Hydrocracker",IF($H14332="REFORMING","Reformer",""))))</f>
        <v/>
      </c>
    </row>
    <row r="14333" spans="6:7">
      <c r="F14333" s="6">
        <f>IF($M14333="PADD I","PADD 1",IF($M14333="PADD II","PADD 2",IF($M14333="PADD III","PADD 3",IF($M14333="PADD IV","PADD 4",IF($M14333="PADD V","PADD 5","")))))</f>
        <v/>
      </c>
      <c r="G14333" s="6">
        <f>IF(AND($H14333="ATMOS DISTILLATION",ISNUMBER(SEARCH("VPS",$I14333))=FALSE,LEFT($I14333,6)&lt;&gt;"VACUUM"),"CDU",IF($H14333="FLUID CAT CRACKING","FCC",IF(OR($H14333="HYDROCRACKING",$H14333="RESID_HYDROCRACKING"),"Hydrocracker",IF($H14333="REFORMING","Reformer",""))))</f>
        <v/>
      </c>
    </row>
    <row r="14334" spans="6:7">
      <c r="F14334" s="6">
        <f>IF($M14334="PADD I","PADD 1",IF($M14334="PADD II","PADD 2",IF($M14334="PADD III","PADD 3",IF($M14334="PADD IV","PADD 4",IF($M14334="PADD V","PADD 5","")))))</f>
        <v/>
      </c>
      <c r="G14334" s="6">
        <f>IF(AND($H14334="ATMOS DISTILLATION",ISNUMBER(SEARCH("VPS",$I14334))=FALSE,LEFT($I14334,6)&lt;&gt;"VACUUM"),"CDU",IF($H14334="FLUID CAT CRACKING","FCC",IF(OR($H14334="HYDROCRACKING",$H14334="RESID_HYDROCRACKING"),"Hydrocracker",IF($H14334="REFORMING","Reformer",""))))</f>
        <v/>
      </c>
    </row>
    <row r="14335" spans="6:7">
      <c r="F14335" s="6">
        <f>IF($M14335="PADD I","PADD 1",IF($M14335="PADD II","PADD 2",IF($M14335="PADD III","PADD 3",IF($M14335="PADD IV","PADD 4",IF($M14335="PADD V","PADD 5","")))))</f>
        <v/>
      </c>
      <c r="G14335" s="6">
        <f>IF(AND($H14335="ATMOS DISTILLATION",ISNUMBER(SEARCH("VPS",$I14335))=FALSE,LEFT($I14335,6)&lt;&gt;"VACUUM"),"CDU",IF($H14335="FLUID CAT CRACKING","FCC",IF(OR($H14335="HYDROCRACKING",$H14335="RESID_HYDROCRACKING"),"Hydrocracker",IF($H14335="REFORMING","Reformer",""))))</f>
        <v/>
      </c>
    </row>
    <row r="14336" spans="6:7">
      <c r="F14336" s="6">
        <f>IF($M14336="PADD I","PADD 1",IF($M14336="PADD II","PADD 2",IF($M14336="PADD III","PADD 3",IF($M14336="PADD IV","PADD 4",IF($M14336="PADD V","PADD 5","")))))</f>
        <v/>
      </c>
      <c r="G14336" s="6">
        <f>IF(AND($H14336="ATMOS DISTILLATION",ISNUMBER(SEARCH("VPS",$I14336))=FALSE,LEFT($I14336,6)&lt;&gt;"VACUUM"),"CDU",IF($H14336="FLUID CAT CRACKING","FCC",IF(OR($H14336="HYDROCRACKING",$H14336="RESID_HYDROCRACKING"),"Hydrocracker",IF($H14336="REFORMING","Reformer",""))))</f>
        <v/>
      </c>
    </row>
    <row r="14337" spans="6:7">
      <c r="F14337" s="6">
        <f>IF($M14337="PADD I","PADD 1",IF($M14337="PADD II","PADD 2",IF($M14337="PADD III","PADD 3",IF($M14337="PADD IV","PADD 4",IF($M14337="PADD V","PADD 5","")))))</f>
        <v/>
      </c>
      <c r="G14337" s="6">
        <f>IF(AND($H14337="ATMOS DISTILLATION",ISNUMBER(SEARCH("VPS",$I14337))=FALSE,LEFT($I14337,6)&lt;&gt;"VACUUM"),"CDU",IF($H14337="FLUID CAT CRACKING","FCC",IF(OR($H14337="HYDROCRACKING",$H14337="RESID_HYDROCRACKING"),"Hydrocracker",IF($H14337="REFORMING","Reformer",""))))</f>
        <v/>
      </c>
    </row>
    <row r="14338" spans="6:7">
      <c r="F14338" s="6">
        <f>IF($M14338="PADD I","PADD 1",IF($M14338="PADD II","PADD 2",IF($M14338="PADD III","PADD 3",IF($M14338="PADD IV","PADD 4",IF($M14338="PADD V","PADD 5","")))))</f>
        <v/>
      </c>
      <c r="G14338" s="6">
        <f>IF(AND($H14338="ATMOS DISTILLATION",ISNUMBER(SEARCH("VPS",$I14338))=FALSE,LEFT($I14338,6)&lt;&gt;"VACUUM"),"CDU",IF($H14338="FLUID CAT CRACKING","FCC",IF(OR($H14338="HYDROCRACKING",$H14338="RESID_HYDROCRACKING"),"Hydrocracker",IF($H14338="REFORMING","Reformer",""))))</f>
        <v/>
      </c>
    </row>
    <row r="14339" spans="6:7">
      <c r="F14339" s="6">
        <f>IF($M14339="PADD I","PADD 1",IF($M14339="PADD II","PADD 2",IF($M14339="PADD III","PADD 3",IF($M14339="PADD IV","PADD 4",IF($M14339="PADD V","PADD 5","")))))</f>
        <v/>
      </c>
      <c r="G14339" s="6">
        <f>IF(AND($H14339="ATMOS DISTILLATION",ISNUMBER(SEARCH("VPS",$I14339))=FALSE,LEFT($I14339,6)&lt;&gt;"VACUUM"),"CDU",IF($H14339="FLUID CAT CRACKING","FCC",IF(OR($H14339="HYDROCRACKING",$H14339="RESID_HYDROCRACKING"),"Hydrocracker",IF($H14339="REFORMING","Reformer",""))))</f>
        <v/>
      </c>
    </row>
    <row r="14340" spans="6:7">
      <c r="F14340" s="6">
        <f>IF($M14340="PADD I","PADD 1",IF($M14340="PADD II","PADD 2",IF($M14340="PADD III","PADD 3",IF($M14340="PADD IV","PADD 4",IF($M14340="PADD V","PADD 5","")))))</f>
        <v/>
      </c>
      <c r="G14340" s="6">
        <f>IF(AND($H14340="ATMOS DISTILLATION",ISNUMBER(SEARCH("VPS",$I14340))=FALSE,LEFT($I14340,6)&lt;&gt;"VACUUM"),"CDU",IF($H14340="FLUID CAT CRACKING","FCC",IF(OR($H14340="HYDROCRACKING",$H14340="RESID_HYDROCRACKING"),"Hydrocracker",IF($H14340="REFORMING","Reformer",""))))</f>
        <v/>
      </c>
    </row>
    <row r="14341" spans="6:7">
      <c r="F14341" s="6">
        <f>IF($M14341="PADD I","PADD 1",IF($M14341="PADD II","PADD 2",IF($M14341="PADD III","PADD 3",IF($M14341="PADD IV","PADD 4",IF($M14341="PADD V","PADD 5","")))))</f>
        <v/>
      </c>
      <c r="G14341" s="6">
        <f>IF(AND($H14341="ATMOS DISTILLATION",ISNUMBER(SEARCH("VPS",$I14341))=FALSE,LEFT($I14341,6)&lt;&gt;"VACUUM"),"CDU",IF($H14341="FLUID CAT CRACKING","FCC",IF(OR($H14341="HYDROCRACKING",$H14341="RESID_HYDROCRACKING"),"Hydrocracker",IF($H14341="REFORMING","Reformer",""))))</f>
        <v/>
      </c>
    </row>
    <row r="14342" spans="6:7">
      <c r="F14342" s="6">
        <f>IF($M14342="PADD I","PADD 1",IF($M14342="PADD II","PADD 2",IF($M14342="PADD III","PADD 3",IF($M14342="PADD IV","PADD 4",IF($M14342="PADD V","PADD 5","")))))</f>
        <v/>
      </c>
      <c r="G14342" s="6">
        <f>IF(AND($H14342="ATMOS DISTILLATION",ISNUMBER(SEARCH("VPS",$I14342))=FALSE,LEFT($I14342,6)&lt;&gt;"VACUUM"),"CDU",IF($H14342="FLUID CAT CRACKING","FCC",IF(OR($H14342="HYDROCRACKING",$H14342="RESID_HYDROCRACKING"),"Hydrocracker",IF($H14342="REFORMING","Reformer",""))))</f>
        <v/>
      </c>
    </row>
    <row r="14343" spans="6:7">
      <c r="F14343" s="6">
        <f>IF($M14343="PADD I","PADD 1",IF($M14343="PADD II","PADD 2",IF($M14343="PADD III","PADD 3",IF($M14343="PADD IV","PADD 4",IF($M14343="PADD V","PADD 5","")))))</f>
        <v/>
      </c>
      <c r="G14343" s="6">
        <f>IF(AND($H14343="ATMOS DISTILLATION",ISNUMBER(SEARCH("VPS",$I14343))=FALSE,LEFT($I14343,6)&lt;&gt;"VACUUM"),"CDU",IF($H14343="FLUID CAT CRACKING","FCC",IF(OR($H14343="HYDROCRACKING",$H14343="RESID_HYDROCRACKING"),"Hydrocracker",IF($H14343="REFORMING","Reformer",""))))</f>
        <v/>
      </c>
    </row>
    <row r="14344" spans="6:7">
      <c r="F14344" s="6">
        <f>IF($M14344="PADD I","PADD 1",IF($M14344="PADD II","PADD 2",IF($M14344="PADD III","PADD 3",IF($M14344="PADD IV","PADD 4",IF($M14344="PADD V","PADD 5","")))))</f>
        <v/>
      </c>
      <c r="G14344" s="6">
        <f>IF(AND($H14344="ATMOS DISTILLATION",ISNUMBER(SEARCH("VPS",$I14344))=FALSE,LEFT($I14344,6)&lt;&gt;"VACUUM"),"CDU",IF($H14344="FLUID CAT CRACKING","FCC",IF(OR($H14344="HYDROCRACKING",$H14344="RESID_HYDROCRACKING"),"Hydrocracker",IF($H14344="REFORMING","Reformer",""))))</f>
        <v/>
      </c>
    </row>
    <row r="14345" spans="6:7">
      <c r="F14345" s="6">
        <f>IF($M14345="PADD I","PADD 1",IF($M14345="PADD II","PADD 2",IF($M14345="PADD III","PADD 3",IF($M14345="PADD IV","PADD 4",IF($M14345="PADD V","PADD 5","")))))</f>
        <v/>
      </c>
      <c r="G14345" s="6">
        <f>IF(AND($H14345="ATMOS DISTILLATION",ISNUMBER(SEARCH("VPS",$I14345))=FALSE,LEFT($I14345,6)&lt;&gt;"VACUUM"),"CDU",IF($H14345="FLUID CAT CRACKING","FCC",IF(OR($H14345="HYDROCRACKING",$H14345="RESID_HYDROCRACKING"),"Hydrocracker",IF($H14345="REFORMING","Reformer",""))))</f>
        <v/>
      </c>
    </row>
    <row r="14346" spans="6:7">
      <c r="F14346" s="6">
        <f>IF($M14346="PADD I","PADD 1",IF($M14346="PADD II","PADD 2",IF($M14346="PADD III","PADD 3",IF($M14346="PADD IV","PADD 4",IF($M14346="PADD V","PADD 5","")))))</f>
        <v/>
      </c>
      <c r="G14346" s="6">
        <f>IF(AND($H14346="ATMOS DISTILLATION",ISNUMBER(SEARCH("VPS",$I14346))=FALSE,LEFT($I14346,6)&lt;&gt;"VACUUM"),"CDU",IF($H14346="FLUID CAT CRACKING","FCC",IF(OR($H14346="HYDROCRACKING",$H14346="RESID_HYDROCRACKING"),"Hydrocracker",IF($H14346="REFORMING","Reformer",""))))</f>
        <v/>
      </c>
    </row>
    <row r="14347" spans="6:7">
      <c r="F14347" s="6">
        <f>IF($M14347="PADD I","PADD 1",IF($M14347="PADD II","PADD 2",IF($M14347="PADD III","PADD 3",IF($M14347="PADD IV","PADD 4",IF($M14347="PADD V","PADD 5","")))))</f>
        <v/>
      </c>
      <c r="G14347" s="6">
        <f>IF(AND($H14347="ATMOS DISTILLATION",ISNUMBER(SEARCH("VPS",$I14347))=FALSE,LEFT($I14347,6)&lt;&gt;"VACUUM"),"CDU",IF($H14347="FLUID CAT CRACKING","FCC",IF(OR($H14347="HYDROCRACKING",$H14347="RESID_HYDROCRACKING"),"Hydrocracker",IF($H14347="REFORMING","Reformer",""))))</f>
        <v/>
      </c>
    </row>
    <row r="14348" spans="6:7">
      <c r="F14348" s="6">
        <f>IF($M14348="PADD I","PADD 1",IF($M14348="PADD II","PADD 2",IF($M14348="PADD III","PADD 3",IF($M14348="PADD IV","PADD 4",IF($M14348="PADD V","PADD 5","")))))</f>
        <v/>
      </c>
      <c r="G14348" s="6">
        <f>IF(AND($H14348="ATMOS DISTILLATION",ISNUMBER(SEARCH("VPS",$I14348))=FALSE,LEFT($I14348,6)&lt;&gt;"VACUUM"),"CDU",IF($H14348="FLUID CAT CRACKING","FCC",IF(OR($H14348="HYDROCRACKING",$H14348="RESID_HYDROCRACKING"),"Hydrocracker",IF($H14348="REFORMING","Reformer",""))))</f>
        <v/>
      </c>
    </row>
    <row r="14349" spans="6:7">
      <c r="F14349" s="6">
        <f>IF($M14349="PADD I","PADD 1",IF($M14349="PADD II","PADD 2",IF($M14349="PADD III","PADD 3",IF($M14349="PADD IV","PADD 4",IF($M14349="PADD V","PADD 5","")))))</f>
        <v/>
      </c>
      <c r="G14349" s="6">
        <f>IF(AND($H14349="ATMOS DISTILLATION",ISNUMBER(SEARCH("VPS",$I14349))=FALSE,LEFT($I14349,6)&lt;&gt;"VACUUM"),"CDU",IF($H14349="FLUID CAT CRACKING","FCC",IF(OR($H14349="HYDROCRACKING",$H14349="RESID_HYDROCRACKING"),"Hydrocracker",IF($H14349="REFORMING","Reformer",""))))</f>
        <v/>
      </c>
    </row>
    <row r="14350" spans="6:7">
      <c r="F14350" s="6">
        <f>IF($M14350="PADD I","PADD 1",IF($M14350="PADD II","PADD 2",IF($M14350="PADD III","PADD 3",IF($M14350="PADD IV","PADD 4",IF($M14350="PADD V","PADD 5","")))))</f>
        <v/>
      </c>
      <c r="G14350" s="6">
        <f>IF(AND($H14350="ATMOS DISTILLATION",ISNUMBER(SEARCH("VPS",$I14350))=FALSE,LEFT($I14350,6)&lt;&gt;"VACUUM"),"CDU",IF($H14350="FLUID CAT CRACKING","FCC",IF(OR($H14350="HYDROCRACKING",$H14350="RESID_HYDROCRACKING"),"Hydrocracker",IF($H14350="REFORMING","Reformer",""))))</f>
        <v/>
      </c>
    </row>
    <row r="14351" spans="6:7">
      <c r="F14351" s="6">
        <f>IF($M14351="PADD I","PADD 1",IF($M14351="PADD II","PADD 2",IF($M14351="PADD III","PADD 3",IF($M14351="PADD IV","PADD 4",IF($M14351="PADD V","PADD 5","")))))</f>
        <v/>
      </c>
      <c r="G14351" s="6">
        <f>IF(AND($H14351="ATMOS DISTILLATION",ISNUMBER(SEARCH("VPS",$I14351))=FALSE,LEFT($I14351,6)&lt;&gt;"VACUUM"),"CDU",IF($H14351="FLUID CAT CRACKING","FCC",IF(OR($H14351="HYDROCRACKING",$H14351="RESID_HYDROCRACKING"),"Hydrocracker",IF($H14351="REFORMING","Reformer",""))))</f>
        <v/>
      </c>
    </row>
    <row r="14352" spans="6:7">
      <c r="F14352" s="6">
        <f>IF($M14352="PADD I","PADD 1",IF($M14352="PADD II","PADD 2",IF($M14352="PADD III","PADD 3",IF($M14352="PADD IV","PADD 4",IF($M14352="PADD V","PADD 5","")))))</f>
        <v/>
      </c>
      <c r="G14352" s="6">
        <f>IF(AND($H14352="ATMOS DISTILLATION",ISNUMBER(SEARCH("VPS",$I14352))=FALSE,LEFT($I14352,6)&lt;&gt;"VACUUM"),"CDU",IF($H14352="FLUID CAT CRACKING","FCC",IF(OR($H14352="HYDROCRACKING",$H14352="RESID_HYDROCRACKING"),"Hydrocracker",IF($H14352="REFORMING","Reformer",""))))</f>
        <v/>
      </c>
    </row>
    <row r="14353" spans="6:7">
      <c r="F14353" s="6">
        <f>IF($M14353="PADD I","PADD 1",IF($M14353="PADD II","PADD 2",IF($M14353="PADD III","PADD 3",IF($M14353="PADD IV","PADD 4",IF($M14353="PADD V","PADD 5","")))))</f>
        <v/>
      </c>
      <c r="G14353" s="6">
        <f>IF(AND($H14353="ATMOS DISTILLATION",ISNUMBER(SEARCH("VPS",$I14353))=FALSE,LEFT($I14353,6)&lt;&gt;"VACUUM"),"CDU",IF($H14353="FLUID CAT CRACKING","FCC",IF(OR($H14353="HYDROCRACKING",$H14353="RESID_HYDROCRACKING"),"Hydrocracker",IF($H14353="REFORMING","Reformer",""))))</f>
        <v/>
      </c>
    </row>
    <row r="14354" spans="6:7">
      <c r="F14354" s="6">
        <f>IF($M14354="PADD I","PADD 1",IF($M14354="PADD II","PADD 2",IF($M14354="PADD III","PADD 3",IF($M14354="PADD IV","PADD 4",IF($M14354="PADD V","PADD 5","")))))</f>
        <v/>
      </c>
      <c r="G14354" s="6">
        <f>IF(AND($H14354="ATMOS DISTILLATION",ISNUMBER(SEARCH("VPS",$I14354))=FALSE,LEFT($I14354,6)&lt;&gt;"VACUUM"),"CDU",IF($H14354="FLUID CAT CRACKING","FCC",IF(OR($H14354="HYDROCRACKING",$H14354="RESID_HYDROCRACKING"),"Hydrocracker",IF($H14354="REFORMING","Reformer",""))))</f>
        <v/>
      </c>
    </row>
    <row r="14355" spans="6:7">
      <c r="F14355" s="6">
        <f>IF($M14355="PADD I","PADD 1",IF($M14355="PADD II","PADD 2",IF($M14355="PADD III","PADD 3",IF($M14355="PADD IV","PADD 4",IF($M14355="PADD V","PADD 5","")))))</f>
        <v/>
      </c>
      <c r="G14355" s="6">
        <f>IF(AND($H14355="ATMOS DISTILLATION",ISNUMBER(SEARCH("VPS",$I14355))=FALSE,LEFT($I14355,6)&lt;&gt;"VACUUM"),"CDU",IF($H14355="FLUID CAT CRACKING","FCC",IF(OR($H14355="HYDROCRACKING",$H14355="RESID_HYDROCRACKING"),"Hydrocracker",IF($H14355="REFORMING","Reformer",""))))</f>
        <v/>
      </c>
    </row>
    <row r="14356" spans="6:7">
      <c r="F14356" s="6">
        <f>IF($M14356="PADD I","PADD 1",IF($M14356="PADD II","PADD 2",IF($M14356="PADD III","PADD 3",IF($M14356="PADD IV","PADD 4",IF($M14356="PADD V","PADD 5","")))))</f>
        <v/>
      </c>
      <c r="G14356" s="6">
        <f>IF(AND($H14356="ATMOS DISTILLATION",ISNUMBER(SEARCH("VPS",$I14356))=FALSE,LEFT($I14356,6)&lt;&gt;"VACUUM"),"CDU",IF($H14356="FLUID CAT CRACKING","FCC",IF(OR($H14356="HYDROCRACKING",$H14356="RESID_HYDROCRACKING"),"Hydrocracker",IF($H14356="REFORMING","Reformer",""))))</f>
        <v/>
      </c>
    </row>
    <row r="14357" spans="6:7">
      <c r="F14357" s="6">
        <f>IF($M14357="PADD I","PADD 1",IF($M14357="PADD II","PADD 2",IF($M14357="PADD III","PADD 3",IF($M14357="PADD IV","PADD 4",IF($M14357="PADD V","PADD 5","")))))</f>
        <v/>
      </c>
      <c r="G14357" s="6">
        <f>IF(AND($H14357="ATMOS DISTILLATION",ISNUMBER(SEARCH("VPS",$I14357))=FALSE,LEFT($I14357,6)&lt;&gt;"VACUUM"),"CDU",IF($H14357="FLUID CAT CRACKING","FCC",IF(OR($H14357="HYDROCRACKING",$H14357="RESID_HYDROCRACKING"),"Hydrocracker",IF($H14357="REFORMING","Reformer",""))))</f>
        <v/>
      </c>
    </row>
    <row r="14358" spans="6:7">
      <c r="F14358" s="6">
        <f>IF($M14358="PADD I","PADD 1",IF($M14358="PADD II","PADD 2",IF($M14358="PADD III","PADD 3",IF($M14358="PADD IV","PADD 4",IF($M14358="PADD V","PADD 5","")))))</f>
        <v/>
      </c>
      <c r="G14358" s="6">
        <f>IF(AND($H14358="ATMOS DISTILLATION",ISNUMBER(SEARCH("VPS",$I14358))=FALSE,LEFT($I14358,6)&lt;&gt;"VACUUM"),"CDU",IF($H14358="FLUID CAT CRACKING","FCC",IF(OR($H14358="HYDROCRACKING",$H14358="RESID_HYDROCRACKING"),"Hydrocracker",IF($H14358="REFORMING","Reformer",""))))</f>
        <v/>
      </c>
    </row>
    <row r="14359" spans="6:7">
      <c r="F14359" s="6">
        <f>IF($M14359="PADD I","PADD 1",IF($M14359="PADD II","PADD 2",IF($M14359="PADD III","PADD 3",IF($M14359="PADD IV","PADD 4",IF($M14359="PADD V","PADD 5","")))))</f>
        <v/>
      </c>
      <c r="G14359" s="6">
        <f>IF(AND($H14359="ATMOS DISTILLATION",ISNUMBER(SEARCH("VPS",$I14359))=FALSE,LEFT($I14359,6)&lt;&gt;"VACUUM"),"CDU",IF($H14359="FLUID CAT CRACKING","FCC",IF(OR($H14359="HYDROCRACKING",$H14359="RESID_HYDROCRACKING"),"Hydrocracker",IF($H14359="REFORMING","Reformer",""))))</f>
        <v/>
      </c>
    </row>
    <row r="14360" spans="6:7">
      <c r="F14360" s="6">
        <f>IF($M14360="PADD I","PADD 1",IF($M14360="PADD II","PADD 2",IF($M14360="PADD III","PADD 3",IF($M14360="PADD IV","PADD 4",IF($M14360="PADD V","PADD 5","")))))</f>
        <v/>
      </c>
      <c r="G14360" s="6">
        <f>IF(AND($H14360="ATMOS DISTILLATION",ISNUMBER(SEARCH("VPS",$I14360))=FALSE,LEFT($I14360,6)&lt;&gt;"VACUUM"),"CDU",IF($H14360="FLUID CAT CRACKING","FCC",IF(OR($H14360="HYDROCRACKING",$H14360="RESID_HYDROCRACKING"),"Hydrocracker",IF($H14360="REFORMING","Reformer",""))))</f>
        <v/>
      </c>
    </row>
    <row r="14361" spans="6:7">
      <c r="F14361" s="6">
        <f>IF($M14361="PADD I","PADD 1",IF($M14361="PADD II","PADD 2",IF($M14361="PADD III","PADD 3",IF($M14361="PADD IV","PADD 4",IF($M14361="PADD V","PADD 5","")))))</f>
        <v/>
      </c>
      <c r="G14361" s="6">
        <f>IF(AND($H14361="ATMOS DISTILLATION",ISNUMBER(SEARCH("VPS",$I14361))=FALSE,LEFT($I14361,6)&lt;&gt;"VACUUM"),"CDU",IF($H14361="FLUID CAT CRACKING","FCC",IF(OR($H14361="HYDROCRACKING",$H14361="RESID_HYDROCRACKING"),"Hydrocracker",IF($H14361="REFORMING","Reformer",""))))</f>
        <v/>
      </c>
    </row>
    <row r="14362" spans="6:7">
      <c r="F14362" s="6">
        <f>IF($M14362="PADD I","PADD 1",IF($M14362="PADD II","PADD 2",IF($M14362="PADD III","PADD 3",IF($M14362="PADD IV","PADD 4",IF($M14362="PADD V","PADD 5","")))))</f>
        <v/>
      </c>
      <c r="G14362" s="6">
        <f>IF(AND($H14362="ATMOS DISTILLATION",ISNUMBER(SEARCH("VPS",$I14362))=FALSE,LEFT($I14362,6)&lt;&gt;"VACUUM"),"CDU",IF($H14362="FLUID CAT CRACKING","FCC",IF(OR($H14362="HYDROCRACKING",$H14362="RESID_HYDROCRACKING"),"Hydrocracker",IF($H14362="REFORMING","Reformer",""))))</f>
        <v/>
      </c>
    </row>
    <row r="14363" spans="6:7">
      <c r="F14363" s="6">
        <f>IF($M14363="PADD I","PADD 1",IF($M14363="PADD II","PADD 2",IF($M14363="PADD III","PADD 3",IF($M14363="PADD IV","PADD 4",IF($M14363="PADD V","PADD 5","")))))</f>
        <v/>
      </c>
      <c r="G14363" s="6">
        <f>IF(AND($H14363="ATMOS DISTILLATION",ISNUMBER(SEARCH("VPS",$I14363))=FALSE,LEFT($I14363,6)&lt;&gt;"VACUUM"),"CDU",IF($H14363="FLUID CAT CRACKING","FCC",IF(OR($H14363="HYDROCRACKING",$H14363="RESID_HYDROCRACKING"),"Hydrocracker",IF($H14363="REFORMING","Reformer",""))))</f>
        <v/>
      </c>
    </row>
    <row r="14364" spans="6:7">
      <c r="F14364" s="6">
        <f>IF($M14364="PADD I","PADD 1",IF($M14364="PADD II","PADD 2",IF($M14364="PADD III","PADD 3",IF($M14364="PADD IV","PADD 4",IF($M14364="PADD V","PADD 5","")))))</f>
        <v/>
      </c>
      <c r="G14364" s="6">
        <f>IF(AND($H14364="ATMOS DISTILLATION",ISNUMBER(SEARCH("VPS",$I14364))=FALSE,LEFT($I14364,6)&lt;&gt;"VACUUM"),"CDU",IF($H14364="FLUID CAT CRACKING","FCC",IF(OR($H14364="HYDROCRACKING",$H14364="RESID_HYDROCRACKING"),"Hydrocracker",IF($H14364="REFORMING","Reformer",""))))</f>
        <v/>
      </c>
    </row>
    <row r="14365" spans="6:7">
      <c r="F14365" s="6">
        <f>IF($M14365="PADD I","PADD 1",IF($M14365="PADD II","PADD 2",IF($M14365="PADD III","PADD 3",IF($M14365="PADD IV","PADD 4",IF($M14365="PADD V","PADD 5","")))))</f>
        <v/>
      </c>
      <c r="G14365" s="6">
        <f>IF(AND($H14365="ATMOS DISTILLATION",ISNUMBER(SEARCH("VPS",$I14365))=FALSE,LEFT($I14365,6)&lt;&gt;"VACUUM"),"CDU",IF($H14365="FLUID CAT CRACKING","FCC",IF(OR($H14365="HYDROCRACKING",$H14365="RESID_HYDROCRACKING"),"Hydrocracker",IF($H14365="REFORMING","Reformer",""))))</f>
        <v/>
      </c>
    </row>
    <row r="14366" spans="6:7">
      <c r="F14366" s="6">
        <f>IF($M14366="PADD I","PADD 1",IF($M14366="PADD II","PADD 2",IF($M14366="PADD III","PADD 3",IF($M14366="PADD IV","PADD 4",IF($M14366="PADD V","PADD 5","")))))</f>
        <v/>
      </c>
      <c r="G14366" s="6">
        <f>IF(AND($H14366="ATMOS DISTILLATION",ISNUMBER(SEARCH("VPS",$I14366))=FALSE,LEFT($I14366,6)&lt;&gt;"VACUUM"),"CDU",IF($H14366="FLUID CAT CRACKING","FCC",IF(OR($H14366="HYDROCRACKING",$H14366="RESID_HYDROCRACKING"),"Hydrocracker",IF($H14366="REFORMING","Reformer",""))))</f>
        <v/>
      </c>
    </row>
    <row r="14367" spans="6:7">
      <c r="F14367" s="6">
        <f>IF($M14367="PADD I","PADD 1",IF($M14367="PADD II","PADD 2",IF($M14367="PADD III","PADD 3",IF($M14367="PADD IV","PADD 4",IF($M14367="PADD V","PADD 5","")))))</f>
        <v/>
      </c>
      <c r="G14367" s="6">
        <f>IF(AND($H14367="ATMOS DISTILLATION",ISNUMBER(SEARCH("VPS",$I14367))=FALSE,LEFT($I14367,6)&lt;&gt;"VACUUM"),"CDU",IF($H14367="FLUID CAT CRACKING","FCC",IF(OR($H14367="HYDROCRACKING",$H14367="RESID_HYDROCRACKING"),"Hydrocracker",IF($H14367="REFORMING","Reformer",""))))</f>
        <v/>
      </c>
    </row>
    <row r="14368" spans="6:7">
      <c r="F14368" s="6">
        <f>IF($M14368="PADD I","PADD 1",IF($M14368="PADD II","PADD 2",IF($M14368="PADD III","PADD 3",IF($M14368="PADD IV","PADD 4",IF($M14368="PADD V","PADD 5","")))))</f>
        <v/>
      </c>
      <c r="G14368" s="6">
        <f>IF(AND($H14368="ATMOS DISTILLATION",ISNUMBER(SEARCH("VPS",$I14368))=FALSE,LEFT($I14368,6)&lt;&gt;"VACUUM"),"CDU",IF($H14368="FLUID CAT CRACKING","FCC",IF(OR($H14368="HYDROCRACKING",$H14368="RESID_HYDROCRACKING"),"Hydrocracker",IF($H14368="REFORMING","Reformer",""))))</f>
        <v/>
      </c>
    </row>
    <row r="14369" spans="6:7">
      <c r="F14369" s="6">
        <f>IF($M14369="PADD I","PADD 1",IF($M14369="PADD II","PADD 2",IF($M14369="PADD III","PADD 3",IF($M14369="PADD IV","PADD 4",IF($M14369="PADD V","PADD 5","")))))</f>
        <v/>
      </c>
      <c r="G14369" s="6">
        <f>IF(AND($H14369="ATMOS DISTILLATION",ISNUMBER(SEARCH("VPS",$I14369))=FALSE,LEFT($I14369,6)&lt;&gt;"VACUUM"),"CDU",IF($H14369="FLUID CAT CRACKING","FCC",IF(OR($H14369="HYDROCRACKING",$H14369="RESID_HYDROCRACKING"),"Hydrocracker",IF($H14369="REFORMING","Reformer",""))))</f>
        <v/>
      </c>
    </row>
    <row r="14370" spans="6:7">
      <c r="F14370" s="6">
        <f>IF($M14370="PADD I","PADD 1",IF($M14370="PADD II","PADD 2",IF($M14370="PADD III","PADD 3",IF($M14370="PADD IV","PADD 4",IF($M14370="PADD V","PADD 5","")))))</f>
        <v/>
      </c>
      <c r="G14370" s="6">
        <f>IF(AND($H14370="ATMOS DISTILLATION",ISNUMBER(SEARCH("VPS",$I14370))=FALSE,LEFT($I14370,6)&lt;&gt;"VACUUM"),"CDU",IF($H14370="FLUID CAT CRACKING","FCC",IF(OR($H14370="HYDROCRACKING",$H14370="RESID_HYDROCRACKING"),"Hydrocracker",IF($H14370="REFORMING","Reformer",""))))</f>
        <v/>
      </c>
    </row>
    <row r="14371" spans="6:7">
      <c r="F14371" s="6">
        <f>IF($M14371="PADD I","PADD 1",IF($M14371="PADD II","PADD 2",IF($M14371="PADD III","PADD 3",IF($M14371="PADD IV","PADD 4",IF($M14371="PADD V","PADD 5","")))))</f>
        <v/>
      </c>
      <c r="G14371" s="6">
        <f>IF(AND($H14371="ATMOS DISTILLATION",ISNUMBER(SEARCH("VPS",$I14371))=FALSE,LEFT($I14371,6)&lt;&gt;"VACUUM"),"CDU",IF($H14371="FLUID CAT CRACKING","FCC",IF(OR($H14371="HYDROCRACKING",$H14371="RESID_HYDROCRACKING"),"Hydrocracker",IF($H14371="REFORMING","Reformer",""))))</f>
        <v/>
      </c>
    </row>
    <row r="14372" spans="6:7">
      <c r="F14372" s="6">
        <f>IF($M14372="PADD I","PADD 1",IF($M14372="PADD II","PADD 2",IF($M14372="PADD III","PADD 3",IF($M14372="PADD IV","PADD 4",IF($M14372="PADD V","PADD 5","")))))</f>
        <v/>
      </c>
      <c r="G14372" s="6">
        <f>IF(AND($H14372="ATMOS DISTILLATION",ISNUMBER(SEARCH("VPS",$I14372))=FALSE,LEFT($I14372,6)&lt;&gt;"VACUUM"),"CDU",IF($H14372="FLUID CAT CRACKING","FCC",IF(OR($H14372="HYDROCRACKING",$H14372="RESID_HYDROCRACKING"),"Hydrocracker",IF($H14372="REFORMING","Reformer",""))))</f>
        <v/>
      </c>
    </row>
    <row r="14373" spans="6:7">
      <c r="F14373" s="6">
        <f>IF($M14373="PADD I","PADD 1",IF($M14373="PADD II","PADD 2",IF($M14373="PADD III","PADD 3",IF($M14373="PADD IV","PADD 4",IF($M14373="PADD V","PADD 5","")))))</f>
        <v/>
      </c>
      <c r="G14373" s="6">
        <f>IF(AND($H14373="ATMOS DISTILLATION",ISNUMBER(SEARCH("VPS",$I14373))=FALSE,LEFT($I14373,6)&lt;&gt;"VACUUM"),"CDU",IF($H14373="FLUID CAT CRACKING","FCC",IF(OR($H14373="HYDROCRACKING",$H14373="RESID_HYDROCRACKING"),"Hydrocracker",IF($H14373="REFORMING","Reformer",""))))</f>
        <v/>
      </c>
    </row>
    <row r="14374" spans="6:7">
      <c r="F14374" s="6">
        <f>IF($M14374="PADD I","PADD 1",IF($M14374="PADD II","PADD 2",IF($M14374="PADD III","PADD 3",IF($M14374="PADD IV","PADD 4",IF($M14374="PADD V","PADD 5","")))))</f>
        <v/>
      </c>
      <c r="G14374" s="6">
        <f>IF(AND($H14374="ATMOS DISTILLATION",ISNUMBER(SEARCH("VPS",$I14374))=FALSE,LEFT($I14374,6)&lt;&gt;"VACUUM"),"CDU",IF($H14374="FLUID CAT CRACKING","FCC",IF(OR($H14374="HYDROCRACKING",$H14374="RESID_HYDROCRACKING"),"Hydrocracker",IF($H14374="REFORMING","Reformer",""))))</f>
        <v/>
      </c>
    </row>
    <row r="14375" spans="6:7">
      <c r="F14375" s="6">
        <f>IF($M14375="PADD I","PADD 1",IF($M14375="PADD II","PADD 2",IF($M14375="PADD III","PADD 3",IF($M14375="PADD IV","PADD 4",IF($M14375="PADD V","PADD 5","")))))</f>
        <v/>
      </c>
      <c r="G14375" s="6">
        <f>IF(AND($H14375="ATMOS DISTILLATION",ISNUMBER(SEARCH("VPS",$I14375))=FALSE,LEFT($I14375,6)&lt;&gt;"VACUUM"),"CDU",IF($H14375="FLUID CAT CRACKING","FCC",IF(OR($H14375="HYDROCRACKING",$H14375="RESID_HYDROCRACKING"),"Hydrocracker",IF($H14375="REFORMING","Reformer",""))))</f>
        <v/>
      </c>
    </row>
    <row r="14376" spans="6:7">
      <c r="F14376" s="6">
        <f>IF($M14376="PADD I","PADD 1",IF($M14376="PADD II","PADD 2",IF($M14376="PADD III","PADD 3",IF($M14376="PADD IV","PADD 4",IF($M14376="PADD V","PADD 5","")))))</f>
        <v/>
      </c>
      <c r="G14376" s="6">
        <f>IF(AND($H14376="ATMOS DISTILLATION",ISNUMBER(SEARCH("VPS",$I14376))=FALSE,LEFT($I14376,6)&lt;&gt;"VACUUM"),"CDU",IF($H14376="FLUID CAT CRACKING","FCC",IF(OR($H14376="HYDROCRACKING",$H14376="RESID_HYDROCRACKING"),"Hydrocracker",IF($H14376="REFORMING","Reformer",""))))</f>
        <v/>
      </c>
    </row>
    <row r="14377" spans="6:7">
      <c r="F14377" s="6">
        <f>IF($M14377="PADD I","PADD 1",IF($M14377="PADD II","PADD 2",IF($M14377="PADD III","PADD 3",IF($M14377="PADD IV","PADD 4",IF($M14377="PADD V","PADD 5","")))))</f>
        <v/>
      </c>
      <c r="G14377" s="6">
        <f>IF(AND($H14377="ATMOS DISTILLATION",ISNUMBER(SEARCH("VPS",$I14377))=FALSE,LEFT($I14377,6)&lt;&gt;"VACUUM"),"CDU",IF($H14377="FLUID CAT CRACKING","FCC",IF(OR($H14377="HYDROCRACKING",$H14377="RESID_HYDROCRACKING"),"Hydrocracker",IF($H14377="REFORMING","Reformer",""))))</f>
        <v/>
      </c>
    </row>
    <row r="14378" spans="6:7">
      <c r="F14378" s="6">
        <f>IF($M14378="PADD I","PADD 1",IF($M14378="PADD II","PADD 2",IF($M14378="PADD III","PADD 3",IF($M14378="PADD IV","PADD 4",IF($M14378="PADD V","PADD 5","")))))</f>
        <v/>
      </c>
      <c r="G14378" s="6">
        <f>IF(AND($H14378="ATMOS DISTILLATION",ISNUMBER(SEARCH("VPS",$I14378))=FALSE,LEFT($I14378,6)&lt;&gt;"VACUUM"),"CDU",IF($H14378="FLUID CAT CRACKING","FCC",IF(OR($H14378="HYDROCRACKING",$H14378="RESID_HYDROCRACKING"),"Hydrocracker",IF($H14378="REFORMING","Reformer",""))))</f>
        <v/>
      </c>
    </row>
    <row r="14379" spans="6:7">
      <c r="F14379" s="6">
        <f>IF($M14379="PADD I","PADD 1",IF($M14379="PADD II","PADD 2",IF($M14379="PADD III","PADD 3",IF($M14379="PADD IV","PADD 4",IF($M14379="PADD V","PADD 5","")))))</f>
        <v/>
      </c>
      <c r="G14379" s="6">
        <f>IF(AND($H14379="ATMOS DISTILLATION",ISNUMBER(SEARCH("VPS",$I14379))=FALSE,LEFT($I14379,6)&lt;&gt;"VACUUM"),"CDU",IF($H14379="FLUID CAT CRACKING","FCC",IF(OR($H14379="HYDROCRACKING",$H14379="RESID_HYDROCRACKING"),"Hydrocracker",IF($H14379="REFORMING","Reformer",""))))</f>
        <v/>
      </c>
    </row>
    <row r="14380" spans="6:7">
      <c r="F14380" s="6">
        <f>IF($M14380="PADD I","PADD 1",IF($M14380="PADD II","PADD 2",IF($M14380="PADD III","PADD 3",IF($M14380="PADD IV","PADD 4",IF($M14380="PADD V","PADD 5","")))))</f>
        <v/>
      </c>
      <c r="G14380" s="6">
        <f>IF(AND($H14380="ATMOS DISTILLATION",ISNUMBER(SEARCH("VPS",$I14380))=FALSE,LEFT($I14380,6)&lt;&gt;"VACUUM"),"CDU",IF($H14380="FLUID CAT CRACKING","FCC",IF(OR($H14380="HYDROCRACKING",$H14380="RESID_HYDROCRACKING"),"Hydrocracker",IF($H14380="REFORMING","Reformer",""))))</f>
        <v/>
      </c>
    </row>
    <row r="14381" spans="6:7">
      <c r="F14381" s="6">
        <f>IF($M14381="PADD I","PADD 1",IF($M14381="PADD II","PADD 2",IF($M14381="PADD III","PADD 3",IF($M14381="PADD IV","PADD 4",IF($M14381="PADD V","PADD 5","")))))</f>
        <v/>
      </c>
      <c r="G14381" s="6">
        <f>IF(AND($H14381="ATMOS DISTILLATION",ISNUMBER(SEARCH("VPS",$I14381))=FALSE,LEFT($I14381,6)&lt;&gt;"VACUUM"),"CDU",IF($H14381="FLUID CAT CRACKING","FCC",IF(OR($H14381="HYDROCRACKING",$H14381="RESID_HYDROCRACKING"),"Hydrocracker",IF($H14381="REFORMING","Reformer",""))))</f>
        <v/>
      </c>
    </row>
    <row r="14382" spans="6:7">
      <c r="F14382" s="6">
        <f>IF($M14382="PADD I","PADD 1",IF($M14382="PADD II","PADD 2",IF($M14382="PADD III","PADD 3",IF($M14382="PADD IV","PADD 4",IF($M14382="PADD V","PADD 5","")))))</f>
        <v/>
      </c>
      <c r="G14382" s="6">
        <f>IF(AND($H14382="ATMOS DISTILLATION",ISNUMBER(SEARCH("VPS",$I14382))=FALSE,LEFT($I14382,6)&lt;&gt;"VACUUM"),"CDU",IF($H14382="FLUID CAT CRACKING","FCC",IF(OR($H14382="HYDROCRACKING",$H14382="RESID_HYDROCRACKING"),"Hydrocracker",IF($H14382="REFORMING","Reformer",""))))</f>
        <v/>
      </c>
    </row>
    <row r="14383" spans="6:7">
      <c r="F14383" s="6">
        <f>IF($M14383="PADD I","PADD 1",IF($M14383="PADD II","PADD 2",IF($M14383="PADD III","PADD 3",IF($M14383="PADD IV","PADD 4",IF($M14383="PADD V","PADD 5","")))))</f>
        <v/>
      </c>
      <c r="G14383" s="6">
        <f>IF(AND($H14383="ATMOS DISTILLATION",ISNUMBER(SEARCH("VPS",$I14383))=FALSE,LEFT($I14383,6)&lt;&gt;"VACUUM"),"CDU",IF($H14383="FLUID CAT CRACKING","FCC",IF(OR($H14383="HYDROCRACKING",$H14383="RESID_HYDROCRACKING"),"Hydrocracker",IF($H14383="REFORMING","Reformer",""))))</f>
        <v/>
      </c>
    </row>
    <row r="14384" spans="6:7">
      <c r="F14384" s="6">
        <f>IF($M14384="PADD I","PADD 1",IF($M14384="PADD II","PADD 2",IF($M14384="PADD III","PADD 3",IF($M14384="PADD IV","PADD 4",IF($M14384="PADD V","PADD 5","")))))</f>
        <v/>
      </c>
      <c r="G14384" s="6">
        <f>IF(AND($H14384="ATMOS DISTILLATION",ISNUMBER(SEARCH("VPS",$I14384))=FALSE,LEFT($I14384,6)&lt;&gt;"VACUUM"),"CDU",IF($H14384="FLUID CAT CRACKING","FCC",IF(OR($H14384="HYDROCRACKING",$H14384="RESID_HYDROCRACKING"),"Hydrocracker",IF($H14384="REFORMING","Reformer",""))))</f>
        <v/>
      </c>
    </row>
    <row r="14385" spans="6:7">
      <c r="F14385" s="6">
        <f>IF($M14385="PADD I","PADD 1",IF($M14385="PADD II","PADD 2",IF($M14385="PADD III","PADD 3",IF($M14385="PADD IV","PADD 4",IF($M14385="PADD V","PADD 5","")))))</f>
        <v/>
      </c>
      <c r="G14385" s="6">
        <f>IF(AND($H14385="ATMOS DISTILLATION",ISNUMBER(SEARCH("VPS",$I14385))=FALSE,LEFT($I14385,6)&lt;&gt;"VACUUM"),"CDU",IF($H14385="FLUID CAT CRACKING","FCC",IF(OR($H14385="HYDROCRACKING",$H14385="RESID_HYDROCRACKING"),"Hydrocracker",IF($H14385="REFORMING","Reformer",""))))</f>
        <v/>
      </c>
    </row>
    <row r="14386" spans="6:7">
      <c r="F14386" s="6">
        <f>IF($M14386="PADD I","PADD 1",IF($M14386="PADD II","PADD 2",IF($M14386="PADD III","PADD 3",IF($M14386="PADD IV","PADD 4",IF($M14386="PADD V","PADD 5","")))))</f>
        <v/>
      </c>
      <c r="G14386" s="6">
        <f>IF(AND($H14386="ATMOS DISTILLATION",ISNUMBER(SEARCH("VPS",$I14386))=FALSE,LEFT($I14386,6)&lt;&gt;"VACUUM"),"CDU",IF($H14386="FLUID CAT CRACKING","FCC",IF(OR($H14386="HYDROCRACKING",$H14386="RESID_HYDROCRACKING"),"Hydrocracker",IF($H14386="REFORMING","Reformer",""))))</f>
        <v/>
      </c>
    </row>
    <row r="14387" spans="6:7">
      <c r="F14387" s="6">
        <f>IF($M14387="PADD I","PADD 1",IF($M14387="PADD II","PADD 2",IF($M14387="PADD III","PADD 3",IF($M14387="PADD IV","PADD 4",IF($M14387="PADD V","PADD 5","")))))</f>
        <v/>
      </c>
      <c r="G14387" s="6">
        <f>IF(AND($H14387="ATMOS DISTILLATION",ISNUMBER(SEARCH("VPS",$I14387))=FALSE,LEFT($I14387,6)&lt;&gt;"VACUUM"),"CDU",IF($H14387="FLUID CAT CRACKING","FCC",IF(OR($H14387="HYDROCRACKING",$H14387="RESID_HYDROCRACKING"),"Hydrocracker",IF($H14387="REFORMING","Reformer",""))))</f>
        <v/>
      </c>
    </row>
    <row r="14388" spans="6:7">
      <c r="F14388" s="6">
        <f>IF($M14388="PADD I","PADD 1",IF($M14388="PADD II","PADD 2",IF($M14388="PADD III","PADD 3",IF($M14388="PADD IV","PADD 4",IF($M14388="PADD V","PADD 5","")))))</f>
        <v/>
      </c>
      <c r="G14388" s="6">
        <f>IF(AND($H14388="ATMOS DISTILLATION",ISNUMBER(SEARCH("VPS",$I14388))=FALSE,LEFT($I14388,6)&lt;&gt;"VACUUM"),"CDU",IF($H14388="FLUID CAT CRACKING","FCC",IF(OR($H14388="HYDROCRACKING",$H14388="RESID_HYDROCRACKING"),"Hydrocracker",IF($H14388="REFORMING","Reformer",""))))</f>
        <v/>
      </c>
    </row>
    <row r="14389" spans="6:7">
      <c r="F14389" s="6">
        <f>IF($M14389="PADD I","PADD 1",IF($M14389="PADD II","PADD 2",IF($M14389="PADD III","PADD 3",IF($M14389="PADD IV","PADD 4",IF($M14389="PADD V","PADD 5","")))))</f>
        <v/>
      </c>
      <c r="G14389" s="6">
        <f>IF(AND($H14389="ATMOS DISTILLATION",ISNUMBER(SEARCH("VPS",$I14389))=FALSE,LEFT($I14389,6)&lt;&gt;"VACUUM"),"CDU",IF($H14389="FLUID CAT CRACKING","FCC",IF(OR($H14389="HYDROCRACKING",$H14389="RESID_HYDROCRACKING"),"Hydrocracker",IF($H14389="REFORMING","Reformer",""))))</f>
        <v/>
      </c>
    </row>
    <row r="14390" spans="6:7">
      <c r="F14390" s="6">
        <f>IF($M14390="PADD I","PADD 1",IF($M14390="PADD II","PADD 2",IF($M14390="PADD III","PADD 3",IF($M14390="PADD IV","PADD 4",IF($M14390="PADD V","PADD 5","")))))</f>
        <v/>
      </c>
      <c r="G14390" s="6">
        <f>IF(AND($H14390="ATMOS DISTILLATION",ISNUMBER(SEARCH("VPS",$I14390))=FALSE,LEFT($I14390,6)&lt;&gt;"VACUUM"),"CDU",IF($H14390="FLUID CAT CRACKING","FCC",IF(OR($H14390="HYDROCRACKING",$H14390="RESID_HYDROCRACKING"),"Hydrocracker",IF($H14390="REFORMING","Reformer",""))))</f>
        <v/>
      </c>
    </row>
    <row r="14391" spans="6:7">
      <c r="F14391" s="6">
        <f>IF($M14391="PADD I","PADD 1",IF($M14391="PADD II","PADD 2",IF($M14391="PADD III","PADD 3",IF($M14391="PADD IV","PADD 4",IF($M14391="PADD V","PADD 5","")))))</f>
        <v/>
      </c>
      <c r="G14391" s="6">
        <f>IF(AND($H14391="ATMOS DISTILLATION",ISNUMBER(SEARCH("VPS",$I14391))=FALSE,LEFT($I14391,6)&lt;&gt;"VACUUM"),"CDU",IF($H14391="FLUID CAT CRACKING","FCC",IF(OR($H14391="HYDROCRACKING",$H14391="RESID_HYDROCRACKING"),"Hydrocracker",IF($H14391="REFORMING","Reformer",""))))</f>
        <v/>
      </c>
    </row>
    <row r="14392" spans="6:7">
      <c r="F14392" s="6">
        <f>IF($M14392="PADD I","PADD 1",IF($M14392="PADD II","PADD 2",IF($M14392="PADD III","PADD 3",IF($M14392="PADD IV","PADD 4",IF($M14392="PADD V","PADD 5","")))))</f>
        <v/>
      </c>
      <c r="G14392" s="6">
        <f>IF(AND($H14392="ATMOS DISTILLATION",ISNUMBER(SEARCH("VPS",$I14392))=FALSE,LEFT($I14392,6)&lt;&gt;"VACUUM"),"CDU",IF($H14392="FLUID CAT CRACKING","FCC",IF(OR($H14392="HYDROCRACKING",$H14392="RESID_HYDROCRACKING"),"Hydrocracker",IF($H14392="REFORMING","Reformer",""))))</f>
        <v/>
      </c>
    </row>
    <row r="14393" spans="6:7">
      <c r="F14393" s="6">
        <f>IF($M14393="PADD I","PADD 1",IF($M14393="PADD II","PADD 2",IF($M14393="PADD III","PADD 3",IF($M14393="PADD IV","PADD 4",IF($M14393="PADD V","PADD 5","")))))</f>
        <v/>
      </c>
      <c r="G14393" s="6">
        <f>IF(AND($H14393="ATMOS DISTILLATION",ISNUMBER(SEARCH("VPS",$I14393))=FALSE,LEFT($I14393,6)&lt;&gt;"VACUUM"),"CDU",IF($H14393="FLUID CAT CRACKING","FCC",IF(OR($H14393="HYDROCRACKING",$H14393="RESID_HYDROCRACKING"),"Hydrocracker",IF($H14393="REFORMING","Reformer",""))))</f>
        <v/>
      </c>
    </row>
    <row r="14394" spans="6:7">
      <c r="F14394" s="6">
        <f>IF($M14394="PADD I","PADD 1",IF($M14394="PADD II","PADD 2",IF($M14394="PADD III","PADD 3",IF($M14394="PADD IV","PADD 4",IF($M14394="PADD V","PADD 5","")))))</f>
        <v/>
      </c>
      <c r="G14394" s="6">
        <f>IF(AND($H14394="ATMOS DISTILLATION",ISNUMBER(SEARCH("VPS",$I14394))=FALSE,LEFT($I14394,6)&lt;&gt;"VACUUM"),"CDU",IF($H14394="FLUID CAT CRACKING","FCC",IF(OR($H14394="HYDROCRACKING",$H14394="RESID_HYDROCRACKING"),"Hydrocracker",IF($H14394="REFORMING","Reformer",""))))</f>
        <v/>
      </c>
    </row>
    <row r="14395" spans="6:7">
      <c r="F14395" s="6">
        <f>IF($M14395="PADD I","PADD 1",IF($M14395="PADD II","PADD 2",IF($M14395="PADD III","PADD 3",IF($M14395="PADD IV","PADD 4",IF($M14395="PADD V","PADD 5","")))))</f>
        <v/>
      </c>
      <c r="G14395" s="6">
        <f>IF(AND($H14395="ATMOS DISTILLATION",ISNUMBER(SEARCH("VPS",$I14395))=FALSE,LEFT($I14395,6)&lt;&gt;"VACUUM"),"CDU",IF($H14395="FLUID CAT CRACKING","FCC",IF(OR($H14395="HYDROCRACKING",$H14395="RESID_HYDROCRACKING"),"Hydrocracker",IF($H14395="REFORMING","Reformer",""))))</f>
        <v/>
      </c>
    </row>
    <row r="14396" spans="6:7">
      <c r="F14396" s="6">
        <f>IF($M14396="PADD I","PADD 1",IF($M14396="PADD II","PADD 2",IF($M14396="PADD III","PADD 3",IF($M14396="PADD IV","PADD 4",IF($M14396="PADD V","PADD 5","")))))</f>
        <v/>
      </c>
      <c r="G14396" s="6">
        <f>IF(AND($H14396="ATMOS DISTILLATION",ISNUMBER(SEARCH("VPS",$I14396))=FALSE,LEFT($I14396,6)&lt;&gt;"VACUUM"),"CDU",IF($H14396="FLUID CAT CRACKING","FCC",IF(OR($H14396="HYDROCRACKING",$H14396="RESID_HYDROCRACKING"),"Hydrocracker",IF($H14396="REFORMING","Reformer",""))))</f>
        <v/>
      </c>
    </row>
    <row r="14397" spans="6:7">
      <c r="F14397" s="6">
        <f>IF($M14397="PADD I","PADD 1",IF($M14397="PADD II","PADD 2",IF($M14397="PADD III","PADD 3",IF($M14397="PADD IV","PADD 4",IF($M14397="PADD V","PADD 5","")))))</f>
        <v/>
      </c>
      <c r="G14397" s="6">
        <f>IF(AND($H14397="ATMOS DISTILLATION",ISNUMBER(SEARCH("VPS",$I14397))=FALSE,LEFT($I14397,6)&lt;&gt;"VACUUM"),"CDU",IF($H14397="FLUID CAT CRACKING","FCC",IF(OR($H14397="HYDROCRACKING",$H14397="RESID_HYDROCRACKING"),"Hydrocracker",IF($H14397="REFORMING","Reformer",""))))</f>
        <v/>
      </c>
    </row>
    <row r="14398" spans="6:7">
      <c r="F14398" s="6">
        <f>IF($M14398="PADD I","PADD 1",IF($M14398="PADD II","PADD 2",IF($M14398="PADD III","PADD 3",IF($M14398="PADD IV","PADD 4",IF($M14398="PADD V","PADD 5","")))))</f>
        <v/>
      </c>
      <c r="G14398" s="6">
        <f>IF(AND($H14398="ATMOS DISTILLATION",ISNUMBER(SEARCH("VPS",$I14398))=FALSE,LEFT($I14398,6)&lt;&gt;"VACUUM"),"CDU",IF($H14398="FLUID CAT CRACKING","FCC",IF(OR($H14398="HYDROCRACKING",$H14398="RESID_HYDROCRACKING"),"Hydrocracker",IF($H14398="REFORMING","Reformer",""))))</f>
        <v/>
      </c>
    </row>
    <row r="14399" spans="6:7">
      <c r="F14399" s="6">
        <f>IF($M14399="PADD I","PADD 1",IF($M14399="PADD II","PADD 2",IF($M14399="PADD III","PADD 3",IF($M14399="PADD IV","PADD 4",IF($M14399="PADD V","PADD 5","")))))</f>
        <v/>
      </c>
      <c r="G14399" s="6">
        <f>IF(AND($H14399="ATMOS DISTILLATION",ISNUMBER(SEARCH("VPS",$I14399))=FALSE,LEFT($I14399,6)&lt;&gt;"VACUUM"),"CDU",IF($H14399="FLUID CAT CRACKING","FCC",IF(OR($H14399="HYDROCRACKING",$H14399="RESID_HYDROCRACKING"),"Hydrocracker",IF($H14399="REFORMING","Reformer",""))))</f>
        <v/>
      </c>
    </row>
    <row r="14400" spans="6:7">
      <c r="F14400" s="6">
        <f>IF($M14400="PADD I","PADD 1",IF($M14400="PADD II","PADD 2",IF($M14400="PADD III","PADD 3",IF($M14400="PADD IV","PADD 4",IF($M14400="PADD V","PADD 5","")))))</f>
        <v/>
      </c>
      <c r="G14400" s="6">
        <f>IF(AND($H14400="ATMOS DISTILLATION",ISNUMBER(SEARCH("VPS",$I14400))=FALSE,LEFT($I14400,6)&lt;&gt;"VACUUM"),"CDU",IF($H14400="FLUID CAT CRACKING","FCC",IF(OR($H14400="HYDROCRACKING",$H14400="RESID_HYDROCRACKING"),"Hydrocracker",IF($H14400="REFORMING","Reformer",""))))</f>
        <v/>
      </c>
    </row>
    <row r="14401" spans="6:7">
      <c r="F14401" s="6">
        <f>IF($M14401="PADD I","PADD 1",IF($M14401="PADD II","PADD 2",IF($M14401="PADD III","PADD 3",IF($M14401="PADD IV","PADD 4",IF($M14401="PADD V","PADD 5","")))))</f>
        <v/>
      </c>
      <c r="G14401" s="6">
        <f>IF(AND($H14401="ATMOS DISTILLATION",ISNUMBER(SEARCH("VPS",$I14401))=FALSE,LEFT($I14401,6)&lt;&gt;"VACUUM"),"CDU",IF($H14401="FLUID CAT CRACKING","FCC",IF(OR($H14401="HYDROCRACKING",$H14401="RESID_HYDROCRACKING"),"Hydrocracker",IF($H14401="REFORMING","Reformer",""))))</f>
        <v/>
      </c>
    </row>
    <row r="14402" spans="6:7">
      <c r="F14402" s="6">
        <f>IF($M14402="PADD I","PADD 1",IF($M14402="PADD II","PADD 2",IF($M14402="PADD III","PADD 3",IF($M14402="PADD IV","PADD 4",IF($M14402="PADD V","PADD 5","")))))</f>
        <v/>
      </c>
      <c r="G14402" s="6">
        <f>IF(AND($H14402="ATMOS DISTILLATION",ISNUMBER(SEARCH("VPS",$I14402))=FALSE,LEFT($I14402,6)&lt;&gt;"VACUUM"),"CDU",IF($H14402="FLUID CAT CRACKING","FCC",IF(OR($H14402="HYDROCRACKING",$H14402="RESID_HYDROCRACKING"),"Hydrocracker",IF($H14402="REFORMING","Reformer",""))))</f>
        <v/>
      </c>
    </row>
    <row r="14403" spans="6:7">
      <c r="F14403" s="6">
        <f>IF($M14403="PADD I","PADD 1",IF($M14403="PADD II","PADD 2",IF($M14403="PADD III","PADD 3",IF($M14403="PADD IV","PADD 4",IF($M14403="PADD V","PADD 5","")))))</f>
        <v/>
      </c>
      <c r="G14403" s="6">
        <f>IF(AND($H14403="ATMOS DISTILLATION",ISNUMBER(SEARCH("VPS",$I14403))=FALSE,LEFT($I14403,6)&lt;&gt;"VACUUM"),"CDU",IF($H14403="FLUID CAT CRACKING","FCC",IF(OR($H14403="HYDROCRACKING",$H14403="RESID_HYDROCRACKING"),"Hydrocracker",IF($H14403="REFORMING","Reformer",""))))</f>
        <v/>
      </c>
    </row>
    <row r="14404" spans="6:7">
      <c r="F14404" s="6">
        <f>IF($M14404="PADD I","PADD 1",IF($M14404="PADD II","PADD 2",IF($M14404="PADD III","PADD 3",IF($M14404="PADD IV","PADD 4",IF($M14404="PADD V","PADD 5","")))))</f>
        <v/>
      </c>
      <c r="G14404" s="6">
        <f>IF(AND($H14404="ATMOS DISTILLATION",ISNUMBER(SEARCH("VPS",$I14404))=FALSE,LEFT($I14404,6)&lt;&gt;"VACUUM"),"CDU",IF($H14404="FLUID CAT CRACKING","FCC",IF(OR($H14404="HYDROCRACKING",$H14404="RESID_HYDROCRACKING"),"Hydrocracker",IF($H14404="REFORMING","Reformer",""))))</f>
        <v/>
      </c>
    </row>
    <row r="14405" spans="6:7">
      <c r="F14405" s="6">
        <f>IF($M14405="PADD I","PADD 1",IF($M14405="PADD II","PADD 2",IF($M14405="PADD III","PADD 3",IF($M14405="PADD IV","PADD 4",IF($M14405="PADD V","PADD 5","")))))</f>
        <v/>
      </c>
      <c r="G14405" s="6">
        <f>IF(AND($H14405="ATMOS DISTILLATION",ISNUMBER(SEARCH("VPS",$I14405))=FALSE,LEFT($I14405,6)&lt;&gt;"VACUUM"),"CDU",IF($H14405="FLUID CAT CRACKING","FCC",IF(OR($H14405="HYDROCRACKING",$H14405="RESID_HYDROCRACKING"),"Hydrocracker",IF($H14405="REFORMING","Reformer",""))))</f>
        <v/>
      </c>
    </row>
    <row r="14406" spans="6:7">
      <c r="F14406" s="6">
        <f>IF($M14406="PADD I","PADD 1",IF($M14406="PADD II","PADD 2",IF($M14406="PADD III","PADD 3",IF($M14406="PADD IV","PADD 4",IF($M14406="PADD V","PADD 5","")))))</f>
        <v/>
      </c>
      <c r="G14406" s="6">
        <f>IF(AND($H14406="ATMOS DISTILLATION",ISNUMBER(SEARCH("VPS",$I14406))=FALSE,LEFT($I14406,6)&lt;&gt;"VACUUM"),"CDU",IF($H14406="FLUID CAT CRACKING","FCC",IF(OR($H14406="HYDROCRACKING",$H14406="RESID_HYDROCRACKING"),"Hydrocracker",IF($H14406="REFORMING","Reformer",""))))</f>
        <v/>
      </c>
    </row>
    <row r="14407" spans="6:7">
      <c r="F14407" s="6">
        <f>IF($M14407="PADD I","PADD 1",IF($M14407="PADD II","PADD 2",IF($M14407="PADD III","PADD 3",IF($M14407="PADD IV","PADD 4",IF($M14407="PADD V","PADD 5","")))))</f>
        <v/>
      </c>
      <c r="G14407" s="6">
        <f>IF(AND($H14407="ATMOS DISTILLATION",ISNUMBER(SEARCH("VPS",$I14407))=FALSE,LEFT($I14407,6)&lt;&gt;"VACUUM"),"CDU",IF($H14407="FLUID CAT CRACKING","FCC",IF(OR($H14407="HYDROCRACKING",$H14407="RESID_HYDROCRACKING"),"Hydrocracker",IF($H14407="REFORMING","Reformer",""))))</f>
        <v/>
      </c>
    </row>
    <row r="14408" spans="6:7">
      <c r="F14408" s="6">
        <f>IF($M14408="PADD I","PADD 1",IF($M14408="PADD II","PADD 2",IF($M14408="PADD III","PADD 3",IF($M14408="PADD IV","PADD 4",IF($M14408="PADD V","PADD 5","")))))</f>
        <v/>
      </c>
      <c r="G14408" s="6">
        <f>IF(AND($H14408="ATMOS DISTILLATION",ISNUMBER(SEARCH("VPS",$I14408))=FALSE,LEFT($I14408,6)&lt;&gt;"VACUUM"),"CDU",IF($H14408="FLUID CAT CRACKING","FCC",IF(OR($H14408="HYDROCRACKING",$H14408="RESID_HYDROCRACKING"),"Hydrocracker",IF($H14408="REFORMING","Reformer",""))))</f>
        <v/>
      </c>
    </row>
    <row r="14409" spans="6:7">
      <c r="F14409" s="6">
        <f>IF($M14409="PADD I","PADD 1",IF($M14409="PADD II","PADD 2",IF($M14409="PADD III","PADD 3",IF($M14409="PADD IV","PADD 4",IF($M14409="PADD V","PADD 5","")))))</f>
        <v/>
      </c>
      <c r="G14409" s="6">
        <f>IF(AND($H14409="ATMOS DISTILLATION",ISNUMBER(SEARCH("VPS",$I14409))=FALSE,LEFT($I14409,6)&lt;&gt;"VACUUM"),"CDU",IF($H14409="FLUID CAT CRACKING","FCC",IF(OR($H14409="HYDROCRACKING",$H14409="RESID_HYDROCRACKING"),"Hydrocracker",IF($H14409="REFORMING","Reformer",""))))</f>
        <v/>
      </c>
    </row>
    <row r="14410" spans="6:7">
      <c r="F14410" s="6">
        <f>IF($M14410="PADD I","PADD 1",IF($M14410="PADD II","PADD 2",IF($M14410="PADD III","PADD 3",IF($M14410="PADD IV","PADD 4",IF($M14410="PADD V","PADD 5","")))))</f>
        <v/>
      </c>
      <c r="G14410" s="6">
        <f>IF(AND($H14410="ATMOS DISTILLATION",ISNUMBER(SEARCH("VPS",$I14410))=FALSE,LEFT($I14410,6)&lt;&gt;"VACUUM"),"CDU",IF($H14410="FLUID CAT CRACKING","FCC",IF(OR($H14410="HYDROCRACKING",$H14410="RESID_HYDROCRACKING"),"Hydrocracker",IF($H14410="REFORMING","Reformer",""))))</f>
        <v/>
      </c>
    </row>
    <row r="14411" spans="6:7">
      <c r="F14411" s="6">
        <f>IF($M14411="PADD I","PADD 1",IF($M14411="PADD II","PADD 2",IF($M14411="PADD III","PADD 3",IF($M14411="PADD IV","PADD 4",IF($M14411="PADD V","PADD 5","")))))</f>
        <v/>
      </c>
      <c r="G14411" s="6">
        <f>IF(AND($H14411="ATMOS DISTILLATION",ISNUMBER(SEARCH("VPS",$I14411))=FALSE,LEFT($I14411,6)&lt;&gt;"VACUUM"),"CDU",IF($H14411="FLUID CAT CRACKING","FCC",IF(OR($H14411="HYDROCRACKING",$H14411="RESID_HYDROCRACKING"),"Hydrocracker",IF($H14411="REFORMING","Reformer",""))))</f>
        <v/>
      </c>
    </row>
    <row r="14412" spans="6:7">
      <c r="F14412" s="6">
        <f>IF($M14412="PADD I","PADD 1",IF($M14412="PADD II","PADD 2",IF($M14412="PADD III","PADD 3",IF($M14412="PADD IV","PADD 4",IF($M14412="PADD V","PADD 5","")))))</f>
        <v/>
      </c>
      <c r="G14412" s="6">
        <f>IF(AND($H14412="ATMOS DISTILLATION",ISNUMBER(SEARCH("VPS",$I14412))=FALSE,LEFT($I14412,6)&lt;&gt;"VACUUM"),"CDU",IF($H14412="FLUID CAT CRACKING","FCC",IF(OR($H14412="HYDROCRACKING",$H14412="RESID_HYDROCRACKING"),"Hydrocracker",IF($H14412="REFORMING","Reformer",""))))</f>
        <v/>
      </c>
    </row>
    <row r="14413" spans="6:7">
      <c r="F14413" s="6">
        <f>IF($M14413="PADD I","PADD 1",IF($M14413="PADD II","PADD 2",IF($M14413="PADD III","PADD 3",IF($M14413="PADD IV","PADD 4",IF($M14413="PADD V","PADD 5","")))))</f>
        <v/>
      </c>
      <c r="G14413" s="6">
        <f>IF(AND($H14413="ATMOS DISTILLATION",ISNUMBER(SEARCH("VPS",$I14413))=FALSE,LEFT($I14413,6)&lt;&gt;"VACUUM"),"CDU",IF($H14413="FLUID CAT CRACKING","FCC",IF(OR($H14413="HYDROCRACKING",$H14413="RESID_HYDROCRACKING"),"Hydrocracker",IF($H14413="REFORMING","Reformer",""))))</f>
        <v/>
      </c>
    </row>
    <row r="14414" spans="6:7">
      <c r="F14414" s="6">
        <f>IF($M14414="PADD I","PADD 1",IF($M14414="PADD II","PADD 2",IF($M14414="PADD III","PADD 3",IF($M14414="PADD IV","PADD 4",IF($M14414="PADD V","PADD 5","")))))</f>
        <v/>
      </c>
      <c r="G14414" s="6">
        <f>IF(AND($H14414="ATMOS DISTILLATION",ISNUMBER(SEARCH("VPS",$I14414))=FALSE,LEFT($I14414,6)&lt;&gt;"VACUUM"),"CDU",IF($H14414="FLUID CAT CRACKING","FCC",IF(OR($H14414="HYDROCRACKING",$H14414="RESID_HYDROCRACKING"),"Hydrocracker",IF($H14414="REFORMING","Reformer",""))))</f>
        <v/>
      </c>
    </row>
    <row r="14415" spans="6:7">
      <c r="F14415" s="6">
        <f>IF($M14415="PADD I","PADD 1",IF($M14415="PADD II","PADD 2",IF($M14415="PADD III","PADD 3",IF($M14415="PADD IV","PADD 4",IF($M14415="PADD V","PADD 5","")))))</f>
        <v/>
      </c>
      <c r="G14415" s="6">
        <f>IF(AND($H14415="ATMOS DISTILLATION",ISNUMBER(SEARCH("VPS",$I14415))=FALSE,LEFT($I14415,6)&lt;&gt;"VACUUM"),"CDU",IF($H14415="FLUID CAT CRACKING","FCC",IF(OR($H14415="HYDROCRACKING",$H14415="RESID_HYDROCRACKING"),"Hydrocracker",IF($H14415="REFORMING","Reformer",""))))</f>
        <v/>
      </c>
    </row>
    <row r="14416" spans="6:7">
      <c r="F14416" s="6">
        <f>IF($M14416="PADD I","PADD 1",IF($M14416="PADD II","PADD 2",IF($M14416="PADD III","PADD 3",IF($M14416="PADD IV","PADD 4",IF($M14416="PADD V","PADD 5","")))))</f>
        <v/>
      </c>
      <c r="G14416" s="6">
        <f>IF(AND($H14416="ATMOS DISTILLATION",ISNUMBER(SEARCH("VPS",$I14416))=FALSE,LEFT($I14416,6)&lt;&gt;"VACUUM"),"CDU",IF($H14416="FLUID CAT CRACKING","FCC",IF(OR($H14416="HYDROCRACKING",$H14416="RESID_HYDROCRACKING"),"Hydrocracker",IF($H14416="REFORMING","Reformer",""))))</f>
        <v/>
      </c>
    </row>
    <row r="14417" spans="6:7">
      <c r="F14417" s="6">
        <f>IF($M14417="PADD I","PADD 1",IF($M14417="PADD II","PADD 2",IF($M14417="PADD III","PADD 3",IF($M14417="PADD IV","PADD 4",IF($M14417="PADD V","PADD 5","")))))</f>
        <v/>
      </c>
      <c r="G14417" s="6">
        <f>IF(AND($H14417="ATMOS DISTILLATION",ISNUMBER(SEARCH("VPS",$I14417))=FALSE,LEFT($I14417,6)&lt;&gt;"VACUUM"),"CDU",IF($H14417="FLUID CAT CRACKING","FCC",IF(OR($H14417="HYDROCRACKING",$H14417="RESID_HYDROCRACKING"),"Hydrocracker",IF($H14417="REFORMING","Reformer",""))))</f>
        <v/>
      </c>
    </row>
    <row r="14418" spans="6:7">
      <c r="F14418" s="6">
        <f>IF($M14418="PADD I","PADD 1",IF($M14418="PADD II","PADD 2",IF($M14418="PADD III","PADD 3",IF($M14418="PADD IV","PADD 4",IF($M14418="PADD V","PADD 5","")))))</f>
        <v/>
      </c>
      <c r="G14418" s="6">
        <f>IF(AND($H14418="ATMOS DISTILLATION",ISNUMBER(SEARCH("VPS",$I14418))=FALSE,LEFT($I14418,6)&lt;&gt;"VACUUM"),"CDU",IF($H14418="FLUID CAT CRACKING","FCC",IF(OR($H14418="HYDROCRACKING",$H14418="RESID_HYDROCRACKING"),"Hydrocracker",IF($H14418="REFORMING","Reformer",""))))</f>
        <v/>
      </c>
    </row>
    <row r="14419" spans="6:7">
      <c r="F14419" s="6">
        <f>IF($M14419="PADD I","PADD 1",IF($M14419="PADD II","PADD 2",IF($M14419="PADD III","PADD 3",IF($M14419="PADD IV","PADD 4",IF($M14419="PADD V","PADD 5","")))))</f>
        <v/>
      </c>
      <c r="G14419" s="6">
        <f>IF(AND($H14419="ATMOS DISTILLATION",ISNUMBER(SEARCH("VPS",$I14419))=FALSE,LEFT($I14419,6)&lt;&gt;"VACUUM"),"CDU",IF($H14419="FLUID CAT CRACKING","FCC",IF(OR($H14419="HYDROCRACKING",$H14419="RESID_HYDROCRACKING"),"Hydrocracker",IF($H14419="REFORMING","Reformer",""))))</f>
        <v/>
      </c>
    </row>
    <row r="14420" spans="6:7">
      <c r="F14420" s="6">
        <f>IF($M14420="PADD I","PADD 1",IF($M14420="PADD II","PADD 2",IF($M14420="PADD III","PADD 3",IF($M14420="PADD IV","PADD 4",IF($M14420="PADD V","PADD 5","")))))</f>
        <v/>
      </c>
      <c r="G14420" s="6">
        <f>IF(AND($H14420="ATMOS DISTILLATION",ISNUMBER(SEARCH("VPS",$I14420))=FALSE,LEFT($I14420,6)&lt;&gt;"VACUUM"),"CDU",IF($H14420="FLUID CAT CRACKING","FCC",IF(OR($H14420="HYDROCRACKING",$H14420="RESID_HYDROCRACKING"),"Hydrocracker",IF($H14420="REFORMING","Reformer",""))))</f>
        <v/>
      </c>
    </row>
    <row r="14421" spans="6:7">
      <c r="F14421" s="6">
        <f>IF($M14421="PADD I","PADD 1",IF($M14421="PADD II","PADD 2",IF($M14421="PADD III","PADD 3",IF($M14421="PADD IV","PADD 4",IF($M14421="PADD V","PADD 5","")))))</f>
        <v/>
      </c>
      <c r="G14421" s="6">
        <f>IF(AND($H14421="ATMOS DISTILLATION",ISNUMBER(SEARCH("VPS",$I14421))=FALSE,LEFT($I14421,6)&lt;&gt;"VACUUM"),"CDU",IF($H14421="FLUID CAT CRACKING","FCC",IF(OR($H14421="HYDROCRACKING",$H14421="RESID_HYDROCRACKING"),"Hydrocracker",IF($H14421="REFORMING","Reformer",""))))</f>
        <v/>
      </c>
    </row>
    <row r="14422" spans="6:7">
      <c r="F14422" s="6">
        <f>IF($M14422="PADD I","PADD 1",IF($M14422="PADD II","PADD 2",IF($M14422="PADD III","PADD 3",IF($M14422="PADD IV","PADD 4",IF($M14422="PADD V","PADD 5","")))))</f>
        <v/>
      </c>
      <c r="G14422" s="6">
        <f>IF(AND($H14422="ATMOS DISTILLATION",ISNUMBER(SEARCH("VPS",$I14422))=FALSE,LEFT($I14422,6)&lt;&gt;"VACUUM"),"CDU",IF($H14422="FLUID CAT CRACKING","FCC",IF(OR($H14422="HYDROCRACKING",$H14422="RESID_HYDROCRACKING"),"Hydrocracker",IF($H14422="REFORMING","Reformer",""))))</f>
        <v/>
      </c>
    </row>
    <row r="14423" spans="6:7">
      <c r="F14423" s="6">
        <f>IF($M14423="PADD I","PADD 1",IF($M14423="PADD II","PADD 2",IF($M14423="PADD III","PADD 3",IF($M14423="PADD IV","PADD 4",IF($M14423="PADD V","PADD 5","")))))</f>
        <v/>
      </c>
      <c r="G14423" s="6">
        <f>IF(AND($H14423="ATMOS DISTILLATION",ISNUMBER(SEARCH("VPS",$I14423))=FALSE,LEFT($I14423,6)&lt;&gt;"VACUUM"),"CDU",IF($H14423="FLUID CAT CRACKING","FCC",IF(OR($H14423="HYDROCRACKING",$H14423="RESID_HYDROCRACKING"),"Hydrocracker",IF($H14423="REFORMING","Reformer",""))))</f>
        <v/>
      </c>
    </row>
    <row r="14424" spans="6:7">
      <c r="F14424" s="6">
        <f>IF($M14424="PADD I","PADD 1",IF($M14424="PADD II","PADD 2",IF($M14424="PADD III","PADD 3",IF($M14424="PADD IV","PADD 4",IF($M14424="PADD V","PADD 5","")))))</f>
        <v/>
      </c>
      <c r="G14424" s="6">
        <f>IF(AND($H14424="ATMOS DISTILLATION",ISNUMBER(SEARCH("VPS",$I14424))=FALSE,LEFT($I14424,6)&lt;&gt;"VACUUM"),"CDU",IF($H14424="FLUID CAT CRACKING","FCC",IF(OR($H14424="HYDROCRACKING",$H14424="RESID_HYDROCRACKING"),"Hydrocracker",IF($H14424="REFORMING","Reformer",""))))</f>
        <v/>
      </c>
    </row>
    <row r="14425" spans="6:7">
      <c r="F14425" s="6">
        <f>IF($M14425="PADD I","PADD 1",IF($M14425="PADD II","PADD 2",IF($M14425="PADD III","PADD 3",IF($M14425="PADD IV","PADD 4",IF($M14425="PADD V","PADD 5","")))))</f>
        <v/>
      </c>
      <c r="G14425" s="6">
        <f>IF(AND($H14425="ATMOS DISTILLATION",ISNUMBER(SEARCH("VPS",$I14425))=FALSE,LEFT($I14425,6)&lt;&gt;"VACUUM"),"CDU",IF($H14425="FLUID CAT CRACKING","FCC",IF(OR($H14425="HYDROCRACKING",$H14425="RESID_HYDROCRACKING"),"Hydrocracker",IF($H14425="REFORMING","Reformer",""))))</f>
        <v/>
      </c>
    </row>
    <row r="14426" spans="6:7">
      <c r="F14426" s="6">
        <f>IF($M14426="PADD I","PADD 1",IF($M14426="PADD II","PADD 2",IF($M14426="PADD III","PADD 3",IF($M14426="PADD IV","PADD 4",IF($M14426="PADD V","PADD 5","")))))</f>
        <v/>
      </c>
      <c r="G14426" s="6">
        <f>IF(AND($H14426="ATMOS DISTILLATION",ISNUMBER(SEARCH("VPS",$I14426))=FALSE,LEFT($I14426,6)&lt;&gt;"VACUUM"),"CDU",IF($H14426="FLUID CAT CRACKING","FCC",IF(OR($H14426="HYDROCRACKING",$H14426="RESID_HYDROCRACKING"),"Hydrocracker",IF($H14426="REFORMING","Reformer",""))))</f>
        <v/>
      </c>
    </row>
    <row r="14427" spans="6:7">
      <c r="F14427" s="6">
        <f>IF($M14427="PADD I","PADD 1",IF($M14427="PADD II","PADD 2",IF($M14427="PADD III","PADD 3",IF($M14427="PADD IV","PADD 4",IF($M14427="PADD V","PADD 5","")))))</f>
        <v/>
      </c>
      <c r="G14427" s="6">
        <f>IF(AND($H14427="ATMOS DISTILLATION",ISNUMBER(SEARCH("VPS",$I14427))=FALSE,LEFT($I14427,6)&lt;&gt;"VACUUM"),"CDU",IF($H14427="FLUID CAT CRACKING","FCC",IF(OR($H14427="HYDROCRACKING",$H14427="RESID_HYDROCRACKING"),"Hydrocracker",IF($H14427="REFORMING","Reformer",""))))</f>
        <v/>
      </c>
    </row>
    <row r="14428" spans="6:7">
      <c r="F14428" s="6">
        <f>IF($M14428="PADD I","PADD 1",IF($M14428="PADD II","PADD 2",IF($M14428="PADD III","PADD 3",IF($M14428="PADD IV","PADD 4",IF($M14428="PADD V","PADD 5","")))))</f>
        <v/>
      </c>
      <c r="G14428" s="6">
        <f>IF(AND($H14428="ATMOS DISTILLATION",ISNUMBER(SEARCH("VPS",$I14428))=FALSE,LEFT($I14428,6)&lt;&gt;"VACUUM"),"CDU",IF($H14428="FLUID CAT CRACKING","FCC",IF(OR($H14428="HYDROCRACKING",$H14428="RESID_HYDROCRACKING"),"Hydrocracker",IF($H14428="REFORMING","Reformer",""))))</f>
        <v/>
      </c>
    </row>
    <row r="14429" spans="6:7">
      <c r="F14429" s="6">
        <f>IF($M14429="PADD I","PADD 1",IF($M14429="PADD II","PADD 2",IF($M14429="PADD III","PADD 3",IF($M14429="PADD IV","PADD 4",IF($M14429="PADD V","PADD 5","")))))</f>
        <v/>
      </c>
      <c r="G14429" s="6">
        <f>IF(AND($H14429="ATMOS DISTILLATION",ISNUMBER(SEARCH("VPS",$I14429))=FALSE,LEFT($I14429,6)&lt;&gt;"VACUUM"),"CDU",IF($H14429="FLUID CAT CRACKING","FCC",IF(OR($H14429="HYDROCRACKING",$H14429="RESID_HYDROCRACKING"),"Hydrocracker",IF($H14429="REFORMING","Reformer",""))))</f>
        <v/>
      </c>
    </row>
    <row r="14430" spans="6:7">
      <c r="F14430" s="6">
        <f>IF($M14430="PADD I","PADD 1",IF($M14430="PADD II","PADD 2",IF($M14430="PADD III","PADD 3",IF($M14430="PADD IV","PADD 4",IF($M14430="PADD V","PADD 5","")))))</f>
        <v/>
      </c>
      <c r="G14430" s="6">
        <f>IF(AND($H14430="ATMOS DISTILLATION",ISNUMBER(SEARCH("VPS",$I14430))=FALSE,LEFT($I14430,6)&lt;&gt;"VACUUM"),"CDU",IF($H14430="FLUID CAT CRACKING","FCC",IF(OR($H14430="HYDROCRACKING",$H14430="RESID_HYDROCRACKING"),"Hydrocracker",IF($H14430="REFORMING","Reformer",""))))</f>
        <v/>
      </c>
    </row>
    <row r="14431" spans="6:7">
      <c r="F14431" s="6">
        <f>IF($M14431="PADD I","PADD 1",IF($M14431="PADD II","PADD 2",IF($M14431="PADD III","PADD 3",IF($M14431="PADD IV","PADD 4",IF($M14431="PADD V","PADD 5","")))))</f>
        <v/>
      </c>
      <c r="G14431" s="6">
        <f>IF(AND($H14431="ATMOS DISTILLATION",ISNUMBER(SEARCH("VPS",$I14431))=FALSE,LEFT($I14431,6)&lt;&gt;"VACUUM"),"CDU",IF($H14431="FLUID CAT CRACKING","FCC",IF(OR($H14431="HYDROCRACKING",$H14431="RESID_HYDROCRACKING"),"Hydrocracker",IF($H14431="REFORMING","Reformer",""))))</f>
        <v/>
      </c>
    </row>
    <row r="14432" spans="6:7">
      <c r="F14432" s="6">
        <f>IF($M14432="PADD I","PADD 1",IF($M14432="PADD II","PADD 2",IF($M14432="PADD III","PADD 3",IF($M14432="PADD IV","PADD 4",IF($M14432="PADD V","PADD 5","")))))</f>
        <v/>
      </c>
      <c r="G14432" s="6">
        <f>IF(AND($H14432="ATMOS DISTILLATION",ISNUMBER(SEARCH("VPS",$I14432))=FALSE,LEFT($I14432,6)&lt;&gt;"VACUUM"),"CDU",IF($H14432="FLUID CAT CRACKING","FCC",IF(OR($H14432="HYDROCRACKING",$H14432="RESID_HYDROCRACKING"),"Hydrocracker",IF($H14432="REFORMING","Reformer",""))))</f>
        <v/>
      </c>
    </row>
    <row r="14433" spans="6:7">
      <c r="F14433" s="6">
        <f>IF($M14433="PADD I","PADD 1",IF($M14433="PADD II","PADD 2",IF($M14433="PADD III","PADD 3",IF($M14433="PADD IV","PADD 4",IF($M14433="PADD V","PADD 5","")))))</f>
        <v/>
      </c>
      <c r="G14433" s="6">
        <f>IF(AND($H14433="ATMOS DISTILLATION",ISNUMBER(SEARCH("VPS",$I14433))=FALSE,LEFT($I14433,6)&lt;&gt;"VACUUM"),"CDU",IF($H14433="FLUID CAT CRACKING","FCC",IF(OR($H14433="HYDROCRACKING",$H14433="RESID_HYDROCRACKING"),"Hydrocracker",IF($H14433="REFORMING","Reformer",""))))</f>
        <v/>
      </c>
    </row>
    <row r="14434" spans="6:7">
      <c r="F14434" s="6">
        <f>IF($M14434="PADD I","PADD 1",IF($M14434="PADD II","PADD 2",IF($M14434="PADD III","PADD 3",IF($M14434="PADD IV","PADD 4",IF($M14434="PADD V","PADD 5","")))))</f>
        <v/>
      </c>
      <c r="G14434" s="6">
        <f>IF(AND($H14434="ATMOS DISTILLATION",ISNUMBER(SEARCH("VPS",$I14434))=FALSE,LEFT($I14434,6)&lt;&gt;"VACUUM"),"CDU",IF($H14434="FLUID CAT CRACKING","FCC",IF(OR($H14434="HYDROCRACKING",$H14434="RESID_HYDROCRACKING"),"Hydrocracker",IF($H14434="REFORMING","Reformer",""))))</f>
        <v/>
      </c>
    </row>
    <row r="14435" spans="6:7">
      <c r="F14435" s="6">
        <f>IF($M14435="PADD I","PADD 1",IF($M14435="PADD II","PADD 2",IF($M14435="PADD III","PADD 3",IF($M14435="PADD IV","PADD 4",IF($M14435="PADD V","PADD 5","")))))</f>
        <v/>
      </c>
      <c r="G14435" s="6">
        <f>IF(AND($H14435="ATMOS DISTILLATION",ISNUMBER(SEARCH("VPS",$I14435))=FALSE,LEFT($I14435,6)&lt;&gt;"VACUUM"),"CDU",IF($H14435="FLUID CAT CRACKING","FCC",IF(OR($H14435="HYDROCRACKING",$H14435="RESID_HYDROCRACKING"),"Hydrocracker",IF($H14435="REFORMING","Reformer",""))))</f>
        <v/>
      </c>
    </row>
    <row r="14436" spans="6:7">
      <c r="F14436" s="6">
        <f>IF($M14436="PADD I","PADD 1",IF($M14436="PADD II","PADD 2",IF($M14436="PADD III","PADD 3",IF($M14436="PADD IV","PADD 4",IF($M14436="PADD V","PADD 5","")))))</f>
        <v/>
      </c>
      <c r="G14436" s="6">
        <f>IF(AND($H14436="ATMOS DISTILLATION",ISNUMBER(SEARCH("VPS",$I14436))=FALSE,LEFT($I14436,6)&lt;&gt;"VACUUM"),"CDU",IF($H14436="FLUID CAT CRACKING","FCC",IF(OR($H14436="HYDROCRACKING",$H14436="RESID_HYDROCRACKING"),"Hydrocracker",IF($H14436="REFORMING","Reformer",""))))</f>
        <v/>
      </c>
    </row>
    <row r="14437" spans="6:7">
      <c r="F14437" s="6">
        <f>IF($M14437="PADD I","PADD 1",IF($M14437="PADD II","PADD 2",IF($M14437="PADD III","PADD 3",IF($M14437="PADD IV","PADD 4",IF($M14437="PADD V","PADD 5","")))))</f>
        <v/>
      </c>
      <c r="G14437" s="6">
        <f>IF(AND($H14437="ATMOS DISTILLATION",ISNUMBER(SEARCH("VPS",$I14437))=FALSE,LEFT($I14437,6)&lt;&gt;"VACUUM"),"CDU",IF($H14437="FLUID CAT CRACKING","FCC",IF(OR($H14437="HYDROCRACKING",$H14437="RESID_HYDROCRACKING"),"Hydrocracker",IF($H14437="REFORMING","Reformer",""))))</f>
        <v/>
      </c>
    </row>
    <row r="14438" spans="6:7">
      <c r="F14438" s="6">
        <f>IF($M14438="PADD I","PADD 1",IF($M14438="PADD II","PADD 2",IF($M14438="PADD III","PADD 3",IF($M14438="PADD IV","PADD 4",IF($M14438="PADD V","PADD 5","")))))</f>
        <v/>
      </c>
      <c r="G14438" s="6">
        <f>IF(AND($H14438="ATMOS DISTILLATION",ISNUMBER(SEARCH("VPS",$I14438))=FALSE,LEFT($I14438,6)&lt;&gt;"VACUUM"),"CDU",IF($H14438="FLUID CAT CRACKING","FCC",IF(OR($H14438="HYDROCRACKING",$H14438="RESID_HYDROCRACKING"),"Hydrocracker",IF($H14438="REFORMING","Reformer",""))))</f>
        <v/>
      </c>
    </row>
    <row r="14439" spans="6:7">
      <c r="F14439" s="6">
        <f>IF($M14439="PADD I","PADD 1",IF($M14439="PADD II","PADD 2",IF($M14439="PADD III","PADD 3",IF($M14439="PADD IV","PADD 4",IF($M14439="PADD V","PADD 5","")))))</f>
        <v/>
      </c>
      <c r="G14439" s="6">
        <f>IF(AND($H14439="ATMOS DISTILLATION",ISNUMBER(SEARCH("VPS",$I14439))=FALSE,LEFT($I14439,6)&lt;&gt;"VACUUM"),"CDU",IF($H14439="FLUID CAT CRACKING","FCC",IF(OR($H14439="HYDROCRACKING",$H14439="RESID_HYDROCRACKING"),"Hydrocracker",IF($H14439="REFORMING","Reformer",""))))</f>
        <v/>
      </c>
    </row>
    <row r="14440" spans="6:7">
      <c r="F14440" s="6">
        <f>IF($M14440="PADD I","PADD 1",IF($M14440="PADD II","PADD 2",IF($M14440="PADD III","PADD 3",IF($M14440="PADD IV","PADD 4",IF($M14440="PADD V","PADD 5","")))))</f>
        <v/>
      </c>
      <c r="G14440" s="6">
        <f>IF(AND($H14440="ATMOS DISTILLATION",ISNUMBER(SEARCH("VPS",$I14440))=FALSE,LEFT($I14440,6)&lt;&gt;"VACUUM"),"CDU",IF($H14440="FLUID CAT CRACKING","FCC",IF(OR($H14440="HYDROCRACKING",$H14440="RESID_HYDROCRACKING"),"Hydrocracker",IF($H14440="REFORMING","Reformer",""))))</f>
        <v/>
      </c>
    </row>
    <row r="14441" spans="6:7">
      <c r="F14441" s="6">
        <f>IF($M14441="PADD I","PADD 1",IF($M14441="PADD II","PADD 2",IF($M14441="PADD III","PADD 3",IF($M14441="PADD IV","PADD 4",IF($M14441="PADD V","PADD 5","")))))</f>
        <v/>
      </c>
      <c r="G14441" s="6">
        <f>IF(AND($H14441="ATMOS DISTILLATION",ISNUMBER(SEARCH("VPS",$I14441))=FALSE,LEFT($I14441,6)&lt;&gt;"VACUUM"),"CDU",IF($H14441="FLUID CAT CRACKING","FCC",IF(OR($H14441="HYDROCRACKING",$H14441="RESID_HYDROCRACKING"),"Hydrocracker",IF($H14441="REFORMING","Reformer",""))))</f>
        <v/>
      </c>
    </row>
    <row r="14442" spans="6:7">
      <c r="F14442" s="6">
        <f>IF($M14442="PADD I","PADD 1",IF($M14442="PADD II","PADD 2",IF($M14442="PADD III","PADD 3",IF($M14442="PADD IV","PADD 4",IF($M14442="PADD V","PADD 5","")))))</f>
        <v/>
      </c>
      <c r="G14442" s="6">
        <f>IF(AND($H14442="ATMOS DISTILLATION",ISNUMBER(SEARCH("VPS",$I14442))=FALSE,LEFT($I14442,6)&lt;&gt;"VACUUM"),"CDU",IF($H14442="FLUID CAT CRACKING","FCC",IF(OR($H14442="HYDROCRACKING",$H14442="RESID_HYDROCRACKING"),"Hydrocracker",IF($H14442="REFORMING","Reformer",""))))</f>
        <v/>
      </c>
    </row>
    <row r="14443" spans="6:7">
      <c r="F14443" s="6">
        <f>IF($M14443="PADD I","PADD 1",IF($M14443="PADD II","PADD 2",IF($M14443="PADD III","PADD 3",IF($M14443="PADD IV","PADD 4",IF($M14443="PADD V","PADD 5","")))))</f>
        <v/>
      </c>
      <c r="G14443" s="6">
        <f>IF(AND($H14443="ATMOS DISTILLATION",ISNUMBER(SEARCH("VPS",$I14443))=FALSE,LEFT($I14443,6)&lt;&gt;"VACUUM"),"CDU",IF($H14443="FLUID CAT CRACKING","FCC",IF(OR($H14443="HYDROCRACKING",$H14443="RESID_HYDROCRACKING"),"Hydrocracker",IF($H14443="REFORMING","Reformer",""))))</f>
        <v/>
      </c>
    </row>
    <row r="14444" spans="6:7">
      <c r="F14444" s="6">
        <f>IF($M14444="PADD I","PADD 1",IF($M14444="PADD II","PADD 2",IF($M14444="PADD III","PADD 3",IF($M14444="PADD IV","PADD 4",IF($M14444="PADD V","PADD 5","")))))</f>
        <v/>
      </c>
      <c r="G14444" s="6">
        <f>IF(AND($H14444="ATMOS DISTILLATION",ISNUMBER(SEARCH("VPS",$I14444))=FALSE,LEFT($I14444,6)&lt;&gt;"VACUUM"),"CDU",IF($H14444="FLUID CAT CRACKING","FCC",IF(OR($H14444="HYDROCRACKING",$H14444="RESID_HYDROCRACKING"),"Hydrocracker",IF($H14444="REFORMING","Reformer",""))))</f>
        <v/>
      </c>
    </row>
    <row r="14445" spans="6:7">
      <c r="F14445" s="6">
        <f>IF($M14445="PADD I","PADD 1",IF($M14445="PADD II","PADD 2",IF($M14445="PADD III","PADD 3",IF($M14445="PADD IV","PADD 4",IF($M14445="PADD V","PADD 5","")))))</f>
        <v/>
      </c>
      <c r="G14445" s="6">
        <f>IF(AND($H14445="ATMOS DISTILLATION",ISNUMBER(SEARCH("VPS",$I14445))=FALSE,LEFT($I14445,6)&lt;&gt;"VACUUM"),"CDU",IF($H14445="FLUID CAT CRACKING","FCC",IF(OR($H14445="HYDROCRACKING",$H14445="RESID_HYDROCRACKING"),"Hydrocracker",IF($H14445="REFORMING","Reformer",""))))</f>
        <v/>
      </c>
    </row>
    <row r="14446" spans="6:7">
      <c r="F14446" s="6">
        <f>IF($M14446="PADD I","PADD 1",IF($M14446="PADD II","PADD 2",IF($M14446="PADD III","PADD 3",IF($M14446="PADD IV","PADD 4",IF($M14446="PADD V","PADD 5","")))))</f>
        <v/>
      </c>
      <c r="G14446" s="6">
        <f>IF(AND($H14446="ATMOS DISTILLATION",ISNUMBER(SEARCH("VPS",$I14446))=FALSE,LEFT($I14446,6)&lt;&gt;"VACUUM"),"CDU",IF($H14446="FLUID CAT CRACKING","FCC",IF(OR($H14446="HYDROCRACKING",$H14446="RESID_HYDROCRACKING"),"Hydrocracker",IF($H14446="REFORMING","Reformer",""))))</f>
        <v/>
      </c>
    </row>
    <row r="14447" spans="6:7">
      <c r="F14447" s="6">
        <f>IF($M14447="PADD I","PADD 1",IF($M14447="PADD II","PADD 2",IF($M14447="PADD III","PADD 3",IF($M14447="PADD IV","PADD 4",IF($M14447="PADD V","PADD 5","")))))</f>
        <v/>
      </c>
      <c r="G14447" s="6">
        <f>IF(AND($H14447="ATMOS DISTILLATION",ISNUMBER(SEARCH("VPS",$I14447))=FALSE,LEFT($I14447,6)&lt;&gt;"VACUUM"),"CDU",IF($H14447="FLUID CAT CRACKING","FCC",IF(OR($H14447="HYDROCRACKING",$H14447="RESID_HYDROCRACKING"),"Hydrocracker",IF($H14447="REFORMING","Reformer",""))))</f>
        <v/>
      </c>
    </row>
    <row r="14448" spans="6:7">
      <c r="F14448" s="6">
        <f>IF($M14448="PADD I","PADD 1",IF($M14448="PADD II","PADD 2",IF($M14448="PADD III","PADD 3",IF($M14448="PADD IV","PADD 4",IF($M14448="PADD V","PADD 5","")))))</f>
        <v/>
      </c>
      <c r="G14448" s="6">
        <f>IF(AND($H14448="ATMOS DISTILLATION",ISNUMBER(SEARCH("VPS",$I14448))=FALSE,LEFT($I14448,6)&lt;&gt;"VACUUM"),"CDU",IF($H14448="FLUID CAT CRACKING","FCC",IF(OR($H14448="HYDROCRACKING",$H14448="RESID_HYDROCRACKING"),"Hydrocracker",IF($H14448="REFORMING","Reformer",""))))</f>
        <v/>
      </c>
    </row>
    <row r="14449" spans="6:7">
      <c r="F14449" s="6">
        <f>IF($M14449="PADD I","PADD 1",IF($M14449="PADD II","PADD 2",IF($M14449="PADD III","PADD 3",IF($M14449="PADD IV","PADD 4",IF($M14449="PADD V","PADD 5","")))))</f>
        <v/>
      </c>
      <c r="G14449" s="6">
        <f>IF(AND($H14449="ATMOS DISTILLATION",ISNUMBER(SEARCH("VPS",$I14449))=FALSE,LEFT($I14449,6)&lt;&gt;"VACUUM"),"CDU",IF($H14449="FLUID CAT CRACKING","FCC",IF(OR($H14449="HYDROCRACKING",$H14449="RESID_HYDROCRACKING"),"Hydrocracker",IF($H14449="REFORMING","Reformer",""))))</f>
        <v/>
      </c>
    </row>
    <row r="14450" spans="6:7">
      <c r="F14450" s="6">
        <f>IF($M14450="PADD I","PADD 1",IF($M14450="PADD II","PADD 2",IF($M14450="PADD III","PADD 3",IF($M14450="PADD IV","PADD 4",IF($M14450="PADD V","PADD 5","")))))</f>
        <v/>
      </c>
      <c r="G14450" s="6">
        <f>IF(AND($H14450="ATMOS DISTILLATION",ISNUMBER(SEARCH("VPS",$I14450))=FALSE,LEFT($I14450,6)&lt;&gt;"VACUUM"),"CDU",IF($H14450="FLUID CAT CRACKING","FCC",IF(OR($H14450="HYDROCRACKING",$H14450="RESID_HYDROCRACKING"),"Hydrocracker",IF($H14450="REFORMING","Reformer",""))))</f>
        <v/>
      </c>
    </row>
    <row r="14451" spans="6:7">
      <c r="F14451" s="6">
        <f>IF($M14451="PADD I","PADD 1",IF($M14451="PADD II","PADD 2",IF($M14451="PADD III","PADD 3",IF($M14451="PADD IV","PADD 4",IF($M14451="PADD V","PADD 5","")))))</f>
        <v/>
      </c>
      <c r="G14451" s="6">
        <f>IF(AND($H14451="ATMOS DISTILLATION",ISNUMBER(SEARCH("VPS",$I14451))=FALSE,LEFT($I14451,6)&lt;&gt;"VACUUM"),"CDU",IF($H14451="FLUID CAT CRACKING","FCC",IF(OR($H14451="HYDROCRACKING",$H14451="RESID_HYDROCRACKING"),"Hydrocracker",IF($H14451="REFORMING","Reformer",""))))</f>
        <v/>
      </c>
    </row>
    <row r="14452" spans="6:7">
      <c r="F14452" s="6">
        <f>IF($M14452="PADD I","PADD 1",IF($M14452="PADD II","PADD 2",IF($M14452="PADD III","PADD 3",IF($M14452="PADD IV","PADD 4",IF($M14452="PADD V","PADD 5","")))))</f>
        <v/>
      </c>
      <c r="G14452" s="6">
        <f>IF(AND($H14452="ATMOS DISTILLATION",ISNUMBER(SEARCH("VPS",$I14452))=FALSE,LEFT($I14452,6)&lt;&gt;"VACUUM"),"CDU",IF($H14452="FLUID CAT CRACKING","FCC",IF(OR($H14452="HYDROCRACKING",$H14452="RESID_HYDROCRACKING"),"Hydrocracker",IF($H14452="REFORMING","Reformer",""))))</f>
        <v/>
      </c>
    </row>
    <row r="14453" spans="6:7">
      <c r="F14453" s="6">
        <f>IF($M14453="PADD I","PADD 1",IF($M14453="PADD II","PADD 2",IF($M14453="PADD III","PADD 3",IF($M14453="PADD IV","PADD 4",IF($M14453="PADD V","PADD 5","")))))</f>
        <v/>
      </c>
      <c r="G14453" s="6">
        <f>IF(AND($H14453="ATMOS DISTILLATION",ISNUMBER(SEARCH("VPS",$I14453))=FALSE,LEFT($I14453,6)&lt;&gt;"VACUUM"),"CDU",IF($H14453="FLUID CAT CRACKING","FCC",IF(OR($H14453="HYDROCRACKING",$H14453="RESID_HYDROCRACKING"),"Hydrocracker",IF($H14453="REFORMING","Reformer",""))))</f>
        <v/>
      </c>
    </row>
    <row r="14454" spans="6:7">
      <c r="F14454" s="6">
        <f>IF($M14454="PADD I","PADD 1",IF($M14454="PADD II","PADD 2",IF($M14454="PADD III","PADD 3",IF($M14454="PADD IV","PADD 4",IF($M14454="PADD V","PADD 5","")))))</f>
        <v/>
      </c>
      <c r="G14454" s="6">
        <f>IF(AND($H14454="ATMOS DISTILLATION",ISNUMBER(SEARCH("VPS",$I14454))=FALSE,LEFT($I14454,6)&lt;&gt;"VACUUM"),"CDU",IF($H14454="FLUID CAT CRACKING","FCC",IF(OR($H14454="HYDROCRACKING",$H14454="RESID_HYDROCRACKING"),"Hydrocracker",IF($H14454="REFORMING","Reformer",""))))</f>
        <v/>
      </c>
    </row>
    <row r="14455" spans="6:7">
      <c r="F14455" s="6">
        <f>IF($M14455="PADD I","PADD 1",IF($M14455="PADD II","PADD 2",IF($M14455="PADD III","PADD 3",IF($M14455="PADD IV","PADD 4",IF($M14455="PADD V","PADD 5","")))))</f>
        <v/>
      </c>
      <c r="G14455" s="6">
        <f>IF(AND($H14455="ATMOS DISTILLATION",ISNUMBER(SEARCH("VPS",$I14455))=FALSE,LEFT($I14455,6)&lt;&gt;"VACUUM"),"CDU",IF($H14455="FLUID CAT CRACKING","FCC",IF(OR($H14455="HYDROCRACKING",$H14455="RESID_HYDROCRACKING"),"Hydrocracker",IF($H14455="REFORMING","Reformer",""))))</f>
        <v/>
      </c>
    </row>
    <row r="14456" spans="6:7">
      <c r="F14456" s="6">
        <f>IF($M14456="PADD I","PADD 1",IF($M14456="PADD II","PADD 2",IF($M14456="PADD III","PADD 3",IF($M14456="PADD IV","PADD 4",IF($M14456="PADD V","PADD 5","")))))</f>
        <v/>
      </c>
      <c r="G14456" s="6">
        <f>IF(AND($H14456="ATMOS DISTILLATION",ISNUMBER(SEARCH("VPS",$I14456))=FALSE,LEFT($I14456,6)&lt;&gt;"VACUUM"),"CDU",IF($H14456="FLUID CAT CRACKING","FCC",IF(OR($H14456="HYDROCRACKING",$H14456="RESID_HYDROCRACKING"),"Hydrocracker",IF($H14456="REFORMING","Reformer",""))))</f>
        <v/>
      </c>
    </row>
    <row r="14457" spans="6:7">
      <c r="F14457" s="6">
        <f>IF($M14457="PADD I","PADD 1",IF($M14457="PADD II","PADD 2",IF($M14457="PADD III","PADD 3",IF($M14457="PADD IV","PADD 4",IF($M14457="PADD V","PADD 5","")))))</f>
        <v/>
      </c>
      <c r="G14457" s="6">
        <f>IF(AND($H14457="ATMOS DISTILLATION",ISNUMBER(SEARCH("VPS",$I14457))=FALSE,LEFT($I14457,6)&lt;&gt;"VACUUM"),"CDU",IF($H14457="FLUID CAT CRACKING","FCC",IF(OR($H14457="HYDROCRACKING",$H14457="RESID_HYDROCRACKING"),"Hydrocracker",IF($H14457="REFORMING","Reformer",""))))</f>
        <v/>
      </c>
    </row>
    <row r="14458" spans="6:7">
      <c r="F14458" s="6">
        <f>IF($M14458="PADD I","PADD 1",IF($M14458="PADD II","PADD 2",IF($M14458="PADD III","PADD 3",IF($M14458="PADD IV","PADD 4",IF($M14458="PADD V","PADD 5","")))))</f>
        <v/>
      </c>
      <c r="G14458" s="6">
        <f>IF(AND($H14458="ATMOS DISTILLATION",ISNUMBER(SEARCH("VPS",$I14458))=FALSE,LEFT($I14458,6)&lt;&gt;"VACUUM"),"CDU",IF($H14458="FLUID CAT CRACKING","FCC",IF(OR($H14458="HYDROCRACKING",$H14458="RESID_HYDROCRACKING"),"Hydrocracker",IF($H14458="REFORMING","Reformer",""))))</f>
        <v/>
      </c>
    </row>
    <row r="14459" spans="6:7">
      <c r="F14459" s="6">
        <f>IF($M14459="PADD I","PADD 1",IF($M14459="PADD II","PADD 2",IF($M14459="PADD III","PADD 3",IF($M14459="PADD IV","PADD 4",IF($M14459="PADD V","PADD 5","")))))</f>
        <v/>
      </c>
      <c r="G14459" s="6">
        <f>IF(AND($H14459="ATMOS DISTILLATION",ISNUMBER(SEARCH("VPS",$I14459))=FALSE,LEFT($I14459,6)&lt;&gt;"VACUUM"),"CDU",IF($H14459="FLUID CAT CRACKING","FCC",IF(OR($H14459="HYDROCRACKING",$H14459="RESID_HYDROCRACKING"),"Hydrocracker",IF($H14459="REFORMING","Reformer",""))))</f>
        <v/>
      </c>
    </row>
    <row r="14460" spans="6:7">
      <c r="F14460" s="6">
        <f>IF($M14460="PADD I","PADD 1",IF($M14460="PADD II","PADD 2",IF($M14460="PADD III","PADD 3",IF($M14460="PADD IV","PADD 4",IF($M14460="PADD V","PADD 5","")))))</f>
        <v/>
      </c>
      <c r="G14460" s="6">
        <f>IF(AND($H14460="ATMOS DISTILLATION",ISNUMBER(SEARCH("VPS",$I14460))=FALSE,LEFT($I14460,6)&lt;&gt;"VACUUM"),"CDU",IF($H14460="FLUID CAT CRACKING","FCC",IF(OR($H14460="HYDROCRACKING",$H14460="RESID_HYDROCRACKING"),"Hydrocracker",IF($H14460="REFORMING","Reformer",""))))</f>
        <v/>
      </c>
    </row>
    <row r="14461" spans="6:7">
      <c r="F14461" s="6">
        <f>IF($M14461="PADD I","PADD 1",IF($M14461="PADD II","PADD 2",IF($M14461="PADD III","PADD 3",IF($M14461="PADD IV","PADD 4",IF($M14461="PADD V","PADD 5","")))))</f>
        <v/>
      </c>
      <c r="G14461" s="6">
        <f>IF(AND($H14461="ATMOS DISTILLATION",ISNUMBER(SEARCH("VPS",$I14461))=FALSE,LEFT($I14461,6)&lt;&gt;"VACUUM"),"CDU",IF($H14461="FLUID CAT CRACKING","FCC",IF(OR($H14461="HYDROCRACKING",$H14461="RESID_HYDROCRACKING"),"Hydrocracker",IF($H14461="REFORMING","Reformer",""))))</f>
        <v/>
      </c>
    </row>
    <row r="14462" spans="6:7">
      <c r="F14462" s="6">
        <f>IF($M14462="PADD I","PADD 1",IF($M14462="PADD II","PADD 2",IF($M14462="PADD III","PADD 3",IF($M14462="PADD IV","PADD 4",IF($M14462="PADD V","PADD 5","")))))</f>
        <v/>
      </c>
      <c r="G14462" s="6">
        <f>IF(AND($H14462="ATMOS DISTILLATION",ISNUMBER(SEARCH("VPS",$I14462))=FALSE,LEFT($I14462,6)&lt;&gt;"VACUUM"),"CDU",IF($H14462="FLUID CAT CRACKING","FCC",IF(OR($H14462="HYDROCRACKING",$H14462="RESID_HYDROCRACKING"),"Hydrocracker",IF($H14462="REFORMING","Reformer",""))))</f>
        <v/>
      </c>
    </row>
    <row r="14463" spans="6:7">
      <c r="F14463" s="6">
        <f>IF($M14463="PADD I","PADD 1",IF($M14463="PADD II","PADD 2",IF($M14463="PADD III","PADD 3",IF($M14463="PADD IV","PADD 4",IF($M14463="PADD V","PADD 5","")))))</f>
        <v/>
      </c>
      <c r="G14463" s="6">
        <f>IF(AND($H14463="ATMOS DISTILLATION",ISNUMBER(SEARCH("VPS",$I14463))=FALSE,LEFT($I14463,6)&lt;&gt;"VACUUM"),"CDU",IF($H14463="FLUID CAT CRACKING","FCC",IF(OR($H14463="HYDROCRACKING",$H14463="RESID_HYDROCRACKING"),"Hydrocracker",IF($H14463="REFORMING","Reformer",""))))</f>
        <v/>
      </c>
    </row>
    <row r="14464" spans="6:7">
      <c r="F14464" s="6">
        <f>IF($M14464="PADD I","PADD 1",IF($M14464="PADD II","PADD 2",IF($M14464="PADD III","PADD 3",IF($M14464="PADD IV","PADD 4",IF($M14464="PADD V","PADD 5","")))))</f>
        <v/>
      </c>
      <c r="G14464" s="6">
        <f>IF(AND($H14464="ATMOS DISTILLATION",ISNUMBER(SEARCH("VPS",$I14464))=FALSE,LEFT($I14464,6)&lt;&gt;"VACUUM"),"CDU",IF($H14464="FLUID CAT CRACKING","FCC",IF(OR($H14464="HYDROCRACKING",$H14464="RESID_HYDROCRACKING"),"Hydrocracker",IF($H14464="REFORMING","Reformer",""))))</f>
        <v/>
      </c>
    </row>
    <row r="14465" spans="6:7">
      <c r="F14465" s="6">
        <f>IF($M14465="PADD I","PADD 1",IF($M14465="PADD II","PADD 2",IF($M14465="PADD III","PADD 3",IF($M14465="PADD IV","PADD 4",IF($M14465="PADD V","PADD 5","")))))</f>
        <v/>
      </c>
      <c r="G14465" s="6">
        <f>IF(AND($H14465="ATMOS DISTILLATION",ISNUMBER(SEARCH("VPS",$I14465))=FALSE,LEFT($I14465,6)&lt;&gt;"VACUUM"),"CDU",IF($H14465="FLUID CAT CRACKING","FCC",IF(OR($H14465="HYDROCRACKING",$H14465="RESID_HYDROCRACKING"),"Hydrocracker",IF($H14465="REFORMING","Reformer",""))))</f>
        <v/>
      </c>
    </row>
    <row r="14466" spans="6:7">
      <c r="F14466" s="6">
        <f>IF($M14466="PADD I","PADD 1",IF($M14466="PADD II","PADD 2",IF($M14466="PADD III","PADD 3",IF($M14466="PADD IV","PADD 4",IF($M14466="PADD V","PADD 5","")))))</f>
        <v/>
      </c>
      <c r="G14466" s="6">
        <f>IF(AND($H14466="ATMOS DISTILLATION",ISNUMBER(SEARCH("VPS",$I14466))=FALSE,LEFT($I14466,6)&lt;&gt;"VACUUM"),"CDU",IF($H14466="FLUID CAT CRACKING","FCC",IF(OR($H14466="HYDROCRACKING",$H14466="RESID_HYDROCRACKING"),"Hydrocracker",IF($H14466="REFORMING","Reformer",""))))</f>
        <v/>
      </c>
    </row>
    <row r="14467" spans="6:7">
      <c r="F14467" s="6">
        <f>IF($M14467="PADD I","PADD 1",IF($M14467="PADD II","PADD 2",IF($M14467="PADD III","PADD 3",IF($M14467="PADD IV","PADD 4",IF($M14467="PADD V","PADD 5","")))))</f>
        <v/>
      </c>
      <c r="G14467" s="6">
        <f>IF(AND($H14467="ATMOS DISTILLATION",ISNUMBER(SEARCH("VPS",$I14467))=FALSE,LEFT($I14467,6)&lt;&gt;"VACUUM"),"CDU",IF($H14467="FLUID CAT CRACKING","FCC",IF(OR($H14467="HYDROCRACKING",$H14467="RESID_HYDROCRACKING"),"Hydrocracker",IF($H14467="REFORMING","Reformer",""))))</f>
        <v/>
      </c>
    </row>
    <row r="14468" spans="6:7">
      <c r="F14468" s="6">
        <f>IF($M14468="PADD I","PADD 1",IF($M14468="PADD II","PADD 2",IF($M14468="PADD III","PADD 3",IF($M14468="PADD IV","PADD 4",IF($M14468="PADD V","PADD 5","")))))</f>
        <v/>
      </c>
      <c r="G14468" s="6">
        <f>IF(AND($H14468="ATMOS DISTILLATION",ISNUMBER(SEARCH("VPS",$I14468))=FALSE,LEFT($I14468,6)&lt;&gt;"VACUUM"),"CDU",IF($H14468="FLUID CAT CRACKING","FCC",IF(OR($H14468="HYDROCRACKING",$H14468="RESID_HYDROCRACKING"),"Hydrocracker",IF($H14468="REFORMING","Reformer",""))))</f>
        <v/>
      </c>
    </row>
    <row r="14469" spans="6:7">
      <c r="F14469" s="6">
        <f>IF($M14469="PADD I","PADD 1",IF($M14469="PADD II","PADD 2",IF($M14469="PADD III","PADD 3",IF($M14469="PADD IV","PADD 4",IF($M14469="PADD V","PADD 5","")))))</f>
        <v/>
      </c>
      <c r="G14469" s="6">
        <f>IF(AND($H14469="ATMOS DISTILLATION",ISNUMBER(SEARCH("VPS",$I14469))=FALSE,LEFT($I14469,6)&lt;&gt;"VACUUM"),"CDU",IF($H14469="FLUID CAT CRACKING","FCC",IF(OR($H14469="HYDROCRACKING",$H14469="RESID_HYDROCRACKING"),"Hydrocracker",IF($H14469="REFORMING","Reformer",""))))</f>
        <v/>
      </c>
    </row>
    <row r="14470" spans="6:7">
      <c r="F14470" s="6">
        <f>IF($M14470="PADD I","PADD 1",IF($M14470="PADD II","PADD 2",IF($M14470="PADD III","PADD 3",IF($M14470="PADD IV","PADD 4",IF($M14470="PADD V","PADD 5","")))))</f>
        <v/>
      </c>
      <c r="G14470" s="6">
        <f>IF(AND($H14470="ATMOS DISTILLATION",ISNUMBER(SEARCH("VPS",$I14470))=FALSE,LEFT($I14470,6)&lt;&gt;"VACUUM"),"CDU",IF($H14470="FLUID CAT CRACKING","FCC",IF(OR($H14470="HYDROCRACKING",$H14470="RESID_HYDROCRACKING"),"Hydrocracker",IF($H14470="REFORMING","Reformer",""))))</f>
        <v/>
      </c>
    </row>
    <row r="14471" spans="6:7">
      <c r="F14471" s="6">
        <f>IF($M14471="PADD I","PADD 1",IF($M14471="PADD II","PADD 2",IF($M14471="PADD III","PADD 3",IF($M14471="PADD IV","PADD 4",IF($M14471="PADD V","PADD 5","")))))</f>
        <v/>
      </c>
      <c r="G14471" s="6">
        <f>IF(AND($H14471="ATMOS DISTILLATION",ISNUMBER(SEARCH("VPS",$I14471))=FALSE,LEFT($I14471,6)&lt;&gt;"VACUUM"),"CDU",IF($H14471="FLUID CAT CRACKING","FCC",IF(OR($H14471="HYDROCRACKING",$H14471="RESID_HYDROCRACKING"),"Hydrocracker",IF($H14471="REFORMING","Reformer",""))))</f>
        <v/>
      </c>
    </row>
    <row r="14472" spans="6:7">
      <c r="F14472" s="6">
        <f>IF($M14472="PADD I","PADD 1",IF($M14472="PADD II","PADD 2",IF($M14472="PADD III","PADD 3",IF($M14472="PADD IV","PADD 4",IF($M14472="PADD V","PADD 5","")))))</f>
        <v/>
      </c>
      <c r="G14472" s="6">
        <f>IF(AND($H14472="ATMOS DISTILLATION",ISNUMBER(SEARCH("VPS",$I14472))=FALSE,LEFT($I14472,6)&lt;&gt;"VACUUM"),"CDU",IF($H14472="FLUID CAT CRACKING","FCC",IF(OR($H14472="HYDROCRACKING",$H14472="RESID_HYDROCRACKING"),"Hydrocracker",IF($H14472="REFORMING","Reformer",""))))</f>
        <v/>
      </c>
    </row>
    <row r="14473" spans="6:7">
      <c r="F14473" s="6">
        <f>IF($M14473="PADD I","PADD 1",IF($M14473="PADD II","PADD 2",IF($M14473="PADD III","PADD 3",IF($M14473="PADD IV","PADD 4",IF($M14473="PADD V","PADD 5","")))))</f>
        <v/>
      </c>
      <c r="G14473" s="6">
        <f>IF(AND($H14473="ATMOS DISTILLATION",ISNUMBER(SEARCH("VPS",$I14473))=FALSE,LEFT($I14473,6)&lt;&gt;"VACUUM"),"CDU",IF($H14473="FLUID CAT CRACKING","FCC",IF(OR($H14473="HYDROCRACKING",$H14473="RESID_HYDROCRACKING"),"Hydrocracker",IF($H14473="REFORMING","Reformer",""))))</f>
        <v/>
      </c>
    </row>
    <row r="14474" spans="6:7">
      <c r="F14474" s="6">
        <f>IF($M14474="PADD I","PADD 1",IF($M14474="PADD II","PADD 2",IF($M14474="PADD III","PADD 3",IF($M14474="PADD IV","PADD 4",IF($M14474="PADD V","PADD 5","")))))</f>
        <v/>
      </c>
      <c r="G14474" s="6">
        <f>IF(AND($H14474="ATMOS DISTILLATION",ISNUMBER(SEARCH("VPS",$I14474))=FALSE,LEFT($I14474,6)&lt;&gt;"VACUUM"),"CDU",IF($H14474="FLUID CAT CRACKING","FCC",IF(OR($H14474="HYDROCRACKING",$H14474="RESID_HYDROCRACKING"),"Hydrocracker",IF($H14474="REFORMING","Reformer",""))))</f>
        <v/>
      </c>
    </row>
    <row r="14475" spans="6:7">
      <c r="F14475" s="6">
        <f>IF($M14475="PADD I","PADD 1",IF($M14475="PADD II","PADD 2",IF($M14475="PADD III","PADD 3",IF($M14475="PADD IV","PADD 4",IF($M14475="PADD V","PADD 5","")))))</f>
        <v/>
      </c>
      <c r="G14475" s="6">
        <f>IF(AND($H14475="ATMOS DISTILLATION",ISNUMBER(SEARCH("VPS",$I14475))=FALSE,LEFT($I14475,6)&lt;&gt;"VACUUM"),"CDU",IF($H14475="FLUID CAT CRACKING","FCC",IF(OR($H14475="HYDROCRACKING",$H14475="RESID_HYDROCRACKING"),"Hydrocracker",IF($H14475="REFORMING","Reformer",""))))</f>
        <v/>
      </c>
    </row>
    <row r="14476" spans="6:7">
      <c r="F14476" s="6">
        <f>IF($M14476="PADD I","PADD 1",IF($M14476="PADD II","PADD 2",IF($M14476="PADD III","PADD 3",IF($M14476="PADD IV","PADD 4",IF($M14476="PADD V","PADD 5","")))))</f>
        <v/>
      </c>
      <c r="G14476" s="6">
        <f>IF(AND($H14476="ATMOS DISTILLATION",ISNUMBER(SEARCH("VPS",$I14476))=FALSE,LEFT($I14476,6)&lt;&gt;"VACUUM"),"CDU",IF($H14476="FLUID CAT CRACKING","FCC",IF(OR($H14476="HYDROCRACKING",$H14476="RESID_HYDROCRACKING"),"Hydrocracker",IF($H14476="REFORMING","Reformer",""))))</f>
        <v/>
      </c>
    </row>
    <row r="14477" spans="6:7">
      <c r="F14477" s="6">
        <f>IF($M14477="PADD I","PADD 1",IF($M14477="PADD II","PADD 2",IF($M14477="PADD III","PADD 3",IF($M14477="PADD IV","PADD 4",IF($M14477="PADD V","PADD 5","")))))</f>
        <v/>
      </c>
      <c r="G14477" s="6">
        <f>IF(AND($H14477="ATMOS DISTILLATION",ISNUMBER(SEARCH("VPS",$I14477))=FALSE,LEFT($I14477,6)&lt;&gt;"VACUUM"),"CDU",IF($H14477="FLUID CAT CRACKING","FCC",IF(OR($H14477="HYDROCRACKING",$H14477="RESID_HYDROCRACKING"),"Hydrocracker",IF($H14477="REFORMING","Reformer",""))))</f>
        <v/>
      </c>
    </row>
    <row r="14478" spans="6:7">
      <c r="F14478" s="6">
        <f>IF($M14478="PADD I","PADD 1",IF($M14478="PADD II","PADD 2",IF($M14478="PADD III","PADD 3",IF($M14478="PADD IV","PADD 4",IF($M14478="PADD V","PADD 5","")))))</f>
        <v/>
      </c>
      <c r="G14478" s="6">
        <f>IF(AND($H14478="ATMOS DISTILLATION",ISNUMBER(SEARCH("VPS",$I14478))=FALSE,LEFT($I14478,6)&lt;&gt;"VACUUM"),"CDU",IF($H14478="FLUID CAT CRACKING","FCC",IF(OR($H14478="HYDROCRACKING",$H14478="RESID_HYDROCRACKING"),"Hydrocracker",IF($H14478="REFORMING","Reformer",""))))</f>
        <v/>
      </c>
    </row>
    <row r="14479" spans="6:7">
      <c r="F14479" s="6">
        <f>IF($M14479="PADD I","PADD 1",IF($M14479="PADD II","PADD 2",IF($M14479="PADD III","PADD 3",IF($M14479="PADD IV","PADD 4",IF($M14479="PADD V","PADD 5","")))))</f>
        <v/>
      </c>
      <c r="G14479" s="6">
        <f>IF(AND($H14479="ATMOS DISTILLATION",ISNUMBER(SEARCH("VPS",$I14479))=FALSE,LEFT($I14479,6)&lt;&gt;"VACUUM"),"CDU",IF($H14479="FLUID CAT CRACKING","FCC",IF(OR($H14479="HYDROCRACKING",$H14479="RESID_HYDROCRACKING"),"Hydrocracker",IF($H14479="REFORMING","Reformer",""))))</f>
        <v/>
      </c>
    </row>
    <row r="14480" spans="6:7">
      <c r="F14480" s="6">
        <f>IF($M14480="PADD I","PADD 1",IF($M14480="PADD II","PADD 2",IF($M14480="PADD III","PADD 3",IF($M14480="PADD IV","PADD 4",IF($M14480="PADD V","PADD 5","")))))</f>
        <v/>
      </c>
      <c r="G14480" s="6">
        <f>IF(AND($H14480="ATMOS DISTILLATION",ISNUMBER(SEARCH("VPS",$I14480))=FALSE,LEFT($I14480,6)&lt;&gt;"VACUUM"),"CDU",IF($H14480="FLUID CAT CRACKING","FCC",IF(OR($H14480="HYDROCRACKING",$H14480="RESID_HYDROCRACKING"),"Hydrocracker",IF($H14480="REFORMING","Reformer",""))))</f>
        <v/>
      </c>
    </row>
    <row r="14481" spans="6:7">
      <c r="F14481" s="6">
        <f>IF($M14481="PADD I","PADD 1",IF($M14481="PADD II","PADD 2",IF($M14481="PADD III","PADD 3",IF($M14481="PADD IV","PADD 4",IF($M14481="PADD V","PADD 5","")))))</f>
        <v/>
      </c>
      <c r="G14481" s="6">
        <f>IF(AND($H14481="ATMOS DISTILLATION",ISNUMBER(SEARCH("VPS",$I14481))=FALSE,LEFT($I14481,6)&lt;&gt;"VACUUM"),"CDU",IF($H14481="FLUID CAT CRACKING","FCC",IF(OR($H14481="HYDROCRACKING",$H14481="RESID_HYDROCRACKING"),"Hydrocracker",IF($H14481="REFORMING","Reformer",""))))</f>
        <v/>
      </c>
    </row>
    <row r="14482" spans="6:7">
      <c r="F14482" s="6">
        <f>IF($M14482="PADD I","PADD 1",IF($M14482="PADD II","PADD 2",IF($M14482="PADD III","PADD 3",IF($M14482="PADD IV","PADD 4",IF($M14482="PADD V","PADD 5","")))))</f>
        <v/>
      </c>
      <c r="G14482" s="6">
        <f>IF(AND($H14482="ATMOS DISTILLATION",ISNUMBER(SEARCH("VPS",$I14482))=FALSE,LEFT($I14482,6)&lt;&gt;"VACUUM"),"CDU",IF($H14482="FLUID CAT CRACKING","FCC",IF(OR($H14482="HYDROCRACKING",$H14482="RESID_HYDROCRACKING"),"Hydrocracker",IF($H14482="REFORMING","Reformer",""))))</f>
        <v/>
      </c>
    </row>
    <row r="14483" spans="6:7">
      <c r="F14483" s="6">
        <f>IF($M14483="PADD I","PADD 1",IF($M14483="PADD II","PADD 2",IF($M14483="PADD III","PADD 3",IF($M14483="PADD IV","PADD 4",IF($M14483="PADD V","PADD 5","")))))</f>
        <v/>
      </c>
      <c r="G14483" s="6">
        <f>IF(AND($H14483="ATMOS DISTILLATION",ISNUMBER(SEARCH("VPS",$I14483))=FALSE,LEFT($I14483,6)&lt;&gt;"VACUUM"),"CDU",IF($H14483="FLUID CAT CRACKING","FCC",IF(OR($H14483="HYDROCRACKING",$H14483="RESID_HYDROCRACKING"),"Hydrocracker",IF($H14483="REFORMING","Reformer",""))))</f>
        <v/>
      </c>
    </row>
    <row r="14484" spans="6:7">
      <c r="F14484" s="6">
        <f>IF($M14484="PADD I","PADD 1",IF($M14484="PADD II","PADD 2",IF($M14484="PADD III","PADD 3",IF($M14484="PADD IV","PADD 4",IF($M14484="PADD V","PADD 5","")))))</f>
        <v/>
      </c>
      <c r="G14484" s="6">
        <f>IF(AND($H14484="ATMOS DISTILLATION",ISNUMBER(SEARCH("VPS",$I14484))=FALSE,LEFT($I14484,6)&lt;&gt;"VACUUM"),"CDU",IF($H14484="FLUID CAT CRACKING","FCC",IF(OR($H14484="HYDROCRACKING",$H14484="RESID_HYDROCRACKING"),"Hydrocracker",IF($H14484="REFORMING","Reformer",""))))</f>
        <v/>
      </c>
    </row>
    <row r="14485" spans="6:7">
      <c r="F14485" s="6">
        <f>IF($M14485="PADD I","PADD 1",IF($M14485="PADD II","PADD 2",IF($M14485="PADD III","PADD 3",IF($M14485="PADD IV","PADD 4",IF($M14485="PADD V","PADD 5","")))))</f>
        <v/>
      </c>
      <c r="G14485" s="6">
        <f>IF(AND($H14485="ATMOS DISTILLATION",ISNUMBER(SEARCH("VPS",$I14485))=FALSE,LEFT($I14485,6)&lt;&gt;"VACUUM"),"CDU",IF($H14485="FLUID CAT CRACKING","FCC",IF(OR($H14485="HYDROCRACKING",$H14485="RESID_HYDROCRACKING"),"Hydrocracker",IF($H14485="REFORMING","Reformer",""))))</f>
        <v/>
      </c>
    </row>
    <row r="14486" spans="6:7">
      <c r="F14486" s="6">
        <f>IF($M14486="PADD I","PADD 1",IF($M14486="PADD II","PADD 2",IF($M14486="PADD III","PADD 3",IF($M14486="PADD IV","PADD 4",IF($M14486="PADD V","PADD 5","")))))</f>
        <v/>
      </c>
      <c r="G14486" s="6">
        <f>IF(AND($H14486="ATMOS DISTILLATION",ISNUMBER(SEARCH("VPS",$I14486))=FALSE,LEFT($I14486,6)&lt;&gt;"VACUUM"),"CDU",IF($H14486="FLUID CAT CRACKING","FCC",IF(OR($H14486="HYDROCRACKING",$H14486="RESID_HYDROCRACKING"),"Hydrocracker",IF($H14486="REFORMING","Reformer",""))))</f>
        <v/>
      </c>
    </row>
    <row r="14487" spans="6:7">
      <c r="F14487" s="6">
        <f>IF($M14487="PADD I","PADD 1",IF($M14487="PADD II","PADD 2",IF($M14487="PADD III","PADD 3",IF($M14487="PADD IV","PADD 4",IF($M14487="PADD V","PADD 5","")))))</f>
        <v/>
      </c>
      <c r="G14487" s="6">
        <f>IF(AND($H14487="ATMOS DISTILLATION",ISNUMBER(SEARCH("VPS",$I14487))=FALSE,LEFT($I14487,6)&lt;&gt;"VACUUM"),"CDU",IF($H14487="FLUID CAT CRACKING","FCC",IF(OR($H14487="HYDROCRACKING",$H14487="RESID_HYDROCRACKING"),"Hydrocracker",IF($H14487="REFORMING","Reformer",""))))</f>
        <v/>
      </c>
    </row>
    <row r="14488" spans="6:7">
      <c r="F14488" s="6">
        <f>IF($M14488="PADD I","PADD 1",IF($M14488="PADD II","PADD 2",IF($M14488="PADD III","PADD 3",IF($M14488="PADD IV","PADD 4",IF($M14488="PADD V","PADD 5","")))))</f>
        <v/>
      </c>
      <c r="G14488" s="6">
        <f>IF(AND($H14488="ATMOS DISTILLATION",ISNUMBER(SEARCH("VPS",$I14488))=FALSE,LEFT($I14488,6)&lt;&gt;"VACUUM"),"CDU",IF($H14488="FLUID CAT CRACKING","FCC",IF(OR($H14488="HYDROCRACKING",$H14488="RESID_HYDROCRACKING"),"Hydrocracker",IF($H14488="REFORMING","Reformer",""))))</f>
        <v/>
      </c>
    </row>
    <row r="14489" spans="6:7">
      <c r="F14489" s="6">
        <f>IF($M14489="PADD I","PADD 1",IF($M14489="PADD II","PADD 2",IF($M14489="PADD III","PADD 3",IF($M14489="PADD IV","PADD 4",IF($M14489="PADD V","PADD 5","")))))</f>
        <v/>
      </c>
      <c r="G14489" s="6">
        <f>IF(AND($H14489="ATMOS DISTILLATION",ISNUMBER(SEARCH("VPS",$I14489))=FALSE,LEFT($I14489,6)&lt;&gt;"VACUUM"),"CDU",IF($H14489="FLUID CAT CRACKING","FCC",IF(OR($H14489="HYDROCRACKING",$H14489="RESID_HYDROCRACKING"),"Hydrocracker",IF($H14489="REFORMING","Reformer",""))))</f>
        <v/>
      </c>
    </row>
    <row r="14490" spans="6:7">
      <c r="F14490" s="6">
        <f>IF($M14490="PADD I","PADD 1",IF($M14490="PADD II","PADD 2",IF($M14490="PADD III","PADD 3",IF($M14490="PADD IV","PADD 4",IF($M14490="PADD V","PADD 5","")))))</f>
        <v/>
      </c>
      <c r="G14490" s="6">
        <f>IF(AND($H14490="ATMOS DISTILLATION",ISNUMBER(SEARCH("VPS",$I14490))=FALSE,LEFT($I14490,6)&lt;&gt;"VACUUM"),"CDU",IF($H14490="FLUID CAT CRACKING","FCC",IF(OR($H14490="HYDROCRACKING",$H14490="RESID_HYDROCRACKING"),"Hydrocracker",IF($H14490="REFORMING","Reformer",""))))</f>
        <v/>
      </c>
    </row>
    <row r="14491" spans="6:7">
      <c r="F14491" s="6">
        <f>IF($M14491="PADD I","PADD 1",IF($M14491="PADD II","PADD 2",IF($M14491="PADD III","PADD 3",IF($M14491="PADD IV","PADD 4",IF($M14491="PADD V","PADD 5","")))))</f>
        <v/>
      </c>
      <c r="G14491" s="6">
        <f>IF(AND($H14491="ATMOS DISTILLATION",ISNUMBER(SEARCH("VPS",$I14491))=FALSE,LEFT($I14491,6)&lt;&gt;"VACUUM"),"CDU",IF($H14491="FLUID CAT CRACKING","FCC",IF(OR($H14491="HYDROCRACKING",$H14491="RESID_HYDROCRACKING"),"Hydrocracker",IF($H14491="REFORMING","Reformer",""))))</f>
        <v/>
      </c>
    </row>
    <row r="14492" spans="6:7">
      <c r="F14492" s="6">
        <f>IF($M14492="PADD I","PADD 1",IF($M14492="PADD II","PADD 2",IF($M14492="PADD III","PADD 3",IF($M14492="PADD IV","PADD 4",IF($M14492="PADD V","PADD 5","")))))</f>
        <v/>
      </c>
      <c r="G14492" s="6">
        <f>IF(AND($H14492="ATMOS DISTILLATION",ISNUMBER(SEARCH("VPS",$I14492))=FALSE,LEFT($I14492,6)&lt;&gt;"VACUUM"),"CDU",IF($H14492="FLUID CAT CRACKING","FCC",IF(OR($H14492="HYDROCRACKING",$H14492="RESID_HYDROCRACKING"),"Hydrocracker",IF($H14492="REFORMING","Reformer",""))))</f>
        <v/>
      </c>
    </row>
    <row r="14493" spans="6:7">
      <c r="F14493" s="6">
        <f>IF($M14493="PADD I","PADD 1",IF($M14493="PADD II","PADD 2",IF($M14493="PADD III","PADD 3",IF($M14493="PADD IV","PADD 4",IF($M14493="PADD V","PADD 5","")))))</f>
        <v/>
      </c>
      <c r="G14493" s="6">
        <f>IF(AND($H14493="ATMOS DISTILLATION",ISNUMBER(SEARCH("VPS",$I14493))=FALSE,LEFT($I14493,6)&lt;&gt;"VACUUM"),"CDU",IF($H14493="FLUID CAT CRACKING","FCC",IF(OR($H14493="HYDROCRACKING",$H14493="RESID_HYDROCRACKING"),"Hydrocracker",IF($H14493="REFORMING","Reformer",""))))</f>
        <v/>
      </c>
    </row>
    <row r="14494" spans="6:7">
      <c r="F14494" s="6">
        <f>IF($M14494="PADD I","PADD 1",IF($M14494="PADD II","PADD 2",IF($M14494="PADD III","PADD 3",IF($M14494="PADD IV","PADD 4",IF($M14494="PADD V","PADD 5","")))))</f>
        <v/>
      </c>
      <c r="G14494" s="6">
        <f>IF(AND($H14494="ATMOS DISTILLATION",ISNUMBER(SEARCH("VPS",$I14494))=FALSE,LEFT($I14494,6)&lt;&gt;"VACUUM"),"CDU",IF($H14494="FLUID CAT CRACKING","FCC",IF(OR($H14494="HYDROCRACKING",$H14494="RESID_HYDROCRACKING"),"Hydrocracker",IF($H14494="REFORMING","Reformer",""))))</f>
        <v/>
      </c>
    </row>
    <row r="14495" spans="6:7">
      <c r="F14495" s="6">
        <f>IF($M14495="PADD I","PADD 1",IF($M14495="PADD II","PADD 2",IF($M14495="PADD III","PADD 3",IF($M14495="PADD IV","PADD 4",IF($M14495="PADD V","PADD 5","")))))</f>
        <v/>
      </c>
      <c r="G14495" s="6">
        <f>IF(AND($H14495="ATMOS DISTILLATION",ISNUMBER(SEARCH("VPS",$I14495))=FALSE,LEFT($I14495,6)&lt;&gt;"VACUUM"),"CDU",IF($H14495="FLUID CAT CRACKING","FCC",IF(OR($H14495="HYDROCRACKING",$H14495="RESID_HYDROCRACKING"),"Hydrocracker",IF($H14495="REFORMING","Reformer",""))))</f>
        <v/>
      </c>
    </row>
    <row r="14496" spans="6:7">
      <c r="F14496" s="6">
        <f>IF($M14496="PADD I","PADD 1",IF($M14496="PADD II","PADD 2",IF($M14496="PADD III","PADD 3",IF($M14496="PADD IV","PADD 4",IF($M14496="PADD V","PADD 5","")))))</f>
        <v/>
      </c>
      <c r="G14496" s="6">
        <f>IF(AND($H14496="ATMOS DISTILLATION",ISNUMBER(SEARCH("VPS",$I14496))=FALSE,LEFT($I14496,6)&lt;&gt;"VACUUM"),"CDU",IF($H14496="FLUID CAT CRACKING","FCC",IF(OR($H14496="HYDROCRACKING",$H14496="RESID_HYDROCRACKING"),"Hydrocracker",IF($H14496="REFORMING","Reformer",""))))</f>
        <v/>
      </c>
    </row>
    <row r="14497" spans="6:7">
      <c r="F14497" s="6">
        <f>IF($M14497="PADD I","PADD 1",IF($M14497="PADD II","PADD 2",IF($M14497="PADD III","PADD 3",IF($M14497="PADD IV","PADD 4",IF($M14497="PADD V","PADD 5","")))))</f>
        <v/>
      </c>
      <c r="G14497" s="6">
        <f>IF(AND($H14497="ATMOS DISTILLATION",ISNUMBER(SEARCH("VPS",$I14497))=FALSE,LEFT($I14497,6)&lt;&gt;"VACUUM"),"CDU",IF($H14497="FLUID CAT CRACKING","FCC",IF(OR($H14497="HYDROCRACKING",$H14497="RESID_HYDROCRACKING"),"Hydrocracker",IF($H14497="REFORMING","Reformer",""))))</f>
        <v/>
      </c>
    </row>
    <row r="14498" spans="6:7">
      <c r="F14498" s="6">
        <f>IF($M14498="PADD I","PADD 1",IF($M14498="PADD II","PADD 2",IF($M14498="PADD III","PADD 3",IF($M14498="PADD IV","PADD 4",IF($M14498="PADD V","PADD 5","")))))</f>
        <v/>
      </c>
      <c r="G14498" s="6">
        <f>IF(AND($H14498="ATMOS DISTILLATION",ISNUMBER(SEARCH("VPS",$I14498))=FALSE,LEFT($I14498,6)&lt;&gt;"VACUUM"),"CDU",IF($H14498="FLUID CAT CRACKING","FCC",IF(OR($H14498="HYDROCRACKING",$H14498="RESID_HYDROCRACKING"),"Hydrocracker",IF($H14498="REFORMING","Reformer",""))))</f>
        <v/>
      </c>
    </row>
    <row r="14499" spans="6:7">
      <c r="F14499" s="6">
        <f>IF($M14499="PADD I","PADD 1",IF($M14499="PADD II","PADD 2",IF($M14499="PADD III","PADD 3",IF($M14499="PADD IV","PADD 4",IF($M14499="PADD V","PADD 5","")))))</f>
        <v/>
      </c>
      <c r="G14499" s="6">
        <f>IF(AND($H14499="ATMOS DISTILLATION",ISNUMBER(SEARCH("VPS",$I14499))=FALSE,LEFT($I14499,6)&lt;&gt;"VACUUM"),"CDU",IF($H14499="FLUID CAT CRACKING","FCC",IF(OR($H14499="HYDROCRACKING",$H14499="RESID_HYDROCRACKING"),"Hydrocracker",IF($H14499="REFORMING","Reformer",""))))</f>
        <v/>
      </c>
    </row>
    <row r="14500" spans="6:7">
      <c r="F14500" s="6">
        <f>IF($M14500="PADD I","PADD 1",IF($M14500="PADD II","PADD 2",IF($M14500="PADD III","PADD 3",IF($M14500="PADD IV","PADD 4",IF($M14500="PADD V","PADD 5","")))))</f>
        <v/>
      </c>
      <c r="G14500" s="6">
        <f>IF(AND($H14500="ATMOS DISTILLATION",ISNUMBER(SEARCH("VPS",$I14500))=FALSE,LEFT($I14500,6)&lt;&gt;"VACUUM"),"CDU",IF($H14500="FLUID CAT CRACKING","FCC",IF(OR($H14500="HYDROCRACKING",$H14500="RESID_HYDROCRACKING"),"Hydrocracker",IF($H14500="REFORMING","Reformer",""))))</f>
        <v/>
      </c>
    </row>
    <row r="14501" spans="6:7">
      <c r="F14501" s="6">
        <f>IF($M14501="PADD I","PADD 1",IF($M14501="PADD II","PADD 2",IF($M14501="PADD III","PADD 3",IF($M14501="PADD IV","PADD 4",IF($M14501="PADD V","PADD 5","")))))</f>
        <v/>
      </c>
      <c r="G14501" s="6">
        <f>IF(AND($H14501="ATMOS DISTILLATION",ISNUMBER(SEARCH("VPS",$I14501))=FALSE,LEFT($I14501,6)&lt;&gt;"VACUUM"),"CDU",IF($H14501="FLUID CAT CRACKING","FCC",IF(OR($H14501="HYDROCRACKING",$H14501="RESID_HYDROCRACKING"),"Hydrocracker",IF($H14501="REFORMING","Reformer",""))))</f>
        <v/>
      </c>
    </row>
    <row r="14502" spans="6:7">
      <c r="F14502" s="6">
        <f>IF($M14502="PADD I","PADD 1",IF($M14502="PADD II","PADD 2",IF($M14502="PADD III","PADD 3",IF($M14502="PADD IV","PADD 4",IF($M14502="PADD V","PADD 5","")))))</f>
        <v/>
      </c>
      <c r="G14502" s="6">
        <f>IF(AND($H14502="ATMOS DISTILLATION",ISNUMBER(SEARCH("VPS",$I14502))=FALSE,LEFT($I14502,6)&lt;&gt;"VACUUM"),"CDU",IF($H14502="FLUID CAT CRACKING","FCC",IF(OR($H14502="HYDROCRACKING",$H14502="RESID_HYDROCRACKING"),"Hydrocracker",IF($H14502="REFORMING","Reformer",""))))</f>
        <v/>
      </c>
    </row>
    <row r="14503" spans="6:7">
      <c r="F14503" s="6">
        <f>IF($M14503="PADD I","PADD 1",IF($M14503="PADD II","PADD 2",IF($M14503="PADD III","PADD 3",IF($M14503="PADD IV","PADD 4",IF($M14503="PADD V","PADD 5","")))))</f>
        <v/>
      </c>
      <c r="G14503" s="6">
        <f>IF(AND($H14503="ATMOS DISTILLATION",ISNUMBER(SEARCH("VPS",$I14503))=FALSE,LEFT($I14503,6)&lt;&gt;"VACUUM"),"CDU",IF($H14503="FLUID CAT CRACKING","FCC",IF(OR($H14503="HYDROCRACKING",$H14503="RESID_HYDROCRACKING"),"Hydrocracker",IF($H14503="REFORMING","Reformer",""))))</f>
        <v/>
      </c>
    </row>
    <row r="14504" spans="6:7">
      <c r="F14504" s="6">
        <f>IF($M14504="PADD I","PADD 1",IF($M14504="PADD II","PADD 2",IF($M14504="PADD III","PADD 3",IF($M14504="PADD IV","PADD 4",IF($M14504="PADD V","PADD 5","")))))</f>
        <v/>
      </c>
      <c r="G14504" s="6">
        <f>IF(AND($H14504="ATMOS DISTILLATION",ISNUMBER(SEARCH("VPS",$I14504))=FALSE,LEFT($I14504,6)&lt;&gt;"VACUUM"),"CDU",IF($H14504="FLUID CAT CRACKING","FCC",IF(OR($H14504="HYDROCRACKING",$H14504="RESID_HYDROCRACKING"),"Hydrocracker",IF($H14504="REFORMING","Reformer",""))))</f>
        <v/>
      </c>
    </row>
    <row r="14505" spans="6:7">
      <c r="F14505" s="6">
        <f>IF($M14505="PADD I","PADD 1",IF($M14505="PADD II","PADD 2",IF($M14505="PADD III","PADD 3",IF($M14505="PADD IV","PADD 4",IF($M14505="PADD V","PADD 5","")))))</f>
        <v/>
      </c>
      <c r="G14505" s="6">
        <f>IF(AND($H14505="ATMOS DISTILLATION",ISNUMBER(SEARCH("VPS",$I14505))=FALSE,LEFT($I14505,6)&lt;&gt;"VACUUM"),"CDU",IF($H14505="FLUID CAT CRACKING","FCC",IF(OR($H14505="HYDROCRACKING",$H14505="RESID_HYDROCRACKING"),"Hydrocracker",IF($H14505="REFORMING","Reformer",""))))</f>
        <v/>
      </c>
    </row>
    <row r="14506" spans="6:7">
      <c r="F14506" s="6">
        <f>IF($M14506="PADD I","PADD 1",IF($M14506="PADD II","PADD 2",IF($M14506="PADD III","PADD 3",IF($M14506="PADD IV","PADD 4",IF($M14506="PADD V","PADD 5","")))))</f>
        <v/>
      </c>
      <c r="G14506" s="6">
        <f>IF(AND($H14506="ATMOS DISTILLATION",ISNUMBER(SEARCH("VPS",$I14506))=FALSE,LEFT($I14506,6)&lt;&gt;"VACUUM"),"CDU",IF($H14506="FLUID CAT CRACKING","FCC",IF(OR($H14506="HYDROCRACKING",$H14506="RESID_HYDROCRACKING"),"Hydrocracker",IF($H14506="REFORMING","Reformer",""))))</f>
        <v/>
      </c>
    </row>
    <row r="14507" spans="6:7">
      <c r="F14507" s="6">
        <f>IF($M14507="PADD I","PADD 1",IF($M14507="PADD II","PADD 2",IF($M14507="PADD III","PADD 3",IF($M14507="PADD IV","PADD 4",IF($M14507="PADD V","PADD 5","")))))</f>
        <v/>
      </c>
      <c r="G14507" s="6">
        <f>IF(AND($H14507="ATMOS DISTILLATION",ISNUMBER(SEARCH("VPS",$I14507))=FALSE,LEFT($I14507,6)&lt;&gt;"VACUUM"),"CDU",IF($H14507="FLUID CAT CRACKING","FCC",IF(OR($H14507="HYDROCRACKING",$H14507="RESID_HYDROCRACKING"),"Hydrocracker",IF($H14507="REFORMING","Reformer",""))))</f>
        <v/>
      </c>
    </row>
    <row r="14508" spans="6:7">
      <c r="F14508" s="6">
        <f>IF($M14508="PADD I","PADD 1",IF($M14508="PADD II","PADD 2",IF($M14508="PADD III","PADD 3",IF($M14508="PADD IV","PADD 4",IF($M14508="PADD V","PADD 5","")))))</f>
        <v/>
      </c>
      <c r="G14508" s="6">
        <f>IF(AND($H14508="ATMOS DISTILLATION",ISNUMBER(SEARCH("VPS",$I14508))=FALSE,LEFT($I14508,6)&lt;&gt;"VACUUM"),"CDU",IF($H14508="FLUID CAT CRACKING","FCC",IF(OR($H14508="HYDROCRACKING",$H14508="RESID_HYDROCRACKING"),"Hydrocracker",IF($H14508="REFORMING","Reformer",""))))</f>
        <v/>
      </c>
    </row>
    <row r="14509" spans="6:7">
      <c r="F14509" s="6">
        <f>IF($M14509="PADD I","PADD 1",IF($M14509="PADD II","PADD 2",IF($M14509="PADD III","PADD 3",IF($M14509="PADD IV","PADD 4",IF($M14509="PADD V","PADD 5","")))))</f>
        <v/>
      </c>
      <c r="G14509" s="6">
        <f>IF(AND($H14509="ATMOS DISTILLATION",ISNUMBER(SEARCH("VPS",$I14509))=FALSE,LEFT($I14509,6)&lt;&gt;"VACUUM"),"CDU",IF($H14509="FLUID CAT CRACKING","FCC",IF(OR($H14509="HYDROCRACKING",$H14509="RESID_HYDROCRACKING"),"Hydrocracker",IF($H14509="REFORMING","Reformer",""))))</f>
        <v/>
      </c>
    </row>
    <row r="14510" spans="6:7">
      <c r="F14510" s="6">
        <f>IF($M14510="PADD I","PADD 1",IF($M14510="PADD II","PADD 2",IF($M14510="PADD III","PADD 3",IF($M14510="PADD IV","PADD 4",IF($M14510="PADD V","PADD 5","")))))</f>
        <v/>
      </c>
      <c r="G14510" s="6">
        <f>IF(AND($H14510="ATMOS DISTILLATION",ISNUMBER(SEARCH("VPS",$I14510))=FALSE,LEFT($I14510,6)&lt;&gt;"VACUUM"),"CDU",IF($H14510="FLUID CAT CRACKING","FCC",IF(OR($H14510="HYDROCRACKING",$H14510="RESID_HYDROCRACKING"),"Hydrocracker",IF($H14510="REFORMING","Reformer",""))))</f>
        <v/>
      </c>
    </row>
    <row r="14511" spans="6:7">
      <c r="F14511" s="6">
        <f>IF($M14511="PADD I","PADD 1",IF($M14511="PADD II","PADD 2",IF($M14511="PADD III","PADD 3",IF($M14511="PADD IV","PADD 4",IF($M14511="PADD V","PADD 5","")))))</f>
        <v/>
      </c>
      <c r="G14511" s="6">
        <f>IF(AND($H14511="ATMOS DISTILLATION",ISNUMBER(SEARCH("VPS",$I14511))=FALSE,LEFT($I14511,6)&lt;&gt;"VACUUM"),"CDU",IF($H14511="FLUID CAT CRACKING","FCC",IF(OR($H14511="HYDROCRACKING",$H14511="RESID_HYDROCRACKING"),"Hydrocracker",IF($H14511="REFORMING","Reformer",""))))</f>
        <v/>
      </c>
    </row>
    <row r="14512" spans="6:7">
      <c r="F14512" s="6">
        <f>IF($M14512="PADD I","PADD 1",IF($M14512="PADD II","PADD 2",IF($M14512="PADD III","PADD 3",IF($M14512="PADD IV","PADD 4",IF($M14512="PADD V","PADD 5","")))))</f>
        <v/>
      </c>
      <c r="G14512" s="6">
        <f>IF(AND($H14512="ATMOS DISTILLATION",ISNUMBER(SEARCH("VPS",$I14512))=FALSE,LEFT($I14512,6)&lt;&gt;"VACUUM"),"CDU",IF($H14512="FLUID CAT CRACKING","FCC",IF(OR($H14512="HYDROCRACKING",$H14512="RESID_HYDROCRACKING"),"Hydrocracker",IF($H14512="REFORMING","Reformer",""))))</f>
        <v/>
      </c>
    </row>
    <row r="14513" spans="6:7">
      <c r="F14513" s="6">
        <f>IF($M14513="PADD I","PADD 1",IF($M14513="PADD II","PADD 2",IF($M14513="PADD III","PADD 3",IF($M14513="PADD IV","PADD 4",IF($M14513="PADD V","PADD 5","")))))</f>
        <v/>
      </c>
      <c r="G14513" s="6">
        <f>IF(AND($H14513="ATMOS DISTILLATION",ISNUMBER(SEARCH("VPS",$I14513))=FALSE,LEFT($I14513,6)&lt;&gt;"VACUUM"),"CDU",IF($H14513="FLUID CAT CRACKING","FCC",IF(OR($H14513="HYDROCRACKING",$H14513="RESID_HYDROCRACKING"),"Hydrocracker",IF($H14513="REFORMING","Reformer",""))))</f>
        <v/>
      </c>
    </row>
    <row r="14514" spans="6:7">
      <c r="F14514" s="6">
        <f>IF($M14514="PADD I","PADD 1",IF($M14514="PADD II","PADD 2",IF($M14514="PADD III","PADD 3",IF($M14514="PADD IV","PADD 4",IF($M14514="PADD V","PADD 5","")))))</f>
        <v/>
      </c>
      <c r="G14514" s="6">
        <f>IF(AND($H14514="ATMOS DISTILLATION",ISNUMBER(SEARCH("VPS",$I14514))=FALSE,LEFT($I14514,6)&lt;&gt;"VACUUM"),"CDU",IF($H14514="FLUID CAT CRACKING","FCC",IF(OR($H14514="HYDROCRACKING",$H14514="RESID_HYDROCRACKING"),"Hydrocracker",IF($H14514="REFORMING","Reformer",""))))</f>
        <v/>
      </c>
    </row>
    <row r="14515" spans="6:7">
      <c r="F14515" s="6">
        <f>IF($M14515="PADD I","PADD 1",IF($M14515="PADD II","PADD 2",IF($M14515="PADD III","PADD 3",IF($M14515="PADD IV","PADD 4",IF($M14515="PADD V","PADD 5","")))))</f>
        <v/>
      </c>
      <c r="G14515" s="6">
        <f>IF(AND($H14515="ATMOS DISTILLATION",ISNUMBER(SEARCH("VPS",$I14515))=FALSE,LEFT($I14515,6)&lt;&gt;"VACUUM"),"CDU",IF($H14515="FLUID CAT CRACKING","FCC",IF(OR($H14515="HYDROCRACKING",$H14515="RESID_HYDROCRACKING"),"Hydrocracker",IF($H14515="REFORMING","Reformer",""))))</f>
        <v/>
      </c>
    </row>
    <row r="14516" spans="6:7">
      <c r="F14516" s="6">
        <f>IF($M14516="PADD I","PADD 1",IF($M14516="PADD II","PADD 2",IF($M14516="PADD III","PADD 3",IF($M14516="PADD IV","PADD 4",IF($M14516="PADD V","PADD 5","")))))</f>
        <v/>
      </c>
      <c r="G14516" s="6">
        <f>IF(AND($H14516="ATMOS DISTILLATION",ISNUMBER(SEARCH("VPS",$I14516))=FALSE,LEFT($I14516,6)&lt;&gt;"VACUUM"),"CDU",IF($H14516="FLUID CAT CRACKING","FCC",IF(OR($H14516="HYDROCRACKING",$H14516="RESID_HYDROCRACKING"),"Hydrocracker",IF($H14516="REFORMING","Reformer",""))))</f>
        <v/>
      </c>
    </row>
    <row r="14517" spans="6:7">
      <c r="F14517" s="6">
        <f>IF($M14517="PADD I","PADD 1",IF($M14517="PADD II","PADD 2",IF($M14517="PADD III","PADD 3",IF($M14517="PADD IV","PADD 4",IF($M14517="PADD V","PADD 5","")))))</f>
        <v/>
      </c>
      <c r="G14517" s="6">
        <f>IF(AND($H14517="ATMOS DISTILLATION",ISNUMBER(SEARCH("VPS",$I14517))=FALSE,LEFT($I14517,6)&lt;&gt;"VACUUM"),"CDU",IF($H14517="FLUID CAT CRACKING","FCC",IF(OR($H14517="HYDROCRACKING",$H14517="RESID_HYDROCRACKING"),"Hydrocracker",IF($H14517="REFORMING","Reformer",""))))</f>
        <v/>
      </c>
    </row>
    <row r="14518" spans="6:7">
      <c r="F14518" s="6">
        <f>IF($M14518="PADD I","PADD 1",IF($M14518="PADD II","PADD 2",IF($M14518="PADD III","PADD 3",IF($M14518="PADD IV","PADD 4",IF($M14518="PADD V","PADD 5","")))))</f>
        <v/>
      </c>
      <c r="G14518" s="6">
        <f>IF(AND($H14518="ATMOS DISTILLATION",ISNUMBER(SEARCH("VPS",$I14518))=FALSE,LEFT($I14518,6)&lt;&gt;"VACUUM"),"CDU",IF($H14518="FLUID CAT CRACKING","FCC",IF(OR($H14518="HYDROCRACKING",$H14518="RESID_HYDROCRACKING"),"Hydrocracker",IF($H14518="REFORMING","Reformer",""))))</f>
        <v/>
      </c>
    </row>
    <row r="14519" spans="6:7">
      <c r="F14519" s="6">
        <f>IF($M14519="PADD I","PADD 1",IF($M14519="PADD II","PADD 2",IF($M14519="PADD III","PADD 3",IF($M14519="PADD IV","PADD 4",IF($M14519="PADD V","PADD 5","")))))</f>
        <v/>
      </c>
      <c r="G14519" s="6">
        <f>IF(AND($H14519="ATMOS DISTILLATION",ISNUMBER(SEARCH("VPS",$I14519))=FALSE,LEFT($I14519,6)&lt;&gt;"VACUUM"),"CDU",IF($H14519="FLUID CAT CRACKING","FCC",IF(OR($H14519="HYDROCRACKING",$H14519="RESID_HYDROCRACKING"),"Hydrocracker",IF($H14519="REFORMING","Reformer",""))))</f>
        <v/>
      </c>
    </row>
    <row r="14520" spans="6:7">
      <c r="F14520" s="6">
        <f>IF($M14520="PADD I","PADD 1",IF($M14520="PADD II","PADD 2",IF($M14520="PADD III","PADD 3",IF($M14520="PADD IV","PADD 4",IF($M14520="PADD V","PADD 5","")))))</f>
        <v/>
      </c>
      <c r="G14520" s="6">
        <f>IF(AND($H14520="ATMOS DISTILLATION",ISNUMBER(SEARCH("VPS",$I14520))=FALSE,LEFT($I14520,6)&lt;&gt;"VACUUM"),"CDU",IF($H14520="FLUID CAT CRACKING","FCC",IF(OR($H14520="HYDROCRACKING",$H14520="RESID_HYDROCRACKING"),"Hydrocracker",IF($H14520="REFORMING","Reformer",""))))</f>
        <v/>
      </c>
    </row>
    <row r="14521" spans="6:7">
      <c r="F14521" s="6">
        <f>IF($M14521="PADD I","PADD 1",IF($M14521="PADD II","PADD 2",IF($M14521="PADD III","PADD 3",IF($M14521="PADD IV","PADD 4",IF($M14521="PADD V","PADD 5","")))))</f>
        <v/>
      </c>
      <c r="G14521" s="6">
        <f>IF(AND($H14521="ATMOS DISTILLATION",ISNUMBER(SEARCH("VPS",$I14521))=FALSE,LEFT($I14521,6)&lt;&gt;"VACUUM"),"CDU",IF($H14521="FLUID CAT CRACKING","FCC",IF(OR($H14521="HYDROCRACKING",$H14521="RESID_HYDROCRACKING"),"Hydrocracker",IF($H14521="REFORMING","Reformer",""))))</f>
        <v/>
      </c>
    </row>
    <row r="14522" spans="6:7">
      <c r="F14522" s="6">
        <f>IF($M14522="PADD I","PADD 1",IF($M14522="PADD II","PADD 2",IF($M14522="PADD III","PADD 3",IF($M14522="PADD IV","PADD 4",IF($M14522="PADD V","PADD 5","")))))</f>
        <v/>
      </c>
      <c r="G14522" s="6">
        <f>IF(AND($H14522="ATMOS DISTILLATION",ISNUMBER(SEARCH("VPS",$I14522))=FALSE,LEFT($I14522,6)&lt;&gt;"VACUUM"),"CDU",IF($H14522="FLUID CAT CRACKING","FCC",IF(OR($H14522="HYDROCRACKING",$H14522="RESID_HYDROCRACKING"),"Hydrocracker",IF($H14522="REFORMING","Reformer",""))))</f>
        <v/>
      </c>
    </row>
    <row r="14523" spans="6:7">
      <c r="F14523" s="6">
        <f>IF($M14523="PADD I","PADD 1",IF($M14523="PADD II","PADD 2",IF($M14523="PADD III","PADD 3",IF($M14523="PADD IV","PADD 4",IF($M14523="PADD V","PADD 5","")))))</f>
        <v/>
      </c>
      <c r="G14523" s="6">
        <f>IF(AND($H14523="ATMOS DISTILLATION",ISNUMBER(SEARCH("VPS",$I14523))=FALSE,LEFT($I14523,6)&lt;&gt;"VACUUM"),"CDU",IF($H14523="FLUID CAT CRACKING","FCC",IF(OR($H14523="HYDROCRACKING",$H14523="RESID_HYDROCRACKING"),"Hydrocracker",IF($H14523="REFORMING","Reformer",""))))</f>
        <v/>
      </c>
    </row>
    <row r="14524" spans="6:7">
      <c r="F14524" s="6">
        <f>IF($M14524="PADD I","PADD 1",IF($M14524="PADD II","PADD 2",IF($M14524="PADD III","PADD 3",IF($M14524="PADD IV","PADD 4",IF($M14524="PADD V","PADD 5","")))))</f>
        <v/>
      </c>
      <c r="G14524" s="6">
        <f>IF(AND($H14524="ATMOS DISTILLATION",ISNUMBER(SEARCH("VPS",$I14524))=FALSE,LEFT($I14524,6)&lt;&gt;"VACUUM"),"CDU",IF($H14524="FLUID CAT CRACKING","FCC",IF(OR($H14524="HYDROCRACKING",$H14524="RESID_HYDROCRACKING"),"Hydrocracker",IF($H14524="REFORMING","Reformer",""))))</f>
        <v/>
      </c>
    </row>
    <row r="14525" spans="6:7">
      <c r="F14525" s="6">
        <f>IF($M14525="PADD I","PADD 1",IF($M14525="PADD II","PADD 2",IF($M14525="PADD III","PADD 3",IF($M14525="PADD IV","PADD 4",IF($M14525="PADD V","PADD 5","")))))</f>
        <v/>
      </c>
      <c r="G14525" s="6">
        <f>IF(AND($H14525="ATMOS DISTILLATION",ISNUMBER(SEARCH("VPS",$I14525))=FALSE,LEFT($I14525,6)&lt;&gt;"VACUUM"),"CDU",IF($H14525="FLUID CAT CRACKING","FCC",IF(OR($H14525="HYDROCRACKING",$H14525="RESID_HYDROCRACKING"),"Hydrocracker",IF($H14525="REFORMING","Reformer",""))))</f>
        <v/>
      </c>
    </row>
    <row r="14526" spans="6:7">
      <c r="F14526" s="6">
        <f>IF($M14526="PADD I","PADD 1",IF($M14526="PADD II","PADD 2",IF($M14526="PADD III","PADD 3",IF($M14526="PADD IV","PADD 4",IF($M14526="PADD V","PADD 5","")))))</f>
        <v/>
      </c>
      <c r="G14526" s="6">
        <f>IF(AND($H14526="ATMOS DISTILLATION",ISNUMBER(SEARCH("VPS",$I14526))=FALSE,LEFT($I14526,6)&lt;&gt;"VACUUM"),"CDU",IF($H14526="FLUID CAT CRACKING","FCC",IF(OR($H14526="HYDROCRACKING",$H14526="RESID_HYDROCRACKING"),"Hydrocracker",IF($H14526="REFORMING","Reformer",""))))</f>
        <v/>
      </c>
    </row>
    <row r="14527" spans="6:7">
      <c r="F14527" s="6">
        <f>IF($M14527="PADD I","PADD 1",IF($M14527="PADD II","PADD 2",IF($M14527="PADD III","PADD 3",IF($M14527="PADD IV","PADD 4",IF($M14527="PADD V","PADD 5","")))))</f>
        <v/>
      </c>
      <c r="G14527" s="6">
        <f>IF(AND($H14527="ATMOS DISTILLATION",ISNUMBER(SEARCH("VPS",$I14527))=FALSE,LEFT($I14527,6)&lt;&gt;"VACUUM"),"CDU",IF($H14527="FLUID CAT CRACKING","FCC",IF(OR($H14527="HYDROCRACKING",$H14527="RESID_HYDROCRACKING"),"Hydrocracker",IF($H14527="REFORMING","Reformer",""))))</f>
        <v/>
      </c>
    </row>
    <row r="14528" spans="6:7">
      <c r="F14528" s="6">
        <f>IF($M14528="PADD I","PADD 1",IF($M14528="PADD II","PADD 2",IF($M14528="PADD III","PADD 3",IF($M14528="PADD IV","PADD 4",IF($M14528="PADD V","PADD 5","")))))</f>
        <v/>
      </c>
      <c r="G14528" s="6">
        <f>IF(AND($H14528="ATMOS DISTILLATION",ISNUMBER(SEARCH("VPS",$I14528))=FALSE,LEFT($I14528,6)&lt;&gt;"VACUUM"),"CDU",IF($H14528="FLUID CAT CRACKING","FCC",IF(OR($H14528="HYDROCRACKING",$H14528="RESID_HYDROCRACKING"),"Hydrocracker",IF($H14528="REFORMING","Reformer",""))))</f>
        <v/>
      </c>
    </row>
    <row r="14529" spans="6:7">
      <c r="F14529" s="6">
        <f>IF($M14529="PADD I","PADD 1",IF($M14529="PADD II","PADD 2",IF($M14529="PADD III","PADD 3",IF($M14529="PADD IV","PADD 4",IF($M14529="PADD V","PADD 5","")))))</f>
        <v/>
      </c>
      <c r="G14529" s="6">
        <f>IF(AND($H14529="ATMOS DISTILLATION",ISNUMBER(SEARCH("VPS",$I14529))=FALSE,LEFT($I14529,6)&lt;&gt;"VACUUM"),"CDU",IF($H14529="FLUID CAT CRACKING","FCC",IF(OR($H14529="HYDROCRACKING",$H14529="RESID_HYDROCRACKING"),"Hydrocracker",IF($H14529="REFORMING","Reformer",""))))</f>
        <v/>
      </c>
    </row>
    <row r="14530" spans="6:7">
      <c r="F14530" s="6">
        <f>IF($M14530="PADD I","PADD 1",IF($M14530="PADD II","PADD 2",IF($M14530="PADD III","PADD 3",IF($M14530="PADD IV","PADD 4",IF($M14530="PADD V","PADD 5","")))))</f>
        <v/>
      </c>
      <c r="G14530" s="6">
        <f>IF(AND($H14530="ATMOS DISTILLATION",ISNUMBER(SEARCH("VPS",$I14530))=FALSE,LEFT($I14530,6)&lt;&gt;"VACUUM"),"CDU",IF($H14530="FLUID CAT CRACKING","FCC",IF(OR($H14530="HYDROCRACKING",$H14530="RESID_HYDROCRACKING"),"Hydrocracker",IF($H14530="REFORMING","Reformer",""))))</f>
        <v/>
      </c>
    </row>
    <row r="14531" spans="6:7">
      <c r="F14531" s="6">
        <f>IF($M14531="PADD I","PADD 1",IF($M14531="PADD II","PADD 2",IF($M14531="PADD III","PADD 3",IF($M14531="PADD IV","PADD 4",IF($M14531="PADD V","PADD 5","")))))</f>
        <v/>
      </c>
      <c r="G14531" s="6">
        <f>IF(AND($H14531="ATMOS DISTILLATION",ISNUMBER(SEARCH("VPS",$I14531))=FALSE,LEFT($I14531,6)&lt;&gt;"VACUUM"),"CDU",IF($H14531="FLUID CAT CRACKING","FCC",IF(OR($H14531="HYDROCRACKING",$H14531="RESID_HYDROCRACKING"),"Hydrocracker",IF($H14531="REFORMING","Reformer",""))))</f>
        <v/>
      </c>
    </row>
    <row r="14532" spans="6:7">
      <c r="F14532" s="6">
        <f>IF($M14532="PADD I","PADD 1",IF($M14532="PADD II","PADD 2",IF($M14532="PADD III","PADD 3",IF($M14532="PADD IV","PADD 4",IF($M14532="PADD V","PADD 5","")))))</f>
        <v/>
      </c>
      <c r="G14532" s="6">
        <f>IF(AND($H14532="ATMOS DISTILLATION",ISNUMBER(SEARCH("VPS",$I14532))=FALSE,LEFT($I14532,6)&lt;&gt;"VACUUM"),"CDU",IF($H14532="FLUID CAT CRACKING","FCC",IF(OR($H14532="HYDROCRACKING",$H14532="RESID_HYDROCRACKING"),"Hydrocracker",IF($H14532="REFORMING","Reformer",""))))</f>
        <v/>
      </c>
    </row>
    <row r="14533" spans="6:7">
      <c r="F14533" s="6">
        <f>IF($M14533="PADD I","PADD 1",IF($M14533="PADD II","PADD 2",IF($M14533="PADD III","PADD 3",IF($M14533="PADD IV","PADD 4",IF($M14533="PADD V","PADD 5","")))))</f>
        <v/>
      </c>
      <c r="G14533" s="6">
        <f>IF(AND($H14533="ATMOS DISTILLATION",ISNUMBER(SEARCH("VPS",$I14533))=FALSE,LEFT($I14533,6)&lt;&gt;"VACUUM"),"CDU",IF($H14533="FLUID CAT CRACKING","FCC",IF(OR($H14533="HYDROCRACKING",$H14533="RESID_HYDROCRACKING"),"Hydrocracker",IF($H14533="REFORMING","Reformer",""))))</f>
        <v/>
      </c>
    </row>
    <row r="14534" spans="6:7">
      <c r="F14534" s="6">
        <f>IF($M14534="PADD I","PADD 1",IF($M14534="PADD II","PADD 2",IF($M14534="PADD III","PADD 3",IF($M14534="PADD IV","PADD 4",IF($M14534="PADD V","PADD 5","")))))</f>
        <v/>
      </c>
      <c r="G14534" s="6">
        <f>IF(AND($H14534="ATMOS DISTILLATION",ISNUMBER(SEARCH("VPS",$I14534))=FALSE,LEFT($I14534,6)&lt;&gt;"VACUUM"),"CDU",IF($H14534="FLUID CAT CRACKING","FCC",IF(OR($H14534="HYDROCRACKING",$H14534="RESID_HYDROCRACKING"),"Hydrocracker",IF($H14534="REFORMING","Reformer",""))))</f>
        <v/>
      </c>
    </row>
    <row r="14535" spans="6:7">
      <c r="F14535" s="6">
        <f>IF($M14535="PADD I","PADD 1",IF($M14535="PADD II","PADD 2",IF($M14535="PADD III","PADD 3",IF($M14535="PADD IV","PADD 4",IF($M14535="PADD V","PADD 5","")))))</f>
        <v/>
      </c>
      <c r="G14535" s="6">
        <f>IF(AND($H14535="ATMOS DISTILLATION",ISNUMBER(SEARCH("VPS",$I14535))=FALSE,LEFT($I14535,6)&lt;&gt;"VACUUM"),"CDU",IF($H14535="FLUID CAT CRACKING","FCC",IF(OR($H14535="HYDROCRACKING",$H14535="RESID_HYDROCRACKING"),"Hydrocracker",IF($H14535="REFORMING","Reformer",""))))</f>
        <v/>
      </c>
    </row>
    <row r="14536" spans="6:7">
      <c r="F14536" s="6">
        <f>IF($M14536="PADD I","PADD 1",IF($M14536="PADD II","PADD 2",IF($M14536="PADD III","PADD 3",IF($M14536="PADD IV","PADD 4",IF($M14536="PADD V","PADD 5","")))))</f>
        <v/>
      </c>
      <c r="G14536" s="6">
        <f>IF(AND($H14536="ATMOS DISTILLATION",ISNUMBER(SEARCH("VPS",$I14536))=FALSE,LEFT($I14536,6)&lt;&gt;"VACUUM"),"CDU",IF($H14536="FLUID CAT CRACKING","FCC",IF(OR($H14536="HYDROCRACKING",$H14536="RESID_HYDROCRACKING"),"Hydrocracker",IF($H14536="REFORMING","Reformer",""))))</f>
        <v/>
      </c>
    </row>
    <row r="14537" spans="6:7">
      <c r="F14537" s="6">
        <f>IF($M14537="PADD I","PADD 1",IF($M14537="PADD II","PADD 2",IF($M14537="PADD III","PADD 3",IF($M14537="PADD IV","PADD 4",IF($M14537="PADD V","PADD 5","")))))</f>
        <v/>
      </c>
      <c r="G14537" s="6">
        <f>IF(AND($H14537="ATMOS DISTILLATION",ISNUMBER(SEARCH("VPS",$I14537))=FALSE,LEFT($I14537,6)&lt;&gt;"VACUUM"),"CDU",IF($H14537="FLUID CAT CRACKING","FCC",IF(OR($H14537="HYDROCRACKING",$H14537="RESID_HYDROCRACKING"),"Hydrocracker",IF($H14537="REFORMING","Reformer",""))))</f>
        <v/>
      </c>
    </row>
    <row r="14538" spans="6:7">
      <c r="F14538" s="6">
        <f>IF($M14538="PADD I","PADD 1",IF($M14538="PADD II","PADD 2",IF($M14538="PADD III","PADD 3",IF($M14538="PADD IV","PADD 4",IF($M14538="PADD V","PADD 5","")))))</f>
        <v/>
      </c>
      <c r="G14538" s="6">
        <f>IF(AND($H14538="ATMOS DISTILLATION",ISNUMBER(SEARCH("VPS",$I14538))=FALSE,LEFT($I14538,6)&lt;&gt;"VACUUM"),"CDU",IF($H14538="FLUID CAT CRACKING","FCC",IF(OR($H14538="HYDROCRACKING",$H14538="RESID_HYDROCRACKING"),"Hydrocracker",IF($H14538="REFORMING","Reformer",""))))</f>
        <v/>
      </c>
    </row>
    <row r="14539" spans="6:7">
      <c r="F14539" s="6">
        <f>IF($M14539="PADD I","PADD 1",IF($M14539="PADD II","PADD 2",IF($M14539="PADD III","PADD 3",IF($M14539="PADD IV","PADD 4",IF($M14539="PADD V","PADD 5","")))))</f>
        <v/>
      </c>
      <c r="G14539" s="6">
        <f>IF(AND($H14539="ATMOS DISTILLATION",ISNUMBER(SEARCH("VPS",$I14539))=FALSE,LEFT($I14539,6)&lt;&gt;"VACUUM"),"CDU",IF($H14539="FLUID CAT CRACKING","FCC",IF(OR($H14539="HYDROCRACKING",$H14539="RESID_HYDROCRACKING"),"Hydrocracker",IF($H14539="REFORMING","Reformer",""))))</f>
        <v/>
      </c>
    </row>
    <row r="14540" spans="6:7">
      <c r="F14540" s="6">
        <f>IF($M14540="PADD I","PADD 1",IF($M14540="PADD II","PADD 2",IF($M14540="PADD III","PADD 3",IF($M14540="PADD IV","PADD 4",IF($M14540="PADD V","PADD 5","")))))</f>
        <v/>
      </c>
      <c r="G14540" s="6">
        <f>IF(AND($H14540="ATMOS DISTILLATION",ISNUMBER(SEARCH("VPS",$I14540))=FALSE,LEFT($I14540,6)&lt;&gt;"VACUUM"),"CDU",IF($H14540="FLUID CAT CRACKING","FCC",IF(OR($H14540="HYDROCRACKING",$H14540="RESID_HYDROCRACKING"),"Hydrocracker",IF($H14540="REFORMING","Reformer",""))))</f>
        <v/>
      </c>
    </row>
    <row r="14541" spans="6:7">
      <c r="F14541" s="6">
        <f>IF($M14541="PADD I","PADD 1",IF($M14541="PADD II","PADD 2",IF($M14541="PADD III","PADD 3",IF($M14541="PADD IV","PADD 4",IF($M14541="PADD V","PADD 5","")))))</f>
        <v/>
      </c>
      <c r="G14541" s="6">
        <f>IF(AND($H14541="ATMOS DISTILLATION",ISNUMBER(SEARCH("VPS",$I14541))=FALSE,LEFT($I14541,6)&lt;&gt;"VACUUM"),"CDU",IF($H14541="FLUID CAT CRACKING","FCC",IF(OR($H14541="HYDROCRACKING",$H14541="RESID_HYDROCRACKING"),"Hydrocracker",IF($H14541="REFORMING","Reformer",""))))</f>
        <v/>
      </c>
    </row>
    <row r="14542" spans="6:7">
      <c r="F14542" s="6">
        <f>IF($M14542="PADD I","PADD 1",IF($M14542="PADD II","PADD 2",IF($M14542="PADD III","PADD 3",IF($M14542="PADD IV","PADD 4",IF($M14542="PADD V","PADD 5","")))))</f>
        <v/>
      </c>
      <c r="G14542" s="6">
        <f>IF(AND($H14542="ATMOS DISTILLATION",ISNUMBER(SEARCH("VPS",$I14542))=FALSE,LEFT($I14542,6)&lt;&gt;"VACUUM"),"CDU",IF($H14542="FLUID CAT CRACKING","FCC",IF(OR($H14542="HYDROCRACKING",$H14542="RESID_HYDROCRACKING"),"Hydrocracker",IF($H14542="REFORMING","Reformer",""))))</f>
        <v/>
      </c>
    </row>
    <row r="14543" spans="6:7">
      <c r="F14543" s="6">
        <f>IF($M14543="PADD I","PADD 1",IF($M14543="PADD II","PADD 2",IF($M14543="PADD III","PADD 3",IF($M14543="PADD IV","PADD 4",IF($M14543="PADD V","PADD 5","")))))</f>
        <v/>
      </c>
      <c r="G14543" s="6">
        <f>IF(AND($H14543="ATMOS DISTILLATION",ISNUMBER(SEARCH("VPS",$I14543))=FALSE,LEFT($I14543,6)&lt;&gt;"VACUUM"),"CDU",IF($H14543="FLUID CAT CRACKING","FCC",IF(OR($H14543="HYDROCRACKING",$H14543="RESID_HYDROCRACKING"),"Hydrocracker",IF($H14543="REFORMING","Reformer",""))))</f>
        <v/>
      </c>
    </row>
    <row r="14544" spans="6:7">
      <c r="F14544" s="6">
        <f>IF($M14544="PADD I","PADD 1",IF($M14544="PADD II","PADD 2",IF($M14544="PADD III","PADD 3",IF($M14544="PADD IV","PADD 4",IF($M14544="PADD V","PADD 5","")))))</f>
        <v/>
      </c>
      <c r="G14544" s="6">
        <f>IF(AND($H14544="ATMOS DISTILLATION",ISNUMBER(SEARCH("VPS",$I14544))=FALSE,LEFT($I14544,6)&lt;&gt;"VACUUM"),"CDU",IF($H14544="FLUID CAT CRACKING","FCC",IF(OR($H14544="HYDROCRACKING",$H14544="RESID_HYDROCRACKING"),"Hydrocracker",IF($H14544="REFORMING","Reformer",""))))</f>
        <v/>
      </c>
    </row>
    <row r="14545" spans="6:7">
      <c r="F14545" s="6">
        <f>IF($M14545="PADD I","PADD 1",IF($M14545="PADD II","PADD 2",IF($M14545="PADD III","PADD 3",IF($M14545="PADD IV","PADD 4",IF($M14545="PADD V","PADD 5","")))))</f>
        <v/>
      </c>
      <c r="G14545" s="6">
        <f>IF(AND($H14545="ATMOS DISTILLATION",ISNUMBER(SEARCH("VPS",$I14545))=FALSE,LEFT($I14545,6)&lt;&gt;"VACUUM"),"CDU",IF($H14545="FLUID CAT CRACKING","FCC",IF(OR($H14545="HYDROCRACKING",$H14545="RESID_HYDROCRACKING"),"Hydrocracker",IF($H14545="REFORMING","Reformer",""))))</f>
        <v/>
      </c>
    </row>
    <row r="14546" spans="6:7">
      <c r="F14546" s="6">
        <f>IF($M14546="PADD I","PADD 1",IF($M14546="PADD II","PADD 2",IF($M14546="PADD III","PADD 3",IF($M14546="PADD IV","PADD 4",IF($M14546="PADD V","PADD 5","")))))</f>
        <v/>
      </c>
      <c r="G14546" s="6">
        <f>IF(AND($H14546="ATMOS DISTILLATION",ISNUMBER(SEARCH("VPS",$I14546))=FALSE,LEFT($I14546,6)&lt;&gt;"VACUUM"),"CDU",IF($H14546="FLUID CAT CRACKING","FCC",IF(OR($H14546="HYDROCRACKING",$H14546="RESID_HYDROCRACKING"),"Hydrocracker",IF($H14546="REFORMING","Reformer",""))))</f>
        <v/>
      </c>
    </row>
    <row r="14547" spans="6:7">
      <c r="F14547" s="6">
        <f>IF($M14547="PADD I","PADD 1",IF($M14547="PADD II","PADD 2",IF($M14547="PADD III","PADD 3",IF($M14547="PADD IV","PADD 4",IF($M14547="PADD V","PADD 5","")))))</f>
        <v/>
      </c>
      <c r="G14547" s="6">
        <f>IF(AND($H14547="ATMOS DISTILLATION",ISNUMBER(SEARCH("VPS",$I14547))=FALSE,LEFT($I14547,6)&lt;&gt;"VACUUM"),"CDU",IF($H14547="FLUID CAT CRACKING","FCC",IF(OR($H14547="HYDROCRACKING",$H14547="RESID_HYDROCRACKING"),"Hydrocracker",IF($H14547="REFORMING","Reformer",""))))</f>
        <v/>
      </c>
    </row>
    <row r="14548" spans="6:7">
      <c r="F14548" s="6">
        <f>IF($M14548="PADD I","PADD 1",IF($M14548="PADD II","PADD 2",IF($M14548="PADD III","PADD 3",IF($M14548="PADD IV","PADD 4",IF($M14548="PADD V","PADD 5","")))))</f>
        <v/>
      </c>
      <c r="G14548" s="6">
        <f>IF(AND($H14548="ATMOS DISTILLATION",ISNUMBER(SEARCH("VPS",$I14548))=FALSE,LEFT($I14548,6)&lt;&gt;"VACUUM"),"CDU",IF($H14548="FLUID CAT CRACKING","FCC",IF(OR($H14548="HYDROCRACKING",$H14548="RESID_HYDROCRACKING"),"Hydrocracker",IF($H14548="REFORMING","Reformer",""))))</f>
        <v/>
      </c>
    </row>
    <row r="14549" spans="6:7">
      <c r="F14549" s="6">
        <f>IF($M14549="PADD I","PADD 1",IF($M14549="PADD II","PADD 2",IF($M14549="PADD III","PADD 3",IF($M14549="PADD IV","PADD 4",IF($M14549="PADD V","PADD 5","")))))</f>
        <v/>
      </c>
      <c r="G14549" s="6">
        <f>IF(AND($H14549="ATMOS DISTILLATION",ISNUMBER(SEARCH("VPS",$I14549))=FALSE,LEFT($I14549,6)&lt;&gt;"VACUUM"),"CDU",IF($H14549="FLUID CAT CRACKING","FCC",IF(OR($H14549="HYDROCRACKING",$H14549="RESID_HYDROCRACKING"),"Hydrocracker",IF($H14549="REFORMING","Reformer",""))))</f>
        <v/>
      </c>
    </row>
    <row r="14550" spans="6:7">
      <c r="F14550" s="6">
        <f>IF($M14550="PADD I","PADD 1",IF($M14550="PADD II","PADD 2",IF($M14550="PADD III","PADD 3",IF($M14550="PADD IV","PADD 4",IF($M14550="PADD V","PADD 5","")))))</f>
        <v/>
      </c>
      <c r="G14550" s="6">
        <f>IF(AND($H14550="ATMOS DISTILLATION",ISNUMBER(SEARCH("VPS",$I14550))=FALSE,LEFT($I14550,6)&lt;&gt;"VACUUM"),"CDU",IF($H14550="FLUID CAT CRACKING","FCC",IF(OR($H14550="HYDROCRACKING",$H14550="RESID_HYDROCRACKING"),"Hydrocracker",IF($H14550="REFORMING","Reformer",""))))</f>
        <v/>
      </c>
    </row>
    <row r="14551" spans="6:7">
      <c r="F14551" s="6">
        <f>IF($M14551="PADD I","PADD 1",IF($M14551="PADD II","PADD 2",IF($M14551="PADD III","PADD 3",IF($M14551="PADD IV","PADD 4",IF($M14551="PADD V","PADD 5","")))))</f>
        <v/>
      </c>
      <c r="G14551" s="6">
        <f>IF(AND($H14551="ATMOS DISTILLATION",ISNUMBER(SEARCH("VPS",$I14551))=FALSE,LEFT($I14551,6)&lt;&gt;"VACUUM"),"CDU",IF($H14551="FLUID CAT CRACKING","FCC",IF(OR($H14551="HYDROCRACKING",$H14551="RESID_HYDROCRACKING"),"Hydrocracker",IF($H14551="REFORMING","Reformer",""))))</f>
        <v/>
      </c>
    </row>
    <row r="14552" spans="6:7">
      <c r="F14552" s="6">
        <f>IF($M14552="PADD I","PADD 1",IF($M14552="PADD II","PADD 2",IF($M14552="PADD III","PADD 3",IF($M14552="PADD IV","PADD 4",IF($M14552="PADD V","PADD 5","")))))</f>
        <v/>
      </c>
      <c r="G14552" s="6">
        <f>IF(AND($H14552="ATMOS DISTILLATION",ISNUMBER(SEARCH("VPS",$I14552))=FALSE,LEFT($I14552,6)&lt;&gt;"VACUUM"),"CDU",IF($H14552="FLUID CAT CRACKING","FCC",IF(OR($H14552="HYDROCRACKING",$H14552="RESID_HYDROCRACKING"),"Hydrocracker",IF($H14552="REFORMING","Reformer",""))))</f>
        <v/>
      </c>
    </row>
    <row r="14553" spans="6:7">
      <c r="F14553" s="6">
        <f>IF($M14553="PADD I","PADD 1",IF($M14553="PADD II","PADD 2",IF($M14553="PADD III","PADD 3",IF($M14553="PADD IV","PADD 4",IF($M14553="PADD V","PADD 5","")))))</f>
        <v/>
      </c>
      <c r="G14553" s="6">
        <f>IF(AND($H14553="ATMOS DISTILLATION",ISNUMBER(SEARCH("VPS",$I14553))=FALSE,LEFT($I14553,6)&lt;&gt;"VACUUM"),"CDU",IF($H14553="FLUID CAT CRACKING","FCC",IF(OR($H14553="HYDROCRACKING",$H14553="RESID_HYDROCRACKING"),"Hydrocracker",IF($H14553="REFORMING","Reformer",""))))</f>
        <v/>
      </c>
    </row>
    <row r="14554" spans="6:7">
      <c r="F14554" s="6">
        <f>IF($M14554="PADD I","PADD 1",IF($M14554="PADD II","PADD 2",IF($M14554="PADD III","PADD 3",IF($M14554="PADD IV","PADD 4",IF($M14554="PADD V","PADD 5","")))))</f>
        <v/>
      </c>
      <c r="G14554" s="6">
        <f>IF(AND($H14554="ATMOS DISTILLATION",ISNUMBER(SEARCH("VPS",$I14554))=FALSE,LEFT($I14554,6)&lt;&gt;"VACUUM"),"CDU",IF($H14554="FLUID CAT CRACKING","FCC",IF(OR($H14554="HYDROCRACKING",$H14554="RESID_HYDROCRACKING"),"Hydrocracker",IF($H14554="REFORMING","Reformer",""))))</f>
        <v/>
      </c>
    </row>
    <row r="14555" spans="6:7">
      <c r="F14555" s="6">
        <f>IF($M14555="PADD I","PADD 1",IF($M14555="PADD II","PADD 2",IF($M14555="PADD III","PADD 3",IF($M14555="PADD IV","PADD 4",IF($M14555="PADD V","PADD 5","")))))</f>
        <v/>
      </c>
      <c r="G14555" s="6">
        <f>IF(AND($H14555="ATMOS DISTILLATION",ISNUMBER(SEARCH("VPS",$I14555))=FALSE,LEFT($I14555,6)&lt;&gt;"VACUUM"),"CDU",IF($H14555="FLUID CAT CRACKING","FCC",IF(OR($H14555="HYDROCRACKING",$H14555="RESID_HYDROCRACKING"),"Hydrocracker",IF($H14555="REFORMING","Reformer",""))))</f>
        <v/>
      </c>
    </row>
    <row r="14556" spans="6:7">
      <c r="F14556" s="6">
        <f>IF($M14556="PADD I","PADD 1",IF($M14556="PADD II","PADD 2",IF($M14556="PADD III","PADD 3",IF($M14556="PADD IV","PADD 4",IF($M14556="PADD V","PADD 5","")))))</f>
        <v/>
      </c>
      <c r="G14556" s="6">
        <f>IF(AND($H14556="ATMOS DISTILLATION",ISNUMBER(SEARCH("VPS",$I14556))=FALSE,LEFT($I14556,6)&lt;&gt;"VACUUM"),"CDU",IF($H14556="FLUID CAT CRACKING","FCC",IF(OR($H14556="HYDROCRACKING",$H14556="RESID_HYDROCRACKING"),"Hydrocracker",IF($H14556="REFORMING","Reformer",""))))</f>
        <v/>
      </c>
    </row>
    <row r="14557" spans="6:7">
      <c r="F14557" s="6">
        <f>IF($M14557="PADD I","PADD 1",IF($M14557="PADD II","PADD 2",IF($M14557="PADD III","PADD 3",IF($M14557="PADD IV","PADD 4",IF($M14557="PADD V","PADD 5","")))))</f>
        <v/>
      </c>
      <c r="G14557" s="6">
        <f>IF(AND($H14557="ATMOS DISTILLATION",ISNUMBER(SEARCH("VPS",$I14557))=FALSE,LEFT($I14557,6)&lt;&gt;"VACUUM"),"CDU",IF($H14557="FLUID CAT CRACKING","FCC",IF(OR($H14557="HYDROCRACKING",$H14557="RESID_HYDROCRACKING"),"Hydrocracker",IF($H14557="REFORMING","Reformer",""))))</f>
        <v/>
      </c>
    </row>
    <row r="14558" spans="6:7">
      <c r="F14558" s="6">
        <f>IF($M14558="PADD I","PADD 1",IF($M14558="PADD II","PADD 2",IF($M14558="PADD III","PADD 3",IF($M14558="PADD IV","PADD 4",IF($M14558="PADD V","PADD 5","")))))</f>
        <v/>
      </c>
      <c r="G14558" s="6">
        <f>IF(AND($H14558="ATMOS DISTILLATION",ISNUMBER(SEARCH("VPS",$I14558))=FALSE,LEFT($I14558,6)&lt;&gt;"VACUUM"),"CDU",IF($H14558="FLUID CAT CRACKING","FCC",IF(OR($H14558="HYDROCRACKING",$H14558="RESID_HYDROCRACKING"),"Hydrocracker",IF($H14558="REFORMING","Reformer",""))))</f>
        <v/>
      </c>
    </row>
    <row r="14559" spans="6:7">
      <c r="F14559" s="6">
        <f>IF($M14559="PADD I","PADD 1",IF($M14559="PADD II","PADD 2",IF($M14559="PADD III","PADD 3",IF($M14559="PADD IV","PADD 4",IF($M14559="PADD V","PADD 5","")))))</f>
        <v/>
      </c>
      <c r="G14559" s="6">
        <f>IF(AND($H14559="ATMOS DISTILLATION",ISNUMBER(SEARCH("VPS",$I14559))=FALSE,LEFT($I14559,6)&lt;&gt;"VACUUM"),"CDU",IF($H14559="FLUID CAT CRACKING","FCC",IF(OR($H14559="HYDROCRACKING",$H14559="RESID_HYDROCRACKING"),"Hydrocracker",IF($H14559="REFORMING","Reformer",""))))</f>
        <v/>
      </c>
    </row>
    <row r="14560" spans="6:7">
      <c r="F14560" s="6">
        <f>IF($M14560="PADD I","PADD 1",IF($M14560="PADD II","PADD 2",IF($M14560="PADD III","PADD 3",IF($M14560="PADD IV","PADD 4",IF($M14560="PADD V","PADD 5","")))))</f>
        <v/>
      </c>
      <c r="G14560" s="6">
        <f>IF(AND($H14560="ATMOS DISTILLATION",ISNUMBER(SEARCH("VPS",$I14560))=FALSE,LEFT($I14560,6)&lt;&gt;"VACUUM"),"CDU",IF($H14560="FLUID CAT CRACKING","FCC",IF(OR($H14560="HYDROCRACKING",$H14560="RESID_HYDROCRACKING"),"Hydrocracker",IF($H14560="REFORMING","Reformer",""))))</f>
        <v/>
      </c>
    </row>
    <row r="14561" spans="6:7">
      <c r="F14561" s="6">
        <f>IF($M14561="PADD I","PADD 1",IF($M14561="PADD II","PADD 2",IF($M14561="PADD III","PADD 3",IF($M14561="PADD IV","PADD 4",IF($M14561="PADD V","PADD 5","")))))</f>
        <v/>
      </c>
      <c r="G14561" s="6">
        <f>IF(AND($H14561="ATMOS DISTILLATION",ISNUMBER(SEARCH("VPS",$I14561))=FALSE,LEFT($I14561,6)&lt;&gt;"VACUUM"),"CDU",IF($H14561="FLUID CAT CRACKING","FCC",IF(OR($H14561="HYDROCRACKING",$H14561="RESID_HYDROCRACKING"),"Hydrocracker",IF($H14561="REFORMING","Reformer",""))))</f>
        <v/>
      </c>
    </row>
    <row r="14562" spans="6:7">
      <c r="F14562" s="6">
        <f>IF($M14562="PADD I","PADD 1",IF($M14562="PADD II","PADD 2",IF($M14562="PADD III","PADD 3",IF($M14562="PADD IV","PADD 4",IF($M14562="PADD V","PADD 5","")))))</f>
        <v/>
      </c>
      <c r="G14562" s="6">
        <f>IF(AND($H14562="ATMOS DISTILLATION",ISNUMBER(SEARCH("VPS",$I14562))=FALSE,LEFT($I14562,6)&lt;&gt;"VACUUM"),"CDU",IF($H14562="FLUID CAT CRACKING","FCC",IF(OR($H14562="HYDROCRACKING",$H14562="RESID_HYDROCRACKING"),"Hydrocracker",IF($H14562="REFORMING","Reformer",""))))</f>
        <v/>
      </c>
    </row>
    <row r="14563" spans="6:7">
      <c r="F14563" s="6">
        <f>IF($M14563="PADD I","PADD 1",IF($M14563="PADD II","PADD 2",IF($M14563="PADD III","PADD 3",IF($M14563="PADD IV","PADD 4",IF($M14563="PADD V","PADD 5","")))))</f>
        <v/>
      </c>
      <c r="G14563" s="6">
        <f>IF(AND($H14563="ATMOS DISTILLATION",ISNUMBER(SEARCH("VPS",$I14563))=FALSE,LEFT($I14563,6)&lt;&gt;"VACUUM"),"CDU",IF($H14563="FLUID CAT CRACKING","FCC",IF(OR($H14563="HYDROCRACKING",$H14563="RESID_HYDROCRACKING"),"Hydrocracker",IF($H14563="REFORMING","Reformer",""))))</f>
        <v/>
      </c>
    </row>
    <row r="14564" spans="6:7">
      <c r="F14564" s="6">
        <f>IF($M14564="PADD I","PADD 1",IF($M14564="PADD II","PADD 2",IF($M14564="PADD III","PADD 3",IF($M14564="PADD IV","PADD 4",IF($M14564="PADD V","PADD 5","")))))</f>
        <v/>
      </c>
      <c r="G14564" s="6">
        <f>IF(AND($H14564="ATMOS DISTILLATION",ISNUMBER(SEARCH("VPS",$I14564))=FALSE,LEFT($I14564,6)&lt;&gt;"VACUUM"),"CDU",IF($H14564="FLUID CAT CRACKING","FCC",IF(OR($H14564="HYDROCRACKING",$H14564="RESID_HYDROCRACKING"),"Hydrocracker",IF($H14564="REFORMING","Reformer",""))))</f>
        <v/>
      </c>
    </row>
    <row r="14565" spans="6:7">
      <c r="F14565" s="6">
        <f>IF($M14565="PADD I","PADD 1",IF($M14565="PADD II","PADD 2",IF($M14565="PADD III","PADD 3",IF($M14565="PADD IV","PADD 4",IF($M14565="PADD V","PADD 5","")))))</f>
        <v/>
      </c>
      <c r="G14565" s="6">
        <f>IF(AND($H14565="ATMOS DISTILLATION",ISNUMBER(SEARCH("VPS",$I14565))=FALSE,LEFT($I14565,6)&lt;&gt;"VACUUM"),"CDU",IF($H14565="FLUID CAT CRACKING","FCC",IF(OR($H14565="HYDROCRACKING",$H14565="RESID_HYDROCRACKING"),"Hydrocracker",IF($H14565="REFORMING","Reformer",""))))</f>
        <v/>
      </c>
    </row>
    <row r="14566" spans="6:7">
      <c r="F14566" s="6">
        <f>IF($M14566="PADD I","PADD 1",IF($M14566="PADD II","PADD 2",IF($M14566="PADD III","PADD 3",IF($M14566="PADD IV","PADD 4",IF($M14566="PADD V","PADD 5","")))))</f>
        <v/>
      </c>
      <c r="G14566" s="6">
        <f>IF(AND($H14566="ATMOS DISTILLATION",ISNUMBER(SEARCH("VPS",$I14566))=FALSE,LEFT($I14566,6)&lt;&gt;"VACUUM"),"CDU",IF($H14566="FLUID CAT CRACKING","FCC",IF(OR($H14566="HYDROCRACKING",$H14566="RESID_HYDROCRACKING"),"Hydrocracker",IF($H14566="REFORMING","Reformer",""))))</f>
        <v/>
      </c>
    </row>
    <row r="14567" spans="6:7">
      <c r="F14567" s="6">
        <f>IF($M14567="PADD I","PADD 1",IF($M14567="PADD II","PADD 2",IF($M14567="PADD III","PADD 3",IF($M14567="PADD IV","PADD 4",IF($M14567="PADD V","PADD 5","")))))</f>
        <v/>
      </c>
      <c r="G14567" s="6">
        <f>IF(AND($H14567="ATMOS DISTILLATION",ISNUMBER(SEARCH("VPS",$I14567))=FALSE,LEFT($I14567,6)&lt;&gt;"VACUUM"),"CDU",IF($H14567="FLUID CAT CRACKING","FCC",IF(OR($H14567="HYDROCRACKING",$H14567="RESID_HYDROCRACKING"),"Hydrocracker",IF($H14567="REFORMING","Reformer",""))))</f>
        <v/>
      </c>
    </row>
    <row r="14568" spans="6:7">
      <c r="F14568" s="6">
        <f>IF($M14568="PADD I","PADD 1",IF($M14568="PADD II","PADD 2",IF($M14568="PADD III","PADD 3",IF($M14568="PADD IV","PADD 4",IF($M14568="PADD V","PADD 5","")))))</f>
        <v/>
      </c>
      <c r="G14568" s="6">
        <f>IF(AND($H14568="ATMOS DISTILLATION",ISNUMBER(SEARCH("VPS",$I14568))=FALSE,LEFT($I14568,6)&lt;&gt;"VACUUM"),"CDU",IF($H14568="FLUID CAT CRACKING","FCC",IF(OR($H14568="HYDROCRACKING",$H14568="RESID_HYDROCRACKING"),"Hydrocracker",IF($H14568="REFORMING","Reformer",""))))</f>
        <v/>
      </c>
    </row>
    <row r="14569" spans="6:7">
      <c r="F14569" s="6">
        <f>IF($M14569="PADD I","PADD 1",IF($M14569="PADD II","PADD 2",IF($M14569="PADD III","PADD 3",IF($M14569="PADD IV","PADD 4",IF($M14569="PADD V","PADD 5","")))))</f>
        <v/>
      </c>
      <c r="G14569" s="6">
        <f>IF(AND($H14569="ATMOS DISTILLATION",ISNUMBER(SEARCH("VPS",$I14569))=FALSE,LEFT($I14569,6)&lt;&gt;"VACUUM"),"CDU",IF($H14569="FLUID CAT CRACKING","FCC",IF(OR($H14569="HYDROCRACKING",$H14569="RESID_HYDROCRACKING"),"Hydrocracker",IF($H14569="REFORMING","Reformer",""))))</f>
        <v/>
      </c>
    </row>
    <row r="14570" spans="6:7">
      <c r="F14570" s="6">
        <f>IF($M14570="PADD I","PADD 1",IF($M14570="PADD II","PADD 2",IF($M14570="PADD III","PADD 3",IF($M14570="PADD IV","PADD 4",IF($M14570="PADD V","PADD 5","")))))</f>
        <v/>
      </c>
      <c r="G14570" s="6">
        <f>IF(AND($H14570="ATMOS DISTILLATION",ISNUMBER(SEARCH("VPS",$I14570))=FALSE,LEFT($I14570,6)&lt;&gt;"VACUUM"),"CDU",IF($H14570="FLUID CAT CRACKING","FCC",IF(OR($H14570="HYDROCRACKING",$H14570="RESID_HYDROCRACKING"),"Hydrocracker",IF($H14570="REFORMING","Reformer",""))))</f>
        <v/>
      </c>
    </row>
    <row r="14571" spans="6:7">
      <c r="F14571" s="6">
        <f>IF($M14571="PADD I","PADD 1",IF($M14571="PADD II","PADD 2",IF($M14571="PADD III","PADD 3",IF($M14571="PADD IV","PADD 4",IF($M14571="PADD V","PADD 5","")))))</f>
        <v/>
      </c>
      <c r="G14571" s="6">
        <f>IF(AND($H14571="ATMOS DISTILLATION",ISNUMBER(SEARCH("VPS",$I14571))=FALSE,LEFT($I14571,6)&lt;&gt;"VACUUM"),"CDU",IF($H14571="FLUID CAT CRACKING","FCC",IF(OR($H14571="HYDROCRACKING",$H14571="RESID_HYDROCRACKING"),"Hydrocracker",IF($H14571="REFORMING","Reformer",""))))</f>
        <v/>
      </c>
    </row>
    <row r="14572" spans="6:7">
      <c r="F14572" s="6">
        <f>IF($M14572="PADD I","PADD 1",IF($M14572="PADD II","PADD 2",IF($M14572="PADD III","PADD 3",IF($M14572="PADD IV","PADD 4",IF($M14572="PADD V","PADD 5","")))))</f>
        <v/>
      </c>
      <c r="G14572" s="6">
        <f>IF(AND($H14572="ATMOS DISTILLATION",ISNUMBER(SEARCH("VPS",$I14572))=FALSE,LEFT($I14572,6)&lt;&gt;"VACUUM"),"CDU",IF($H14572="FLUID CAT CRACKING","FCC",IF(OR($H14572="HYDROCRACKING",$H14572="RESID_HYDROCRACKING"),"Hydrocracker",IF($H14572="REFORMING","Reformer",""))))</f>
        <v/>
      </c>
    </row>
    <row r="14573" spans="6:7">
      <c r="F14573" s="6">
        <f>IF($M14573="PADD I","PADD 1",IF($M14573="PADD II","PADD 2",IF($M14573="PADD III","PADD 3",IF($M14573="PADD IV","PADD 4",IF($M14573="PADD V","PADD 5","")))))</f>
        <v/>
      </c>
      <c r="G14573" s="6">
        <f>IF(AND($H14573="ATMOS DISTILLATION",ISNUMBER(SEARCH("VPS",$I14573))=FALSE,LEFT($I14573,6)&lt;&gt;"VACUUM"),"CDU",IF($H14573="FLUID CAT CRACKING","FCC",IF(OR($H14573="HYDROCRACKING",$H14573="RESID_HYDROCRACKING"),"Hydrocracker",IF($H14573="REFORMING","Reformer",""))))</f>
        <v/>
      </c>
    </row>
    <row r="14574" spans="6:7">
      <c r="F14574" s="6">
        <f>IF($M14574="PADD I","PADD 1",IF($M14574="PADD II","PADD 2",IF($M14574="PADD III","PADD 3",IF($M14574="PADD IV","PADD 4",IF($M14574="PADD V","PADD 5","")))))</f>
        <v/>
      </c>
      <c r="G14574" s="6">
        <f>IF(AND($H14574="ATMOS DISTILLATION",ISNUMBER(SEARCH("VPS",$I14574))=FALSE,LEFT($I14574,6)&lt;&gt;"VACUUM"),"CDU",IF($H14574="FLUID CAT CRACKING","FCC",IF(OR($H14574="HYDROCRACKING",$H14574="RESID_HYDROCRACKING"),"Hydrocracker",IF($H14574="REFORMING","Reformer",""))))</f>
        <v/>
      </c>
    </row>
    <row r="14575" spans="6:7">
      <c r="F14575" s="6">
        <f>IF($M14575="PADD I","PADD 1",IF($M14575="PADD II","PADD 2",IF($M14575="PADD III","PADD 3",IF($M14575="PADD IV","PADD 4",IF($M14575="PADD V","PADD 5","")))))</f>
        <v/>
      </c>
      <c r="G14575" s="6">
        <f>IF(AND($H14575="ATMOS DISTILLATION",ISNUMBER(SEARCH("VPS",$I14575))=FALSE,LEFT($I14575,6)&lt;&gt;"VACUUM"),"CDU",IF($H14575="FLUID CAT CRACKING","FCC",IF(OR($H14575="HYDROCRACKING",$H14575="RESID_HYDROCRACKING"),"Hydrocracker",IF($H14575="REFORMING","Reformer",""))))</f>
        <v/>
      </c>
    </row>
    <row r="14576" spans="6:7">
      <c r="F14576" s="6">
        <f>IF($M14576="PADD I","PADD 1",IF($M14576="PADD II","PADD 2",IF($M14576="PADD III","PADD 3",IF($M14576="PADD IV","PADD 4",IF($M14576="PADD V","PADD 5","")))))</f>
        <v/>
      </c>
      <c r="G14576" s="6">
        <f>IF(AND($H14576="ATMOS DISTILLATION",ISNUMBER(SEARCH("VPS",$I14576))=FALSE,LEFT($I14576,6)&lt;&gt;"VACUUM"),"CDU",IF($H14576="FLUID CAT CRACKING","FCC",IF(OR($H14576="HYDROCRACKING",$H14576="RESID_HYDROCRACKING"),"Hydrocracker",IF($H14576="REFORMING","Reformer",""))))</f>
        <v/>
      </c>
    </row>
    <row r="14577" spans="6:7">
      <c r="F14577" s="6">
        <f>IF($M14577="PADD I","PADD 1",IF($M14577="PADD II","PADD 2",IF($M14577="PADD III","PADD 3",IF($M14577="PADD IV","PADD 4",IF($M14577="PADD V","PADD 5","")))))</f>
        <v/>
      </c>
      <c r="G14577" s="6">
        <f>IF(AND($H14577="ATMOS DISTILLATION",ISNUMBER(SEARCH("VPS",$I14577))=FALSE,LEFT($I14577,6)&lt;&gt;"VACUUM"),"CDU",IF($H14577="FLUID CAT CRACKING","FCC",IF(OR($H14577="HYDROCRACKING",$H14577="RESID_HYDROCRACKING"),"Hydrocracker",IF($H14577="REFORMING","Reformer",""))))</f>
        <v/>
      </c>
    </row>
    <row r="14578" spans="6:7">
      <c r="F14578" s="6">
        <f>IF($M14578="PADD I","PADD 1",IF($M14578="PADD II","PADD 2",IF($M14578="PADD III","PADD 3",IF($M14578="PADD IV","PADD 4",IF($M14578="PADD V","PADD 5","")))))</f>
        <v/>
      </c>
      <c r="G14578" s="6">
        <f>IF(AND($H14578="ATMOS DISTILLATION",ISNUMBER(SEARCH("VPS",$I14578))=FALSE,LEFT($I14578,6)&lt;&gt;"VACUUM"),"CDU",IF($H14578="FLUID CAT CRACKING","FCC",IF(OR($H14578="HYDROCRACKING",$H14578="RESID_HYDROCRACKING"),"Hydrocracker",IF($H14578="REFORMING","Reformer",""))))</f>
        <v/>
      </c>
    </row>
    <row r="14579" spans="6:7">
      <c r="F14579" s="6">
        <f>IF($M14579="PADD I","PADD 1",IF($M14579="PADD II","PADD 2",IF($M14579="PADD III","PADD 3",IF($M14579="PADD IV","PADD 4",IF($M14579="PADD V","PADD 5","")))))</f>
        <v/>
      </c>
      <c r="G14579" s="6">
        <f>IF(AND($H14579="ATMOS DISTILLATION",ISNUMBER(SEARCH("VPS",$I14579))=FALSE,LEFT($I14579,6)&lt;&gt;"VACUUM"),"CDU",IF($H14579="FLUID CAT CRACKING","FCC",IF(OR($H14579="HYDROCRACKING",$H14579="RESID_HYDROCRACKING"),"Hydrocracker",IF($H14579="REFORMING","Reformer",""))))</f>
        <v/>
      </c>
    </row>
    <row r="14580" spans="6:7">
      <c r="F14580" s="6">
        <f>IF($M14580="PADD I","PADD 1",IF($M14580="PADD II","PADD 2",IF($M14580="PADD III","PADD 3",IF($M14580="PADD IV","PADD 4",IF($M14580="PADD V","PADD 5","")))))</f>
        <v/>
      </c>
      <c r="G14580" s="6">
        <f>IF(AND($H14580="ATMOS DISTILLATION",ISNUMBER(SEARCH("VPS",$I14580))=FALSE,LEFT($I14580,6)&lt;&gt;"VACUUM"),"CDU",IF($H14580="FLUID CAT CRACKING","FCC",IF(OR($H14580="HYDROCRACKING",$H14580="RESID_HYDROCRACKING"),"Hydrocracker",IF($H14580="REFORMING","Reformer",""))))</f>
        <v/>
      </c>
    </row>
    <row r="14581" spans="6:7">
      <c r="F14581" s="6">
        <f>IF($M14581="PADD I","PADD 1",IF($M14581="PADD II","PADD 2",IF($M14581="PADD III","PADD 3",IF($M14581="PADD IV","PADD 4",IF($M14581="PADD V","PADD 5","")))))</f>
        <v/>
      </c>
      <c r="G14581" s="6">
        <f>IF(AND($H14581="ATMOS DISTILLATION",ISNUMBER(SEARCH("VPS",$I14581))=FALSE,LEFT($I14581,6)&lt;&gt;"VACUUM"),"CDU",IF($H14581="FLUID CAT CRACKING","FCC",IF(OR($H14581="HYDROCRACKING",$H14581="RESID_HYDROCRACKING"),"Hydrocracker",IF($H14581="REFORMING","Reformer",""))))</f>
        <v/>
      </c>
    </row>
    <row r="14582" spans="6:7">
      <c r="F14582" s="6">
        <f>IF($M14582="PADD I","PADD 1",IF($M14582="PADD II","PADD 2",IF($M14582="PADD III","PADD 3",IF($M14582="PADD IV","PADD 4",IF($M14582="PADD V","PADD 5","")))))</f>
        <v/>
      </c>
      <c r="G14582" s="6">
        <f>IF(AND($H14582="ATMOS DISTILLATION",ISNUMBER(SEARCH("VPS",$I14582))=FALSE,LEFT($I14582,6)&lt;&gt;"VACUUM"),"CDU",IF($H14582="FLUID CAT CRACKING","FCC",IF(OR($H14582="HYDROCRACKING",$H14582="RESID_HYDROCRACKING"),"Hydrocracker",IF($H14582="REFORMING","Reformer",""))))</f>
        <v/>
      </c>
    </row>
    <row r="14583" spans="6:7">
      <c r="F14583" s="6">
        <f>IF($M14583="PADD I","PADD 1",IF($M14583="PADD II","PADD 2",IF($M14583="PADD III","PADD 3",IF($M14583="PADD IV","PADD 4",IF($M14583="PADD V","PADD 5","")))))</f>
        <v/>
      </c>
      <c r="G14583" s="6">
        <f>IF(AND($H14583="ATMOS DISTILLATION",ISNUMBER(SEARCH("VPS",$I14583))=FALSE,LEFT($I14583,6)&lt;&gt;"VACUUM"),"CDU",IF($H14583="FLUID CAT CRACKING","FCC",IF(OR($H14583="HYDROCRACKING",$H14583="RESID_HYDROCRACKING"),"Hydrocracker",IF($H14583="REFORMING","Reformer",""))))</f>
        <v/>
      </c>
    </row>
    <row r="14584" spans="6:7">
      <c r="F14584" s="6">
        <f>IF($M14584="PADD I","PADD 1",IF($M14584="PADD II","PADD 2",IF($M14584="PADD III","PADD 3",IF($M14584="PADD IV","PADD 4",IF($M14584="PADD V","PADD 5","")))))</f>
        <v/>
      </c>
      <c r="G14584" s="6">
        <f>IF(AND($H14584="ATMOS DISTILLATION",ISNUMBER(SEARCH("VPS",$I14584))=FALSE,LEFT($I14584,6)&lt;&gt;"VACUUM"),"CDU",IF($H14584="FLUID CAT CRACKING","FCC",IF(OR($H14584="HYDROCRACKING",$H14584="RESID_HYDROCRACKING"),"Hydrocracker",IF($H14584="REFORMING","Reformer",""))))</f>
        <v/>
      </c>
    </row>
    <row r="14585" spans="6:7">
      <c r="F14585" s="6">
        <f>IF($M14585="PADD I","PADD 1",IF($M14585="PADD II","PADD 2",IF($M14585="PADD III","PADD 3",IF($M14585="PADD IV","PADD 4",IF($M14585="PADD V","PADD 5","")))))</f>
        <v/>
      </c>
      <c r="G14585" s="6">
        <f>IF(AND($H14585="ATMOS DISTILLATION",ISNUMBER(SEARCH("VPS",$I14585))=FALSE,LEFT($I14585,6)&lt;&gt;"VACUUM"),"CDU",IF($H14585="FLUID CAT CRACKING","FCC",IF(OR($H14585="HYDROCRACKING",$H14585="RESID_HYDROCRACKING"),"Hydrocracker",IF($H14585="REFORMING","Reformer",""))))</f>
        <v/>
      </c>
    </row>
    <row r="14586" spans="6:7">
      <c r="F14586" s="6">
        <f>IF($M14586="PADD I","PADD 1",IF($M14586="PADD II","PADD 2",IF($M14586="PADD III","PADD 3",IF($M14586="PADD IV","PADD 4",IF($M14586="PADD V","PADD 5","")))))</f>
        <v/>
      </c>
      <c r="G14586" s="6">
        <f>IF(AND($H14586="ATMOS DISTILLATION",ISNUMBER(SEARCH("VPS",$I14586))=FALSE,LEFT($I14586,6)&lt;&gt;"VACUUM"),"CDU",IF($H14586="FLUID CAT CRACKING","FCC",IF(OR($H14586="HYDROCRACKING",$H14586="RESID_HYDROCRACKING"),"Hydrocracker",IF($H14586="REFORMING","Reformer",""))))</f>
        <v/>
      </c>
    </row>
    <row r="14587" spans="6:7">
      <c r="F14587" s="6">
        <f>IF($M14587="PADD I","PADD 1",IF($M14587="PADD II","PADD 2",IF($M14587="PADD III","PADD 3",IF($M14587="PADD IV","PADD 4",IF($M14587="PADD V","PADD 5","")))))</f>
        <v/>
      </c>
      <c r="G14587" s="6">
        <f>IF(AND($H14587="ATMOS DISTILLATION",ISNUMBER(SEARCH("VPS",$I14587))=FALSE,LEFT($I14587,6)&lt;&gt;"VACUUM"),"CDU",IF($H14587="FLUID CAT CRACKING","FCC",IF(OR($H14587="HYDROCRACKING",$H14587="RESID_HYDROCRACKING"),"Hydrocracker",IF($H14587="REFORMING","Reformer",""))))</f>
        <v/>
      </c>
    </row>
    <row r="14588" spans="6:7">
      <c r="F14588" s="6">
        <f>IF($M14588="PADD I","PADD 1",IF($M14588="PADD II","PADD 2",IF($M14588="PADD III","PADD 3",IF($M14588="PADD IV","PADD 4",IF($M14588="PADD V","PADD 5","")))))</f>
        <v/>
      </c>
      <c r="G14588" s="6">
        <f>IF(AND($H14588="ATMOS DISTILLATION",ISNUMBER(SEARCH("VPS",$I14588))=FALSE,LEFT($I14588,6)&lt;&gt;"VACUUM"),"CDU",IF($H14588="FLUID CAT CRACKING","FCC",IF(OR($H14588="HYDROCRACKING",$H14588="RESID_HYDROCRACKING"),"Hydrocracker",IF($H14588="REFORMING","Reformer",""))))</f>
        <v/>
      </c>
    </row>
    <row r="14589" spans="6:7">
      <c r="F14589" s="6">
        <f>IF($M14589="PADD I","PADD 1",IF($M14589="PADD II","PADD 2",IF($M14589="PADD III","PADD 3",IF($M14589="PADD IV","PADD 4",IF($M14589="PADD V","PADD 5","")))))</f>
        <v/>
      </c>
      <c r="G14589" s="6">
        <f>IF(AND($H14589="ATMOS DISTILLATION",ISNUMBER(SEARCH("VPS",$I14589))=FALSE,LEFT($I14589,6)&lt;&gt;"VACUUM"),"CDU",IF($H14589="FLUID CAT CRACKING","FCC",IF(OR($H14589="HYDROCRACKING",$H14589="RESID_HYDROCRACKING"),"Hydrocracker",IF($H14589="REFORMING","Reformer",""))))</f>
        <v/>
      </c>
    </row>
    <row r="14590" spans="6:7">
      <c r="F14590" s="6">
        <f>IF($M14590="PADD I","PADD 1",IF($M14590="PADD II","PADD 2",IF($M14590="PADD III","PADD 3",IF($M14590="PADD IV","PADD 4",IF($M14590="PADD V","PADD 5","")))))</f>
        <v/>
      </c>
      <c r="G14590" s="6">
        <f>IF(AND($H14590="ATMOS DISTILLATION",ISNUMBER(SEARCH("VPS",$I14590))=FALSE,LEFT($I14590,6)&lt;&gt;"VACUUM"),"CDU",IF($H14590="FLUID CAT CRACKING","FCC",IF(OR($H14590="HYDROCRACKING",$H14590="RESID_HYDROCRACKING"),"Hydrocracker",IF($H14590="REFORMING","Reformer",""))))</f>
        <v/>
      </c>
    </row>
    <row r="14591" spans="6:7">
      <c r="F14591" s="6">
        <f>IF($M14591="PADD I","PADD 1",IF($M14591="PADD II","PADD 2",IF($M14591="PADD III","PADD 3",IF($M14591="PADD IV","PADD 4",IF($M14591="PADD V","PADD 5","")))))</f>
        <v/>
      </c>
      <c r="G14591" s="6">
        <f>IF(AND($H14591="ATMOS DISTILLATION",ISNUMBER(SEARCH("VPS",$I14591))=FALSE,LEFT($I14591,6)&lt;&gt;"VACUUM"),"CDU",IF($H14591="FLUID CAT CRACKING","FCC",IF(OR($H14591="HYDROCRACKING",$H14591="RESID_HYDROCRACKING"),"Hydrocracker",IF($H14591="REFORMING","Reformer",""))))</f>
        <v/>
      </c>
    </row>
    <row r="14592" spans="6:7">
      <c r="F14592" s="6">
        <f>IF($M14592="PADD I","PADD 1",IF($M14592="PADD II","PADD 2",IF($M14592="PADD III","PADD 3",IF($M14592="PADD IV","PADD 4",IF($M14592="PADD V","PADD 5","")))))</f>
        <v/>
      </c>
      <c r="G14592" s="6">
        <f>IF(AND($H14592="ATMOS DISTILLATION",ISNUMBER(SEARCH("VPS",$I14592))=FALSE,LEFT($I14592,6)&lt;&gt;"VACUUM"),"CDU",IF($H14592="FLUID CAT CRACKING","FCC",IF(OR($H14592="HYDROCRACKING",$H14592="RESID_HYDROCRACKING"),"Hydrocracker",IF($H14592="REFORMING","Reformer",""))))</f>
        <v/>
      </c>
    </row>
    <row r="14593" spans="6:7">
      <c r="F14593" s="6">
        <f>IF($M14593="PADD I","PADD 1",IF($M14593="PADD II","PADD 2",IF($M14593="PADD III","PADD 3",IF($M14593="PADD IV","PADD 4",IF($M14593="PADD V","PADD 5","")))))</f>
        <v/>
      </c>
      <c r="G14593" s="6">
        <f>IF(AND($H14593="ATMOS DISTILLATION",ISNUMBER(SEARCH("VPS",$I14593))=FALSE,LEFT($I14593,6)&lt;&gt;"VACUUM"),"CDU",IF($H14593="FLUID CAT CRACKING","FCC",IF(OR($H14593="HYDROCRACKING",$H14593="RESID_HYDROCRACKING"),"Hydrocracker",IF($H14593="REFORMING","Reformer",""))))</f>
        <v/>
      </c>
    </row>
    <row r="14594" spans="6:7">
      <c r="F14594" s="6">
        <f>IF($M14594="PADD I","PADD 1",IF($M14594="PADD II","PADD 2",IF($M14594="PADD III","PADD 3",IF($M14594="PADD IV","PADD 4",IF($M14594="PADD V","PADD 5","")))))</f>
        <v/>
      </c>
      <c r="G14594" s="6">
        <f>IF(AND($H14594="ATMOS DISTILLATION",ISNUMBER(SEARCH("VPS",$I14594))=FALSE,LEFT($I14594,6)&lt;&gt;"VACUUM"),"CDU",IF($H14594="FLUID CAT CRACKING","FCC",IF(OR($H14594="HYDROCRACKING",$H14594="RESID_HYDROCRACKING"),"Hydrocracker",IF($H14594="REFORMING","Reformer",""))))</f>
        <v/>
      </c>
    </row>
    <row r="14595" spans="6:7">
      <c r="F14595" s="6">
        <f>IF($M14595="PADD I","PADD 1",IF($M14595="PADD II","PADD 2",IF($M14595="PADD III","PADD 3",IF($M14595="PADD IV","PADD 4",IF($M14595="PADD V","PADD 5","")))))</f>
        <v/>
      </c>
      <c r="G14595" s="6">
        <f>IF(AND($H14595="ATMOS DISTILLATION",ISNUMBER(SEARCH("VPS",$I14595))=FALSE,LEFT($I14595,6)&lt;&gt;"VACUUM"),"CDU",IF($H14595="FLUID CAT CRACKING","FCC",IF(OR($H14595="HYDROCRACKING",$H14595="RESID_HYDROCRACKING"),"Hydrocracker",IF($H14595="REFORMING","Reformer",""))))</f>
        <v/>
      </c>
    </row>
    <row r="14596" spans="6:7">
      <c r="F14596" s="6">
        <f>IF($M14596="PADD I","PADD 1",IF($M14596="PADD II","PADD 2",IF($M14596="PADD III","PADD 3",IF($M14596="PADD IV","PADD 4",IF($M14596="PADD V","PADD 5","")))))</f>
        <v/>
      </c>
      <c r="G14596" s="6">
        <f>IF(AND($H14596="ATMOS DISTILLATION",ISNUMBER(SEARCH("VPS",$I14596))=FALSE,LEFT($I14596,6)&lt;&gt;"VACUUM"),"CDU",IF($H14596="FLUID CAT CRACKING","FCC",IF(OR($H14596="HYDROCRACKING",$H14596="RESID_HYDROCRACKING"),"Hydrocracker",IF($H14596="REFORMING","Reformer",""))))</f>
        <v/>
      </c>
    </row>
    <row r="14597" spans="6:7">
      <c r="F14597" s="6">
        <f>IF($M14597="PADD I","PADD 1",IF($M14597="PADD II","PADD 2",IF($M14597="PADD III","PADD 3",IF($M14597="PADD IV","PADD 4",IF($M14597="PADD V","PADD 5","")))))</f>
        <v/>
      </c>
      <c r="G14597" s="6">
        <f>IF(AND($H14597="ATMOS DISTILLATION",ISNUMBER(SEARCH("VPS",$I14597))=FALSE,LEFT($I14597,6)&lt;&gt;"VACUUM"),"CDU",IF($H14597="FLUID CAT CRACKING","FCC",IF(OR($H14597="HYDROCRACKING",$H14597="RESID_HYDROCRACKING"),"Hydrocracker",IF($H14597="REFORMING","Reformer",""))))</f>
        <v/>
      </c>
    </row>
    <row r="14598" spans="6:7">
      <c r="F14598" s="6">
        <f>IF($M14598="PADD I","PADD 1",IF($M14598="PADD II","PADD 2",IF($M14598="PADD III","PADD 3",IF($M14598="PADD IV","PADD 4",IF($M14598="PADD V","PADD 5","")))))</f>
        <v/>
      </c>
      <c r="G14598" s="6">
        <f>IF(AND($H14598="ATMOS DISTILLATION",ISNUMBER(SEARCH("VPS",$I14598))=FALSE,LEFT($I14598,6)&lt;&gt;"VACUUM"),"CDU",IF($H14598="FLUID CAT CRACKING","FCC",IF(OR($H14598="HYDROCRACKING",$H14598="RESID_HYDROCRACKING"),"Hydrocracker",IF($H14598="REFORMING","Reformer",""))))</f>
        <v/>
      </c>
    </row>
    <row r="14599" spans="6:7">
      <c r="F14599" s="6">
        <f>IF($M14599="PADD I","PADD 1",IF($M14599="PADD II","PADD 2",IF($M14599="PADD III","PADD 3",IF($M14599="PADD IV","PADD 4",IF($M14599="PADD V","PADD 5","")))))</f>
        <v/>
      </c>
      <c r="G14599" s="6">
        <f>IF(AND($H14599="ATMOS DISTILLATION",ISNUMBER(SEARCH("VPS",$I14599))=FALSE,LEFT($I14599,6)&lt;&gt;"VACUUM"),"CDU",IF($H14599="FLUID CAT CRACKING","FCC",IF(OR($H14599="HYDROCRACKING",$H14599="RESID_HYDROCRACKING"),"Hydrocracker",IF($H14599="REFORMING","Reformer",""))))</f>
        <v/>
      </c>
    </row>
    <row r="14600" spans="6:7">
      <c r="F14600" s="6">
        <f>IF($M14600="PADD I","PADD 1",IF($M14600="PADD II","PADD 2",IF($M14600="PADD III","PADD 3",IF($M14600="PADD IV","PADD 4",IF($M14600="PADD V","PADD 5","")))))</f>
        <v/>
      </c>
      <c r="G14600" s="6">
        <f>IF(AND($H14600="ATMOS DISTILLATION",ISNUMBER(SEARCH("VPS",$I14600))=FALSE,LEFT($I14600,6)&lt;&gt;"VACUUM"),"CDU",IF($H14600="FLUID CAT CRACKING","FCC",IF(OR($H14600="HYDROCRACKING",$H14600="RESID_HYDROCRACKING"),"Hydrocracker",IF($H14600="REFORMING","Reformer",""))))</f>
        <v/>
      </c>
    </row>
    <row r="14601" spans="6:7">
      <c r="F14601" s="6">
        <f>IF($M14601="PADD I","PADD 1",IF($M14601="PADD II","PADD 2",IF($M14601="PADD III","PADD 3",IF($M14601="PADD IV","PADD 4",IF($M14601="PADD V","PADD 5","")))))</f>
        <v/>
      </c>
      <c r="G14601" s="6">
        <f>IF(AND($H14601="ATMOS DISTILLATION",ISNUMBER(SEARCH("VPS",$I14601))=FALSE,LEFT($I14601,6)&lt;&gt;"VACUUM"),"CDU",IF($H14601="FLUID CAT CRACKING","FCC",IF(OR($H14601="HYDROCRACKING",$H14601="RESID_HYDROCRACKING"),"Hydrocracker",IF($H14601="REFORMING","Reformer",""))))</f>
        <v/>
      </c>
    </row>
    <row r="14602" spans="6:7">
      <c r="F14602" s="6">
        <f>IF($M14602="PADD I","PADD 1",IF($M14602="PADD II","PADD 2",IF($M14602="PADD III","PADD 3",IF($M14602="PADD IV","PADD 4",IF($M14602="PADD V","PADD 5","")))))</f>
        <v/>
      </c>
      <c r="G14602" s="6">
        <f>IF(AND($H14602="ATMOS DISTILLATION",ISNUMBER(SEARCH("VPS",$I14602))=FALSE,LEFT($I14602,6)&lt;&gt;"VACUUM"),"CDU",IF($H14602="FLUID CAT CRACKING","FCC",IF(OR($H14602="HYDROCRACKING",$H14602="RESID_HYDROCRACKING"),"Hydrocracker",IF($H14602="REFORMING","Reformer",""))))</f>
        <v/>
      </c>
    </row>
    <row r="14603" spans="6:7">
      <c r="F14603" s="6">
        <f>IF($M14603="PADD I","PADD 1",IF($M14603="PADD II","PADD 2",IF($M14603="PADD III","PADD 3",IF($M14603="PADD IV","PADD 4",IF($M14603="PADD V","PADD 5","")))))</f>
        <v/>
      </c>
      <c r="G14603" s="6">
        <f>IF(AND($H14603="ATMOS DISTILLATION",ISNUMBER(SEARCH("VPS",$I14603))=FALSE,LEFT($I14603,6)&lt;&gt;"VACUUM"),"CDU",IF($H14603="FLUID CAT CRACKING","FCC",IF(OR($H14603="HYDROCRACKING",$H14603="RESID_HYDROCRACKING"),"Hydrocracker",IF($H14603="REFORMING","Reformer",""))))</f>
        <v/>
      </c>
    </row>
    <row r="14604" spans="6:7">
      <c r="F14604" s="6">
        <f>IF($M14604="PADD I","PADD 1",IF($M14604="PADD II","PADD 2",IF($M14604="PADD III","PADD 3",IF($M14604="PADD IV","PADD 4",IF($M14604="PADD V","PADD 5","")))))</f>
        <v/>
      </c>
      <c r="G14604" s="6">
        <f>IF(AND($H14604="ATMOS DISTILLATION",ISNUMBER(SEARCH("VPS",$I14604))=FALSE,LEFT($I14604,6)&lt;&gt;"VACUUM"),"CDU",IF($H14604="FLUID CAT CRACKING","FCC",IF(OR($H14604="HYDROCRACKING",$H14604="RESID_HYDROCRACKING"),"Hydrocracker",IF($H14604="REFORMING","Reformer",""))))</f>
        <v/>
      </c>
    </row>
    <row r="14605" spans="6:7">
      <c r="F14605" s="6">
        <f>IF($M14605="PADD I","PADD 1",IF($M14605="PADD II","PADD 2",IF($M14605="PADD III","PADD 3",IF($M14605="PADD IV","PADD 4",IF($M14605="PADD V","PADD 5","")))))</f>
        <v/>
      </c>
      <c r="G14605" s="6">
        <f>IF(AND($H14605="ATMOS DISTILLATION",ISNUMBER(SEARCH("VPS",$I14605))=FALSE,LEFT($I14605,6)&lt;&gt;"VACUUM"),"CDU",IF($H14605="FLUID CAT CRACKING","FCC",IF(OR($H14605="HYDROCRACKING",$H14605="RESID_HYDROCRACKING"),"Hydrocracker",IF($H14605="REFORMING","Reformer",""))))</f>
        <v/>
      </c>
    </row>
    <row r="14606" spans="6:7">
      <c r="F14606" s="6">
        <f>IF($M14606="PADD I","PADD 1",IF($M14606="PADD II","PADD 2",IF($M14606="PADD III","PADD 3",IF($M14606="PADD IV","PADD 4",IF($M14606="PADD V","PADD 5","")))))</f>
        <v/>
      </c>
      <c r="G14606" s="6">
        <f>IF(AND($H14606="ATMOS DISTILLATION",ISNUMBER(SEARCH("VPS",$I14606))=FALSE,LEFT($I14606,6)&lt;&gt;"VACUUM"),"CDU",IF($H14606="FLUID CAT CRACKING","FCC",IF(OR($H14606="HYDROCRACKING",$H14606="RESID_HYDROCRACKING"),"Hydrocracker",IF($H14606="REFORMING","Reformer",""))))</f>
        <v/>
      </c>
    </row>
    <row r="14607" spans="6:7">
      <c r="F14607" s="6">
        <f>IF($M14607="PADD I","PADD 1",IF($M14607="PADD II","PADD 2",IF($M14607="PADD III","PADD 3",IF($M14607="PADD IV","PADD 4",IF($M14607="PADD V","PADD 5","")))))</f>
        <v/>
      </c>
      <c r="G14607" s="6">
        <f>IF(AND($H14607="ATMOS DISTILLATION",ISNUMBER(SEARCH("VPS",$I14607))=FALSE,LEFT($I14607,6)&lt;&gt;"VACUUM"),"CDU",IF($H14607="FLUID CAT CRACKING","FCC",IF(OR($H14607="HYDROCRACKING",$H14607="RESID_HYDROCRACKING"),"Hydrocracker",IF($H14607="REFORMING","Reformer",""))))</f>
        <v/>
      </c>
    </row>
    <row r="14608" spans="6:7">
      <c r="F14608" s="6">
        <f>IF($M14608="PADD I","PADD 1",IF($M14608="PADD II","PADD 2",IF($M14608="PADD III","PADD 3",IF($M14608="PADD IV","PADD 4",IF($M14608="PADD V","PADD 5","")))))</f>
        <v/>
      </c>
      <c r="G14608" s="6">
        <f>IF(AND($H14608="ATMOS DISTILLATION",ISNUMBER(SEARCH("VPS",$I14608))=FALSE,LEFT($I14608,6)&lt;&gt;"VACUUM"),"CDU",IF($H14608="FLUID CAT CRACKING","FCC",IF(OR($H14608="HYDROCRACKING",$H14608="RESID_HYDROCRACKING"),"Hydrocracker",IF($H14608="REFORMING","Reformer",""))))</f>
        <v/>
      </c>
    </row>
    <row r="14609" spans="6:7">
      <c r="F14609" s="6">
        <f>IF($M14609="PADD I","PADD 1",IF($M14609="PADD II","PADD 2",IF($M14609="PADD III","PADD 3",IF($M14609="PADD IV","PADD 4",IF($M14609="PADD V","PADD 5","")))))</f>
        <v/>
      </c>
      <c r="G14609" s="6">
        <f>IF(AND($H14609="ATMOS DISTILLATION",ISNUMBER(SEARCH("VPS",$I14609))=FALSE,LEFT($I14609,6)&lt;&gt;"VACUUM"),"CDU",IF($H14609="FLUID CAT CRACKING","FCC",IF(OR($H14609="HYDROCRACKING",$H14609="RESID_HYDROCRACKING"),"Hydrocracker",IF($H14609="REFORMING","Reformer",""))))</f>
        <v/>
      </c>
    </row>
    <row r="14610" spans="6:7">
      <c r="F14610" s="6">
        <f>IF($M14610="PADD I","PADD 1",IF($M14610="PADD II","PADD 2",IF($M14610="PADD III","PADD 3",IF($M14610="PADD IV","PADD 4",IF($M14610="PADD V","PADD 5","")))))</f>
        <v/>
      </c>
      <c r="G14610" s="6">
        <f>IF(AND($H14610="ATMOS DISTILLATION",ISNUMBER(SEARCH("VPS",$I14610))=FALSE,LEFT($I14610,6)&lt;&gt;"VACUUM"),"CDU",IF($H14610="FLUID CAT CRACKING","FCC",IF(OR($H14610="HYDROCRACKING",$H14610="RESID_HYDROCRACKING"),"Hydrocracker",IF($H14610="REFORMING","Reformer",""))))</f>
        <v/>
      </c>
    </row>
    <row r="14611" spans="6:7">
      <c r="F14611" s="6">
        <f>IF($M14611="PADD I","PADD 1",IF($M14611="PADD II","PADD 2",IF($M14611="PADD III","PADD 3",IF($M14611="PADD IV","PADD 4",IF($M14611="PADD V","PADD 5","")))))</f>
        <v/>
      </c>
      <c r="G14611" s="6">
        <f>IF(AND($H14611="ATMOS DISTILLATION",ISNUMBER(SEARCH("VPS",$I14611))=FALSE,LEFT($I14611,6)&lt;&gt;"VACUUM"),"CDU",IF($H14611="FLUID CAT CRACKING","FCC",IF(OR($H14611="HYDROCRACKING",$H14611="RESID_HYDROCRACKING"),"Hydrocracker",IF($H14611="REFORMING","Reformer",""))))</f>
        <v/>
      </c>
    </row>
    <row r="14612" spans="6:7">
      <c r="F14612" s="6">
        <f>IF($M14612="PADD I","PADD 1",IF($M14612="PADD II","PADD 2",IF($M14612="PADD III","PADD 3",IF($M14612="PADD IV","PADD 4",IF($M14612="PADD V","PADD 5","")))))</f>
        <v/>
      </c>
      <c r="G14612" s="6">
        <f>IF(AND($H14612="ATMOS DISTILLATION",ISNUMBER(SEARCH("VPS",$I14612))=FALSE,LEFT($I14612,6)&lt;&gt;"VACUUM"),"CDU",IF($H14612="FLUID CAT CRACKING","FCC",IF(OR($H14612="HYDROCRACKING",$H14612="RESID_HYDROCRACKING"),"Hydrocracker",IF($H14612="REFORMING","Reformer",""))))</f>
        <v/>
      </c>
    </row>
    <row r="14613" spans="6:7">
      <c r="F14613" s="6">
        <f>IF($M14613="PADD I","PADD 1",IF($M14613="PADD II","PADD 2",IF($M14613="PADD III","PADD 3",IF($M14613="PADD IV","PADD 4",IF($M14613="PADD V","PADD 5","")))))</f>
        <v/>
      </c>
      <c r="G14613" s="6">
        <f>IF(AND($H14613="ATMOS DISTILLATION",ISNUMBER(SEARCH("VPS",$I14613))=FALSE,LEFT($I14613,6)&lt;&gt;"VACUUM"),"CDU",IF($H14613="FLUID CAT CRACKING","FCC",IF(OR($H14613="HYDROCRACKING",$H14613="RESID_HYDROCRACKING"),"Hydrocracker",IF($H14613="REFORMING","Reformer",""))))</f>
        <v/>
      </c>
    </row>
    <row r="14614" spans="6:7">
      <c r="F14614" s="6">
        <f>IF($M14614="PADD I","PADD 1",IF($M14614="PADD II","PADD 2",IF($M14614="PADD III","PADD 3",IF($M14614="PADD IV","PADD 4",IF($M14614="PADD V","PADD 5","")))))</f>
        <v/>
      </c>
      <c r="G14614" s="6">
        <f>IF(AND($H14614="ATMOS DISTILLATION",ISNUMBER(SEARCH("VPS",$I14614))=FALSE,LEFT($I14614,6)&lt;&gt;"VACUUM"),"CDU",IF($H14614="FLUID CAT CRACKING","FCC",IF(OR($H14614="HYDROCRACKING",$H14614="RESID_HYDROCRACKING"),"Hydrocracker",IF($H14614="REFORMING","Reformer",""))))</f>
        <v/>
      </c>
    </row>
    <row r="14615" spans="6:7">
      <c r="F14615" s="6">
        <f>IF($M14615="PADD I","PADD 1",IF($M14615="PADD II","PADD 2",IF($M14615="PADD III","PADD 3",IF($M14615="PADD IV","PADD 4",IF($M14615="PADD V","PADD 5","")))))</f>
        <v/>
      </c>
      <c r="G14615" s="6">
        <f>IF(AND($H14615="ATMOS DISTILLATION",ISNUMBER(SEARCH("VPS",$I14615))=FALSE,LEFT($I14615,6)&lt;&gt;"VACUUM"),"CDU",IF($H14615="FLUID CAT CRACKING","FCC",IF(OR($H14615="HYDROCRACKING",$H14615="RESID_HYDROCRACKING"),"Hydrocracker",IF($H14615="REFORMING","Reformer",""))))</f>
        <v/>
      </c>
    </row>
    <row r="14616" spans="6:7">
      <c r="F14616" s="6">
        <f>IF($M14616="PADD I","PADD 1",IF($M14616="PADD II","PADD 2",IF($M14616="PADD III","PADD 3",IF($M14616="PADD IV","PADD 4",IF($M14616="PADD V","PADD 5","")))))</f>
        <v/>
      </c>
      <c r="G14616" s="6">
        <f>IF(AND($H14616="ATMOS DISTILLATION",ISNUMBER(SEARCH("VPS",$I14616))=FALSE,LEFT($I14616,6)&lt;&gt;"VACUUM"),"CDU",IF($H14616="FLUID CAT CRACKING","FCC",IF(OR($H14616="HYDROCRACKING",$H14616="RESID_HYDROCRACKING"),"Hydrocracker",IF($H14616="REFORMING","Reformer",""))))</f>
        <v/>
      </c>
    </row>
    <row r="14617" spans="6:7">
      <c r="F14617" s="6">
        <f>IF($M14617="PADD I","PADD 1",IF($M14617="PADD II","PADD 2",IF($M14617="PADD III","PADD 3",IF($M14617="PADD IV","PADD 4",IF($M14617="PADD V","PADD 5","")))))</f>
        <v/>
      </c>
      <c r="G14617" s="6">
        <f>IF(AND($H14617="ATMOS DISTILLATION",ISNUMBER(SEARCH("VPS",$I14617))=FALSE,LEFT($I14617,6)&lt;&gt;"VACUUM"),"CDU",IF($H14617="FLUID CAT CRACKING","FCC",IF(OR($H14617="HYDROCRACKING",$H14617="RESID_HYDROCRACKING"),"Hydrocracker",IF($H14617="REFORMING","Reformer",""))))</f>
        <v/>
      </c>
    </row>
    <row r="14618" spans="6:7">
      <c r="F14618" s="6">
        <f>IF($M14618="PADD I","PADD 1",IF($M14618="PADD II","PADD 2",IF($M14618="PADD III","PADD 3",IF($M14618="PADD IV","PADD 4",IF($M14618="PADD V","PADD 5","")))))</f>
        <v/>
      </c>
      <c r="G14618" s="6">
        <f>IF(AND($H14618="ATMOS DISTILLATION",ISNUMBER(SEARCH("VPS",$I14618))=FALSE,LEFT($I14618,6)&lt;&gt;"VACUUM"),"CDU",IF($H14618="FLUID CAT CRACKING","FCC",IF(OR($H14618="HYDROCRACKING",$H14618="RESID_HYDROCRACKING"),"Hydrocracker",IF($H14618="REFORMING","Reformer",""))))</f>
        <v/>
      </c>
    </row>
    <row r="14619" spans="6:7">
      <c r="F14619" s="6">
        <f>IF($M14619="PADD I","PADD 1",IF($M14619="PADD II","PADD 2",IF($M14619="PADD III","PADD 3",IF($M14619="PADD IV","PADD 4",IF($M14619="PADD V","PADD 5","")))))</f>
        <v/>
      </c>
      <c r="G14619" s="6">
        <f>IF(AND($H14619="ATMOS DISTILLATION",ISNUMBER(SEARCH("VPS",$I14619))=FALSE,LEFT($I14619,6)&lt;&gt;"VACUUM"),"CDU",IF($H14619="FLUID CAT CRACKING","FCC",IF(OR($H14619="HYDROCRACKING",$H14619="RESID_HYDROCRACKING"),"Hydrocracker",IF($H14619="REFORMING","Reformer",""))))</f>
        <v/>
      </c>
    </row>
    <row r="14620" spans="6:7">
      <c r="F14620" s="6">
        <f>IF($M14620="PADD I","PADD 1",IF($M14620="PADD II","PADD 2",IF($M14620="PADD III","PADD 3",IF($M14620="PADD IV","PADD 4",IF($M14620="PADD V","PADD 5","")))))</f>
        <v/>
      </c>
      <c r="G14620" s="6">
        <f>IF(AND($H14620="ATMOS DISTILLATION",ISNUMBER(SEARCH("VPS",$I14620))=FALSE,LEFT($I14620,6)&lt;&gt;"VACUUM"),"CDU",IF($H14620="FLUID CAT CRACKING","FCC",IF(OR($H14620="HYDROCRACKING",$H14620="RESID_HYDROCRACKING"),"Hydrocracker",IF($H14620="REFORMING","Reformer",""))))</f>
        <v/>
      </c>
    </row>
    <row r="14621" spans="6:7">
      <c r="F14621" s="6">
        <f>IF($M14621="PADD I","PADD 1",IF($M14621="PADD II","PADD 2",IF($M14621="PADD III","PADD 3",IF($M14621="PADD IV","PADD 4",IF($M14621="PADD V","PADD 5","")))))</f>
        <v/>
      </c>
      <c r="G14621" s="6">
        <f>IF(AND($H14621="ATMOS DISTILLATION",ISNUMBER(SEARCH("VPS",$I14621))=FALSE,LEFT($I14621,6)&lt;&gt;"VACUUM"),"CDU",IF($H14621="FLUID CAT CRACKING","FCC",IF(OR($H14621="HYDROCRACKING",$H14621="RESID_HYDROCRACKING"),"Hydrocracker",IF($H14621="REFORMING","Reformer",""))))</f>
        <v/>
      </c>
    </row>
    <row r="14622" spans="6:7">
      <c r="F14622" s="6">
        <f>IF($M14622="PADD I","PADD 1",IF($M14622="PADD II","PADD 2",IF($M14622="PADD III","PADD 3",IF($M14622="PADD IV","PADD 4",IF($M14622="PADD V","PADD 5","")))))</f>
        <v/>
      </c>
      <c r="G14622" s="6">
        <f>IF(AND($H14622="ATMOS DISTILLATION",ISNUMBER(SEARCH("VPS",$I14622))=FALSE,LEFT($I14622,6)&lt;&gt;"VACUUM"),"CDU",IF($H14622="FLUID CAT CRACKING","FCC",IF(OR($H14622="HYDROCRACKING",$H14622="RESID_HYDROCRACKING"),"Hydrocracker",IF($H14622="REFORMING","Reformer",""))))</f>
        <v/>
      </c>
    </row>
    <row r="14623" spans="6:7">
      <c r="F14623" s="6">
        <f>IF($M14623="PADD I","PADD 1",IF($M14623="PADD II","PADD 2",IF($M14623="PADD III","PADD 3",IF($M14623="PADD IV","PADD 4",IF($M14623="PADD V","PADD 5","")))))</f>
        <v/>
      </c>
      <c r="G14623" s="6">
        <f>IF(AND($H14623="ATMOS DISTILLATION",ISNUMBER(SEARCH("VPS",$I14623))=FALSE,LEFT($I14623,6)&lt;&gt;"VACUUM"),"CDU",IF($H14623="FLUID CAT CRACKING","FCC",IF(OR($H14623="HYDROCRACKING",$H14623="RESID_HYDROCRACKING"),"Hydrocracker",IF($H14623="REFORMING","Reformer",""))))</f>
        <v/>
      </c>
    </row>
    <row r="14624" spans="6:7">
      <c r="F14624" s="6">
        <f>IF($M14624="PADD I","PADD 1",IF($M14624="PADD II","PADD 2",IF($M14624="PADD III","PADD 3",IF($M14624="PADD IV","PADD 4",IF($M14624="PADD V","PADD 5","")))))</f>
        <v/>
      </c>
      <c r="G14624" s="6">
        <f>IF(AND($H14624="ATMOS DISTILLATION",ISNUMBER(SEARCH("VPS",$I14624))=FALSE,LEFT($I14624,6)&lt;&gt;"VACUUM"),"CDU",IF($H14624="FLUID CAT CRACKING","FCC",IF(OR($H14624="HYDROCRACKING",$H14624="RESID_HYDROCRACKING"),"Hydrocracker",IF($H14624="REFORMING","Reformer",""))))</f>
        <v/>
      </c>
    </row>
    <row r="14625" spans="6:7">
      <c r="F14625" s="6">
        <f>IF($M14625="PADD I","PADD 1",IF($M14625="PADD II","PADD 2",IF($M14625="PADD III","PADD 3",IF($M14625="PADD IV","PADD 4",IF($M14625="PADD V","PADD 5","")))))</f>
        <v/>
      </c>
      <c r="G14625" s="6">
        <f>IF(AND($H14625="ATMOS DISTILLATION",ISNUMBER(SEARCH("VPS",$I14625))=FALSE,LEFT($I14625,6)&lt;&gt;"VACUUM"),"CDU",IF($H14625="FLUID CAT CRACKING","FCC",IF(OR($H14625="HYDROCRACKING",$H14625="RESID_HYDROCRACKING"),"Hydrocracker",IF($H14625="REFORMING","Reformer",""))))</f>
        <v/>
      </c>
    </row>
    <row r="14626" spans="6:7">
      <c r="F14626" s="6">
        <f>IF($M14626="PADD I","PADD 1",IF($M14626="PADD II","PADD 2",IF($M14626="PADD III","PADD 3",IF($M14626="PADD IV","PADD 4",IF($M14626="PADD V","PADD 5","")))))</f>
        <v/>
      </c>
      <c r="G14626" s="6">
        <f>IF(AND($H14626="ATMOS DISTILLATION",ISNUMBER(SEARCH("VPS",$I14626))=FALSE,LEFT($I14626,6)&lt;&gt;"VACUUM"),"CDU",IF($H14626="FLUID CAT CRACKING","FCC",IF(OR($H14626="HYDROCRACKING",$H14626="RESID_HYDROCRACKING"),"Hydrocracker",IF($H14626="REFORMING","Reformer",""))))</f>
        <v/>
      </c>
    </row>
    <row r="14627" spans="6:7">
      <c r="F14627" s="6">
        <f>IF($M14627="PADD I","PADD 1",IF($M14627="PADD II","PADD 2",IF($M14627="PADD III","PADD 3",IF($M14627="PADD IV","PADD 4",IF($M14627="PADD V","PADD 5","")))))</f>
        <v/>
      </c>
      <c r="G14627" s="6">
        <f>IF(AND($H14627="ATMOS DISTILLATION",ISNUMBER(SEARCH("VPS",$I14627))=FALSE,LEFT($I14627,6)&lt;&gt;"VACUUM"),"CDU",IF($H14627="FLUID CAT CRACKING","FCC",IF(OR($H14627="HYDROCRACKING",$H14627="RESID_HYDROCRACKING"),"Hydrocracker",IF($H14627="REFORMING","Reformer",""))))</f>
        <v/>
      </c>
    </row>
    <row r="14628" spans="6:7">
      <c r="F14628" s="6">
        <f>IF($M14628="PADD I","PADD 1",IF($M14628="PADD II","PADD 2",IF($M14628="PADD III","PADD 3",IF($M14628="PADD IV","PADD 4",IF($M14628="PADD V","PADD 5","")))))</f>
        <v/>
      </c>
      <c r="G14628" s="6">
        <f>IF(AND($H14628="ATMOS DISTILLATION",ISNUMBER(SEARCH("VPS",$I14628))=FALSE,LEFT($I14628,6)&lt;&gt;"VACUUM"),"CDU",IF($H14628="FLUID CAT CRACKING","FCC",IF(OR($H14628="HYDROCRACKING",$H14628="RESID_HYDROCRACKING"),"Hydrocracker",IF($H14628="REFORMING","Reformer",""))))</f>
        <v/>
      </c>
    </row>
    <row r="14629" spans="6:7">
      <c r="F14629" s="6">
        <f>IF($M14629="PADD I","PADD 1",IF($M14629="PADD II","PADD 2",IF($M14629="PADD III","PADD 3",IF($M14629="PADD IV","PADD 4",IF($M14629="PADD V","PADD 5","")))))</f>
        <v/>
      </c>
      <c r="G14629" s="6">
        <f>IF(AND($H14629="ATMOS DISTILLATION",ISNUMBER(SEARCH("VPS",$I14629))=FALSE,LEFT($I14629,6)&lt;&gt;"VACUUM"),"CDU",IF($H14629="FLUID CAT CRACKING","FCC",IF(OR($H14629="HYDROCRACKING",$H14629="RESID_HYDROCRACKING"),"Hydrocracker",IF($H14629="REFORMING","Reformer",""))))</f>
        <v/>
      </c>
    </row>
    <row r="14630" spans="6:7">
      <c r="F14630" s="6">
        <f>IF($M14630="PADD I","PADD 1",IF($M14630="PADD II","PADD 2",IF($M14630="PADD III","PADD 3",IF($M14630="PADD IV","PADD 4",IF($M14630="PADD V","PADD 5","")))))</f>
        <v/>
      </c>
      <c r="G14630" s="6">
        <f>IF(AND($H14630="ATMOS DISTILLATION",ISNUMBER(SEARCH("VPS",$I14630))=FALSE,LEFT($I14630,6)&lt;&gt;"VACUUM"),"CDU",IF($H14630="FLUID CAT CRACKING","FCC",IF(OR($H14630="HYDROCRACKING",$H14630="RESID_HYDROCRACKING"),"Hydrocracker",IF($H14630="REFORMING","Reformer",""))))</f>
        <v/>
      </c>
    </row>
    <row r="14631" spans="6:7">
      <c r="F14631" s="6">
        <f>IF($M14631="PADD I","PADD 1",IF($M14631="PADD II","PADD 2",IF($M14631="PADD III","PADD 3",IF($M14631="PADD IV","PADD 4",IF($M14631="PADD V","PADD 5","")))))</f>
        <v/>
      </c>
      <c r="G14631" s="6">
        <f>IF(AND($H14631="ATMOS DISTILLATION",ISNUMBER(SEARCH("VPS",$I14631))=FALSE,LEFT($I14631,6)&lt;&gt;"VACUUM"),"CDU",IF($H14631="FLUID CAT CRACKING","FCC",IF(OR($H14631="HYDROCRACKING",$H14631="RESID_HYDROCRACKING"),"Hydrocracker",IF($H14631="REFORMING","Reformer",""))))</f>
        <v/>
      </c>
    </row>
    <row r="14632" spans="6:7">
      <c r="F14632" s="6">
        <f>IF($M14632="PADD I","PADD 1",IF($M14632="PADD II","PADD 2",IF($M14632="PADD III","PADD 3",IF($M14632="PADD IV","PADD 4",IF($M14632="PADD V","PADD 5","")))))</f>
        <v/>
      </c>
      <c r="G14632" s="6">
        <f>IF(AND($H14632="ATMOS DISTILLATION",ISNUMBER(SEARCH("VPS",$I14632))=FALSE,LEFT($I14632,6)&lt;&gt;"VACUUM"),"CDU",IF($H14632="FLUID CAT CRACKING","FCC",IF(OR($H14632="HYDROCRACKING",$H14632="RESID_HYDROCRACKING"),"Hydrocracker",IF($H14632="REFORMING","Reformer",""))))</f>
        <v/>
      </c>
    </row>
    <row r="14633" spans="6:7">
      <c r="F14633" s="6">
        <f>IF($M14633="PADD I","PADD 1",IF($M14633="PADD II","PADD 2",IF($M14633="PADD III","PADD 3",IF($M14633="PADD IV","PADD 4",IF($M14633="PADD V","PADD 5","")))))</f>
        <v/>
      </c>
      <c r="G14633" s="6">
        <f>IF(AND($H14633="ATMOS DISTILLATION",ISNUMBER(SEARCH("VPS",$I14633))=FALSE,LEFT($I14633,6)&lt;&gt;"VACUUM"),"CDU",IF($H14633="FLUID CAT CRACKING","FCC",IF(OR($H14633="HYDROCRACKING",$H14633="RESID_HYDROCRACKING"),"Hydrocracker",IF($H14633="REFORMING","Reformer",""))))</f>
        <v/>
      </c>
    </row>
    <row r="14634" spans="6:7">
      <c r="F14634" s="6">
        <f>IF($M14634="PADD I","PADD 1",IF($M14634="PADD II","PADD 2",IF($M14634="PADD III","PADD 3",IF($M14634="PADD IV","PADD 4",IF($M14634="PADD V","PADD 5","")))))</f>
        <v/>
      </c>
      <c r="G14634" s="6">
        <f>IF(AND($H14634="ATMOS DISTILLATION",ISNUMBER(SEARCH("VPS",$I14634))=FALSE,LEFT($I14634,6)&lt;&gt;"VACUUM"),"CDU",IF($H14634="FLUID CAT CRACKING","FCC",IF(OR($H14634="HYDROCRACKING",$H14634="RESID_HYDROCRACKING"),"Hydrocracker",IF($H14634="REFORMING","Reformer",""))))</f>
        <v/>
      </c>
    </row>
    <row r="14635" spans="6:7">
      <c r="F14635" s="6">
        <f>IF($M14635="PADD I","PADD 1",IF($M14635="PADD II","PADD 2",IF($M14635="PADD III","PADD 3",IF($M14635="PADD IV","PADD 4",IF($M14635="PADD V","PADD 5","")))))</f>
        <v/>
      </c>
      <c r="G14635" s="6">
        <f>IF(AND($H14635="ATMOS DISTILLATION",ISNUMBER(SEARCH("VPS",$I14635))=FALSE,LEFT($I14635,6)&lt;&gt;"VACUUM"),"CDU",IF($H14635="FLUID CAT CRACKING","FCC",IF(OR($H14635="HYDROCRACKING",$H14635="RESID_HYDROCRACKING"),"Hydrocracker",IF($H14635="REFORMING","Reformer",""))))</f>
        <v/>
      </c>
    </row>
    <row r="14636" spans="6:7">
      <c r="F14636" s="6">
        <f>IF($M14636="PADD I","PADD 1",IF($M14636="PADD II","PADD 2",IF($M14636="PADD III","PADD 3",IF($M14636="PADD IV","PADD 4",IF($M14636="PADD V","PADD 5","")))))</f>
        <v/>
      </c>
      <c r="G14636" s="6">
        <f>IF(AND($H14636="ATMOS DISTILLATION",ISNUMBER(SEARCH("VPS",$I14636))=FALSE,LEFT($I14636,6)&lt;&gt;"VACUUM"),"CDU",IF($H14636="FLUID CAT CRACKING","FCC",IF(OR($H14636="HYDROCRACKING",$H14636="RESID_HYDROCRACKING"),"Hydrocracker",IF($H14636="REFORMING","Reformer",""))))</f>
        <v/>
      </c>
    </row>
    <row r="14637" spans="6:7">
      <c r="F14637" s="6">
        <f>IF($M14637="PADD I","PADD 1",IF($M14637="PADD II","PADD 2",IF($M14637="PADD III","PADD 3",IF($M14637="PADD IV","PADD 4",IF($M14637="PADD V","PADD 5","")))))</f>
        <v/>
      </c>
      <c r="G14637" s="6">
        <f>IF(AND($H14637="ATMOS DISTILLATION",ISNUMBER(SEARCH("VPS",$I14637))=FALSE,LEFT($I14637,6)&lt;&gt;"VACUUM"),"CDU",IF($H14637="FLUID CAT CRACKING","FCC",IF(OR($H14637="HYDROCRACKING",$H14637="RESID_HYDROCRACKING"),"Hydrocracker",IF($H14637="REFORMING","Reformer",""))))</f>
        <v/>
      </c>
    </row>
    <row r="14638" spans="6:7">
      <c r="F14638" s="6">
        <f>IF($M14638="PADD I","PADD 1",IF($M14638="PADD II","PADD 2",IF($M14638="PADD III","PADD 3",IF($M14638="PADD IV","PADD 4",IF($M14638="PADD V","PADD 5","")))))</f>
        <v/>
      </c>
      <c r="G14638" s="6">
        <f>IF(AND($H14638="ATMOS DISTILLATION",ISNUMBER(SEARCH("VPS",$I14638))=FALSE,LEFT($I14638,6)&lt;&gt;"VACUUM"),"CDU",IF($H14638="FLUID CAT CRACKING","FCC",IF(OR($H14638="HYDROCRACKING",$H14638="RESID_HYDROCRACKING"),"Hydrocracker",IF($H14638="REFORMING","Reformer",""))))</f>
        <v/>
      </c>
    </row>
    <row r="14639" spans="6:7">
      <c r="F14639" s="6">
        <f>IF($M14639="PADD I","PADD 1",IF($M14639="PADD II","PADD 2",IF($M14639="PADD III","PADD 3",IF($M14639="PADD IV","PADD 4",IF($M14639="PADD V","PADD 5","")))))</f>
        <v/>
      </c>
      <c r="G14639" s="6">
        <f>IF(AND($H14639="ATMOS DISTILLATION",ISNUMBER(SEARCH("VPS",$I14639))=FALSE,LEFT($I14639,6)&lt;&gt;"VACUUM"),"CDU",IF($H14639="FLUID CAT CRACKING","FCC",IF(OR($H14639="HYDROCRACKING",$H14639="RESID_HYDROCRACKING"),"Hydrocracker",IF($H14639="REFORMING","Reformer",""))))</f>
        <v/>
      </c>
    </row>
    <row r="14640" spans="6:7">
      <c r="F14640" s="6">
        <f>IF($M14640="PADD I","PADD 1",IF($M14640="PADD II","PADD 2",IF($M14640="PADD III","PADD 3",IF($M14640="PADD IV","PADD 4",IF($M14640="PADD V","PADD 5","")))))</f>
        <v/>
      </c>
      <c r="G14640" s="6">
        <f>IF(AND($H14640="ATMOS DISTILLATION",ISNUMBER(SEARCH("VPS",$I14640))=FALSE,LEFT($I14640,6)&lt;&gt;"VACUUM"),"CDU",IF($H14640="FLUID CAT CRACKING","FCC",IF(OR($H14640="HYDROCRACKING",$H14640="RESID_HYDROCRACKING"),"Hydrocracker",IF($H14640="REFORMING","Reformer",""))))</f>
        <v/>
      </c>
    </row>
    <row r="14641" spans="6:7">
      <c r="F14641" s="6">
        <f>IF($M14641="PADD I","PADD 1",IF($M14641="PADD II","PADD 2",IF($M14641="PADD III","PADD 3",IF($M14641="PADD IV","PADD 4",IF($M14641="PADD V","PADD 5","")))))</f>
        <v/>
      </c>
      <c r="G14641" s="6">
        <f>IF(AND($H14641="ATMOS DISTILLATION",ISNUMBER(SEARCH("VPS",$I14641))=FALSE,LEFT($I14641,6)&lt;&gt;"VACUUM"),"CDU",IF($H14641="FLUID CAT CRACKING","FCC",IF(OR($H14641="HYDROCRACKING",$H14641="RESID_HYDROCRACKING"),"Hydrocracker",IF($H14641="REFORMING","Reformer",""))))</f>
        <v/>
      </c>
    </row>
    <row r="14642" spans="6:7">
      <c r="F14642" s="6">
        <f>IF($M14642="PADD I","PADD 1",IF($M14642="PADD II","PADD 2",IF($M14642="PADD III","PADD 3",IF($M14642="PADD IV","PADD 4",IF($M14642="PADD V","PADD 5","")))))</f>
        <v/>
      </c>
      <c r="G14642" s="6">
        <f>IF(AND($H14642="ATMOS DISTILLATION",ISNUMBER(SEARCH("VPS",$I14642))=FALSE,LEFT($I14642,6)&lt;&gt;"VACUUM"),"CDU",IF($H14642="FLUID CAT CRACKING","FCC",IF(OR($H14642="HYDROCRACKING",$H14642="RESID_HYDROCRACKING"),"Hydrocracker",IF($H14642="REFORMING","Reformer",""))))</f>
        <v/>
      </c>
    </row>
    <row r="14643" spans="6:7">
      <c r="F14643" s="6">
        <f>IF($M14643="PADD I","PADD 1",IF($M14643="PADD II","PADD 2",IF($M14643="PADD III","PADD 3",IF($M14643="PADD IV","PADD 4",IF($M14643="PADD V","PADD 5","")))))</f>
        <v/>
      </c>
      <c r="G14643" s="6">
        <f>IF(AND($H14643="ATMOS DISTILLATION",ISNUMBER(SEARCH("VPS",$I14643))=FALSE,LEFT($I14643,6)&lt;&gt;"VACUUM"),"CDU",IF($H14643="FLUID CAT CRACKING","FCC",IF(OR($H14643="HYDROCRACKING",$H14643="RESID_HYDROCRACKING"),"Hydrocracker",IF($H14643="REFORMING","Reformer",""))))</f>
        <v/>
      </c>
    </row>
    <row r="14644" spans="6:7">
      <c r="F14644" s="6">
        <f>IF($M14644="PADD I","PADD 1",IF($M14644="PADD II","PADD 2",IF($M14644="PADD III","PADD 3",IF($M14644="PADD IV","PADD 4",IF($M14644="PADD V","PADD 5","")))))</f>
        <v/>
      </c>
      <c r="G14644" s="6">
        <f>IF(AND($H14644="ATMOS DISTILLATION",ISNUMBER(SEARCH("VPS",$I14644))=FALSE,LEFT($I14644,6)&lt;&gt;"VACUUM"),"CDU",IF($H14644="FLUID CAT CRACKING","FCC",IF(OR($H14644="HYDROCRACKING",$H14644="RESID_HYDROCRACKING"),"Hydrocracker",IF($H14644="REFORMING","Reformer",""))))</f>
        <v/>
      </c>
    </row>
    <row r="14645" spans="6:7">
      <c r="F14645" s="6">
        <f>IF($M14645="PADD I","PADD 1",IF($M14645="PADD II","PADD 2",IF($M14645="PADD III","PADD 3",IF($M14645="PADD IV","PADD 4",IF($M14645="PADD V","PADD 5","")))))</f>
        <v/>
      </c>
      <c r="G14645" s="6">
        <f>IF(AND($H14645="ATMOS DISTILLATION",ISNUMBER(SEARCH("VPS",$I14645))=FALSE,LEFT($I14645,6)&lt;&gt;"VACUUM"),"CDU",IF($H14645="FLUID CAT CRACKING","FCC",IF(OR($H14645="HYDROCRACKING",$H14645="RESID_HYDROCRACKING"),"Hydrocracker",IF($H14645="REFORMING","Reformer",""))))</f>
        <v/>
      </c>
    </row>
    <row r="14646" spans="6:7">
      <c r="F14646" s="6">
        <f>IF($M14646="PADD I","PADD 1",IF($M14646="PADD II","PADD 2",IF($M14646="PADD III","PADD 3",IF($M14646="PADD IV","PADD 4",IF($M14646="PADD V","PADD 5","")))))</f>
        <v/>
      </c>
      <c r="G14646" s="6">
        <f>IF(AND($H14646="ATMOS DISTILLATION",ISNUMBER(SEARCH("VPS",$I14646))=FALSE,LEFT($I14646,6)&lt;&gt;"VACUUM"),"CDU",IF($H14646="FLUID CAT CRACKING","FCC",IF(OR($H14646="HYDROCRACKING",$H14646="RESID_HYDROCRACKING"),"Hydrocracker",IF($H14646="REFORMING","Reformer",""))))</f>
        <v/>
      </c>
    </row>
    <row r="14647" spans="6:7">
      <c r="F14647" s="6">
        <f>IF($M14647="PADD I","PADD 1",IF($M14647="PADD II","PADD 2",IF($M14647="PADD III","PADD 3",IF($M14647="PADD IV","PADD 4",IF($M14647="PADD V","PADD 5","")))))</f>
        <v/>
      </c>
      <c r="G14647" s="6">
        <f>IF(AND($H14647="ATMOS DISTILLATION",ISNUMBER(SEARCH("VPS",$I14647))=FALSE,LEFT($I14647,6)&lt;&gt;"VACUUM"),"CDU",IF($H14647="FLUID CAT CRACKING","FCC",IF(OR($H14647="HYDROCRACKING",$H14647="RESID_HYDROCRACKING"),"Hydrocracker",IF($H14647="REFORMING","Reformer",""))))</f>
        <v/>
      </c>
    </row>
    <row r="14648" spans="6:7">
      <c r="F14648" s="6">
        <f>IF($M14648="PADD I","PADD 1",IF($M14648="PADD II","PADD 2",IF($M14648="PADD III","PADD 3",IF($M14648="PADD IV","PADD 4",IF($M14648="PADD V","PADD 5","")))))</f>
        <v/>
      </c>
      <c r="G14648" s="6">
        <f>IF(AND($H14648="ATMOS DISTILLATION",ISNUMBER(SEARCH("VPS",$I14648))=FALSE,LEFT($I14648,6)&lt;&gt;"VACUUM"),"CDU",IF($H14648="FLUID CAT CRACKING","FCC",IF(OR($H14648="HYDROCRACKING",$H14648="RESID_HYDROCRACKING"),"Hydrocracker",IF($H14648="REFORMING","Reformer",""))))</f>
        <v/>
      </c>
    </row>
    <row r="14649" spans="6:7">
      <c r="F14649" s="6">
        <f>IF($M14649="PADD I","PADD 1",IF($M14649="PADD II","PADD 2",IF($M14649="PADD III","PADD 3",IF($M14649="PADD IV","PADD 4",IF($M14649="PADD V","PADD 5","")))))</f>
        <v/>
      </c>
      <c r="G14649" s="6">
        <f>IF(AND($H14649="ATMOS DISTILLATION",ISNUMBER(SEARCH("VPS",$I14649))=FALSE,LEFT($I14649,6)&lt;&gt;"VACUUM"),"CDU",IF($H14649="FLUID CAT CRACKING","FCC",IF(OR($H14649="HYDROCRACKING",$H14649="RESID_HYDROCRACKING"),"Hydrocracker",IF($H14649="REFORMING","Reformer",""))))</f>
        <v/>
      </c>
    </row>
    <row r="14650" spans="6:7">
      <c r="F14650" s="6">
        <f>IF($M14650="PADD I","PADD 1",IF($M14650="PADD II","PADD 2",IF($M14650="PADD III","PADD 3",IF($M14650="PADD IV","PADD 4",IF($M14650="PADD V","PADD 5","")))))</f>
        <v/>
      </c>
      <c r="G14650" s="6">
        <f>IF(AND($H14650="ATMOS DISTILLATION",ISNUMBER(SEARCH("VPS",$I14650))=FALSE,LEFT($I14650,6)&lt;&gt;"VACUUM"),"CDU",IF($H14650="FLUID CAT CRACKING","FCC",IF(OR($H14650="HYDROCRACKING",$H14650="RESID_HYDROCRACKING"),"Hydrocracker",IF($H14650="REFORMING","Reformer",""))))</f>
        <v/>
      </c>
    </row>
    <row r="14651" spans="6:7">
      <c r="F14651" s="6">
        <f>IF($M14651="PADD I","PADD 1",IF($M14651="PADD II","PADD 2",IF($M14651="PADD III","PADD 3",IF($M14651="PADD IV","PADD 4",IF($M14651="PADD V","PADD 5","")))))</f>
        <v/>
      </c>
      <c r="G14651" s="6">
        <f>IF(AND($H14651="ATMOS DISTILLATION",ISNUMBER(SEARCH("VPS",$I14651))=FALSE,LEFT($I14651,6)&lt;&gt;"VACUUM"),"CDU",IF($H14651="FLUID CAT CRACKING","FCC",IF(OR($H14651="HYDROCRACKING",$H14651="RESID_HYDROCRACKING"),"Hydrocracker",IF($H14651="REFORMING","Reformer",""))))</f>
        <v/>
      </c>
    </row>
    <row r="14652" spans="6:7">
      <c r="F14652" s="6">
        <f>IF($M14652="PADD I","PADD 1",IF($M14652="PADD II","PADD 2",IF($M14652="PADD III","PADD 3",IF($M14652="PADD IV","PADD 4",IF($M14652="PADD V","PADD 5","")))))</f>
        <v/>
      </c>
      <c r="G14652" s="6">
        <f>IF(AND($H14652="ATMOS DISTILLATION",ISNUMBER(SEARCH("VPS",$I14652))=FALSE,LEFT($I14652,6)&lt;&gt;"VACUUM"),"CDU",IF($H14652="FLUID CAT CRACKING","FCC",IF(OR($H14652="HYDROCRACKING",$H14652="RESID_HYDROCRACKING"),"Hydrocracker",IF($H14652="REFORMING","Reformer",""))))</f>
        <v/>
      </c>
    </row>
    <row r="14653" spans="6:7">
      <c r="F14653" s="6">
        <f>IF($M14653="PADD I","PADD 1",IF($M14653="PADD II","PADD 2",IF($M14653="PADD III","PADD 3",IF($M14653="PADD IV","PADD 4",IF($M14653="PADD V","PADD 5","")))))</f>
        <v/>
      </c>
      <c r="G14653" s="6">
        <f>IF(AND($H14653="ATMOS DISTILLATION",ISNUMBER(SEARCH("VPS",$I14653))=FALSE,LEFT($I14653,6)&lt;&gt;"VACUUM"),"CDU",IF($H14653="FLUID CAT CRACKING","FCC",IF(OR($H14653="HYDROCRACKING",$H14653="RESID_HYDROCRACKING"),"Hydrocracker",IF($H14653="REFORMING","Reformer",""))))</f>
        <v/>
      </c>
    </row>
    <row r="14654" spans="6:7">
      <c r="F14654" s="6">
        <f>IF($M14654="PADD I","PADD 1",IF($M14654="PADD II","PADD 2",IF($M14654="PADD III","PADD 3",IF($M14654="PADD IV","PADD 4",IF($M14654="PADD V","PADD 5","")))))</f>
        <v/>
      </c>
      <c r="G14654" s="6">
        <f>IF(AND($H14654="ATMOS DISTILLATION",ISNUMBER(SEARCH("VPS",$I14654))=FALSE,LEFT($I14654,6)&lt;&gt;"VACUUM"),"CDU",IF($H14654="FLUID CAT CRACKING","FCC",IF(OR($H14654="HYDROCRACKING",$H14654="RESID_HYDROCRACKING"),"Hydrocracker",IF($H14654="REFORMING","Reformer",""))))</f>
        <v/>
      </c>
    </row>
    <row r="14655" spans="6:7">
      <c r="F14655" s="6">
        <f>IF($M14655="PADD I","PADD 1",IF($M14655="PADD II","PADD 2",IF($M14655="PADD III","PADD 3",IF($M14655="PADD IV","PADD 4",IF($M14655="PADD V","PADD 5","")))))</f>
        <v/>
      </c>
      <c r="G14655" s="6">
        <f>IF(AND($H14655="ATMOS DISTILLATION",ISNUMBER(SEARCH("VPS",$I14655))=FALSE,LEFT($I14655,6)&lt;&gt;"VACUUM"),"CDU",IF($H14655="FLUID CAT CRACKING","FCC",IF(OR($H14655="HYDROCRACKING",$H14655="RESID_HYDROCRACKING"),"Hydrocracker",IF($H14655="REFORMING","Reformer",""))))</f>
        <v/>
      </c>
    </row>
    <row r="14656" spans="6:7">
      <c r="F14656" s="6">
        <f>IF($M14656="PADD I","PADD 1",IF($M14656="PADD II","PADD 2",IF($M14656="PADD III","PADD 3",IF($M14656="PADD IV","PADD 4",IF($M14656="PADD V","PADD 5","")))))</f>
        <v/>
      </c>
      <c r="G14656" s="6">
        <f>IF(AND($H14656="ATMOS DISTILLATION",ISNUMBER(SEARCH("VPS",$I14656))=FALSE,LEFT($I14656,6)&lt;&gt;"VACUUM"),"CDU",IF($H14656="FLUID CAT CRACKING","FCC",IF(OR($H14656="HYDROCRACKING",$H14656="RESID_HYDROCRACKING"),"Hydrocracker",IF($H14656="REFORMING","Reformer",""))))</f>
        <v/>
      </c>
    </row>
    <row r="14657" spans="6:7">
      <c r="F14657" s="6">
        <f>IF($M14657="PADD I","PADD 1",IF($M14657="PADD II","PADD 2",IF($M14657="PADD III","PADD 3",IF($M14657="PADD IV","PADD 4",IF($M14657="PADD V","PADD 5","")))))</f>
        <v/>
      </c>
      <c r="G14657" s="6">
        <f>IF(AND($H14657="ATMOS DISTILLATION",ISNUMBER(SEARCH("VPS",$I14657))=FALSE,LEFT($I14657,6)&lt;&gt;"VACUUM"),"CDU",IF($H14657="FLUID CAT CRACKING","FCC",IF(OR($H14657="HYDROCRACKING",$H14657="RESID_HYDROCRACKING"),"Hydrocracker",IF($H14657="REFORMING","Reformer",""))))</f>
        <v/>
      </c>
    </row>
    <row r="14658" spans="6:7">
      <c r="F14658" s="6">
        <f>IF($M14658="PADD I","PADD 1",IF($M14658="PADD II","PADD 2",IF($M14658="PADD III","PADD 3",IF($M14658="PADD IV","PADD 4",IF($M14658="PADD V","PADD 5","")))))</f>
        <v/>
      </c>
      <c r="G14658" s="6">
        <f>IF(AND($H14658="ATMOS DISTILLATION",ISNUMBER(SEARCH("VPS",$I14658))=FALSE,LEFT($I14658,6)&lt;&gt;"VACUUM"),"CDU",IF($H14658="FLUID CAT CRACKING","FCC",IF(OR($H14658="HYDROCRACKING",$H14658="RESID_HYDROCRACKING"),"Hydrocracker",IF($H14658="REFORMING","Reformer",""))))</f>
        <v/>
      </c>
    </row>
    <row r="14659" spans="6:7">
      <c r="F14659" s="6">
        <f>IF($M14659="PADD I","PADD 1",IF($M14659="PADD II","PADD 2",IF($M14659="PADD III","PADD 3",IF($M14659="PADD IV","PADD 4",IF($M14659="PADD V","PADD 5","")))))</f>
        <v/>
      </c>
      <c r="G14659" s="6">
        <f>IF(AND($H14659="ATMOS DISTILLATION",ISNUMBER(SEARCH("VPS",$I14659))=FALSE,LEFT($I14659,6)&lt;&gt;"VACUUM"),"CDU",IF($H14659="FLUID CAT CRACKING","FCC",IF(OR($H14659="HYDROCRACKING",$H14659="RESID_HYDROCRACKING"),"Hydrocracker",IF($H14659="REFORMING","Reformer",""))))</f>
        <v/>
      </c>
    </row>
    <row r="14660" spans="6:7">
      <c r="F14660" s="6">
        <f>IF($M14660="PADD I","PADD 1",IF($M14660="PADD II","PADD 2",IF($M14660="PADD III","PADD 3",IF($M14660="PADD IV","PADD 4",IF($M14660="PADD V","PADD 5","")))))</f>
        <v/>
      </c>
      <c r="G14660" s="6">
        <f>IF(AND($H14660="ATMOS DISTILLATION",ISNUMBER(SEARCH("VPS",$I14660))=FALSE,LEFT($I14660,6)&lt;&gt;"VACUUM"),"CDU",IF($H14660="FLUID CAT CRACKING","FCC",IF(OR($H14660="HYDROCRACKING",$H14660="RESID_HYDROCRACKING"),"Hydrocracker",IF($H14660="REFORMING","Reformer",""))))</f>
        <v/>
      </c>
    </row>
    <row r="14661" spans="6:7">
      <c r="F14661" s="6">
        <f>IF($M14661="PADD I","PADD 1",IF($M14661="PADD II","PADD 2",IF($M14661="PADD III","PADD 3",IF($M14661="PADD IV","PADD 4",IF($M14661="PADD V","PADD 5","")))))</f>
        <v/>
      </c>
      <c r="G14661" s="6">
        <f>IF(AND($H14661="ATMOS DISTILLATION",ISNUMBER(SEARCH("VPS",$I14661))=FALSE,LEFT($I14661,6)&lt;&gt;"VACUUM"),"CDU",IF($H14661="FLUID CAT CRACKING","FCC",IF(OR($H14661="HYDROCRACKING",$H14661="RESID_HYDROCRACKING"),"Hydrocracker",IF($H14661="REFORMING","Reformer",""))))</f>
        <v/>
      </c>
    </row>
    <row r="14662" spans="6:7">
      <c r="F14662" s="6">
        <f>IF($M14662="PADD I","PADD 1",IF($M14662="PADD II","PADD 2",IF($M14662="PADD III","PADD 3",IF($M14662="PADD IV","PADD 4",IF($M14662="PADD V","PADD 5","")))))</f>
        <v/>
      </c>
      <c r="G14662" s="6">
        <f>IF(AND($H14662="ATMOS DISTILLATION",ISNUMBER(SEARCH("VPS",$I14662))=FALSE,LEFT($I14662,6)&lt;&gt;"VACUUM"),"CDU",IF($H14662="FLUID CAT CRACKING","FCC",IF(OR($H14662="HYDROCRACKING",$H14662="RESID_HYDROCRACKING"),"Hydrocracker",IF($H14662="REFORMING","Reformer",""))))</f>
        <v/>
      </c>
    </row>
    <row r="14663" spans="6:7">
      <c r="F14663" s="6">
        <f>IF($M14663="PADD I","PADD 1",IF($M14663="PADD II","PADD 2",IF($M14663="PADD III","PADD 3",IF($M14663="PADD IV","PADD 4",IF($M14663="PADD V","PADD 5","")))))</f>
        <v/>
      </c>
      <c r="G14663" s="6">
        <f>IF(AND($H14663="ATMOS DISTILLATION",ISNUMBER(SEARCH("VPS",$I14663))=FALSE,LEFT($I14663,6)&lt;&gt;"VACUUM"),"CDU",IF($H14663="FLUID CAT CRACKING","FCC",IF(OR($H14663="HYDROCRACKING",$H14663="RESID_HYDROCRACKING"),"Hydrocracker",IF($H14663="REFORMING","Reformer",""))))</f>
        <v/>
      </c>
    </row>
    <row r="14664" spans="6:7">
      <c r="F14664" s="6">
        <f>IF($M14664="PADD I","PADD 1",IF($M14664="PADD II","PADD 2",IF($M14664="PADD III","PADD 3",IF($M14664="PADD IV","PADD 4",IF($M14664="PADD V","PADD 5","")))))</f>
        <v/>
      </c>
      <c r="G14664" s="6">
        <f>IF(AND($H14664="ATMOS DISTILLATION",ISNUMBER(SEARCH("VPS",$I14664))=FALSE,LEFT($I14664,6)&lt;&gt;"VACUUM"),"CDU",IF($H14664="FLUID CAT CRACKING","FCC",IF(OR($H14664="HYDROCRACKING",$H14664="RESID_HYDROCRACKING"),"Hydrocracker",IF($H14664="REFORMING","Reformer",""))))</f>
        <v/>
      </c>
    </row>
    <row r="14665" spans="6:7">
      <c r="F14665" s="6">
        <f>IF($M14665="PADD I","PADD 1",IF($M14665="PADD II","PADD 2",IF($M14665="PADD III","PADD 3",IF($M14665="PADD IV","PADD 4",IF($M14665="PADD V","PADD 5","")))))</f>
        <v/>
      </c>
      <c r="G14665" s="6">
        <f>IF(AND($H14665="ATMOS DISTILLATION",ISNUMBER(SEARCH("VPS",$I14665))=FALSE,LEFT($I14665,6)&lt;&gt;"VACUUM"),"CDU",IF($H14665="FLUID CAT CRACKING","FCC",IF(OR($H14665="HYDROCRACKING",$H14665="RESID_HYDROCRACKING"),"Hydrocracker",IF($H14665="REFORMING","Reformer",""))))</f>
        <v/>
      </c>
    </row>
    <row r="14666" spans="6:7">
      <c r="F14666" s="6">
        <f>IF($M14666="PADD I","PADD 1",IF($M14666="PADD II","PADD 2",IF($M14666="PADD III","PADD 3",IF($M14666="PADD IV","PADD 4",IF($M14666="PADD V","PADD 5","")))))</f>
        <v/>
      </c>
      <c r="G14666" s="6">
        <f>IF(AND($H14666="ATMOS DISTILLATION",ISNUMBER(SEARCH("VPS",$I14666))=FALSE,LEFT($I14666,6)&lt;&gt;"VACUUM"),"CDU",IF($H14666="FLUID CAT CRACKING","FCC",IF(OR($H14666="HYDROCRACKING",$H14666="RESID_HYDROCRACKING"),"Hydrocracker",IF($H14666="REFORMING","Reformer",""))))</f>
        <v/>
      </c>
    </row>
    <row r="14667" spans="6:7">
      <c r="F14667" s="6">
        <f>IF($M14667="PADD I","PADD 1",IF($M14667="PADD II","PADD 2",IF($M14667="PADD III","PADD 3",IF($M14667="PADD IV","PADD 4",IF($M14667="PADD V","PADD 5","")))))</f>
        <v/>
      </c>
      <c r="G14667" s="6">
        <f>IF(AND($H14667="ATMOS DISTILLATION",ISNUMBER(SEARCH("VPS",$I14667))=FALSE,LEFT($I14667,6)&lt;&gt;"VACUUM"),"CDU",IF($H14667="FLUID CAT CRACKING","FCC",IF(OR($H14667="HYDROCRACKING",$H14667="RESID_HYDROCRACKING"),"Hydrocracker",IF($H14667="REFORMING","Reformer",""))))</f>
        <v/>
      </c>
    </row>
    <row r="14668" spans="6:7">
      <c r="F14668" s="6">
        <f>IF($M14668="PADD I","PADD 1",IF($M14668="PADD II","PADD 2",IF($M14668="PADD III","PADD 3",IF($M14668="PADD IV","PADD 4",IF($M14668="PADD V","PADD 5","")))))</f>
        <v/>
      </c>
      <c r="G14668" s="6">
        <f>IF(AND($H14668="ATMOS DISTILLATION",ISNUMBER(SEARCH("VPS",$I14668))=FALSE,LEFT($I14668,6)&lt;&gt;"VACUUM"),"CDU",IF($H14668="FLUID CAT CRACKING","FCC",IF(OR($H14668="HYDROCRACKING",$H14668="RESID_HYDROCRACKING"),"Hydrocracker",IF($H14668="REFORMING","Reformer",""))))</f>
        <v/>
      </c>
    </row>
    <row r="14669" spans="6:7">
      <c r="F14669" s="6">
        <f>IF($M14669="PADD I","PADD 1",IF($M14669="PADD II","PADD 2",IF($M14669="PADD III","PADD 3",IF($M14669="PADD IV","PADD 4",IF($M14669="PADD V","PADD 5","")))))</f>
        <v/>
      </c>
      <c r="G14669" s="6">
        <f>IF(AND($H14669="ATMOS DISTILLATION",ISNUMBER(SEARCH("VPS",$I14669))=FALSE,LEFT($I14669,6)&lt;&gt;"VACUUM"),"CDU",IF($H14669="FLUID CAT CRACKING","FCC",IF(OR($H14669="HYDROCRACKING",$H14669="RESID_HYDROCRACKING"),"Hydrocracker",IF($H14669="REFORMING","Reformer",""))))</f>
        <v/>
      </c>
    </row>
    <row r="14670" spans="6:7">
      <c r="F14670" s="6">
        <f>IF($M14670="PADD I","PADD 1",IF($M14670="PADD II","PADD 2",IF($M14670="PADD III","PADD 3",IF($M14670="PADD IV","PADD 4",IF($M14670="PADD V","PADD 5","")))))</f>
        <v/>
      </c>
      <c r="G14670" s="6">
        <f>IF(AND($H14670="ATMOS DISTILLATION",ISNUMBER(SEARCH("VPS",$I14670))=FALSE,LEFT($I14670,6)&lt;&gt;"VACUUM"),"CDU",IF($H14670="FLUID CAT CRACKING","FCC",IF(OR($H14670="HYDROCRACKING",$H14670="RESID_HYDROCRACKING"),"Hydrocracker",IF($H14670="REFORMING","Reformer",""))))</f>
        <v/>
      </c>
    </row>
    <row r="14671" spans="6:7">
      <c r="F14671" s="6">
        <f>IF($M14671="PADD I","PADD 1",IF($M14671="PADD II","PADD 2",IF($M14671="PADD III","PADD 3",IF($M14671="PADD IV","PADD 4",IF($M14671="PADD V","PADD 5","")))))</f>
        <v/>
      </c>
      <c r="G14671" s="6">
        <f>IF(AND($H14671="ATMOS DISTILLATION",ISNUMBER(SEARCH("VPS",$I14671))=FALSE,LEFT($I14671,6)&lt;&gt;"VACUUM"),"CDU",IF($H14671="FLUID CAT CRACKING","FCC",IF(OR($H14671="HYDROCRACKING",$H14671="RESID_HYDROCRACKING"),"Hydrocracker",IF($H14671="REFORMING","Reformer",""))))</f>
        <v/>
      </c>
    </row>
    <row r="14672" spans="6:7">
      <c r="F14672" s="6">
        <f>IF($M14672="PADD I","PADD 1",IF($M14672="PADD II","PADD 2",IF($M14672="PADD III","PADD 3",IF($M14672="PADD IV","PADD 4",IF($M14672="PADD V","PADD 5","")))))</f>
        <v/>
      </c>
      <c r="G14672" s="6">
        <f>IF(AND($H14672="ATMOS DISTILLATION",ISNUMBER(SEARCH("VPS",$I14672))=FALSE,LEFT($I14672,6)&lt;&gt;"VACUUM"),"CDU",IF($H14672="FLUID CAT CRACKING","FCC",IF(OR($H14672="HYDROCRACKING",$H14672="RESID_HYDROCRACKING"),"Hydrocracker",IF($H14672="REFORMING","Reformer",""))))</f>
        <v/>
      </c>
    </row>
    <row r="14673" spans="6:7">
      <c r="F14673" s="6">
        <f>IF($M14673="PADD I","PADD 1",IF($M14673="PADD II","PADD 2",IF($M14673="PADD III","PADD 3",IF($M14673="PADD IV","PADD 4",IF($M14673="PADD V","PADD 5","")))))</f>
        <v/>
      </c>
      <c r="G14673" s="6">
        <f>IF(AND($H14673="ATMOS DISTILLATION",ISNUMBER(SEARCH("VPS",$I14673))=FALSE,LEFT($I14673,6)&lt;&gt;"VACUUM"),"CDU",IF($H14673="FLUID CAT CRACKING","FCC",IF(OR($H14673="HYDROCRACKING",$H14673="RESID_HYDROCRACKING"),"Hydrocracker",IF($H14673="REFORMING","Reformer",""))))</f>
        <v/>
      </c>
    </row>
    <row r="14674" spans="6:7">
      <c r="F14674" s="6">
        <f>IF($M14674="PADD I","PADD 1",IF($M14674="PADD II","PADD 2",IF($M14674="PADD III","PADD 3",IF($M14674="PADD IV","PADD 4",IF($M14674="PADD V","PADD 5","")))))</f>
        <v/>
      </c>
      <c r="G14674" s="6">
        <f>IF(AND($H14674="ATMOS DISTILLATION",ISNUMBER(SEARCH("VPS",$I14674))=FALSE,LEFT($I14674,6)&lt;&gt;"VACUUM"),"CDU",IF($H14674="FLUID CAT CRACKING","FCC",IF(OR($H14674="HYDROCRACKING",$H14674="RESID_HYDROCRACKING"),"Hydrocracker",IF($H14674="REFORMING","Reformer",""))))</f>
        <v/>
      </c>
    </row>
    <row r="14675" spans="6:7">
      <c r="F14675" s="6">
        <f>IF($M14675="PADD I","PADD 1",IF($M14675="PADD II","PADD 2",IF($M14675="PADD III","PADD 3",IF($M14675="PADD IV","PADD 4",IF($M14675="PADD V","PADD 5","")))))</f>
        <v/>
      </c>
      <c r="G14675" s="6">
        <f>IF(AND($H14675="ATMOS DISTILLATION",ISNUMBER(SEARCH("VPS",$I14675))=FALSE,LEFT($I14675,6)&lt;&gt;"VACUUM"),"CDU",IF($H14675="FLUID CAT CRACKING","FCC",IF(OR($H14675="HYDROCRACKING",$H14675="RESID_HYDROCRACKING"),"Hydrocracker",IF($H14675="REFORMING","Reformer",""))))</f>
        <v/>
      </c>
    </row>
    <row r="14676" spans="6:7">
      <c r="F14676" s="6">
        <f>IF($M14676="PADD I","PADD 1",IF($M14676="PADD II","PADD 2",IF($M14676="PADD III","PADD 3",IF($M14676="PADD IV","PADD 4",IF($M14676="PADD V","PADD 5","")))))</f>
        <v/>
      </c>
      <c r="G14676" s="6">
        <f>IF(AND($H14676="ATMOS DISTILLATION",ISNUMBER(SEARCH("VPS",$I14676))=FALSE,LEFT($I14676,6)&lt;&gt;"VACUUM"),"CDU",IF($H14676="FLUID CAT CRACKING","FCC",IF(OR($H14676="HYDROCRACKING",$H14676="RESID_HYDROCRACKING"),"Hydrocracker",IF($H14676="REFORMING","Reformer",""))))</f>
        <v/>
      </c>
    </row>
    <row r="14677" spans="6:7">
      <c r="F14677" s="6">
        <f>IF($M14677="PADD I","PADD 1",IF($M14677="PADD II","PADD 2",IF($M14677="PADD III","PADD 3",IF($M14677="PADD IV","PADD 4",IF($M14677="PADD V","PADD 5","")))))</f>
        <v/>
      </c>
      <c r="G14677" s="6">
        <f>IF(AND($H14677="ATMOS DISTILLATION",ISNUMBER(SEARCH("VPS",$I14677))=FALSE,LEFT($I14677,6)&lt;&gt;"VACUUM"),"CDU",IF($H14677="FLUID CAT CRACKING","FCC",IF(OR($H14677="HYDROCRACKING",$H14677="RESID_HYDROCRACKING"),"Hydrocracker",IF($H14677="REFORMING","Reformer",""))))</f>
        <v/>
      </c>
    </row>
    <row r="14678" spans="6:7">
      <c r="F14678" s="6">
        <f>IF($M14678="PADD I","PADD 1",IF($M14678="PADD II","PADD 2",IF($M14678="PADD III","PADD 3",IF($M14678="PADD IV","PADD 4",IF($M14678="PADD V","PADD 5","")))))</f>
        <v/>
      </c>
      <c r="G14678" s="6">
        <f>IF(AND($H14678="ATMOS DISTILLATION",ISNUMBER(SEARCH("VPS",$I14678))=FALSE,LEFT($I14678,6)&lt;&gt;"VACUUM"),"CDU",IF($H14678="FLUID CAT CRACKING","FCC",IF(OR($H14678="HYDROCRACKING",$H14678="RESID_HYDROCRACKING"),"Hydrocracker",IF($H14678="REFORMING","Reformer",""))))</f>
        <v/>
      </c>
    </row>
    <row r="14679" spans="6:7">
      <c r="F14679" s="6">
        <f>IF($M14679="PADD I","PADD 1",IF($M14679="PADD II","PADD 2",IF($M14679="PADD III","PADD 3",IF($M14679="PADD IV","PADD 4",IF($M14679="PADD V","PADD 5","")))))</f>
        <v/>
      </c>
      <c r="G14679" s="6">
        <f>IF(AND($H14679="ATMOS DISTILLATION",ISNUMBER(SEARCH("VPS",$I14679))=FALSE,LEFT($I14679,6)&lt;&gt;"VACUUM"),"CDU",IF($H14679="FLUID CAT CRACKING","FCC",IF(OR($H14679="HYDROCRACKING",$H14679="RESID_HYDROCRACKING"),"Hydrocracker",IF($H14679="REFORMING","Reformer",""))))</f>
        <v/>
      </c>
    </row>
    <row r="14680" spans="6:7">
      <c r="F14680" s="6">
        <f>IF($M14680="PADD I","PADD 1",IF($M14680="PADD II","PADD 2",IF($M14680="PADD III","PADD 3",IF($M14680="PADD IV","PADD 4",IF($M14680="PADD V","PADD 5","")))))</f>
        <v/>
      </c>
      <c r="G14680" s="6">
        <f>IF(AND($H14680="ATMOS DISTILLATION",ISNUMBER(SEARCH("VPS",$I14680))=FALSE,LEFT($I14680,6)&lt;&gt;"VACUUM"),"CDU",IF($H14680="FLUID CAT CRACKING","FCC",IF(OR($H14680="HYDROCRACKING",$H14680="RESID_HYDROCRACKING"),"Hydrocracker",IF($H14680="REFORMING","Reformer",""))))</f>
        <v/>
      </c>
    </row>
    <row r="14681" spans="6:7">
      <c r="F14681" s="6">
        <f>IF($M14681="PADD I","PADD 1",IF($M14681="PADD II","PADD 2",IF($M14681="PADD III","PADD 3",IF($M14681="PADD IV","PADD 4",IF($M14681="PADD V","PADD 5","")))))</f>
        <v/>
      </c>
      <c r="G14681" s="6">
        <f>IF(AND($H14681="ATMOS DISTILLATION",ISNUMBER(SEARCH("VPS",$I14681))=FALSE,LEFT($I14681,6)&lt;&gt;"VACUUM"),"CDU",IF($H14681="FLUID CAT CRACKING","FCC",IF(OR($H14681="HYDROCRACKING",$H14681="RESID_HYDROCRACKING"),"Hydrocracker",IF($H14681="REFORMING","Reformer",""))))</f>
        <v/>
      </c>
    </row>
    <row r="14682" spans="6:7">
      <c r="F14682" s="6">
        <f>IF($M14682="PADD I","PADD 1",IF($M14682="PADD II","PADD 2",IF($M14682="PADD III","PADD 3",IF($M14682="PADD IV","PADD 4",IF($M14682="PADD V","PADD 5","")))))</f>
        <v/>
      </c>
      <c r="G14682" s="6">
        <f>IF(AND($H14682="ATMOS DISTILLATION",ISNUMBER(SEARCH("VPS",$I14682))=FALSE,LEFT($I14682,6)&lt;&gt;"VACUUM"),"CDU",IF($H14682="FLUID CAT CRACKING","FCC",IF(OR($H14682="HYDROCRACKING",$H14682="RESID_HYDROCRACKING"),"Hydrocracker",IF($H14682="REFORMING","Reformer",""))))</f>
        <v/>
      </c>
    </row>
    <row r="14683" spans="6:7">
      <c r="F14683" s="6">
        <f>IF($M14683="PADD I","PADD 1",IF($M14683="PADD II","PADD 2",IF($M14683="PADD III","PADD 3",IF($M14683="PADD IV","PADD 4",IF($M14683="PADD V","PADD 5","")))))</f>
        <v/>
      </c>
      <c r="G14683" s="6">
        <f>IF(AND($H14683="ATMOS DISTILLATION",ISNUMBER(SEARCH("VPS",$I14683))=FALSE,LEFT($I14683,6)&lt;&gt;"VACUUM"),"CDU",IF($H14683="FLUID CAT CRACKING","FCC",IF(OR($H14683="HYDROCRACKING",$H14683="RESID_HYDROCRACKING"),"Hydrocracker",IF($H14683="REFORMING","Reformer",""))))</f>
        <v/>
      </c>
    </row>
    <row r="14684" spans="6:7">
      <c r="F14684" s="6">
        <f>IF($M14684="PADD I","PADD 1",IF($M14684="PADD II","PADD 2",IF($M14684="PADD III","PADD 3",IF($M14684="PADD IV","PADD 4",IF($M14684="PADD V","PADD 5","")))))</f>
        <v/>
      </c>
      <c r="G14684" s="6">
        <f>IF(AND($H14684="ATMOS DISTILLATION",ISNUMBER(SEARCH("VPS",$I14684))=FALSE,LEFT($I14684,6)&lt;&gt;"VACUUM"),"CDU",IF($H14684="FLUID CAT CRACKING","FCC",IF(OR($H14684="HYDROCRACKING",$H14684="RESID_HYDROCRACKING"),"Hydrocracker",IF($H14684="REFORMING","Reformer",""))))</f>
        <v/>
      </c>
    </row>
    <row r="14685" spans="6:7">
      <c r="F14685" s="6">
        <f>IF($M14685="PADD I","PADD 1",IF($M14685="PADD II","PADD 2",IF($M14685="PADD III","PADD 3",IF($M14685="PADD IV","PADD 4",IF($M14685="PADD V","PADD 5","")))))</f>
        <v/>
      </c>
      <c r="G14685" s="6">
        <f>IF(AND($H14685="ATMOS DISTILLATION",ISNUMBER(SEARCH("VPS",$I14685))=FALSE,LEFT($I14685,6)&lt;&gt;"VACUUM"),"CDU",IF($H14685="FLUID CAT CRACKING","FCC",IF(OR($H14685="HYDROCRACKING",$H14685="RESID_HYDROCRACKING"),"Hydrocracker",IF($H14685="REFORMING","Reformer",""))))</f>
        <v/>
      </c>
    </row>
    <row r="14686" spans="6:7">
      <c r="F14686" s="6">
        <f>IF($M14686="PADD I","PADD 1",IF($M14686="PADD II","PADD 2",IF($M14686="PADD III","PADD 3",IF($M14686="PADD IV","PADD 4",IF($M14686="PADD V","PADD 5","")))))</f>
        <v/>
      </c>
      <c r="G14686" s="6">
        <f>IF(AND($H14686="ATMOS DISTILLATION",ISNUMBER(SEARCH("VPS",$I14686))=FALSE,LEFT($I14686,6)&lt;&gt;"VACUUM"),"CDU",IF($H14686="FLUID CAT CRACKING","FCC",IF(OR($H14686="HYDROCRACKING",$H14686="RESID_HYDROCRACKING"),"Hydrocracker",IF($H14686="REFORMING","Reformer",""))))</f>
        <v/>
      </c>
    </row>
    <row r="14687" spans="6:7">
      <c r="F14687" s="6">
        <f>IF($M14687="PADD I","PADD 1",IF($M14687="PADD II","PADD 2",IF($M14687="PADD III","PADD 3",IF($M14687="PADD IV","PADD 4",IF($M14687="PADD V","PADD 5","")))))</f>
        <v/>
      </c>
      <c r="G14687" s="6">
        <f>IF(AND($H14687="ATMOS DISTILLATION",ISNUMBER(SEARCH("VPS",$I14687))=FALSE,LEFT($I14687,6)&lt;&gt;"VACUUM"),"CDU",IF($H14687="FLUID CAT CRACKING","FCC",IF(OR($H14687="HYDROCRACKING",$H14687="RESID_HYDROCRACKING"),"Hydrocracker",IF($H14687="REFORMING","Reformer",""))))</f>
        <v/>
      </c>
    </row>
    <row r="14688" spans="6:7">
      <c r="F14688" s="6">
        <f>IF($M14688="PADD I","PADD 1",IF($M14688="PADD II","PADD 2",IF($M14688="PADD III","PADD 3",IF($M14688="PADD IV","PADD 4",IF($M14688="PADD V","PADD 5","")))))</f>
        <v/>
      </c>
      <c r="G14688" s="6">
        <f>IF(AND($H14688="ATMOS DISTILLATION",ISNUMBER(SEARCH("VPS",$I14688))=FALSE,LEFT($I14688,6)&lt;&gt;"VACUUM"),"CDU",IF($H14688="FLUID CAT CRACKING","FCC",IF(OR($H14688="HYDROCRACKING",$H14688="RESID_HYDROCRACKING"),"Hydrocracker",IF($H14688="REFORMING","Reformer",""))))</f>
        <v/>
      </c>
    </row>
    <row r="14689" spans="6:7">
      <c r="F14689" s="6">
        <f>IF($M14689="PADD I","PADD 1",IF($M14689="PADD II","PADD 2",IF($M14689="PADD III","PADD 3",IF($M14689="PADD IV","PADD 4",IF($M14689="PADD V","PADD 5","")))))</f>
        <v/>
      </c>
      <c r="G14689" s="6">
        <f>IF(AND($H14689="ATMOS DISTILLATION",ISNUMBER(SEARCH("VPS",$I14689))=FALSE,LEFT($I14689,6)&lt;&gt;"VACUUM"),"CDU",IF($H14689="FLUID CAT CRACKING","FCC",IF(OR($H14689="HYDROCRACKING",$H14689="RESID_HYDROCRACKING"),"Hydrocracker",IF($H14689="REFORMING","Reformer",""))))</f>
        <v/>
      </c>
    </row>
    <row r="14690" spans="6:7">
      <c r="F14690" s="6">
        <f>IF($M14690="PADD I","PADD 1",IF($M14690="PADD II","PADD 2",IF($M14690="PADD III","PADD 3",IF($M14690="PADD IV","PADD 4",IF($M14690="PADD V","PADD 5","")))))</f>
        <v/>
      </c>
      <c r="G14690" s="6">
        <f>IF(AND($H14690="ATMOS DISTILLATION",ISNUMBER(SEARCH("VPS",$I14690))=FALSE,LEFT($I14690,6)&lt;&gt;"VACUUM"),"CDU",IF($H14690="FLUID CAT CRACKING","FCC",IF(OR($H14690="HYDROCRACKING",$H14690="RESID_HYDROCRACKING"),"Hydrocracker",IF($H14690="REFORMING","Reformer",""))))</f>
        <v/>
      </c>
    </row>
    <row r="14691" spans="6:7">
      <c r="F14691" s="6">
        <f>IF($M14691="PADD I","PADD 1",IF($M14691="PADD II","PADD 2",IF($M14691="PADD III","PADD 3",IF($M14691="PADD IV","PADD 4",IF($M14691="PADD V","PADD 5","")))))</f>
        <v/>
      </c>
      <c r="G14691" s="6">
        <f>IF(AND($H14691="ATMOS DISTILLATION",ISNUMBER(SEARCH("VPS",$I14691))=FALSE,LEFT($I14691,6)&lt;&gt;"VACUUM"),"CDU",IF($H14691="FLUID CAT CRACKING","FCC",IF(OR($H14691="HYDROCRACKING",$H14691="RESID_HYDROCRACKING"),"Hydrocracker",IF($H14691="REFORMING","Reformer",""))))</f>
        <v/>
      </c>
    </row>
    <row r="14692" spans="6:7">
      <c r="F14692" s="6">
        <f>IF($M14692="PADD I","PADD 1",IF($M14692="PADD II","PADD 2",IF($M14692="PADD III","PADD 3",IF($M14692="PADD IV","PADD 4",IF($M14692="PADD V","PADD 5","")))))</f>
        <v/>
      </c>
      <c r="G14692" s="6">
        <f>IF(AND($H14692="ATMOS DISTILLATION",ISNUMBER(SEARCH("VPS",$I14692))=FALSE,LEFT($I14692,6)&lt;&gt;"VACUUM"),"CDU",IF($H14692="FLUID CAT CRACKING","FCC",IF(OR($H14692="HYDROCRACKING",$H14692="RESID_HYDROCRACKING"),"Hydrocracker",IF($H14692="REFORMING","Reformer",""))))</f>
        <v/>
      </c>
    </row>
    <row r="14693" spans="6:7">
      <c r="F14693" s="6">
        <f>IF($M14693="PADD I","PADD 1",IF($M14693="PADD II","PADD 2",IF($M14693="PADD III","PADD 3",IF($M14693="PADD IV","PADD 4",IF($M14693="PADD V","PADD 5","")))))</f>
        <v/>
      </c>
      <c r="G14693" s="6">
        <f>IF(AND($H14693="ATMOS DISTILLATION",ISNUMBER(SEARCH("VPS",$I14693))=FALSE,LEFT($I14693,6)&lt;&gt;"VACUUM"),"CDU",IF($H14693="FLUID CAT CRACKING","FCC",IF(OR($H14693="HYDROCRACKING",$H14693="RESID_HYDROCRACKING"),"Hydrocracker",IF($H14693="REFORMING","Reformer",""))))</f>
        <v/>
      </c>
    </row>
    <row r="14694" spans="6:7">
      <c r="F14694" s="6">
        <f>IF($M14694="PADD I","PADD 1",IF($M14694="PADD II","PADD 2",IF($M14694="PADD III","PADD 3",IF($M14694="PADD IV","PADD 4",IF($M14694="PADD V","PADD 5","")))))</f>
        <v/>
      </c>
      <c r="G14694" s="6">
        <f>IF(AND($H14694="ATMOS DISTILLATION",ISNUMBER(SEARCH("VPS",$I14694))=FALSE,LEFT($I14694,6)&lt;&gt;"VACUUM"),"CDU",IF($H14694="FLUID CAT CRACKING","FCC",IF(OR($H14694="HYDROCRACKING",$H14694="RESID_HYDROCRACKING"),"Hydrocracker",IF($H14694="REFORMING","Reformer",""))))</f>
        <v/>
      </c>
    </row>
    <row r="14695" spans="6:7">
      <c r="F14695" s="6">
        <f>IF($M14695="PADD I","PADD 1",IF($M14695="PADD II","PADD 2",IF($M14695="PADD III","PADD 3",IF($M14695="PADD IV","PADD 4",IF($M14695="PADD V","PADD 5","")))))</f>
        <v/>
      </c>
      <c r="G14695" s="6">
        <f>IF(AND($H14695="ATMOS DISTILLATION",ISNUMBER(SEARCH("VPS",$I14695))=FALSE,LEFT($I14695,6)&lt;&gt;"VACUUM"),"CDU",IF($H14695="FLUID CAT CRACKING","FCC",IF(OR($H14695="HYDROCRACKING",$H14695="RESID_HYDROCRACKING"),"Hydrocracker",IF($H14695="REFORMING","Reformer",""))))</f>
        <v/>
      </c>
    </row>
    <row r="14696" spans="6:7">
      <c r="F14696" s="6">
        <f>IF($M14696="PADD I","PADD 1",IF($M14696="PADD II","PADD 2",IF($M14696="PADD III","PADD 3",IF($M14696="PADD IV","PADD 4",IF($M14696="PADD V","PADD 5","")))))</f>
        <v/>
      </c>
      <c r="G14696" s="6">
        <f>IF(AND($H14696="ATMOS DISTILLATION",ISNUMBER(SEARCH("VPS",$I14696))=FALSE,LEFT($I14696,6)&lt;&gt;"VACUUM"),"CDU",IF($H14696="FLUID CAT CRACKING","FCC",IF(OR($H14696="HYDROCRACKING",$H14696="RESID_HYDROCRACKING"),"Hydrocracker",IF($H14696="REFORMING","Reformer",""))))</f>
        <v/>
      </c>
    </row>
    <row r="14697" spans="6:7">
      <c r="F14697" s="6">
        <f>IF($M14697="PADD I","PADD 1",IF($M14697="PADD II","PADD 2",IF($M14697="PADD III","PADD 3",IF($M14697="PADD IV","PADD 4",IF($M14697="PADD V","PADD 5","")))))</f>
        <v/>
      </c>
      <c r="G14697" s="6">
        <f>IF(AND($H14697="ATMOS DISTILLATION",ISNUMBER(SEARCH("VPS",$I14697))=FALSE,LEFT($I14697,6)&lt;&gt;"VACUUM"),"CDU",IF($H14697="FLUID CAT CRACKING","FCC",IF(OR($H14697="HYDROCRACKING",$H14697="RESID_HYDROCRACKING"),"Hydrocracker",IF($H14697="REFORMING","Reformer",""))))</f>
        <v/>
      </c>
    </row>
    <row r="14698" spans="6:7">
      <c r="F14698" s="6">
        <f>IF($M14698="PADD I","PADD 1",IF($M14698="PADD II","PADD 2",IF($M14698="PADD III","PADD 3",IF($M14698="PADD IV","PADD 4",IF($M14698="PADD V","PADD 5","")))))</f>
        <v/>
      </c>
      <c r="G14698" s="6">
        <f>IF(AND($H14698="ATMOS DISTILLATION",ISNUMBER(SEARCH("VPS",$I14698))=FALSE,LEFT($I14698,6)&lt;&gt;"VACUUM"),"CDU",IF($H14698="FLUID CAT CRACKING","FCC",IF(OR($H14698="HYDROCRACKING",$H14698="RESID_HYDROCRACKING"),"Hydrocracker",IF($H14698="REFORMING","Reformer",""))))</f>
        <v/>
      </c>
    </row>
    <row r="14699" spans="6:7">
      <c r="F14699" s="6">
        <f>IF($M14699="PADD I","PADD 1",IF($M14699="PADD II","PADD 2",IF($M14699="PADD III","PADD 3",IF($M14699="PADD IV","PADD 4",IF($M14699="PADD V","PADD 5","")))))</f>
        <v/>
      </c>
      <c r="G14699" s="6">
        <f>IF(AND($H14699="ATMOS DISTILLATION",ISNUMBER(SEARCH("VPS",$I14699))=FALSE,LEFT($I14699,6)&lt;&gt;"VACUUM"),"CDU",IF($H14699="FLUID CAT CRACKING","FCC",IF(OR($H14699="HYDROCRACKING",$H14699="RESID_HYDROCRACKING"),"Hydrocracker",IF($H14699="REFORMING","Reformer",""))))</f>
        <v/>
      </c>
    </row>
    <row r="14700" spans="6:7">
      <c r="F14700" s="6">
        <f>IF($M14700="PADD I","PADD 1",IF($M14700="PADD II","PADD 2",IF($M14700="PADD III","PADD 3",IF($M14700="PADD IV","PADD 4",IF($M14700="PADD V","PADD 5","")))))</f>
        <v/>
      </c>
      <c r="G14700" s="6">
        <f>IF(AND($H14700="ATMOS DISTILLATION",ISNUMBER(SEARCH("VPS",$I14700))=FALSE,LEFT($I14700,6)&lt;&gt;"VACUUM"),"CDU",IF($H14700="FLUID CAT CRACKING","FCC",IF(OR($H14700="HYDROCRACKING",$H14700="RESID_HYDROCRACKING"),"Hydrocracker",IF($H14700="REFORMING","Reformer",""))))</f>
        <v/>
      </c>
    </row>
    <row r="14701" spans="6:7">
      <c r="F14701" s="6">
        <f>IF($M14701="PADD I","PADD 1",IF($M14701="PADD II","PADD 2",IF($M14701="PADD III","PADD 3",IF($M14701="PADD IV","PADD 4",IF($M14701="PADD V","PADD 5","")))))</f>
        <v/>
      </c>
      <c r="G14701" s="6">
        <f>IF(AND($H14701="ATMOS DISTILLATION",ISNUMBER(SEARCH("VPS",$I14701))=FALSE,LEFT($I14701,6)&lt;&gt;"VACUUM"),"CDU",IF($H14701="FLUID CAT CRACKING","FCC",IF(OR($H14701="HYDROCRACKING",$H14701="RESID_HYDROCRACKING"),"Hydrocracker",IF($H14701="REFORMING","Reformer",""))))</f>
        <v/>
      </c>
    </row>
    <row r="14702" spans="6:7">
      <c r="F14702" s="6">
        <f>IF($M14702="PADD I","PADD 1",IF($M14702="PADD II","PADD 2",IF($M14702="PADD III","PADD 3",IF($M14702="PADD IV","PADD 4",IF($M14702="PADD V","PADD 5","")))))</f>
        <v/>
      </c>
      <c r="G14702" s="6">
        <f>IF(AND($H14702="ATMOS DISTILLATION",ISNUMBER(SEARCH("VPS",$I14702))=FALSE,LEFT($I14702,6)&lt;&gt;"VACUUM"),"CDU",IF($H14702="FLUID CAT CRACKING","FCC",IF(OR($H14702="HYDROCRACKING",$H14702="RESID_HYDROCRACKING"),"Hydrocracker",IF($H14702="REFORMING","Reformer",""))))</f>
        <v/>
      </c>
    </row>
    <row r="14703" spans="6:7">
      <c r="F14703" s="6">
        <f>IF($M14703="PADD I","PADD 1",IF($M14703="PADD II","PADD 2",IF($M14703="PADD III","PADD 3",IF($M14703="PADD IV","PADD 4",IF($M14703="PADD V","PADD 5","")))))</f>
        <v/>
      </c>
      <c r="G14703" s="6">
        <f>IF(AND($H14703="ATMOS DISTILLATION",ISNUMBER(SEARCH("VPS",$I14703))=FALSE,LEFT($I14703,6)&lt;&gt;"VACUUM"),"CDU",IF($H14703="FLUID CAT CRACKING","FCC",IF(OR($H14703="HYDROCRACKING",$H14703="RESID_HYDROCRACKING"),"Hydrocracker",IF($H14703="REFORMING","Reformer",""))))</f>
        <v/>
      </c>
    </row>
    <row r="14704" spans="6:7">
      <c r="F14704" s="6">
        <f>IF($M14704="PADD I","PADD 1",IF($M14704="PADD II","PADD 2",IF($M14704="PADD III","PADD 3",IF($M14704="PADD IV","PADD 4",IF($M14704="PADD V","PADD 5","")))))</f>
        <v/>
      </c>
      <c r="G14704" s="6">
        <f>IF(AND($H14704="ATMOS DISTILLATION",ISNUMBER(SEARCH("VPS",$I14704))=FALSE,LEFT($I14704,6)&lt;&gt;"VACUUM"),"CDU",IF($H14704="FLUID CAT CRACKING","FCC",IF(OR($H14704="HYDROCRACKING",$H14704="RESID_HYDROCRACKING"),"Hydrocracker",IF($H14704="REFORMING","Reformer",""))))</f>
        <v/>
      </c>
    </row>
    <row r="14705" spans="6:7">
      <c r="F14705" s="6">
        <f>IF($M14705="PADD I","PADD 1",IF($M14705="PADD II","PADD 2",IF($M14705="PADD III","PADD 3",IF($M14705="PADD IV","PADD 4",IF($M14705="PADD V","PADD 5","")))))</f>
        <v/>
      </c>
      <c r="G14705" s="6">
        <f>IF(AND($H14705="ATMOS DISTILLATION",ISNUMBER(SEARCH("VPS",$I14705))=FALSE,LEFT($I14705,6)&lt;&gt;"VACUUM"),"CDU",IF($H14705="FLUID CAT CRACKING","FCC",IF(OR($H14705="HYDROCRACKING",$H14705="RESID_HYDROCRACKING"),"Hydrocracker",IF($H14705="REFORMING","Reformer",""))))</f>
        <v/>
      </c>
    </row>
    <row r="14706" spans="6:7">
      <c r="F14706" s="6">
        <f>IF($M14706="PADD I","PADD 1",IF($M14706="PADD II","PADD 2",IF($M14706="PADD III","PADD 3",IF($M14706="PADD IV","PADD 4",IF($M14706="PADD V","PADD 5","")))))</f>
        <v/>
      </c>
      <c r="G14706" s="6">
        <f>IF(AND($H14706="ATMOS DISTILLATION",ISNUMBER(SEARCH("VPS",$I14706))=FALSE,LEFT($I14706,6)&lt;&gt;"VACUUM"),"CDU",IF($H14706="FLUID CAT CRACKING","FCC",IF(OR($H14706="HYDROCRACKING",$H14706="RESID_HYDROCRACKING"),"Hydrocracker",IF($H14706="REFORMING","Reformer",""))))</f>
        <v/>
      </c>
    </row>
    <row r="14707" spans="6:7">
      <c r="F14707" s="6">
        <f>IF($M14707="PADD I","PADD 1",IF($M14707="PADD II","PADD 2",IF($M14707="PADD III","PADD 3",IF($M14707="PADD IV","PADD 4",IF($M14707="PADD V","PADD 5","")))))</f>
        <v/>
      </c>
      <c r="G14707" s="6">
        <f>IF(AND($H14707="ATMOS DISTILLATION",ISNUMBER(SEARCH("VPS",$I14707))=FALSE,LEFT($I14707,6)&lt;&gt;"VACUUM"),"CDU",IF($H14707="FLUID CAT CRACKING","FCC",IF(OR($H14707="HYDROCRACKING",$H14707="RESID_HYDROCRACKING"),"Hydrocracker",IF($H14707="REFORMING","Reformer",""))))</f>
        <v/>
      </c>
    </row>
    <row r="14708" spans="6:7">
      <c r="F14708" s="6">
        <f>IF($M14708="PADD I","PADD 1",IF($M14708="PADD II","PADD 2",IF($M14708="PADD III","PADD 3",IF($M14708="PADD IV","PADD 4",IF($M14708="PADD V","PADD 5","")))))</f>
        <v/>
      </c>
      <c r="G14708" s="6">
        <f>IF(AND($H14708="ATMOS DISTILLATION",ISNUMBER(SEARCH("VPS",$I14708))=FALSE,LEFT($I14708,6)&lt;&gt;"VACUUM"),"CDU",IF($H14708="FLUID CAT CRACKING","FCC",IF(OR($H14708="HYDROCRACKING",$H14708="RESID_HYDROCRACKING"),"Hydrocracker",IF($H14708="REFORMING","Reformer",""))))</f>
        <v/>
      </c>
    </row>
    <row r="14709" spans="6:7">
      <c r="F14709" s="6">
        <f>IF($M14709="PADD I","PADD 1",IF($M14709="PADD II","PADD 2",IF($M14709="PADD III","PADD 3",IF($M14709="PADD IV","PADD 4",IF($M14709="PADD V","PADD 5","")))))</f>
        <v/>
      </c>
      <c r="G14709" s="6">
        <f>IF(AND($H14709="ATMOS DISTILLATION",ISNUMBER(SEARCH("VPS",$I14709))=FALSE,LEFT($I14709,6)&lt;&gt;"VACUUM"),"CDU",IF($H14709="FLUID CAT CRACKING","FCC",IF(OR($H14709="HYDROCRACKING",$H14709="RESID_HYDROCRACKING"),"Hydrocracker",IF($H14709="REFORMING","Reformer",""))))</f>
        <v/>
      </c>
    </row>
    <row r="14710" spans="6:7">
      <c r="F14710" s="6">
        <f>IF($M14710="PADD I","PADD 1",IF($M14710="PADD II","PADD 2",IF($M14710="PADD III","PADD 3",IF($M14710="PADD IV","PADD 4",IF($M14710="PADD V","PADD 5","")))))</f>
        <v/>
      </c>
      <c r="G14710" s="6">
        <f>IF(AND($H14710="ATMOS DISTILLATION",ISNUMBER(SEARCH("VPS",$I14710))=FALSE,LEFT($I14710,6)&lt;&gt;"VACUUM"),"CDU",IF($H14710="FLUID CAT CRACKING","FCC",IF(OR($H14710="HYDROCRACKING",$H14710="RESID_HYDROCRACKING"),"Hydrocracker",IF($H14710="REFORMING","Reformer",""))))</f>
        <v/>
      </c>
    </row>
    <row r="14711" spans="6:7">
      <c r="F14711" s="6">
        <f>IF($M14711="PADD I","PADD 1",IF($M14711="PADD II","PADD 2",IF($M14711="PADD III","PADD 3",IF($M14711="PADD IV","PADD 4",IF($M14711="PADD V","PADD 5","")))))</f>
        <v/>
      </c>
      <c r="G14711" s="6">
        <f>IF(AND($H14711="ATMOS DISTILLATION",ISNUMBER(SEARCH("VPS",$I14711))=FALSE,LEFT($I14711,6)&lt;&gt;"VACUUM"),"CDU",IF($H14711="FLUID CAT CRACKING","FCC",IF(OR($H14711="HYDROCRACKING",$H14711="RESID_HYDROCRACKING"),"Hydrocracker",IF($H14711="REFORMING","Reformer",""))))</f>
        <v/>
      </c>
    </row>
    <row r="14712" spans="6:7">
      <c r="F14712" s="6">
        <f>IF($M14712="PADD I","PADD 1",IF($M14712="PADD II","PADD 2",IF($M14712="PADD III","PADD 3",IF($M14712="PADD IV","PADD 4",IF($M14712="PADD V","PADD 5","")))))</f>
        <v/>
      </c>
      <c r="G14712" s="6">
        <f>IF(AND($H14712="ATMOS DISTILLATION",ISNUMBER(SEARCH("VPS",$I14712))=FALSE,LEFT($I14712,6)&lt;&gt;"VACUUM"),"CDU",IF($H14712="FLUID CAT CRACKING","FCC",IF(OR($H14712="HYDROCRACKING",$H14712="RESID_HYDROCRACKING"),"Hydrocracker",IF($H14712="REFORMING","Reformer",""))))</f>
        <v/>
      </c>
    </row>
    <row r="14713" spans="6:7">
      <c r="F14713" s="6">
        <f>IF($M14713="PADD I","PADD 1",IF($M14713="PADD II","PADD 2",IF($M14713="PADD III","PADD 3",IF($M14713="PADD IV","PADD 4",IF($M14713="PADD V","PADD 5","")))))</f>
        <v/>
      </c>
      <c r="G14713" s="6">
        <f>IF(AND($H14713="ATMOS DISTILLATION",ISNUMBER(SEARCH("VPS",$I14713))=FALSE,LEFT($I14713,6)&lt;&gt;"VACUUM"),"CDU",IF($H14713="FLUID CAT CRACKING","FCC",IF(OR($H14713="HYDROCRACKING",$H14713="RESID_HYDROCRACKING"),"Hydrocracker",IF($H14713="REFORMING","Reformer",""))))</f>
        <v/>
      </c>
    </row>
    <row r="14714" spans="6:7">
      <c r="F14714" s="6">
        <f>IF($M14714="PADD I","PADD 1",IF($M14714="PADD II","PADD 2",IF($M14714="PADD III","PADD 3",IF($M14714="PADD IV","PADD 4",IF($M14714="PADD V","PADD 5","")))))</f>
        <v/>
      </c>
      <c r="G14714" s="6">
        <f>IF(AND($H14714="ATMOS DISTILLATION",ISNUMBER(SEARCH("VPS",$I14714))=FALSE,LEFT($I14714,6)&lt;&gt;"VACUUM"),"CDU",IF($H14714="FLUID CAT CRACKING","FCC",IF(OR($H14714="HYDROCRACKING",$H14714="RESID_HYDROCRACKING"),"Hydrocracker",IF($H14714="REFORMING","Reformer",""))))</f>
        <v/>
      </c>
    </row>
    <row r="14715" spans="6:7">
      <c r="F14715" s="6">
        <f>IF($M14715="PADD I","PADD 1",IF($M14715="PADD II","PADD 2",IF($M14715="PADD III","PADD 3",IF($M14715="PADD IV","PADD 4",IF($M14715="PADD V","PADD 5","")))))</f>
        <v/>
      </c>
      <c r="G14715" s="6">
        <f>IF(AND($H14715="ATMOS DISTILLATION",ISNUMBER(SEARCH("VPS",$I14715))=FALSE,LEFT($I14715,6)&lt;&gt;"VACUUM"),"CDU",IF($H14715="FLUID CAT CRACKING","FCC",IF(OR($H14715="HYDROCRACKING",$H14715="RESID_HYDROCRACKING"),"Hydrocracker",IF($H14715="REFORMING","Reformer",""))))</f>
        <v/>
      </c>
    </row>
    <row r="14716" spans="6:7">
      <c r="F14716" s="6">
        <f>IF($M14716="PADD I","PADD 1",IF($M14716="PADD II","PADD 2",IF($M14716="PADD III","PADD 3",IF($M14716="PADD IV","PADD 4",IF($M14716="PADD V","PADD 5","")))))</f>
        <v/>
      </c>
      <c r="G14716" s="6">
        <f>IF(AND($H14716="ATMOS DISTILLATION",ISNUMBER(SEARCH("VPS",$I14716))=FALSE,LEFT($I14716,6)&lt;&gt;"VACUUM"),"CDU",IF($H14716="FLUID CAT CRACKING","FCC",IF(OR($H14716="HYDROCRACKING",$H14716="RESID_HYDROCRACKING"),"Hydrocracker",IF($H14716="REFORMING","Reformer",""))))</f>
        <v/>
      </c>
    </row>
    <row r="14717" spans="6:7">
      <c r="F14717" s="6">
        <f>IF($M14717="PADD I","PADD 1",IF($M14717="PADD II","PADD 2",IF($M14717="PADD III","PADD 3",IF($M14717="PADD IV","PADD 4",IF($M14717="PADD V","PADD 5","")))))</f>
        <v/>
      </c>
      <c r="G14717" s="6">
        <f>IF(AND($H14717="ATMOS DISTILLATION",ISNUMBER(SEARCH("VPS",$I14717))=FALSE,LEFT($I14717,6)&lt;&gt;"VACUUM"),"CDU",IF($H14717="FLUID CAT CRACKING","FCC",IF(OR($H14717="HYDROCRACKING",$H14717="RESID_HYDROCRACKING"),"Hydrocracker",IF($H14717="REFORMING","Reformer",""))))</f>
        <v/>
      </c>
    </row>
    <row r="14718" spans="6:7">
      <c r="F14718" s="6">
        <f>IF($M14718="PADD I","PADD 1",IF($M14718="PADD II","PADD 2",IF($M14718="PADD III","PADD 3",IF($M14718="PADD IV","PADD 4",IF($M14718="PADD V","PADD 5","")))))</f>
        <v/>
      </c>
      <c r="G14718" s="6">
        <f>IF(AND($H14718="ATMOS DISTILLATION",ISNUMBER(SEARCH("VPS",$I14718))=FALSE,LEFT($I14718,6)&lt;&gt;"VACUUM"),"CDU",IF($H14718="FLUID CAT CRACKING","FCC",IF(OR($H14718="HYDROCRACKING",$H14718="RESID_HYDROCRACKING"),"Hydrocracker",IF($H14718="REFORMING","Reformer",""))))</f>
        <v/>
      </c>
    </row>
    <row r="14719" spans="6:7">
      <c r="F14719" s="6">
        <f>IF($M14719="PADD I","PADD 1",IF($M14719="PADD II","PADD 2",IF($M14719="PADD III","PADD 3",IF($M14719="PADD IV","PADD 4",IF($M14719="PADD V","PADD 5","")))))</f>
        <v/>
      </c>
      <c r="G14719" s="6">
        <f>IF(AND($H14719="ATMOS DISTILLATION",ISNUMBER(SEARCH("VPS",$I14719))=FALSE,LEFT($I14719,6)&lt;&gt;"VACUUM"),"CDU",IF($H14719="FLUID CAT CRACKING","FCC",IF(OR($H14719="HYDROCRACKING",$H14719="RESID_HYDROCRACKING"),"Hydrocracker",IF($H14719="REFORMING","Reformer",""))))</f>
        <v/>
      </c>
    </row>
    <row r="14720" spans="6:7">
      <c r="F14720" s="6">
        <f>IF($M14720="PADD I","PADD 1",IF($M14720="PADD II","PADD 2",IF($M14720="PADD III","PADD 3",IF($M14720="PADD IV","PADD 4",IF($M14720="PADD V","PADD 5","")))))</f>
        <v/>
      </c>
      <c r="G14720" s="6">
        <f>IF(AND($H14720="ATMOS DISTILLATION",ISNUMBER(SEARCH("VPS",$I14720))=FALSE,LEFT($I14720,6)&lt;&gt;"VACUUM"),"CDU",IF($H14720="FLUID CAT CRACKING","FCC",IF(OR($H14720="HYDROCRACKING",$H14720="RESID_HYDROCRACKING"),"Hydrocracker",IF($H14720="REFORMING","Reformer",""))))</f>
        <v/>
      </c>
    </row>
    <row r="14721" spans="6:7">
      <c r="F14721" s="6">
        <f>IF($M14721="PADD I","PADD 1",IF($M14721="PADD II","PADD 2",IF($M14721="PADD III","PADD 3",IF($M14721="PADD IV","PADD 4",IF($M14721="PADD V","PADD 5","")))))</f>
        <v/>
      </c>
      <c r="G14721" s="6">
        <f>IF(AND($H14721="ATMOS DISTILLATION",ISNUMBER(SEARCH("VPS",$I14721))=FALSE,LEFT($I14721,6)&lt;&gt;"VACUUM"),"CDU",IF($H14721="FLUID CAT CRACKING","FCC",IF(OR($H14721="HYDROCRACKING",$H14721="RESID_HYDROCRACKING"),"Hydrocracker",IF($H14721="REFORMING","Reformer",""))))</f>
        <v/>
      </c>
    </row>
    <row r="14722" spans="6:7">
      <c r="F14722" s="6">
        <f>IF($M14722="PADD I","PADD 1",IF($M14722="PADD II","PADD 2",IF($M14722="PADD III","PADD 3",IF($M14722="PADD IV","PADD 4",IF($M14722="PADD V","PADD 5","")))))</f>
        <v/>
      </c>
      <c r="G14722" s="6">
        <f>IF(AND($H14722="ATMOS DISTILLATION",ISNUMBER(SEARCH("VPS",$I14722))=FALSE,LEFT($I14722,6)&lt;&gt;"VACUUM"),"CDU",IF($H14722="FLUID CAT CRACKING","FCC",IF(OR($H14722="HYDROCRACKING",$H14722="RESID_HYDROCRACKING"),"Hydrocracker",IF($H14722="REFORMING","Reformer",""))))</f>
        <v/>
      </c>
    </row>
    <row r="14723" spans="6:7">
      <c r="F14723" s="6">
        <f>IF($M14723="PADD I","PADD 1",IF($M14723="PADD II","PADD 2",IF($M14723="PADD III","PADD 3",IF($M14723="PADD IV","PADD 4",IF($M14723="PADD V","PADD 5","")))))</f>
        <v/>
      </c>
      <c r="G14723" s="6">
        <f>IF(AND($H14723="ATMOS DISTILLATION",ISNUMBER(SEARCH("VPS",$I14723))=FALSE,LEFT($I14723,6)&lt;&gt;"VACUUM"),"CDU",IF($H14723="FLUID CAT CRACKING","FCC",IF(OR($H14723="HYDROCRACKING",$H14723="RESID_HYDROCRACKING"),"Hydrocracker",IF($H14723="REFORMING","Reformer",""))))</f>
        <v/>
      </c>
    </row>
    <row r="14724" spans="6:7">
      <c r="F14724" s="6">
        <f>IF($M14724="PADD I","PADD 1",IF($M14724="PADD II","PADD 2",IF($M14724="PADD III","PADD 3",IF($M14724="PADD IV","PADD 4",IF($M14724="PADD V","PADD 5","")))))</f>
        <v/>
      </c>
      <c r="G14724" s="6">
        <f>IF(AND($H14724="ATMOS DISTILLATION",ISNUMBER(SEARCH("VPS",$I14724))=FALSE,LEFT($I14724,6)&lt;&gt;"VACUUM"),"CDU",IF($H14724="FLUID CAT CRACKING","FCC",IF(OR($H14724="HYDROCRACKING",$H14724="RESID_HYDROCRACKING"),"Hydrocracker",IF($H14724="REFORMING","Reformer",""))))</f>
        <v/>
      </c>
    </row>
    <row r="14725" spans="6:7">
      <c r="F14725" s="6">
        <f>IF($M14725="PADD I","PADD 1",IF($M14725="PADD II","PADD 2",IF($M14725="PADD III","PADD 3",IF($M14725="PADD IV","PADD 4",IF($M14725="PADD V","PADD 5","")))))</f>
        <v/>
      </c>
      <c r="G14725" s="6">
        <f>IF(AND($H14725="ATMOS DISTILLATION",ISNUMBER(SEARCH("VPS",$I14725))=FALSE,LEFT($I14725,6)&lt;&gt;"VACUUM"),"CDU",IF($H14725="FLUID CAT CRACKING","FCC",IF(OR($H14725="HYDROCRACKING",$H14725="RESID_HYDROCRACKING"),"Hydrocracker",IF($H14725="REFORMING","Reformer",""))))</f>
        <v/>
      </c>
    </row>
    <row r="14726" spans="6:7">
      <c r="F14726" s="6">
        <f>IF($M14726="PADD I","PADD 1",IF($M14726="PADD II","PADD 2",IF($M14726="PADD III","PADD 3",IF($M14726="PADD IV","PADD 4",IF($M14726="PADD V","PADD 5","")))))</f>
        <v/>
      </c>
      <c r="G14726" s="6">
        <f>IF(AND($H14726="ATMOS DISTILLATION",ISNUMBER(SEARCH("VPS",$I14726))=FALSE,LEFT($I14726,6)&lt;&gt;"VACUUM"),"CDU",IF($H14726="FLUID CAT CRACKING","FCC",IF(OR($H14726="HYDROCRACKING",$H14726="RESID_HYDROCRACKING"),"Hydrocracker",IF($H14726="REFORMING","Reformer",""))))</f>
        <v/>
      </c>
    </row>
    <row r="14727" spans="6:7">
      <c r="F14727" s="6">
        <f>IF($M14727="PADD I","PADD 1",IF($M14727="PADD II","PADD 2",IF($M14727="PADD III","PADD 3",IF($M14727="PADD IV","PADD 4",IF($M14727="PADD V","PADD 5","")))))</f>
        <v/>
      </c>
      <c r="G14727" s="6">
        <f>IF(AND($H14727="ATMOS DISTILLATION",ISNUMBER(SEARCH("VPS",$I14727))=FALSE,LEFT($I14727,6)&lt;&gt;"VACUUM"),"CDU",IF($H14727="FLUID CAT CRACKING","FCC",IF(OR($H14727="HYDROCRACKING",$H14727="RESID_HYDROCRACKING"),"Hydrocracker",IF($H14727="REFORMING","Reformer",""))))</f>
        <v/>
      </c>
    </row>
    <row r="14728" spans="6:7">
      <c r="F14728" s="6">
        <f>IF($M14728="PADD I","PADD 1",IF($M14728="PADD II","PADD 2",IF($M14728="PADD III","PADD 3",IF($M14728="PADD IV","PADD 4",IF($M14728="PADD V","PADD 5","")))))</f>
        <v/>
      </c>
      <c r="G14728" s="6">
        <f>IF(AND($H14728="ATMOS DISTILLATION",ISNUMBER(SEARCH("VPS",$I14728))=FALSE,LEFT($I14728,6)&lt;&gt;"VACUUM"),"CDU",IF($H14728="FLUID CAT CRACKING","FCC",IF(OR($H14728="HYDROCRACKING",$H14728="RESID_HYDROCRACKING"),"Hydrocracker",IF($H14728="REFORMING","Reformer",""))))</f>
        <v/>
      </c>
    </row>
    <row r="14729" spans="6:7">
      <c r="F14729" s="6">
        <f>IF($M14729="PADD I","PADD 1",IF($M14729="PADD II","PADD 2",IF($M14729="PADD III","PADD 3",IF($M14729="PADD IV","PADD 4",IF($M14729="PADD V","PADD 5","")))))</f>
        <v/>
      </c>
      <c r="G14729" s="6">
        <f>IF(AND($H14729="ATMOS DISTILLATION",ISNUMBER(SEARCH("VPS",$I14729))=FALSE,LEFT($I14729,6)&lt;&gt;"VACUUM"),"CDU",IF($H14729="FLUID CAT CRACKING","FCC",IF(OR($H14729="HYDROCRACKING",$H14729="RESID_HYDROCRACKING"),"Hydrocracker",IF($H14729="REFORMING","Reformer",""))))</f>
        <v/>
      </c>
    </row>
    <row r="14730" spans="6:7">
      <c r="F14730" s="6">
        <f>IF($M14730="PADD I","PADD 1",IF($M14730="PADD II","PADD 2",IF($M14730="PADD III","PADD 3",IF($M14730="PADD IV","PADD 4",IF($M14730="PADD V","PADD 5","")))))</f>
        <v/>
      </c>
      <c r="G14730" s="6">
        <f>IF(AND($H14730="ATMOS DISTILLATION",ISNUMBER(SEARCH("VPS",$I14730))=FALSE,LEFT($I14730,6)&lt;&gt;"VACUUM"),"CDU",IF($H14730="FLUID CAT CRACKING","FCC",IF(OR($H14730="HYDROCRACKING",$H14730="RESID_HYDROCRACKING"),"Hydrocracker",IF($H14730="REFORMING","Reformer",""))))</f>
        <v/>
      </c>
    </row>
    <row r="14731" spans="6:7">
      <c r="F14731" s="6">
        <f>IF($M14731="PADD I","PADD 1",IF($M14731="PADD II","PADD 2",IF($M14731="PADD III","PADD 3",IF($M14731="PADD IV","PADD 4",IF($M14731="PADD V","PADD 5","")))))</f>
        <v/>
      </c>
      <c r="G14731" s="6">
        <f>IF(AND($H14731="ATMOS DISTILLATION",ISNUMBER(SEARCH("VPS",$I14731))=FALSE,LEFT($I14731,6)&lt;&gt;"VACUUM"),"CDU",IF($H14731="FLUID CAT CRACKING","FCC",IF(OR($H14731="HYDROCRACKING",$H14731="RESID_HYDROCRACKING"),"Hydrocracker",IF($H14731="REFORMING","Reformer",""))))</f>
        <v/>
      </c>
    </row>
    <row r="14732" spans="6:7">
      <c r="F14732" s="6">
        <f>IF($M14732="PADD I","PADD 1",IF($M14732="PADD II","PADD 2",IF($M14732="PADD III","PADD 3",IF($M14732="PADD IV","PADD 4",IF($M14732="PADD V","PADD 5","")))))</f>
        <v/>
      </c>
      <c r="G14732" s="6">
        <f>IF(AND($H14732="ATMOS DISTILLATION",ISNUMBER(SEARCH("VPS",$I14732))=FALSE,LEFT($I14732,6)&lt;&gt;"VACUUM"),"CDU",IF($H14732="FLUID CAT CRACKING","FCC",IF(OR($H14732="HYDROCRACKING",$H14732="RESID_HYDROCRACKING"),"Hydrocracker",IF($H14732="REFORMING","Reformer",""))))</f>
        <v/>
      </c>
    </row>
    <row r="14733" spans="6:7">
      <c r="F14733" s="6">
        <f>IF($M14733="PADD I","PADD 1",IF($M14733="PADD II","PADD 2",IF($M14733="PADD III","PADD 3",IF($M14733="PADD IV","PADD 4",IF($M14733="PADD V","PADD 5","")))))</f>
        <v/>
      </c>
      <c r="G14733" s="6">
        <f>IF(AND($H14733="ATMOS DISTILLATION",ISNUMBER(SEARCH("VPS",$I14733))=FALSE,LEFT($I14733,6)&lt;&gt;"VACUUM"),"CDU",IF($H14733="FLUID CAT CRACKING","FCC",IF(OR($H14733="HYDROCRACKING",$H14733="RESID_HYDROCRACKING"),"Hydrocracker",IF($H14733="REFORMING","Reformer",""))))</f>
        <v/>
      </c>
    </row>
    <row r="14734" spans="6:7">
      <c r="F14734" s="6">
        <f>IF($M14734="PADD I","PADD 1",IF($M14734="PADD II","PADD 2",IF($M14734="PADD III","PADD 3",IF($M14734="PADD IV","PADD 4",IF($M14734="PADD V","PADD 5","")))))</f>
        <v/>
      </c>
      <c r="G14734" s="6">
        <f>IF(AND($H14734="ATMOS DISTILLATION",ISNUMBER(SEARCH("VPS",$I14734))=FALSE,LEFT($I14734,6)&lt;&gt;"VACUUM"),"CDU",IF($H14734="FLUID CAT CRACKING","FCC",IF(OR($H14734="HYDROCRACKING",$H14734="RESID_HYDROCRACKING"),"Hydrocracker",IF($H14734="REFORMING","Reformer",""))))</f>
        <v/>
      </c>
    </row>
    <row r="14735" spans="6:7">
      <c r="F14735" s="6">
        <f>IF($M14735="PADD I","PADD 1",IF($M14735="PADD II","PADD 2",IF($M14735="PADD III","PADD 3",IF($M14735="PADD IV","PADD 4",IF($M14735="PADD V","PADD 5","")))))</f>
        <v/>
      </c>
      <c r="G14735" s="6">
        <f>IF(AND($H14735="ATMOS DISTILLATION",ISNUMBER(SEARCH("VPS",$I14735))=FALSE,LEFT($I14735,6)&lt;&gt;"VACUUM"),"CDU",IF($H14735="FLUID CAT CRACKING","FCC",IF(OR($H14735="HYDROCRACKING",$H14735="RESID_HYDROCRACKING"),"Hydrocracker",IF($H14735="REFORMING","Reformer",""))))</f>
        <v/>
      </c>
    </row>
    <row r="14736" spans="6:7">
      <c r="F14736" s="6">
        <f>IF($M14736="PADD I","PADD 1",IF($M14736="PADD II","PADD 2",IF($M14736="PADD III","PADD 3",IF($M14736="PADD IV","PADD 4",IF($M14736="PADD V","PADD 5","")))))</f>
        <v/>
      </c>
      <c r="G14736" s="6">
        <f>IF(AND($H14736="ATMOS DISTILLATION",ISNUMBER(SEARCH("VPS",$I14736))=FALSE,LEFT($I14736,6)&lt;&gt;"VACUUM"),"CDU",IF($H14736="FLUID CAT CRACKING","FCC",IF(OR($H14736="HYDROCRACKING",$H14736="RESID_HYDROCRACKING"),"Hydrocracker",IF($H14736="REFORMING","Reformer",""))))</f>
        <v/>
      </c>
    </row>
    <row r="14737" spans="6:7">
      <c r="F14737" s="6">
        <f>IF($M14737="PADD I","PADD 1",IF($M14737="PADD II","PADD 2",IF($M14737="PADD III","PADD 3",IF($M14737="PADD IV","PADD 4",IF($M14737="PADD V","PADD 5","")))))</f>
        <v/>
      </c>
      <c r="G14737" s="6">
        <f>IF(AND($H14737="ATMOS DISTILLATION",ISNUMBER(SEARCH("VPS",$I14737))=FALSE,LEFT($I14737,6)&lt;&gt;"VACUUM"),"CDU",IF($H14737="FLUID CAT CRACKING","FCC",IF(OR($H14737="HYDROCRACKING",$H14737="RESID_HYDROCRACKING"),"Hydrocracker",IF($H14737="REFORMING","Reformer",""))))</f>
        <v/>
      </c>
    </row>
    <row r="14738" spans="6:7">
      <c r="F14738" s="6">
        <f>IF($M14738="PADD I","PADD 1",IF($M14738="PADD II","PADD 2",IF($M14738="PADD III","PADD 3",IF($M14738="PADD IV","PADD 4",IF($M14738="PADD V","PADD 5","")))))</f>
        <v/>
      </c>
      <c r="G14738" s="6">
        <f>IF(AND($H14738="ATMOS DISTILLATION",ISNUMBER(SEARCH("VPS",$I14738))=FALSE,LEFT($I14738,6)&lt;&gt;"VACUUM"),"CDU",IF($H14738="FLUID CAT CRACKING","FCC",IF(OR($H14738="HYDROCRACKING",$H14738="RESID_HYDROCRACKING"),"Hydrocracker",IF($H14738="REFORMING","Reformer",""))))</f>
        <v/>
      </c>
    </row>
    <row r="14739" spans="6:7">
      <c r="F14739" s="6">
        <f>IF($M14739="PADD I","PADD 1",IF($M14739="PADD II","PADD 2",IF($M14739="PADD III","PADD 3",IF($M14739="PADD IV","PADD 4",IF($M14739="PADD V","PADD 5","")))))</f>
        <v/>
      </c>
      <c r="G14739" s="6">
        <f>IF(AND($H14739="ATMOS DISTILLATION",ISNUMBER(SEARCH("VPS",$I14739))=FALSE,LEFT($I14739,6)&lt;&gt;"VACUUM"),"CDU",IF($H14739="FLUID CAT CRACKING","FCC",IF(OR($H14739="HYDROCRACKING",$H14739="RESID_HYDROCRACKING"),"Hydrocracker",IF($H14739="REFORMING","Reformer",""))))</f>
        <v/>
      </c>
    </row>
    <row r="14740" spans="6:7">
      <c r="F14740" s="6">
        <f>IF($M14740="PADD I","PADD 1",IF($M14740="PADD II","PADD 2",IF($M14740="PADD III","PADD 3",IF($M14740="PADD IV","PADD 4",IF($M14740="PADD V","PADD 5","")))))</f>
        <v/>
      </c>
      <c r="G14740" s="6">
        <f>IF(AND($H14740="ATMOS DISTILLATION",ISNUMBER(SEARCH("VPS",$I14740))=FALSE,LEFT($I14740,6)&lt;&gt;"VACUUM"),"CDU",IF($H14740="FLUID CAT CRACKING","FCC",IF(OR($H14740="HYDROCRACKING",$H14740="RESID_HYDROCRACKING"),"Hydrocracker",IF($H14740="REFORMING","Reformer",""))))</f>
        <v/>
      </c>
    </row>
    <row r="14741" spans="6:7">
      <c r="F14741" s="6">
        <f>IF($M14741="PADD I","PADD 1",IF($M14741="PADD II","PADD 2",IF($M14741="PADD III","PADD 3",IF($M14741="PADD IV","PADD 4",IF($M14741="PADD V","PADD 5","")))))</f>
        <v/>
      </c>
      <c r="G14741" s="6">
        <f>IF(AND($H14741="ATMOS DISTILLATION",ISNUMBER(SEARCH("VPS",$I14741))=FALSE,LEFT($I14741,6)&lt;&gt;"VACUUM"),"CDU",IF($H14741="FLUID CAT CRACKING","FCC",IF(OR($H14741="HYDROCRACKING",$H14741="RESID_HYDROCRACKING"),"Hydrocracker",IF($H14741="REFORMING","Reformer",""))))</f>
        <v/>
      </c>
    </row>
    <row r="14742" spans="6:7">
      <c r="F14742" s="6">
        <f>IF($M14742="PADD I","PADD 1",IF($M14742="PADD II","PADD 2",IF($M14742="PADD III","PADD 3",IF($M14742="PADD IV","PADD 4",IF($M14742="PADD V","PADD 5","")))))</f>
        <v/>
      </c>
      <c r="G14742" s="6">
        <f>IF(AND($H14742="ATMOS DISTILLATION",ISNUMBER(SEARCH("VPS",$I14742))=FALSE,LEFT($I14742,6)&lt;&gt;"VACUUM"),"CDU",IF($H14742="FLUID CAT CRACKING","FCC",IF(OR($H14742="HYDROCRACKING",$H14742="RESID_HYDROCRACKING"),"Hydrocracker",IF($H14742="REFORMING","Reformer",""))))</f>
        <v/>
      </c>
    </row>
    <row r="14743" spans="6:7">
      <c r="F14743" s="6">
        <f>IF($M14743="PADD I","PADD 1",IF($M14743="PADD II","PADD 2",IF($M14743="PADD III","PADD 3",IF($M14743="PADD IV","PADD 4",IF($M14743="PADD V","PADD 5","")))))</f>
        <v/>
      </c>
      <c r="G14743" s="6">
        <f>IF(AND($H14743="ATMOS DISTILLATION",ISNUMBER(SEARCH("VPS",$I14743))=FALSE,LEFT($I14743,6)&lt;&gt;"VACUUM"),"CDU",IF($H14743="FLUID CAT CRACKING","FCC",IF(OR($H14743="HYDROCRACKING",$H14743="RESID_HYDROCRACKING"),"Hydrocracker",IF($H14743="REFORMING","Reformer",""))))</f>
        <v/>
      </c>
    </row>
    <row r="14744" spans="6:7">
      <c r="F14744" s="6">
        <f>IF($M14744="PADD I","PADD 1",IF($M14744="PADD II","PADD 2",IF($M14744="PADD III","PADD 3",IF($M14744="PADD IV","PADD 4",IF($M14744="PADD V","PADD 5","")))))</f>
        <v/>
      </c>
      <c r="G14744" s="6">
        <f>IF(AND($H14744="ATMOS DISTILLATION",ISNUMBER(SEARCH("VPS",$I14744))=FALSE,LEFT($I14744,6)&lt;&gt;"VACUUM"),"CDU",IF($H14744="FLUID CAT CRACKING","FCC",IF(OR($H14744="HYDROCRACKING",$H14744="RESID_HYDROCRACKING"),"Hydrocracker",IF($H14744="REFORMING","Reformer",""))))</f>
        <v/>
      </c>
    </row>
    <row r="14745" spans="6:7">
      <c r="F14745" s="6">
        <f>IF($M14745="PADD I","PADD 1",IF($M14745="PADD II","PADD 2",IF($M14745="PADD III","PADD 3",IF($M14745="PADD IV","PADD 4",IF($M14745="PADD V","PADD 5","")))))</f>
        <v/>
      </c>
      <c r="G14745" s="6">
        <f>IF(AND($H14745="ATMOS DISTILLATION",ISNUMBER(SEARCH("VPS",$I14745))=FALSE,LEFT($I14745,6)&lt;&gt;"VACUUM"),"CDU",IF($H14745="FLUID CAT CRACKING","FCC",IF(OR($H14745="HYDROCRACKING",$H14745="RESID_HYDROCRACKING"),"Hydrocracker",IF($H14745="REFORMING","Reformer",""))))</f>
        <v/>
      </c>
    </row>
    <row r="14746" spans="6:7">
      <c r="F14746" s="6">
        <f>IF($M14746="PADD I","PADD 1",IF($M14746="PADD II","PADD 2",IF($M14746="PADD III","PADD 3",IF($M14746="PADD IV","PADD 4",IF($M14746="PADD V","PADD 5","")))))</f>
        <v/>
      </c>
      <c r="G14746" s="6">
        <f>IF(AND($H14746="ATMOS DISTILLATION",ISNUMBER(SEARCH("VPS",$I14746))=FALSE,LEFT($I14746,6)&lt;&gt;"VACUUM"),"CDU",IF($H14746="FLUID CAT CRACKING","FCC",IF(OR($H14746="HYDROCRACKING",$H14746="RESID_HYDROCRACKING"),"Hydrocracker",IF($H14746="REFORMING","Reformer",""))))</f>
        <v/>
      </c>
    </row>
    <row r="14747" spans="6:7">
      <c r="F14747" s="6">
        <f>IF($M14747="PADD I","PADD 1",IF($M14747="PADD II","PADD 2",IF($M14747="PADD III","PADD 3",IF($M14747="PADD IV","PADD 4",IF($M14747="PADD V","PADD 5","")))))</f>
        <v/>
      </c>
      <c r="G14747" s="6">
        <f>IF(AND($H14747="ATMOS DISTILLATION",ISNUMBER(SEARCH("VPS",$I14747))=FALSE,LEFT($I14747,6)&lt;&gt;"VACUUM"),"CDU",IF($H14747="FLUID CAT CRACKING","FCC",IF(OR($H14747="HYDROCRACKING",$H14747="RESID_HYDROCRACKING"),"Hydrocracker",IF($H14747="REFORMING","Reformer",""))))</f>
        <v/>
      </c>
    </row>
    <row r="14748" spans="6:7">
      <c r="F14748" s="6">
        <f>IF($M14748="PADD I","PADD 1",IF($M14748="PADD II","PADD 2",IF($M14748="PADD III","PADD 3",IF($M14748="PADD IV","PADD 4",IF($M14748="PADD V","PADD 5","")))))</f>
        <v/>
      </c>
      <c r="G14748" s="6">
        <f>IF(AND($H14748="ATMOS DISTILLATION",ISNUMBER(SEARCH("VPS",$I14748))=FALSE,LEFT($I14748,6)&lt;&gt;"VACUUM"),"CDU",IF($H14748="FLUID CAT CRACKING","FCC",IF(OR($H14748="HYDROCRACKING",$H14748="RESID_HYDROCRACKING"),"Hydrocracker",IF($H14748="REFORMING","Reformer",""))))</f>
        <v/>
      </c>
    </row>
    <row r="14749" spans="6:7">
      <c r="F14749" s="6">
        <f>IF($M14749="PADD I","PADD 1",IF($M14749="PADD II","PADD 2",IF($M14749="PADD III","PADD 3",IF($M14749="PADD IV","PADD 4",IF($M14749="PADD V","PADD 5","")))))</f>
        <v/>
      </c>
      <c r="G14749" s="6">
        <f>IF(AND($H14749="ATMOS DISTILLATION",ISNUMBER(SEARCH("VPS",$I14749))=FALSE,LEFT($I14749,6)&lt;&gt;"VACUUM"),"CDU",IF($H14749="FLUID CAT CRACKING","FCC",IF(OR($H14749="HYDROCRACKING",$H14749="RESID_HYDROCRACKING"),"Hydrocracker",IF($H14749="REFORMING","Reformer",""))))</f>
        <v/>
      </c>
    </row>
    <row r="14750" spans="6:7">
      <c r="F14750" s="6">
        <f>IF($M14750="PADD I","PADD 1",IF($M14750="PADD II","PADD 2",IF($M14750="PADD III","PADD 3",IF($M14750="PADD IV","PADD 4",IF($M14750="PADD V","PADD 5","")))))</f>
        <v/>
      </c>
      <c r="G14750" s="6">
        <f>IF(AND($H14750="ATMOS DISTILLATION",ISNUMBER(SEARCH("VPS",$I14750))=FALSE,LEFT($I14750,6)&lt;&gt;"VACUUM"),"CDU",IF($H14750="FLUID CAT CRACKING","FCC",IF(OR($H14750="HYDROCRACKING",$H14750="RESID_HYDROCRACKING"),"Hydrocracker",IF($H14750="REFORMING","Reformer",""))))</f>
        <v/>
      </c>
    </row>
    <row r="14751" spans="6:7">
      <c r="F14751" s="6">
        <f>IF($M14751="PADD I","PADD 1",IF($M14751="PADD II","PADD 2",IF($M14751="PADD III","PADD 3",IF($M14751="PADD IV","PADD 4",IF($M14751="PADD V","PADD 5","")))))</f>
        <v/>
      </c>
      <c r="G14751" s="6">
        <f>IF(AND($H14751="ATMOS DISTILLATION",ISNUMBER(SEARCH("VPS",$I14751))=FALSE,LEFT($I14751,6)&lt;&gt;"VACUUM"),"CDU",IF($H14751="FLUID CAT CRACKING","FCC",IF(OR($H14751="HYDROCRACKING",$H14751="RESID_HYDROCRACKING"),"Hydrocracker",IF($H14751="REFORMING","Reformer",""))))</f>
        <v/>
      </c>
    </row>
    <row r="14752" spans="6:7">
      <c r="F14752" s="6">
        <f>IF($M14752="PADD I","PADD 1",IF($M14752="PADD II","PADD 2",IF($M14752="PADD III","PADD 3",IF($M14752="PADD IV","PADD 4",IF($M14752="PADD V","PADD 5","")))))</f>
        <v/>
      </c>
      <c r="G14752" s="6">
        <f>IF(AND($H14752="ATMOS DISTILLATION",ISNUMBER(SEARCH("VPS",$I14752))=FALSE,LEFT($I14752,6)&lt;&gt;"VACUUM"),"CDU",IF($H14752="FLUID CAT CRACKING","FCC",IF(OR($H14752="HYDROCRACKING",$H14752="RESID_HYDROCRACKING"),"Hydrocracker",IF($H14752="REFORMING","Reformer",""))))</f>
        <v/>
      </c>
    </row>
    <row r="14753" spans="6:7">
      <c r="F14753" s="6">
        <f>IF($M14753="PADD I","PADD 1",IF($M14753="PADD II","PADD 2",IF($M14753="PADD III","PADD 3",IF($M14753="PADD IV","PADD 4",IF($M14753="PADD V","PADD 5","")))))</f>
        <v/>
      </c>
      <c r="G14753" s="6">
        <f>IF(AND($H14753="ATMOS DISTILLATION",ISNUMBER(SEARCH("VPS",$I14753))=FALSE,LEFT($I14753,6)&lt;&gt;"VACUUM"),"CDU",IF($H14753="FLUID CAT CRACKING","FCC",IF(OR($H14753="HYDROCRACKING",$H14753="RESID_HYDROCRACKING"),"Hydrocracker",IF($H14753="REFORMING","Reformer",""))))</f>
        <v/>
      </c>
    </row>
    <row r="14754" spans="6:7">
      <c r="F14754" s="6">
        <f>IF($M14754="PADD I","PADD 1",IF($M14754="PADD II","PADD 2",IF($M14754="PADD III","PADD 3",IF($M14754="PADD IV","PADD 4",IF($M14754="PADD V","PADD 5","")))))</f>
        <v/>
      </c>
      <c r="G14754" s="6">
        <f>IF(AND($H14754="ATMOS DISTILLATION",ISNUMBER(SEARCH("VPS",$I14754))=FALSE,LEFT($I14754,6)&lt;&gt;"VACUUM"),"CDU",IF($H14754="FLUID CAT CRACKING","FCC",IF(OR($H14754="HYDROCRACKING",$H14754="RESID_HYDROCRACKING"),"Hydrocracker",IF($H14754="REFORMING","Reformer",""))))</f>
        <v/>
      </c>
    </row>
    <row r="14755" spans="6:7">
      <c r="F14755" s="6">
        <f>IF($M14755="PADD I","PADD 1",IF($M14755="PADD II","PADD 2",IF($M14755="PADD III","PADD 3",IF($M14755="PADD IV","PADD 4",IF($M14755="PADD V","PADD 5","")))))</f>
        <v/>
      </c>
      <c r="G14755" s="6">
        <f>IF(AND($H14755="ATMOS DISTILLATION",ISNUMBER(SEARCH("VPS",$I14755))=FALSE,LEFT($I14755,6)&lt;&gt;"VACUUM"),"CDU",IF($H14755="FLUID CAT CRACKING","FCC",IF(OR($H14755="HYDROCRACKING",$H14755="RESID_HYDROCRACKING"),"Hydrocracker",IF($H14755="REFORMING","Reformer",""))))</f>
        <v/>
      </c>
    </row>
    <row r="14756" spans="6:7">
      <c r="F14756" s="6">
        <f>IF($M14756="PADD I","PADD 1",IF($M14756="PADD II","PADD 2",IF($M14756="PADD III","PADD 3",IF($M14756="PADD IV","PADD 4",IF($M14756="PADD V","PADD 5","")))))</f>
        <v/>
      </c>
      <c r="G14756" s="6">
        <f>IF(AND($H14756="ATMOS DISTILLATION",ISNUMBER(SEARCH("VPS",$I14756))=FALSE,LEFT($I14756,6)&lt;&gt;"VACUUM"),"CDU",IF($H14756="FLUID CAT CRACKING","FCC",IF(OR($H14756="HYDROCRACKING",$H14756="RESID_HYDROCRACKING"),"Hydrocracker",IF($H14756="REFORMING","Reformer",""))))</f>
        <v/>
      </c>
    </row>
    <row r="14757" spans="6:7">
      <c r="F14757" s="6">
        <f>IF($M14757="PADD I","PADD 1",IF($M14757="PADD II","PADD 2",IF($M14757="PADD III","PADD 3",IF($M14757="PADD IV","PADD 4",IF($M14757="PADD V","PADD 5","")))))</f>
        <v/>
      </c>
      <c r="G14757" s="6">
        <f>IF(AND($H14757="ATMOS DISTILLATION",ISNUMBER(SEARCH("VPS",$I14757))=FALSE,LEFT($I14757,6)&lt;&gt;"VACUUM"),"CDU",IF($H14757="FLUID CAT CRACKING","FCC",IF(OR($H14757="HYDROCRACKING",$H14757="RESID_HYDROCRACKING"),"Hydrocracker",IF($H14757="REFORMING","Reformer",""))))</f>
        <v/>
      </c>
    </row>
    <row r="14758" spans="6:7">
      <c r="F14758" s="6">
        <f>IF($M14758="PADD I","PADD 1",IF($M14758="PADD II","PADD 2",IF($M14758="PADD III","PADD 3",IF($M14758="PADD IV","PADD 4",IF($M14758="PADD V","PADD 5","")))))</f>
        <v/>
      </c>
      <c r="G14758" s="6">
        <f>IF(AND($H14758="ATMOS DISTILLATION",ISNUMBER(SEARCH("VPS",$I14758))=FALSE,LEFT($I14758,6)&lt;&gt;"VACUUM"),"CDU",IF($H14758="FLUID CAT CRACKING","FCC",IF(OR($H14758="HYDROCRACKING",$H14758="RESID_HYDROCRACKING"),"Hydrocracker",IF($H14758="REFORMING","Reformer",""))))</f>
        <v/>
      </c>
    </row>
    <row r="14759" spans="6:7">
      <c r="F14759" s="6">
        <f>IF($M14759="PADD I","PADD 1",IF($M14759="PADD II","PADD 2",IF($M14759="PADD III","PADD 3",IF($M14759="PADD IV","PADD 4",IF($M14759="PADD V","PADD 5","")))))</f>
        <v/>
      </c>
      <c r="G14759" s="6">
        <f>IF(AND($H14759="ATMOS DISTILLATION",ISNUMBER(SEARCH("VPS",$I14759))=FALSE,LEFT($I14759,6)&lt;&gt;"VACUUM"),"CDU",IF($H14759="FLUID CAT CRACKING","FCC",IF(OR($H14759="HYDROCRACKING",$H14759="RESID_HYDROCRACKING"),"Hydrocracker",IF($H14759="REFORMING","Reformer",""))))</f>
        <v/>
      </c>
    </row>
    <row r="14760" spans="6:7">
      <c r="F14760" s="6">
        <f>IF($M14760="PADD I","PADD 1",IF($M14760="PADD II","PADD 2",IF($M14760="PADD III","PADD 3",IF($M14760="PADD IV","PADD 4",IF($M14760="PADD V","PADD 5","")))))</f>
        <v/>
      </c>
      <c r="G14760" s="6">
        <f>IF(AND($H14760="ATMOS DISTILLATION",ISNUMBER(SEARCH("VPS",$I14760))=FALSE,LEFT($I14760,6)&lt;&gt;"VACUUM"),"CDU",IF($H14760="FLUID CAT CRACKING","FCC",IF(OR($H14760="HYDROCRACKING",$H14760="RESID_HYDROCRACKING"),"Hydrocracker",IF($H14760="REFORMING","Reformer",""))))</f>
        <v/>
      </c>
    </row>
    <row r="14761" spans="6:7">
      <c r="F14761" s="6">
        <f>IF($M14761="PADD I","PADD 1",IF($M14761="PADD II","PADD 2",IF($M14761="PADD III","PADD 3",IF($M14761="PADD IV","PADD 4",IF($M14761="PADD V","PADD 5","")))))</f>
        <v/>
      </c>
      <c r="G14761" s="6">
        <f>IF(AND($H14761="ATMOS DISTILLATION",ISNUMBER(SEARCH("VPS",$I14761))=FALSE,LEFT($I14761,6)&lt;&gt;"VACUUM"),"CDU",IF($H14761="FLUID CAT CRACKING","FCC",IF(OR($H14761="HYDROCRACKING",$H14761="RESID_HYDROCRACKING"),"Hydrocracker",IF($H14761="REFORMING","Reformer",""))))</f>
        <v/>
      </c>
    </row>
    <row r="14762" spans="6:7">
      <c r="F14762" s="6">
        <f>IF($M14762="PADD I","PADD 1",IF($M14762="PADD II","PADD 2",IF($M14762="PADD III","PADD 3",IF($M14762="PADD IV","PADD 4",IF($M14762="PADD V","PADD 5","")))))</f>
        <v/>
      </c>
      <c r="G14762" s="6">
        <f>IF(AND($H14762="ATMOS DISTILLATION",ISNUMBER(SEARCH("VPS",$I14762))=FALSE,LEFT($I14762,6)&lt;&gt;"VACUUM"),"CDU",IF($H14762="FLUID CAT CRACKING","FCC",IF(OR($H14762="HYDROCRACKING",$H14762="RESID_HYDROCRACKING"),"Hydrocracker",IF($H14762="REFORMING","Reformer",""))))</f>
        <v/>
      </c>
    </row>
    <row r="14763" spans="6:7">
      <c r="F14763" s="6">
        <f>IF($M14763="PADD I","PADD 1",IF($M14763="PADD II","PADD 2",IF($M14763="PADD III","PADD 3",IF($M14763="PADD IV","PADD 4",IF($M14763="PADD V","PADD 5","")))))</f>
        <v/>
      </c>
      <c r="G14763" s="6">
        <f>IF(AND($H14763="ATMOS DISTILLATION",ISNUMBER(SEARCH("VPS",$I14763))=FALSE,LEFT($I14763,6)&lt;&gt;"VACUUM"),"CDU",IF($H14763="FLUID CAT CRACKING","FCC",IF(OR($H14763="HYDROCRACKING",$H14763="RESID_HYDROCRACKING"),"Hydrocracker",IF($H14763="REFORMING","Reformer",""))))</f>
        <v/>
      </c>
    </row>
    <row r="14764" spans="6:7">
      <c r="F14764" s="6">
        <f>IF($M14764="PADD I","PADD 1",IF($M14764="PADD II","PADD 2",IF($M14764="PADD III","PADD 3",IF($M14764="PADD IV","PADD 4",IF($M14764="PADD V","PADD 5","")))))</f>
        <v/>
      </c>
      <c r="G14764" s="6">
        <f>IF(AND($H14764="ATMOS DISTILLATION",ISNUMBER(SEARCH("VPS",$I14764))=FALSE,LEFT($I14764,6)&lt;&gt;"VACUUM"),"CDU",IF($H14764="FLUID CAT CRACKING","FCC",IF(OR($H14764="HYDROCRACKING",$H14764="RESID_HYDROCRACKING"),"Hydrocracker",IF($H14764="REFORMING","Reformer",""))))</f>
        <v/>
      </c>
    </row>
    <row r="14765" spans="6:7">
      <c r="F14765" s="6">
        <f>IF($M14765="PADD I","PADD 1",IF($M14765="PADD II","PADD 2",IF($M14765="PADD III","PADD 3",IF($M14765="PADD IV","PADD 4",IF($M14765="PADD V","PADD 5","")))))</f>
        <v/>
      </c>
      <c r="G14765" s="6">
        <f>IF(AND($H14765="ATMOS DISTILLATION",ISNUMBER(SEARCH("VPS",$I14765))=FALSE,LEFT($I14765,6)&lt;&gt;"VACUUM"),"CDU",IF($H14765="FLUID CAT CRACKING","FCC",IF(OR($H14765="HYDROCRACKING",$H14765="RESID_HYDROCRACKING"),"Hydrocracker",IF($H14765="REFORMING","Reformer",""))))</f>
        <v/>
      </c>
    </row>
    <row r="14766" spans="6:7">
      <c r="F14766" s="6">
        <f>IF($M14766="PADD I","PADD 1",IF($M14766="PADD II","PADD 2",IF($M14766="PADD III","PADD 3",IF($M14766="PADD IV","PADD 4",IF($M14766="PADD V","PADD 5","")))))</f>
        <v/>
      </c>
      <c r="G14766" s="6">
        <f>IF(AND($H14766="ATMOS DISTILLATION",ISNUMBER(SEARCH("VPS",$I14766))=FALSE,LEFT($I14766,6)&lt;&gt;"VACUUM"),"CDU",IF($H14766="FLUID CAT CRACKING","FCC",IF(OR($H14766="HYDROCRACKING",$H14766="RESID_HYDROCRACKING"),"Hydrocracker",IF($H14766="REFORMING","Reformer",""))))</f>
        <v/>
      </c>
    </row>
    <row r="14767" spans="6:7">
      <c r="F14767" s="6">
        <f>IF($M14767="PADD I","PADD 1",IF($M14767="PADD II","PADD 2",IF($M14767="PADD III","PADD 3",IF($M14767="PADD IV","PADD 4",IF($M14767="PADD V","PADD 5","")))))</f>
        <v/>
      </c>
      <c r="G14767" s="6">
        <f>IF(AND($H14767="ATMOS DISTILLATION",ISNUMBER(SEARCH("VPS",$I14767))=FALSE,LEFT($I14767,6)&lt;&gt;"VACUUM"),"CDU",IF($H14767="FLUID CAT CRACKING","FCC",IF(OR($H14767="HYDROCRACKING",$H14767="RESID_HYDROCRACKING"),"Hydrocracker",IF($H14767="REFORMING","Reformer",""))))</f>
        <v/>
      </c>
    </row>
    <row r="14768" spans="6:7">
      <c r="F14768" s="6">
        <f>IF($M14768="PADD I","PADD 1",IF($M14768="PADD II","PADD 2",IF($M14768="PADD III","PADD 3",IF($M14768="PADD IV","PADD 4",IF($M14768="PADD V","PADD 5","")))))</f>
        <v/>
      </c>
      <c r="G14768" s="6">
        <f>IF(AND($H14768="ATMOS DISTILLATION",ISNUMBER(SEARCH("VPS",$I14768))=FALSE,LEFT($I14768,6)&lt;&gt;"VACUUM"),"CDU",IF($H14768="FLUID CAT CRACKING","FCC",IF(OR($H14768="HYDROCRACKING",$H14768="RESID_HYDROCRACKING"),"Hydrocracker",IF($H14768="REFORMING","Reformer",""))))</f>
        <v/>
      </c>
    </row>
    <row r="14769" spans="6:7">
      <c r="F14769" s="6">
        <f>IF($M14769="PADD I","PADD 1",IF($M14769="PADD II","PADD 2",IF($M14769="PADD III","PADD 3",IF($M14769="PADD IV","PADD 4",IF($M14769="PADD V","PADD 5","")))))</f>
        <v/>
      </c>
      <c r="G14769" s="6">
        <f>IF(AND($H14769="ATMOS DISTILLATION",ISNUMBER(SEARCH("VPS",$I14769))=FALSE,LEFT($I14769,6)&lt;&gt;"VACUUM"),"CDU",IF($H14769="FLUID CAT CRACKING","FCC",IF(OR($H14769="HYDROCRACKING",$H14769="RESID_HYDROCRACKING"),"Hydrocracker",IF($H14769="REFORMING","Reformer",""))))</f>
        <v/>
      </c>
    </row>
    <row r="14770" spans="6:7">
      <c r="F14770" s="6">
        <f>IF($M14770="PADD I","PADD 1",IF($M14770="PADD II","PADD 2",IF($M14770="PADD III","PADD 3",IF($M14770="PADD IV","PADD 4",IF($M14770="PADD V","PADD 5","")))))</f>
        <v/>
      </c>
      <c r="G14770" s="6">
        <f>IF(AND($H14770="ATMOS DISTILLATION",ISNUMBER(SEARCH("VPS",$I14770))=FALSE,LEFT($I14770,6)&lt;&gt;"VACUUM"),"CDU",IF($H14770="FLUID CAT CRACKING","FCC",IF(OR($H14770="HYDROCRACKING",$H14770="RESID_HYDROCRACKING"),"Hydrocracker",IF($H14770="REFORMING","Reformer",""))))</f>
        <v/>
      </c>
    </row>
    <row r="14771" spans="6:7">
      <c r="F14771" s="6">
        <f>IF($M14771="PADD I","PADD 1",IF($M14771="PADD II","PADD 2",IF($M14771="PADD III","PADD 3",IF($M14771="PADD IV","PADD 4",IF($M14771="PADD V","PADD 5","")))))</f>
        <v/>
      </c>
      <c r="G14771" s="6">
        <f>IF(AND($H14771="ATMOS DISTILLATION",ISNUMBER(SEARCH("VPS",$I14771))=FALSE,LEFT($I14771,6)&lt;&gt;"VACUUM"),"CDU",IF($H14771="FLUID CAT CRACKING","FCC",IF(OR($H14771="HYDROCRACKING",$H14771="RESID_HYDROCRACKING"),"Hydrocracker",IF($H14771="REFORMING","Reformer",""))))</f>
        <v/>
      </c>
    </row>
    <row r="14772" spans="6:7">
      <c r="F14772" s="6">
        <f>IF($M14772="PADD I","PADD 1",IF($M14772="PADD II","PADD 2",IF($M14772="PADD III","PADD 3",IF($M14772="PADD IV","PADD 4",IF($M14772="PADD V","PADD 5","")))))</f>
        <v/>
      </c>
      <c r="G14772" s="6">
        <f>IF(AND($H14772="ATMOS DISTILLATION",ISNUMBER(SEARCH("VPS",$I14772))=FALSE,LEFT($I14772,6)&lt;&gt;"VACUUM"),"CDU",IF($H14772="FLUID CAT CRACKING","FCC",IF(OR($H14772="HYDROCRACKING",$H14772="RESID_HYDROCRACKING"),"Hydrocracker",IF($H14772="REFORMING","Reformer",""))))</f>
        <v/>
      </c>
    </row>
    <row r="14773" spans="6:7">
      <c r="F14773" s="6">
        <f>IF($M14773="PADD I","PADD 1",IF($M14773="PADD II","PADD 2",IF($M14773="PADD III","PADD 3",IF($M14773="PADD IV","PADD 4",IF($M14773="PADD V","PADD 5","")))))</f>
        <v/>
      </c>
      <c r="G14773" s="6">
        <f>IF(AND($H14773="ATMOS DISTILLATION",ISNUMBER(SEARCH("VPS",$I14773))=FALSE,LEFT($I14773,6)&lt;&gt;"VACUUM"),"CDU",IF($H14773="FLUID CAT CRACKING","FCC",IF(OR($H14773="HYDROCRACKING",$H14773="RESID_HYDROCRACKING"),"Hydrocracker",IF($H14773="REFORMING","Reformer",""))))</f>
        <v/>
      </c>
    </row>
    <row r="14774" spans="6:7">
      <c r="F14774" s="6">
        <f>IF($M14774="PADD I","PADD 1",IF($M14774="PADD II","PADD 2",IF($M14774="PADD III","PADD 3",IF($M14774="PADD IV","PADD 4",IF($M14774="PADD V","PADD 5","")))))</f>
        <v/>
      </c>
      <c r="G14774" s="6">
        <f>IF(AND($H14774="ATMOS DISTILLATION",ISNUMBER(SEARCH("VPS",$I14774))=FALSE,LEFT($I14774,6)&lt;&gt;"VACUUM"),"CDU",IF($H14774="FLUID CAT CRACKING","FCC",IF(OR($H14774="HYDROCRACKING",$H14774="RESID_HYDROCRACKING"),"Hydrocracker",IF($H14774="REFORMING","Reformer",""))))</f>
        <v/>
      </c>
    </row>
    <row r="14775" spans="6:7">
      <c r="F14775" s="6">
        <f>IF($M14775="PADD I","PADD 1",IF($M14775="PADD II","PADD 2",IF($M14775="PADD III","PADD 3",IF($M14775="PADD IV","PADD 4",IF($M14775="PADD V","PADD 5","")))))</f>
        <v/>
      </c>
      <c r="G14775" s="6">
        <f>IF(AND($H14775="ATMOS DISTILLATION",ISNUMBER(SEARCH("VPS",$I14775))=FALSE,LEFT($I14775,6)&lt;&gt;"VACUUM"),"CDU",IF($H14775="FLUID CAT CRACKING","FCC",IF(OR($H14775="HYDROCRACKING",$H14775="RESID_HYDROCRACKING"),"Hydrocracker",IF($H14775="REFORMING","Reformer",""))))</f>
        <v/>
      </c>
    </row>
    <row r="14776" spans="6:7">
      <c r="F14776" s="6">
        <f>IF($M14776="PADD I","PADD 1",IF($M14776="PADD II","PADD 2",IF($M14776="PADD III","PADD 3",IF($M14776="PADD IV","PADD 4",IF($M14776="PADD V","PADD 5","")))))</f>
        <v/>
      </c>
      <c r="G14776" s="6">
        <f>IF(AND($H14776="ATMOS DISTILLATION",ISNUMBER(SEARCH("VPS",$I14776))=FALSE,LEFT($I14776,6)&lt;&gt;"VACUUM"),"CDU",IF($H14776="FLUID CAT CRACKING","FCC",IF(OR($H14776="HYDROCRACKING",$H14776="RESID_HYDROCRACKING"),"Hydrocracker",IF($H14776="REFORMING","Reformer",""))))</f>
        <v/>
      </c>
    </row>
    <row r="14777" spans="6:7">
      <c r="F14777" s="6">
        <f>IF($M14777="PADD I","PADD 1",IF($M14777="PADD II","PADD 2",IF($M14777="PADD III","PADD 3",IF($M14777="PADD IV","PADD 4",IF($M14777="PADD V","PADD 5","")))))</f>
        <v/>
      </c>
      <c r="G14777" s="6">
        <f>IF(AND($H14777="ATMOS DISTILLATION",ISNUMBER(SEARCH("VPS",$I14777))=FALSE,LEFT($I14777,6)&lt;&gt;"VACUUM"),"CDU",IF($H14777="FLUID CAT CRACKING","FCC",IF(OR($H14777="HYDROCRACKING",$H14777="RESID_HYDROCRACKING"),"Hydrocracker",IF($H14777="REFORMING","Reformer",""))))</f>
        <v/>
      </c>
    </row>
    <row r="14778" spans="6:7">
      <c r="F14778" s="6">
        <f>IF($M14778="PADD I","PADD 1",IF($M14778="PADD II","PADD 2",IF($M14778="PADD III","PADD 3",IF($M14778="PADD IV","PADD 4",IF($M14778="PADD V","PADD 5","")))))</f>
        <v/>
      </c>
      <c r="G14778" s="6">
        <f>IF(AND($H14778="ATMOS DISTILLATION",ISNUMBER(SEARCH("VPS",$I14778))=FALSE,LEFT($I14778,6)&lt;&gt;"VACUUM"),"CDU",IF($H14778="FLUID CAT CRACKING","FCC",IF(OR($H14778="HYDROCRACKING",$H14778="RESID_HYDROCRACKING"),"Hydrocracker",IF($H14778="REFORMING","Reformer",""))))</f>
        <v/>
      </c>
    </row>
    <row r="14779" spans="6:7">
      <c r="F14779" s="6">
        <f>IF($M14779="PADD I","PADD 1",IF($M14779="PADD II","PADD 2",IF($M14779="PADD III","PADD 3",IF($M14779="PADD IV","PADD 4",IF($M14779="PADD V","PADD 5","")))))</f>
        <v/>
      </c>
      <c r="G14779" s="6">
        <f>IF(AND($H14779="ATMOS DISTILLATION",ISNUMBER(SEARCH("VPS",$I14779))=FALSE,LEFT($I14779,6)&lt;&gt;"VACUUM"),"CDU",IF($H14779="FLUID CAT CRACKING","FCC",IF(OR($H14779="HYDROCRACKING",$H14779="RESID_HYDROCRACKING"),"Hydrocracker",IF($H14779="REFORMING","Reformer",""))))</f>
        <v/>
      </c>
    </row>
    <row r="14780" spans="6:7">
      <c r="F14780" s="6">
        <f>IF($M14780="PADD I","PADD 1",IF($M14780="PADD II","PADD 2",IF($M14780="PADD III","PADD 3",IF($M14780="PADD IV","PADD 4",IF($M14780="PADD V","PADD 5","")))))</f>
        <v/>
      </c>
      <c r="G14780" s="6">
        <f>IF(AND($H14780="ATMOS DISTILLATION",ISNUMBER(SEARCH("VPS",$I14780))=FALSE,LEFT($I14780,6)&lt;&gt;"VACUUM"),"CDU",IF($H14780="FLUID CAT CRACKING","FCC",IF(OR($H14780="HYDROCRACKING",$H14780="RESID_HYDROCRACKING"),"Hydrocracker",IF($H14780="REFORMING","Reformer",""))))</f>
        <v/>
      </c>
    </row>
    <row r="14781" spans="6:7">
      <c r="F14781" s="6">
        <f>IF($M14781="PADD I","PADD 1",IF($M14781="PADD II","PADD 2",IF($M14781="PADD III","PADD 3",IF($M14781="PADD IV","PADD 4",IF($M14781="PADD V","PADD 5","")))))</f>
        <v/>
      </c>
      <c r="G14781" s="6">
        <f>IF(AND($H14781="ATMOS DISTILLATION",ISNUMBER(SEARCH("VPS",$I14781))=FALSE,LEFT($I14781,6)&lt;&gt;"VACUUM"),"CDU",IF($H14781="FLUID CAT CRACKING","FCC",IF(OR($H14781="HYDROCRACKING",$H14781="RESID_HYDROCRACKING"),"Hydrocracker",IF($H14781="REFORMING","Reformer",""))))</f>
        <v/>
      </c>
    </row>
    <row r="14782" spans="6:7">
      <c r="F14782" s="6">
        <f>IF($M14782="PADD I","PADD 1",IF($M14782="PADD II","PADD 2",IF($M14782="PADD III","PADD 3",IF($M14782="PADD IV","PADD 4",IF($M14782="PADD V","PADD 5","")))))</f>
        <v/>
      </c>
      <c r="G14782" s="6">
        <f>IF(AND($H14782="ATMOS DISTILLATION",ISNUMBER(SEARCH("VPS",$I14782))=FALSE,LEFT($I14782,6)&lt;&gt;"VACUUM"),"CDU",IF($H14782="FLUID CAT CRACKING","FCC",IF(OR($H14782="HYDROCRACKING",$H14782="RESID_HYDROCRACKING"),"Hydrocracker",IF($H14782="REFORMING","Reformer",""))))</f>
        <v/>
      </c>
    </row>
    <row r="14783" spans="6:7">
      <c r="F14783" s="6">
        <f>IF($M14783="PADD I","PADD 1",IF($M14783="PADD II","PADD 2",IF($M14783="PADD III","PADD 3",IF($M14783="PADD IV","PADD 4",IF($M14783="PADD V","PADD 5","")))))</f>
        <v/>
      </c>
      <c r="G14783" s="6">
        <f>IF(AND($H14783="ATMOS DISTILLATION",ISNUMBER(SEARCH("VPS",$I14783))=FALSE,LEFT($I14783,6)&lt;&gt;"VACUUM"),"CDU",IF($H14783="FLUID CAT CRACKING","FCC",IF(OR($H14783="HYDROCRACKING",$H14783="RESID_HYDROCRACKING"),"Hydrocracker",IF($H14783="REFORMING","Reformer",""))))</f>
        <v/>
      </c>
    </row>
    <row r="14784" spans="6:7">
      <c r="F14784" s="6">
        <f>IF($M14784="PADD I","PADD 1",IF($M14784="PADD II","PADD 2",IF($M14784="PADD III","PADD 3",IF($M14784="PADD IV","PADD 4",IF($M14784="PADD V","PADD 5","")))))</f>
        <v/>
      </c>
      <c r="G14784" s="6">
        <f>IF(AND($H14784="ATMOS DISTILLATION",ISNUMBER(SEARCH("VPS",$I14784))=FALSE,LEFT($I14784,6)&lt;&gt;"VACUUM"),"CDU",IF($H14784="FLUID CAT CRACKING","FCC",IF(OR($H14784="HYDROCRACKING",$H14784="RESID_HYDROCRACKING"),"Hydrocracker",IF($H14784="REFORMING","Reformer",""))))</f>
        <v/>
      </c>
    </row>
    <row r="14785" spans="6:7">
      <c r="F14785" s="6">
        <f>IF($M14785="PADD I","PADD 1",IF($M14785="PADD II","PADD 2",IF($M14785="PADD III","PADD 3",IF($M14785="PADD IV","PADD 4",IF($M14785="PADD V","PADD 5","")))))</f>
        <v/>
      </c>
      <c r="G14785" s="6">
        <f>IF(AND($H14785="ATMOS DISTILLATION",ISNUMBER(SEARCH("VPS",$I14785))=FALSE,LEFT($I14785,6)&lt;&gt;"VACUUM"),"CDU",IF($H14785="FLUID CAT CRACKING","FCC",IF(OR($H14785="HYDROCRACKING",$H14785="RESID_HYDROCRACKING"),"Hydrocracker",IF($H14785="REFORMING","Reformer",""))))</f>
        <v/>
      </c>
    </row>
    <row r="14786" spans="6:7">
      <c r="F14786" s="6">
        <f>IF($M14786="PADD I","PADD 1",IF($M14786="PADD II","PADD 2",IF($M14786="PADD III","PADD 3",IF($M14786="PADD IV","PADD 4",IF($M14786="PADD V","PADD 5","")))))</f>
        <v/>
      </c>
      <c r="G14786" s="6">
        <f>IF(AND($H14786="ATMOS DISTILLATION",ISNUMBER(SEARCH("VPS",$I14786))=FALSE,LEFT($I14786,6)&lt;&gt;"VACUUM"),"CDU",IF($H14786="FLUID CAT CRACKING","FCC",IF(OR($H14786="HYDROCRACKING",$H14786="RESID_HYDROCRACKING"),"Hydrocracker",IF($H14786="REFORMING","Reformer",""))))</f>
        <v/>
      </c>
    </row>
    <row r="14787" spans="6:7">
      <c r="F14787" s="6">
        <f>IF($M14787="PADD I","PADD 1",IF($M14787="PADD II","PADD 2",IF($M14787="PADD III","PADD 3",IF($M14787="PADD IV","PADD 4",IF($M14787="PADD V","PADD 5","")))))</f>
        <v/>
      </c>
      <c r="G14787" s="6">
        <f>IF(AND($H14787="ATMOS DISTILLATION",ISNUMBER(SEARCH("VPS",$I14787))=FALSE,LEFT($I14787,6)&lt;&gt;"VACUUM"),"CDU",IF($H14787="FLUID CAT CRACKING","FCC",IF(OR($H14787="HYDROCRACKING",$H14787="RESID_HYDROCRACKING"),"Hydrocracker",IF($H14787="REFORMING","Reformer",""))))</f>
        <v/>
      </c>
    </row>
    <row r="14788" spans="6:7">
      <c r="F14788" s="6">
        <f>IF($M14788="PADD I","PADD 1",IF($M14788="PADD II","PADD 2",IF($M14788="PADD III","PADD 3",IF($M14788="PADD IV","PADD 4",IF($M14788="PADD V","PADD 5","")))))</f>
        <v/>
      </c>
      <c r="G14788" s="6">
        <f>IF(AND($H14788="ATMOS DISTILLATION",ISNUMBER(SEARCH("VPS",$I14788))=FALSE,LEFT($I14788,6)&lt;&gt;"VACUUM"),"CDU",IF($H14788="FLUID CAT CRACKING","FCC",IF(OR($H14788="HYDROCRACKING",$H14788="RESID_HYDROCRACKING"),"Hydrocracker",IF($H14788="REFORMING","Reformer",""))))</f>
        <v/>
      </c>
    </row>
    <row r="14789" spans="6:7">
      <c r="F14789" s="6">
        <f>IF($M14789="PADD I","PADD 1",IF($M14789="PADD II","PADD 2",IF($M14789="PADD III","PADD 3",IF($M14789="PADD IV","PADD 4",IF($M14789="PADD V","PADD 5","")))))</f>
        <v/>
      </c>
      <c r="G14789" s="6">
        <f>IF(AND($H14789="ATMOS DISTILLATION",ISNUMBER(SEARCH("VPS",$I14789))=FALSE,LEFT($I14789,6)&lt;&gt;"VACUUM"),"CDU",IF($H14789="FLUID CAT CRACKING","FCC",IF(OR($H14789="HYDROCRACKING",$H14789="RESID_HYDROCRACKING"),"Hydrocracker",IF($H14789="REFORMING","Reformer",""))))</f>
        <v/>
      </c>
    </row>
    <row r="14790" spans="6:7">
      <c r="F14790" s="6">
        <f>IF($M14790="PADD I","PADD 1",IF($M14790="PADD II","PADD 2",IF($M14790="PADD III","PADD 3",IF($M14790="PADD IV","PADD 4",IF($M14790="PADD V","PADD 5","")))))</f>
        <v/>
      </c>
      <c r="G14790" s="6">
        <f>IF(AND($H14790="ATMOS DISTILLATION",ISNUMBER(SEARCH("VPS",$I14790))=FALSE,LEFT($I14790,6)&lt;&gt;"VACUUM"),"CDU",IF($H14790="FLUID CAT CRACKING","FCC",IF(OR($H14790="HYDROCRACKING",$H14790="RESID_HYDROCRACKING"),"Hydrocracker",IF($H14790="REFORMING","Reformer",""))))</f>
        <v/>
      </c>
    </row>
    <row r="14791" spans="6:7">
      <c r="F14791" s="6">
        <f>IF($M14791="PADD I","PADD 1",IF($M14791="PADD II","PADD 2",IF($M14791="PADD III","PADD 3",IF($M14791="PADD IV","PADD 4",IF($M14791="PADD V","PADD 5","")))))</f>
        <v/>
      </c>
      <c r="G14791" s="6">
        <f>IF(AND($H14791="ATMOS DISTILLATION",ISNUMBER(SEARCH("VPS",$I14791))=FALSE,LEFT($I14791,6)&lt;&gt;"VACUUM"),"CDU",IF($H14791="FLUID CAT CRACKING","FCC",IF(OR($H14791="HYDROCRACKING",$H14791="RESID_HYDROCRACKING"),"Hydrocracker",IF($H14791="REFORMING","Reformer",""))))</f>
        <v/>
      </c>
    </row>
    <row r="14792" spans="6:7">
      <c r="F14792" s="6">
        <f>IF($M14792="PADD I","PADD 1",IF($M14792="PADD II","PADD 2",IF($M14792="PADD III","PADD 3",IF($M14792="PADD IV","PADD 4",IF($M14792="PADD V","PADD 5","")))))</f>
        <v/>
      </c>
      <c r="G14792" s="6">
        <f>IF(AND($H14792="ATMOS DISTILLATION",ISNUMBER(SEARCH("VPS",$I14792))=FALSE,LEFT($I14792,6)&lt;&gt;"VACUUM"),"CDU",IF($H14792="FLUID CAT CRACKING","FCC",IF(OR($H14792="HYDROCRACKING",$H14792="RESID_HYDROCRACKING"),"Hydrocracker",IF($H14792="REFORMING","Reformer",""))))</f>
        <v/>
      </c>
    </row>
    <row r="14793" spans="6:7">
      <c r="F14793" s="6">
        <f>IF($M14793="PADD I","PADD 1",IF($M14793="PADD II","PADD 2",IF($M14793="PADD III","PADD 3",IF($M14793="PADD IV","PADD 4",IF($M14793="PADD V","PADD 5","")))))</f>
        <v/>
      </c>
      <c r="G14793" s="6">
        <f>IF(AND($H14793="ATMOS DISTILLATION",ISNUMBER(SEARCH("VPS",$I14793))=FALSE,LEFT($I14793,6)&lt;&gt;"VACUUM"),"CDU",IF($H14793="FLUID CAT CRACKING","FCC",IF(OR($H14793="HYDROCRACKING",$H14793="RESID_HYDROCRACKING"),"Hydrocracker",IF($H14793="REFORMING","Reformer",""))))</f>
        <v/>
      </c>
    </row>
    <row r="14794" spans="6:7">
      <c r="F14794" s="6">
        <f>IF($M14794="PADD I","PADD 1",IF($M14794="PADD II","PADD 2",IF($M14794="PADD III","PADD 3",IF($M14794="PADD IV","PADD 4",IF($M14794="PADD V","PADD 5","")))))</f>
        <v/>
      </c>
      <c r="G14794" s="6">
        <f>IF(AND($H14794="ATMOS DISTILLATION",ISNUMBER(SEARCH("VPS",$I14794))=FALSE,LEFT($I14794,6)&lt;&gt;"VACUUM"),"CDU",IF($H14794="FLUID CAT CRACKING","FCC",IF(OR($H14794="HYDROCRACKING",$H14794="RESID_HYDROCRACKING"),"Hydrocracker",IF($H14794="REFORMING","Reformer",""))))</f>
        <v/>
      </c>
    </row>
    <row r="14795" spans="6:7">
      <c r="F14795" s="6">
        <f>IF($M14795="PADD I","PADD 1",IF($M14795="PADD II","PADD 2",IF($M14795="PADD III","PADD 3",IF($M14795="PADD IV","PADD 4",IF($M14795="PADD V","PADD 5","")))))</f>
        <v/>
      </c>
      <c r="G14795" s="6">
        <f>IF(AND($H14795="ATMOS DISTILLATION",ISNUMBER(SEARCH("VPS",$I14795))=FALSE,LEFT($I14795,6)&lt;&gt;"VACUUM"),"CDU",IF($H14795="FLUID CAT CRACKING","FCC",IF(OR($H14795="HYDROCRACKING",$H14795="RESID_HYDROCRACKING"),"Hydrocracker",IF($H14795="REFORMING","Reformer",""))))</f>
        <v/>
      </c>
    </row>
    <row r="14796" spans="6:7">
      <c r="F14796" s="6">
        <f>IF($M14796="PADD I","PADD 1",IF($M14796="PADD II","PADD 2",IF($M14796="PADD III","PADD 3",IF($M14796="PADD IV","PADD 4",IF($M14796="PADD V","PADD 5","")))))</f>
        <v/>
      </c>
      <c r="G14796" s="6">
        <f>IF(AND($H14796="ATMOS DISTILLATION",ISNUMBER(SEARCH("VPS",$I14796))=FALSE,LEFT($I14796,6)&lt;&gt;"VACUUM"),"CDU",IF($H14796="FLUID CAT CRACKING","FCC",IF(OR($H14796="HYDROCRACKING",$H14796="RESID_HYDROCRACKING"),"Hydrocracker",IF($H14796="REFORMING","Reformer",""))))</f>
        <v/>
      </c>
    </row>
    <row r="14797" spans="6:7">
      <c r="F14797" s="6">
        <f>IF($M14797="PADD I","PADD 1",IF($M14797="PADD II","PADD 2",IF($M14797="PADD III","PADD 3",IF($M14797="PADD IV","PADD 4",IF($M14797="PADD V","PADD 5","")))))</f>
        <v/>
      </c>
      <c r="G14797" s="6">
        <f>IF(AND($H14797="ATMOS DISTILLATION",ISNUMBER(SEARCH("VPS",$I14797))=FALSE,LEFT($I14797,6)&lt;&gt;"VACUUM"),"CDU",IF($H14797="FLUID CAT CRACKING","FCC",IF(OR($H14797="HYDROCRACKING",$H14797="RESID_HYDROCRACKING"),"Hydrocracker",IF($H14797="REFORMING","Reformer",""))))</f>
        <v/>
      </c>
    </row>
    <row r="14798" spans="6:7">
      <c r="F14798" s="6">
        <f>IF($M14798="PADD I","PADD 1",IF($M14798="PADD II","PADD 2",IF($M14798="PADD III","PADD 3",IF($M14798="PADD IV","PADD 4",IF($M14798="PADD V","PADD 5","")))))</f>
        <v/>
      </c>
      <c r="G14798" s="6">
        <f>IF(AND($H14798="ATMOS DISTILLATION",ISNUMBER(SEARCH("VPS",$I14798))=FALSE,LEFT($I14798,6)&lt;&gt;"VACUUM"),"CDU",IF($H14798="FLUID CAT CRACKING","FCC",IF(OR($H14798="HYDROCRACKING",$H14798="RESID_HYDROCRACKING"),"Hydrocracker",IF($H14798="REFORMING","Reformer",""))))</f>
        <v/>
      </c>
    </row>
    <row r="14799" spans="6:7">
      <c r="F14799" s="6">
        <f>IF($M14799="PADD I","PADD 1",IF($M14799="PADD II","PADD 2",IF($M14799="PADD III","PADD 3",IF($M14799="PADD IV","PADD 4",IF($M14799="PADD V","PADD 5","")))))</f>
        <v/>
      </c>
      <c r="G14799" s="6">
        <f>IF(AND($H14799="ATMOS DISTILLATION",ISNUMBER(SEARCH("VPS",$I14799))=FALSE,LEFT($I14799,6)&lt;&gt;"VACUUM"),"CDU",IF($H14799="FLUID CAT CRACKING","FCC",IF(OR($H14799="HYDROCRACKING",$H14799="RESID_HYDROCRACKING"),"Hydrocracker",IF($H14799="REFORMING","Reformer",""))))</f>
        <v/>
      </c>
    </row>
    <row r="14800" spans="6:7">
      <c r="F14800" s="6">
        <f>IF($M14800="PADD I","PADD 1",IF($M14800="PADD II","PADD 2",IF($M14800="PADD III","PADD 3",IF($M14800="PADD IV","PADD 4",IF($M14800="PADD V","PADD 5","")))))</f>
        <v/>
      </c>
      <c r="G14800" s="6">
        <f>IF(AND($H14800="ATMOS DISTILLATION",ISNUMBER(SEARCH("VPS",$I14800))=FALSE,LEFT($I14800,6)&lt;&gt;"VACUUM"),"CDU",IF($H14800="FLUID CAT CRACKING","FCC",IF(OR($H14800="HYDROCRACKING",$H14800="RESID_HYDROCRACKING"),"Hydrocracker",IF($H14800="REFORMING","Reformer",""))))</f>
        <v/>
      </c>
    </row>
    <row r="14801" spans="6:7">
      <c r="F14801" s="6">
        <f>IF($M14801="PADD I","PADD 1",IF($M14801="PADD II","PADD 2",IF($M14801="PADD III","PADD 3",IF($M14801="PADD IV","PADD 4",IF($M14801="PADD V","PADD 5","")))))</f>
        <v/>
      </c>
      <c r="G14801" s="6">
        <f>IF(AND($H14801="ATMOS DISTILLATION",ISNUMBER(SEARCH("VPS",$I14801))=FALSE,LEFT($I14801,6)&lt;&gt;"VACUUM"),"CDU",IF($H14801="FLUID CAT CRACKING","FCC",IF(OR($H14801="HYDROCRACKING",$H14801="RESID_HYDROCRACKING"),"Hydrocracker",IF($H14801="REFORMING","Reformer",""))))</f>
        <v/>
      </c>
    </row>
    <row r="14802" spans="6:7">
      <c r="F14802" s="6">
        <f>IF($M14802="PADD I","PADD 1",IF($M14802="PADD II","PADD 2",IF($M14802="PADD III","PADD 3",IF($M14802="PADD IV","PADD 4",IF($M14802="PADD V","PADD 5","")))))</f>
        <v/>
      </c>
      <c r="G14802" s="6">
        <f>IF(AND($H14802="ATMOS DISTILLATION",ISNUMBER(SEARCH("VPS",$I14802))=FALSE,LEFT($I14802,6)&lt;&gt;"VACUUM"),"CDU",IF($H14802="FLUID CAT CRACKING","FCC",IF(OR($H14802="HYDROCRACKING",$H14802="RESID_HYDROCRACKING"),"Hydrocracker",IF($H14802="REFORMING","Reformer",""))))</f>
        <v/>
      </c>
    </row>
    <row r="14803" spans="6:7">
      <c r="F14803" s="6">
        <f>IF($M14803="PADD I","PADD 1",IF($M14803="PADD II","PADD 2",IF($M14803="PADD III","PADD 3",IF($M14803="PADD IV","PADD 4",IF($M14803="PADD V","PADD 5","")))))</f>
        <v/>
      </c>
      <c r="G14803" s="6">
        <f>IF(AND($H14803="ATMOS DISTILLATION",ISNUMBER(SEARCH("VPS",$I14803))=FALSE,LEFT($I14803,6)&lt;&gt;"VACUUM"),"CDU",IF($H14803="FLUID CAT CRACKING","FCC",IF(OR($H14803="HYDROCRACKING",$H14803="RESID_HYDROCRACKING"),"Hydrocracker",IF($H14803="REFORMING","Reformer",""))))</f>
        <v/>
      </c>
    </row>
    <row r="14804" spans="6:7">
      <c r="F14804" s="6">
        <f>IF($M14804="PADD I","PADD 1",IF($M14804="PADD II","PADD 2",IF($M14804="PADD III","PADD 3",IF($M14804="PADD IV","PADD 4",IF($M14804="PADD V","PADD 5","")))))</f>
        <v/>
      </c>
      <c r="G14804" s="6">
        <f>IF(AND($H14804="ATMOS DISTILLATION",ISNUMBER(SEARCH("VPS",$I14804))=FALSE,LEFT($I14804,6)&lt;&gt;"VACUUM"),"CDU",IF($H14804="FLUID CAT CRACKING","FCC",IF(OR($H14804="HYDROCRACKING",$H14804="RESID_HYDROCRACKING"),"Hydrocracker",IF($H14804="REFORMING","Reformer",""))))</f>
        <v/>
      </c>
    </row>
    <row r="14805" spans="6:7">
      <c r="F14805" s="6">
        <f>IF($M14805="PADD I","PADD 1",IF($M14805="PADD II","PADD 2",IF($M14805="PADD III","PADD 3",IF($M14805="PADD IV","PADD 4",IF($M14805="PADD V","PADD 5","")))))</f>
        <v/>
      </c>
      <c r="G14805" s="6">
        <f>IF(AND($H14805="ATMOS DISTILLATION",ISNUMBER(SEARCH("VPS",$I14805))=FALSE,LEFT($I14805,6)&lt;&gt;"VACUUM"),"CDU",IF($H14805="FLUID CAT CRACKING","FCC",IF(OR($H14805="HYDROCRACKING",$H14805="RESID_HYDROCRACKING"),"Hydrocracker",IF($H14805="REFORMING","Reformer",""))))</f>
        <v/>
      </c>
    </row>
    <row r="14806" spans="6:7">
      <c r="F14806" s="6">
        <f>IF($M14806="PADD I","PADD 1",IF($M14806="PADD II","PADD 2",IF($M14806="PADD III","PADD 3",IF($M14806="PADD IV","PADD 4",IF($M14806="PADD V","PADD 5","")))))</f>
        <v/>
      </c>
      <c r="G14806" s="6">
        <f>IF(AND($H14806="ATMOS DISTILLATION",ISNUMBER(SEARCH("VPS",$I14806))=FALSE,LEFT($I14806,6)&lt;&gt;"VACUUM"),"CDU",IF($H14806="FLUID CAT CRACKING","FCC",IF(OR($H14806="HYDROCRACKING",$H14806="RESID_HYDROCRACKING"),"Hydrocracker",IF($H14806="REFORMING","Reformer",""))))</f>
        <v/>
      </c>
    </row>
    <row r="14807" spans="6:7">
      <c r="F14807" s="6">
        <f>IF($M14807="PADD I","PADD 1",IF($M14807="PADD II","PADD 2",IF($M14807="PADD III","PADD 3",IF($M14807="PADD IV","PADD 4",IF($M14807="PADD V","PADD 5","")))))</f>
        <v/>
      </c>
      <c r="G14807" s="6">
        <f>IF(AND($H14807="ATMOS DISTILLATION",ISNUMBER(SEARCH("VPS",$I14807))=FALSE,LEFT($I14807,6)&lt;&gt;"VACUUM"),"CDU",IF($H14807="FLUID CAT CRACKING","FCC",IF(OR($H14807="HYDROCRACKING",$H14807="RESID_HYDROCRACKING"),"Hydrocracker",IF($H14807="REFORMING","Reformer",""))))</f>
        <v/>
      </c>
    </row>
    <row r="14808" spans="6:7">
      <c r="F14808" s="6">
        <f>IF($M14808="PADD I","PADD 1",IF($M14808="PADD II","PADD 2",IF($M14808="PADD III","PADD 3",IF($M14808="PADD IV","PADD 4",IF($M14808="PADD V","PADD 5","")))))</f>
        <v/>
      </c>
      <c r="G14808" s="6">
        <f>IF(AND($H14808="ATMOS DISTILLATION",ISNUMBER(SEARCH("VPS",$I14808))=FALSE,LEFT($I14808,6)&lt;&gt;"VACUUM"),"CDU",IF($H14808="FLUID CAT CRACKING","FCC",IF(OR($H14808="HYDROCRACKING",$H14808="RESID_HYDROCRACKING"),"Hydrocracker",IF($H14808="REFORMING","Reformer",""))))</f>
        <v/>
      </c>
    </row>
    <row r="14809" spans="6:7">
      <c r="F14809" s="6">
        <f>IF($M14809="PADD I","PADD 1",IF($M14809="PADD II","PADD 2",IF($M14809="PADD III","PADD 3",IF($M14809="PADD IV","PADD 4",IF($M14809="PADD V","PADD 5","")))))</f>
        <v/>
      </c>
      <c r="G14809" s="6">
        <f>IF(AND($H14809="ATMOS DISTILLATION",ISNUMBER(SEARCH("VPS",$I14809))=FALSE,LEFT($I14809,6)&lt;&gt;"VACUUM"),"CDU",IF($H14809="FLUID CAT CRACKING","FCC",IF(OR($H14809="HYDROCRACKING",$H14809="RESID_HYDROCRACKING"),"Hydrocracker",IF($H14809="REFORMING","Reformer",""))))</f>
        <v/>
      </c>
    </row>
    <row r="14810" spans="6:7">
      <c r="F14810" s="6">
        <f>IF($M14810="PADD I","PADD 1",IF($M14810="PADD II","PADD 2",IF($M14810="PADD III","PADD 3",IF($M14810="PADD IV","PADD 4",IF($M14810="PADD V","PADD 5","")))))</f>
        <v/>
      </c>
      <c r="G14810" s="6">
        <f>IF(AND($H14810="ATMOS DISTILLATION",ISNUMBER(SEARCH("VPS",$I14810))=FALSE,LEFT($I14810,6)&lt;&gt;"VACUUM"),"CDU",IF($H14810="FLUID CAT CRACKING","FCC",IF(OR($H14810="HYDROCRACKING",$H14810="RESID_HYDROCRACKING"),"Hydrocracker",IF($H14810="REFORMING","Reformer",""))))</f>
        <v/>
      </c>
    </row>
    <row r="14811" spans="6:7">
      <c r="F14811" s="6">
        <f>IF($M14811="PADD I","PADD 1",IF($M14811="PADD II","PADD 2",IF($M14811="PADD III","PADD 3",IF($M14811="PADD IV","PADD 4",IF($M14811="PADD V","PADD 5","")))))</f>
        <v/>
      </c>
      <c r="G14811" s="6">
        <f>IF(AND($H14811="ATMOS DISTILLATION",ISNUMBER(SEARCH("VPS",$I14811))=FALSE,LEFT($I14811,6)&lt;&gt;"VACUUM"),"CDU",IF($H14811="FLUID CAT CRACKING","FCC",IF(OR($H14811="HYDROCRACKING",$H14811="RESID_HYDROCRACKING"),"Hydrocracker",IF($H14811="REFORMING","Reformer",""))))</f>
        <v/>
      </c>
    </row>
    <row r="14812" spans="6:7">
      <c r="F14812" s="6">
        <f>IF($M14812="PADD I","PADD 1",IF($M14812="PADD II","PADD 2",IF($M14812="PADD III","PADD 3",IF($M14812="PADD IV","PADD 4",IF($M14812="PADD V","PADD 5","")))))</f>
        <v/>
      </c>
      <c r="G14812" s="6">
        <f>IF(AND($H14812="ATMOS DISTILLATION",ISNUMBER(SEARCH("VPS",$I14812))=FALSE,LEFT($I14812,6)&lt;&gt;"VACUUM"),"CDU",IF($H14812="FLUID CAT CRACKING","FCC",IF(OR($H14812="HYDROCRACKING",$H14812="RESID_HYDROCRACKING"),"Hydrocracker",IF($H14812="REFORMING","Reformer",""))))</f>
        <v/>
      </c>
    </row>
    <row r="14813" spans="6:7">
      <c r="F14813" s="6">
        <f>IF($M14813="PADD I","PADD 1",IF($M14813="PADD II","PADD 2",IF($M14813="PADD III","PADD 3",IF($M14813="PADD IV","PADD 4",IF($M14813="PADD V","PADD 5","")))))</f>
        <v/>
      </c>
      <c r="G14813" s="6">
        <f>IF(AND($H14813="ATMOS DISTILLATION",ISNUMBER(SEARCH("VPS",$I14813))=FALSE,LEFT($I14813,6)&lt;&gt;"VACUUM"),"CDU",IF($H14813="FLUID CAT CRACKING","FCC",IF(OR($H14813="HYDROCRACKING",$H14813="RESID_HYDROCRACKING"),"Hydrocracker",IF($H14813="REFORMING","Reformer",""))))</f>
        <v/>
      </c>
    </row>
    <row r="14814" spans="6:7">
      <c r="F14814" s="6">
        <f>IF($M14814="PADD I","PADD 1",IF($M14814="PADD II","PADD 2",IF($M14814="PADD III","PADD 3",IF($M14814="PADD IV","PADD 4",IF($M14814="PADD V","PADD 5","")))))</f>
        <v/>
      </c>
      <c r="G14814" s="6">
        <f>IF(AND($H14814="ATMOS DISTILLATION",ISNUMBER(SEARCH("VPS",$I14814))=FALSE,LEFT($I14814,6)&lt;&gt;"VACUUM"),"CDU",IF($H14814="FLUID CAT CRACKING","FCC",IF(OR($H14814="HYDROCRACKING",$H14814="RESID_HYDROCRACKING"),"Hydrocracker",IF($H14814="REFORMING","Reformer",""))))</f>
        <v/>
      </c>
    </row>
    <row r="14815" spans="6:7">
      <c r="F14815" s="6">
        <f>IF($M14815="PADD I","PADD 1",IF($M14815="PADD II","PADD 2",IF($M14815="PADD III","PADD 3",IF($M14815="PADD IV","PADD 4",IF($M14815="PADD V","PADD 5","")))))</f>
        <v/>
      </c>
      <c r="G14815" s="6">
        <f>IF(AND($H14815="ATMOS DISTILLATION",ISNUMBER(SEARCH("VPS",$I14815))=FALSE,LEFT($I14815,6)&lt;&gt;"VACUUM"),"CDU",IF($H14815="FLUID CAT CRACKING","FCC",IF(OR($H14815="HYDROCRACKING",$H14815="RESID_HYDROCRACKING"),"Hydrocracker",IF($H14815="REFORMING","Reformer",""))))</f>
        <v/>
      </c>
    </row>
    <row r="14816" spans="6:7">
      <c r="F14816" s="6">
        <f>IF($M14816="PADD I","PADD 1",IF($M14816="PADD II","PADD 2",IF($M14816="PADD III","PADD 3",IF($M14816="PADD IV","PADD 4",IF($M14816="PADD V","PADD 5","")))))</f>
        <v/>
      </c>
      <c r="G14816" s="6">
        <f>IF(AND($H14816="ATMOS DISTILLATION",ISNUMBER(SEARCH("VPS",$I14816))=FALSE,LEFT($I14816,6)&lt;&gt;"VACUUM"),"CDU",IF($H14816="FLUID CAT CRACKING","FCC",IF(OR($H14816="HYDROCRACKING",$H14816="RESID_HYDROCRACKING"),"Hydrocracker",IF($H14816="REFORMING","Reformer",""))))</f>
        <v/>
      </c>
    </row>
    <row r="14817" spans="6:7">
      <c r="F14817" s="6">
        <f>IF($M14817="PADD I","PADD 1",IF($M14817="PADD II","PADD 2",IF($M14817="PADD III","PADD 3",IF($M14817="PADD IV","PADD 4",IF($M14817="PADD V","PADD 5","")))))</f>
        <v/>
      </c>
      <c r="G14817" s="6">
        <f>IF(AND($H14817="ATMOS DISTILLATION",ISNUMBER(SEARCH("VPS",$I14817))=FALSE,LEFT($I14817,6)&lt;&gt;"VACUUM"),"CDU",IF($H14817="FLUID CAT CRACKING","FCC",IF(OR($H14817="HYDROCRACKING",$H14817="RESID_HYDROCRACKING"),"Hydrocracker",IF($H14817="REFORMING","Reformer",""))))</f>
        <v/>
      </c>
    </row>
    <row r="14818" spans="6:7">
      <c r="F14818" s="6">
        <f>IF($M14818="PADD I","PADD 1",IF($M14818="PADD II","PADD 2",IF($M14818="PADD III","PADD 3",IF($M14818="PADD IV","PADD 4",IF($M14818="PADD V","PADD 5","")))))</f>
        <v/>
      </c>
      <c r="G14818" s="6">
        <f>IF(AND($H14818="ATMOS DISTILLATION",ISNUMBER(SEARCH("VPS",$I14818))=FALSE,LEFT($I14818,6)&lt;&gt;"VACUUM"),"CDU",IF($H14818="FLUID CAT CRACKING","FCC",IF(OR($H14818="HYDROCRACKING",$H14818="RESID_HYDROCRACKING"),"Hydrocracker",IF($H14818="REFORMING","Reformer",""))))</f>
        <v/>
      </c>
    </row>
    <row r="14819" spans="6:7">
      <c r="F14819" s="6">
        <f>IF($M14819="PADD I","PADD 1",IF($M14819="PADD II","PADD 2",IF($M14819="PADD III","PADD 3",IF($M14819="PADD IV","PADD 4",IF($M14819="PADD V","PADD 5","")))))</f>
        <v/>
      </c>
      <c r="G14819" s="6">
        <f>IF(AND($H14819="ATMOS DISTILLATION",ISNUMBER(SEARCH("VPS",$I14819))=FALSE,LEFT($I14819,6)&lt;&gt;"VACUUM"),"CDU",IF($H14819="FLUID CAT CRACKING","FCC",IF(OR($H14819="HYDROCRACKING",$H14819="RESID_HYDROCRACKING"),"Hydrocracker",IF($H14819="REFORMING","Reformer",""))))</f>
        <v/>
      </c>
    </row>
    <row r="14820" spans="6:7">
      <c r="F14820" s="6">
        <f>IF($M14820="PADD I","PADD 1",IF($M14820="PADD II","PADD 2",IF($M14820="PADD III","PADD 3",IF($M14820="PADD IV","PADD 4",IF($M14820="PADD V","PADD 5","")))))</f>
        <v/>
      </c>
      <c r="G14820" s="6">
        <f>IF(AND($H14820="ATMOS DISTILLATION",ISNUMBER(SEARCH("VPS",$I14820))=FALSE,LEFT($I14820,6)&lt;&gt;"VACUUM"),"CDU",IF($H14820="FLUID CAT CRACKING","FCC",IF(OR($H14820="HYDROCRACKING",$H14820="RESID_HYDROCRACKING"),"Hydrocracker",IF($H14820="REFORMING","Reformer",""))))</f>
        <v/>
      </c>
    </row>
    <row r="14821" spans="6:7">
      <c r="F14821" s="6">
        <f>IF($M14821="PADD I","PADD 1",IF($M14821="PADD II","PADD 2",IF($M14821="PADD III","PADD 3",IF($M14821="PADD IV","PADD 4",IF($M14821="PADD V","PADD 5","")))))</f>
        <v/>
      </c>
      <c r="G14821" s="6">
        <f>IF(AND($H14821="ATMOS DISTILLATION",ISNUMBER(SEARCH("VPS",$I14821))=FALSE,LEFT($I14821,6)&lt;&gt;"VACUUM"),"CDU",IF($H14821="FLUID CAT CRACKING","FCC",IF(OR($H14821="HYDROCRACKING",$H14821="RESID_HYDROCRACKING"),"Hydrocracker",IF($H14821="REFORMING","Reformer",""))))</f>
        <v/>
      </c>
    </row>
    <row r="14822" spans="6:7">
      <c r="F14822" s="6">
        <f>IF($M14822="PADD I","PADD 1",IF($M14822="PADD II","PADD 2",IF($M14822="PADD III","PADD 3",IF($M14822="PADD IV","PADD 4",IF($M14822="PADD V","PADD 5","")))))</f>
        <v/>
      </c>
      <c r="G14822" s="6">
        <f>IF(AND($H14822="ATMOS DISTILLATION",ISNUMBER(SEARCH("VPS",$I14822))=FALSE,LEFT($I14822,6)&lt;&gt;"VACUUM"),"CDU",IF($H14822="FLUID CAT CRACKING","FCC",IF(OR($H14822="HYDROCRACKING",$H14822="RESID_HYDROCRACKING"),"Hydrocracker",IF($H14822="REFORMING","Reformer",""))))</f>
        <v/>
      </c>
    </row>
    <row r="14823" spans="6:7">
      <c r="F14823" s="6">
        <f>IF($M14823="PADD I","PADD 1",IF($M14823="PADD II","PADD 2",IF($M14823="PADD III","PADD 3",IF($M14823="PADD IV","PADD 4",IF($M14823="PADD V","PADD 5","")))))</f>
        <v/>
      </c>
      <c r="G14823" s="6">
        <f>IF(AND($H14823="ATMOS DISTILLATION",ISNUMBER(SEARCH("VPS",$I14823))=FALSE,LEFT($I14823,6)&lt;&gt;"VACUUM"),"CDU",IF($H14823="FLUID CAT CRACKING","FCC",IF(OR($H14823="HYDROCRACKING",$H14823="RESID_HYDROCRACKING"),"Hydrocracker",IF($H14823="REFORMING","Reformer",""))))</f>
        <v/>
      </c>
    </row>
    <row r="14824" spans="6:7">
      <c r="F14824" s="6">
        <f>IF($M14824="PADD I","PADD 1",IF($M14824="PADD II","PADD 2",IF($M14824="PADD III","PADD 3",IF($M14824="PADD IV","PADD 4",IF($M14824="PADD V","PADD 5","")))))</f>
        <v/>
      </c>
      <c r="G14824" s="6">
        <f>IF(AND($H14824="ATMOS DISTILLATION",ISNUMBER(SEARCH("VPS",$I14824))=FALSE,LEFT($I14824,6)&lt;&gt;"VACUUM"),"CDU",IF($H14824="FLUID CAT CRACKING","FCC",IF(OR($H14824="HYDROCRACKING",$H14824="RESID_HYDROCRACKING"),"Hydrocracker",IF($H14824="REFORMING","Reformer",""))))</f>
        <v/>
      </c>
    </row>
    <row r="14825" spans="6:7">
      <c r="F14825" s="6">
        <f>IF($M14825="PADD I","PADD 1",IF($M14825="PADD II","PADD 2",IF($M14825="PADD III","PADD 3",IF($M14825="PADD IV","PADD 4",IF($M14825="PADD V","PADD 5","")))))</f>
        <v/>
      </c>
      <c r="G14825" s="6">
        <f>IF(AND($H14825="ATMOS DISTILLATION",ISNUMBER(SEARCH("VPS",$I14825))=FALSE,LEFT($I14825,6)&lt;&gt;"VACUUM"),"CDU",IF($H14825="FLUID CAT CRACKING","FCC",IF(OR($H14825="HYDROCRACKING",$H14825="RESID_HYDROCRACKING"),"Hydrocracker",IF($H14825="REFORMING","Reformer",""))))</f>
        <v/>
      </c>
    </row>
    <row r="14826" spans="6:7">
      <c r="F14826" s="6">
        <f>IF($M14826="PADD I","PADD 1",IF($M14826="PADD II","PADD 2",IF($M14826="PADD III","PADD 3",IF($M14826="PADD IV","PADD 4",IF($M14826="PADD V","PADD 5","")))))</f>
        <v/>
      </c>
      <c r="G14826" s="6">
        <f>IF(AND($H14826="ATMOS DISTILLATION",ISNUMBER(SEARCH("VPS",$I14826))=FALSE,LEFT($I14826,6)&lt;&gt;"VACUUM"),"CDU",IF($H14826="FLUID CAT CRACKING","FCC",IF(OR($H14826="HYDROCRACKING",$H14826="RESID_HYDROCRACKING"),"Hydrocracker",IF($H14826="REFORMING","Reformer",""))))</f>
        <v/>
      </c>
    </row>
    <row r="14827" spans="6:7">
      <c r="F14827" s="6">
        <f>IF($M14827="PADD I","PADD 1",IF($M14827="PADD II","PADD 2",IF($M14827="PADD III","PADD 3",IF($M14827="PADD IV","PADD 4",IF($M14827="PADD V","PADD 5","")))))</f>
        <v/>
      </c>
      <c r="G14827" s="6">
        <f>IF(AND($H14827="ATMOS DISTILLATION",ISNUMBER(SEARCH("VPS",$I14827))=FALSE,LEFT($I14827,6)&lt;&gt;"VACUUM"),"CDU",IF($H14827="FLUID CAT CRACKING","FCC",IF(OR($H14827="HYDROCRACKING",$H14827="RESID_HYDROCRACKING"),"Hydrocracker",IF($H14827="REFORMING","Reformer",""))))</f>
        <v/>
      </c>
    </row>
  </sheetData>
  <autoFilter ref="A4:M88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What's Changed</vt:lpstr>
      <vt:lpstr>Per-Unit</vt:lpstr>
      <vt:lpstr>Biggest</vt:lpstr>
      <vt:lpstr>H1 by Unit</vt:lpstr>
      <vt:lpstr>PADD by Unit</vt:lpstr>
      <vt:lpstr>ExxonMobil</vt:lpstr>
      <vt:lpstr>HVN</vt:lpstr>
      <vt:lpstr>Forecast</vt:lpstr>
      <vt:lpstr>Scenarios</vt:lpstr>
      <vt:lpstr>Historicals</vt:lpstr>
      <vt:lpstr>Data Quality</vt:lpstr>
      <vt:lpstr>Data</vt:lpstr>
      <vt:lpstr>conn_p1</vt:lpstr>
      <vt:lpstr>conn_p2</vt:lpstr>
      <vt:lpstr>conn_p3</vt:lpstr>
      <vt:lpstr>conn_p4</vt:lpstr>
      <vt:lpstr>conn_p5</vt:lpstr>
      <vt:lpstr>mult_act</vt:lpstr>
      <vt:lpstr>mult_avg</vt:lpstr>
      <vt:lpstr>mult_cons</vt:lpstr>
      <vt:lpstr>naph_yield</vt:lpstr>
      <vt:lpstr>ref_intake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2026-06-29T18:18:19Z</dcterms:created>
  <dcterms:modified xsi:type="dcterms:W3CDTF">2026-06-29T18:18:19Z</dcterms:modified>
</cp:coreProperties>
</file>